
<file path=[Content_Types].xml><?xml version="1.0" encoding="utf-8"?>
<Types xmlns="http://schemas.openxmlformats.org/package/2006/content-types">
  <Override PartName="/xl/worksheets/sheet13.xml" ContentType="application/vnd.openxmlformats-officedocument.spreadsheetml.worksheet+xml"/>
  <Override PartName="/xl/externalLinks/externalLink9.xml" ContentType="application/vnd.openxmlformats-officedocument.spreadsheetml.externalLink+xml"/>
  <Override PartName="/xl/styles.xml" ContentType="application/vnd.openxmlformats-officedocument.spreadsheetml.styles+xml"/>
  <Override PartName="/xl/drawings/drawing6.xml" ContentType="application/vnd.openxmlformats-officedocument.drawing+xml"/>
  <Override PartName="/xl/comments8.xml" ContentType="application/vnd.openxmlformats-officedocument.spreadsheetml.comments+xml"/>
  <Override PartName="/customXml/itemProps1.xml" ContentType="application/vnd.openxmlformats-officedocument.customXmlProperties+xml"/>
  <Override PartName="/xl/worksheets/sheet7.xml" ContentType="application/vnd.openxmlformats-officedocument.spreadsheetml.worksheet+xml"/>
  <Override PartName="/xl/worksheets/sheet20.xml" ContentType="application/vnd.openxmlformats-officedocument.spreadsheetml.worksheet+xml"/>
  <Override PartName="/xl/drawings/drawing17.xml" ContentType="application/vnd.openxmlformats-officedocument.drawing+xml"/>
  <Default Extension="xml" ContentType="application/xml"/>
  <Override PartName="/xl/externalLinks/externalLink5.xml" ContentType="application/vnd.openxmlformats-officedocument.spreadsheetml.externalLink+xml"/>
  <Override PartName="/xl/externalLinks/externalLink16.xml" ContentType="application/vnd.openxmlformats-officedocument.spreadsheetml.externalLink+xml"/>
  <Override PartName="/xl/drawings/drawing2.xml" ContentType="application/vnd.openxmlformats-officedocument.drawing+xml"/>
  <Override PartName="/xl/comments4.xml" ContentType="application/vnd.openxmlformats-officedocument.spreadsheetml.comments+xml"/>
  <Override PartName="/xl/worksheets/sheet3.xml" ContentType="application/vnd.openxmlformats-officedocument.spreadsheetml.worksheet+xml"/>
  <Override PartName="/xl/drawings/drawing13.xml" ContentType="application/vnd.openxmlformats-officedocument.drawing+xml"/>
  <Override PartName="/docProps/custom.xml" ContentType="application/vnd.openxmlformats-officedocument.custom-properties+xml"/>
  <Override PartName="/xl/externalLinks/externalLink1.xml" ContentType="application/vnd.openxmlformats-officedocument.spreadsheetml.externalLink+xml"/>
  <Override PartName="/xl/externalLinks/externalLink12.xml" ContentType="application/vnd.openxmlformats-officedocument.spreadsheetml.externalLink+xml"/>
  <Override PartName="/xl/comments14.xml" ContentType="application/vnd.openxmlformats-officedocument.spreadsheetml.comments+xml"/>
  <Override PartName="/xl/drawings/drawing20.xml" ContentType="application/vnd.openxmlformats-officedocument.drawing+xml"/>
  <Override PartName="/xl/sharedStrings.xml" ContentType="application/vnd.openxmlformats-officedocument.spreadsheetml.sharedStrings+xml"/>
  <Override PartName="/xl/worksheets/sheet18.xml" ContentType="application/vnd.openxmlformats-officedocument.spreadsheetml.worksheet+xml"/>
  <Override PartName="/xl/comments10.xml" ContentType="application/vnd.openxmlformats-officedocument.spreadsheetml.comments+xml"/>
  <Override PartName="/xl/worksheets/sheet16.xml" ContentType="application/vnd.openxmlformats-officedocument.spreadsheetml.worksheet+xml"/>
  <Default Extension="bin" ContentType="application/vnd.openxmlformats-officedocument.spreadsheetml.printerSettings"/>
  <Default Extension="png" ContentType="image/png"/>
  <Override PartName="/xl/drawings/drawing9.xml" ContentType="application/vnd.openxmlformats-officedocument.drawing+xml"/>
  <Override PartName="/customXml/itemProps2.xml" ContentType="application/vnd.openxmlformats-officedocument.customXmlProperties+xml"/>
  <Override PartName="/xl/worksheets/sheet14.xml" ContentType="application/vnd.openxmlformats-officedocument.spreadsheetml.worksheet+xml"/>
  <Override PartName="/xl/externalLinks/externalLink8.xml" ContentType="application/vnd.openxmlformats-officedocument.spreadsheetml.externalLink+xml"/>
  <Override PartName="/xl/drawings/drawing7.xml" ContentType="application/vnd.openxmlformats-officedocument.drawing+xml"/>
  <Override PartName="/xl/comments9.xml" ContentType="application/vnd.openxmlformats-officedocument.spreadsheetml.comments+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externalLinks/externalLink6.xml" ContentType="application/vnd.openxmlformats-officedocument.spreadsheetml.externalLink+xml"/>
  <Override PartName="/xl/externalLinks/externalLink17.xml" ContentType="application/vnd.openxmlformats-officedocument.spreadsheetml.externalLink+xml"/>
  <Override PartName="/xl/drawings/drawing5.xml" ContentType="application/vnd.openxmlformats-officedocument.drawing+xml"/>
  <Override PartName="/xl/comments7.xml" ContentType="application/vnd.openxmlformats-officedocument.spreadsheetml.comments+xml"/>
  <Override PartName="/xl/drawings/drawing18.xml" ContentType="application/vnd.openxmlformats-officedocument.drawing+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externalLinks/externalLink4.xml" ContentType="application/vnd.openxmlformats-officedocument.spreadsheetml.externalLink+xml"/>
  <Override PartName="/xl/externalLinks/externalLink15.xml" ContentType="application/vnd.openxmlformats-officedocument.spreadsheetml.externalLink+xml"/>
  <Override PartName="/xl/drawings/drawing3.xml" ContentType="application/vnd.openxmlformats-officedocument.drawing+xml"/>
  <Override PartName="/xl/charts/chart1.xml" ContentType="application/vnd.openxmlformats-officedocument.drawingml.chart+xml"/>
  <Override PartName="/xl/comments5.xml" ContentType="application/vnd.openxmlformats-officedocument.spreadsheetml.comments+xml"/>
  <Override PartName="/xl/drawings/drawing16.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externalLinks/externalLink2.xml" ContentType="application/vnd.openxmlformats-officedocument.spreadsheetml.externalLink+xml"/>
  <Override PartName="/xl/externalLinks/externalLink13.xml" ContentType="application/vnd.openxmlformats-officedocument.spreadsheetml.externalLink+xml"/>
  <Override PartName="/xl/drawings/drawing1.xml" ContentType="application/vnd.openxmlformats-officedocument.drawing+xml"/>
  <Override PartName="/xl/comments3.xml" ContentType="application/vnd.openxmlformats-officedocument.spreadsheetml.comments+xml"/>
  <Override PartName="/xl/drawings/drawing14.xml" ContentType="application/vnd.openxmlformats-officedocument.drawing+xml"/>
  <Override PartName="/xl/externalLinks/externalLink11.xml" ContentType="application/vnd.openxmlformats-officedocument.spreadsheetml.externalLink+xml"/>
  <Default Extension="vml" ContentType="application/vnd.openxmlformats-officedocument.vmlDrawing"/>
  <Override PartName="/xl/comments1.xml" ContentType="application/vnd.openxmlformats-officedocument.spreadsheetml.comments+xml"/>
  <Override PartName="/xl/drawings/drawing12.xml" ContentType="application/vnd.openxmlformats-officedocument.drawing+xml"/>
  <Override PartName="/xl/comments15.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drawings/drawing10.xml" ContentType="application/vnd.openxmlformats-officedocument.drawing+xml"/>
  <Override PartName="/xl/comments13.xml" ContentType="application/vnd.openxmlformats-officedocument.spreadsheetml.comments+xml"/>
  <Override PartName="/xl/worksheets/sheet17.xml" ContentType="application/vnd.openxmlformats-officedocument.spreadsheetml.worksheet+xml"/>
  <Override PartName="/xl/comments11.xml" ContentType="application/vnd.openxmlformats-officedocument.spreadsheetml.comments+xml"/>
  <Override PartName="/docProps/core.xml" ContentType="application/vnd.openxmlformats-package.core-properties+xml"/>
  <Override PartName="/xl/worksheets/sheet15.xml" ContentType="application/vnd.openxmlformats-officedocument.spreadsheetml.worksheet+xml"/>
  <Override PartName="/customXml/itemProps3.xml" ContentType="application/vnd.openxmlformats-officedocument.customXmlProperties+xml"/>
  <Override PartName="/xl/worksheets/sheet9.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drawings/drawing8.xml" ContentType="application/vnd.openxmlformats-officedocument.drawing+xml"/>
  <Override PartName="/xl/drawings/drawing19.xml" ContentType="application/vnd.openxmlformats-officedocument.drawing+xml"/>
  <Override PartName="/xl/worksheets/sheet11.xml" ContentType="application/vnd.openxmlformats-officedocument.spreadsheetml.worksheet+xml"/>
  <Override PartName="/xl/externalLinks/externalLink7.xml" ContentType="application/vnd.openxmlformats-officedocument.spreadsheetml.externalLink+xml"/>
  <Override PartName="/xl/drawings/drawing4.xml" ContentType="application/vnd.openxmlformats-officedocument.drawing+xml"/>
  <Override PartName="/xl/comments6.xml" ContentType="application/vnd.openxmlformats-officedocument.spreadsheetml.comments+xml"/>
  <Default Extension="rels" ContentType="application/vnd.openxmlformats-package.relationships+xml"/>
  <Override PartName="/xl/worksheets/sheet5.xml" ContentType="application/vnd.openxmlformats-officedocument.spreadsheetml.worksheet+xml"/>
  <Override PartName="/xl/drawings/drawing15.xml" ContentType="application/vnd.openxmlformats-officedocument.drawing+xml"/>
  <Override PartName="/xl/externalLinks/externalLink3.xml" ContentType="application/vnd.openxmlformats-officedocument.spreadsheetml.externalLink+xml"/>
  <Override PartName="/xl/externalLinks/externalLink14.xml" ContentType="application/vnd.openxmlformats-officedocument.spreadsheetml.externalLink+xml"/>
  <Override PartName="/xl/comments2.xml" ContentType="application/vnd.openxmlformats-officedocument.spreadsheetml.comments+xml"/>
  <Override PartName="/xl/worksheets/sheet1.xml" ContentType="application/vnd.openxmlformats-officedocument.spreadsheetml.worksheet+xml"/>
  <Override PartName="/xl/drawings/drawing11.xml" ContentType="application/vnd.openxmlformats-officedocument.drawing+xml"/>
  <Override PartName="/xl/externalLinks/externalLink10.xml" ContentType="application/vnd.openxmlformats-officedocument.spreadsheetml.externalLink+xml"/>
  <Override PartName="/xl/comments12.xml" ContentType="application/vnd.openxmlformats-officedocument.spreadsheetml.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4" rupBuild="4507"/>
  <workbookPr codeName="ThisWorkbook" defaultThemeVersion="124226"/>
  <bookViews>
    <workbookView xWindow="8595" yWindow="-15" windowWidth="8640" windowHeight="10020" tabRatio="908"/>
  </bookViews>
  <sheets>
    <sheet name="Summ GHG Rpt Expanded" sheetId="93" r:id="rId1"/>
    <sheet name="EGU_Emission_By_Fuel_Type" sheetId="100" r:id="rId2"/>
    <sheet name="EGU Details" sheetId="96" r:id="rId3"/>
    <sheet name="Luke" sheetId="97" r:id="rId4"/>
    <sheet name="Imported Electricity" sheetId="89" r:id="rId5"/>
    <sheet name="Trans_On_Road" sheetId="105" r:id="rId6"/>
    <sheet name="Trans_Non_Road" sheetId="104" r:id="rId7"/>
    <sheet name="Trans_Others" sheetId="103" r:id="rId8"/>
    <sheet name="Residential" sheetId="71" r:id="rId9"/>
    <sheet name="Commercial" sheetId="70" r:id="rId10"/>
    <sheet name="Industrial" sheetId="69" r:id="rId11"/>
    <sheet name="LimeT&amp;DSodaODS" sheetId="85" r:id="rId12"/>
    <sheet name="Cement" sheetId="75" r:id="rId13"/>
    <sheet name="Landfills" sheetId="101" r:id="rId14"/>
    <sheet name="LFGTE" sheetId="102" r:id="rId15"/>
    <sheet name="Incinerators" sheetId="72" r:id="rId16"/>
    <sheet name="OpenBurn" sheetId="94" r:id="rId17"/>
    <sheet name="Natural Gas and Oil" sheetId="86" r:id="rId18"/>
    <sheet name="Mining" sheetId="78" r:id="rId19"/>
    <sheet name="Wastewater" sheetId="88" r:id="rId20"/>
    <sheet name="Agricultural" sheetId="92" r:id="rId21"/>
    <sheet name="Land Use" sheetId="82" r:id="rId22"/>
  </sheets>
  <externalReferences>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s>
  <definedNames>
    <definedName name="_Key1" hidden="1">#REF!</definedName>
    <definedName name="_Order1" hidden="1">255</definedName>
    <definedName name="_Sort" hidden="1">#REF!</definedName>
    <definedName name="a">'[1]Enteric Fermentation'!$B$12</definedName>
    <definedName name="AlFactorBlock">[2]EF!$A$40:$E$70</definedName>
    <definedName name="AmmoniaDefaults">'[3]Ammonia Defaults'!$B$59:$AF$60</definedName>
    <definedName name="animaldata">'[1]MD Projected Animal Pop'!$C$9:$T$129</definedName>
    <definedName name="AnimalData2">'[1]MD Projected Animal Pop'!$X$9:$AH$1079</definedName>
    <definedName name="AvGasCC">[4]Control!$D$19</definedName>
    <definedName name="BasinNum">[5]constants!$M$1</definedName>
    <definedName name="BeefbullEF">[6]Control!$C$25</definedName>
    <definedName name="BeefcowEF">[6]Control!$C$17</definedName>
    <definedName name="BeefCows_EF">'[6]enteric EFsNEW'!$A$211:$AF$261</definedName>
    <definedName name="BeefRep">[6]Control!$C$18</definedName>
    <definedName name="BeefRep0_12">[6]Control!$C$19</definedName>
    <definedName name="BeefRep12_24">[6]Control!$C$20</definedName>
    <definedName name="BeefRepl_12_24_EF">'[6]enteric EFsNEW'!$A$315:$AF$365</definedName>
    <definedName name="BeefRepl_7_11_EF">'[6]enteric EFsNEW'!$A$263:$AF$313</definedName>
    <definedName name="BeefRepl_Total_EF">'[6]enteric EFsNEW'!$A$367:$AF$417</definedName>
    <definedName name="BroilerMCF">[6]MCF!$P$6</definedName>
    <definedName name="C_CO2">'[7]List Data'!$K$6</definedName>
    <definedName name="C_CO2pipeline">'[4]List Data'!$K$6</definedName>
    <definedName name="CementCorrectionFactor">#REF!</definedName>
    <definedName name="CH4GWP">#REF!</definedName>
    <definedName name="CHGWP">[8]constants!$B$12</definedName>
    <definedName name="CO2_C">[9]Control!$D$51</definedName>
    <definedName name="CO2_Carbon">[10]Lookups!$B$28</definedName>
    <definedName name="coalbasins">'[5]Coal codes'!$A$3:$F$53</definedName>
    <definedName name="CoalCCs">#REF!</definedName>
    <definedName name="CoalCoeffBlock">'[7]Coal CC'!$E$6:$U$527</definedName>
    <definedName name="coaldata">'[5]Coal data'!$C$4:$K$905</definedName>
    <definedName name="CoalEff">[7]Control!$D$11</definedName>
    <definedName name="CoalGrowth">#REF!</definedName>
    <definedName name="ConsumeBlock1">'[11]Default State Energy Data Table'!$A$6:$AH$67</definedName>
    <definedName name="ControlInputRange">[12]Control!$D$13:$D$18,[12]Control!$D$20:$D$22,[12]Control!$D$24:$D$25,[12]Control!$D$31:$D$32,[12]Control!$D$48:$D$55,[12]Control!$D$36:$D$46,[12]Control!$D$58:$D$63</definedName>
    <definedName name="cropdata">'[6]crop data'!$C$4:$W$1585</definedName>
    <definedName name="DairycowEF">[6]Control!$C$12</definedName>
    <definedName name="DairyCows_EF">'[6]enteric EFsNEW'!$A$3:$AF$53</definedName>
    <definedName name="DairyRep">[6]Control!$C$13</definedName>
    <definedName name="DairyRep0_12">[6]Control!$C$14</definedName>
    <definedName name="DairyRep12_24">[6]Control!$C$15</definedName>
    <definedName name="DairyRepl12_24_EF">'[6]enteric EFsNEW'!$A$107:$AF$157</definedName>
    <definedName name="DairyRepl7_11_EF">'[6]enteric EFsNEW'!$A$55:$AF$105</definedName>
    <definedName name="DairyReplTotal_EF">'[6]enteric EFsNEW'!$A$159:$AF$209</definedName>
    <definedName name="data">#REF!</definedName>
    <definedName name="DataBlock">[2]Data!$D$2:$AI$471</definedName>
    <definedName name="days_yr">[6]constants!$B$10</definedName>
    <definedName name="DistillCC">[7]Control!$D$20</definedName>
    <definedName name="EF.Dir">[6]constants!$B$23</definedName>
    <definedName name="ElecProj">#REF!</definedName>
    <definedName name="EntFermEFs">#REF!</definedName>
    <definedName name="EntFermEFs2">#REF!</definedName>
    <definedName name="EPS">#REF!</definedName>
    <definedName name="EPSFraction">#REF!</definedName>
    <definedName name="FCFchoice">#REF!</definedName>
    <definedName name="FE_H_EF">[6]Control!$C$23</definedName>
    <definedName name="FE_St_EF">[6]Control!$C$24</definedName>
    <definedName name="FertData">#REF!</definedName>
    <definedName name="FertTypes">#REF!</definedName>
    <definedName name="FFFactors">#REF!</definedName>
    <definedName name="ft3_g">[5]constants!$B$19</definedName>
    <definedName name="FuelCode">'[7]Code Key'!$E$6:$F$58</definedName>
    <definedName name="FullName">#REF!</definedName>
    <definedName name="g_lbs">'[4]List Data'!$K$7</definedName>
    <definedName name="g_mt">[5]constants!$B$20</definedName>
    <definedName name="GasProj">#REF!</definedName>
    <definedName name="GoatEF">[6]Control!$C$28</definedName>
    <definedName name="GWP">#REF!</definedName>
    <definedName name="GWPCH4">#REF!</definedName>
    <definedName name="GWPN2O">#REF!</definedName>
    <definedName name="H_Stock_EF">[6]Control!$C$21</definedName>
    <definedName name="HeiferFeedlot_EF">'[6]enteric EFsNEW'!$A$575:$AF$625</definedName>
    <definedName name="HeiferStockers_EF">'[6]enteric EFsNEW'!$A$471:$AF$521</definedName>
    <definedName name="HorseEF">[6]Control!$C$30</definedName>
    <definedName name="HTML1_1" hidden="1">#N/A</definedName>
    <definedName name="HTML1_10" hidden="1">""</definedName>
    <definedName name="HTML1_11" hidden="1">1</definedName>
    <definedName name="HTML1_12" hidden="1">#N/A</definedName>
    <definedName name="HTML1_2" hidden="1">1</definedName>
    <definedName name="HTML1_3" hidden="1">#N/A</definedName>
    <definedName name="HTML1_4" hidden="1">#N/A</definedName>
    <definedName name="HTML1_5" hidden="1">""</definedName>
    <definedName name="HTML1_6" hidden="1">1</definedName>
    <definedName name="HTML1_7" hidden="1">1</definedName>
    <definedName name="HTML1_8" hidden="1">"3/14/96"</definedName>
    <definedName name="HTML1_9" hidden="1">"Lloyd E Phillips"</definedName>
    <definedName name="HTMLCount" hidden="1">1</definedName>
    <definedName name="IndusLimestoneRatios">'[2]Industrial Limestone Ratios'!$A$29:$AF$31</definedName>
    <definedName name="IndustrialPercent">#REF!</definedName>
    <definedName name="JFKeroCC">[4]Control!$D$21</definedName>
    <definedName name="JFNaphCC">[4]Control!$D$22</definedName>
    <definedName name="JFNaphCC2">[11]Control!$D$22</definedName>
    <definedName name="KeroCC">[7]Control!$D$23</definedName>
    <definedName name="kg.MT">#REF!</definedName>
    <definedName name="kg_lb">[6]constants!$B$5</definedName>
    <definedName name="kg_m3">'[1]Enteric Fermentation'!$B$8</definedName>
    <definedName name="lbs.ton">[6]constants!$B$4</definedName>
    <definedName name="lbs_shortt">'[4]List Data'!$K$5</definedName>
    <definedName name="LeachEF">[6]constants!$G$21</definedName>
    <definedName name="LeachEF2">[6]constants!$G$22</definedName>
    <definedName name="LiquidEF">#REF!</definedName>
    <definedName name="LPGEff">[7]Control!$D$14</definedName>
    <definedName name="LPGEUCC">[7]Control!$D$25</definedName>
    <definedName name="LubeCC">[4]Control!$D$26</definedName>
    <definedName name="LubeStore">[4]Control!$D$54</definedName>
    <definedName name="manure_broilers">'[6]manure%'!$AH$4:$AI$56</definedName>
    <definedName name="manure_dairyheifers">'[6]manure%'!$J$4:$M$1554</definedName>
    <definedName name="manure_feedlotbeef">'[6]manure%'!$O$4:$P$55</definedName>
    <definedName name="manure_goats">'[6]manure%'!$AS$4:$AT$55</definedName>
    <definedName name="manure_horses">'[6]manure%'!$AV$4:$AW$55</definedName>
    <definedName name="manure_nofbeef">'[6]manure%'!$R$4:$S$55</definedName>
    <definedName name="manure_sheep">'[6]manure%'!$AO$4:$AQ$54</definedName>
    <definedName name="manure_swine">'[6]manure%'!$U$4:$Z$1554</definedName>
    <definedName name="manure_turkeys">'[6]manure%'!$AK$4:$AM$56</definedName>
    <definedName name="MCF">[6]MCF!$B$3:$D$53</definedName>
    <definedName name="MCFs">#REF!</definedName>
    <definedName name="MethGWP">[9]Control!$D$50</definedName>
    <definedName name="MMFactors">#REF!</definedName>
    <definedName name="mms_dairy">'[6]manure%'!$B$4:$H$1554</definedName>
    <definedName name="mms_layers">'[6]manure%'!$AB$4:$AF$1554</definedName>
    <definedName name="MotorGasCC">[4]Control!$D$27</definedName>
    <definedName name="MT_per_T">#REF!</definedName>
    <definedName name="MT_ton">[6]constants!$B$3</definedName>
    <definedName name="N20GWP">#REF!</definedName>
    <definedName name="N2O_N2">[6]constants!$B$11</definedName>
    <definedName name="N2OGWP">#REF!</definedName>
    <definedName name="NetOutElecExports">#REF!</definedName>
    <definedName name="NEU">#REF!</definedName>
    <definedName name="NGCC">[7]Control!$D$43</definedName>
    <definedName name="NGCH4meth">#REF!</definedName>
    <definedName name="NGEff">[7]Control!$D$12</definedName>
    <definedName name="NH3_NOxEF">[6]constants!$G$23</definedName>
    <definedName name="nobedEF">#REF!</definedName>
    <definedName name="NonEPercent">'[11]Non-Energy Consump.'!$A$63:$AF$88</definedName>
    <definedName name="NonVolEF">[6]constants!$G$19</definedName>
    <definedName name="NOrg">[6]constants!$B$20</definedName>
    <definedName name="OLE_LINK1" localSheetId="1">EGU_Emission_By_Fuel_Type!#REF!</definedName>
    <definedName name="open">'[13]REFUSE IN PLACE'!#REF!</definedName>
    <definedName name="OpenYear">'[1]Manure Mgmt'!$D$5</definedName>
    <definedName name="OxidationFactor">#REF!</definedName>
    <definedName name="PetroEff">[7]Control!$D$13</definedName>
    <definedName name="PopGrid">#REF!</definedName>
    <definedName name="PoultryNotManaged">[6]constants!$G$28</definedName>
    <definedName name="_xlnm.Print_Area" localSheetId="2">'EGU Details'!$A$3:$N$330</definedName>
    <definedName name="_xlnm.Print_Area" localSheetId="0">'Summ GHG Rpt Expanded'!$A$1:$C$189</definedName>
    <definedName name="_xlnm.Print_Titles" localSheetId="2">'EGU Details'!$3:$5</definedName>
    <definedName name="prpEF">[6]constants!$G$20</definedName>
    <definedName name="RedMeatProduction">'[14]Red Meat Data'!$B$7:$AG$51</definedName>
    <definedName name="RegionCode">[15]ListData!$E$2</definedName>
    <definedName name="ResCoalCC">[7]Control!$D$38</definedName>
    <definedName name="ResidCC">[4]Control!$D$28</definedName>
    <definedName name="SectorCode">'[7]Code Key'!$A$4:$B$14</definedName>
    <definedName name="SelectedState">#REF!</definedName>
    <definedName name="SheepEF">[6]Control!$C$27</definedName>
    <definedName name="Short_metric">#REF!</definedName>
    <definedName name="SodaAshConsumption">'[2]Soda Ash Method'!$A$10:$AG$11</definedName>
    <definedName name="SodaAshProduction">'[2]Soda Ash Method'!$A$4:$AG$5</definedName>
    <definedName name="SolidEF">#REF!</definedName>
    <definedName name="St_Stock_EF">[6]Control!$C$22</definedName>
    <definedName name="State">#REF!</definedName>
    <definedName name="StateChoice">#REF!</definedName>
    <definedName name="StateID">'[1]Livestock Growth Factors'!$D$1</definedName>
    <definedName name="StateList">#REF!</definedName>
    <definedName name="StateName">[16]Constants!$G$2</definedName>
    <definedName name="StateNum">'[1]Livestock Growth Factors'!$E$1</definedName>
    <definedName name="StatePopRatio">'[2]state population'!$B$61:$AG$112</definedName>
    <definedName name="States">#REF!</definedName>
    <definedName name="StatFactors">#REF!</definedName>
    <definedName name="SteerFeedlot_EF">'[6]enteric EFsNEW'!$A$523:$AF$573</definedName>
    <definedName name="SteerStockers_EF">'[6]enteric EFsNEW'!$A$419:$AF$469</definedName>
    <definedName name="StorageFactors">#REF!</definedName>
    <definedName name="SwineEF">[6]Control!$C$29</definedName>
    <definedName name="SynRubberFraction">[17]Control!$G$76</definedName>
    <definedName name="Tg_Gram">[10]Lookups!$B$27</definedName>
    <definedName name="TransData">#REF!</definedName>
    <definedName name="TransProj">#REF!</definedName>
    <definedName name="TurkeyMCF">[6]MCF!$P$7</definedName>
    <definedName name="UFactor">#REF!</definedName>
    <definedName name="Units">#REF!</definedName>
    <definedName name="UreaDataRange">'[3]Ammonia Defaults'!$A$67:$AF$117</definedName>
    <definedName name="VariableCCs">'[7]Variable CC''s'!$A$8:$Q$17</definedName>
    <definedName name="VersionDate">#REF!</definedName>
    <definedName name="VersionNumber">#REF!</definedName>
    <definedName name="Vol.EF">[6]constants!$B$24</definedName>
    <definedName name="VolOrg">[6]constants!$B$21</definedName>
    <definedName name="VolPercent">#REF!</definedName>
    <definedName name="VolPercent_Indirect">[6]constants!$B$16</definedName>
    <definedName name="VolSyn">[6]constants!$B$22</definedName>
    <definedName name="VS_BeefReplace">#REF!</definedName>
    <definedName name="VS_BeefReplace2">#REF!</definedName>
    <definedName name="VS_BeefReplace3">'[6]VS-CattleNEW'!$A$159:$AF$209</definedName>
    <definedName name="VS_dairycow">[6]Control!$F$39</definedName>
    <definedName name="VS_dairycow3">'[6]VS-CattleNEW'!$A$3:$AF$53</definedName>
    <definedName name="VS_dairyheifer">[6]Control!$F$40</definedName>
    <definedName name="VS_dairyheifer3">'[6]VS-CattleNEW'!$A$55:$AF$105</definedName>
    <definedName name="VS_feedlotheifer">#REF!</definedName>
    <definedName name="VS_feedlotheifer2">#REF!</definedName>
    <definedName name="VS_feedlotheifer3">'[6]VS-CattleNEW'!$A$367:$AF$417</definedName>
    <definedName name="VS_feedlotsteer">#REF!</definedName>
    <definedName name="VS_feedlotsteer2">#REF!</definedName>
    <definedName name="VS_feedlotsteer3">'[6]VS-CattleNEW'!$A$315:$AF$365</definedName>
    <definedName name="VS_NOFcows">#REF!</definedName>
    <definedName name="VS_NOFcows2">#REF!</definedName>
    <definedName name="VS_NOFcows3">'[6]VS-CattleNEW'!$A$107:$AF$157</definedName>
    <definedName name="VS_NOFheifers">#REF!</definedName>
    <definedName name="VS_NOFheifers2">#REF!</definedName>
    <definedName name="VS_NOFheifers3">'[6]VS-CattleNEW'!$A$263:$AF$313</definedName>
    <definedName name="VS_NOFsteers">#REF!</definedName>
    <definedName name="VS_NOFsteers2">#REF!</definedName>
    <definedName name="VS_NOFsteers3">'[6]VS-CattleNEW'!$A$211:$AF$261</definedName>
    <definedName name="VT_mix">#REF!</definedName>
    <definedName name="WasteCapacity">'[1]Manure Mgmt'!$D$8</definedName>
    <definedName name="WellEF">[15]ListData!$H$3:$I$5</definedName>
  </definedNames>
  <calcPr calcId="125725"/>
</workbook>
</file>

<file path=xl/calcChain.xml><?xml version="1.0" encoding="utf-8"?>
<calcChain xmlns="http://schemas.openxmlformats.org/spreadsheetml/2006/main">
  <c r="C134" i="92"/>
  <c r="C135"/>
  <c r="E125"/>
  <c r="E124"/>
  <c r="C17" i="93"/>
  <c r="C13"/>
  <c r="G15249" i="104"/>
  <c r="F15249"/>
  <c r="G15038"/>
  <c r="F15038"/>
  <c r="G14826"/>
  <c r="F14826"/>
  <c r="G14614"/>
  <c r="F14614"/>
  <c r="G14402"/>
  <c r="F14402"/>
  <c r="G14191"/>
  <c r="F14191"/>
  <c r="G13980"/>
  <c r="F13980"/>
  <c r="G13768"/>
  <c r="F13768"/>
  <c r="G13556"/>
  <c r="F13556"/>
  <c r="G13344"/>
  <c r="F13344"/>
  <c r="G13132"/>
  <c r="F13132"/>
  <c r="G12920"/>
  <c r="F12920"/>
  <c r="G12708"/>
  <c r="F12708"/>
  <c r="G12496"/>
  <c r="F12496"/>
  <c r="G12284"/>
  <c r="F12284"/>
  <c r="G12072"/>
  <c r="F12072"/>
  <c r="G11860"/>
  <c r="F11860"/>
  <c r="G11648"/>
  <c r="F11648"/>
  <c r="G11436"/>
  <c r="F11436"/>
  <c r="G11224"/>
  <c r="F11224"/>
  <c r="G11012"/>
  <c r="F11012"/>
  <c r="G10801"/>
  <c r="F10801"/>
  <c r="G10589"/>
  <c r="F10589"/>
  <c r="G10377"/>
  <c r="G15250" s="1"/>
  <c r="F10377"/>
  <c r="F15250" s="1"/>
  <c r="G10160"/>
  <c r="F10160"/>
  <c r="G10135"/>
  <c r="F10135"/>
  <c r="G9898"/>
  <c r="F9898"/>
  <c r="G9825"/>
  <c r="F9825"/>
  <c r="G9704"/>
  <c r="F9704"/>
  <c r="G9631"/>
  <c r="F9631"/>
  <c r="G9534"/>
  <c r="F9534"/>
  <c r="G8597"/>
  <c r="F8597"/>
  <c r="G7948"/>
  <c r="F7948"/>
  <c r="G6387"/>
  <c r="F6387"/>
  <c r="G5762"/>
  <c r="F5762"/>
  <c r="G5689"/>
  <c r="F5689"/>
  <c r="G5081"/>
  <c r="D12" s="1"/>
  <c r="F12" s="1"/>
  <c r="F5081"/>
  <c r="C12" s="1"/>
  <c r="E12" s="1"/>
  <c r="G3616"/>
  <c r="D11" s="1"/>
  <c r="F11" s="1"/>
  <c r="F3616"/>
  <c r="C11" s="1"/>
  <c r="E11" s="1"/>
  <c r="G3567"/>
  <c r="D10" s="1"/>
  <c r="F10" s="1"/>
  <c r="F3567"/>
  <c r="C10" s="1"/>
  <c r="E10" s="1"/>
  <c r="G2798"/>
  <c r="D9" s="1"/>
  <c r="F9" s="1"/>
  <c r="C48" i="93" s="1"/>
  <c r="F2798" i="104"/>
  <c r="C9" s="1"/>
  <c r="E9" s="1"/>
  <c r="C49" i="93" s="1"/>
  <c r="G329" i="104"/>
  <c r="D8" s="1"/>
  <c r="F329"/>
  <c r="C8" s="1"/>
  <c r="O44" i="103"/>
  <c r="T38"/>
  <c r="E39"/>
  <c r="K39"/>
  <c r="E38"/>
  <c r="K38" s="1"/>
  <c r="AA38"/>
  <c r="AC38"/>
  <c r="AE38"/>
  <c r="C44" i="93"/>
  <c r="G34" i="105"/>
  <c r="F34"/>
  <c r="E34"/>
  <c r="D34"/>
  <c r="C52" i="93" s="1"/>
  <c r="C34" i="105"/>
  <c r="C28" i="103"/>
  <c r="AA28"/>
  <c r="AC28" s="1"/>
  <c r="AE28" s="1"/>
  <c r="C61" i="93" s="1"/>
  <c r="C11" i="103"/>
  <c r="C61"/>
  <c r="E61"/>
  <c r="G61"/>
  <c r="C49"/>
  <c r="I49"/>
  <c r="O49" s="1"/>
  <c r="Q49" s="1"/>
  <c r="S49" s="1"/>
  <c r="E27"/>
  <c r="K27" s="1"/>
  <c r="M27" s="1"/>
  <c r="O27" s="1"/>
  <c r="C58" s="1"/>
  <c r="C27"/>
  <c r="E26"/>
  <c r="AA26"/>
  <c r="AC26"/>
  <c r="AE26" s="1"/>
  <c r="E13"/>
  <c r="C39"/>
  <c r="E10"/>
  <c r="E9"/>
  <c r="E8"/>
  <c r="E7"/>
  <c r="E6"/>
  <c r="E5"/>
  <c r="C26" s="1"/>
  <c r="L35" i="105"/>
  <c r="K35"/>
  <c r="H8"/>
  <c r="H32"/>
  <c r="H31"/>
  <c r="H30"/>
  <c r="H29"/>
  <c r="H28"/>
  <c r="H27"/>
  <c r="H26"/>
  <c r="H25"/>
  <c r="H24"/>
  <c r="H23"/>
  <c r="H22"/>
  <c r="H21"/>
  <c r="H20"/>
  <c r="H19"/>
  <c r="H18"/>
  <c r="H17"/>
  <c r="H16"/>
  <c r="H15"/>
  <c r="H14"/>
  <c r="H13"/>
  <c r="H12"/>
  <c r="H11"/>
  <c r="H10"/>
  <c r="H9"/>
  <c r="Y26" i="82"/>
  <c r="C171" i="93"/>
  <c r="C170"/>
  <c r="C168"/>
  <c r="C166"/>
  <c r="W26" i="82"/>
  <c r="AB22"/>
  <c r="AB17"/>
  <c r="C167" i="93"/>
  <c r="AB12" i="82"/>
  <c r="AB26" s="1"/>
  <c r="AA26"/>
  <c r="Z26"/>
  <c r="X26"/>
  <c r="C124" i="92"/>
  <c r="C140"/>
  <c r="C102" i="93"/>
  <c r="C101" s="1"/>
  <c r="K318" i="96"/>
  <c r="K320" s="1"/>
  <c r="K323" s="1"/>
  <c r="C22" i="88"/>
  <c r="C166" i="92"/>
  <c r="D22" i="85"/>
  <c r="W28" i="89"/>
  <c r="W52"/>
  <c r="V52"/>
  <c r="V59" s="1"/>
  <c r="V86" s="1"/>
  <c r="U52"/>
  <c r="U33"/>
  <c r="V28"/>
  <c r="U28"/>
  <c r="U40" s="1"/>
  <c r="F39" i="69"/>
  <c r="F21"/>
  <c r="F10"/>
  <c r="E26" i="70"/>
  <c r="G26" s="1"/>
  <c r="F58" s="1"/>
  <c r="Z49" i="102"/>
  <c r="Z39"/>
  <c r="Z31"/>
  <c r="AB49"/>
  <c r="AB39"/>
  <c r="AB31"/>
  <c r="AA55"/>
  <c r="Z55" s="1"/>
  <c r="AA53"/>
  <c r="Z53" s="1"/>
  <c r="AA51"/>
  <c r="Z51" s="1"/>
  <c r="AA49"/>
  <c r="AA45"/>
  <c r="Z45" s="1"/>
  <c r="AA43"/>
  <c r="Z43" s="1"/>
  <c r="AA41"/>
  <c r="Z41" s="1"/>
  <c r="AA39"/>
  <c r="AA37"/>
  <c r="Z37" s="1"/>
  <c r="AA35"/>
  <c r="Z35" s="1"/>
  <c r="AA33"/>
  <c r="Z33" s="1"/>
  <c r="AA31"/>
  <c r="AA29"/>
  <c r="AB29" s="1"/>
  <c r="AA27"/>
  <c r="Z27" s="1"/>
  <c r="R83" i="101"/>
  <c r="T83"/>
  <c r="R82"/>
  <c r="T82" s="1"/>
  <c r="U82" s="1"/>
  <c r="V82" s="1"/>
  <c r="W82" s="1"/>
  <c r="G82"/>
  <c r="E82"/>
  <c r="R80"/>
  <c r="T80" s="1"/>
  <c r="U80" s="1"/>
  <c r="V80" s="1"/>
  <c r="W80" s="1"/>
  <c r="M80"/>
  <c r="Q80" s="1"/>
  <c r="G80"/>
  <c r="E80"/>
  <c r="R78"/>
  <c r="T78" s="1"/>
  <c r="U78" s="1"/>
  <c r="V78" s="1"/>
  <c r="W78" s="1"/>
  <c r="G78"/>
  <c r="E78"/>
  <c r="R77"/>
  <c r="T77" s="1"/>
  <c r="U77" s="1"/>
  <c r="V77" s="1"/>
  <c r="W77" s="1"/>
  <c r="G77"/>
  <c r="E77"/>
  <c r="R76"/>
  <c r="T76"/>
  <c r="U76" s="1"/>
  <c r="V76" s="1"/>
  <c r="W76" s="1"/>
  <c r="G76"/>
  <c r="R74"/>
  <c r="T74" s="1"/>
  <c r="U74" s="1"/>
  <c r="V74" s="1"/>
  <c r="W74" s="1"/>
  <c r="R73"/>
  <c r="T73" s="1"/>
  <c r="U73" s="1"/>
  <c r="V73" s="1"/>
  <c r="W73" s="1"/>
  <c r="G73"/>
  <c r="E73"/>
  <c r="E72"/>
  <c r="R71"/>
  <c r="T71" s="1"/>
  <c r="U71" s="1"/>
  <c r="V71" s="1"/>
  <c r="W71" s="1"/>
  <c r="G71"/>
  <c r="R70"/>
  <c r="T70" s="1"/>
  <c r="U70" s="1"/>
  <c r="V70" s="1"/>
  <c r="W70" s="1"/>
  <c r="G70"/>
  <c r="R68"/>
  <c r="T68" s="1"/>
  <c r="U68" s="1"/>
  <c r="V68" s="1"/>
  <c r="W68" s="1"/>
  <c r="G68"/>
  <c r="E68"/>
  <c r="R67"/>
  <c r="T67" s="1"/>
  <c r="M67"/>
  <c r="Q67" s="1"/>
  <c r="O67"/>
  <c r="P67" s="1"/>
  <c r="G67"/>
  <c r="E67"/>
  <c r="T66"/>
  <c r="R66"/>
  <c r="M66"/>
  <c r="O66"/>
  <c r="P66"/>
  <c r="G66"/>
  <c r="E66"/>
  <c r="R65"/>
  <c r="T65"/>
  <c r="M65"/>
  <c r="O65" s="1"/>
  <c r="P65" s="1"/>
  <c r="W65" s="1"/>
  <c r="G65"/>
  <c r="E65"/>
  <c r="R62"/>
  <c r="T62"/>
  <c r="M62"/>
  <c r="Q62" s="1"/>
  <c r="U62" s="1"/>
  <c r="V62" s="1"/>
  <c r="D62"/>
  <c r="R61"/>
  <c r="T61" s="1"/>
  <c r="U61" s="1"/>
  <c r="V61" s="1"/>
  <c r="Q61"/>
  <c r="M61"/>
  <c r="O61"/>
  <c r="P61" s="1"/>
  <c r="D61"/>
  <c r="R59"/>
  <c r="T59"/>
  <c r="U59" s="1"/>
  <c r="V59" s="1"/>
  <c r="W59" s="1"/>
  <c r="G59"/>
  <c r="E59"/>
  <c r="R58"/>
  <c r="T58" s="1"/>
  <c r="U58" s="1"/>
  <c r="V58" s="1"/>
  <c r="W58" s="1"/>
  <c r="G58"/>
  <c r="E58"/>
  <c r="R56"/>
  <c r="T56" s="1"/>
  <c r="M56"/>
  <c r="Q56" s="1"/>
  <c r="G56"/>
  <c r="E56"/>
  <c r="K54"/>
  <c r="R54" s="1"/>
  <c r="T54" s="1"/>
  <c r="U54" s="1"/>
  <c r="V54" s="1"/>
  <c r="W54" s="1"/>
  <c r="J54"/>
  <c r="G54"/>
  <c r="E54"/>
  <c r="R52"/>
  <c r="T52" s="1"/>
  <c r="U52" s="1"/>
  <c r="V52" s="1"/>
  <c r="W52" s="1"/>
  <c r="G52"/>
  <c r="E52"/>
  <c r="R51"/>
  <c r="T51" s="1"/>
  <c r="U51" s="1"/>
  <c r="V51" s="1"/>
  <c r="W51" s="1"/>
  <c r="G51"/>
  <c r="E51"/>
  <c r="R49"/>
  <c r="T49" s="1"/>
  <c r="U49" s="1"/>
  <c r="V49" s="1"/>
  <c r="W49" s="1"/>
  <c r="G49"/>
  <c r="E49"/>
  <c r="R48"/>
  <c r="T48"/>
  <c r="M48"/>
  <c r="O48" s="1"/>
  <c r="P48" s="1"/>
  <c r="G48"/>
  <c r="E48"/>
  <c r="R47"/>
  <c r="T47" s="1"/>
  <c r="U47" s="1"/>
  <c r="V47" s="1"/>
  <c r="W47" s="1"/>
  <c r="G47"/>
  <c r="E47"/>
  <c r="R45"/>
  <c r="T45" s="1"/>
  <c r="U45" s="1"/>
  <c r="V45" s="1"/>
  <c r="W45" s="1"/>
  <c r="E45"/>
  <c r="R44"/>
  <c r="T44"/>
  <c r="U44" s="1"/>
  <c r="V44" s="1"/>
  <c r="W44" s="1"/>
  <c r="G44"/>
  <c r="E44"/>
  <c r="R42"/>
  <c r="T42" s="1"/>
  <c r="U42" s="1"/>
  <c r="V42" s="1"/>
  <c r="W42" s="1"/>
  <c r="G42"/>
  <c r="E42"/>
  <c r="K41"/>
  <c r="K85"/>
  <c r="K88" s="1"/>
  <c r="K90" s="1"/>
  <c r="J41"/>
  <c r="J85"/>
  <c r="U110" s="1"/>
  <c r="U112" s="1"/>
  <c r="C152" i="93" s="1"/>
  <c r="G41" i="101"/>
  <c r="E41"/>
  <c r="R39"/>
  <c r="T39" s="1"/>
  <c r="U39" s="1"/>
  <c r="V39" s="1"/>
  <c r="W39" s="1"/>
  <c r="M39"/>
  <c r="O39"/>
  <c r="P39"/>
  <c r="E39"/>
  <c r="R37"/>
  <c r="T37"/>
  <c r="U37"/>
  <c r="V37"/>
  <c r="W37" s="1"/>
  <c r="M37"/>
  <c r="O37"/>
  <c r="P37"/>
  <c r="G37"/>
  <c r="E37"/>
  <c r="R36"/>
  <c r="T36"/>
  <c r="U36" s="1"/>
  <c r="V36" s="1"/>
  <c r="W36" s="1"/>
  <c r="G36"/>
  <c r="E36"/>
  <c r="R34"/>
  <c r="T34" s="1"/>
  <c r="U34" s="1"/>
  <c r="V34" s="1"/>
  <c r="W34" s="1"/>
  <c r="G34"/>
  <c r="E34"/>
  <c r="R33"/>
  <c r="T33"/>
  <c r="U33"/>
  <c r="V33"/>
  <c r="W33" s="1"/>
  <c r="G33"/>
  <c r="E33"/>
  <c r="R31"/>
  <c r="T31" s="1"/>
  <c r="U31" s="1"/>
  <c r="V31" s="1"/>
  <c r="M31"/>
  <c r="Q31"/>
  <c r="G31"/>
  <c r="E31"/>
  <c r="R28"/>
  <c r="T28"/>
  <c r="Q28"/>
  <c r="M28"/>
  <c r="O28"/>
  <c r="P28"/>
  <c r="G28"/>
  <c r="E28"/>
  <c r="R26"/>
  <c r="T26" s="1"/>
  <c r="U26" s="1"/>
  <c r="V26" s="1"/>
  <c r="W26" s="1"/>
  <c r="G26"/>
  <c r="E26"/>
  <c r="R25"/>
  <c r="T25"/>
  <c r="M25"/>
  <c r="O25"/>
  <c r="P25" s="1"/>
  <c r="G25"/>
  <c r="E25"/>
  <c r="R24"/>
  <c r="T24" s="1"/>
  <c r="U24" s="1"/>
  <c r="V24" s="1"/>
  <c r="W24" s="1"/>
  <c r="G24"/>
  <c r="E24"/>
  <c r="R23"/>
  <c r="T23"/>
  <c r="U23" s="1"/>
  <c r="V23" s="1"/>
  <c r="W23" s="1"/>
  <c r="G23"/>
  <c r="E23"/>
  <c r="R21"/>
  <c r="T21" s="1"/>
  <c r="U21" s="1"/>
  <c r="V21" s="1"/>
  <c r="W21" s="1"/>
  <c r="G21"/>
  <c r="E21"/>
  <c r="R20"/>
  <c r="T20"/>
  <c r="M20"/>
  <c r="O20"/>
  <c r="P20" s="1"/>
  <c r="G20"/>
  <c r="E20"/>
  <c r="P55" i="102"/>
  <c r="K55"/>
  <c r="O55" s="1"/>
  <c r="J55"/>
  <c r="N55" s="1"/>
  <c r="I55"/>
  <c r="L55" s="1"/>
  <c r="Q55" s="1"/>
  <c r="C55"/>
  <c r="U55" s="1"/>
  <c r="F55"/>
  <c r="P53"/>
  <c r="K53"/>
  <c r="O53" s="1"/>
  <c r="J53"/>
  <c r="N53" s="1"/>
  <c r="I53"/>
  <c r="M53" s="1"/>
  <c r="F53"/>
  <c r="P51"/>
  <c r="K51"/>
  <c r="O51" s="1"/>
  <c r="J51"/>
  <c r="N51" s="1"/>
  <c r="I51"/>
  <c r="M51" s="1"/>
  <c r="F51"/>
  <c r="P49"/>
  <c r="K49"/>
  <c r="L49" s="1"/>
  <c r="Q49" s="1"/>
  <c r="R49" s="1"/>
  <c r="J49"/>
  <c r="N49" s="1"/>
  <c r="I49"/>
  <c r="M49" s="1"/>
  <c r="F49"/>
  <c r="K45"/>
  <c r="O45" s="1"/>
  <c r="J45"/>
  <c r="N45" s="1"/>
  <c r="I45"/>
  <c r="L45" s="1"/>
  <c r="Q45" s="1"/>
  <c r="F45"/>
  <c r="R45" s="1"/>
  <c r="P43"/>
  <c r="K43"/>
  <c r="O43" s="1"/>
  <c r="J43"/>
  <c r="N43" s="1"/>
  <c r="I43"/>
  <c r="L43" s="1"/>
  <c r="Q43" s="1"/>
  <c r="F43"/>
  <c r="P41"/>
  <c r="K41"/>
  <c r="O41" s="1"/>
  <c r="J41"/>
  <c r="N41" s="1"/>
  <c r="C41"/>
  <c r="U41" s="1"/>
  <c r="P39"/>
  <c r="K39"/>
  <c r="O39" s="1"/>
  <c r="J39"/>
  <c r="N39" s="1"/>
  <c r="I39"/>
  <c r="L39" s="1"/>
  <c r="Q39" s="1"/>
  <c r="R39" s="1"/>
  <c r="F39"/>
  <c r="P37"/>
  <c r="J37"/>
  <c r="N37" s="1"/>
  <c r="E37"/>
  <c r="AB37" s="1"/>
  <c r="C37"/>
  <c r="U37" s="1"/>
  <c r="F37"/>
  <c r="P35"/>
  <c r="K35"/>
  <c r="O35" s="1"/>
  <c r="J35"/>
  <c r="N35" s="1"/>
  <c r="I35"/>
  <c r="L35" s="1"/>
  <c r="Q35" s="1"/>
  <c r="R35" s="1"/>
  <c r="C35"/>
  <c r="U35" s="1"/>
  <c r="F35"/>
  <c r="P33"/>
  <c r="K33"/>
  <c r="O33" s="1"/>
  <c r="J33"/>
  <c r="N33" s="1"/>
  <c r="I33"/>
  <c r="M33" s="1"/>
  <c r="F33"/>
  <c r="P31"/>
  <c r="K31"/>
  <c r="O31" s="1"/>
  <c r="J31"/>
  <c r="N31" s="1"/>
  <c r="I31"/>
  <c r="L31" s="1"/>
  <c r="Q31" s="1"/>
  <c r="F31"/>
  <c r="R31" s="1"/>
  <c r="P29"/>
  <c r="K29"/>
  <c r="O29" s="1"/>
  <c r="I29"/>
  <c r="M29" s="1"/>
  <c r="D29"/>
  <c r="V29" s="1"/>
  <c r="F29"/>
  <c r="K27"/>
  <c r="O27" s="1"/>
  <c r="J27"/>
  <c r="N27" s="1"/>
  <c r="L27"/>
  <c r="Q27" s="1"/>
  <c r="R27" s="1"/>
  <c r="I27"/>
  <c r="M27" s="1"/>
  <c r="F27"/>
  <c r="G7"/>
  <c r="Y49" s="1"/>
  <c r="Q39" i="101"/>
  <c r="R41"/>
  <c r="T41"/>
  <c r="U41" s="1"/>
  <c r="V41" s="1"/>
  <c r="Q66"/>
  <c r="Q37"/>
  <c r="M41"/>
  <c r="O41" s="1"/>
  <c r="P41" s="1"/>
  <c r="W41" s="1"/>
  <c r="U66"/>
  <c r="V66"/>
  <c r="W66" s="1"/>
  <c r="U28"/>
  <c r="V28"/>
  <c r="W28"/>
  <c r="Q48"/>
  <c r="U48"/>
  <c r="V48" s="1"/>
  <c r="U83"/>
  <c r="V83"/>
  <c r="W83"/>
  <c r="U20"/>
  <c r="V20" s="1"/>
  <c r="Q20"/>
  <c r="Q25"/>
  <c r="U25" s="1"/>
  <c r="V25" s="1"/>
  <c r="W25" s="1"/>
  <c r="Q65"/>
  <c r="U65" s="1"/>
  <c r="V65" s="1"/>
  <c r="O31"/>
  <c r="P31" s="1"/>
  <c r="W31" s="1"/>
  <c r="O62"/>
  <c r="P62"/>
  <c r="W62" s="1"/>
  <c r="O80"/>
  <c r="P80"/>
  <c r="J29" i="102"/>
  <c r="N29" s="1"/>
  <c r="L33"/>
  <c r="Q33"/>
  <c r="R33" s="1"/>
  <c r="K37"/>
  <c r="O37" s="1"/>
  <c r="F41"/>
  <c r="R41" s="1"/>
  <c r="L53"/>
  <c r="Q53" s="1"/>
  <c r="R53" s="1"/>
  <c r="L29"/>
  <c r="Q29"/>
  <c r="R29" s="1"/>
  <c r="I37"/>
  <c r="M37" s="1"/>
  <c r="I41"/>
  <c r="M41" s="1"/>
  <c r="Q41" i="101"/>
  <c r="L41" i="102"/>
  <c r="Q41"/>
  <c r="L37"/>
  <c r="Q37"/>
  <c r="R37"/>
  <c r="X37" s="1"/>
  <c r="L419" i="100"/>
  <c r="K419"/>
  <c r="J419"/>
  <c r="F419"/>
  <c r="D505"/>
  <c r="D503"/>
  <c r="D501"/>
  <c r="M419"/>
  <c r="D486" s="1"/>
  <c r="E486" s="1"/>
  <c r="G486" s="1"/>
  <c r="L421"/>
  <c r="C465"/>
  <c r="C486" s="1"/>
  <c r="C505" s="1"/>
  <c r="M299"/>
  <c r="D484" s="1"/>
  <c r="E484" s="1"/>
  <c r="G484" s="1"/>
  <c r="E503" s="1"/>
  <c r="L299"/>
  <c r="L301" s="1"/>
  <c r="K299"/>
  <c r="J299"/>
  <c r="C463" s="1"/>
  <c r="C484" s="1"/>
  <c r="C503" s="1"/>
  <c r="F299"/>
  <c r="J266"/>
  <c r="C461" s="1"/>
  <c r="C482" s="1"/>
  <c r="C501" s="1"/>
  <c r="M266"/>
  <c r="M268" s="1"/>
  <c r="L266"/>
  <c r="D461" s="1"/>
  <c r="E461" s="1"/>
  <c r="G461" s="1"/>
  <c r="F501" s="1"/>
  <c r="K266"/>
  <c r="K268" s="1"/>
  <c r="F266"/>
  <c r="J74"/>
  <c r="C459" s="1"/>
  <c r="C480" s="1"/>
  <c r="C499" s="1"/>
  <c r="M74"/>
  <c r="D480" s="1"/>
  <c r="E480" s="1"/>
  <c r="G480" s="1"/>
  <c r="E499" s="1"/>
  <c r="L74"/>
  <c r="D459" s="1"/>
  <c r="E459" s="1"/>
  <c r="G459" s="1"/>
  <c r="F499" s="1"/>
  <c r="K74"/>
  <c r="D439" s="1"/>
  <c r="F74"/>
  <c r="G70" i="75"/>
  <c r="K19" i="97"/>
  <c r="D16"/>
  <c r="E16"/>
  <c r="H14"/>
  <c r="H16" s="1"/>
  <c r="F14"/>
  <c r="F16" s="1"/>
  <c r="I70" i="75"/>
  <c r="H70"/>
  <c r="H65"/>
  <c r="G65"/>
  <c r="G53"/>
  <c r="G72" s="1"/>
  <c r="I18"/>
  <c r="H18"/>
  <c r="H20"/>
  <c r="H28" s="1"/>
  <c r="G35"/>
  <c r="G28"/>
  <c r="G39"/>
  <c r="G12"/>
  <c r="G18"/>
  <c r="T9" i="72"/>
  <c r="S9"/>
  <c r="R9"/>
  <c r="Q9"/>
  <c r="F21"/>
  <c r="C23"/>
  <c r="J296" i="96"/>
  <c r="J297"/>
  <c r="F246"/>
  <c r="F248"/>
  <c r="F247"/>
  <c r="F245"/>
  <c r="J249"/>
  <c r="F214"/>
  <c r="K214"/>
  <c r="M178"/>
  <c r="L178"/>
  <c r="J102"/>
  <c r="M20"/>
  <c r="L24"/>
  <c r="F124"/>
  <c r="J124"/>
  <c r="J271"/>
  <c r="J270"/>
  <c r="J269"/>
  <c r="J268"/>
  <c r="J275"/>
  <c r="J274"/>
  <c r="J272"/>
  <c r="M36"/>
  <c r="M31"/>
  <c r="L36"/>
  <c r="L31"/>
  <c r="J34"/>
  <c r="J35"/>
  <c r="J30"/>
  <c r="J29"/>
  <c r="J154"/>
  <c r="F139"/>
  <c r="J139"/>
  <c r="V26" i="82"/>
  <c r="G6" i="92"/>
  <c r="I6" s="1"/>
  <c r="G7"/>
  <c r="I7" s="1"/>
  <c r="K7" s="1"/>
  <c r="M7" s="1"/>
  <c r="G8"/>
  <c r="I8" s="1"/>
  <c r="K8" s="1"/>
  <c r="M8" s="1"/>
  <c r="G9"/>
  <c r="I9" s="1"/>
  <c r="K9" s="1"/>
  <c r="M9" s="1"/>
  <c r="G11"/>
  <c r="I11" s="1"/>
  <c r="K11" s="1"/>
  <c r="M11" s="1"/>
  <c r="G12"/>
  <c r="I12" s="1"/>
  <c r="K12" s="1"/>
  <c r="M12" s="1"/>
  <c r="G13"/>
  <c r="I13" s="1"/>
  <c r="K13" s="1"/>
  <c r="M13" s="1"/>
  <c r="G14"/>
  <c r="I14" s="1"/>
  <c r="K14" s="1"/>
  <c r="M14" s="1"/>
  <c r="G15"/>
  <c r="I15" s="1"/>
  <c r="K15" s="1"/>
  <c r="M15" s="1"/>
  <c r="G16"/>
  <c r="I16" s="1"/>
  <c r="K16" s="1"/>
  <c r="M16" s="1"/>
  <c r="G17"/>
  <c r="I17" s="1"/>
  <c r="K17" s="1"/>
  <c r="M17" s="1"/>
  <c r="G18"/>
  <c r="I18" s="1"/>
  <c r="K18" s="1"/>
  <c r="M18" s="1"/>
  <c r="G19"/>
  <c r="I19" s="1"/>
  <c r="K19" s="1"/>
  <c r="M19" s="1"/>
  <c r="G21"/>
  <c r="I21" s="1"/>
  <c r="K21" s="1"/>
  <c r="M21" s="1"/>
  <c r="G22"/>
  <c r="I22" s="1"/>
  <c r="K22" s="1"/>
  <c r="M22" s="1"/>
  <c r="G23"/>
  <c r="I23" s="1"/>
  <c r="K23" s="1"/>
  <c r="M23" s="1"/>
  <c r="G24"/>
  <c r="I24" s="1"/>
  <c r="K24" s="1"/>
  <c r="M24" s="1"/>
  <c r="I32"/>
  <c r="O32" s="1"/>
  <c r="I33"/>
  <c r="O33" s="1"/>
  <c r="I35"/>
  <c r="O35" s="1"/>
  <c r="Q35" s="1"/>
  <c r="S35" s="1"/>
  <c r="U35" s="1"/>
  <c r="W35" s="1"/>
  <c r="I36"/>
  <c r="O36" s="1"/>
  <c r="Q36" s="1"/>
  <c r="S36" s="1"/>
  <c r="U36" s="1"/>
  <c r="W36" s="1"/>
  <c r="I37"/>
  <c r="O37" s="1"/>
  <c r="Q37" s="1"/>
  <c r="S37" s="1"/>
  <c r="U37" s="1"/>
  <c r="W37" s="1"/>
  <c r="I38"/>
  <c r="O38" s="1"/>
  <c r="Q38" s="1"/>
  <c r="S38" s="1"/>
  <c r="U38" s="1"/>
  <c r="W38" s="1"/>
  <c r="I39"/>
  <c r="O39" s="1"/>
  <c r="Q39" s="1"/>
  <c r="S39" s="1"/>
  <c r="U39" s="1"/>
  <c r="W39" s="1"/>
  <c r="I40"/>
  <c r="O40" s="1"/>
  <c r="Q40" s="1"/>
  <c r="S40" s="1"/>
  <c r="U40" s="1"/>
  <c r="W40" s="1"/>
  <c r="I41"/>
  <c r="O41" s="1"/>
  <c r="Q41" s="1"/>
  <c r="S41" s="1"/>
  <c r="U41" s="1"/>
  <c r="W41" s="1"/>
  <c r="I42"/>
  <c r="O42" s="1"/>
  <c r="Q42" s="1"/>
  <c r="S42" s="1"/>
  <c r="U42" s="1"/>
  <c r="W42" s="1"/>
  <c r="I44"/>
  <c r="O44" s="1"/>
  <c r="Q44" s="1"/>
  <c r="S44" s="1"/>
  <c r="U44" s="1"/>
  <c r="W44" s="1"/>
  <c r="I45"/>
  <c r="O45" s="1"/>
  <c r="Q45" s="1"/>
  <c r="S45" s="1"/>
  <c r="U45" s="1"/>
  <c r="W45" s="1"/>
  <c r="I46"/>
  <c r="O46" s="1"/>
  <c r="Q46" s="1"/>
  <c r="S46" s="1"/>
  <c r="U46" s="1"/>
  <c r="W46" s="1"/>
  <c r="I47"/>
  <c r="O47" s="1"/>
  <c r="Q47" s="1"/>
  <c r="S47" s="1"/>
  <c r="U47" s="1"/>
  <c r="W47" s="1"/>
  <c r="I48"/>
  <c r="O48" s="1"/>
  <c r="Q48" s="1"/>
  <c r="S48" s="1"/>
  <c r="U48" s="1"/>
  <c r="W48" s="1"/>
  <c r="I51"/>
  <c r="O51" s="1"/>
  <c r="Q51" s="1"/>
  <c r="S51" s="1"/>
  <c r="U51" s="1"/>
  <c r="W51" s="1"/>
  <c r="I52"/>
  <c r="O52" s="1"/>
  <c r="Q52" s="1"/>
  <c r="S52" s="1"/>
  <c r="U52" s="1"/>
  <c r="W52" s="1"/>
  <c r="I53"/>
  <c r="O53" s="1"/>
  <c r="I54"/>
  <c r="O54" s="1"/>
  <c r="Q54" s="1"/>
  <c r="S54" s="1"/>
  <c r="U54" s="1"/>
  <c r="W54" s="1"/>
  <c r="I55"/>
  <c r="O55" s="1"/>
  <c r="Q55" s="1"/>
  <c r="S55" s="1"/>
  <c r="U55" s="1"/>
  <c r="W55" s="1"/>
  <c r="I57"/>
  <c r="O57" s="1"/>
  <c r="Q57" s="1"/>
  <c r="S57" s="1"/>
  <c r="U57" s="1"/>
  <c r="W57" s="1"/>
  <c r="I58"/>
  <c r="O58" s="1"/>
  <c r="Q58" s="1"/>
  <c r="S58" s="1"/>
  <c r="U58" s="1"/>
  <c r="W58" s="1"/>
  <c r="I59"/>
  <c r="O59" s="1"/>
  <c r="Q59" s="1"/>
  <c r="S59" s="1"/>
  <c r="U59" s="1"/>
  <c r="W59" s="1"/>
  <c r="I60"/>
  <c r="O60" s="1"/>
  <c r="Q60" s="1"/>
  <c r="S60" s="1"/>
  <c r="U60" s="1"/>
  <c r="W60" s="1"/>
  <c r="Q68"/>
  <c r="S68" s="1"/>
  <c r="U68" s="1"/>
  <c r="Q69"/>
  <c r="S69"/>
  <c r="U69" s="1"/>
  <c r="Q71"/>
  <c r="S71" s="1"/>
  <c r="U71" s="1"/>
  <c r="Q72"/>
  <c r="S72"/>
  <c r="U72" s="1"/>
  <c r="Q74"/>
  <c r="S74" s="1"/>
  <c r="U74" s="1"/>
  <c r="Q75"/>
  <c r="S75"/>
  <c r="U75" s="1"/>
  <c r="Q76"/>
  <c r="S76" s="1"/>
  <c r="U76" s="1"/>
  <c r="Q77"/>
  <c r="S77"/>
  <c r="U77" s="1"/>
  <c r="Q78"/>
  <c r="S78" s="1"/>
  <c r="U78" s="1"/>
  <c r="Q81"/>
  <c r="S81"/>
  <c r="U81" s="1"/>
  <c r="Q82"/>
  <c r="S82" s="1"/>
  <c r="U82" s="1"/>
  <c r="Q83"/>
  <c r="S83"/>
  <c r="U83" s="1"/>
  <c r="Q84"/>
  <c r="S84" s="1"/>
  <c r="U84" s="1"/>
  <c r="Q85"/>
  <c r="S85"/>
  <c r="U85" s="1"/>
  <c r="Q87"/>
  <c r="S87" s="1"/>
  <c r="U87" s="1"/>
  <c r="Q88"/>
  <c r="S88"/>
  <c r="U88" s="1"/>
  <c r="K96"/>
  <c r="W96" s="1"/>
  <c r="K97"/>
  <c r="S97" s="1"/>
  <c r="K98"/>
  <c r="S98" s="1"/>
  <c r="K99"/>
  <c r="S99" s="1"/>
  <c r="K100"/>
  <c r="S100" s="1"/>
  <c r="K101"/>
  <c r="S101" s="1"/>
  <c r="K102"/>
  <c r="S102" s="1"/>
  <c r="K103"/>
  <c r="S103" s="1"/>
  <c r="K104"/>
  <c r="S104" s="1"/>
  <c r="K105"/>
  <c r="S105" s="1"/>
  <c r="K106"/>
  <c r="S106" s="1"/>
  <c r="W106"/>
  <c r="K107"/>
  <c r="S107" s="1"/>
  <c r="W107"/>
  <c r="K108"/>
  <c r="S108" s="1"/>
  <c r="K109"/>
  <c r="S109"/>
  <c r="W109"/>
  <c r="K110"/>
  <c r="S110" s="1"/>
  <c r="W110"/>
  <c r="K111"/>
  <c r="S111" s="1"/>
  <c r="W111"/>
  <c r="K112"/>
  <c r="W112" s="1"/>
  <c r="K113"/>
  <c r="W113" s="1"/>
  <c r="K114"/>
  <c r="W114" s="1"/>
  <c r="K115"/>
  <c r="W115" s="1"/>
  <c r="K116"/>
  <c r="W116" s="1"/>
  <c r="Q124"/>
  <c r="U124" s="1"/>
  <c r="Y124" s="1"/>
  <c r="E126"/>
  <c r="E127"/>
  <c r="E128"/>
  <c r="E129"/>
  <c r="E130"/>
  <c r="E131"/>
  <c r="E132"/>
  <c r="I157"/>
  <c r="M157"/>
  <c r="O157"/>
  <c r="Q157"/>
  <c r="U157"/>
  <c r="AQ157"/>
  <c r="M158"/>
  <c r="I158"/>
  <c r="K158"/>
  <c r="O158"/>
  <c r="U158"/>
  <c r="Q158"/>
  <c r="S158"/>
  <c r="I160"/>
  <c r="K160"/>
  <c r="M160"/>
  <c r="S160"/>
  <c r="I161"/>
  <c r="K161"/>
  <c r="M161"/>
  <c r="S161"/>
  <c r="I162"/>
  <c r="K162"/>
  <c r="O162"/>
  <c r="U162"/>
  <c r="I163"/>
  <c r="K163"/>
  <c r="O163"/>
  <c r="U163"/>
  <c r="I164"/>
  <c r="K164"/>
  <c r="O164"/>
  <c r="U164"/>
  <c r="I165"/>
  <c r="K165"/>
  <c r="O165"/>
  <c r="U165"/>
  <c r="I166"/>
  <c r="K166"/>
  <c r="O166"/>
  <c r="U166"/>
  <c r="I168"/>
  <c r="K168"/>
  <c r="M168"/>
  <c r="S168"/>
  <c r="O168"/>
  <c r="U168"/>
  <c r="I169"/>
  <c r="K169"/>
  <c r="M169"/>
  <c r="S169"/>
  <c r="O169"/>
  <c r="U169"/>
  <c r="I170"/>
  <c r="K170"/>
  <c r="M170"/>
  <c r="S170"/>
  <c r="O170"/>
  <c r="U170"/>
  <c r="I171"/>
  <c r="K171"/>
  <c r="M171"/>
  <c r="S171"/>
  <c r="O171"/>
  <c r="U171"/>
  <c r="I172"/>
  <c r="K172"/>
  <c r="M172"/>
  <c r="O172"/>
  <c r="U172" s="1"/>
  <c r="S172"/>
  <c r="I175"/>
  <c r="K175"/>
  <c r="M175"/>
  <c r="S175"/>
  <c r="I176"/>
  <c r="K176"/>
  <c r="M176"/>
  <c r="S176"/>
  <c r="I177"/>
  <c r="K177"/>
  <c r="M177"/>
  <c r="S177"/>
  <c r="I178"/>
  <c r="K178"/>
  <c r="M178"/>
  <c r="S178"/>
  <c r="I179"/>
  <c r="K179"/>
  <c r="M179"/>
  <c r="S179"/>
  <c r="O179"/>
  <c r="U179"/>
  <c r="I181"/>
  <c r="K181"/>
  <c r="M181"/>
  <c r="O181"/>
  <c r="S181"/>
  <c r="U181"/>
  <c r="I182"/>
  <c r="K182"/>
  <c r="M182"/>
  <c r="S182"/>
  <c r="O182"/>
  <c r="U182"/>
  <c r="I183"/>
  <c r="K183"/>
  <c r="O183"/>
  <c r="U183"/>
  <c r="I184"/>
  <c r="K184"/>
  <c r="O184"/>
  <c r="U184"/>
  <c r="I199"/>
  <c r="W199"/>
  <c r="I200"/>
  <c r="W200"/>
  <c r="Y200" s="1"/>
  <c r="AA200" s="1"/>
  <c r="AC200" s="1"/>
  <c r="I201"/>
  <c r="W201" s="1"/>
  <c r="Y201" s="1"/>
  <c r="AA201" s="1"/>
  <c r="AC201" s="1"/>
  <c r="W202"/>
  <c r="Y202"/>
  <c r="AA202" s="1"/>
  <c r="AC202" s="1"/>
  <c r="I203"/>
  <c r="W203"/>
  <c r="Y203" s="1"/>
  <c r="AA203" s="1"/>
  <c r="AC203" s="1"/>
  <c r="I204"/>
  <c r="W204" s="1"/>
  <c r="Y204" s="1"/>
  <c r="AA204" s="1"/>
  <c r="AC204" s="1"/>
  <c r="I205"/>
  <c r="W205"/>
  <c r="Y205" s="1"/>
  <c r="AA205" s="1"/>
  <c r="AC205" s="1"/>
  <c r="I206"/>
  <c r="W206" s="1"/>
  <c r="Y206" s="1"/>
  <c r="AA206" s="1"/>
  <c r="AC206" s="1"/>
  <c r="I207"/>
  <c r="W207"/>
  <c r="Y207" s="1"/>
  <c r="AA207" s="1"/>
  <c r="AC207" s="1"/>
  <c r="I214"/>
  <c r="W214" s="1"/>
  <c r="I215"/>
  <c r="W215" s="1"/>
  <c r="Y215" s="1"/>
  <c r="AA215" s="1"/>
  <c r="AC215" s="1"/>
  <c r="I216"/>
  <c r="W216"/>
  <c r="Y216" s="1"/>
  <c r="AA216" s="1"/>
  <c r="AC216" s="1"/>
  <c r="W217"/>
  <c r="Y217" s="1"/>
  <c r="AA217" s="1"/>
  <c r="AC217" s="1"/>
  <c r="I218"/>
  <c r="W218" s="1"/>
  <c r="Y218" s="1"/>
  <c r="AA218" s="1"/>
  <c r="AC218" s="1"/>
  <c r="I219"/>
  <c r="W219"/>
  <c r="Y219" s="1"/>
  <c r="AA219" s="1"/>
  <c r="AC219" s="1"/>
  <c r="I220"/>
  <c r="W220" s="1"/>
  <c r="Y220" s="1"/>
  <c r="AA220" s="1"/>
  <c r="AC220" s="1"/>
  <c r="I221"/>
  <c r="W221"/>
  <c r="Y221" s="1"/>
  <c r="AA221" s="1"/>
  <c r="AC221" s="1"/>
  <c r="I222"/>
  <c r="W222" s="1"/>
  <c r="Y222" s="1"/>
  <c r="AA222" s="1"/>
  <c r="AC222" s="1"/>
  <c r="E234"/>
  <c r="E242"/>
  <c r="C245"/>
  <c r="E245"/>
  <c r="C257"/>
  <c r="O5" i="88"/>
  <c r="U5"/>
  <c r="K10"/>
  <c r="S10" s="1"/>
  <c r="U10" s="1"/>
  <c r="O10"/>
  <c r="Q10"/>
  <c r="M16"/>
  <c r="Q16"/>
  <c r="W16"/>
  <c r="AC16"/>
  <c r="AE16"/>
  <c r="O22"/>
  <c r="S22" s="1"/>
  <c r="Y22" s="1"/>
  <c r="AA22" s="1"/>
  <c r="C35" s="1"/>
  <c r="C33" s="1"/>
  <c r="W22"/>
  <c r="C32"/>
  <c r="J6" i="78"/>
  <c r="L6" s="1"/>
  <c r="N6" s="1"/>
  <c r="D20" s="1"/>
  <c r="H9"/>
  <c r="L9"/>
  <c r="H13"/>
  <c r="H15"/>
  <c r="J15" s="1"/>
  <c r="L15" s="1"/>
  <c r="D21"/>
  <c r="H28"/>
  <c r="J28"/>
  <c r="C62" s="1"/>
  <c r="C61" s="1"/>
  <c r="L28"/>
  <c r="C48" s="1"/>
  <c r="H29"/>
  <c r="C56"/>
  <c r="J29"/>
  <c r="L29"/>
  <c r="C39" s="1"/>
  <c r="H30"/>
  <c r="J30"/>
  <c r="C64"/>
  <c r="L30"/>
  <c r="C38"/>
  <c r="C37" s="1"/>
  <c r="C40"/>
  <c r="C50"/>
  <c r="C55"/>
  <c r="C57"/>
  <c r="C63"/>
  <c r="E8" i="86"/>
  <c r="F8"/>
  <c r="F10" s="1"/>
  <c r="F9"/>
  <c r="E25"/>
  <c r="F25"/>
  <c r="E26"/>
  <c r="F26"/>
  <c r="E27"/>
  <c r="F27"/>
  <c r="E28"/>
  <c r="F28"/>
  <c r="E31"/>
  <c r="F31"/>
  <c r="E32"/>
  <c r="F32"/>
  <c r="E33"/>
  <c r="F33" s="1"/>
  <c r="E48"/>
  <c r="F48"/>
  <c r="C49"/>
  <c r="E49"/>
  <c r="C50"/>
  <c r="E50"/>
  <c r="F50" s="1"/>
  <c r="H70"/>
  <c r="I70"/>
  <c r="J70"/>
  <c r="C72"/>
  <c r="F9" i="72"/>
  <c r="AC9" s="1"/>
  <c r="M9"/>
  <c r="U9"/>
  <c r="S13"/>
  <c r="C13"/>
  <c r="C26" s="1"/>
  <c r="C27" s="1"/>
  <c r="D13"/>
  <c r="E13"/>
  <c r="E32" s="1"/>
  <c r="E33" s="1"/>
  <c r="E17"/>
  <c r="E19" s="1"/>
  <c r="J13"/>
  <c r="J17"/>
  <c r="J19"/>
  <c r="K13"/>
  <c r="K26" s="1"/>
  <c r="L13"/>
  <c r="L32"/>
  <c r="L33" s="1"/>
  <c r="Q13"/>
  <c r="T13"/>
  <c r="T32"/>
  <c r="T33" s="1"/>
  <c r="Y13"/>
  <c r="J21"/>
  <c r="K21"/>
  <c r="L21"/>
  <c r="Q21"/>
  <c r="R21"/>
  <c r="S21"/>
  <c r="T21"/>
  <c r="Y21"/>
  <c r="D23"/>
  <c r="F23" s="1"/>
  <c r="E23"/>
  <c r="M23"/>
  <c r="U23"/>
  <c r="F29"/>
  <c r="M29"/>
  <c r="U29"/>
  <c r="F35"/>
  <c r="AC35" s="1"/>
  <c r="C150" i="93" s="1"/>
  <c r="M35" i="72"/>
  <c r="U35"/>
  <c r="I20" i="75"/>
  <c r="H53"/>
  <c r="H61" s="1"/>
  <c r="I53"/>
  <c r="I72" s="1"/>
  <c r="H74"/>
  <c r="I74"/>
  <c r="G76"/>
  <c r="H76"/>
  <c r="J5" i="85"/>
  <c r="J6"/>
  <c r="H6" s="1"/>
  <c r="J7"/>
  <c r="H7" s="1"/>
  <c r="J11"/>
  <c r="H11" s="1"/>
  <c r="J12"/>
  <c r="H12" s="1"/>
  <c r="H16"/>
  <c r="L16"/>
  <c r="J16"/>
  <c r="L17"/>
  <c r="J17"/>
  <c r="L22"/>
  <c r="H27"/>
  <c r="J27" s="1"/>
  <c r="L27" s="1"/>
  <c r="D54" s="1"/>
  <c r="C112" i="93" s="1"/>
  <c r="C109" s="1"/>
  <c r="J32" i="85"/>
  <c r="L32"/>
  <c r="D56" s="1"/>
  <c r="D50" s="1"/>
  <c r="D47"/>
  <c r="F8" i="69"/>
  <c r="I8"/>
  <c r="J8" s="1"/>
  <c r="F9"/>
  <c r="I9"/>
  <c r="J9"/>
  <c r="I10"/>
  <c r="J10" s="1"/>
  <c r="E102" s="1"/>
  <c r="F11"/>
  <c r="I11" s="1"/>
  <c r="J11" s="1"/>
  <c r="F12"/>
  <c r="I12" s="1"/>
  <c r="J12" s="1"/>
  <c r="F13"/>
  <c r="I13"/>
  <c r="J13" s="1"/>
  <c r="E105" s="1"/>
  <c r="F14"/>
  <c r="I14" s="1"/>
  <c r="J14" s="1"/>
  <c r="F15"/>
  <c r="I15"/>
  <c r="J15" s="1"/>
  <c r="F16"/>
  <c r="I16"/>
  <c r="J16"/>
  <c r="E108" s="1"/>
  <c r="F17"/>
  <c r="I17"/>
  <c r="J17" s="1"/>
  <c r="E109" s="1"/>
  <c r="F18"/>
  <c r="I18" s="1"/>
  <c r="J18" s="1"/>
  <c r="E110" s="1"/>
  <c r="F19"/>
  <c r="I19" s="1"/>
  <c r="J19" s="1"/>
  <c r="E111" s="1"/>
  <c r="F20"/>
  <c r="I20"/>
  <c r="J20"/>
  <c r="I21"/>
  <c r="J21" s="1"/>
  <c r="E113" s="1"/>
  <c r="H113" s="1"/>
  <c r="F22"/>
  <c r="I22" s="1"/>
  <c r="J22" s="1"/>
  <c r="F23"/>
  <c r="I23" s="1"/>
  <c r="J23" s="1"/>
  <c r="F24"/>
  <c r="I24"/>
  <c r="J24" s="1"/>
  <c r="E116" s="1"/>
  <c r="F25"/>
  <c r="I25" s="1"/>
  <c r="J25" s="1"/>
  <c r="F26"/>
  <c r="I26"/>
  <c r="J26" s="1"/>
  <c r="E118" s="1"/>
  <c r="F27"/>
  <c r="I27" s="1"/>
  <c r="J27" s="1"/>
  <c r="F28"/>
  <c r="I28"/>
  <c r="J28" s="1"/>
  <c r="E120" s="1"/>
  <c r="H120" s="1"/>
  <c r="F29"/>
  <c r="I29" s="1"/>
  <c r="J29" s="1"/>
  <c r="E121" s="1"/>
  <c r="F38"/>
  <c r="H38" s="1"/>
  <c r="H39"/>
  <c r="G101" s="1"/>
  <c r="F40"/>
  <c r="H40" s="1"/>
  <c r="G102" s="1"/>
  <c r="F41"/>
  <c r="H41"/>
  <c r="F42"/>
  <c r="H42" s="1"/>
  <c r="F43"/>
  <c r="H43" s="1"/>
  <c r="G105" s="1"/>
  <c r="F44"/>
  <c r="H44" s="1"/>
  <c r="F45"/>
  <c r="H45"/>
  <c r="F46"/>
  <c r="H46" s="1"/>
  <c r="G108" s="1"/>
  <c r="F47"/>
  <c r="H47" s="1"/>
  <c r="G109" s="1"/>
  <c r="F48"/>
  <c r="H48" s="1"/>
  <c r="G110" s="1"/>
  <c r="F49"/>
  <c r="H49"/>
  <c r="G111" s="1"/>
  <c r="F50"/>
  <c r="H50" s="1"/>
  <c r="F51"/>
  <c r="H51"/>
  <c r="F52"/>
  <c r="H52" s="1"/>
  <c r="F53"/>
  <c r="H53"/>
  <c r="F54"/>
  <c r="H54" s="1"/>
  <c r="G116" s="1"/>
  <c r="F55"/>
  <c r="H55"/>
  <c r="F56"/>
  <c r="H56" s="1"/>
  <c r="G118" s="1"/>
  <c r="F57"/>
  <c r="H57"/>
  <c r="F58"/>
  <c r="H58" s="1"/>
  <c r="F59"/>
  <c r="H59" s="1"/>
  <c r="G121" s="1"/>
  <c r="F60"/>
  <c r="H60" s="1"/>
  <c r="G122" s="1"/>
  <c r="C41" i="93" s="1"/>
  <c r="F69" i="69"/>
  <c r="H69"/>
  <c r="F70"/>
  <c r="H70" s="1"/>
  <c r="F71"/>
  <c r="H71" s="1"/>
  <c r="F102" s="1"/>
  <c r="F72"/>
  <c r="H72" s="1"/>
  <c r="F73"/>
  <c r="H73"/>
  <c r="F74"/>
  <c r="H74" s="1"/>
  <c r="F105" s="1"/>
  <c r="F75"/>
  <c r="H75"/>
  <c r="F76"/>
  <c r="H76" s="1"/>
  <c r="F77"/>
  <c r="H77"/>
  <c r="F108" s="1"/>
  <c r="F78"/>
  <c r="H78" s="1"/>
  <c r="F109" s="1"/>
  <c r="F79"/>
  <c r="H79" s="1"/>
  <c r="F110" s="1"/>
  <c r="F80"/>
  <c r="H80" s="1"/>
  <c r="F111" s="1"/>
  <c r="F81"/>
  <c r="H81" s="1"/>
  <c r="F82"/>
  <c r="H82" s="1"/>
  <c r="F83"/>
  <c r="H83" s="1"/>
  <c r="F84"/>
  <c r="H84"/>
  <c r="F85"/>
  <c r="H85" s="1"/>
  <c r="F116" s="1"/>
  <c r="F86"/>
  <c r="H86"/>
  <c r="F87"/>
  <c r="H87" s="1"/>
  <c r="F118" s="1"/>
  <c r="F88"/>
  <c r="H88" s="1"/>
  <c r="F89"/>
  <c r="H89" s="1"/>
  <c r="F90"/>
  <c r="H90" s="1"/>
  <c r="F121" s="1"/>
  <c r="F91"/>
  <c r="H91" s="1"/>
  <c r="F122" s="1"/>
  <c r="H100"/>
  <c r="H103"/>
  <c r="H104"/>
  <c r="H106"/>
  <c r="H107"/>
  <c r="H112"/>
  <c r="H114"/>
  <c r="H115"/>
  <c r="H117"/>
  <c r="H119"/>
  <c r="F8" i="70"/>
  <c r="G8" s="1"/>
  <c r="F9"/>
  <c r="G9"/>
  <c r="D55" s="1"/>
  <c r="G55" s="1"/>
  <c r="F10"/>
  <c r="G10"/>
  <c r="D56"/>
  <c r="F11"/>
  <c r="G11" s="1"/>
  <c r="D57" s="1"/>
  <c r="G57" s="1"/>
  <c r="F12"/>
  <c r="G12" s="1"/>
  <c r="D58" s="1"/>
  <c r="F13"/>
  <c r="G13"/>
  <c r="D59" s="1"/>
  <c r="G59" s="1"/>
  <c r="F14"/>
  <c r="G14"/>
  <c r="D60"/>
  <c r="E22"/>
  <c r="G22" s="1"/>
  <c r="E23"/>
  <c r="G23"/>
  <c r="F55" s="1"/>
  <c r="E24"/>
  <c r="G24"/>
  <c r="F56"/>
  <c r="E25"/>
  <c r="G25" s="1"/>
  <c r="F57" s="1"/>
  <c r="E27"/>
  <c r="G27" s="1"/>
  <c r="F59" s="1"/>
  <c r="E28"/>
  <c r="G28"/>
  <c r="F60" s="1"/>
  <c r="G60" s="1"/>
  <c r="E29"/>
  <c r="G29"/>
  <c r="F61"/>
  <c r="E37"/>
  <c r="G37" s="1"/>
  <c r="E38"/>
  <c r="G38"/>
  <c r="E55" s="1"/>
  <c r="E39"/>
  <c r="G39"/>
  <c r="E56"/>
  <c r="E40"/>
  <c r="G40" s="1"/>
  <c r="E57" s="1"/>
  <c r="E41"/>
  <c r="G41" s="1"/>
  <c r="E58" s="1"/>
  <c r="E42"/>
  <c r="G42"/>
  <c r="E59" s="1"/>
  <c r="E43"/>
  <c r="G43"/>
  <c r="E60"/>
  <c r="E44"/>
  <c r="G44" s="1"/>
  <c r="E61" s="1"/>
  <c r="G61" s="1"/>
  <c r="F7" i="71"/>
  <c r="G7" s="1"/>
  <c r="F8"/>
  <c r="G8" s="1"/>
  <c r="C47" s="1"/>
  <c r="F9"/>
  <c r="G9"/>
  <c r="C48"/>
  <c r="F10"/>
  <c r="G10" s="1"/>
  <c r="C49" s="1"/>
  <c r="F11"/>
  <c r="G11" s="1"/>
  <c r="C50" s="1"/>
  <c r="E18"/>
  <c r="G18"/>
  <c r="D46" s="1"/>
  <c r="E19"/>
  <c r="G19"/>
  <c r="E20"/>
  <c r="G20" s="1"/>
  <c r="E21"/>
  <c r="G21"/>
  <c r="D49" s="1"/>
  <c r="E22"/>
  <c r="G22"/>
  <c r="D50"/>
  <c r="E23"/>
  <c r="G23"/>
  <c r="D51"/>
  <c r="E31"/>
  <c r="G31" s="1"/>
  <c r="E32"/>
  <c r="G32"/>
  <c r="E33"/>
  <c r="G33" s="1"/>
  <c r="E48" s="1"/>
  <c r="E34"/>
  <c r="G34" s="1"/>
  <c r="E49" s="1"/>
  <c r="E35"/>
  <c r="G35"/>
  <c r="E50" s="1"/>
  <c r="E36"/>
  <c r="G36"/>
  <c r="E51"/>
  <c r="C40" i="93" s="1"/>
  <c r="R28" i="89"/>
  <c r="R40" s="1"/>
  <c r="T28"/>
  <c r="C33"/>
  <c r="C40" s="1"/>
  <c r="D33"/>
  <c r="D40"/>
  <c r="E33"/>
  <c r="E40" s="1"/>
  <c r="F33"/>
  <c r="G33"/>
  <c r="G40"/>
  <c r="H33"/>
  <c r="H40" s="1"/>
  <c r="I33"/>
  <c r="I40"/>
  <c r="J33"/>
  <c r="J40" s="1"/>
  <c r="K33"/>
  <c r="K40"/>
  <c r="L33"/>
  <c r="L40" s="1"/>
  <c r="M33"/>
  <c r="M40"/>
  <c r="N33"/>
  <c r="O33"/>
  <c r="O40"/>
  <c r="P33"/>
  <c r="P40" s="1"/>
  <c r="Q33"/>
  <c r="Q40"/>
  <c r="R33"/>
  <c r="S33"/>
  <c r="S40"/>
  <c r="F40"/>
  <c r="N40"/>
  <c r="R51"/>
  <c r="S51"/>
  <c r="C52"/>
  <c r="C59"/>
  <c r="C86" s="1"/>
  <c r="D52"/>
  <c r="D59" s="1"/>
  <c r="D86" s="1"/>
  <c r="E52"/>
  <c r="E59"/>
  <c r="E86" s="1"/>
  <c r="F52"/>
  <c r="F59" s="1"/>
  <c r="F86" s="1"/>
  <c r="G52"/>
  <c r="G59" s="1"/>
  <c r="G86" s="1"/>
  <c r="H52"/>
  <c r="H59"/>
  <c r="H86" s="1"/>
  <c r="I52"/>
  <c r="I59" s="1"/>
  <c r="I86" s="1"/>
  <c r="J52"/>
  <c r="J59"/>
  <c r="J86" s="1"/>
  <c r="K52"/>
  <c r="K59" s="1"/>
  <c r="K86" s="1"/>
  <c r="L52"/>
  <c r="L59"/>
  <c r="L86" s="1"/>
  <c r="M52"/>
  <c r="N52"/>
  <c r="N59"/>
  <c r="N86" s="1"/>
  <c r="O52"/>
  <c r="O59" s="1"/>
  <c r="O86" s="1"/>
  <c r="P52"/>
  <c r="P59" s="1"/>
  <c r="P86" s="1"/>
  <c r="Q52"/>
  <c r="Q59"/>
  <c r="Q86" s="1"/>
  <c r="R52"/>
  <c r="S52"/>
  <c r="S59"/>
  <c r="S86" s="1"/>
  <c r="T52"/>
  <c r="M59"/>
  <c r="M86" s="1"/>
  <c r="N70"/>
  <c r="J8" i="96"/>
  <c r="J11"/>
  <c r="J13"/>
  <c r="J18"/>
  <c r="K18"/>
  <c r="J19"/>
  <c r="L20"/>
  <c r="J22"/>
  <c r="J23"/>
  <c r="M24"/>
  <c r="J28"/>
  <c r="K30" s="1"/>
  <c r="J33"/>
  <c r="J38"/>
  <c r="J40"/>
  <c r="J42"/>
  <c r="J46"/>
  <c r="M46" s="1"/>
  <c r="J47"/>
  <c r="M47" s="1"/>
  <c r="J48"/>
  <c r="M48" s="1"/>
  <c r="J49"/>
  <c r="K49" s="1"/>
  <c r="J52"/>
  <c r="J53"/>
  <c r="J54"/>
  <c r="L54" s="1"/>
  <c r="L56" s="1"/>
  <c r="J55"/>
  <c r="J58"/>
  <c r="M58" s="1"/>
  <c r="M61" s="1"/>
  <c r="J59"/>
  <c r="M59" s="1"/>
  <c r="J60"/>
  <c r="K60"/>
  <c r="J63"/>
  <c r="M63" s="1"/>
  <c r="M66" s="1"/>
  <c r="J64"/>
  <c r="J65"/>
  <c r="K65" s="1"/>
  <c r="J68"/>
  <c r="M68" s="1"/>
  <c r="L70"/>
  <c r="M70"/>
  <c r="J72"/>
  <c r="K72" s="1"/>
  <c r="J73"/>
  <c r="M73" s="1"/>
  <c r="J76"/>
  <c r="L76" s="1"/>
  <c r="L78" s="1"/>
  <c r="J78"/>
  <c r="J77"/>
  <c r="J80"/>
  <c r="J81"/>
  <c r="L81"/>
  <c r="J84"/>
  <c r="J85"/>
  <c r="L85"/>
  <c r="J88"/>
  <c r="L88" s="1"/>
  <c r="J89"/>
  <c r="L89"/>
  <c r="J90"/>
  <c r="M90" s="1"/>
  <c r="J95"/>
  <c r="L95"/>
  <c r="L97" s="1"/>
  <c r="J96"/>
  <c r="J103"/>
  <c r="L104"/>
  <c r="M104"/>
  <c r="J106"/>
  <c r="J108" s="1"/>
  <c r="J107"/>
  <c r="K107" s="1"/>
  <c r="L108"/>
  <c r="M108"/>
  <c r="J110"/>
  <c r="J112" s="1"/>
  <c r="J111"/>
  <c r="L112"/>
  <c r="M112"/>
  <c r="J114"/>
  <c r="K114" s="1"/>
  <c r="J115"/>
  <c r="L116"/>
  <c r="M116"/>
  <c r="J118"/>
  <c r="F123"/>
  <c r="J123"/>
  <c r="J125" s="1"/>
  <c r="F127"/>
  <c r="J127"/>
  <c r="F129"/>
  <c r="J129" s="1"/>
  <c r="F131"/>
  <c r="J131"/>
  <c r="F133"/>
  <c r="J133" s="1"/>
  <c r="F141"/>
  <c r="J141"/>
  <c r="F143"/>
  <c r="J143" s="1"/>
  <c r="F145"/>
  <c r="J145"/>
  <c r="J150"/>
  <c r="J152" s="1"/>
  <c r="J151"/>
  <c r="L152"/>
  <c r="M152"/>
  <c r="J156"/>
  <c r="F161"/>
  <c r="J161"/>
  <c r="J166"/>
  <c r="L166" s="1"/>
  <c r="L168" s="1"/>
  <c r="J167"/>
  <c r="L167"/>
  <c r="J170"/>
  <c r="J172" s="1"/>
  <c r="M170"/>
  <c r="J171"/>
  <c r="M171" s="1"/>
  <c r="M172" s="1"/>
  <c r="J174"/>
  <c r="L174"/>
  <c r="L176" s="1"/>
  <c r="J175"/>
  <c r="M175"/>
  <c r="J178"/>
  <c r="J183"/>
  <c r="L183" s="1"/>
  <c r="L185" s="1"/>
  <c r="J184"/>
  <c r="M184" s="1"/>
  <c r="J187"/>
  <c r="M187" s="1"/>
  <c r="M189" s="1"/>
  <c r="L187"/>
  <c r="J188"/>
  <c r="M188" s="1"/>
  <c r="J195"/>
  <c r="J196"/>
  <c r="J199"/>
  <c r="J200"/>
  <c r="J203"/>
  <c r="J204"/>
  <c r="J205"/>
  <c r="J206"/>
  <c r="J207"/>
  <c r="J208"/>
  <c r="J209"/>
  <c r="F215"/>
  <c r="K215"/>
  <c r="L215"/>
  <c r="J216"/>
  <c r="F218"/>
  <c r="K218"/>
  <c r="F219"/>
  <c r="K219"/>
  <c r="J220"/>
  <c r="F225"/>
  <c r="J225"/>
  <c r="F226"/>
  <c r="J226"/>
  <c r="F227"/>
  <c r="J227"/>
  <c r="F228"/>
  <c r="J228"/>
  <c r="F229"/>
  <c r="J229"/>
  <c r="F230"/>
  <c r="J230"/>
  <c r="F231"/>
  <c r="J231"/>
  <c r="F232"/>
  <c r="J232"/>
  <c r="F237"/>
  <c r="J237"/>
  <c r="F238"/>
  <c r="J238"/>
  <c r="F239"/>
  <c r="J239"/>
  <c r="F240"/>
  <c r="J240"/>
  <c r="J254"/>
  <c r="J255"/>
  <c r="J256"/>
  <c r="J257"/>
  <c r="J258"/>
  <c r="J259"/>
  <c r="J260"/>
  <c r="J261"/>
  <c r="J262"/>
  <c r="J263"/>
  <c r="J273"/>
  <c r="J281"/>
  <c r="J280"/>
  <c r="J282"/>
  <c r="J283"/>
  <c r="J288"/>
  <c r="J289"/>
  <c r="O292"/>
  <c r="J290"/>
  <c r="J291"/>
  <c r="J298"/>
  <c r="J299"/>
  <c r="J300"/>
  <c r="J301"/>
  <c r="J302"/>
  <c r="J303"/>
  <c r="J307"/>
  <c r="F311"/>
  <c r="J311" s="1"/>
  <c r="G16" i="97"/>
  <c r="K20"/>
  <c r="K21"/>
  <c r="K23"/>
  <c r="K24"/>
  <c r="K25"/>
  <c r="K27"/>
  <c r="K28"/>
  <c r="K29"/>
  <c r="C39" i="93"/>
  <c r="C77"/>
  <c r="C79"/>
  <c r="C80"/>
  <c r="C113"/>
  <c r="C121"/>
  <c r="C143"/>
  <c r="C142" s="1"/>
  <c r="C158"/>
  <c r="C160"/>
  <c r="C159" s="1"/>
  <c r="C176"/>
  <c r="B181"/>
  <c r="B182"/>
  <c r="B183"/>
  <c r="B184"/>
  <c r="C184"/>
  <c r="J31" i="96"/>
  <c r="M65"/>
  <c r="L219"/>
  <c r="J9"/>
  <c r="K85"/>
  <c r="M85" s="1"/>
  <c r="M86" s="1"/>
  <c r="L59"/>
  <c r="L58"/>
  <c r="L61"/>
  <c r="J116"/>
  <c r="L90"/>
  <c r="K73"/>
  <c r="K29"/>
  <c r="M81"/>
  <c r="M82" s="1"/>
  <c r="M80"/>
  <c r="M55"/>
  <c r="M54"/>
  <c r="L49"/>
  <c r="L47"/>
  <c r="L50" s="1"/>
  <c r="K28"/>
  <c r="M77"/>
  <c r="K111"/>
  <c r="K59"/>
  <c r="L63"/>
  <c r="K115"/>
  <c r="M76"/>
  <c r="M78" s="1"/>
  <c r="J20"/>
  <c r="J61"/>
  <c r="K54"/>
  <c r="J24"/>
  <c r="M183"/>
  <c r="M185" s="1"/>
  <c r="K19"/>
  <c r="K64"/>
  <c r="L170"/>
  <c r="L172"/>
  <c r="K77"/>
  <c r="K55"/>
  <c r="L52"/>
  <c r="M167"/>
  <c r="K53"/>
  <c r="K96"/>
  <c r="K52"/>
  <c r="L46"/>
  <c r="K33"/>
  <c r="L64"/>
  <c r="M52"/>
  <c r="M56" s="1"/>
  <c r="M64"/>
  <c r="L218"/>
  <c r="M218"/>
  <c r="K102"/>
  <c r="L171"/>
  <c r="L77"/>
  <c r="J50"/>
  <c r="K35"/>
  <c r="K47"/>
  <c r="L68"/>
  <c r="L55"/>
  <c r="L53"/>
  <c r="M166"/>
  <c r="J36"/>
  <c r="L48"/>
  <c r="J56"/>
  <c r="K23"/>
  <c r="M53"/>
  <c r="K46"/>
  <c r="K63"/>
  <c r="K80"/>
  <c r="L72"/>
  <c r="L74" s="1"/>
  <c r="L214"/>
  <c r="L73"/>
  <c r="L96"/>
  <c r="M88"/>
  <c r="J74"/>
  <c r="M84"/>
  <c r="J201"/>
  <c r="K199" s="1"/>
  <c r="J189"/>
  <c r="K188"/>
  <c r="M96"/>
  <c r="L84"/>
  <c r="L80"/>
  <c r="L82" s="1"/>
  <c r="M60"/>
  <c r="L175"/>
  <c r="L184"/>
  <c r="M174"/>
  <c r="M176"/>
  <c r="J197"/>
  <c r="K195" s="1"/>
  <c r="K34"/>
  <c r="K76"/>
  <c r="K22"/>
  <c r="J66"/>
  <c r="L60"/>
  <c r="M72"/>
  <c r="M74" s="1"/>
  <c r="J185"/>
  <c r="K184" s="1"/>
  <c r="M168"/>
  <c r="M195"/>
  <c r="L195"/>
  <c r="M200"/>
  <c r="K183"/>
  <c r="Q26" i="72"/>
  <c r="Q27"/>
  <c r="K32"/>
  <c r="K33" s="1"/>
  <c r="K17"/>
  <c r="K19"/>
  <c r="J32"/>
  <c r="J33" s="1"/>
  <c r="M33" s="1"/>
  <c r="J26"/>
  <c r="S26"/>
  <c r="S27" s="1"/>
  <c r="S32"/>
  <c r="S33"/>
  <c r="S17"/>
  <c r="S19" s="1"/>
  <c r="T26"/>
  <c r="T27"/>
  <c r="L26"/>
  <c r="AC13"/>
  <c r="AC17" s="1"/>
  <c r="AC19" s="1"/>
  <c r="AC32"/>
  <c r="AC33" s="1"/>
  <c r="T17"/>
  <c r="T19"/>
  <c r="L17"/>
  <c r="L19" s="1"/>
  <c r="C17"/>
  <c r="C19"/>
  <c r="R13"/>
  <c r="R26" s="1"/>
  <c r="R27" s="1"/>
  <c r="U27" s="1"/>
  <c r="E26"/>
  <c r="E27"/>
  <c r="D17"/>
  <c r="D19" s="1"/>
  <c r="F19" s="1"/>
  <c r="L123" i="96"/>
  <c r="M123"/>
  <c r="K123"/>
  <c r="L124"/>
  <c r="M124"/>
  <c r="M219"/>
  <c r="M49"/>
  <c r="J104"/>
  <c r="K103"/>
  <c r="K196"/>
  <c r="M196"/>
  <c r="AC26" i="72"/>
  <c r="AC27"/>
  <c r="G33" i="75"/>
  <c r="G22"/>
  <c r="G37" s="1"/>
  <c r="I28"/>
  <c r="I39"/>
  <c r="I35"/>
  <c r="I33"/>
  <c r="H33"/>
  <c r="H35"/>
  <c r="H39"/>
  <c r="D55" i="97"/>
  <c r="D39"/>
  <c r="D51"/>
  <c r="D64"/>
  <c r="D70" s="1"/>
  <c r="D68"/>
  <c r="D41"/>
  <c r="D66"/>
  <c r="D53"/>
  <c r="I16"/>
  <c r="F21"/>
  <c r="F19"/>
  <c r="H23"/>
  <c r="F24"/>
  <c r="D25"/>
  <c r="F27"/>
  <c r="D28"/>
  <c r="H28"/>
  <c r="E19"/>
  <c r="G20"/>
  <c r="E51" s="1"/>
  <c r="E21"/>
  <c r="E24"/>
  <c r="G25"/>
  <c r="E27"/>
  <c r="E29"/>
  <c r="H19"/>
  <c r="F20"/>
  <c r="H21"/>
  <c r="F23"/>
  <c r="D24"/>
  <c r="F25"/>
  <c r="D27"/>
  <c r="H27"/>
  <c r="E41" s="1"/>
  <c r="F41" s="1"/>
  <c r="G41" s="1"/>
  <c r="D29"/>
  <c r="H29"/>
  <c r="G19"/>
  <c r="G21"/>
  <c r="E23"/>
  <c r="G24"/>
  <c r="G27"/>
  <c r="E28"/>
  <c r="G29"/>
  <c r="R59" i="89"/>
  <c r="R86"/>
  <c r="T59"/>
  <c r="T86" s="1"/>
  <c r="J22" i="85"/>
  <c r="D51"/>
  <c r="L86" i="96"/>
  <c r="M214"/>
  <c r="M215"/>
  <c r="M8"/>
  <c r="K7"/>
  <c r="L7"/>
  <c r="L8"/>
  <c r="M7"/>
  <c r="K8"/>
  <c r="Q32" i="92"/>
  <c r="H20" i="97"/>
  <c r="E25"/>
  <c r="E66" s="1"/>
  <c r="F66" s="1"/>
  <c r="G66" s="1"/>
  <c r="E20"/>
  <c r="F28"/>
  <c r="H24"/>
  <c r="D21"/>
  <c r="E64" s="1"/>
  <c r="G28"/>
  <c r="G23"/>
  <c r="C19" i="93"/>
  <c r="F29" i="97"/>
  <c r="H25"/>
  <c r="D57"/>
  <c r="K124" i="96"/>
  <c r="J176"/>
  <c r="K187"/>
  <c r="K48"/>
  <c r="K81"/>
  <c r="K95"/>
  <c r="M95"/>
  <c r="M97" s="1"/>
  <c r="M89"/>
  <c r="K106"/>
  <c r="K84"/>
  <c r="J97"/>
  <c r="K70" i="86"/>
  <c r="C87"/>
  <c r="C54" i="78"/>
  <c r="Y16" i="88"/>
  <c r="AG16" s="1"/>
  <c r="AK16" s="1"/>
  <c r="H5" i="85"/>
  <c r="D43"/>
  <c r="C94" i="93" s="1"/>
  <c r="C93" s="1"/>
  <c r="Y32" i="72"/>
  <c r="Y33" s="1"/>
  <c r="Y29" s="1"/>
  <c r="AC29" s="1"/>
  <c r="C149" i="93" s="1"/>
  <c r="C147" s="1"/>
  <c r="Y17" i="72"/>
  <c r="Y19" s="1"/>
  <c r="Q17"/>
  <c r="Q19"/>
  <c r="Q32"/>
  <c r="Q33"/>
  <c r="J86" i="96"/>
  <c r="J82"/>
  <c r="E34" i="86"/>
  <c r="W5" i="88"/>
  <c r="Y5" s="1"/>
  <c r="C31" s="1"/>
  <c r="O185" i="92"/>
  <c r="D19" i="97"/>
  <c r="K157" i="92"/>
  <c r="AC23" i="72"/>
  <c r="C148" i="93" s="1"/>
  <c r="D32" i="72"/>
  <c r="D33" s="1"/>
  <c r="D26"/>
  <c r="D27"/>
  <c r="F27"/>
  <c r="M185" i="92"/>
  <c r="S157"/>
  <c r="C32" i="72"/>
  <c r="C33"/>
  <c r="F33" s="1"/>
  <c r="D20" i="97"/>
  <c r="D37"/>
  <c r="D43"/>
  <c r="D23"/>
  <c r="K174" i="96"/>
  <c r="K175"/>
  <c r="E53" i="97"/>
  <c r="F53" s="1"/>
  <c r="G53" s="1"/>
  <c r="E68"/>
  <c r="F68"/>
  <c r="G68" s="1"/>
  <c r="E55"/>
  <c r="F55" s="1"/>
  <c r="G55" s="1"/>
  <c r="S32" i="92"/>
  <c r="U32" s="1"/>
  <c r="C108" i="93"/>
  <c r="C105" s="1"/>
  <c r="D482" i="100"/>
  <c r="E482" s="1"/>
  <c r="G482" s="1"/>
  <c r="D441"/>
  <c r="E441" s="1"/>
  <c r="F441" s="1"/>
  <c r="G441" s="1"/>
  <c r="M76"/>
  <c r="K301"/>
  <c r="M301"/>
  <c r="D463"/>
  <c r="E463" s="1"/>
  <c r="G463" s="1"/>
  <c r="C439"/>
  <c r="L76"/>
  <c r="K421"/>
  <c r="D443"/>
  <c r="E443" s="1"/>
  <c r="F443" s="1"/>
  <c r="G443" s="1"/>
  <c r="E505"/>
  <c r="C443"/>
  <c r="M421"/>
  <c r="D465"/>
  <c r="E465" s="1"/>
  <c r="G465" s="1"/>
  <c r="F505" s="1"/>
  <c r="G505" s="1"/>
  <c r="F51" i="71"/>
  <c r="W59" i="89"/>
  <c r="X62" s="1"/>
  <c r="W86"/>
  <c r="W33"/>
  <c r="W40"/>
  <c r="J13" i="78"/>
  <c r="L13"/>
  <c r="D44" i="85"/>
  <c r="C98" i="93" s="1"/>
  <c r="C97" s="1"/>
  <c r="G25" i="92"/>
  <c r="Q33"/>
  <c r="S33" s="1"/>
  <c r="I25"/>
  <c r="C240" s="1"/>
  <c r="K6"/>
  <c r="M6" s="1"/>
  <c r="M25" s="1"/>
  <c r="S185"/>
  <c r="I185"/>
  <c r="W161" s="1"/>
  <c r="W162" s="1"/>
  <c r="O191" s="1"/>
  <c r="K185"/>
  <c r="G189"/>
  <c r="C258" s="1"/>
  <c r="U185"/>
  <c r="G191" s="1"/>
  <c r="I191" s="1"/>
  <c r="K191" s="1"/>
  <c r="Q185"/>
  <c r="W224"/>
  <c r="Y214"/>
  <c r="W209"/>
  <c r="Y199"/>
  <c r="W105"/>
  <c r="S117"/>
  <c r="AA96"/>
  <c r="C252" s="1"/>
  <c r="K117"/>
  <c r="Q53"/>
  <c r="O61"/>
  <c r="I189"/>
  <c r="K189"/>
  <c r="Y224"/>
  <c r="C247"/>
  <c r="E247" s="1"/>
  <c r="C141" i="93" s="1"/>
  <c r="AA214" i="92"/>
  <c r="AA224" s="1"/>
  <c r="Y209"/>
  <c r="C243" s="1"/>
  <c r="E243" s="1"/>
  <c r="C140" i="93" s="1"/>
  <c r="AA199" i="92"/>
  <c r="AC96"/>
  <c r="AE96" s="1"/>
  <c r="S53"/>
  <c r="Q61"/>
  <c r="AC214"/>
  <c r="AC224"/>
  <c r="AC199"/>
  <c r="AC209" s="1"/>
  <c r="C235" s="1"/>
  <c r="E235" s="1"/>
  <c r="AA209"/>
  <c r="U53"/>
  <c r="W53" s="1"/>
  <c r="E51" i="86"/>
  <c r="F49"/>
  <c r="F51"/>
  <c r="C85" s="1"/>
  <c r="F34"/>
  <c r="C86" s="1"/>
  <c r="C84"/>
  <c r="C83" s="1"/>
  <c r="K124" i="92"/>
  <c r="W158"/>
  <c r="D45" i="85"/>
  <c r="C118" i="93" s="1"/>
  <c r="C117" s="1"/>
  <c r="F72" i="89"/>
  <c r="F76"/>
  <c r="F78" s="1"/>
  <c r="K72"/>
  <c r="G72"/>
  <c r="I72"/>
  <c r="M72"/>
  <c r="C72"/>
  <c r="C76" s="1"/>
  <c r="N72"/>
  <c r="H72"/>
  <c r="H76" s="1"/>
  <c r="H78" s="1"/>
  <c r="I64"/>
  <c r="E72"/>
  <c r="E76" s="1"/>
  <c r="E78" s="1"/>
  <c r="J72"/>
  <c r="J76" s="1"/>
  <c r="J78" s="1"/>
  <c r="D72"/>
  <c r="L72"/>
  <c r="C55" i="105"/>
  <c r="G55" s="1"/>
  <c r="I55" s="1"/>
  <c r="K55" s="1"/>
  <c r="T28" i="103"/>
  <c r="V28"/>
  <c r="X28" s="1"/>
  <c r="C62" i="93" s="1"/>
  <c r="K36" i="105"/>
  <c r="C56"/>
  <c r="L36"/>
  <c r="T26" i="103"/>
  <c r="V26" s="1"/>
  <c r="X26" s="1"/>
  <c r="N56" i="105"/>
  <c r="P56" s="1"/>
  <c r="R56" s="1"/>
  <c r="C45" i="93" s="1"/>
  <c r="G56" i="105"/>
  <c r="I56" s="1"/>
  <c r="K56" s="1"/>
  <c r="C46" i="93" s="1"/>
  <c r="K26" i="103"/>
  <c r="M26" s="1"/>
  <c r="O26" s="1"/>
  <c r="E28"/>
  <c r="K28"/>
  <c r="M28" s="1"/>
  <c r="O28" s="1"/>
  <c r="C60" i="93" s="1"/>
  <c r="M39" i="103"/>
  <c r="O39" s="1"/>
  <c r="C59" s="1"/>
  <c r="AA27"/>
  <c r="AC27"/>
  <c r="AE27" s="1"/>
  <c r="I61"/>
  <c r="V38"/>
  <c r="X38" s="1"/>
  <c r="M38"/>
  <c r="O38" s="1"/>
  <c r="O40" s="1"/>
  <c r="AA39"/>
  <c r="AC39"/>
  <c r="AE39" s="1"/>
  <c r="T39"/>
  <c r="V39"/>
  <c r="X39" s="1"/>
  <c r="E57"/>
  <c r="T27"/>
  <c r="V27" s="1"/>
  <c r="X27" s="1"/>
  <c r="G58" s="1"/>
  <c r="E101" i="69"/>
  <c r="G56" i="70"/>
  <c r="E47" i="71"/>
  <c r="D47"/>
  <c r="H17" i="78"/>
  <c r="L17"/>
  <c r="D22"/>
  <c r="D19"/>
  <c r="C36"/>
  <c r="C86" i="93" s="1"/>
  <c r="C84" s="1"/>
  <c r="J17" i="78"/>
  <c r="C46"/>
  <c r="C60"/>
  <c r="C53"/>
  <c r="H108" i="69" l="1"/>
  <c r="H121"/>
  <c r="H116"/>
  <c r="H111"/>
  <c r="C441" i="100"/>
  <c r="K76"/>
  <c r="D445"/>
  <c r="E439"/>
  <c r="F439" s="1"/>
  <c r="G439" s="1"/>
  <c r="D499"/>
  <c r="G499" s="1"/>
  <c r="C43" i="93"/>
  <c r="C38"/>
  <c r="AE40" i="103"/>
  <c r="C65" i="93" s="1"/>
  <c r="E59" i="103"/>
  <c r="C157" i="93"/>
  <c r="C155" s="1"/>
  <c r="S39" i="88"/>
  <c r="C38"/>
  <c r="C64" i="93"/>
  <c r="C60" i="103"/>
  <c r="I60" s="1"/>
  <c r="C72" i="93"/>
  <c r="C57" i="103"/>
  <c r="O29"/>
  <c r="E240" i="92"/>
  <c r="G488" i="100"/>
  <c r="E501"/>
  <c r="G37" i="71"/>
  <c r="E46"/>
  <c r="C46"/>
  <c r="G12"/>
  <c r="D54" i="70"/>
  <c r="G15"/>
  <c r="M50" i="96"/>
  <c r="C32" i="93"/>
  <c r="H109" i="69"/>
  <c r="H105"/>
  <c r="H102"/>
  <c r="J30"/>
  <c r="G468" i="100"/>
  <c r="F503"/>
  <c r="AE29" i="103"/>
  <c r="E60" s="1"/>
  <c r="C73" i="93"/>
  <c r="E58" i="103"/>
  <c r="C74" i="93"/>
  <c r="G57" i="103"/>
  <c r="X29"/>
  <c r="G60" s="1"/>
  <c r="C231" i="92"/>
  <c r="C128" i="93"/>
  <c r="C126" s="1"/>
  <c r="W32" i="92"/>
  <c r="E70" i="97"/>
  <c r="F64"/>
  <c r="K150" i="96"/>
  <c r="K151"/>
  <c r="C31" i="93"/>
  <c r="F49" i="71"/>
  <c r="F47"/>
  <c r="C35" i="93"/>
  <c r="G30" i="70"/>
  <c r="F54"/>
  <c r="C29" i="93" s="1"/>
  <c r="F101" i="69"/>
  <c r="H101" s="1"/>
  <c r="H92"/>
  <c r="G445" i="100"/>
  <c r="M318" i="96"/>
  <c r="M320" s="1"/>
  <c r="M323" s="1"/>
  <c r="C33" i="93"/>
  <c r="H122" i="69"/>
  <c r="H118"/>
  <c r="H110"/>
  <c r="G45" i="70"/>
  <c r="E54"/>
  <c r="F50" i="71"/>
  <c r="H61" i="69"/>
  <c r="F51" i="97"/>
  <c r="E57"/>
  <c r="X40" i="103"/>
  <c r="C66" i="93" s="1"/>
  <c r="G59" i="103"/>
  <c r="C54" i="93"/>
  <c r="K57" i="105"/>
  <c r="N76" i="89"/>
  <c r="C78"/>
  <c r="N78" s="1"/>
  <c r="C261" i="92"/>
  <c r="Q191"/>
  <c r="S191" s="1"/>
  <c r="U33"/>
  <c r="W33" s="1"/>
  <c r="S61"/>
  <c r="C241" s="1"/>
  <c r="E241" s="1"/>
  <c r="K171" i="96"/>
  <c r="K170"/>
  <c r="G24" i="71"/>
  <c r="D48"/>
  <c r="I59" i="103"/>
  <c r="C138" i="93"/>
  <c r="C36"/>
  <c r="G58" i="70"/>
  <c r="E133" i="92"/>
  <c r="E135" s="1"/>
  <c r="C125"/>
  <c r="S33" i="102"/>
  <c r="T33" s="1"/>
  <c r="X33"/>
  <c r="K92" i="101"/>
  <c r="K94" s="1"/>
  <c r="K97" s="1"/>
  <c r="D13" i="104"/>
  <c r="F8"/>
  <c r="C68" i="93" s="1"/>
  <c r="C78"/>
  <c r="K25" i="92"/>
  <c r="D468" i="100"/>
  <c r="L199" i="96"/>
  <c r="L200"/>
  <c r="L196"/>
  <c r="M199"/>
  <c r="L188"/>
  <c r="L189" s="1"/>
  <c r="L318" s="1"/>
  <c r="L320" s="1"/>
  <c r="L323" s="1"/>
  <c r="K110"/>
  <c r="K58"/>
  <c r="C16" i="93"/>
  <c r="N58" i="102"/>
  <c r="W48" i="101"/>
  <c r="W61"/>
  <c r="U67"/>
  <c r="V67" s="1"/>
  <c r="C56" i="93"/>
  <c r="T33" i="89"/>
  <c r="T40" s="1"/>
  <c r="S29" i="102"/>
  <c r="T29" s="1"/>
  <c r="X29"/>
  <c r="X27"/>
  <c r="S27"/>
  <c r="T27" s="1"/>
  <c r="X31"/>
  <c r="S31"/>
  <c r="T31" s="1"/>
  <c r="X35"/>
  <c r="S35"/>
  <c r="T35" s="1"/>
  <c r="C13" i="104"/>
  <c r="E8"/>
  <c r="N55" i="105"/>
  <c r="P55" s="1"/>
  <c r="R55" s="1"/>
  <c r="G190" i="92"/>
  <c r="C12" i="93"/>
  <c r="R17" i="72"/>
  <c r="R19" s="1"/>
  <c r="U19" s="1"/>
  <c r="E39" i="97"/>
  <c r="F39" s="1"/>
  <c r="G39" s="1"/>
  <c r="K200" i="96"/>
  <c r="J168"/>
  <c r="L65"/>
  <c r="L66" s="1"/>
  <c r="U56" i="101"/>
  <c r="V56" s="1"/>
  <c r="X41" i="102"/>
  <c r="S41"/>
  <c r="T41" s="1"/>
  <c r="X45"/>
  <c r="S45"/>
  <c r="T45" s="1"/>
  <c r="C14" i="93"/>
  <c r="C18"/>
  <c r="W67" i="101"/>
  <c r="X53" i="102"/>
  <c r="S53"/>
  <c r="T53" s="1"/>
  <c r="S39"/>
  <c r="T39" s="1"/>
  <c r="X39"/>
  <c r="S49"/>
  <c r="T49" s="1"/>
  <c r="X49"/>
  <c r="W20" i="101"/>
  <c r="D40" i="85"/>
  <c r="D57" s="1"/>
  <c r="E37" i="97"/>
  <c r="R32" i="72"/>
  <c r="R33" s="1"/>
  <c r="R43" i="102"/>
  <c r="R55"/>
  <c r="U94" i="101"/>
  <c r="U96" s="1"/>
  <c r="I61" i="75"/>
  <c r="I65" s="1"/>
  <c r="I76" s="1"/>
  <c r="H72"/>
  <c r="W108" i="92"/>
  <c r="W117" s="1"/>
  <c r="AA97" s="1"/>
  <c r="Q89"/>
  <c r="S89" s="1"/>
  <c r="U89" s="1"/>
  <c r="C133" i="93" s="1"/>
  <c r="M31" i="102"/>
  <c r="M58" s="1"/>
  <c r="O88" i="101" s="1"/>
  <c r="O90" s="1"/>
  <c r="M39" i="102"/>
  <c r="O49"/>
  <c r="O58" s="1"/>
  <c r="U31"/>
  <c r="U39"/>
  <c r="U49"/>
  <c r="V27"/>
  <c r="V35"/>
  <c r="V43"/>
  <c r="V53"/>
  <c r="W31"/>
  <c r="W39"/>
  <c r="W49"/>
  <c r="AB33"/>
  <c r="AB41"/>
  <c r="AB51"/>
  <c r="Y29"/>
  <c r="Y37"/>
  <c r="Y45"/>
  <c r="Y55"/>
  <c r="G61" i="75"/>
  <c r="G63" s="1"/>
  <c r="G74" s="1"/>
  <c r="G80" s="1"/>
  <c r="G82" s="1"/>
  <c r="G84" s="1"/>
  <c r="C90" i="93" s="1"/>
  <c r="C89" s="1"/>
  <c r="C88" s="1"/>
  <c r="C182" s="1"/>
  <c r="L268" i="100"/>
  <c r="S37" i="102"/>
  <c r="T37" s="1"/>
  <c r="O56" i="101"/>
  <c r="P56" s="1"/>
  <c r="W56" s="1"/>
  <c r="M45" i="102"/>
  <c r="M55"/>
  <c r="U29"/>
  <c r="U45"/>
  <c r="V33"/>
  <c r="V41"/>
  <c r="V51"/>
  <c r="W29"/>
  <c r="W37"/>
  <c r="W45"/>
  <c r="W55"/>
  <c r="Y27"/>
  <c r="Y35"/>
  <c r="Y43"/>
  <c r="Y53"/>
  <c r="V33" i="89"/>
  <c r="V40" s="1"/>
  <c r="L51" i="102"/>
  <c r="Q51" s="1"/>
  <c r="R51" s="1"/>
  <c r="M35"/>
  <c r="M43"/>
  <c r="U27"/>
  <c r="U43"/>
  <c r="U53"/>
  <c r="V31"/>
  <c r="V39"/>
  <c r="V49"/>
  <c r="W27"/>
  <c r="W35"/>
  <c r="W43"/>
  <c r="W53"/>
  <c r="AB45"/>
  <c r="AB55"/>
  <c r="Y33"/>
  <c r="Y41"/>
  <c r="Y51"/>
  <c r="Z29"/>
  <c r="U59" i="89"/>
  <c r="U86" s="1"/>
  <c r="C169" i="93"/>
  <c r="C165" s="1"/>
  <c r="C49" i="78"/>
  <c r="C47" s="1"/>
  <c r="U33" i="102"/>
  <c r="U51"/>
  <c r="V37"/>
  <c r="V45"/>
  <c r="V55"/>
  <c r="W33"/>
  <c r="W41"/>
  <c r="W51"/>
  <c r="AB27"/>
  <c r="AB35"/>
  <c r="AB43"/>
  <c r="AB53"/>
  <c r="Y31"/>
  <c r="Y39"/>
  <c r="C59" i="93"/>
  <c r="C76"/>
  <c r="C75" s="1"/>
  <c r="C181" s="1"/>
  <c r="G5082" i="104"/>
  <c r="F5082"/>
  <c r="G10161"/>
  <c r="F10161"/>
  <c r="C69" i="93"/>
  <c r="C57"/>
  <c r="C55" s="1"/>
  <c r="C47"/>
  <c r="F13" i="104"/>
  <c r="E13"/>
  <c r="C30" i="93" l="1"/>
  <c r="C67"/>
  <c r="E445" i="100"/>
  <c r="F445" s="1"/>
  <c r="C15" i="93"/>
  <c r="D507" i="100"/>
  <c r="C11" i="93"/>
  <c r="AC97" i="92"/>
  <c r="AE97" s="1"/>
  <c r="C253"/>
  <c r="X43" i="102"/>
  <c r="S43"/>
  <c r="T43" s="1"/>
  <c r="F48" i="71"/>
  <c r="C37" i="93"/>
  <c r="C34" s="1"/>
  <c r="R87" i="89"/>
  <c r="C24" i="93"/>
  <c r="F46" i="71"/>
  <c r="F52" s="1"/>
  <c r="C27" i="93"/>
  <c r="C62" i="103"/>
  <c r="I57"/>
  <c r="W58" i="102"/>
  <c r="H123" i="69"/>
  <c r="W61" i="92"/>
  <c r="G62" i="103"/>
  <c r="X55" i="102"/>
  <c r="S55"/>
  <c r="T55" s="1"/>
  <c r="F37" i="97"/>
  <c r="E43"/>
  <c r="K166" i="96"/>
  <c r="K167"/>
  <c r="G51" i="97"/>
  <c r="F57"/>
  <c r="E507" i="100"/>
  <c r="G501"/>
  <c r="V58" i="102"/>
  <c r="P85" i="101"/>
  <c r="U88"/>
  <c r="U90" s="1"/>
  <c r="U92" s="1"/>
  <c r="U61" i="92"/>
  <c r="C63" i="93"/>
  <c r="U98" i="101"/>
  <c r="U100"/>
  <c r="U102" s="1"/>
  <c r="C53" i="93"/>
  <c r="C51" s="1"/>
  <c r="C179" s="1"/>
  <c r="R57" i="105"/>
  <c r="E231" i="92"/>
  <c r="E62" i="103"/>
  <c r="I58"/>
  <c r="U58" i="102"/>
  <c r="G54" i="70"/>
  <c r="G62" s="1"/>
  <c r="S51" i="102"/>
  <c r="T51" s="1"/>
  <c r="X51"/>
  <c r="I190" i="92"/>
  <c r="K190" s="1"/>
  <c r="G192"/>
  <c r="G64" i="97"/>
  <c r="F70"/>
  <c r="F507" i="100"/>
  <c r="G503"/>
  <c r="E134" i="92"/>
  <c r="K125" s="1"/>
  <c r="C71" i="93"/>
  <c r="C28"/>
  <c r="C239" i="92"/>
  <c r="E239" s="1"/>
  <c r="C42" i="93" l="1"/>
  <c r="C180"/>
  <c r="G507" i="100"/>
  <c r="O124" i="92"/>
  <c r="W157"/>
  <c r="W159" s="1"/>
  <c r="G70" i="97"/>
  <c r="C10" i="93"/>
  <c r="G57" i="97"/>
  <c r="C9" i="93"/>
  <c r="G37" i="97"/>
  <c r="F43"/>
  <c r="C132" i="93"/>
  <c r="C130" s="1"/>
  <c r="C232" i="92"/>
  <c r="O94" i="101"/>
  <c r="U106"/>
  <c r="U108" s="1"/>
  <c r="I62" i="103"/>
  <c r="I192" i="92"/>
  <c r="K192" s="1"/>
  <c r="C255"/>
  <c r="C26" i="93"/>
  <c r="C25" s="1"/>
  <c r="C178" s="1"/>
  <c r="S124" i="92" l="1"/>
  <c r="W124" s="1"/>
  <c r="C251"/>
  <c r="C250" s="1"/>
  <c r="E232"/>
  <c r="W164"/>
  <c r="O189" s="1"/>
  <c r="O190"/>
  <c r="U104" i="101"/>
  <c r="U115" s="1"/>
  <c r="C153" i="93" s="1"/>
  <c r="C151" s="1"/>
  <c r="O96" i="101"/>
  <c r="G43" i="97"/>
  <c r="C8" i="93"/>
  <c r="C7" s="1"/>
  <c r="C6" s="1"/>
  <c r="C5" s="1"/>
  <c r="Q189" i="92" l="1"/>
  <c r="S189" s="1"/>
  <c r="C259"/>
  <c r="C256" s="1"/>
  <c r="C262" s="1"/>
  <c r="C233" s="1"/>
  <c r="C177" i="93"/>
  <c r="C4"/>
  <c r="Q190" i="92"/>
  <c r="S190" s="1"/>
  <c r="C260"/>
  <c r="C246"/>
  <c r="E233" l="1"/>
  <c r="C137" i="93" s="1"/>
  <c r="C134" s="1"/>
  <c r="C125" s="1"/>
  <c r="C236" i="92"/>
  <c r="E236" s="1"/>
  <c r="C244"/>
  <c r="E244" s="1"/>
  <c r="E246"/>
  <c r="C183" i="93" l="1"/>
  <c r="C163"/>
  <c r="C172" s="1"/>
</calcChain>
</file>

<file path=xl/comments1.xml><?xml version="1.0" encoding="utf-8"?>
<comments xmlns="http://schemas.openxmlformats.org/spreadsheetml/2006/main">
  <authors>
    <author>Philip Groth</author>
  </authors>
  <commentList>
    <comment ref="G456" authorId="0">
      <text>
        <r>
          <rPr>
            <sz val="8"/>
            <color indexed="81"/>
            <rFont val="Tahoma"/>
            <family val="2"/>
          </rPr>
          <t>MMTCE is converted to MMTCO</t>
        </r>
        <r>
          <rPr>
            <vertAlign val="subscript"/>
            <sz val="8"/>
            <color indexed="81"/>
            <rFont val="Tahoma"/>
            <family val="2"/>
          </rPr>
          <t>2</t>
        </r>
        <r>
          <rPr>
            <sz val="8"/>
            <color indexed="81"/>
            <rFont val="Tahoma"/>
            <family val="2"/>
          </rPr>
          <t>E by multiplying by 44/12.</t>
        </r>
      </text>
    </comment>
    <comment ref="G477" authorId="0">
      <text>
        <r>
          <rPr>
            <sz val="8"/>
            <color indexed="81"/>
            <rFont val="Tahoma"/>
            <family val="2"/>
          </rPr>
          <t>MMTCE is converted to MMTCO</t>
        </r>
        <r>
          <rPr>
            <vertAlign val="subscript"/>
            <sz val="8"/>
            <color indexed="81"/>
            <rFont val="Tahoma"/>
            <family val="2"/>
          </rPr>
          <t>2</t>
        </r>
        <r>
          <rPr>
            <sz val="8"/>
            <color indexed="81"/>
            <rFont val="Tahoma"/>
            <family val="2"/>
          </rPr>
          <t>E by multiplying by 44/12.</t>
        </r>
      </text>
    </comment>
  </commentList>
</comments>
</file>

<file path=xl/comments10.xml><?xml version="1.0" encoding="utf-8"?>
<comments xmlns="http://schemas.openxmlformats.org/spreadsheetml/2006/main">
  <authors>
    <author/>
  </authors>
  <commentList>
    <comment ref="P18" authorId="0">
      <text>
        <r>
          <rPr>
            <sz val="8"/>
            <color indexed="8"/>
            <rFont val="Tahoma"/>
            <family val="2"/>
          </rPr>
          <t>Assuming Complete Combustion:
CH</t>
        </r>
        <r>
          <rPr>
            <vertAlign val="subscript"/>
            <sz val="8"/>
            <color indexed="8"/>
            <rFont val="Tahoma"/>
            <family val="2"/>
          </rPr>
          <t>4</t>
        </r>
        <r>
          <rPr>
            <sz val="8"/>
            <color indexed="8"/>
            <rFont val="Tahoma"/>
            <family val="2"/>
          </rPr>
          <t xml:space="preserve">  +   2O</t>
        </r>
        <r>
          <rPr>
            <vertAlign val="subscript"/>
            <sz val="8"/>
            <color indexed="8"/>
            <rFont val="Tahoma"/>
            <family val="2"/>
          </rPr>
          <t>2</t>
        </r>
        <r>
          <rPr>
            <sz val="8"/>
            <color indexed="8"/>
            <rFont val="Tahoma"/>
            <family val="2"/>
          </rPr>
          <t xml:space="preserve">  = CO</t>
        </r>
        <r>
          <rPr>
            <vertAlign val="subscript"/>
            <sz val="8"/>
            <color indexed="8"/>
            <rFont val="Tahoma"/>
            <family val="2"/>
          </rPr>
          <t>2</t>
        </r>
        <r>
          <rPr>
            <sz val="8"/>
            <color indexed="8"/>
            <rFont val="Tahoma"/>
            <family val="2"/>
          </rPr>
          <t xml:space="preserve"> + 2H</t>
        </r>
        <r>
          <rPr>
            <vertAlign val="subscript"/>
            <sz val="8"/>
            <color indexed="8"/>
            <rFont val="Tahoma"/>
            <family val="2"/>
          </rPr>
          <t>2</t>
        </r>
        <r>
          <rPr>
            <sz val="8"/>
            <color indexed="8"/>
            <rFont val="Tahoma"/>
            <family val="2"/>
          </rPr>
          <t xml:space="preserve">O
1 kmole CH4 (16 kg) yield 1 kmole CO2(44kg)
</t>
        </r>
      </text>
    </comment>
    <comment ref="Q18" authorId="0">
      <text>
        <r>
          <rPr>
            <sz val="8"/>
            <color indexed="8"/>
            <rFont val="Tahoma"/>
            <family val="2"/>
          </rPr>
          <t xml:space="preserve">Uncombusted Flare Emission of CH4 =
mass flow of CH4 (short tons/yr) x (normalized collection Efficiency) x (1 - flare control efficiency)
</t>
        </r>
      </text>
    </comment>
    <comment ref="R18" authorId="0">
      <text>
        <r>
          <rPr>
            <sz val="8"/>
            <color indexed="8"/>
            <rFont val="Tahoma"/>
            <family val="2"/>
          </rPr>
          <t xml:space="preserve">Fugitive Emission of CH4 =
(mass flow of CH4, tons/yr) x (1- normalized collection efiiciency) x (1- surface oxidation factor)
</t>
        </r>
      </text>
    </comment>
    <comment ref="V18" authorId="0">
      <text>
        <r>
          <rPr>
            <sz val="8"/>
            <color indexed="8"/>
            <rFont val="Tahoma"/>
            <family val="2"/>
          </rPr>
          <t xml:space="preserve">CO2E, tons = CH4 emissions x 21
</t>
        </r>
      </text>
    </comment>
    <comment ref="L20" authorId="0">
      <text>
        <r>
          <rPr>
            <sz val="8"/>
            <color indexed="8"/>
            <rFont val="Tahoma"/>
            <family val="2"/>
          </rPr>
          <t xml:space="preserve">2014 Emission Certificate Report: LFG Flow to flare=200.83/LFG Generation Rate =166
</t>
        </r>
      </text>
    </comment>
    <comment ref="L25" authorId="0">
      <text>
        <r>
          <rPr>
            <sz val="8"/>
            <color indexed="8"/>
            <rFont val="Tahoma"/>
            <family val="2"/>
          </rPr>
          <t>2011 Emission Certification Report.</t>
        </r>
      </text>
    </comment>
    <comment ref="D28" authorId="0">
      <text>
        <r>
          <rPr>
            <b/>
            <sz val="8"/>
            <color indexed="8"/>
            <rFont val="Tahoma"/>
            <family val="2"/>
          </rPr>
          <t xml:space="preserve">wsimms:
</t>
        </r>
        <r>
          <rPr>
            <sz val="8"/>
            <color indexed="8"/>
            <rFont val="Tahoma"/>
            <family val="2"/>
          </rPr>
          <t>CHANGED 2008 FROM 13.8 TO 18.320622 MILLION.</t>
        </r>
      </text>
    </comment>
    <comment ref="D31" authorId="0">
      <text>
        <r>
          <rPr>
            <b/>
            <sz val="8"/>
            <color indexed="8"/>
            <rFont val="Tahoma"/>
            <family val="2"/>
          </rPr>
          <t xml:space="preserve">wsimms:
</t>
        </r>
        <r>
          <rPr>
            <sz val="8"/>
            <color indexed="8"/>
            <rFont val="Tahoma"/>
            <family val="2"/>
          </rPr>
          <t>CHANGED 2008 FROM 7.8 TO 22.813 MILLION.</t>
        </r>
      </text>
    </comment>
    <comment ref="L31" authorId="0">
      <text>
        <r>
          <rPr>
            <sz val="8"/>
            <color indexed="8"/>
            <rFont val="Tahoma"/>
            <family val="2"/>
          </rPr>
          <t xml:space="preserve">2011 Emission Certification Report.
</t>
        </r>
      </text>
    </comment>
    <comment ref="N31" authorId="0">
      <text>
        <r>
          <rPr>
            <sz val="8"/>
            <color indexed="8"/>
            <rFont val="Tahoma"/>
            <family val="2"/>
          </rPr>
          <t xml:space="preserve">Emission Certification Report.
</t>
        </r>
      </text>
    </comment>
    <comment ref="D33" authorId="0">
      <text>
        <r>
          <rPr>
            <b/>
            <sz val="8"/>
            <color indexed="8"/>
            <rFont val="Tahoma"/>
            <family val="2"/>
          </rPr>
          <t xml:space="preserve">wsimms:
</t>
        </r>
        <r>
          <rPr>
            <sz val="8"/>
            <color indexed="8"/>
            <rFont val="Tahoma"/>
            <family val="2"/>
          </rPr>
          <t>CHANGED 2008 2.1 TO 2.79929</t>
        </r>
      </text>
    </comment>
    <comment ref="D37" authorId="0">
      <text>
        <r>
          <rPr>
            <b/>
            <sz val="8"/>
            <color indexed="8"/>
            <rFont val="Tahoma"/>
            <family val="2"/>
          </rPr>
          <t xml:space="preserve">wsimms:
</t>
        </r>
        <r>
          <rPr>
            <sz val="8"/>
            <color indexed="8"/>
            <rFont val="Tahoma"/>
            <family val="2"/>
          </rPr>
          <t>CHANGED 2008 FROM 2.6 TO 3.504187 MILLION.</t>
        </r>
      </text>
    </comment>
    <comment ref="N37" authorId="0">
      <text>
        <r>
          <rPr>
            <sz val="8"/>
            <color indexed="8"/>
            <rFont val="Tahoma"/>
            <family val="2"/>
          </rPr>
          <t xml:space="preserve">2014 Emission Certification Report.
</t>
        </r>
      </text>
    </comment>
    <comment ref="D39" authorId="0">
      <text>
        <r>
          <rPr>
            <b/>
            <sz val="8"/>
            <color indexed="8"/>
            <rFont val="Tahoma"/>
            <family val="2"/>
          </rPr>
          <t xml:space="preserve">wsimms:
</t>
        </r>
        <r>
          <rPr>
            <sz val="8"/>
            <color indexed="8"/>
            <rFont val="Tahoma"/>
            <family val="2"/>
          </rPr>
          <t xml:space="preserve">CHANGED 2008 FROM 3.0 TO 4.505 MILLION.
</t>
        </r>
      </text>
    </comment>
    <comment ref="N39" authorId="0">
      <text>
        <r>
          <rPr>
            <b/>
            <sz val="8"/>
            <color indexed="8"/>
            <rFont val="Tahoma"/>
            <family val="2"/>
          </rPr>
          <t>2014 Emission Certification Report.</t>
        </r>
      </text>
    </comment>
    <comment ref="D41" authorId="0">
      <text>
        <r>
          <rPr>
            <b/>
            <sz val="8"/>
            <color indexed="8"/>
            <rFont val="Tahoma"/>
            <family val="2"/>
          </rPr>
          <t xml:space="preserve">wsimms:
</t>
        </r>
        <r>
          <rPr>
            <sz val="8"/>
            <color indexed="8"/>
            <rFont val="Tahoma"/>
            <family val="2"/>
          </rPr>
          <t>CHANGED 2008 FROM 3.2 TO 4.3747 MILLION.</t>
        </r>
      </text>
    </comment>
    <comment ref="L41" authorId="0">
      <text>
        <r>
          <rPr>
            <sz val="8"/>
            <color indexed="8"/>
            <rFont val="Tahoma"/>
            <family val="2"/>
          </rPr>
          <t xml:space="preserve">2014 Emission Certificate Report. 
</t>
        </r>
      </text>
    </comment>
    <comment ref="N41" authorId="0">
      <text>
        <r>
          <rPr>
            <b/>
            <sz val="8"/>
            <color indexed="8"/>
            <rFont val="Tahoma"/>
            <family val="2"/>
          </rPr>
          <t>2014Emission Certification Report.</t>
        </r>
      </text>
    </comment>
    <comment ref="D45" authorId="0">
      <text>
        <r>
          <rPr>
            <b/>
            <sz val="8"/>
            <color indexed="8"/>
            <rFont val="Tahoma"/>
            <family val="2"/>
          </rPr>
          <t xml:space="preserve">wsimms:
</t>
        </r>
        <r>
          <rPr>
            <sz val="8"/>
            <color indexed="8"/>
            <rFont val="Tahoma"/>
            <family val="2"/>
          </rPr>
          <t xml:space="preserve">2005 CAPACITY 4.1 MILLION WAS NOT CHANGED EVEN THOUGH 2008 WAS LISTED AS 1.483205.
</t>
        </r>
      </text>
    </comment>
    <comment ref="D47" authorId="0">
      <text>
        <r>
          <rPr>
            <b/>
            <sz val="8"/>
            <color indexed="8"/>
            <rFont val="Tahoma"/>
            <family val="2"/>
          </rPr>
          <t xml:space="preserve">wsimms:
</t>
        </r>
        <r>
          <rPr>
            <sz val="8"/>
            <color indexed="8"/>
            <rFont val="Tahoma"/>
            <family val="2"/>
          </rPr>
          <t>CHANGED 2008 FROM 0.75 TO 1.0009 MILLION.</t>
        </r>
      </text>
    </comment>
    <comment ref="L48" authorId="0">
      <text>
        <r>
          <rPr>
            <sz val="8"/>
            <color indexed="8"/>
            <rFont val="Tahoma"/>
            <family val="2"/>
          </rPr>
          <t xml:space="preserve">2011 Emission Certification Report.
</t>
        </r>
      </text>
    </comment>
    <comment ref="N48" authorId="0">
      <text>
        <r>
          <rPr>
            <sz val="8"/>
            <color indexed="8"/>
            <rFont val="Tahoma"/>
            <family val="2"/>
          </rPr>
          <t xml:space="preserve">2011 Emission Certification Report.
</t>
        </r>
      </text>
    </comment>
    <comment ref="D49" authorId="0">
      <text>
        <r>
          <rPr>
            <b/>
            <sz val="8"/>
            <color indexed="8"/>
            <rFont val="Tahoma"/>
            <family val="2"/>
          </rPr>
          <t xml:space="preserve">wsimms:
</t>
        </r>
        <r>
          <rPr>
            <sz val="8"/>
            <color indexed="8"/>
            <rFont val="Tahoma"/>
            <family val="2"/>
          </rPr>
          <t>CHANGED 2008 FROM 3.2 TO 4.226188 MILLION.</t>
        </r>
      </text>
    </comment>
    <comment ref="C51" authorId="0">
      <text>
        <r>
          <rPr>
            <b/>
            <sz val="8"/>
            <color indexed="8"/>
            <rFont val="Tahoma"/>
            <family val="2"/>
          </rPr>
          <t xml:space="preserve">Walter A. Simms:
</t>
        </r>
        <r>
          <rPr>
            <sz val="8"/>
            <color indexed="8"/>
            <rFont val="Tahoma"/>
            <family val="2"/>
          </rPr>
          <t xml:space="preserve">This landfill was known by the name Del Signiore, but it is now Garrett Co. SWD&amp;RF
</t>
        </r>
      </text>
    </comment>
    <comment ref="D51" authorId="0">
      <text>
        <r>
          <rPr>
            <b/>
            <sz val="8"/>
            <color indexed="8"/>
            <rFont val="Tahoma"/>
            <family val="2"/>
          </rPr>
          <t xml:space="preserve">wsimms:
</t>
        </r>
        <r>
          <rPr>
            <sz val="8"/>
            <color indexed="8"/>
            <rFont val="Tahoma"/>
            <family val="2"/>
          </rPr>
          <t>CHANGED 2008 FROM 1.5 TO 1.537185 MILLION.</t>
        </r>
      </text>
    </comment>
    <comment ref="D54" authorId="0">
      <text>
        <r>
          <rPr>
            <b/>
            <sz val="8"/>
            <color indexed="8"/>
            <rFont val="Tahoma"/>
            <family val="2"/>
          </rPr>
          <t xml:space="preserve">wsimms:
</t>
        </r>
        <r>
          <rPr>
            <sz val="8"/>
            <color indexed="8"/>
            <rFont val="Tahoma"/>
            <family val="2"/>
          </rPr>
          <t>CHANGED 2008 FROM 2.3 TO 2.98 MILLION.</t>
        </r>
      </text>
    </comment>
    <comment ref="D56" authorId="0">
      <text>
        <r>
          <rPr>
            <b/>
            <sz val="8"/>
            <color indexed="8"/>
            <rFont val="Tahoma"/>
            <family val="2"/>
          </rPr>
          <t xml:space="preserve">wsimms:
</t>
        </r>
        <r>
          <rPr>
            <sz val="8"/>
            <color indexed="8"/>
            <rFont val="Tahoma"/>
            <family val="2"/>
          </rPr>
          <t>CHANGED 2008 7.1 TO 9.978 MILLION TONS.</t>
        </r>
      </text>
    </comment>
    <comment ref="C59" authorId="0">
      <text>
        <r>
          <rPr>
            <b/>
            <sz val="8"/>
            <color indexed="8"/>
            <rFont val="Tahoma"/>
            <family val="2"/>
          </rPr>
          <t xml:space="preserve">Walter A. Simms:
</t>
        </r>
        <r>
          <rPr>
            <sz val="8"/>
            <color indexed="8"/>
            <rFont val="Tahoma"/>
            <family val="2"/>
          </rPr>
          <t>CLOSED 6-2-00</t>
        </r>
      </text>
    </comment>
    <comment ref="L65" authorId="0">
      <text>
        <r>
          <rPr>
            <sz val="8"/>
            <color indexed="8"/>
            <rFont val="Tahoma"/>
            <family val="2"/>
          </rPr>
          <t xml:space="preserve">2011 Emission Certificate Report
</t>
        </r>
      </text>
    </comment>
    <comment ref="N65" authorId="0">
      <text>
        <r>
          <rPr>
            <sz val="8"/>
            <color indexed="8"/>
            <rFont val="Tahoma"/>
            <family val="2"/>
          </rPr>
          <t xml:space="preserve">2011 Emission Certificate Report
</t>
        </r>
      </text>
    </comment>
    <comment ref="D66" authorId="0">
      <text>
        <r>
          <rPr>
            <b/>
            <sz val="8"/>
            <color indexed="8"/>
            <rFont val="Tahoma"/>
            <family val="2"/>
          </rPr>
          <t xml:space="preserve">wsimms:
</t>
        </r>
        <r>
          <rPr>
            <sz val="8"/>
            <color indexed="8"/>
            <rFont val="Tahoma"/>
            <family val="2"/>
          </rPr>
          <t>CHANGED 2008 FROM 12.4 TO 16.0</t>
        </r>
      </text>
    </comment>
    <comment ref="L66" authorId="0">
      <text>
        <r>
          <rPr>
            <sz val="8"/>
            <color indexed="8"/>
            <rFont val="Tahoma"/>
            <family val="2"/>
          </rPr>
          <t xml:space="preserve">2011 Emission Certificate Report
</t>
        </r>
      </text>
    </comment>
    <comment ref="N66" authorId="0">
      <text>
        <r>
          <rPr>
            <sz val="8"/>
            <color indexed="8"/>
            <rFont val="Tahoma"/>
            <family val="2"/>
          </rPr>
          <t xml:space="preserve">2011 Emission Certificate Report.
</t>
        </r>
      </text>
    </comment>
    <comment ref="I67" authorId="0">
      <text>
        <r>
          <rPr>
            <b/>
            <sz val="8"/>
            <color indexed="8"/>
            <rFont val="Tahoma"/>
            <family val="2"/>
          </rPr>
          <t xml:space="preserve">Walter A. Simms:
</t>
        </r>
        <r>
          <rPr>
            <sz val="8"/>
            <color indexed="8"/>
            <rFont val="Tahoma"/>
            <family val="2"/>
          </rPr>
          <t>CLOSED JUNE 2000</t>
        </r>
      </text>
    </comment>
    <comment ref="L67" authorId="0">
      <text>
        <r>
          <rPr>
            <sz val="8"/>
            <color indexed="8"/>
            <rFont val="Tahoma"/>
            <family val="2"/>
          </rPr>
          <t>2011 Emission Certification Report.</t>
        </r>
      </text>
    </comment>
    <comment ref="N67" authorId="0">
      <text>
        <r>
          <rPr>
            <sz val="8"/>
            <color indexed="8"/>
            <rFont val="Tahoma"/>
            <family val="2"/>
          </rPr>
          <t xml:space="preserve">2011 Emission Certification Report.
</t>
        </r>
      </text>
    </comment>
    <comment ref="C68" authorId="0">
      <text>
        <r>
          <rPr>
            <b/>
            <sz val="8"/>
            <color indexed="8"/>
            <rFont val="Tahoma"/>
            <family val="2"/>
          </rPr>
          <t xml:space="preserve">Walter A. Simms:
</t>
        </r>
        <r>
          <rPr>
            <sz val="8"/>
            <color indexed="8"/>
            <rFont val="Tahoma"/>
            <family val="2"/>
          </rPr>
          <t xml:space="preserve">Both Area #1 and #2 are calculated on this row.
</t>
        </r>
      </text>
    </comment>
    <comment ref="C70" authorId="0">
      <text>
        <r>
          <rPr>
            <b/>
            <sz val="8"/>
            <color indexed="8"/>
            <rFont val="Tahoma"/>
            <family val="2"/>
          </rPr>
          <t xml:space="preserve">Walter A. Simms:
</t>
        </r>
        <r>
          <rPr>
            <sz val="8"/>
            <color indexed="8"/>
            <rFont val="Tahoma"/>
            <family val="2"/>
          </rPr>
          <t xml:space="preserve">Somerset County MLF was also known as Fairmount Rd MLF.
</t>
        </r>
      </text>
    </comment>
    <comment ref="D70" authorId="0">
      <text>
        <r>
          <rPr>
            <b/>
            <sz val="8"/>
            <color indexed="8"/>
            <rFont val="Tahoma"/>
            <family val="2"/>
          </rPr>
          <t xml:space="preserve">wsimms:
</t>
        </r>
        <r>
          <rPr>
            <sz val="8"/>
            <color indexed="8"/>
            <rFont val="Tahoma"/>
            <family val="2"/>
          </rPr>
          <t>CHANGED 2008 FROM 1.5 TO 1.610 MILLION.</t>
        </r>
      </text>
    </comment>
    <comment ref="D73" authorId="0">
      <text>
        <r>
          <rPr>
            <b/>
            <sz val="8"/>
            <color indexed="8"/>
            <rFont val="Tahoma"/>
            <family val="2"/>
          </rPr>
          <t xml:space="preserve">wsimms:
</t>
        </r>
        <r>
          <rPr>
            <sz val="8"/>
            <color indexed="8"/>
            <rFont val="Tahoma"/>
            <family val="2"/>
          </rPr>
          <t>CHANGED 2008 FROM 2.2 TO 3.751244 MILLION.</t>
        </r>
      </text>
    </comment>
    <comment ref="C77" authorId="0">
      <text>
        <r>
          <rPr>
            <b/>
            <sz val="8"/>
            <color indexed="8"/>
            <rFont val="Tahoma"/>
            <family val="2"/>
          </rPr>
          <t xml:space="preserve">Walter A. Simms:
</t>
        </r>
        <r>
          <rPr>
            <sz val="8"/>
            <color indexed="8"/>
            <rFont val="Tahoma"/>
            <family val="2"/>
          </rPr>
          <t>OPENED 1982 CLOSED IN1998; REOPENED IN 1998 AND CLOSED IN 2000.</t>
        </r>
      </text>
    </comment>
    <comment ref="C78" authorId="0">
      <text>
        <r>
          <rPr>
            <b/>
            <sz val="8"/>
            <color indexed="8"/>
            <rFont val="Tahoma"/>
            <family val="2"/>
          </rPr>
          <t xml:space="preserve">Walter A. Simms:
</t>
        </r>
        <r>
          <rPr>
            <sz val="8"/>
            <color indexed="8"/>
            <rFont val="Tahoma"/>
            <family val="2"/>
          </rPr>
          <t>NEW, OPENED 2000</t>
        </r>
      </text>
    </comment>
    <comment ref="D78" authorId="0">
      <text>
        <r>
          <rPr>
            <b/>
            <sz val="8"/>
            <color indexed="8"/>
            <rFont val="Tahoma"/>
            <family val="2"/>
          </rPr>
          <t xml:space="preserve">wsimms:
</t>
        </r>
        <r>
          <rPr>
            <sz val="8"/>
            <color indexed="8"/>
            <rFont val="Tahoma"/>
            <family val="2"/>
          </rPr>
          <t>CHANGED 2008 FROM 11.8 TO 20.273 MILLION.</t>
        </r>
      </text>
    </comment>
    <comment ref="D80" authorId="0">
      <text>
        <r>
          <rPr>
            <b/>
            <sz val="8"/>
            <color indexed="8"/>
            <rFont val="Tahoma"/>
            <family val="2"/>
          </rPr>
          <t xml:space="preserve">wsimms:
</t>
        </r>
        <r>
          <rPr>
            <sz val="8"/>
            <color indexed="8"/>
            <rFont val="Tahoma"/>
            <family val="2"/>
          </rPr>
          <t>CHANGED 2008 FROM 5.4 TO 7.2 MILLION.</t>
        </r>
      </text>
    </comment>
    <comment ref="D82" authorId="0">
      <text>
        <r>
          <rPr>
            <b/>
            <sz val="8"/>
            <color indexed="8"/>
            <rFont val="Tahoma"/>
            <family val="2"/>
          </rPr>
          <t xml:space="preserve">wsimms:
</t>
        </r>
        <r>
          <rPr>
            <sz val="8"/>
            <color indexed="8"/>
            <rFont val="Tahoma"/>
            <family val="2"/>
          </rPr>
          <t>CHANGED 2008 FROM 8.6 TO 4.8 MILLION.</t>
        </r>
      </text>
    </comment>
    <comment ref="J92" authorId="0">
      <text>
        <r>
          <rPr>
            <sz val="8"/>
            <color indexed="8"/>
            <rFont val="Tahoma"/>
            <family val="2"/>
          </rPr>
          <t xml:space="preserve">Assume 7 % of MSW)
</t>
        </r>
      </text>
    </comment>
    <comment ref="M94" authorId="0">
      <text>
        <r>
          <rPr>
            <sz val="8"/>
            <color indexed="8"/>
            <rFont val="Tahoma"/>
            <family val="2"/>
          </rPr>
          <t xml:space="preserve">Flared CH4 + Landill Gas-to-Energy CH4
</t>
        </r>
      </text>
    </comment>
    <comment ref="U100" authorId="0">
      <text>
        <r>
          <rPr>
            <sz val="8"/>
            <color indexed="8"/>
            <rFont val="Tahoma"/>
            <family val="2"/>
          </rPr>
          <t xml:space="preserve">Assumed 7% of MSW
</t>
        </r>
      </text>
    </comment>
    <comment ref="U102" authorId="0">
      <text>
        <r>
          <rPr>
            <sz val="8"/>
            <color indexed="8"/>
            <rFont val="Tahoma"/>
            <family val="2"/>
          </rPr>
          <t xml:space="preserve">Assumed 7% of MSW
</t>
        </r>
      </text>
    </comment>
  </commentList>
</comments>
</file>

<file path=xl/comments11.xml><?xml version="1.0" encoding="utf-8"?>
<comments xmlns="http://schemas.openxmlformats.org/spreadsheetml/2006/main">
  <authors>
    <author>sal</author>
  </authors>
  <commentList>
    <comment ref="Z29" authorId="0">
      <text>
        <r>
          <rPr>
            <b/>
            <sz val="9"/>
            <color indexed="81"/>
            <rFont val="Tahoma"/>
            <family val="2"/>
          </rPr>
          <t>NO CH4 Emission Reported</t>
        </r>
      </text>
    </comment>
  </commentList>
</comments>
</file>

<file path=xl/comments12.xml><?xml version="1.0" encoding="utf-8"?>
<comments xmlns="http://schemas.openxmlformats.org/spreadsheetml/2006/main">
  <authors>
    <author>Beth Moore</author>
  </authors>
  <commentList>
    <comment ref="F6" authorId="0">
      <text>
        <r>
          <rPr>
            <sz val="8"/>
            <color indexed="81"/>
            <rFont val="Tahoma"/>
            <family val="2"/>
          </rPr>
          <t>MTCH</t>
        </r>
        <r>
          <rPr>
            <vertAlign val="subscript"/>
            <sz val="8"/>
            <color indexed="81"/>
            <rFont val="Tahoma"/>
            <family val="2"/>
          </rPr>
          <t>4</t>
        </r>
        <r>
          <rPr>
            <sz val="8"/>
            <color indexed="81"/>
            <rFont val="Tahoma"/>
            <family val="2"/>
          </rPr>
          <t xml:space="preserve"> are converted to MMTCO</t>
        </r>
        <r>
          <rPr>
            <vertAlign val="subscript"/>
            <sz val="8"/>
            <color indexed="81"/>
            <rFont val="Tahoma"/>
            <family val="2"/>
          </rPr>
          <t>2</t>
        </r>
        <r>
          <rPr>
            <sz val="8"/>
            <color indexed="81"/>
            <rFont val="Tahoma"/>
            <family val="2"/>
          </rPr>
          <t>E by multiplying by the GWP of CH</t>
        </r>
        <r>
          <rPr>
            <vertAlign val="subscript"/>
            <sz val="8"/>
            <color indexed="81"/>
            <rFont val="Tahoma"/>
            <family val="2"/>
          </rPr>
          <t>4</t>
        </r>
        <r>
          <rPr>
            <sz val="8"/>
            <color indexed="81"/>
            <rFont val="Tahoma"/>
            <family val="2"/>
          </rPr>
          <t>, or 21, and then dividing by 1,000,000</t>
        </r>
      </text>
    </comment>
    <comment ref="F22" authorId="0">
      <text>
        <r>
          <rPr>
            <sz val="8"/>
            <color indexed="81"/>
            <rFont val="Tahoma"/>
            <family val="2"/>
          </rPr>
          <t>MTCH</t>
        </r>
        <r>
          <rPr>
            <vertAlign val="subscript"/>
            <sz val="8"/>
            <color indexed="81"/>
            <rFont val="Tahoma"/>
            <family val="2"/>
          </rPr>
          <t>4</t>
        </r>
        <r>
          <rPr>
            <sz val="8"/>
            <color indexed="81"/>
            <rFont val="Tahoma"/>
            <family val="2"/>
          </rPr>
          <t xml:space="preserve"> are converted to MMTCO</t>
        </r>
        <r>
          <rPr>
            <vertAlign val="subscript"/>
            <sz val="8"/>
            <color indexed="81"/>
            <rFont val="Tahoma"/>
            <family val="2"/>
          </rPr>
          <t>2</t>
        </r>
        <r>
          <rPr>
            <sz val="8"/>
            <color indexed="81"/>
            <rFont val="Tahoma"/>
            <family val="2"/>
          </rPr>
          <t>E by multiplying by the GWP of CH</t>
        </r>
        <r>
          <rPr>
            <vertAlign val="subscript"/>
            <sz val="8"/>
            <color indexed="81"/>
            <rFont val="Tahoma"/>
            <family val="2"/>
          </rPr>
          <t>4</t>
        </r>
        <r>
          <rPr>
            <sz val="8"/>
            <color indexed="81"/>
            <rFont val="Tahoma"/>
            <family val="2"/>
          </rPr>
          <t>, or 21, and then dividing by 1,000,000</t>
        </r>
      </text>
    </comment>
    <comment ref="F45" authorId="0">
      <text>
        <r>
          <rPr>
            <sz val="8"/>
            <color indexed="81"/>
            <rFont val="Tahoma"/>
            <family val="2"/>
          </rPr>
          <t>MTCH</t>
        </r>
        <r>
          <rPr>
            <vertAlign val="subscript"/>
            <sz val="8"/>
            <color indexed="81"/>
            <rFont val="Tahoma"/>
            <family val="2"/>
          </rPr>
          <t>4</t>
        </r>
        <r>
          <rPr>
            <sz val="8"/>
            <color indexed="81"/>
            <rFont val="Tahoma"/>
            <family val="2"/>
          </rPr>
          <t xml:space="preserve"> are converted to MMTCO</t>
        </r>
        <r>
          <rPr>
            <vertAlign val="subscript"/>
            <sz val="8"/>
            <color indexed="81"/>
            <rFont val="Tahoma"/>
            <family val="2"/>
          </rPr>
          <t>2</t>
        </r>
        <r>
          <rPr>
            <sz val="8"/>
            <color indexed="81"/>
            <rFont val="Tahoma"/>
            <family val="2"/>
          </rPr>
          <t>E by multiplying by the GWP of CH</t>
        </r>
        <r>
          <rPr>
            <vertAlign val="subscript"/>
            <sz val="8"/>
            <color indexed="81"/>
            <rFont val="Tahoma"/>
            <family val="2"/>
          </rPr>
          <t>4</t>
        </r>
        <r>
          <rPr>
            <sz val="8"/>
            <color indexed="81"/>
            <rFont val="Tahoma"/>
            <family val="2"/>
          </rPr>
          <t>, or 21, and then dividing by 1,000,000</t>
        </r>
      </text>
    </comment>
  </commentList>
</comments>
</file>

<file path=xl/comments13.xml><?xml version="1.0" encoding="utf-8"?>
<comments xmlns="http://schemas.openxmlformats.org/spreadsheetml/2006/main">
  <authors>
    <author>Beth Moore</author>
  </authors>
  <commentList>
    <comment ref="L4" authorId="0">
      <text>
        <r>
          <rPr>
            <sz val="8"/>
            <color indexed="81"/>
            <rFont val="Tahoma"/>
            <family val="2"/>
          </rPr>
          <t>Million cubic feet are converted to MTCH</t>
        </r>
        <r>
          <rPr>
            <vertAlign val="subscript"/>
            <sz val="8"/>
            <color indexed="81"/>
            <rFont val="Tahoma"/>
            <family val="2"/>
          </rPr>
          <t>4</t>
        </r>
        <r>
          <rPr>
            <sz val="8"/>
            <color indexed="81"/>
            <rFont val="Tahoma"/>
            <family val="2"/>
          </rPr>
          <t xml:space="preserve"> by multiplying by 19.2 grams/cubic feet of CH</t>
        </r>
        <r>
          <rPr>
            <vertAlign val="subscript"/>
            <sz val="8"/>
            <color indexed="81"/>
            <rFont val="Tahoma"/>
            <family val="2"/>
          </rPr>
          <t>4</t>
        </r>
        <r>
          <rPr>
            <sz val="8"/>
            <color indexed="81"/>
            <rFont val="Tahoma"/>
            <family val="2"/>
          </rPr>
          <t>.</t>
        </r>
      </text>
    </comment>
    <comment ref="N4" authorId="0">
      <text>
        <r>
          <rPr>
            <sz val="8"/>
            <color indexed="81"/>
            <rFont val="Tahoma"/>
            <family val="2"/>
          </rPr>
          <t>MTCH</t>
        </r>
        <r>
          <rPr>
            <vertAlign val="subscript"/>
            <sz val="8"/>
            <color indexed="81"/>
            <rFont val="Tahoma"/>
            <family val="2"/>
          </rPr>
          <t>4</t>
        </r>
        <r>
          <rPr>
            <sz val="8"/>
            <color indexed="81"/>
            <rFont val="Tahoma"/>
            <family val="2"/>
          </rPr>
          <t xml:space="preserve"> are converted to MTCO</t>
        </r>
        <r>
          <rPr>
            <vertAlign val="subscript"/>
            <sz val="8"/>
            <color indexed="81"/>
            <rFont val="Tahoma"/>
            <family val="2"/>
          </rPr>
          <t>2</t>
        </r>
        <r>
          <rPr>
            <sz val="8"/>
            <color indexed="81"/>
            <rFont val="Tahoma"/>
            <family val="2"/>
          </rPr>
          <t>E by multiplying first by the GWP of CH</t>
        </r>
        <r>
          <rPr>
            <vertAlign val="subscript"/>
            <sz val="8"/>
            <color indexed="81"/>
            <rFont val="Tahoma"/>
            <family val="2"/>
          </rPr>
          <t>4</t>
        </r>
        <r>
          <rPr>
            <sz val="8"/>
            <color indexed="81"/>
            <rFont val="Tahoma"/>
            <family val="2"/>
          </rPr>
          <t>, or 21.</t>
        </r>
      </text>
    </comment>
    <comment ref="J8" authorId="0">
      <text>
        <r>
          <rPr>
            <sz val="8"/>
            <color indexed="81"/>
            <rFont val="Tahoma"/>
            <family val="2"/>
          </rPr>
          <t>Thousand cubic feet are converted to MTCH</t>
        </r>
        <r>
          <rPr>
            <vertAlign val="subscript"/>
            <sz val="8"/>
            <color indexed="81"/>
            <rFont val="Tahoma"/>
            <family val="2"/>
          </rPr>
          <t>4</t>
        </r>
        <r>
          <rPr>
            <sz val="8"/>
            <color indexed="81"/>
            <rFont val="Tahoma"/>
            <family val="2"/>
          </rPr>
          <t xml:space="preserve"> by dividing by 1,000, then by 19.2 grams/cubic feet of CH</t>
        </r>
        <r>
          <rPr>
            <vertAlign val="subscript"/>
            <sz val="8"/>
            <color indexed="81"/>
            <rFont val="Tahoma"/>
            <family val="2"/>
          </rPr>
          <t>4</t>
        </r>
        <r>
          <rPr>
            <sz val="8"/>
            <color indexed="81"/>
            <rFont val="Tahoma"/>
            <family val="2"/>
          </rPr>
          <t>.</t>
        </r>
      </text>
    </comment>
    <comment ref="L8" authorId="0">
      <text>
        <r>
          <rPr>
            <sz val="8"/>
            <color indexed="81"/>
            <rFont val="Tahoma"/>
            <family val="2"/>
          </rPr>
          <t>MTCH</t>
        </r>
        <r>
          <rPr>
            <vertAlign val="subscript"/>
            <sz val="8"/>
            <color indexed="81"/>
            <rFont val="Tahoma"/>
            <family val="2"/>
          </rPr>
          <t>4</t>
        </r>
        <r>
          <rPr>
            <sz val="8"/>
            <color indexed="81"/>
            <rFont val="Tahoma"/>
            <family val="2"/>
          </rPr>
          <t xml:space="preserve"> are converted to MTCO</t>
        </r>
        <r>
          <rPr>
            <vertAlign val="subscript"/>
            <sz val="8"/>
            <color indexed="81"/>
            <rFont val="Tahoma"/>
            <family val="2"/>
          </rPr>
          <t>2</t>
        </r>
        <r>
          <rPr>
            <sz val="8"/>
            <color indexed="81"/>
            <rFont val="Tahoma"/>
            <family val="2"/>
          </rPr>
          <t>E by multiplying first by the GWP of CH</t>
        </r>
        <r>
          <rPr>
            <vertAlign val="subscript"/>
            <sz val="8"/>
            <color indexed="81"/>
            <rFont val="Tahoma"/>
            <family val="2"/>
          </rPr>
          <t>4</t>
        </r>
        <r>
          <rPr>
            <sz val="8"/>
            <color indexed="81"/>
            <rFont val="Tahoma"/>
            <family val="2"/>
          </rPr>
          <t>, or 21.</t>
        </r>
      </text>
    </comment>
    <comment ref="J12" authorId="0">
      <text>
        <r>
          <rPr>
            <sz val="8"/>
            <color indexed="81"/>
            <rFont val="Tahoma"/>
            <family val="2"/>
          </rPr>
          <t>Thousand cubic feet are converted to MTCH</t>
        </r>
        <r>
          <rPr>
            <vertAlign val="subscript"/>
            <sz val="8"/>
            <color indexed="81"/>
            <rFont val="Tahoma"/>
            <family val="2"/>
          </rPr>
          <t>4</t>
        </r>
        <r>
          <rPr>
            <sz val="8"/>
            <color indexed="81"/>
            <rFont val="Tahoma"/>
            <family val="2"/>
          </rPr>
          <t xml:space="preserve"> by dividing by 1,000, then by 19.2 grams/cubic feet of CH</t>
        </r>
        <r>
          <rPr>
            <vertAlign val="subscript"/>
            <sz val="8"/>
            <color indexed="81"/>
            <rFont val="Tahoma"/>
            <family val="2"/>
          </rPr>
          <t>4</t>
        </r>
        <r>
          <rPr>
            <sz val="8"/>
            <color indexed="81"/>
            <rFont val="Tahoma"/>
            <family val="2"/>
          </rPr>
          <t>.</t>
        </r>
      </text>
    </comment>
    <comment ref="L12" authorId="0">
      <text>
        <r>
          <rPr>
            <sz val="8"/>
            <color indexed="81"/>
            <rFont val="Tahoma"/>
            <family val="2"/>
          </rPr>
          <t>MTCH</t>
        </r>
        <r>
          <rPr>
            <vertAlign val="subscript"/>
            <sz val="8"/>
            <color indexed="81"/>
            <rFont val="Tahoma"/>
            <family val="2"/>
          </rPr>
          <t>4</t>
        </r>
        <r>
          <rPr>
            <sz val="8"/>
            <color indexed="81"/>
            <rFont val="Tahoma"/>
            <family val="2"/>
          </rPr>
          <t xml:space="preserve"> are converted to MTCO</t>
        </r>
        <r>
          <rPr>
            <vertAlign val="subscript"/>
            <sz val="8"/>
            <color indexed="81"/>
            <rFont val="Tahoma"/>
            <family val="2"/>
          </rPr>
          <t>2</t>
        </r>
        <r>
          <rPr>
            <sz val="8"/>
            <color indexed="81"/>
            <rFont val="Tahoma"/>
            <family val="2"/>
          </rPr>
          <t>E by multiplying first by the GWP of CH</t>
        </r>
        <r>
          <rPr>
            <vertAlign val="subscript"/>
            <sz val="8"/>
            <color indexed="81"/>
            <rFont val="Tahoma"/>
            <family val="2"/>
          </rPr>
          <t>4</t>
        </r>
        <r>
          <rPr>
            <sz val="8"/>
            <color indexed="81"/>
            <rFont val="Tahoma"/>
            <family val="2"/>
          </rPr>
          <t>, or 21.</t>
        </r>
      </text>
    </comment>
  </commentList>
</comments>
</file>

<file path=xl/comments14.xml><?xml version="1.0" encoding="utf-8"?>
<comments xmlns="http://schemas.openxmlformats.org/spreadsheetml/2006/main">
  <authors>
    <author>sal</author>
  </authors>
  <commentList>
    <comment ref="E10" authorId="0">
      <text>
        <r>
          <rPr>
            <b/>
            <sz val="9"/>
            <color indexed="81"/>
            <rFont val="Tahoma"/>
            <family val="2"/>
          </rPr>
          <t>Based on 2011 Pop.</t>
        </r>
      </text>
    </comment>
    <comment ref="E16" authorId="0">
      <text>
        <r>
          <rPr>
            <sz val="9"/>
            <color indexed="81"/>
            <rFont val="Tahoma"/>
            <family val="2"/>
          </rPr>
          <t xml:space="preserve">2010 Available data.
</t>
        </r>
      </text>
    </comment>
    <comment ref="C22" authorId="0">
      <text>
        <r>
          <rPr>
            <sz val="9"/>
            <color indexed="81"/>
            <rFont val="Tahoma"/>
            <family val="2"/>
          </rPr>
          <t>2014 USDA lbs/2204.58 =metric tons</t>
        </r>
      </text>
    </comment>
  </commentList>
</comments>
</file>

<file path=xl/comments15.xml><?xml version="1.0" encoding="utf-8"?>
<comments xmlns="http://schemas.openxmlformats.org/spreadsheetml/2006/main">
  <authors>
    <author>Philip Groth</author>
    <author>DLekas</author>
    <author>amohammed</author>
    <author>Katrin Peterson</author>
    <author>sal</author>
    <author>J Casola</author>
    <author>rthunell</author>
    <author>12796</author>
  </authors>
  <commentList>
    <comment ref="I4" authorId="0">
      <text>
        <r>
          <rPr>
            <sz val="8"/>
            <color indexed="81"/>
            <rFont val="Tahoma"/>
            <family val="2"/>
          </rPr>
          <t>Kg of methane are converted to metric tons by dividing by 1000. This is then converted to MMTCH</t>
        </r>
        <r>
          <rPr>
            <vertAlign val="subscript"/>
            <sz val="8"/>
            <color indexed="81"/>
            <rFont val="Tahoma"/>
            <family val="2"/>
          </rPr>
          <t>4</t>
        </r>
        <r>
          <rPr>
            <sz val="8"/>
            <color indexed="81"/>
            <rFont val="Tahoma"/>
            <family val="2"/>
          </rPr>
          <t xml:space="preserve"> by dividing by 1,000,000.</t>
        </r>
      </text>
    </comment>
    <comment ref="K4" authorId="0">
      <text>
        <r>
          <rPr>
            <sz val="8"/>
            <color indexed="81"/>
            <rFont val="Tahoma"/>
            <family val="2"/>
          </rPr>
          <t>MMTCH</t>
        </r>
        <r>
          <rPr>
            <vertAlign val="subscript"/>
            <sz val="8"/>
            <color indexed="81"/>
            <rFont val="Tahoma"/>
            <family val="2"/>
          </rPr>
          <t>4</t>
        </r>
        <r>
          <rPr>
            <sz val="8"/>
            <color indexed="81"/>
            <rFont val="Tahoma"/>
            <family val="2"/>
          </rPr>
          <t xml:space="preserve"> are converted to MMTCE by multiply by methane's global warming potential (21) and then 12/44 (to convert from CO</t>
        </r>
        <r>
          <rPr>
            <vertAlign val="subscript"/>
            <sz val="8"/>
            <color indexed="81"/>
            <rFont val="Tahoma"/>
            <family val="2"/>
          </rPr>
          <t>2</t>
        </r>
        <r>
          <rPr>
            <sz val="8"/>
            <color indexed="81"/>
            <rFont val="Tahoma"/>
            <family val="2"/>
          </rPr>
          <t xml:space="preserve"> to C).</t>
        </r>
      </text>
    </comment>
    <comment ref="M4" authorId="0">
      <text>
        <r>
          <rPr>
            <sz val="8"/>
            <color indexed="81"/>
            <rFont val="Tahoma"/>
            <family val="2"/>
          </rPr>
          <t>MMTCE are converted to MMTCO</t>
        </r>
        <r>
          <rPr>
            <vertAlign val="subscript"/>
            <sz val="8"/>
            <color indexed="81"/>
            <rFont val="Tahoma"/>
            <family val="2"/>
          </rPr>
          <t>2</t>
        </r>
        <r>
          <rPr>
            <sz val="8"/>
            <color indexed="81"/>
            <rFont val="Tahoma"/>
            <family val="2"/>
          </rPr>
          <t>E by dividing by 12/44 (to convert from C to CO</t>
        </r>
        <r>
          <rPr>
            <vertAlign val="subscript"/>
            <sz val="8"/>
            <color indexed="81"/>
            <rFont val="Tahoma"/>
            <family val="2"/>
          </rPr>
          <t>2</t>
        </r>
        <r>
          <rPr>
            <sz val="8"/>
            <color indexed="81"/>
            <rFont val="Tahoma"/>
            <family val="2"/>
          </rPr>
          <t>).</t>
        </r>
      </text>
    </comment>
    <comment ref="M30" authorId="1">
      <text>
        <r>
          <rPr>
            <sz val="8"/>
            <color indexed="81"/>
            <rFont val="Tahoma"/>
            <family val="2"/>
          </rPr>
          <t>Sum of MCF for each animal's management system x Percent of Manure Managed in that system</t>
        </r>
      </text>
    </comment>
    <comment ref="B52" authorId="1">
      <text>
        <r>
          <rPr>
            <sz val="8"/>
            <color indexed="81"/>
            <rFont val="Tahoma"/>
            <family val="2"/>
          </rPr>
          <t>Includes:  Pullets laying, Pullets &gt; 3 mo., and Pullets &lt; 3 mo.</t>
        </r>
      </text>
    </comment>
    <comment ref="C53" authorId="2">
      <text>
        <r>
          <rPr>
            <b/>
            <sz val="9"/>
            <color indexed="81"/>
            <rFont val="Tahoma"/>
            <family val="2"/>
          </rPr>
          <t>amohammed:</t>
        </r>
        <r>
          <rPr>
            <sz val="9"/>
            <color indexed="81"/>
            <rFont val="Tahoma"/>
            <family val="2"/>
          </rPr>
          <t xml:space="preserve">
2013 Data: USDA Maryland Agriculture Statistics</t>
        </r>
      </text>
    </comment>
    <comment ref="B54" authorId="1">
      <text>
        <r>
          <rPr>
            <sz val="8"/>
            <color indexed="81"/>
            <rFont val="Tahoma"/>
            <family val="2"/>
          </rPr>
          <t>Includes: Regular Broilers, Other (Lost), and Other (Sold)</t>
        </r>
      </text>
    </comment>
    <comment ref="C55" authorId="2">
      <text>
        <r>
          <rPr>
            <b/>
            <sz val="9"/>
            <color indexed="81"/>
            <rFont val="Tahoma"/>
            <family val="2"/>
          </rPr>
          <t>amohammed:</t>
        </r>
        <r>
          <rPr>
            <sz val="9"/>
            <color indexed="81"/>
            <rFont val="Tahoma"/>
            <family val="2"/>
          </rPr>
          <t xml:space="preserve">
SIT Default 2011</t>
        </r>
      </text>
    </comment>
    <comment ref="B57" authorId="3">
      <text>
        <r>
          <rPr>
            <sz val="8"/>
            <color indexed="81"/>
            <rFont val="Tahoma"/>
            <family val="2"/>
          </rPr>
          <t>Sheep on feed that are in feedlots were assumed to be manged using a dry lot system, all others were assumed to be PRP.</t>
        </r>
      </text>
    </comment>
    <comment ref="C58" authorId="4">
      <text>
        <r>
          <rPr>
            <b/>
            <sz val="9"/>
            <color indexed="81"/>
            <rFont val="Tahoma"/>
            <family val="2"/>
          </rPr>
          <t>SIT Default 2011</t>
        </r>
      </text>
    </comment>
    <comment ref="S66" authorId="0">
      <text>
        <r>
          <rPr>
            <sz val="8"/>
            <color indexed="81"/>
            <rFont val="Tahoma"/>
            <family val="2"/>
          </rPr>
          <t>MTCE are converted to MMTCE by dividing by 1,000,000.</t>
        </r>
      </text>
    </comment>
    <comment ref="C71" authorId="4">
      <text>
        <r>
          <rPr>
            <sz val="9"/>
            <color indexed="81"/>
            <rFont val="Tahoma"/>
            <family val="2"/>
          </rPr>
          <t>SIT 2009 default</t>
        </r>
      </text>
    </comment>
    <comment ref="C72" authorId="4">
      <text>
        <r>
          <rPr>
            <sz val="9"/>
            <color indexed="81"/>
            <rFont val="Tahoma"/>
            <family val="2"/>
          </rPr>
          <t xml:space="preserve">SIT 2009 Default </t>
        </r>
      </text>
    </comment>
    <comment ref="B81" authorId="1">
      <text>
        <r>
          <rPr>
            <sz val="8"/>
            <color indexed="81"/>
            <rFont val="Tahoma"/>
            <family val="2"/>
          </rPr>
          <t>Includes: Regular Broilers, Other (Lost), and Other (Sold)</t>
        </r>
      </text>
    </comment>
    <comment ref="C82" authorId="4">
      <text>
        <r>
          <rPr>
            <sz val="9"/>
            <color indexed="81"/>
            <rFont val="Tahoma"/>
            <family val="2"/>
          </rPr>
          <t xml:space="preserve">SIT 2009 Default data
</t>
        </r>
      </text>
    </comment>
    <comment ref="C83" authorId="4">
      <text>
        <r>
          <rPr>
            <sz val="9"/>
            <color indexed="81"/>
            <rFont val="Tahoma"/>
            <family val="2"/>
          </rPr>
          <t>2013 Data; USDA Maryland Agriculture Staistics</t>
        </r>
      </text>
    </comment>
    <comment ref="C84" authorId="4">
      <text>
        <r>
          <rPr>
            <sz val="9"/>
            <color indexed="81"/>
            <rFont val="Tahoma"/>
            <family val="2"/>
          </rPr>
          <t xml:space="preserve">SIT 2009 Default data
</t>
        </r>
      </text>
    </comment>
    <comment ref="C85" authorId="4">
      <text>
        <r>
          <rPr>
            <sz val="9"/>
            <color indexed="81"/>
            <rFont val="Tahoma"/>
            <family val="2"/>
          </rPr>
          <t xml:space="preserve">SIT 2014 Default data
</t>
        </r>
      </text>
    </comment>
    <comment ref="C88" authorId="4">
      <text>
        <r>
          <rPr>
            <b/>
            <sz val="9"/>
            <color indexed="81"/>
            <rFont val="Tahoma"/>
            <family val="2"/>
          </rPr>
          <t>USDA 2009 data</t>
        </r>
      </text>
    </comment>
    <comment ref="E95" authorId="1">
      <text>
        <r>
          <rPr>
            <sz val="8"/>
            <color indexed="81"/>
            <rFont val="Tahoma"/>
            <family val="2"/>
          </rPr>
          <t>This data can be obtained departments in each state responsible for agricultural research.  USDA: http://www.nass.usda.gov/Data_and_Statistics/index.asp</t>
        </r>
      </text>
    </comment>
    <comment ref="G95" authorId="5">
      <text>
        <r>
          <rPr>
            <b/>
            <sz val="8"/>
            <color indexed="81"/>
            <rFont val="Tahoma"/>
            <family val="2"/>
          </rPr>
          <t>J Casola:</t>
        </r>
        <r>
          <rPr>
            <sz val="8"/>
            <color indexed="81"/>
            <rFont val="Tahoma"/>
            <family val="2"/>
          </rPr>
          <t xml:space="preserve">
Corn for Grain, All Wheat, Barley, Sorghum, Oats, Rye, and Soybeans back-calculated from bushel and tonnage values found in "Field Crops, Final Estimates, 1992-1997" SB 947a USDA/NASS. Other crops assumed conversion 0.027215</t>
        </r>
      </text>
    </comment>
    <comment ref="I95" authorId="1">
      <text>
        <r>
          <rPr>
            <b/>
            <sz val="8"/>
            <color indexed="81"/>
            <rFont val="Tahoma"/>
            <family val="2"/>
          </rPr>
          <t>DLekas:</t>
        </r>
        <r>
          <rPr>
            <sz val="8"/>
            <color indexed="81"/>
            <rFont val="Tahoma"/>
            <family val="2"/>
          </rPr>
          <t xml:space="preserve">
EIIP 1999 &amp; EPA 2001</t>
        </r>
      </text>
    </comment>
    <comment ref="AC95" authorId="0">
      <text>
        <r>
          <rPr>
            <sz val="8"/>
            <color indexed="81"/>
            <rFont val="Tahoma"/>
            <family val="2"/>
          </rPr>
          <t>Metric tons N</t>
        </r>
        <r>
          <rPr>
            <vertAlign val="subscript"/>
            <sz val="8"/>
            <color indexed="81"/>
            <rFont val="Tahoma"/>
            <family val="2"/>
          </rPr>
          <t>2</t>
        </r>
        <r>
          <rPr>
            <sz val="8"/>
            <color indexed="81"/>
            <rFont val="Tahoma"/>
            <family val="2"/>
          </rPr>
          <t>O are converted to MMTCE by multiplying by the N</t>
        </r>
        <r>
          <rPr>
            <vertAlign val="subscript"/>
            <sz val="8"/>
            <color indexed="81"/>
            <rFont val="Tahoma"/>
            <family val="2"/>
          </rPr>
          <t>2</t>
        </r>
        <r>
          <rPr>
            <sz val="8"/>
            <color indexed="81"/>
            <rFont val="Tahoma"/>
            <family val="2"/>
          </rPr>
          <t>O global warming potential (310 N</t>
        </r>
        <r>
          <rPr>
            <vertAlign val="subscript"/>
            <sz val="8"/>
            <color indexed="81"/>
            <rFont val="Tahoma"/>
            <family val="2"/>
          </rPr>
          <t>2</t>
        </r>
        <r>
          <rPr>
            <sz val="8"/>
            <color indexed="81"/>
            <rFont val="Tahoma"/>
            <family val="2"/>
          </rPr>
          <t>O/CO</t>
        </r>
        <r>
          <rPr>
            <vertAlign val="subscript"/>
            <sz val="8"/>
            <color indexed="81"/>
            <rFont val="Tahoma"/>
            <family val="2"/>
          </rPr>
          <t>2</t>
        </r>
        <r>
          <rPr>
            <sz val="8"/>
            <color indexed="81"/>
            <rFont val="Tahoma"/>
            <family val="2"/>
          </rPr>
          <t>). multiplying by 12/44 (to convert from CO</t>
        </r>
        <r>
          <rPr>
            <vertAlign val="subscript"/>
            <sz val="8"/>
            <color indexed="81"/>
            <rFont val="Tahoma"/>
            <family val="2"/>
          </rPr>
          <t>2</t>
        </r>
        <r>
          <rPr>
            <sz val="8"/>
            <color indexed="81"/>
            <rFont val="Tahoma"/>
            <family val="2"/>
          </rPr>
          <t xml:space="preserve"> to C), and then dividing by 1,000,000.
</t>
        </r>
      </text>
    </comment>
    <comment ref="AE95" authorId="0">
      <text>
        <r>
          <rPr>
            <sz val="8"/>
            <color indexed="81"/>
            <rFont val="Tahoma"/>
            <family val="2"/>
          </rPr>
          <t>MMTCE are converted to MMTCO</t>
        </r>
        <r>
          <rPr>
            <vertAlign val="subscript"/>
            <sz val="8"/>
            <color indexed="81"/>
            <rFont val="Tahoma"/>
            <family val="2"/>
          </rPr>
          <t>2</t>
        </r>
        <r>
          <rPr>
            <sz val="8"/>
            <color indexed="81"/>
            <rFont val="Tahoma"/>
            <family val="2"/>
          </rPr>
          <t>E by dividing by 12/44 (to convert from C to CO</t>
        </r>
        <r>
          <rPr>
            <vertAlign val="subscript"/>
            <sz val="8"/>
            <color indexed="81"/>
            <rFont val="Tahoma"/>
            <family val="2"/>
          </rPr>
          <t>2</t>
        </r>
        <r>
          <rPr>
            <sz val="8"/>
            <color indexed="81"/>
            <rFont val="Tahoma"/>
            <family val="2"/>
          </rPr>
          <t>).</t>
        </r>
      </text>
    </comment>
    <comment ref="E123" authorId="1">
      <text>
        <r>
          <rPr>
            <sz val="7"/>
            <color indexed="81"/>
            <rFont val="Tahoma"/>
            <family val="2"/>
          </rPr>
          <t>According to the US Inventory, 65% of the fertilizer consumption takes place from Jan-June and 35% from July-Dec.</t>
        </r>
      </text>
    </comment>
    <comment ref="S123" authorId="0">
      <text>
        <r>
          <rPr>
            <sz val="8"/>
            <color indexed="81"/>
            <rFont val="Tahoma"/>
            <family val="2"/>
          </rPr>
          <t>Metric tons N</t>
        </r>
        <r>
          <rPr>
            <vertAlign val="subscript"/>
            <sz val="8"/>
            <color indexed="81"/>
            <rFont val="Tahoma"/>
            <family val="2"/>
          </rPr>
          <t>2</t>
        </r>
        <r>
          <rPr>
            <sz val="8"/>
            <color indexed="81"/>
            <rFont val="Tahoma"/>
            <family val="2"/>
          </rPr>
          <t>O are converted to MMTCE by multiplying by the N</t>
        </r>
        <r>
          <rPr>
            <vertAlign val="subscript"/>
            <sz val="8"/>
            <color indexed="81"/>
            <rFont val="Tahoma"/>
            <family val="2"/>
          </rPr>
          <t>2</t>
        </r>
        <r>
          <rPr>
            <sz val="8"/>
            <color indexed="81"/>
            <rFont val="Tahoma"/>
            <family val="2"/>
          </rPr>
          <t>O global warming potential (310 N</t>
        </r>
        <r>
          <rPr>
            <vertAlign val="subscript"/>
            <sz val="8"/>
            <color indexed="81"/>
            <rFont val="Tahoma"/>
            <family val="2"/>
          </rPr>
          <t>2</t>
        </r>
        <r>
          <rPr>
            <sz val="8"/>
            <color indexed="81"/>
            <rFont val="Tahoma"/>
            <family val="2"/>
          </rPr>
          <t>O/CO</t>
        </r>
        <r>
          <rPr>
            <vertAlign val="subscript"/>
            <sz val="8"/>
            <color indexed="81"/>
            <rFont val="Tahoma"/>
            <family val="2"/>
          </rPr>
          <t>2</t>
        </r>
        <r>
          <rPr>
            <sz val="8"/>
            <color indexed="81"/>
            <rFont val="Tahoma"/>
            <family val="2"/>
          </rPr>
          <t>). multiplying by 12/44 (to convert from CO</t>
        </r>
        <r>
          <rPr>
            <vertAlign val="subscript"/>
            <sz val="8"/>
            <color indexed="81"/>
            <rFont val="Tahoma"/>
            <family val="2"/>
          </rPr>
          <t>2</t>
        </r>
        <r>
          <rPr>
            <sz val="8"/>
            <color indexed="81"/>
            <rFont val="Tahoma"/>
            <family val="2"/>
          </rPr>
          <t xml:space="preserve"> to C), and then dividing by 1,000,000.
</t>
        </r>
      </text>
    </comment>
    <comment ref="U123" authorId="0">
      <text>
        <r>
          <rPr>
            <sz val="8"/>
            <color indexed="81"/>
            <rFont val="Tahoma"/>
            <family val="2"/>
          </rPr>
          <t>Metric tons N</t>
        </r>
        <r>
          <rPr>
            <vertAlign val="subscript"/>
            <sz val="8"/>
            <color indexed="81"/>
            <rFont val="Tahoma"/>
            <family val="2"/>
          </rPr>
          <t>2</t>
        </r>
        <r>
          <rPr>
            <sz val="8"/>
            <color indexed="81"/>
            <rFont val="Tahoma"/>
            <family val="2"/>
          </rPr>
          <t>O are converted to MMTCE by multiplying by the N</t>
        </r>
        <r>
          <rPr>
            <vertAlign val="subscript"/>
            <sz val="8"/>
            <color indexed="81"/>
            <rFont val="Tahoma"/>
            <family val="2"/>
          </rPr>
          <t>2</t>
        </r>
        <r>
          <rPr>
            <sz val="8"/>
            <color indexed="81"/>
            <rFont val="Tahoma"/>
            <family val="2"/>
          </rPr>
          <t>O global warming potential (310 N</t>
        </r>
        <r>
          <rPr>
            <vertAlign val="subscript"/>
            <sz val="8"/>
            <color indexed="81"/>
            <rFont val="Tahoma"/>
            <family val="2"/>
          </rPr>
          <t>2</t>
        </r>
        <r>
          <rPr>
            <sz val="8"/>
            <color indexed="81"/>
            <rFont val="Tahoma"/>
            <family val="2"/>
          </rPr>
          <t>O/CO</t>
        </r>
        <r>
          <rPr>
            <vertAlign val="subscript"/>
            <sz val="8"/>
            <color indexed="81"/>
            <rFont val="Tahoma"/>
            <family val="2"/>
          </rPr>
          <t>2</t>
        </r>
        <r>
          <rPr>
            <sz val="8"/>
            <color indexed="81"/>
            <rFont val="Tahoma"/>
            <family val="2"/>
          </rPr>
          <t>). multiplying by 12/44 (to convert from CO</t>
        </r>
        <r>
          <rPr>
            <vertAlign val="subscript"/>
            <sz val="8"/>
            <color indexed="81"/>
            <rFont val="Tahoma"/>
            <family val="2"/>
          </rPr>
          <t>2</t>
        </r>
        <r>
          <rPr>
            <sz val="8"/>
            <color indexed="81"/>
            <rFont val="Tahoma"/>
            <family val="2"/>
          </rPr>
          <t xml:space="preserve"> to C), and then dividing by 1,000,000.
</t>
        </r>
      </text>
    </comment>
    <comment ref="W123" authorId="0">
      <text>
        <r>
          <rPr>
            <sz val="8"/>
            <color indexed="81"/>
            <rFont val="Tahoma"/>
            <family val="2"/>
          </rPr>
          <t>MMTCE are converted to MMTCO</t>
        </r>
        <r>
          <rPr>
            <vertAlign val="subscript"/>
            <sz val="8"/>
            <color indexed="81"/>
            <rFont val="Tahoma"/>
            <family val="2"/>
          </rPr>
          <t>2</t>
        </r>
        <r>
          <rPr>
            <sz val="8"/>
            <color indexed="81"/>
            <rFont val="Tahoma"/>
            <family val="2"/>
          </rPr>
          <t>E by dividing by 12/44 (to convert from C to CO</t>
        </r>
        <r>
          <rPr>
            <vertAlign val="subscript"/>
            <sz val="8"/>
            <color indexed="81"/>
            <rFont val="Tahoma"/>
            <family val="2"/>
          </rPr>
          <t>2</t>
        </r>
        <r>
          <rPr>
            <sz val="8"/>
            <color indexed="81"/>
            <rFont val="Tahoma"/>
            <family val="2"/>
          </rPr>
          <t>).</t>
        </r>
      </text>
    </comment>
    <comment ref="Y123" authorId="0">
      <text>
        <r>
          <rPr>
            <sz val="8"/>
            <color indexed="81"/>
            <rFont val="Tahoma"/>
            <family val="2"/>
          </rPr>
          <t>MMTCE are converted to MMTCO</t>
        </r>
        <r>
          <rPr>
            <vertAlign val="subscript"/>
            <sz val="8"/>
            <color indexed="81"/>
            <rFont val="Tahoma"/>
            <family val="2"/>
          </rPr>
          <t>2</t>
        </r>
        <r>
          <rPr>
            <sz val="8"/>
            <color indexed="81"/>
            <rFont val="Tahoma"/>
            <family val="2"/>
          </rPr>
          <t>E by dividing by 12/44 (to convert from C to CO</t>
        </r>
        <r>
          <rPr>
            <vertAlign val="subscript"/>
            <sz val="8"/>
            <color indexed="81"/>
            <rFont val="Tahoma"/>
            <family val="2"/>
          </rPr>
          <t>2</t>
        </r>
        <r>
          <rPr>
            <sz val="8"/>
            <color indexed="81"/>
            <rFont val="Tahoma"/>
            <family val="2"/>
          </rPr>
          <t>).</t>
        </r>
      </text>
    </comment>
    <comment ref="C124" authorId="4">
      <text>
        <r>
          <rPr>
            <sz val="9"/>
            <color indexed="81"/>
            <rFont val="Tahoma"/>
            <family val="2"/>
          </rPr>
          <t>Total Nitrogen "2012 Tonnage Report" -MDA
July 2012 - June 2013</t>
        </r>
      </text>
    </comment>
    <comment ref="O124" authorId="6">
      <text>
        <r>
          <rPr>
            <b/>
            <sz val="8"/>
            <color indexed="81"/>
            <rFont val="Tahoma"/>
            <family val="2"/>
          </rPr>
          <t>rthunell:</t>
        </r>
        <r>
          <rPr>
            <sz val="8"/>
            <color indexed="81"/>
            <rFont val="Tahoma"/>
            <family val="2"/>
          </rPr>
          <t xml:space="preserve">
Emissions = 
(Activity/kg_ MT CF) x EF_Dir x N2O_N2 CF
kg_MT CF = 1000
EF_DIR = 0.01
N2O_N2 CF = 44/28</t>
        </r>
      </text>
    </comment>
    <comment ref="Q124" authorId="6">
      <text>
        <r>
          <rPr>
            <b/>
            <sz val="8"/>
            <color indexed="81"/>
            <rFont val="Tahoma"/>
            <family val="2"/>
          </rPr>
          <t>rthunell:</t>
        </r>
        <r>
          <rPr>
            <sz val="8"/>
            <color indexed="81"/>
            <rFont val="Tahoma"/>
            <family val="2"/>
          </rPr>
          <t xml:space="preserve">
rthunell:
Emissions = 
(Activity/kg_ MT CF) x EF_VOL x N2O_N2 CF
kg_MT CF = 1000
EF_VOL = 0.01
N2O_N2 CF = 44/28</t>
        </r>
      </text>
    </comment>
    <comment ref="K125" authorId="1">
      <text>
        <r>
          <rPr>
            <sz val="8"/>
            <color indexed="81"/>
            <rFont val="Tahoma"/>
            <family val="2"/>
          </rPr>
          <t xml:space="preserve">According to the IPCC Good Practice Guidance, the manure portion of organic fertilizers is subtracted from the total of organic fertilizers. </t>
        </r>
        <r>
          <rPr>
            <sz val="8"/>
            <color indexed="81"/>
            <rFont val="Tahoma"/>
            <family val="2"/>
          </rPr>
          <t xml:space="preserve">
</t>
        </r>
      </text>
    </comment>
    <comment ref="M125" authorId="1">
      <text>
        <r>
          <rPr>
            <sz val="8"/>
            <color indexed="81"/>
            <rFont val="Tahoma"/>
            <family val="2"/>
          </rPr>
          <t xml:space="preserve">According to the IPCC Good Practice Guidance, the manure portion of organic fertilizers is subtracted from the total of organic fertilizers. </t>
        </r>
        <r>
          <rPr>
            <sz val="8"/>
            <color indexed="81"/>
            <rFont val="Tahoma"/>
            <family val="2"/>
          </rPr>
          <t xml:space="preserve">
</t>
        </r>
      </text>
    </comment>
    <comment ref="B135" authorId="1">
      <text>
        <r>
          <rPr>
            <sz val="8"/>
            <color indexed="81"/>
            <rFont val="Tahoma"/>
            <family val="2"/>
          </rPr>
          <t xml:space="preserve">According to the IPCC Good Practice Guidance, the manure portion of organic fertilizers is subtracted from the total of organic fertilizers. </t>
        </r>
        <r>
          <rPr>
            <sz val="8"/>
            <color indexed="81"/>
            <rFont val="Tahoma"/>
            <family val="2"/>
          </rPr>
          <t xml:space="preserve">
</t>
        </r>
      </text>
    </comment>
    <comment ref="C140" authorId="4">
      <text>
        <r>
          <rPr>
            <sz val="9"/>
            <color indexed="81"/>
            <rFont val="Tahoma"/>
            <family val="2"/>
          </rPr>
          <t>Total Nitrogen "2013 Tonnage Report" -MDA
July 2013 - June 2014</t>
        </r>
      </text>
    </comment>
    <comment ref="B151" authorId="1">
      <text>
        <r>
          <rPr>
            <sz val="8"/>
            <color indexed="81"/>
            <rFont val="Tahoma"/>
            <family val="2"/>
          </rPr>
          <t xml:space="preserve">According to the IPCC Good Practice Guidance, the manure portion of organic fertilizers is subtracted from the total of organic fertilizers. </t>
        </r>
        <r>
          <rPr>
            <sz val="8"/>
            <color indexed="81"/>
            <rFont val="Tahoma"/>
            <family val="2"/>
          </rPr>
          <t xml:space="preserve">
</t>
        </r>
      </text>
    </comment>
    <comment ref="E155" authorId="6">
      <text>
        <r>
          <rPr>
            <b/>
            <sz val="8"/>
            <color indexed="81"/>
            <rFont val="Tahoma"/>
            <family val="2"/>
          </rPr>
          <t>rthunell:</t>
        </r>
        <r>
          <rPr>
            <sz val="8"/>
            <color indexed="81"/>
            <rFont val="Tahoma"/>
            <family val="2"/>
          </rPr>
          <t xml:space="preserve">
TAM: Typical Animal Mass</t>
        </r>
      </text>
    </comment>
    <comment ref="K155" authorId="1">
      <text>
        <r>
          <rPr>
            <sz val="8"/>
            <color indexed="81"/>
            <rFont val="Tahoma"/>
            <family val="2"/>
          </rPr>
          <t>Volatilization = 20%; 
NH3-NOx EF (kg N2O/kg N) = 0.01</t>
        </r>
      </text>
    </comment>
    <comment ref="S155" authorId="6">
      <text>
        <r>
          <rPr>
            <b/>
            <sz val="8"/>
            <color indexed="81"/>
            <rFont val="Tahoma"/>
            <family val="2"/>
          </rPr>
          <t>rthunell:</t>
        </r>
        <r>
          <rPr>
            <sz val="8"/>
            <color indexed="81"/>
            <rFont val="Tahoma"/>
            <family val="2"/>
          </rPr>
          <t xml:space="preserve">
Volatilization = 20%; 
NonVOL EF (kg N2O/kg N) = 0.0125
Poultry Not Managed = 0.042
</t>
        </r>
      </text>
    </comment>
    <comment ref="U155" authorId="6">
      <text>
        <r>
          <rPr>
            <b/>
            <sz val="8"/>
            <color indexed="81"/>
            <rFont val="Tahoma"/>
            <family val="2"/>
          </rPr>
          <t>rthunell:</t>
        </r>
        <r>
          <rPr>
            <sz val="8"/>
            <color indexed="81"/>
            <rFont val="Tahoma"/>
            <family val="2"/>
          </rPr>
          <t xml:space="preserve">
prtEF = 0.02</t>
        </r>
      </text>
    </comment>
    <comment ref="W155" authorId="6">
      <text>
        <r>
          <rPr>
            <b/>
            <sz val="8"/>
            <color indexed="81"/>
            <rFont val="Tahoma"/>
            <family val="2"/>
          </rPr>
          <t>rthunell:</t>
        </r>
        <r>
          <rPr>
            <sz val="8"/>
            <color indexed="81"/>
            <rFont val="Tahoma"/>
            <family val="2"/>
          </rPr>
          <t xml:space="preserve">
Leach EF = 0.30
Runoff/Leach EF = 0.0075</t>
        </r>
      </text>
    </comment>
    <comment ref="BN155" authorId="1">
      <text>
        <r>
          <rPr>
            <b/>
            <sz val="8"/>
            <color indexed="81"/>
            <rFont val="Tahoma"/>
            <family val="2"/>
          </rPr>
          <t>DLekas:</t>
        </r>
        <r>
          <rPr>
            <sz val="8"/>
            <color indexed="81"/>
            <rFont val="Tahoma"/>
            <family val="2"/>
          </rPr>
          <t xml:space="preserve">
Source: EIIP Table 7.4.6</t>
        </r>
      </text>
    </comment>
    <comment ref="BQ155" authorId="1">
      <text>
        <r>
          <rPr>
            <b/>
            <sz val="8"/>
            <color indexed="81"/>
            <rFont val="Tahoma"/>
            <family val="2"/>
          </rPr>
          <t>DLekas:</t>
        </r>
        <r>
          <rPr>
            <sz val="8"/>
            <color indexed="81"/>
            <rFont val="Tahoma"/>
            <family val="2"/>
          </rPr>
          <t xml:space="preserve">
Source: EIIP Table 7.4.7
</t>
        </r>
      </text>
    </comment>
    <comment ref="BU155" authorId="1">
      <text>
        <r>
          <rPr>
            <b/>
            <sz val="8"/>
            <color indexed="81"/>
            <rFont val="Tahoma"/>
            <family val="2"/>
          </rPr>
          <t>DLekas:</t>
        </r>
        <r>
          <rPr>
            <sz val="8"/>
            <color indexed="81"/>
            <rFont val="Tahoma"/>
            <family val="2"/>
          </rPr>
          <t xml:space="preserve">
US Inventory
0% was assumed for both on feed and not on feed sheep for states without sheep data</t>
        </r>
      </text>
    </comment>
    <comment ref="BY155" authorId="1">
      <text>
        <r>
          <rPr>
            <b/>
            <sz val="8"/>
            <color indexed="81"/>
            <rFont val="Tahoma"/>
            <family val="2"/>
          </rPr>
          <t xml:space="preserve">Pgroth: </t>
        </r>
        <r>
          <rPr>
            <sz val="8"/>
            <color indexed="81"/>
            <rFont val="Tahoma"/>
            <family val="2"/>
          </rPr>
          <t>Changed to 100% PRP in 1/03 per discussion w/Joe Mangino.</t>
        </r>
      </text>
    </comment>
    <comment ref="CB155" authorId="1">
      <text>
        <r>
          <rPr>
            <b/>
            <sz val="8"/>
            <color indexed="81"/>
            <rFont val="Tahoma"/>
            <family val="2"/>
          </rPr>
          <t xml:space="preserve">Pgroth: </t>
        </r>
        <r>
          <rPr>
            <sz val="8"/>
            <color indexed="81"/>
            <rFont val="Tahoma"/>
            <family val="2"/>
          </rPr>
          <t>Changed to 100% PRP in 1/03 per discussion w/Joe Mangino.</t>
        </r>
      </text>
    </comment>
    <comment ref="BI156" authorId="0">
      <text>
        <r>
          <rPr>
            <b/>
            <sz val="8"/>
            <color indexed="81"/>
            <rFont val="Tahoma"/>
            <family val="2"/>
          </rPr>
          <t>Philip Groth:</t>
        </r>
        <r>
          <rPr>
            <sz val="8"/>
            <color indexed="81"/>
            <rFont val="Tahoma"/>
            <family val="2"/>
          </rPr>
          <t xml:space="preserve">
ERG:
Assumed "Other" Systems fall into a category with an emission factor similar to solid storage.</t>
        </r>
      </text>
    </comment>
    <comment ref="C160" authorId="4">
      <text>
        <r>
          <rPr>
            <sz val="9"/>
            <color indexed="81"/>
            <rFont val="Tahoma"/>
            <family val="2"/>
          </rPr>
          <t>SIT 2009 default</t>
        </r>
      </text>
    </comment>
    <comment ref="C161" authorId="4">
      <text>
        <r>
          <rPr>
            <sz val="9"/>
            <color indexed="81"/>
            <rFont val="Tahoma"/>
            <family val="2"/>
          </rPr>
          <t xml:space="preserve">SIT 2009 Default </t>
        </r>
      </text>
    </comment>
    <comment ref="B166" authorId="7">
      <text>
        <r>
          <rPr>
            <sz val="8"/>
            <color indexed="81"/>
            <rFont val="Tahoma"/>
            <family val="2"/>
          </rPr>
          <t>Includes Heifer Stockers and Beef Replacement Heifers.</t>
        </r>
      </text>
    </comment>
    <comment ref="C166" authorId="4">
      <text>
        <r>
          <rPr>
            <sz val="9"/>
            <color indexed="81"/>
            <rFont val="Tahoma"/>
            <family val="2"/>
          </rPr>
          <t xml:space="preserve">Total Beef Heifers = Heifer Stockers + Beef Replacement Heifer
</t>
        </r>
      </text>
    </comment>
    <comment ref="C170" authorId="4">
      <text>
        <r>
          <rPr>
            <b/>
            <sz val="9"/>
            <color indexed="81"/>
            <rFont val="Tahoma"/>
            <family val="2"/>
          </rPr>
          <t>USDA 2007 data</t>
        </r>
      </text>
    </comment>
    <comment ref="C175" authorId="4">
      <text>
        <r>
          <rPr>
            <b/>
            <sz val="9"/>
            <color indexed="81"/>
            <rFont val="Tahoma"/>
            <family val="2"/>
          </rPr>
          <t>SIT 2009 Default data</t>
        </r>
      </text>
    </comment>
    <comment ref="C176" authorId="4">
      <text>
        <r>
          <rPr>
            <sz val="9"/>
            <color indexed="81"/>
            <rFont val="Tahoma"/>
            <family val="2"/>
          </rPr>
          <t xml:space="preserve">SIT 2009 Default data
</t>
        </r>
      </text>
    </comment>
    <comment ref="C177" authorId="4">
      <text>
        <r>
          <rPr>
            <sz val="9"/>
            <color indexed="81"/>
            <rFont val="Tahoma"/>
            <family val="2"/>
          </rPr>
          <t xml:space="preserve">SIT 2009 Default data
</t>
        </r>
      </text>
    </comment>
    <comment ref="B178" authorId="1">
      <text>
        <r>
          <rPr>
            <sz val="8"/>
            <color indexed="81"/>
            <rFont val="Tahoma"/>
            <family val="2"/>
          </rPr>
          <t>Includes: Regular Broilers, Other (Lost), and Other (Sold)</t>
        </r>
      </text>
    </comment>
    <comment ref="C178" authorId="4">
      <text>
        <r>
          <rPr>
            <sz val="9"/>
            <color indexed="81"/>
            <rFont val="Tahoma"/>
            <family val="2"/>
          </rPr>
          <t xml:space="preserve">SIT 2009 Default data
</t>
        </r>
      </text>
    </comment>
    <comment ref="C179" authorId="4">
      <text>
        <r>
          <rPr>
            <sz val="9"/>
            <color indexed="81"/>
            <rFont val="Tahoma"/>
            <family val="2"/>
          </rPr>
          <t xml:space="preserve">SIT 2009 Default data
</t>
        </r>
      </text>
    </comment>
    <comment ref="C182" authorId="4">
      <text>
        <r>
          <rPr>
            <b/>
            <sz val="9"/>
            <color indexed="81"/>
            <rFont val="Tahoma"/>
            <family val="2"/>
          </rPr>
          <t>USDA 2009 data</t>
        </r>
      </text>
    </comment>
    <comment ref="C184" authorId="4">
      <text>
        <r>
          <rPr>
            <sz val="9"/>
            <color indexed="81"/>
            <rFont val="Tahoma"/>
            <family val="2"/>
          </rPr>
          <t xml:space="preserve">2010 Maryland Equine Census,march 03,11; 2010 data
</t>
        </r>
      </text>
    </comment>
    <comment ref="G197" authorId="5">
      <text>
        <r>
          <rPr>
            <b/>
            <sz val="8"/>
            <color indexed="81"/>
            <rFont val="Tahoma"/>
            <family val="2"/>
          </rPr>
          <t>J Casola:</t>
        </r>
        <r>
          <rPr>
            <sz val="8"/>
            <color indexed="81"/>
            <rFont val="Tahoma"/>
            <family val="2"/>
          </rPr>
          <t xml:space="preserve">
Corn for Grain, All Wheat, Barley, Sorghum, Oats, Rye, and Soybeans back-calculated from bushel and tonnage values found in "Field Crops, Final Estimates, 1992-1997" SB 947a USDA/NASS. Other crops assumed conversion 0.027215</t>
        </r>
      </text>
    </comment>
    <comment ref="Y197" authorId="4">
      <text>
        <r>
          <rPr>
            <b/>
            <sz val="9"/>
            <color indexed="81"/>
            <rFont val="Tahoma"/>
            <family val="2"/>
          </rPr>
          <t>CH</t>
        </r>
        <r>
          <rPr>
            <b/>
            <vertAlign val="subscript"/>
            <sz val="9"/>
            <color indexed="81"/>
            <rFont val="Tahoma"/>
            <family val="2"/>
          </rPr>
          <t>4</t>
        </r>
        <r>
          <rPr>
            <b/>
            <sz val="9"/>
            <color indexed="81"/>
            <rFont val="Tahoma"/>
            <family val="2"/>
          </rPr>
          <t xml:space="preserve"> Emission = Total C Released (metric tons C) *CH</t>
        </r>
        <r>
          <rPr>
            <b/>
            <vertAlign val="subscript"/>
            <sz val="9"/>
            <color indexed="81"/>
            <rFont val="Tahoma"/>
            <family val="2"/>
          </rPr>
          <t>4</t>
        </r>
        <r>
          <rPr>
            <b/>
            <sz val="9"/>
            <color indexed="81"/>
            <rFont val="Tahoma"/>
            <family val="2"/>
          </rPr>
          <t>-C Emission Ratio (0.005) * CH</t>
        </r>
        <r>
          <rPr>
            <b/>
            <vertAlign val="subscript"/>
            <sz val="9"/>
            <color indexed="81"/>
            <rFont val="Tahoma"/>
            <family val="2"/>
          </rPr>
          <t>4</t>
        </r>
        <r>
          <rPr>
            <b/>
            <sz val="9"/>
            <color indexed="81"/>
            <rFont val="Tahoma"/>
            <family val="2"/>
          </rPr>
          <t xml:space="preserve">- C Conversion factor (16/12)
</t>
        </r>
      </text>
    </comment>
    <comment ref="Y212" authorId="4">
      <text>
        <r>
          <rPr>
            <b/>
            <sz val="9"/>
            <color indexed="81"/>
            <rFont val="Tahoma"/>
            <family val="2"/>
          </rPr>
          <t>N</t>
        </r>
        <r>
          <rPr>
            <b/>
            <vertAlign val="subscript"/>
            <sz val="9"/>
            <color indexed="81"/>
            <rFont val="Tahoma"/>
            <family val="2"/>
          </rPr>
          <t>2</t>
        </r>
        <r>
          <rPr>
            <b/>
            <sz val="9"/>
            <color indexed="81"/>
            <rFont val="Tahoma"/>
            <family val="2"/>
          </rPr>
          <t>O Emission = Total N Released (metric tons C) *N</t>
        </r>
        <r>
          <rPr>
            <b/>
            <vertAlign val="subscript"/>
            <sz val="9"/>
            <color indexed="81"/>
            <rFont val="Tahoma"/>
            <family val="2"/>
          </rPr>
          <t>2</t>
        </r>
        <r>
          <rPr>
            <b/>
            <sz val="9"/>
            <color indexed="81"/>
            <rFont val="Tahoma"/>
            <family val="2"/>
          </rPr>
          <t>O-N Emission Ratio (0.007) * N</t>
        </r>
        <r>
          <rPr>
            <b/>
            <vertAlign val="subscript"/>
            <sz val="9"/>
            <color indexed="81"/>
            <rFont val="Tahoma"/>
            <family val="2"/>
          </rPr>
          <t>2</t>
        </r>
        <r>
          <rPr>
            <b/>
            <sz val="9"/>
            <color indexed="81"/>
            <rFont val="Tahoma"/>
            <family val="2"/>
          </rPr>
          <t>O- N Conversion factor (1.57)</t>
        </r>
      </text>
    </comment>
  </commentList>
</comments>
</file>

<file path=xl/comments2.xml><?xml version="1.0" encoding="utf-8"?>
<comments xmlns="http://schemas.openxmlformats.org/spreadsheetml/2006/main">
  <authors>
    <author>amohammed</author>
    <author>sal</author>
  </authors>
  <commentList>
    <comment ref="K50" authorId="0">
      <text>
        <r>
          <rPr>
            <b/>
            <sz val="9"/>
            <color indexed="81"/>
            <rFont val="Tahoma"/>
            <family val="2"/>
          </rPr>
          <t>amohammed:</t>
        </r>
        <r>
          <rPr>
            <sz val="9"/>
            <color indexed="81"/>
            <rFont val="Tahoma"/>
            <family val="2"/>
          </rPr>
          <t xml:space="preserve">
CEM</t>
        </r>
      </text>
    </comment>
    <comment ref="L50" authorId="0">
      <text>
        <r>
          <rPr>
            <b/>
            <sz val="9"/>
            <color indexed="81"/>
            <rFont val="Tahoma"/>
            <family val="2"/>
          </rPr>
          <t>amohammed:</t>
        </r>
        <r>
          <rPr>
            <sz val="9"/>
            <color indexed="81"/>
            <rFont val="Tahoma"/>
            <family val="2"/>
          </rPr>
          <t xml:space="preserve">
40 CFR 98</t>
        </r>
      </text>
    </comment>
    <comment ref="M50" authorId="0">
      <text>
        <r>
          <rPr>
            <b/>
            <sz val="9"/>
            <color indexed="81"/>
            <rFont val="Tahoma"/>
            <family val="2"/>
          </rPr>
          <t>amohammed
40 CFR 98</t>
        </r>
      </text>
    </comment>
    <comment ref="K56" authorId="0">
      <text>
        <r>
          <rPr>
            <b/>
            <sz val="9"/>
            <color indexed="81"/>
            <rFont val="Tahoma"/>
            <family val="2"/>
          </rPr>
          <t>amohammed:</t>
        </r>
        <r>
          <rPr>
            <sz val="9"/>
            <color indexed="81"/>
            <rFont val="Tahoma"/>
            <family val="2"/>
          </rPr>
          <t xml:space="preserve">
CEM</t>
        </r>
      </text>
    </comment>
    <comment ref="L56" authorId="0">
      <text>
        <r>
          <rPr>
            <b/>
            <sz val="9"/>
            <color indexed="81"/>
            <rFont val="Tahoma"/>
            <family val="2"/>
          </rPr>
          <t>amohammed:</t>
        </r>
        <r>
          <rPr>
            <sz val="9"/>
            <color indexed="81"/>
            <rFont val="Tahoma"/>
            <family val="2"/>
          </rPr>
          <t xml:space="preserve">
40 CFR 98</t>
        </r>
      </text>
    </comment>
    <comment ref="M56" authorId="0">
      <text>
        <r>
          <rPr>
            <b/>
            <sz val="9"/>
            <color indexed="81"/>
            <rFont val="Tahoma"/>
            <family val="2"/>
          </rPr>
          <t>amohammed:</t>
        </r>
        <r>
          <rPr>
            <sz val="9"/>
            <color indexed="81"/>
            <rFont val="Tahoma"/>
            <family val="2"/>
          </rPr>
          <t xml:space="preserve">
40 CFR 98</t>
        </r>
      </text>
    </comment>
    <comment ref="K61" authorId="0">
      <text>
        <r>
          <rPr>
            <b/>
            <sz val="9"/>
            <color indexed="81"/>
            <rFont val="Tahoma"/>
            <family val="2"/>
          </rPr>
          <t>amohammed:</t>
        </r>
        <r>
          <rPr>
            <sz val="9"/>
            <color indexed="81"/>
            <rFont val="Tahoma"/>
            <family val="2"/>
          </rPr>
          <t xml:space="preserve">
CEM</t>
        </r>
      </text>
    </comment>
    <comment ref="L61" authorId="0">
      <text>
        <r>
          <rPr>
            <b/>
            <sz val="9"/>
            <color indexed="81"/>
            <rFont val="Tahoma"/>
            <family val="2"/>
          </rPr>
          <t>amohammed:</t>
        </r>
        <r>
          <rPr>
            <sz val="9"/>
            <color indexed="81"/>
            <rFont val="Tahoma"/>
            <family val="2"/>
          </rPr>
          <t xml:space="preserve">
40 CFR 98</t>
        </r>
      </text>
    </comment>
    <comment ref="M61" authorId="0">
      <text>
        <r>
          <rPr>
            <b/>
            <sz val="9"/>
            <color indexed="81"/>
            <rFont val="Tahoma"/>
            <family val="2"/>
          </rPr>
          <t>amohammed:</t>
        </r>
        <r>
          <rPr>
            <sz val="9"/>
            <color indexed="81"/>
            <rFont val="Tahoma"/>
            <family val="2"/>
          </rPr>
          <t xml:space="preserve">
40 CFR 98</t>
        </r>
      </text>
    </comment>
    <comment ref="K68" authorId="0">
      <text>
        <r>
          <rPr>
            <b/>
            <sz val="9"/>
            <color indexed="81"/>
            <rFont val="Tahoma"/>
            <family val="2"/>
          </rPr>
          <t>amohammed:</t>
        </r>
        <r>
          <rPr>
            <sz val="9"/>
            <color indexed="81"/>
            <rFont val="Tahoma"/>
            <family val="2"/>
          </rPr>
          <t xml:space="preserve">
40 CFR 98</t>
        </r>
      </text>
    </comment>
    <comment ref="L68" authorId="0">
      <text>
        <r>
          <rPr>
            <b/>
            <sz val="9"/>
            <color indexed="81"/>
            <rFont val="Tahoma"/>
            <family val="2"/>
          </rPr>
          <t>amohammed:</t>
        </r>
        <r>
          <rPr>
            <sz val="9"/>
            <color indexed="81"/>
            <rFont val="Tahoma"/>
            <family val="2"/>
          </rPr>
          <t xml:space="preserve">
40 CFR 98</t>
        </r>
      </text>
    </comment>
    <comment ref="M68" authorId="0">
      <text>
        <r>
          <rPr>
            <b/>
            <sz val="9"/>
            <color indexed="81"/>
            <rFont val="Tahoma"/>
            <family val="2"/>
          </rPr>
          <t>amohammed:</t>
        </r>
        <r>
          <rPr>
            <sz val="9"/>
            <color indexed="81"/>
            <rFont val="Tahoma"/>
            <family val="2"/>
          </rPr>
          <t xml:space="preserve">
40 CFR 98</t>
        </r>
      </text>
    </comment>
    <comment ref="K70" authorId="0">
      <text>
        <r>
          <rPr>
            <b/>
            <sz val="9"/>
            <color indexed="81"/>
            <rFont val="Tahoma"/>
            <family val="2"/>
          </rPr>
          <t>amohammed:</t>
        </r>
        <r>
          <rPr>
            <sz val="9"/>
            <color indexed="81"/>
            <rFont val="Tahoma"/>
            <family val="2"/>
          </rPr>
          <t xml:space="preserve">
40 CFR 98</t>
        </r>
      </text>
    </comment>
    <comment ref="L70" authorId="0">
      <text>
        <r>
          <rPr>
            <b/>
            <sz val="9"/>
            <color indexed="81"/>
            <rFont val="Tahoma"/>
            <family val="2"/>
          </rPr>
          <t>amohammed:</t>
        </r>
        <r>
          <rPr>
            <sz val="9"/>
            <color indexed="81"/>
            <rFont val="Tahoma"/>
            <family val="2"/>
          </rPr>
          <t xml:space="preserve">
40 CFR 98</t>
        </r>
      </text>
    </comment>
    <comment ref="M70" authorId="0">
      <text>
        <r>
          <rPr>
            <b/>
            <sz val="9"/>
            <color indexed="81"/>
            <rFont val="Tahoma"/>
            <family val="2"/>
          </rPr>
          <t>amohammed:</t>
        </r>
        <r>
          <rPr>
            <sz val="9"/>
            <color indexed="81"/>
            <rFont val="Tahoma"/>
            <family val="2"/>
          </rPr>
          <t xml:space="preserve">
40 CFR 98</t>
        </r>
      </text>
    </comment>
    <comment ref="K74" authorId="0">
      <text>
        <r>
          <rPr>
            <b/>
            <sz val="9"/>
            <color indexed="81"/>
            <rFont val="Tahoma"/>
            <family val="2"/>
          </rPr>
          <t>amohammed:</t>
        </r>
        <r>
          <rPr>
            <sz val="9"/>
            <color indexed="81"/>
            <rFont val="Tahoma"/>
            <family val="2"/>
          </rPr>
          <t xml:space="preserve">
CEM</t>
        </r>
      </text>
    </comment>
    <comment ref="L74" authorId="0">
      <text>
        <r>
          <rPr>
            <b/>
            <sz val="9"/>
            <color indexed="81"/>
            <rFont val="Tahoma"/>
            <family val="2"/>
          </rPr>
          <t>amohammed:</t>
        </r>
        <r>
          <rPr>
            <sz val="9"/>
            <color indexed="81"/>
            <rFont val="Tahoma"/>
            <family val="2"/>
          </rPr>
          <t xml:space="preserve">
40 CFR 98</t>
        </r>
      </text>
    </comment>
    <comment ref="M74" authorId="0">
      <text>
        <r>
          <rPr>
            <b/>
            <sz val="9"/>
            <color indexed="81"/>
            <rFont val="Tahoma"/>
            <family val="2"/>
          </rPr>
          <t>amohammed:</t>
        </r>
        <r>
          <rPr>
            <sz val="9"/>
            <color indexed="81"/>
            <rFont val="Tahoma"/>
            <family val="2"/>
          </rPr>
          <t xml:space="preserve">
40 CFR 98</t>
        </r>
      </text>
    </comment>
    <comment ref="K78" authorId="0">
      <text>
        <r>
          <rPr>
            <b/>
            <sz val="9"/>
            <color indexed="81"/>
            <rFont val="Tahoma"/>
            <family val="2"/>
          </rPr>
          <t>amohammed:</t>
        </r>
        <r>
          <rPr>
            <sz val="9"/>
            <color indexed="81"/>
            <rFont val="Tahoma"/>
            <family val="2"/>
          </rPr>
          <t xml:space="preserve">
CEM</t>
        </r>
      </text>
    </comment>
    <comment ref="L78" authorId="0">
      <text>
        <r>
          <rPr>
            <b/>
            <sz val="9"/>
            <color indexed="81"/>
            <rFont val="Tahoma"/>
            <family val="2"/>
          </rPr>
          <t>amohammed:</t>
        </r>
        <r>
          <rPr>
            <sz val="9"/>
            <color indexed="81"/>
            <rFont val="Tahoma"/>
            <family val="2"/>
          </rPr>
          <t xml:space="preserve">
40 CFR 98</t>
        </r>
      </text>
    </comment>
    <comment ref="K82" authorId="0">
      <text>
        <r>
          <rPr>
            <b/>
            <sz val="9"/>
            <color indexed="81"/>
            <rFont val="Tahoma"/>
            <family val="2"/>
          </rPr>
          <t>amohammed:</t>
        </r>
        <r>
          <rPr>
            <sz val="9"/>
            <color indexed="81"/>
            <rFont val="Tahoma"/>
            <family val="2"/>
          </rPr>
          <t xml:space="preserve">
CEM</t>
        </r>
      </text>
    </comment>
    <comment ref="L82" authorId="0">
      <text>
        <r>
          <rPr>
            <b/>
            <sz val="9"/>
            <color indexed="81"/>
            <rFont val="Tahoma"/>
            <family val="2"/>
          </rPr>
          <t>amohammed:</t>
        </r>
        <r>
          <rPr>
            <sz val="9"/>
            <color indexed="81"/>
            <rFont val="Tahoma"/>
            <family val="2"/>
          </rPr>
          <t xml:space="preserve">
40 CFR 98</t>
        </r>
      </text>
    </comment>
    <comment ref="K86" authorId="0">
      <text>
        <r>
          <rPr>
            <b/>
            <sz val="9"/>
            <color indexed="81"/>
            <rFont val="Tahoma"/>
            <family val="2"/>
          </rPr>
          <t>amohammed:</t>
        </r>
        <r>
          <rPr>
            <sz val="9"/>
            <color indexed="81"/>
            <rFont val="Tahoma"/>
            <family val="2"/>
          </rPr>
          <t xml:space="preserve">
CEM</t>
        </r>
      </text>
    </comment>
    <comment ref="L86" authorId="0">
      <text>
        <r>
          <rPr>
            <b/>
            <sz val="9"/>
            <color indexed="81"/>
            <rFont val="Tahoma"/>
            <family val="2"/>
          </rPr>
          <t>amohammed:</t>
        </r>
        <r>
          <rPr>
            <sz val="9"/>
            <color indexed="81"/>
            <rFont val="Tahoma"/>
            <family val="2"/>
          </rPr>
          <t xml:space="preserve">
40 CFR 98</t>
        </r>
      </text>
    </comment>
    <comment ref="M86" authorId="0">
      <text>
        <r>
          <rPr>
            <b/>
            <sz val="9"/>
            <color indexed="81"/>
            <rFont val="Tahoma"/>
            <family val="2"/>
          </rPr>
          <t>amohammed:</t>
        </r>
        <r>
          <rPr>
            <sz val="9"/>
            <color indexed="81"/>
            <rFont val="Tahoma"/>
            <family val="2"/>
          </rPr>
          <t xml:space="preserve">
40 CFR 98</t>
        </r>
      </text>
    </comment>
    <comment ref="K88" authorId="0">
      <text>
        <r>
          <rPr>
            <b/>
            <sz val="9"/>
            <color indexed="81"/>
            <rFont val="Tahoma"/>
            <family val="2"/>
          </rPr>
          <t>amohammed:</t>
        </r>
        <r>
          <rPr>
            <sz val="9"/>
            <color indexed="81"/>
            <rFont val="Tahoma"/>
            <family val="2"/>
          </rPr>
          <t xml:space="preserve">
40 CFR 98</t>
        </r>
      </text>
    </comment>
    <comment ref="L88" authorId="0">
      <text>
        <r>
          <rPr>
            <b/>
            <sz val="9"/>
            <color indexed="81"/>
            <rFont val="Tahoma"/>
            <family val="2"/>
          </rPr>
          <t>amohammed:</t>
        </r>
        <r>
          <rPr>
            <sz val="9"/>
            <color indexed="81"/>
            <rFont val="Tahoma"/>
            <family val="2"/>
          </rPr>
          <t xml:space="preserve">
40 CFR 98</t>
        </r>
      </text>
    </comment>
    <comment ref="M88" authorId="0">
      <text>
        <r>
          <rPr>
            <b/>
            <sz val="9"/>
            <color indexed="81"/>
            <rFont val="Tahoma"/>
            <family val="2"/>
          </rPr>
          <t>amohammed:</t>
        </r>
        <r>
          <rPr>
            <sz val="9"/>
            <color indexed="81"/>
            <rFont val="Tahoma"/>
            <family val="2"/>
          </rPr>
          <t xml:space="preserve">
40 CFR 98</t>
        </r>
      </text>
    </comment>
    <comment ref="K89" authorId="0">
      <text>
        <r>
          <rPr>
            <b/>
            <sz val="9"/>
            <color indexed="81"/>
            <rFont val="Tahoma"/>
            <family val="2"/>
          </rPr>
          <t>amohammed:</t>
        </r>
        <r>
          <rPr>
            <sz val="9"/>
            <color indexed="81"/>
            <rFont val="Tahoma"/>
            <family val="2"/>
          </rPr>
          <t xml:space="preserve">
40 CFR 98</t>
        </r>
      </text>
    </comment>
    <comment ref="L89" authorId="0">
      <text>
        <r>
          <rPr>
            <b/>
            <sz val="9"/>
            <color indexed="81"/>
            <rFont val="Tahoma"/>
            <family val="2"/>
          </rPr>
          <t>amohammed:</t>
        </r>
        <r>
          <rPr>
            <sz val="9"/>
            <color indexed="81"/>
            <rFont val="Tahoma"/>
            <family val="2"/>
          </rPr>
          <t xml:space="preserve">
40 CFR 98</t>
        </r>
      </text>
    </comment>
    <comment ref="M89" authorId="0">
      <text>
        <r>
          <rPr>
            <b/>
            <sz val="9"/>
            <color indexed="81"/>
            <rFont val="Tahoma"/>
            <family val="2"/>
          </rPr>
          <t>amohammed:</t>
        </r>
        <r>
          <rPr>
            <sz val="9"/>
            <color indexed="81"/>
            <rFont val="Tahoma"/>
            <family val="2"/>
          </rPr>
          <t xml:space="preserve">
40 CFR 98</t>
        </r>
      </text>
    </comment>
    <comment ref="K90" authorId="0">
      <text>
        <r>
          <rPr>
            <b/>
            <sz val="9"/>
            <color indexed="81"/>
            <rFont val="Tahoma"/>
            <family val="2"/>
          </rPr>
          <t>amohammed:</t>
        </r>
        <r>
          <rPr>
            <sz val="9"/>
            <color indexed="81"/>
            <rFont val="Tahoma"/>
            <family val="2"/>
          </rPr>
          <t xml:space="preserve">
40 CFR 98</t>
        </r>
      </text>
    </comment>
    <comment ref="L90" authorId="0">
      <text>
        <r>
          <rPr>
            <b/>
            <sz val="9"/>
            <color indexed="81"/>
            <rFont val="Tahoma"/>
            <family val="2"/>
          </rPr>
          <t>amohammed:</t>
        </r>
        <r>
          <rPr>
            <sz val="9"/>
            <color indexed="81"/>
            <rFont val="Tahoma"/>
            <family val="2"/>
          </rPr>
          <t xml:space="preserve">
40 CFR 98</t>
        </r>
      </text>
    </comment>
    <comment ref="M90" authorId="0">
      <text>
        <r>
          <rPr>
            <b/>
            <sz val="9"/>
            <color indexed="81"/>
            <rFont val="Tahoma"/>
            <family val="2"/>
          </rPr>
          <t>amohammed:</t>
        </r>
        <r>
          <rPr>
            <sz val="9"/>
            <color indexed="81"/>
            <rFont val="Tahoma"/>
            <family val="2"/>
          </rPr>
          <t xml:space="preserve">
40 CFR 98</t>
        </r>
      </text>
    </comment>
    <comment ref="J214" authorId="0">
      <text>
        <r>
          <rPr>
            <b/>
            <sz val="9"/>
            <color indexed="81"/>
            <rFont val="Tahoma"/>
            <family val="2"/>
          </rPr>
          <t>amohammed:</t>
        </r>
        <r>
          <rPr>
            <sz val="9"/>
            <color indexed="81"/>
            <rFont val="Tahoma"/>
            <family val="2"/>
          </rPr>
          <t xml:space="preserve">
MMBTU Reported and used to Backcalculate Qty</t>
        </r>
      </text>
    </comment>
    <comment ref="F245" authorId="1">
      <text>
        <r>
          <rPr>
            <b/>
            <sz val="9"/>
            <color indexed="81"/>
            <rFont val="Tahoma"/>
            <family val="2"/>
          </rPr>
          <t>Back Caclulation from MMBTU</t>
        </r>
      </text>
    </comment>
    <comment ref="F246" authorId="1">
      <text>
        <r>
          <rPr>
            <b/>
            <sz val="9"/>
            <color indexed="81"/>
            <rFont val="Tahoma"/>
            <family val="2"/>
          </rPr>
          <t>Back Caclulation from MMBTU</t>
        </r>
      </text>
    </comment>
    <comment ref="F247" authorId="1">
      <text>
        <r>
          <rPr>
            <b/>
            <sz val="9"/>
            <color indexed="81"/>
            <rFont val="Tahoma"/>
            <family val="2"/>
          </rPr>
          <t>Back Caclulation from MMBTU</t>
        </r>
      </text>
    </comment>
    <comment ref="F248" authorId="1">
      <text>
        <r>
          <rPr>
            <b/>
            <sz val="9"/>
            <color indexed="81"/>
            <rFont val="Tahoma"/>
            <family val="2"/>
          </rPr>
          <t>Back Caclulation from MMBTU</t>
        </r>
      </text>
    </comment>
  </commentList>
</comments>
</file>

<file path=xl/comments3.xml><?xml version="1.0" encoding="utf-8"?>
<comments xmlns="http://schemas.openxmlformats.org/spreadsheetml/2006/main">
  <authors>
    <author>amohammed</author>
  </authors>
  <commentList>
    <comment ref="D15" authorId="0">
      <text>
        <r>
          <rPr>
            <b/>
            <sz val="8"/>
            <color indexed="81"/>
            <rFont val="Tahoma"/>
            <family val="2"/>
          </rPr>
          <t>Back Calculation from MMBTU gives11,374
VS 10,887 Btu/lb HHV</t>
        </r>
      </text>
    </comment>
    <comment ref="E15" authorId="0">
      <text>
        <r>
          <rPr>
            <sz val="8"/>
            <color indexed="81"/>
            <rFont val="Tahoma"/>
            <family val="2"/>
          </rPr>
          <t xml:space="preserve">141,324 Btu/gal
</t>
        </r>
      </text>
    </comment>
    <comment ref="F15" authorId="0">
      <text>
        <r>
          <rPr>
            <b/>
            <sz val="8"/>
            <color indexed="81"/>
            <rFont val="Tahoma"/>
            <family val="2"/>
          </rPr>
          <t>139,000 Btu/gal</t>
        </r>
      </text>
    </comment>
    <comment ref="G15" authorId="0">
      <text>
        <r>
          <rPr>
            <b/>
            <sz val="8"/>
            <color indexed="81"/>
            <rFont val="Tahoma"/>
            <family val="2"/>
          </rPr>
          <t>4,643 Btu/lbs HHV.</t>
        </r>
      </text>
    </comment>
    <comment ref="H15" authorId="0">
      <text>
        <r>
          <rPr>
            <sz val="8"/>
            <color indexed="81"/>
            <rFont val="Tahoma"/>
            <family val="2"/>
          </rPr>
          <t xml:space="preserve">1,053 Btu/scf
</t>
        </r>
      </text>
    </comment>
    <comment ref="I19" authorId="0">
      <text>
        <r>
          <rPr>
            <b/>
            <sz val="8"/>
            <color indexed="81"/>
            <rFont val="Tahoma"/>
            <family val="2"/>
          </rPr>
          <t>CEM Measurement.</t>
        </r>
      </text>
    </comment>
    <comment ref="I23" authorId="0">
      <text>
        <r>
          <rPr>
            <b/>
            <sz val="8"/>
            <color indexed="81"/>
            <rFont val="Tahoma"/>
            <family val="2"/>
          </rPr>
          <t>CEM Measurement.</t>
        </r>
      </text>
    </comment>
    <comment ref="I27" authorId="0">
      <text>
        <r>
          <rPr>
            <b/>
            <sz val="8"/>
            <color indexed="81"/>
            <rFont val="Tahoma"/>
            <family val="2"/>
          </rPr>
          <t>CEM Measurement.</t>
        </r>
      </text>
    </comment>
  </commentList>
</comments>
</file>

<file path=xl/comments4.xml><?xml version="1.0" encoding="utf-8"?>
<comments xmlns="http://schemas.openxmlformats.org/spreadsheetml/2006/main">
  <authors>
    <author>rthunell</author>
  </authors>
  <commentList>
    <comment ref="B86" authorId="0">
      <text>
        <r>
          <rPr>
            <b/>
            <sz val="8"/>
            <color indexed="81"/>
            <rFont val="Tahoma"/>
            <family val="2"/>
          </rPr>
          <t>rthunell:</t>
        </r>
        <r>
          <rPr>
            <sz val="8"/>
            <color indexed="81"/>
            <rFont val="Tahoma"/>
            <family val="2"/>
          </rPr>
          <t xml:space="preserve">
Estimated value based on Emission Rates of Marginal Units
Presented only for Trends purposes</t>
        </r>
      </text>
    </comment>
  </commentList>
</comments>
</file>

<file path=xl/comments5.xml><?xml version="1.0" encoding="utf-8"?>
<comments xmlns="http://schemas.openxmlformats.org/spreadsheetml/2006/main">
  <authors>
    <author>Beth Moore</author>
    <author>LP</author>
    <author>Philip Groth</author>
  </authors>
  <commentList>
    <comment ref="F5" authorId="0">
      <text>
        <r>
          <rPr>
            <sz val="8"/>
            <color indexed="81"/>
            <rFont val="Tahoma"/>
            <family val="2"/>
          </rPr>
          <t xml:space="preserve">Billion Btus are converted to short tons of carbon by multiplying by the emission factor, combustion efficiency, 1,000 million/billion, and 0.0005 lbs/short ton.
</t>
        </r>
      </text>
    </comment>
    <comment ref="B23" authorId="1">
      <text>
        <r>
          <rPr>
            <sz val="8"/>
            <color indexed="81"/>
            <rFont val="Tahoma"/>
            <family val="2"/>
          </rPr>
          <t>The biomass portion of mixed municipal solid waste (MSW) (which may include wood waste arriving at waste to energy (WTE) facilities) should be considered separate from the stationary combustion of wood fuel in the Residential, Commercial, Industrial, and Electric Power sectors in the Stationary combustion module. The assumption is that there are dedicated combustion facilities that burn wood fuels to generate energy that are separate from mixed MSW WTE facilities, which is calculated in the Solid Waste module.</t>
        </r>
      </text>
    </comment>
    <comment ref="G29" authorId="2">
      <text>
        <r>
          <rPr>
            <sz val="8"/>
            <color indexed="81"/>
            <rFont val="Tahoma"/>
            <family val="2"/>
          </rPr>
          <t>MMTCE is converted to MMTCO</t>
        </r>
        <r>
          <rPr>
            <vertAlign val="subscript"/>
            <sz val="8"/>
            <color indexed="81"/>
            <rFont val="Tahoma"/>
            <family val="2"/>
          </rPr>
          <t>2</t>
        </r>
        <r>
          <rPr>
            <sz val="8"/>
            <color indexed="81"/>
            <rFont val="Tahoma"/>
            <family val="2"/>
          </rPr>
          <t>E by multiplying by 44/12.</t>
        </r>
      </text>
    </comment>
    <comment ref="B36" authorId="1">
      <text>
        <r>
          <rPr>
            <sz val="8"/>
            <color indexed="81"/>
            <rFont val="Tahoma"/>
            <family val="2"/>
          </rPr>
          <t>The biomass portion of mixed municipal solid waste (MSW) (which may include wood waste arriving at waste to energy (WTE) facilities) should be considered separate from the stationary combustion of wood fuel in the Residential, Commercial, Industrial, and Electric Power sectors in the Stationary combustion module. The assumption is that there are dedicated combustion facilities that burn wood fuels to generate energy that are separate from mixed MSW WTE facilities, which is calculated in the Solid Waste module.</t>
        </r>
      </text>
    </comment>
    <comment ref="B51" authorId="1">
      <text>
        <r>
          <rPr>
            <sz val="8"/>
            <color indexed="81"/>
            <rFont val="Tahoma"/>
            <family val="2"/>
          </rPr>
          <t>The biomass portion of mixed municipal solid waste (MSW) (which may include wood waste arriving at waste to energy (WTE) facilities) should be considered separate from the stationary combustion of wood fuel in the Residential, Commercial, Industrial, and Electric Power sectors in the Stationary combustion module. The assumption is that there are dedicated combustion facilities that burn wood fuels to generate energy that are separate from mixed MSW WTE facilities, which is calculated in the Solid Waste module.</t>
        </r>
      </text>
    </comment>
  </commentList>
</comments>
</file>

<file path=xl/comments6.xml><?xml version="1.0" encoding="utf-8"?>
<comments xmlns="http://schemas.openxmlformats.org/spreadsheetml/2006/main">
  <authors>
    <author>Beth Moore</author>
    <author>Philip Groth</author>
    <author>LP</author>
  </authors>
  <commentList>
    <comment ref="F6" authorId="0">
      <text>
        <r>
          <rPr>
            <sz val="8"/>
            <color indexed="81"/>
            <rFont val="Tahoma"/>
            <family val="2"/>
          </rPr>
          <t xml:space="preserve">Billion Btus are converted to short tons of carbon by multiplying by the emission factor, combustion efficiency, 1,000 million/billion, and 0.0005 lbs/short ton.
</t>
        </r>
      </text>
    </comment>
    <comment ref="G6" authorId="1">
      <text>
        <r>
          <rPr>
            <sz val="8"/>
            <color indexed="81"/>
            <rFont val="Tahoma"/>
            <family val="2"/>
          </rPr>
          <t>MMTCE is converted to MMTCO</t>
        </r>
        <r>
          <rPr>
            <vertAlign val="subscript"/>
            <sz val="8"/>
            <color indexed="81"/>
            <rFont val="Tahoma"/>
            <family val="2"/>
          </rPr>
          <t>2</t>
        </r>
        <r>
          <rPr>
            <sz val="8"/>
            <color indexed="81"/>
            <rFont val="Tahoma"/>
            <family val="2"/>
          </rPr>
          <t>E by multiplying by 44/12.</t>
        </r>
      </text>
    </comment>
    <comment ref="G20" authorId="1">
      <text>
        <r>
          <rPr>
            <sz val="8"/>
            <color indexed="81"/>
            <rFont val="Tahoma"/>
            <family val="2"/>
          </rPr>
          <t>MMTCE is converted to MMTCO</t>
        </r>
        <r>
          <rPr>
            <vertAlign val="subscript"/>
            <sz val="8"/>
            <color indexed="81"/>
            <rFont val="Tahoma"/>
            <family val="2"/>
          </rPr>
          <t>2</t>
        </r>
        <r>
          <rPr>
            <sz val="8"/>
            <color indexed="81"/>
            <rFont val="Tahoma"/>
            <family val="2"/>
          </rPr>
          <t>E by multiplying by 44/12.</t>
        </r>
      </text>
    </comment>
    <comment ref="B29" authorId="2">
      <text>
        <r>
          <rPr>
            <sz val="8"/>
            <color indexed="81"/>
            <rFont val="Tahoma"/>
            <family val="2"/>
          </rPr>
          <t>The biomass portion of mixed municipal solid waste (MSW) (which may include wood waste arriving at waste to energy (WTE) facilities) should be considered separate from the stationary combustion of wood fuel in the Residential, Commercial, Industrial, and Electric Power sectors in the Stationary combustion module. The assumption is that there are dedicated combustion facilities that burn wood fuels to generate energy that are separate from mixed MSW WTE facilities, which is calculated in the Solid Waste module.</t>
        </r>
      </text>
    </comment>
    <comment ref="G35" authorId="1">
      <text>
        <r>
          <rPr>
            <sz val="8"/>
            <color indexed="81"/>
            <rFont val="Tahoma"/>
            <family val="2"/>
          </rPr>
          <t>MMTCE is converted to MMTCO</t>
        </r>
        <r>
          <rPr>
            <vertAlign val="subscript"/>
            <sz val="8"/>
            <color indexed="81"/>
            <rFont val="Tahoma"/>
            <family val="2"/>
          </rPr>
          <t>2</t>
        </r>
        <r>
          <rPr>
            <sz val="8"/>
            <color indexed="81"/>
            <rFont val="Tahoma"/>
            <family val="2"/>
          </rPr>
          <t>E by multiplying by 44/12.</t>
        </r>
      </text>
    </comment>
    <comment ref="B44" authorId="2">
      <text>
        <r>
          <rPr>
            <sz val="8"/>
            <color indexed="81"/>
            <rFont val="Tahoma"/>
            <family val="2"/>
          </rPr>
          <t>The biomass portion of mixed municipal solid waste (MSW) (which may include wood waste arriving at waste to energy (WTE) facilities) should be considered separate from the stationary combustion of wood fuel in the Residential, Commercial, Industrial, and Electric Power sectors in the Stationary combustion module. The assumption is that there are dedicated combustion facilities that burn wood fuels to generate energy that are separate from mixed MSW WTE facilities, which is calculated in the Solid Waste module.</t>
        </r>
      </text>
    </comment>
    <comment ref="G52" authorId="1">
      <text>
        <r>
          <rPr>
            <sz val="8"/>
            <color indexed="81"/>
            <rFont val="Tahoma"/>
            <family val="2"/>
          </rPr>
          <t>MMTCE is converted to MMTCO</t>
        </r>
        <r>
          <rPr>
            <vertAlign val="subscript"/>
            <sz val="8"/>
            <color indexed="81"/>
            <rFont val="Tahoma"/>
            <family val="2"/>
          </rPr>
          <t>2</t>
        </r>
        <r>
          <rPr>
            <sz val="8"/>
            <color indexed="81"/>
            <rFont val="Tahoma"/>
            <family val="2"/>
          </rPr>
          <t>E by multiplying by 44/12.</t>
        </r>
      </text>
    </comment>
    <comment ref="B61" authorId="2">
      <text>
        <r>
          <rPr>
            <sz val="8"/>
            <color indexed="81"/>
            <rFont val="Tahoma"/>
            <family val="2"/>
          </rPr>
          <t>The biomass portion of mixed municipal solid waste (MSW) (which may include wood waste arriving at waste to energy (WTE) facilities) should be considered separate from the stationary combustion of wood fuel in the Residential, Commercial, Industrial, and Electric Power sectors in the Stationary combustion module. The assumption is that there are dedicated combustion facilities that burn wood fuels to generate energy that are separate from mixed MSW WTE facilities, which is calculated in the Solid Waste module.</t>
        </r>
      </text>
    </comment>
  </commentList>
</comments>
</file>

<file path=xl/comments7.xml><?xml version="1.0" encoding="utf-8"?>
<comments xmlns="http://schemas.openxmlformats.org/spreadsheetml/2006/main">
  <authors>
    <author>sal</author>
    <author>amohammed</author>
    <author>Beth Moore</author>
    <author>Philip Groth</author>
    <author>J Casola</author>
    <author>LP</author>
  </authors>
  <commentList>
    <comment ref="C5" authorId="0">
      <text>
        <r>
          <rPr>
            <b/>
            <sz val="9"/>
            <color indexed="81"/>
            <rFont val="Tahoma"/>
            <family val="2"/>
          </rPr>
          <t>SED 2013  Default Data</t>
        </r>
      </text>
    </comment>
    <comment ref="D5" authorId="1">
      <text>
        <r>
          <rPr>
            <b/>
            <sz val="9"/>
            <color indexed="81"/>
            <rFont val="Tahoma"/>
            <family val="2"/>
          </rPr>
          <t>amohammed:</t>
        </r>
        <r>
          <rPr>
            <sz val="9"/>
            <color indexed="81"/>
            <rFont val="Tahoma"/>
            <family val="2"/>
          </rPr>
          <t xml:space="preserve">
2011 EPA SIT Default</t>
        </r>
      </text>
    </comment>
    <comment ref="I6" authorId="2">
      <text>
        <r>
          <rPr>
            <sz val="8"/>
            <color indexed="81"/>
            <rFont val="Tahoma"/>
            <family val="2"/>
          </rPr>
          <t xml:space="preserve">Billion Btus are converted to short tons of carbon by multiplying by the emission factor, combustion efficiency, 1,000 million/billion, and 0.0005 lbs/short ton.
</t>
        </r>
      </text>
    </comment>
    <comment ref="J6" authorId="3">
      <text>
        <r>
          <rPr>
            <sz val="8"/>
            <color indexed="81"/>
            <rFont val="Tahoma"/>
            <family val="2"/>
          </rPr>
          <t>MMTCE is converted to MMTCO</t>
        </r>
        <r>
          <rPr>
            <vertAlign val="subscript"/>
            <sz val="8"/>
            <color indexed="81"/>
            <rFont val="Tahoma"/>
            <family val="2"/>
          </rPr>
          <t>2</t>
        </r>
        <r>
          <rPr>
            <sz val="8"/>
            <color indexed="81"/>
            <rFont val="Tahoma"/>
            <family val="2"/>
          </rPr>
          <t>E by multiplying by 44/12.</t>
        </r>
      </text>
    </comment>
    <comment ref="N6" authorId="3">
      <text>
        <r>
          <rPr>
            <sz val="8"/>
            <color indexed="81"/>
            <rFont val="Tahoma"/>
            <family val="2"/>
          </rPr>
          <t>Short tons carbon are converted to MMTCE by multiplying by a conversion factor (0.9072 metric tons/short ton) and dividing by 1,000,000.</t>
        </r>
      </text>
    </comment>
    <comment ref="B27" authorId="4">
      <text>
        <r>
          <rPr>
            <sz val="8"/>
            <color indexed="81"/>
            <rFont val="Tahoma"/>
            <family val="2"/>
          </rPr>
          <t>SEDR data show negative values for consumption.  Represents storage of energy, since oils are manufactured from other fuels.  "Negative" emissions serve to correct the overestimation of emissions attributed to the parent fuel.</t>
        </r>
      </text>
    </comment>
    <comment ref="H36" authorId="3">
      <text>
        <r>
          <rPr>
            <sz val="8"/>
            <color indexed="81"/>
            <rFont val="Tahoma"/>
            <family val="2"/>
          </rPr>
          <t>metric tons N2O  converted to MMTCO</t>
        </r>
        <r>
          <rPr>
            <vertAlign val="subscript"/>
            <sz val="8"/>
            <color indexed="81"/>
            <rFont val="Tahoma"/>
            <family val="2"/>
          </rPr>
          <t>2</t>
        </r>
        <r>
          <rPr>
            <sz val="8"/>
            <color indexed="81"/>
            <rFont val="Tahoma"/>
            <family val="2"/>
          </rPr>
          <t>E by multiplying by GWP and diving by 10</t>
        </r>
        <r>
          <rPr>
            <b/>
            <vertAlign val="superscript"/>
            <sz val="8"/>
            <color indexed="81"/>
            <rFont val="Tahoma"/>
            <family val="2"/>
          </rPr>
          <t>6</t>
        </r>
        <r>
          <rPr>
            <sz val="8"/>
            <color indexed="81"/>
            <rFont val="Tahoma"/>
            <family val="2"/>
          </rPr>
          <t>.</t>
        </r>
      </text>
    </comment>
    <comment ref="B57" authorId="4">
      <text>
        <r>
          <rPr>
            <sz val="8"/>
            <color indexed="81"/>
            <rFont val="Tahoma"/>
            <family val="2"/>
          </rPr>
          <t>SEDR data show negative values for consumption.  Represents storage of energy, since oils are manufactured from other fuels.  "Negative" emissions serve to correct the overestimation of emissions attributed to the parent fuel.</t>
        </r>
      </text>
    </comment>
    <comment ref="B60" authorId="5">
      <text>
        <r>
          <rPr>
            <sz val="8"/>
            <color indexed="81"/>
            <rFont val="Tahoma"/>
            <family val="2"/>
          </rPr>
          <t>The biomass portion of mixed municipal solid waste (MSW) (which may include wood waste arriving at waste to energy (WTE) facilities) should be considered separate from the stationary combustion of wood fuel in the Residential, Commercial, Industrial, and Electric Power sectors in the Stationary combustion module. The assumption is that there are dedicated combustion facilities that burn wood fuels to generate energy that are separate from mixed MSW WTE facilities, which is calculated in the Solid Waste module.</t>
        </r>
      </text>
    </comment>
    <comment ref="C66" authorId="0">
      <text>
        <r>
          <rPr>
            <b/>
            <sz val="9"/>
            <color indexed="81"/>
            <rFont val="Tahoma"/>
            <family val="2"/>
          </rPr>
          <t>2013  SED Default Data</t>
        </r>
      </text>
    </comment>
    <comment ref="H67" authorId="3">
      <text>
        <r>
          <rPr>
            <sz val="8"/>
            <color indexed="81"/>
            <rFont val="Tahoma"/>
            <family val="2"/>
          </rPr>
          <t>metric tons CH4 converted to MMTCO</t>
        </r>
        <r>
          <rPr>
            <vertAlign val="subscript"/>
            <sz val="8"/>
            <color indexed="81"/>
            <rFont val="Tahoma"/>
            <family val="2"/>
          </rPr>
          <t>2</t>
        </r>
        <r>
          <rPr>
            <sz val="8"/>
            <color indexed="81"/>
            <rFont val="Tahoma"/>
            <family val="2"/>
          </rPr>
          <t>E by multiplying by GWP. and Dividing by 10</t>
        </r>
        <r>
          <rPr>
            <b/>
            <vertAlign val="superscript"/>
            <sz val="8"/>
            <color indexed="81"/>
            <rFont val="Tahoma"/>
            <family val="2"/>
          </rPr>
          <t>6</t>
        </r>
      </text>
    </comment>
    <comment ref="B88" authorId="4">
      <text>
        <r>
          <rPr>
            <sz val="8"/>
            <color indexed="81"/>
            <rFont val="Tahoma"/>
            <family val="2"/>
          </rPr>
          <t>SEDR data show negative values for consumption.  Represents storage of energy, since oils are manufactured from other fuels.  "Negative" emissions serve to correct the overestimation of emissions attributed to the parent fuel.</t>
        </r>
      </text>
    </comment>
    <comment ref="B91" authorId="5">
      <text>
        <r>
          <rPr>
            <sz val="8"/>
            <color indexed="81"/>
            <rFont val="Tahoma"/>
            <family val="2"/>
          </rPr>
          <t>The biomass portion of mixed municipal solid waste (MSW) (which may include wood waste arriving at waste to energy (WTE) facilities) should be considered separate from the stationary combustion of wood fuel in the Residential, Commercial, Industrial, and Electric Power sectors in the Stationary combustion module. The assumption is that there are dedicated combustion facilities that burn wood fuels to generate energy that are separate from mixed MSW WTE facilities, which is calculated in the Solid Waste module.</t>
        </r>
      </text>
    </comment>
    <comment ref="E98" authorId="3">
      <text>
        <r>
          <rPr>
            <sz val="8"/>
            <color indexed="81"/>
            <rFont val="Tahoma"/>
            <family val="2"/>
          </rPr>
          <t>metric tons CH4 converted to MMTCO</t>
        </r>
        <r>
          <rPr>
            <vertAlign val="subscript"/>
            <sz val="8"/>
            <color indexed="81"/>
            <rFont val="Tahoma"/>
            <family val="2"/>
          </rPr>
          <t>2</t>
        </r>
        <r>
          <rPr>
            <sz val="8"/>
            <color indexed="81"/>
            <rFont val="Tahoma"/>
            <family val="2"/>
          </rPr>
          <t>E by multiplying by GWP. and Dividing by 10</t>
        </r>
        <r>
          <rPr>
            <b/>
            <vertAlign val="superscript"/>
            <sz val="8"/>
            <color indexed="81"/>
            <rFont val="Tahoma"/>
            <family val="2"/>
          </rPr>
          <t>6</t>
        </r>
      </text>
    </comment>
    <comment ref="F98" authorId="3">
      <text>
        <r>
          <rPr>
            <sz val="8"/>
            <color indexed="81"/>
            <rFont val="Tahoma"/>
            <family val="2"/>
          </rPr>
          <t>metric tons CH4 converted to MMTCO</t>
        </r>
        <r>
          <rPr>
            <vertAlign val="subscript"/>
            <sz val="8"/>
            <color indexed="81"/>
            <rFont val="Tahoma"/>
            <family val="2"/>
          </rPr>
          <t>2</t>
        </r>
        <r>
          <rPr>
            <sz val="8"/>
            <color indexed="81"/>
            <rFont val="Tahoma"/>
            <family val="2"/>
          </rPr>
          <t>E by multiplying by GWP. and Dividing by 10</t>
        </r>
        <r>
          <rPr>
            <b/>
            <vertAlign val="superscript"/>
            <sz val="8"/>
            <color indexed="81"/>
            <rFont val="Tahoma"/>
            <family val="2"/>
          </rPr>
          <t>6</t>
        </r>
      </text>
    </comment>
    <comment ref="G98" authorId="3">
      <text>
        <r>
          <rPr>
            <sz val="8"/>
            <color indexed="81"/>
            <rFont val="Tahoma"/>
            <family val="2"/>
          </rPr>
          <t>metric tons CH4 converted to MMTCO</t>
        </r>
        <r>
          <rPr>
            <vertAlign val="subscript"/>
            <sz val="8"/>
            <color indexed="81"/>
            <rFont val="Tahoma"/>
            <family val="2"/>
          </rPr>
          <t>2</t>
        </r>
        <r>
          <rPr>
            <sz val="8"/>
            <color indexed="81"/>
            <rFont val="Tahoma"/>
            <family val="2"/>
          </rPr>
          <t>E by multiplying by GWP. and Dividing by 10</t>
        </r>
        <r>
          <rPr>
            <b/>
            <vertAlign val="superscript"/>
            <sz val="8"/>
            <color indexed="81"/>
            <rFont val="Tahoma"/>
            <family val="2"/>
          </rPr>
          <t>6</t>
        </r>
      </text>
    </comment>
    <comment ref="H98" authorId="3">
      <text>
        <r>
          <rPr>
            <sz val="8"/>
            <color indexed="81"/>
            <rFont val="Tahoma"/>
            <family val="2"/>
          </rPr>
          <t>metric tons CH4 converted to MMTCO</t>
        </r>
        <r>
          <rPr>
            <vertAlign val="subscript"/>
            <sz val="8"/>
            <color indexed="81"/>
            <rFont val="Tahoma"/>
            <family val="2"/>
          </rPr>
          <t>2</t>
        </r>
        <r>
          <rPr>
            <sz val="8"/>
            <color indexed="81"/>
            <rFont val="Tahoma"/>
            <family val="2"/>
          </rPr>
          <t>E by multiplying by GWP. and Dividing by 10</t>
        </r>
        <r>
          <rPr>
            <b/>
            <vertAlign val="superscript"/>
            <sz val="8"/>
            <color indexed="81"/>
            <rFont val="Tahoma"/>
            <family val="2"/>
          </rPr>
          <t>6</t>
        </r>
      </text>
    </comment>
    <comment ref="B119" authorId="4">
      <text>
        <r>
          <rPr>
            <sz val="8"/>
            <color indexed="81"/>
            <rFont val="Tahoma"/>
            <family val="2"/>
          </rPr>
          <t>SEDR data show negative values for consumption.  Represents storage of energy, since oils are manufactured from other fuels.  "Negative" emissions serve to correct the overestimation of emissions attributed to the parent fuel.</t>
        </r>
      </text>
    </comment>
    <comment ref="B122" authorId="5">
      <text>
        <r>
          <rPr>
            <sz val="8"/>
            <color indexed="81"/>
            <rFont val="Tahoma"/>
            <family val="2"/>
          </rPr>
          <t>The biomass portion of mixed municipal solid waste (MSW) (which may include wood waste arriving at waste to energy (WTE) facilities) should be considered separate from the stationary combustion of wood fuel in the Residential, Commercial, Industrial, and Electric Power sectors in the Stationary combustion module. The assumption is that there are dedicated combustion facilities that burn wood fuels to generate energy that are separate from mixed MSW WTE facilities, which is calculated in the Solid Waste module.</t>
        </r>
      </text>
    </comment>
  </commentList>
</comments>
</file>

<file path=xl/comments8.xml><?xml version="1.0" encoding="utf-8"?>
<comments xmlns="http://schemas.openxmlformats.org/spreadsheetml/2006/main">
  <authors>
    <author>Beth Moore</author>
    <author>sal</author>
    <author>amohammed</author>
    <author>rthunell</author>
  </authors>
  <commentList>
    <comment ref="H4" authorId="0">
      <text>
        <r>
          <rPr>
            <sz val="8"/>
            <color indexed="81"/>
            <rFont val="Tahoma"/>
            <family val="2"/>
          </rPr>
          <t>Metric Tons CO</t>
        </r>
        <r>
          <rPr>
            <vertAlign val="subscript"/>
            <sz val="8"/>
            <color indexed="81"/>
            <rFont val="Tahoma"/>
            <family val="2"/>
          </rPr>
          <t>2</t>
        </r>
        <r>
          <rPr>
            <sz val="8"/>
            <color indexed="81"/>
            <rFont val="Tahoma"/>
            <family val="2"/>
          </rPr>
          <t xml:space="preserve"> are converted into Metric Tons Carbon Equivalent by multiplying by the molecular weight ratio of carbon to carbon dioxide, or (12/44).
</t>
        </r>
      </text>
    </comment>
    <comment ref="D5" authorId="1">
      <text>
        <r>
          <rPr>
            <sz val="9"/>
            <color indexed="81"/>
            <rFont val="Tahoma"/>
            <family val="2"/>
          </rPr>
          <t xml:space="preserve">2011 SIT Default
</t>
        </r>
      </text>
    </comment>
    <comment ref="C6" authorId="0">
      <text>
        <r>
          <rPr>
            <sz val="8"/>
            <color indexed="81"/>
            <rFont val="Tahoma"/>
            <family val="2"/>
          </rPr>
          <t>Do not include dolomite used in magnesium production.</t>
        </r>
      </text>
    </comment>
    <comment ref="H10" authorId="0">
      <text>
        <r>
          <rPr>
            <sz val="8"/>
            <color indexed="81"/>
            <rFont val="Tahoma"/>
            <family val="2"/>
          </rPr>
          <t>Metric Tons CO</t>
        </r>
        <r>
          <rPr>
            <vertAlign val="subscript"/>
            <sz val="8"/>
            <color indexed="81"/>
            <rFont val="Tahoma"/>
            <family val="2"/>
          </rPr>
          <t>2</t>
        </r>
        <r>
          <rPr>
            <sz val="8"/>
            <color indexed="81"/>
            <rFont val="Tahoma"/>
            <family val="2"/>
          </rPr>
          <t xml:space="preserve"> are converted into Metric Tons Carbon Equivalent by multiplying by the molecular weight ratio of carbon to carbon dioxide, or (12/44).
</t>
        </r>
      </text>
    </comment>
    <comment ref="D12" authorId="1">
      <text>
        <r>
          <rPr>
            <b/>
            <sz val="9"/>
            <color indexed="81"/>
            <rFont val="Tahoma"/>
            <family val="2"/>
          </rPr>
          <t>2014 Consumption</t>
        </r>
      </text>
    </comment>
    <comment ref="D17" authorId="1">
      <text>
        <r>
          <rPr>
            <b/>
            <sz val="9"/>
            <color indexed="81"/>
            <rFont val="Tahoma"/>
            <family val="2"/>
          </rPr>
          <t>2011 Default data</t>
        </r>
      </text>
    </comment>
    <comment ref="J21" authorId="0">
      <text>
        <r>
          <rPr>
            <sz val="8"/>
            <color indexed="81"/>
            <rFont val="Tahoma"/>
            <family val="2"/>
          </rPr>
          <t>Metric Tons CO</t>
        </r>
        <r>
          <rPr>
            <vertAlign val="subscript"/>
            <sz val="8"/>
            <color indexed="81"/>
            <rFont val="Tahoma"/>
            <family val="2"/>
          </rPr>
          <t>2</t>
        </r>
        <r>
          <rPr>
            <sz val="8"/>
            <color indexed="81"/>
            <rFont val="Tahoma"/>
            <family val="2"/>
          </rPr>
          <t xml:space="preserve"> are converted into Metric Tons Carbon Equivalent by multiplying by the molecular weight ratio of carbon to carbon dioxide, or (12/44).
</t>
        </r>
      </text>
    </comment>
    <comment ref="D22" authorId="1">
      <text>
        <r>
          <rPr>
            <b/>
            <sz val="9"/>
            <color indexed="81"/>
            <rFont val="Tahoma"/>
            <family val="2"/>
          </rPr>
          <t>2013 Default data</t>
        </r>
      </text>
    </comment>
    <comment ref="F22" authorId="2">
      <text>
        <r>
          <rPr>
            <b/>
            <sz val="9"/>
            <color indexed="81"/>
            <rFont val="Tahoma"/>
            <family val="2"/>
          </rPr>
          <t>amohammed:</t>
        </r>
        <r>
          <rPr>
            <sz val="9"/>
            <color indexed="81"/>
            <rFont val="Tahoma"/>
            <family val="2"/>
          </rPr>
          <t xml:space="preserve">
2014 Pop</t>
        </r>
      </text>
    </comment>
    <comment ref="H26" authorId="3">
      <text>
        <r>
          <rPr>
            <b/>
            <sz val="8"/>
            <color indexed="81"/>
            <rFont val="Tahoma"/>
            <family val="2"/>
          </rPr>
          <t>rthunell:</t>
        </r>
        <r>
          <rPr>
            <sz val="8"/>
            <color indexed="81"/>
            <rFont val="Tahoma"/>
            <family val="2"/>
          </rPr>
          <t xml:space="preserve">
GWP SF6 = 23,900</t>
        </r>
      </text>
    </comment>
    <comment ref="J26" authorId="0">
      <text>
        <r>
          <rPr>
            <sz val="8"/>
            <color indexed="81"/>
            <rFont val="Tahoma"/>
            <family val="2"/>
          </rPr>
          <t>Metric Tons CO</t>
        </r>
        <r>
          <rPr>
            <vertAlign val="subscript"/>
            <sz val="8"/>
            <color indexed="81"/>
            <rFont val="Tahoma"/>
            <family val="2"/>
          </rPr>
          <t>2</t>
        </r>
        <r>
          <rPr>
            <sz val="8"/>
            <color indexed="81"/>
            <rFont val="Tahoma"/>
            <family val="2"/>
          </rPr>
          <t xml:space="preserve"> are converted into Metric Tons Carbon Equivalent by multiplying by the GWP of SF</t>
        </r>
        <r>
          <rPr>
            <vertAlign val="subscript"/>
            <sz val="8"/>
            <color indexed="81"/>
            <rFont val="Tahoma"/>
            <family val="2"/>
          </rPr>
          <t>6</t>
        </r>
        <r>
          <rPr>
            <sz val="8"/>
            <color indexed="81"/>
            <rFont val="Tahoma"/>
            <family val="2"/>
          </rPr>
          <t xml:space="preserve"> (23,900) and the molecular weight ratio of carbon to carbon dioxide (12/44).
</t>
        </r>
      </text>
    </comment>
    <comment ref="L26" authorId="0">
      <text>
        <r>
          <rPr>
            <sz val="8"/>
            <color indexed="81"/>
            <rFont val="Tahoma"/>
            <family val="2"/>
          </rPr>
          <t>Metric Tons CO</t>
        </r>
        <r>
          <rPr>
            <vertAlign val="subscript"/>
            <sz val="8"/>
            <color indexed="81"/>
            <rFont val="Tahoma"/>
            <family val="2"/>
          </rPr>
          <t>2</t>
        </r>
        <r>
          <rPr>
            <sz val="8"/>
            <color indexed="81"/>
            <rFont val="Tahoma"/>
            <family val="2"/>
          </rPr>
          <t xml:space="preserve"> are converted into Metric Tons Carbon Equivalent by multiplying by the GWP of SF</t>
        </r>
        <r>
          <rPr>
            <vertAlign val="subscript"/>
            <sz val="8"/>
            <color indexed="81"/>
            <rFont val="Tahoma"/>
            <family val="2"/>
          </rPr>
          <t>6</t>
        </r>
        <r>
          <rPr>
            <sz val="8"/>
            <color indexed="81"/>
            <rFont val="Tahoma"/>
            <family val="2"/>
          </rPr>
          <t xml:space="preserve"> (23,900) and the molecular weight ratio of carbon to carbon dioxide (12/44).
</t>
        </r>
      </text>
    </comment>
    <comment ref="D27" authorId="1">
      <text>
        <r>
          <rPr>
            <sz val="9"/>
            <color indexed="81"/>
            <rFont val="Tahoma"/>
            <family val="2"/>
          </rPr>
          <t xml:space="preserve">2013 EPA Default data and 2014 Electricity Gen
</t>
        </r>
      </text>
    </comment>
    <comment ref="J31" authorId="3">
      <text>
        <r>
          <rPr>
            <sz val="8"/>
            <color indexed="81"/>
            <rFont val="Tahoma"/>
            <family val="2"/>
          </rPr>
          <t>Metric Tons CO2 are converted into Metric Tons Carbon Equivalent by multiplying by the molecular weight ratio of carbon to carbon dioxide, or (12/44).</t>
        </r>
        <r>
          <rPr>
            <b/>
            <sz val="8"/>
            <color indexed="81"/>
            <rFont val="Tahoma"/>
            <family val="2"/>
          </rPr>
          <t xml:space="preserve">
</t>
        </r>
      </text>
    </comment>
    <comment ref="L31" authorId="0">
      <text>
        <r>
          <rPr>
            <sz val="8"/>
            <color indexed="81"/>
            <rFont val="Tahoma"/>
            <family val="2"/>
          </rPr>
          <t xml:space="preserve">Metric Tons CO2 are converted into Metric Tons Carbon Equivalent by multiplying by the molecular weight ratio of carbon to carbon dioxide, or (12/44).
</t>
        </r>
      </text>
    </comment>
  </commentList>
</comments>
</file>

<file path=xl/comments9.xml><?xml version="1.0" encoding="utf-8"?>
<comments xmlns="http://schemas.openxmlformats.org/spreadsheetml/2006/main">
  <authors>
    <author>amohammed</author>
    <author>sal</author>
  </authors>
  <commentList>
    <comment ref="F12" authorId="0">
      <text>
        <r>
          <rPr>
            <b/>
            <sz val="8"/>
            <color indexed="81"/>
            <rFont val="Tahoma"/>
            <family val="2"/>
          </rPr>
          <t>amohammed:</t>
        </r>
        <r>
          <rPr>
            <sz val="8"/>
            <color indexed="81"/>
            <rFont val="Tahoma"/>
            <family val="2"/>
          </rPr>
          <t xml:space="preserve">
Biogenic</t>
        </r>
      </text>
    </comment>
    <comment ref="G12" authorId="0">
      <text>
        <r>
          <rPr>
            <b/>
            <sz val="8"/>
            <color indexed="81"/>
            <rFont val="Tahoma"/>
            <family val="2"/>
          </rPr>
          <t>Measured Biomass :
6.5 % of Total CO2 (CEM). 2011 Emission Certification Report.</t>
        </r>
      </text>
    </comment>
    <comment ref="E30" authorId="1">
      <text>
        <r>
          <rPr>
            <b/>
            <sz val="9"/>
            <color indexed="81"/>
            <rFont val="Tahoma"/>
            <family val="2"/>
          </rPr>
          <t>1.10249937 Conversion factor used in ECR (metric to short ton)</t>
        </r>
      </text>
    </comment>
  </commentList>
</comments>
</file>

<file path=xl/sharedStrings.xml><?xml version="1.0" encoding="utf-8"?>
<sst xmlns="http://schemas.openxmlformats.org/spreadsheetml/2006/main" count="65536" uniqueCount="1731">
  <si>
    <t>031-0019</t>
  </si>
  <si>
    <t>Mirant Dickerson</t>
  </si>
  <si>
    <t>1500-19-30001</t>
  </si>
  <si>
    <t>Boiler 1</t>
  </si>
  <si>
    <t>1500-19-30002</t>
  </si>
  <si>
    <t>Boiler 2</t>
  </si>
  <si>
    <t>1500-19-30003</t>
  </si>
  <si>
    <t>Boiler 3</t>
  </si>
  <si>
    <t>017-0014</t>
  </si>
  <si>
    <t>Mirant Morgantown</t>
  </si>
  <si>
    <t>0800-14-30002</t>
  </si>
  <si>
    <t>080-14-30003</t>
  </si>
  <si>
    <t>Btu/gal</t>
  </si>
  <si>
    <t>Emergency Engine (Boiler Feed Pump)</t>
  </si>
  <si>
    <t>3-0015</t>
  </si>
  <si>
    <t>S-No. 2 Oil</t>
  </si>
  <si>
    <t>MMBtu/ 1E+03 gal</t>
  </si>
  <si>
    <t>3-0016</t>
  </si>
  <si>
    <t>#2 Oli</t>
  </si>
  <si>
    <t>1600-14-40998</t>
  </si>
  <si>
    <t>Unit 4</t>
  </si>
  <si>
    <t>1600-14-40999</t>
  </si>
  <si>
    <t xml:space="preserve"> CT 1</t>
  </si>
  <si>
    <t>1600-14-41145</t>
  </si>
  <si>
    <t>CT2</t>
  </si>
  <si>
    <r>
      <t>Nitrous Oxide Emissions from Ag Soils (metric tons N</t>
    </r>
    <r>
      <rPr>
        <b/>
        <vertAlign val="subscript"/>
        <sz val="9"/>
        <rFont val="Calibri"/>
        <family val="2"/>
      </rPr>
      <t>2</t>
    </r>
    <r>
      <rPr>
        <b/>
        <sz val="9"/>
        <rFont val="Calibri"/>
        <family val="2"/>
      </rPr>
      <t>O)</t>
    </r>
  </si>
  <si>
    <t>1600-14-90752</t>
  </si>
  <si>
    <t>CT3**</t>
  </si>
  <si>
    <t>1600-14-90753</t>
  </si>
  <si>
    <t>CT4**</t>
  </si>
  <si>
    <t>1600-14-90755</t>
  </si>
  <si>
    <t>CT6**</t>
  </si>
  <si>
    <t>4-0007</t>
  </si>
  <si>
    <t>No.2 Oil</t>
  </si>
  <si>
    <t>MMBTU/10E+03 gallons</t>
  </si>
  <si>
    <t>024-025-0024</t>
  </si>
  <si>
    <t xml:space="preserve">Perryman </t>
  </si>
  <si>
    <t>5-0088</t>
  </si>
  <si>
    <t>Unit 51 CT</t>
  </si>
  <si>
    <t>4-0081</t>
  </si>
  <si>
    <t>Unit 1 CT</t>
  </si>
  <si>
    <t>4-0082</t>
  </si>
  <si>
    <t>Unit 2 CT</t>
  </si>
  <si>
    <t>4-0083</t>
  </si>
  <si>
    <t>Unit 3 CT</t>
  </si>
  <si>
    <t>4-0084</t>
  </si>
  <si>
    <t>Unit 4 CT</t>
  </si>
  <si>
    <t>#2 Oil</t>
  </si>
  <si>
    <t>005-0078</t>
  </si>
  <si>
    <t>Riverside</t>
  </si>
  <si>
    <t>4-0658</t>
  </si>
  <si>
    <t>Combustion Turbine # 7</t>
  </si>
  <si>
    <t>4-0659</t>
  </si>
  <si>
    <t xml:space="preserve">Combustion Turbine #8 </t>
  </si>
  <si>
    <t>019-0013</t>
  </si>
  <si>
    <t>Vienna Generating Station</t>
  </si>
  <si>
    <t>Unit 8</t>
  </si>
  <si>
    <t>Btu/gallons</t>
  </si>
  <si>
    <t>031-1822</t>
  </si>
  <si>
    <t>Mirant Station H</t>
  </si>
  <si>
    <t>1518-22-90362</t>
  </si>
  <si>
    <t>0800-14-4-0070</t>
  </si>
  <si>
    <t>0800-14-4-0074</t>
  </si>
  <si>
    <t>0800-14-4-0075</t>
  </si>
  <si>
    <t>4-1363</t>
  </si>
  <si>
    <t xml:space="preserve">Combustion Turbine # 6 </t>
  </si>
  <si>
    <t>#6 Oil</t>
  </si>
  <si>
    <t>gallons</t>
  </si>
  <si>
    <t>4-0307</t>
  </si>
  <si>
    <t>4-0017</t>
  </si>
  <si>
    <t>Boiler 2  (Unit 4)</t>
  </si>
  <si>
    <t>P-No.6 Oil</t>
  </si>
  <si>
    <t>001-6-0136</t>
  </si>
  <si>
    <t>Limestone Dryer</t>
  </si>
  <si>
    <t>Btu/scf</t>
  </si>
  <si>
    <t>S-Gas</t>
  </si>
  <si>
    <t>MMBtu/1E+06 scf</t>
  </si>
  <si>
    <t>Gas</t>
  </si>
  <si>
    <t>033-01827</t>
  </si>
  <si>
    <t xml:space="preserve">Chalkpoint -SMECO </t>
  </si>
  <si>
    <t>Combustion Turbine</t>
  </si>
  <si>
    <t>MMBTU/ 10E+06 scf</t>
  </si>
  <si>
    <t>MMBTU/10E+06 scf</t>
  </si>
  <si>
    <t>4-1082</t>
  </si>
  <si>
    <t xml:space="preserve"> Boiler #4</t>
  </si>
  <si>
    <t>510-0006</t>
  </si>
  <si>
    <t>5-0005</t>
  </si>
  <si>
    <t>033-2200</t>
  </si>
  <si>
    <t>Panda Brandywine</t>
  </si>
  <si>
    <t>5-0844</t>
  </si>
  <si>
    <t>5-0845</t>
  </si>
  <si>
    <t>015-0202</t>
  </si>
  <si>
    <t>5-0076</t>
  </si>
  <si>
    <t>Turbine 1</t>
  </si>
  <si>
    <t>5-0077</t>
  </si>
  <si>
    <t>Turbine 2</t>
  </si>
  <si>
    <t>5-0078</t>
  </si>
  <si>
    <t>Turbine 3</t>
  </si>
  <si>
    <t>5-0079</t>
  </si>
  <si>
    <t>Turbine 4</t>
  </si>
  <si>
    <t>MMBTU</t>
  </si>
  <si>
    <t>(short tons)</t>
  </si>
  <si>
    <t>(metric tons)</t>
  </si>
  <si>
    <t>(MMTC)</t>
  </si>
  <si>
    <t>Consumption</t>
  </si>
  <si>
    <t>Emission Factor</t>
  </si>
  <si>
    <t xml:space="preserve">Emissions </t>
  </si>
  <si>
    <t>GWP</t>
  </si>
  <si>
    <t>(Billion Btu)</t>
  </si>
  <si>
    <t>(metric tons CH4 /BBtu)</t>
  </si>
  <si>
    <t>Emissions</t>
  </si>
  <si>
    <t>Electric Power Sector GHG</t>
  </si>
  <si>
    <t>4-0091</t>
  </si>
  <si>
    <t>Aux Boiler # 2</t>
  </si>
  <si>
    <t>4-1107</t>
  </si>
  <si>
    <t>Aux Boiler # 3</t>
  </si>
  <si>
    <t>4-0089</t>
  </si>
  <si>
    <t>CT (14 MW)</t>
  </si>
  <si>
    <t>CPSG- Philadelphia Road Power</t>
  </si>
  <si>
    <t>4-0431</t>
  </si>
  <si>
    <t>4-0432</t>
  </si>
  <si>
    <t>4-0433</t>
  </si>
  <si>
    <t>4-0434</t>
  </si>
  <si>
    <t>Easton Utility</t>
  </si>
  <si>
    <t>Activity Data (Consumption)</t>
  </si>
  <si>
    <t xml:space="preserve">Aviation Gasoline </t>
  </si>
  <si>
    <t xml:space="preserve">Distillate Fuel  Oil </t>
  </si>
  <si>
    <t>Liquidfied Petroleum Gases</t>
  </si>
  <si>
    <t xml:space="preserve">Lubricant </t>
  </si>
  <si>
    <t>CONSTANTS</t>
  </si>
  <si>
    <t>Btu/Gallon</t>
  </si>
  <si>
    <t>(gallon)</t>
  </si>
  <si>
    <t>Distillate Fuel - Locomotive</t>
  </si>
  <si>
    <r>
      <t>Indirect N</t>
    </r>
    <r>
      <rPr>
        <b/>
        <vertAlign val="subscript"/>
        <sz val="8"/>
        <color indexed="10"/>
        <rFont val="Calibri"/>
        <family val="2"/>
      </rPr>
      <t>2</t>
    </r>
    <r>
      <rPr>
        <b/>
        <sz val="8"/>
        <color indexed="10"/>
        <rFont val="Calibri"/>
        <family val="2"/>
      </rPr>
      <t>O Emissions</t>
    </r>
  </si>
  <si>
    <r>
      <t>Direct N</t>
    </r>
    <r>
      <rPr>
        <b/>
        <vertAlign val="subscript"/>
        <sz val="8"/>
        <color indexed="10"/>
        <rFont val="Calibri"/>
        <family val="2"/>
      </rPr>
      <t>2</t>
    </r>
    <r>
      <rPr>
        <b/>
        <sz val="8"/>
        <color indexed="10"/>
        <rFont val="Calibri"/>
        <family val="2"/>
      </rPr>
      <t>O Emissions</t>
    </r>
  </si>
  <si>
    <r>
      <t>Agricultural Residue Burning -  CH</t>
    </r>
    <r>
      <rPr>
        <vertAlign val="subscript"/>
        <sz val="14"/>
        <rFont val="Comic Sans MS"/>
        <family val="4"/>
      </rPr>
      <t>4</t>
    </r>
    <r>
      <rPr>
        <sz val="14"/>
        <rFont val="Comic Sans MS"/>
        <family val="4"/>
      </rPr>
      <t xml:space="preserve"> Emissions</t>
    </r>
  </si>
  <si>
    <r>
      <t>Agricultural Residue Burning -  N</t>
    </r>
    <r>
      <rPr>
        <vertAlign val="subscript"/>
        <sz val="14"/>
        <rFont val="Comic Sans MS"/>
        <family val="4"/>
      </rPr>
      <t>2</t>
    </r>
    <r>
      <rPr>
        <sz val="14"/>
        <rFont val="Comic Sans MS"/>
        <family val="4"/>
      </rPr>
      <t>O Emissions</t>
    </r>
  </si>
  <si>
    <t>Btu/gallon</t>
  </si>
  <si>
    <t>Berlin Town Power Plant</t>
  </si>
  <si>
    <t>9-0028</t>
  </si>
  <si>
    <t>9-0029</t>
  </si>
  <si>
    <t>9-0031</t>
  </si>
  <si>
    <t>9-0032</t>
  </si>
  <si>
    <t>9-0033</t>
  </si>
  <si>
    <t>scf</t>
  </si>
  <si>
    <t>Unit 5 CT</t>
  </si>
  <si>
    <t>Unit 6 CT</t>
  </si>
  <si>
    <t>Unit 7 CT</t>
  </si>
  <si>
    <t>Unit 8 CT</t>
  </si>
  <si>
    <t>Combustion</t>
  </si>
  <si>
    <t>(lbs C/Million Btu)</t>
  </si>
  <si>
    <t>Efficiency (%)</t>
  </si>
  <si>
    <t>(short tons carbon)</t>
  </si>
  <si>
    <r>
      <t>(MMTCO</t>
    </r>
    <r>
      <rPr>
        <b/>
        <vertAlign val="subscript"/>
        <sz val="10"/>
        <rFont val="Arial"/>
        <family val="2"/>
      </rPr>
      <t>2</t>
    </r>
    <r>
      <rPr>
        <b/>
        <sz val="10"/>
        <rFont val="Arial"/>
        <family val="2"/>
      </rPr>
      <t>E)</t>
    </r>
  </si>
  <si>
    <r>
      <t>CO</t>
    </r>
    <r>
      <rPr>
        <b/>
        <vertAlign val="subscript"/>
        <sz val="10"/>
        <rFont val="Arial"/>
        <family val="2"/>
      </rPr>
      <t>2</t>
    </r>
  </si>
  <si>
    <r>
      <t>N</t>
    </r>
    <r>
      <rPr>
        <b/>
        <vertAlign val="subscript"/>
        <sz val="10"/>
        <rFont val="Arial"/>
        <family val="2"/>
      </rPr>
      <t>2</t>
    </r>
    <r>
      <rPr>
        <b/>
        <sz val="10"/>
        <rFont val="Arial"/>
        <family val="2"/>
      </rPr>
      <t>O</t>
    </r>
  </si>
  <si>
    <r>
      <t>CH</t>
    </r>
    <r>
      <rPr>
        <b/>
        <vertAlign val="subscript"/>
        <sz val="10"/>
        <rFont val="Arial"/>
        <family val="2"/>
      </rPr>
      <t>4</t>
    </r>
  </si>
  <si>
    <t>Fuel Consumption For Electricity Generation</t>
  </si>
  <si>
    <t>Coal (Short Tons)</t>
  </si>
  <si>
    <t>Petroleum (Barrels)</t>
  </si>
  <si>
    <t>Natural Gas (Mcf)</t>
  </si>
  <si>
    <t>Other Gases (MMBTU)</t>
  </si>
  <si>
    <t>Other Gases</t>
  </si>
  <si>
    <t>Nuclear</t>
  </si>
  <si>
    <t>Hydroelectric Conventional</t>
  </si>
  <si>
    <t>Wood and Wood Derived Fuels</t>
  </si>
  <si>
    <t>Other Biomass</t>
  </si>
  <si>
    <t>T &amp;D Losses</t>
  </si>
  <si>
    <t>Net In -State Generated Electricity</t>
  </si>
  <si>
    <t>Electricity Consumption (MWh) (MD Retail Sales)</t>
  </si>
  <si>
    <t>Others</t>
  </si>
  <si>
    <t>(Thousand Barrels)</t>
  </si>
  <si>
    <t>Solar Thermal and Photovoltaic</t>
  </si>
  <si>
    <t>GHG Associated with Imported Electricity</t>
  </si>
  <si>
    <r>
      <t>CO</t>
    </r>
    <r>
      <rPr>
        <vertAlign val="subscript"/>
        <sz val="10"/>
        <rFont val="MS Sans Serif"/>
        <family val="2"/>
      </rPr>
      <t>2</t>
    </r>
    <r>
      <rPr>
        <sz val="8"/>
        <rFont val="Arial"/>
        <family val="2"/>
      </rPr>
      <t xml:space="preserve"> Emission</t>
    </r>
  </si>
  <si>
    <r>
      <t>PJM</t>
    </r>
    <r>
      <rPr>
        <sz val="8"/>
        <rFont val="Arial"/>
        <family val="2"/>
      </rPr>
      <t xml:space="preserve"> Average CO</t>
    </r>
    <r>
      <rPr>
        <vertAlign val="subscript"/>
        <sz val="10"/>
        <rFont val="MS Sans Serif"/>
        <family val="2"/>
      </rPr>
      <t>2</t>
    </r>
    <r>
      <rPr>
        <sz val="8"/>
        <rFont val="Arial"/>
        <family val="2"/>
      </rPr>
      <t xml:space="preserve"> Emission Rate (lbs/MWh)</t>
    </r>
  </si>
  <si>
    <r>
      <t>(CO</t>
    </r>
    <r>
      <rPr>
        <vertAlign val="subscript"/>
        <sz val="10"/>
        <rFont val="MS Sans Serif"/>
        <family val="2"/>
      </rPr>
      <t>2</t>
    </r>
    <r>
      <rPr>
        <sz val="8"/>
        <rFont val="Arial"/>
        <family val="2"/>
      </rPr>
      <t xml:space="preserve"> Emission Rate of Marginal Units)</t>
    </r>
  </si>
  <si>
    <t>Hydroelectric</t>
  </si>
  <si>
    <t>Solid Waste</t>
  </si>
  <si>
    <t>Wind</t>
  </si>
  <si>
    <r>
      <t>Imported Electric CO</t>
    </r>
    <r>
      <rPr>
        <vertAlign val="subscript"/>
        <sz val="10"/>
        <rFont val="MS Sans Serif"/>
        <family val="2"/>
      </rPr>
      <t>2</t>
    </r>
    <r>
      <rPr>
        <sz val="8"/>
        <rFont val="Arial"/>
        <family val="2"/>
      </rPr>
      <t xml:space="preserve"> Emissions Factors (tons/MWh)</t>
    </r>
  </si>
  <si>
    <r>
      <t>Imported Electric CO</t>
    </r>
    <r>
      <rPr>
        <vertAlign val="subscript"/>
        <sz val="10"/>
        <rFont val="MS Sans Serif"/>
        <family val="2"/>
      </rPr>
      <t>2</t>
    </r>
    <r>
      <rPr>
        <sz val="8"/>
        <rFont val="Arial"/>
        <family val="2"/>
      </rPr>
      <t xml:space="preserve"> Emissions (metric tons)</t>
    </r>
  </si>
  <si>
    <r>
      <t>Imported Electric CO</t>
    </r>
    <r>
      <rPr>
        <vertAlign val="subscript"/>
        <sz val="10"/>
        <rFont val="MS Sans Serif"/>
        <family val="2"/>
      </rPr>
      <t>2</t>
    </r>
    <r>
      <rPr>
        <sz val="8"/>
        <rFont val="Arial"/>
        <family val="2"/>
      </rPr>
      <t xml:space="preserve"> Emissions (MMTCO</t>
    </r>
    <r>
      <rPr>
        <vertAlign val="subscript"/>
        <sz val="10"/>
        <rFont val="MS Sans Serif"/>
        <family val="2"/>
      </rPr>
      <t>2</t>
    </r>
    <r>
      <rPr>
        <sz val="8"/>
        <rFont val="Arial"/>
        <family val="2"/>
      </rPr>
      <t>)</t>
    </r>
  </si>
  <si>
    <t>Transportation</t>
  </si>
  <si>
    <t>TOTAL</t>
  </si>
  <si>
    <t>Year</t>
  </si>
  <si>
    <t>Wood</t>
  </si>
  <si>
    <t>Other</t>
  </si>
  <si>
    <t>Oil</t>
  </si>
  <si>
    <t>Production</t>
  </si>
  <si>
    <t xml:space="preserve">Transportation </t>
  </si>
  <si>
    <t>Fossil Fuel Industry</t>
  </si>
  <si>
    <t>Carbon</t>
  </si>
  <si>
    <t>CT</t>
  </si>
  <si>
    <t>Total</t>
  </si>
  <si>
    <t>LFTGE Landfills</t>
  </si>
  <si>
    <t>Agricultural Burning</t>
  </si>
  <si>
    <t>Agriculture</t>
  </si>
  <si>
    <t>Industrial Processes</t>
  </si>
  <si>
    <t>Waste Management</t>
  </si>
  <si>
    <t>Wastewater Management</t>
  </si>
  <si>
    <t xml:space="preserve"> Coal</t>
  </si>
  <si>
    <t>Enteric Fermentation</t>
  </si>
  <si>
    <t>Manure Management</t>
  </si>
  <si>
    <t>Ag Soils</t>
  </si>
  <si>
    <t>Methane</t>
  </si>
  <si>
    <t>Agricultural Residue Burning</t>
  </si>
  <si>
    <t>Nitrous Oxide</t>
  </si>
  <si>
    <t>Direct</t>
  </si>
  <si>
    <t>Fertilizers</t>
  </si>
  <si>
    <t>Crop Residues</t>
  </si>
  <si>
    <t>N-Fixing Crops</t>
  </si>
  <si>
    <t>Histosols</t>
  </si>
  <si>
    <t>Livestock</t>
  </si>
  <si>
    <t>Indirect</t>
  </si>
  <si>
    <t>Leaching/Runoff</t>
  </si>
  <si>
    <t>Agricultural Soils</t>
  </si>
  <si>
    <t>Gasoline</t>
  </si>
  <si>
    <t>Liming of Agricultural Soils</t>
  </si>
  <si>
    <t>Diesel</t>
  </si>
  <si>
    <t>Carbon Dioxide Emissions</t>
  </si>
  <si>
    <t>Cement Manufacture</t>
  </si>
  <si>
    <t>Lime Manufacture</t>
  </si>
  <si>
    <t>Limestone and Dolomite Use</t>
  </si>
  <si>
    <t>Soda Ash</t>
  </si>
  <si>
    <t>Ammonia &amp; Urea</t>
  </si>
  <si>
    <t>Iron &amp; Steel Production</t>
  </si>
  <si>
    <t>Nitrous Oxide Emissions</t>
  </si>
  <si>
    <t>Nitric Acid Production</t>
  </si>
  <si>
    <t>Adipic Acid Production</t>
  </si>
  <si>
    <t>HFC, PFC, and SF6 Emissions</t>
  </si>
  <si>
    <t>ODS Substitutes</t>
  </si>
  <si>
    <t>Semiconductor Manufacturing</t>
  </si>
  <si>
    <t>Magnesium Production</t>
  </si>
  <si>
    <t>Electric Power Transmission and Distribution Systems</t>
  </si>
  <si>
    <t>HCFC-22 Production</t>
  </si>
  <si>
    <t>Aluminum Production</t>
  </si>
  <si>
    <t>Total Emissions</t>
  </si>
  <si>
    <t>Number of Wells from EIA, " Natural Gas Navigator- Maryland Natural Gas Number of Gas and Gas Condensate Wells" acccessed from: http://tonto.eia.doe.gov/dnav/ng/hist/na1170_smd_8a.htm</t>
  </si>
  <si>
    <r>
      <t>Direct N</t>
    </r>
    <r>
      <rPr>
        <b/>
        <vertAlign val="subscript"/>
        <sz val="8"/>
        <rFont val="Calibri"/>
        <family val="2"/>
      </rPr>
      <t>2</t>
    </r>
    <r>
      <rPr>
        <b/>
        <sz val="8"/>
        <rFont val="Calibri"/>
        <family val="2"/>
      </rPr>
      <t>O Emissions - Manure Applied to Soils (including Daily Spread)</t>
    </r>
  </si>
  <si>
    <r>
      <t>Direct N</t>
    </r>
    <r>
      <rPr>
        <b/>
        <vertAlign val="subscript"/>
        <sz val="8"/>
        <rFont val="Calibri"/>
        <family val="2"/>
      </rPr>
      <t>2</t>
    </r>
    <r>
      <rPr>
        <b/>
        <sz val="8"/>
        <rFont val="Calibri"/>
        <family val="2"/>
      </rPr>
      <t>O Emissions - Pasture, Range, and Paddock</t>
    </r>
  </si>
  <si>
    <r>
      <t>Emission factor from US EP</t>
    </r>
    <r>
      <rPr>
        <sz val="10"/>
        <rFont val="Arial"/>
        <family val="2"/>
      </rPr>
      <t>A, Emissions Inventory Improvements Program,</t>
    </r>
    <r>
      <rPr>
        <i/>
        <sz val="10"/>
        <rFont val="Arial"/>
        <family val="2"/>
      </rPr>
      <t xml:space="preserve"> Volume VII: Chpater 5. Methods for Estimating Methane Emissions from Natural Gas and Oil Systems. </t>
    </r>
    <r>
      <rPr>
        <sz val="10"/>
        <rFont val="Arial"/>
        <family val="2"/>
      </rPr>
      <t>This factor represents emissions not just from wells but also from pneumatic devices, dehydrator vents, Kimray pumps, gas engines, and well clean-ups</t>
    </r>
  </si>
  <si>
    <r>
      <t>Metric Tons CH</t>
    </r>
    <r>
      <rPr>
        <b/>
        <vertAlign val="subscript"/>
        <sz val="7"/>
        <rFont val="Comic Sans MS"/>
        <family val="4"/>
      </rPr>
      <t>4</t>
    </r>
  </si>
  <si>
    <r>
      <t>MMTCO</t>
    </r>
    <r>
      <rPr>
        <b/>
        <vertAlign val="subscript"/>
        <sz val="7"/>
        <rFont val="Comic Sans MS"/>
        <family val="4"/>
      </rPr>
      <t>2</t>
    </r>
    <r>
      <rPr>
        <b/>
        <sz val="7"/>
        <rFont val="Comic Sans MS"/>
        <family val="4"/>
      </rPr>
      <t>E</t>
    </r>
  </si>
  <si>
    <r>
      <t>(metric tons CH</t>
    </r>
    <r>
      <rPr>
        <vertAlign val="subscript"/>
        <sz val="7"/>
        <rFont val="Comic Sans MS"/>
        <family val="4"/>
      </rPr>
      <t>4</t>
    </r>
    <r>
      <rPr>
        <sz val="7"/>
        <rFont val="Comic Sans MS"/>
        <family val="4"/>
      </rPr>
      <t xml:space="preserve"> per year per activity unit)</t>
    </r>
  </si>
  <si>
    <r>
      <t>All emission factors from US EP</t>
    </r>
    <r>
      <rPr>
        <sz val="10"/>
        <rFont val="Arial"/>
        <family val="2"/>
      </rPr>
      <t>A, Emissions Inventory Improvements Program,</t>
    </r>
    <r>
      <rPr>
        <i/>
        <sz val="10"/>
        <rFont val="Arial"/>
        <family val="2"/>
      </rPr>
      <t xml:space="preserve"> Volume VII: Chapter 5. Methods for Estimating Methane Emissions from Natural Gas and Oil Systems. </t>
    </r>
  </si>
  <si>
    <t>Natural Gas - Consumption as Pipeline Fuel</t>
  </si>
  <si>
    <t xml:space="preserve">                         Emission Factors:</t>
  </si>
  <si>
    <t xml:space="preserve"> Combustion</t>
  </si>
  <si>
    <r>
      <t>CO</t>
    </r>
    <r>
      <rPr>
        <b/>
        <vertAlign val="subscript"/>
        <sz val="10"/>
        <rFont val="Arial"/>
        <family val="2"/>
      </rPr>
      <t>2</t>
    </r>
    <r>
      <rPr>
        <b/>
        <sz val="10"/>
        <rFont val="Arial"/>
        <family val="2"/>
      </rPr>
      <t xml:space="preserve"> Emissions</t>
    </r>
  </si>
  <si>
    <r>
      <t>N</t>
    </r>
    <r>
      <rPr>
        <b/>
        <vertAlign val="subscript"/>
        <sz val="10"/>
        <rFont val="Arial"/>
        <family val="2"/>
      </rPr>
      <t>2</t>
    </r>
    <r>
      <rPr>
        <b/>
        <sz val="10"/>
        <rFont val="Arial"/>
        <family val="2"/>
      </rPr>
      <t>O Emissions</t>
    </r>
  </si>
  <si>
    <r>
      <t>CH</t>
    </r>
    <r>
      <rPr>
        <b/>
        <vertAlign val="subscript"/>
        <sz val="10"/>
        <rFont val="Arial"/>
        <family val="2"/>
      </rPr>
      <t>4</t>
    </r>
    <r>
      <rPr>
        <b/>
        <sz val="10"/>
        <rFont val="Arial"/>
        <family val="2"/>
      </rPr>
      <t xml:space="preserve"> Emissions</t>
    </r>
  </si>
  <si>
    <t>GHG Emissions</t>
  </si>
  <si>
    <t>NG Consumption</t>
  </si>
  <si>
    <t>(Billion Btus)</t>
  </si>
  <si>
    <t>(lbs/MMBtu)</t>
  </si>
  <si>
    <t>(Mt/BBtu)</t>
  </si>
  <si>
    <t>NGPZB (Billion Btus)</t>
  </si>
  <si>
    <t>NGPZB (Million Btus)</t>
  </si>
  <si>
    <t xml:space="preserve">Natural Gas as Pipeline Fuel Activity Data (Billion Btu)  was obtained from: http://www.eia.doe.gov/states/sep_fuel/html/csv/fuel_adjust_consum.csv </t>
  </si>
  <si>
    <r>
      <t>Emissions by Gas (MMTCO</t>
    </r>
    <r>
      <rPr>
        <b/>
        <vertAlign val="subscript"/>
        <sz val="8"/>
        <rFont val="Comic Sans MS"/>
        <family val="4"/>
      </rPr>
      <t>2</t>
    </r>
    <r>
      <rPr>
        <b/>
        <sz val="8"/>
        <rFont val="Comic Sans MS"/>
        <family val="4"/>
      </rPr>
      <t>e)</t>
    </r>
  </si>
  <si>
    <t>Transmission</t>
  </si>
  <si>
    <t>Distribution</t>
  </si>
  <si>
    <t>Pipeline Fuel</t>
  </si>
  <si>
    <t>Imported Electricity to Meet MD Demand (MWh)</t>
  </si>
  <si>
    <r>
      <t>CO</t>
    </r>
    <r>
      <rPr>
        <b/>
        <vertAlign val="subscript"/>
        <sz val="10"/>
        <rFont val="Arial"/>
        <family val="2"/>
      </rPr>
      <t>2</t>
    </r>
    <r>
      <rPr>
        <b/>
        <sz val="10"/>
        <rFont val="Arial"/>
        <family val="2"/>
      </rPr>
      <t xml:space="preserve"> Emission from (Flaring + LFGTE) (MMTCO</t>
    </r>
    <r>
      <rPr>
        <b/>
        <vertAlign val="subscript"/>
        <sz val="10"/>
        <rFont val="Arial"/>
        <family val="2"/>
      </rPr>
      <t>2</t>
    </r>
    <r>
      <rPr>
        <b/>
        <sz val="10"/>
        <rFont val="Arial"/>
        <family val="2"/>
      </rPr>
      <t>E)</t>
    </r>
  </si>
  <si>
    <t>Emissions were not calculated for the following sources: Industrial fruits &amp; vegetables, Industrial poultry, and Industrial pulp &amp; paper.</t>
  </si>
  <si>
    <t>Fruits &amp; Vegetables</t>
  </si>
  <si>
    <t>Red Meat</t>
  </si>
  <si>
    <t>Poultry</t>
  </si>
  <si>
    <t>Pulp &amp; Paper</t>
  </si>
  <si>
    <t>Municipal CH4</t>
  </si>
  <si>
    <t>Municipal N2O</t>
  </si>
  <si>
    <t>Industrial CH4</t>
  </si>
  <si>
    <r>
      <t xml:space="preserve"> Imported Electricity Emissions  (MMTCO</t>
    </r>
    <r>
      <rPr>
        <b/>
        <vertAlign val="subscript"/>
        <sz val="10"/>
        <rFont val="MS Sans Serif"/>
        <family val="2"/>
      </rPr>
      <t>2</t>
    </r>
    <r>
      <rPr>
        <b/>
        <sz val="10"/>
        <rFont val="MS Sans Serif"/>
        <family val="2"/>
      </rPr>
      <t>E)</t>
    </r>
  </si>
  <si>
    <t xml:space="preserve">Ammonia Production </t>
  </si>
  <si>
    <t>Urea Consumption</t>
  </si>
  <si>
    <t>GHG EMISSION SUMMARY</t>
  </si>
  <si>
    <t>Industrial Consumption and CO2 Emissions in Maryland</t>
  </si>
  <si>
    <t>tons</t>
  </si>
  <si>
    <t>Biomass</t>
  </si>
  <si>
    <t xml:space="preserve"> COAL COMBUSTION BY UNIT</t>
  </si>
  <si>
    <t>OIL COMBUSTION BY UNIT</t>
  </si>
  <si>
    <r>
      <t>CO</t>
    </r>
    <r>
      <rPr>
        <b/>
        <vertAlign val="subscript"/>
        <sz val="10"/>
        <rFont val="Arial"/>
        <family val="2"/>
      </rPr>
      <t xml:space="preserve">2 </t>
    </r>
    <r>
      <rPr>
        <b/>
        <sz val="10"/>
        <rFont val="Arial"/>
        <family val="2"/>
      </rPr>
      <t>Emmission</t>
    </r>
  </si>
  <si>
    <r>
      <t>CH</t>
    </r>
    <r>
      <rPr>
        <b/>
        <vertAlign val="subscript"/>
        <sz val="10"/>
        <rFont val="Arial"/>
        <family val="2"/>
      </rPr>
      <t>4</t>
    </r>
    <r>
      <rPr>
        <b/>
        <sz val="10"/>
        <rFont val="Arial"/>
        <family val="2"/>
      </rPr>
      <t xml:space="preserve"> </t>
    </r>
    <r>
      <rPr>
        <b/>
        <vertAlign val="subscript"/>
        <sz val="10"/>
        <rFont val="Arial"/>
        <family val="2"/>
      </rPr>
      <t xml:space="preserve"> </t>
    </r>
    <r>
      <rPr>
        <b/>
        <sz val="10"/>
        <rFont val="Arial"/>
        <family val="2"/>
      </rPr>
      <t>Emission</t>
    </r>
  </si>
  <si>
    <r>
      <t>N</t>
    </r>
    <r>
      <rPr>
        <b/>
        <vertAlign val="subscript"/>
        <sz val="10"/>
        <rFont val="Arial"/>
        <family val="2"/>
      </rPr>
      <t>2</t>
    </r>
    <r>
      <rPr>
        <b/>
        <sz val="10"/>
        <rFont val="Arial"/>
        <family val="2"/>
      </rPr>
      <t xml:space="preserve">O </t>
    </r>
    <r>
      <rPr>
        <b/>
        <vertAlign val="subscript"/>
        <sz val="10"/>
        <rFont val="Arial"/>
        <family val="2"/>
      </rPr>
      <t xml:space="preserve"> </t>
    </r>
    <r>
      <rPr>
        <b/>
        <sz val="10"/>
        <rFont val="Arial"/>
        <family val="2"/>
      </rPr>
      <t>Emission</t>
    </r>
  </si>
  <si>
    <t>001-9-0081</t>
  </si>
  <si>
    <t>1600-14-40778</t>
  </si>
  <si>
    <t>1600-14-41156</t>
  </si>
  <si>
    <t>CE  Aux. Boiler 5</t>
  </si>
  <si>
    <t>1600-14-41157</t>
  </si>
  <si>
    <t>CE  Aux. Boiler 6</t>
  </si>
  <si>
    <t>1600-14-41158</t>
  </si>
  <si>
    <t>CE   Aux. Boiler 7</t>
  </si>
  <si>
    <t>1827-5-074990</t>
  </si>
  <si>
    <t>4-0065-70</t>
  </si>
  <si>
    <t>4-0020-69</t>
  </si>
  <si>
    <t>4-0114-79</t>
  </si>
  <si>
    <t>1500-19-40907</t>
  </si>
  <si>
    <t>0800-14-40016</t>
  </si>
  <si>
    <t>Aux 2</t>
  </si>
  <si>
    <t>0800-14-4-0068</t>
  </si>
  <si>
    <t>0800-14-4-0069</t>
  </si>
  <si>
    <t>0800-14-4-0071</t>
  </si>
  <si>
    <t>Fuel Oil</t>
  </si>
  <si>
    <t>510-265</t>
  </si>
  <si>
    <t>041-0029</t>
  </si>
  <si>
    <t>9-0023</t>
  </si>
  <si>
    <t>9-0024</t>
  </si>
  <si>
    <t>9-0025</t>
  </si>
  <si>
    <t>9-0026</t>
  </si>
  <si>
    <t>9-0027</t>
  </si>
  <si>
    <t>9-0030</t>
  </si>
  <si>
    <t>041-0069</t>
  </si>
  <si>
    <t>20-4-0101</t>
  </si>
  <si>
    <t>20-4-0102</t>
  </si>
  <si>
    <t>20-9-0037</t>
  </si>
  <si>
    <t>20-9-0038</t>
  </si>
  <si>
    <t>047-0044</t>
  </si>
  <si>
    <t>039-0017</t>
  </si>
  <si>
    <t>4-0024</t>
  </si>
  <si>
    <t>4-0025</t>
  </si>
  <si>
    <t>4-0026</t>
  </si>
  <si>
    <t>4-0027</t>
  </si>
  <si>
    <t>009-0012</t>
  </si>
  <si>
    <t>Calvert Cliffs Parkway Nuclear PP</t>
  </si>
  <si>
    <t>4-0014</t>
  </si>
  <si>
    <t>Agriculture Soils -  Plant Fertilizer Emissions in Maryland</t>
  </si>
  <si>
    <t>Agriculture  Soils- Plant Residues &amp; Legumes in Maryland</t>
  </si>
  <si>
    <t>4-0016</t>
  </si>
  <si>
    <t>4-0018</t>
  </si>
  <si>
    <t>9-0019</t>
  </si>
  <si>
    <t xml:space="preserve"> NATURAL GAS COMBUSTION BY UNIT</t>
  </si>
  <si>
    <t>5-0006</t>
  </si>
  <si>
    <t>5-0007</t>
  </si>
  <si>
    <t>5-0008</t>
  </si>
  <si>
    <t>5-0009</t>
  </si>
  <si>
    <t>5-0010</t>
  </si>
  <si>
    <t>5-0011</t>
  </si>
  <si>
    <t>5-0012</t>
  </si>
  <si>
    <t>6-0205</t>
  </si>
  <si>
    <t>NG Fuel Gas Heater</t>
  </si>
  <si>
    <t>510-0007</t>
  </si>
  <si>
    <t>4-0536</t>
  </si>
  <si>
    <t xml:space="preserve"> ALL UNITS</t>
  </si>
  <si>
    <t>ALL UNITS</t>
  </si>
  <si>
    <t>EPA- Mandatory GHG Rule Reporting Methodology used in Emission Certification Reports.</t>
  </si>
  <si>
    <t>% Biomass</t>
  </si>
  <si>
    <r>
      <t>CO</t>
    </r>
    <r>
      <rPr>
        <b/>
        <vertAlign val="subscript"/>
        <sz val="8"/>
        <rFont val="Arial"/>
        <family val="2"/>
      </rPr>
      <t>2</t>
    </r>
    <r>
      <rPr>
        <b/>
        <sz val="8"/>
        <rFont val="Arial"/>
        <family val="2"/>
      </rPr>
      <t xml:space="preserve"> Emissions (metric tons)</t>
    </r>
  </si>
  <si>
    <r>
      <t>CH</t>
    </r>
    <r>
      <rPr>
        <b/>
        <vertAlign val="subscript"/>
        <sz val="8"/>
        <rFont val="Arial"/>
        <family val="2"/>
      </rPr>
      <t>4</t>
    </r>
    <r>
      <rPr>
        <b/>
        <sz val="8"/>
        <rFont val="Arial"/>
        <family val="2"/>
      </rPr>
      <t xml:space="preserve"> Emissions (metric tons CH</t>
    </r>
    <r>
      <rPr>
        <b/>
        <vertAlign val="subscript"/>
        <sz val="8"/>
        <rFont val="Arial"/>
        <family val="2"/>
      </rPr>
      <t>4</t>
    </r>
    <r>
      <rPr>
        <b/>
        <sz val="8"/>
        <rFont val="Arial"/>
        <family val="2"/>
      </rPr>
      <t>)</t>
    </r>
  </si>
  <si>
    <r>
      <t>N</t>
    </r>
    <r>
      <rPr>
        <b/>
        <vertAlign val="subscript"/>
        <sz val="8"/>
        <rFont val="Arial"/>
        <family val="2"/>
      </rPr>
      <t>2</t>
    </r>
    <r>
      <rPr>
        <b/>
        <sz val="8"/>
        <rFont val="Arial"/>
        <family val="2"/>
      </rPr>
      <t>O Emissions (metric tons CH</t>
    </r>
    <r>
      <rPr>
        <b/>
        <vertAlign val="subscript"/>
        <sz val="8"/>
        <rFont val="Arial"/>
        <family val="2"/>
      </rPr>
      <t>4</t>
    </r>
    <r>
      <rPr>
        <b/>
        <sz val="8"/>
        <rFont val="Arial"/>
        <family val="2"/>
      </rPr>
      <t>)</t>
    </r>
  </si>
  <si>
    <t xml:space="preserve"> Lehigh Kiln System </t>
  </si>
  <si>
    <t xml:space="preserve"> -Coal</t>
  </si>
  <si>
    <t>metric  tons</t>
  </si>
  <si>
    <t xml:space="preserve"> - DBS (Preheater/Precalciner Kiln)</t>
  </si>
  <si>
    <t xml:space="preserve"> - #2 Oil</t>
  </si>
  <si>
    <t>Gallons</t>
  </si>
  <si>
    <t xml:space="preserve"> - Fly Ash</t>
  </si>
  <si>
    <t>Kiln Fossil Fuel Combustion (Calculation)</t>
  </si>
  <si>
    <r>
      <t>Kiln System Total CO</t>
    </r>
    <r>
      <rPr>
        <b/>
        <vertAlign val="subscript"/>
        <sz val="8"/>
        <rFont val="Arial"/>
        <family val="2"/>
      </rPr>
      <t>2</t>
    </r>
    <r>
      <rPr>
        <b/>
        <sz val="8"/>
        <rFont val="Arial"/>
        <family val="2"/>
      </rPr>
      <t xml:space="preserve"> (CEM Measured)</t>
    </r>
  </si>
  <si>
    <t>Non Kiln</t>
  </si>
  <si>
    <t xml:space="preserve"> Finish Mill (#2 Oil)</t>
  </si>
  <si>
    <r>
      <t>Total Facility CO</t>
    </r>
    <r>
      <rPr>
        <b/>
        <vertAlign val="subscript"/>
        <sz val="8"/>
        <rFont val="Arial"/>
        <family val="2"/>
      </rPr>
      <t>2</t>
    </r>
    <r>
      <rPr>
        <b/>
        <sz val="8"/>
        <rFont val="Arial"/>
        <family val="2"/>
      </rPr>
      <t>= Kiln System CO</t>
    </r>
    <r>
      <rPr>
        <b/>
        <vertAlign val="subscript"/>
        <sz val="8"/>
        <rFont val="Arial"/>
        <family val="2"/>
      </rPr>
      <t>2</t>
    </r>
    <r>
      <rPr>
        <b/>
        <sz val="8"/>
        <rFont val="Arial"/>
        <family val="2"/>
      </rPr>
      <t xml:space="preserve"> + Non-Kiln CO</t>
    </r>
    <r>
      <rPr>
        <b/>
        <vertAlign val="subscript"/>
        <sz val="8"/>
        <rFont val="Arial"/>
        <family val="2"/>
      </rPr>
      <t>2</t>
    </r>
  </si>
  <si>
    <t>Kiln Fossil Fuel Combustion (short tons)</t>
  </si>
  <si>
    <r>
      <t>Kiln System Total CO</t>
    </r>
    <r>
      <rPr>
        <b/>
        <vertAlign val="subscript"/>
        <sz val="8"/>
        <rFont val="Arial"/>
        <family val="2"/>
      </rPr>
      <t>2</t>
    </r>
    <r>
      <rPr>
        <b/>
        <sz val="8"/>
        <rFont val="Arial"/>
        <family val="2"/>
      </rPr>
      <t xml:space="preserve"> (CEM Measured) (short tons)</t>
    </r>
  </si>
  <si>
    <r>
      <t>Manure Management N</t>
    </r>
    <r>
      <rPr>
        <vertAlign val="subscript"/>
        <sz val="12"/>
        <rFont val="Comic Sans MS"/>
        <family val="4"/>
      </rPr>
      <t>2</t>
    </r>
    <r>
      <rPr>
        <sz val="12"/>
        <rFont val="Comic Sans MS"/>
        <family val="4"/>
      </rPr>
      <t>0 Emissions</t>
    </r>
  </si>
  <si>
    <t>EMISSIONS SUMMARY  2011</t>
  </si>
  <si>
    <r>
      <t>2011
MMTCO</t>
    </r>
    <r>
      <rPr>
        <b/>
        <vertAlign val="subscript"/>
        <sz val="9"/>
        <rFont val="Calibri"/>
        <family val="2"/>
      </rPr>
      <t>2</t>
    </r>
    <r>
      <rPr>
        <b/>
        <sz val="9"/>
        <rFont val="Calibri"/>
        <family val="2"/>
      </rPr>
      <t>E</t>
    </r>
  </si>
  <si>
    <r>
      <t>Emissions by Gas 
(MMTCH</t>
    </r>
    <r>
      <rPr>
        <b/>
        <vertAlign val="subscript"/>
        <sz val="9"/>
        <rFont val="Calibri"/>
        <family val="2"/>
      </rPr>
      <t>4</t>
    </r>
    <r>
      <rPr>
        <b/>
        <sz val="9"/>
        <rFont val="Calibri"/>
        <family val="2"/>
      </rPr>
      <t xml:space="preserve"> or MMTN</t>
    </r>
    <r>
      <rPr>
        <b/>
        <vertAlign val="subscript"/>
        <sz val="9"/>
        <rFont val="Calibri"/>
        <family val="2"/>
      </rPr>
      <t>2</t>
    </r>
    <r>
      <rPr>
        <b/>
        <sz val="9"/>
        <rFont val="Calibri"/>
        <family val="2"/>
      </rPr>
      <t>O)</t>
    </r>
  </si>
  <si>
    <r>
      <t>Cement Production-Process CO</t>
    </r>
    <r>
      <rPr>
        <b/>
        <vertAlign val="subscript"/>
        <sz val="8"/>
        <rFont val="Arial"/>
        <family val="2"/>
      </rPr>
      <t xml:space="preserve">2 </t>
    </r>
    <r>
      <rPr>
        <b/>
        <sz val="8"/>
        <rFont val="Arial"/>
        <family val="2"/>
      </rPr>
      <t>(short tons)</t>
    </r>
    <r>
      <rPr>
        <b/>
        <vertAlign val="subscript"/>
        <sz val="8"/>
        <rFont val="Arial"/>
        <family val="2"/>
      </rPr>
      <t xml:space="preserve">  </t>
    </r>
    <r>
      <rPr>
        <b/>
        <sz val="8"/>
        <rFont val="Arial"/>
        <family val="2"/>
      </rPr>
      <t>= Kiln System Total CO</t>
    </r>
    <r>
      <rPr>
        <b/>
        <vertAlign val="subscript"/>
        <sz val="8"/>
        <rFont val="Arial"/>
        <family val="2"/>
      </rPr>
      <t>2</t>
    </r>
    <r>
      <rPr>
        <b/>
        <sz val="8"/>
        <rFont val="Arial"/>
        <family val="2"/>
      </rPr>
      <t xml:space="preserve"> - Kiln Fossil Fuel Combustion CO</t>
    </r>
    <r>
      <rPr>
        <b/>
        <vertAlign val="subscript"/>
        <sz val="8"/>
        <rFont val="Arial"/>
        <family val="2"/>
      </rPr>
      <t>2</t>
    </r>
  </si>
  <si>
    <r>
      <t>Total Facility CO</t>
    </r>
    <r>
      <rPr>
        <b/>
        <vertAlign val="subscript"/>
        <sz val="8"/>
        <rFont val="Arial"/>
        <family val="2"/>
      </rPr>
      <t>2</t>
    </r>
    <r>
      <rPr>
        <b/>
        <sz val="8"/>
        <rFont val="Arial"/>
        <family val="2"/>
      </rPr>
      <t xml:space="preserve"> (short tons)</t>
    </r>
    <r>
      <rPr>
        <b/>
        <vertAlign val="subscript"/>
        <sz val="8"/>
        <rFont val="Arial"/>
        <family val="2"/>
      </rPr>
      <t xml:space="preserve"> </t>
    </r>
    <r>
      <rPr>
        <b/>
        <sz val="8"/>
        <rFont val="Arial"/>
        <family val="2"/>
      </rPr>
      <t>= Kiln System CO</t>
    </r>
    <r>
      <rPr>
        <b/>
        <vertAlign val="subscript"/>
        <sz val="8"/>
        <rFont val="Arial"/>
        <family val="2"/>
      </rPr>
      <t>2</t>
    </r>
    <r>
      <rPr>
        <b/>
        <sz val="8"/>
        <rFont val="Arial"/>
        <family val="2"/>
      </rPr>
      <t xml:space="preserve"> + Non-Kiln CO</t>
    </r>
    <r>
      <rPr>
        <b/>
        <vertAlign val="subscript"/>
        <sz val="8"/>
        <rFont val="Arial"/>
        <family val="2"/>
      </rPr>
      <t>2</t>
    </r>
  </si>
  <si>
    <r>
      <t>N</t>
    </r>
    <r>
      <rPr>
        <b/>
        <vertAlign val="subscript"/>
        <sz val="8"/>
        <rFont val="Arial"/>
        <family val="2"/>
      </rPr>
      <t>2</t>
    </r>
    <r>
      <rPr>
        <b/>
        <sz val="8"/>
        <rFont val="Arial"/>
        <family val="2"/>
      </rPr>
      <t>O  Emissions   (metric tons N</t>
    </r>
    <r>
      <rPr>
        <b/>
        <vertAlign val="subscript"/>
        <sz val="8"/>
        <rFont val="Arial"/>
        <family val="2"/>
      </rPr>
      <t>2</t>
    </r>
    <r>
      <rPr>
        <b/>
        <sz val="8"/>
        <rFont val="Arial"/>
        <family val="2"/>
      </rPr>
      <t>O)</t>
    </r>
  </si>
  <si>
    <t>Kiln System</t>
  </si>
  <si>
    <t>short  tons</t>
  </si>
  <si>
    <t xml:space="preserve"> - Tire</t>
  </si>
  <si>
    <r>
      <t>Kiln Fossil Fuel Alone CO</t>
    </r>
    <r>
      <rPr>
        <b/>
        <vertAlign val="subscript"/>
        <sz val="8"/>
        <rFont val="Arial"/>
        <family val="2"/>
      </rPr>
      <t>2</t>
    </r>
    <r>
      <rPr>
        <b/>
        <sz val="8"/>
        <rFont val="Arial"/>
        <family val="2"/>
      </rPr>
      <t xml:space="preserve"> (Calculation)</t>
    </r>
  </si>
  <si>
    <t xml:space="preserve">Non Kiln </t>
  </si>
  <si>
    <t>Raw Meal - # 2 Oil</t>
  </si>
  <si>
    <r>
      <t>Kiln System Total CO</t>
    </r>
    <r>
      <rPr>
        <b/>
        <vertAlign val="subscript"/>
        <sz val="8"/>
        <rFont val="Arial"/>
        <family val="2"/>
      </rPr>
      <t>2</t>
    </r>
    <r>
      <rPr>
        <b/>
        <sz val="8"/>
        <rFont val="Arial"/>
        <family val="2"/>
      </rPr>
      <t xml:space="preserve"> (CEM Measured).</t>
    </r>
  </si>
  <si>
    <r>
      <t>Total Facility CO</t>
    </r>
    <r>
      <rPr>
        <b/>
        <vertAlign val="subscript"/>
        <sz val="8"/>
        <rFont val="Arial"/>
        <family val="2"/>
      </rPr>
      <t>2</t>
    </r>
    <r>
      <rPr>
        <b/>
        <sz val="8"/>
        <rFont val="Arial"/>
        <family val="2"/>
      </rPr>
      <t xml:space="preserve"> Emission = (Kiln System Total CO</t>
    </r>
    <r>
      <rPr>
        <b/>
        <vertAlign val="subscript"/>
        <sz val="8"/>
        <rFont val="Arial"/>
        <family val="2"/>
      </rPr>
      <t>2</t>
    </r>
    <r>
      <rPr>
        <b/>
        <sz val="8"/>
        <rFont val="Arial"/>
        <family val="2"/>
      </rPr>
      <t>) + (Non Kiln CO</t>
    </r>
    <r>
      <rPr>
        <b/>
        <vertAlign val="subscript"/>
        <sz val="8"/>
        <rFont val="Arial"/>
        <family val="2"/>
      </rPr>
      <t>2</t>
    </r>
    <r>
      <rPr>
        <b/>
        <sz val="8"/>
        <rFont val="Arial"/>
        <family val="2"/>
      </rPr>
      <t>)</t>
    </r>
  </si>
  <si>
    <r>
      <t>Kiln Fossil Fuel Alone CO</t>
    </r>
    <r>
      <rPr>
        <b/>
        <vertAlign val="subscript"/>
        <sz val="8"/>
        <rFont val="Arial"/>
        <family val="2"/>
      </rPr>
      <t>2</t>
    </r>
    <r>
      <rPr>
        <b/>
        <sz val="8"/>
        <rFont val="Arial"/>
        <family val="2"/>
      </rPr>
      <t xml:space="preserve"> (Calculated) (short tons)</t>
    </r>
  </si>
  <si>
    <r>
      <t>Cement Process CO</t>
    </r>
    <r>
      <rPr>
        <b/>
        <vertAlign val="subscript"/>
        <sz val="8"/>
        <rFont val="Arial"/>
        <family val="2"/>
      </rPr>
      <t>2</t>
    </r>
    <r>
      <rPr>
        <b/>
        <sz val="8"/>
        <rFont val="Arial"/>
        <family val="2"/>
      </rPr>
      <t xml:space="preserve"> (short tons) = (Total Kiln CO</t>
    </r>
    <r>
      <rPr>
        <b/>
        <vertAlign val="subscript"/>
        <sz val="8"/>
        <rFont val="Arial"/>
        <family val="2"/>
      </rPr>
      <t>2</t>
    </r>
    <r>
      <rPr>
        <b/>
        <sz val="8"/>
        <rFont val="Arial"/>
        <family val="2"/>
      </rPr>
      <t>)  - (Kiln Fossil Fuel Alone CO</t>
    </r>
    <r>
      <rPr>
        <b/>
        <vertAlign val="subscript"/>
        <sz val="8"/>
        <rFont val="Arial"/>
        <family val="2"/>
      </rPr>
      <t>2</t>
    </r>
    <r>
      <rPr>
        <b/>
        <sz val="8"/>
        <rFont val="Arial"/>
        <family val="2"/>
      </rPr>
      <t>)</t>
    </r>
  </si>
  <si>
    <r>
      <t>Total Facility CO</t>
    </r>
    <r>
      <rPr>
        <b/>
        <vertAlign val="subscript"/>
        <sz val="8"/>
        <rFont val="Arial"/>
        <family val="2"/>
      </rPr>
      <t>2</t>
    </r>
    <r>
      <rPr>
        <b/>
        <sz val="8"/>
        <rFont val="Arial"/>
        <family val="2"/>
      </rPr>
      <t xml:space="preserve"> Emission(short tons) = (Kiln System Total CO</t>
    </r>
    <r>
      <rPr>
        <b/>
        <vertAlign val="subscript"/>
        <sz val="8"/>
        <rFont val="Arial"/>
        <family val="2"/>
      </rPr>
      <t>2</t>
    </r>
    <r>
      <rPr>
        <b/>
        <sz val="8"/>
        <rFont val="Arial"/>
        <family val="2"/>
      </rPr>
      <t>) + (Non Kiln CO</t>
    </r>
    <r>
      <rPr>
        <b/>
        <vertAlign val="subscript"/>
        <sz val="8"/>
        <rFont val="Arial"/>
        <family val="2"/>
      </rPr>
      <t>2</t>
    </r>
    <r>
      <rPr>
        <b/>
        <sz val="8"/>
        <rFont val="Arial"/>
        <family val="2"/>
      </rPr>
      <t>)</t>
    </r>
  </si>
  <si>
    <r>
      <t>MD Summmary Cement Process CO</t>
    </r>
    <r>
      <rPr>
        <b/>
        <vertAlign val="subscript"/>
        <sz val="8"/>
        <rFont val="Arial"/>
        <family val="2"/>
      </rPr>
      <t>2</t>
    </r>
    <r>
      <rPr>
        <b/>
        <sz val="8"/>
        <rFont val="Arial"/>
        <family val="2"/>
      </rPr>
      <t xml:space="preserve"> Emissions (short tons) </t>
    </r>
  </si>
  <si>
    <r>
      <t>Cement Process CO</t>
    </r>
    <r>
      <rPr>
        <b/>
        <vertAlign val="subscript"/>
        <sz val="8"/>
        <rFont val="Arial"/>
        <family val="2"/>
      </rPr>
      <t xml:space="preserve">2 </t>
    </r>
    <r>
      <rPr>
        <b/>
        <sz val="8"/>
        <rFont val="Arial"/>
        <family val="2"/>
      </rPr>
      <t>(metric tons)</t>
    </r>
    <r>
      <rPr>
        <b/>
        <vertAlign val="subscript"/>
        <sz val="8"/>
        <rFont val="Arial"/>
        <family val="2"/>
      </rPr>
      <t xml:space="preserve"> </t>
    </r>
    <r>
      <rPr>
        <b/>
        <sz val="8"/>
        <rFont val="Arial"/>
        <family val="2"/>
      </rPr>
      <t xml:space="preserve"> = (Total Kiln CO</t>
    </r>
    <r>
      <rPr>
        <b/>
        <vertAlign val="subscript"/>
        <sz val="8"/>
        <rFont val="Arial"/>
        <family val="2"/>
      </rPr>
      <t>2</t>
    </r>
    <r>
      <rPr>
        <b/>
        <sz val="8"/>
        <rFont val="Arial"/>
        <family val="2"/>
      </rPr>
      <t>)  - (Kiln Fossil Fuel Alone CO</t>
    </r>
    <r>
      <rPr>
        <b/>
        <vertAlign val="subscript"/>
        <sz val="8"/>
        <rFont val="Arial"/>
        <family val="2"/>
      </rPr>
      <t>2</t>
    </r>
    <r>
      <rPr>
        <b/>
        <sz val="8"/>
        <rFont val="Arial"/>
        <family val="2"/>
      </rPr>
      <t>)</t>
    </r>
  </si>
  <si>
    <r>
      <t>Cement Production-Process CO</t>
    </r>
    <r>
      <rPr>
        <b/>
        <vertAlign val="subscript"/>
        <sz val="8"/>
        <rFont val="Arial"/>
        <family val="2"/>
      </rPr>
      <t xml:space="preserve">2 </t>
    </r>
    <r>
      <rPr>
        <b/>
        <sz val="8"/>
        <rFont val="Arial"/>
        <family val="2"/>
      </rPr>
      <t>(metric tons)</t>
    </r>
    <r>
      <rPr>
        <b/>
        <vertAlign val="subscript"/>
        <sz val="8"/>
        <rFont val="Arial"/>
        <family val="2"/>
      </rPr>
      <t xml:space="preserve">  </t>
    </r>
    <r>
      <rPr>
        <b/>
        <sz val="8"/>
        <rFont val="Arial"/>
        <family val="2"/>
      </rPr>
      <t>= Kiln System Total CO</t>
    </r>
    <r>
      <rPr>
        <b/>
        <vertAlign val="subscript"/>
        <sz val="8"/>
        <rFont val="Arial"/>
        <family val="2"/>
      </rPr>
      <t>2</t>
    </r>
    <r>
      <rPr>
        <b/>
        <sz val="8"/>
        <rFont val="Arial"/>
        <family val="2"/>
      </rPr>
      <t xml:space="preserve"> - Kiln Fossil Fuel Combustion CO</t>
    </r>
    <r>
      <rPr>
        <b/>
        <vertAlign val="subscript"/>
        <sz val="8"/>
        <rFont val="Arial"/>
        <family val="2"/>
      </rPr>
      <t>2</t>
    </r>
  </si>
  <si>
    <t xml:space="preserve"> MD In-State Gross Generation (MWh)</t>
  </si>
  <si>
    <t>Total Electric Consumption (Mwh) Net</t>
  </si>
  <si>
    <t>Total Electric Consumption (Mwh) Gross</t>
  </si>
  <si>
    <t xml:space="preserve"> Net MD In-State Electricity Generation (MWh) = MD In-State Electricity Generated - T &amp;D Losses</t>
  </si>
  <si>
    <t>Electricity Imported (MWh) = MD Gross Retail Sales - Gross In-state Generation</t>
  </si>
  <si>
    <r>
      <t>CO</t>
    </r>
    <r>
      <rPr>
        <vertAlign val="subscript"/>
        <sz val="10"/>
        <rFont val="Arial"/>
        <family val="2"/>
      </rPr>
      <t>2</t>
    </r>
  </si>
  <si>
    <r>
      <t>CH</t>
    </r>
    <r>
      <rPr>
        <vertAlign val="subscript"/>
        <sz val="10"/>
        <rFont val="Arial"/>
        <family val="2"/>
      </rPr>
      <t>4</t>
    </r>
  </si>
  <si>
    <r>
      <t>CH</t>
    </r>
    <r>
      <rPr>
        <vertAlign val="subscript"/>
        <sz val="9"/>
        <rFont val="Arial"/>
        <family val="2"/>
      </rPr>
      <t>4</t>
    </r>
    <r>
      <rPr>
        <b/>
        <sz val="9"/>
        <rFont val="Arial"/>
        <family val="2"/>
      </rPr>
      <t xml:space="preserve"> Collected (tons)</t>
    </r>
  </si>
  <si>
    <r>
      <t>Amount of CH</t>
    </r>
    <r>
      <rPr>
        <b/>
        <vertAlign val="subscript"/>
        <sz val="9"/>
        <rFont val="Arial"/>
        <family val="2"/>
      </rPr>
      <t>4</t>
    </r>
    <r>
      <rPr>
        <b/>
        <sz val="9"/>
        <rFont val="Arial"/>
        <family val="2"/>
      </rPr>
      <t xml:space="preserve"> Flared ,tons</t>
    </r>
  </si>
  <si>
    <t>Brown Station Landfill A</t>
  </si>
  <si>
    <r>
      <t>MSW CH</t>
    </r>
    <r>
      <rPr>
        <b/>
        <vertAlign val="subscript"/>
        <sz val="10"/>
        <rFont val="Arial"/>
        <family val="2"/>
      </rPr>
      <t>4</t>
    </r>
    <r>
      <rPr>
        <b/>
        <sz val="10"/>
        <rFont val="Arial"/>
        <family val="2"/>
      </rPr>
      <t xml:space="preserve"> Generation ( short ton CH</t>
    </r>
    <r>
      <rPr>
        <b/>
        <vertAlign val="subscript"/>
        <sz val="10"/>
        <rFont val="Arial"/>
        <family val="2"/>
      </rPr>
      <t>4</t>
    </r>
    <r>
      <rPr>
        <b/>
        <sz val="10"/>
        <rFont val="Arial"/>
        <family val="2"/>
      </rPr>
      <t>)</t>
    </r>
  </si>
  <si>
    <r>
      <t>Flared CH</t>
    </r>
    <r>
      <rPr>
        <b/>
        <vertAlign val="subscript"/>
        <sz val="10"/>
        <rFont val="Arial"/>
        <family val="2"/>
      </rPr>
      <t>4</t>
    </r>
    <r>
      <rPr>
        <b/>
        <sz val="8"/>
        <rFont val="Arial"/>
        <family val="2"/>
      </rPr>
      <t xml:space="preserve"> (short tons)</t>
    </r>
  </si>
  <si>
    <t xml:space="preserve">MD Summary </t>
  </si>
  <si>
    <t>Montgomery</t>
  </si>
  <si>
    <t>MSW HHV (mmbtu/short tons)</t>
  </si>
  <si>
    <t>EPA factor</t>
  </si>
  <si>
    <t>MSW Heat Input (mmbtu)</t>
  </si>
  <si>
    <t>CEM</t>
  </si>
  <si>
    <t>CEM/ECR</t>
  </si>
  <si>
    <r>
      <t>CH</t>
    </r>
    <r>
      <rPr>
        <vertAlign val="subscript"/>
        <sz val="8"/>
        <rFont val="Arial"/>
        <family val="2"/>
      </rPr>
      <t>4</t>
    </r>
    <r>
      <rPr>
        <sz val="8"/>
        <rFont val="Arial"/>
        <family val="2"/>
      </rPr>
      <t xml:space="preserve"> Emission Factor (kg/mmbtu)</t>
    </r>
  </si>
  <si>
    <r>
      <t>CH</t>
    </r>
    <r>
      <rPr>
        <vertAlign val="subscript"/>
        <sz val="8"/>
        <rFont val="Arial"/>
        <family val="2"/>
      </rPr>
      <t>4</t>
    </r>
    <r>
      <rPr>
        <sz val="8"/>
        <rFont val="Arial"/>
        <family val="2"/>
      </rPr>
      <t xml:space="preserve"> Emissions (kg)</t>
    </r>
  </si>
  <si>
    <r>
      <t>CH</t>
    </r>
    <r>
      <rPr>
        <vertAlign val="subscript"/>
        <sz val="8"/>
        <rFont val="Arial"/>
        <family val="2"/>
      </rPr>
      <t>4</t>
    </r>
    <r>
      <rPr>
        <sz val="8"/>
        <rFont val="Arial"/>
        <family val="2"/>
      </rPr>
      <t xml:space="preserve"> Emissions (short tons)</t>
    </r>
  </si>
  <si>
    <r>
      <t>N</t>
    </r>
    <r>
      <rPr>
        <vertAlign val="subscript"/>
        <sz val="8"/>
        <rFont val="Arial"/>
        <family val="2"/>
      </rPr>
      <t>2</t>
    </r>
    <r>
      <rPr>
        <sz val="8"/>
        <rFont val="Arial"/>
        <family val="2"/>
      </rPr>
      <t>O Emission Factor (kg/mmbtu)</t>
    </r>
  </si>
  <si>
    <r>
      <t>N</t>
    </r>
    <r>
      <rPr>
        <vertAlign val="subscript"/>
        <sz val="8"/>
        <rFont val="Arial"/>
        <family val="2"/>
      </rPr>
      <t>2</t>
    </r>
    <r>
      <rPr>
        <sz val="8"/>
        <rFont val="Arial"/>
        <family val="2"/>
      </rPr>
      <t>O Emissions (kg)</t>
    </r>
  </si>
  <si>
    <r>
      <t>N</t>
    </r>
    <r>
      <rPr>
        <vertAlign val="subscript"/>
        <sz val="8"/>
        <rFont val="Arial"/>
        <family val="2"/>
      </rPr>
      <t>2</t>
    </r>
    <r>
      <rPr>
        <sz val="8"/>
        <rFont val="Arial"/>
        <family val="2"/>
      </rPr>
      <t>O Emissions (short tons)</t>
    </r>
  </si>
  <si>
    <r>
      <t>(MMTCO</t>
    </r>
    <r>
      <rPr>
        <b/>
        <vertAlign val="subscript"/>
        <sz val="10"/>
        <rFont val="Calibri"/>
        <family val="2"/>
      </rPr>
      <t>2</t>
    </r>
    <r>
      <rPr>
        <b/>
        <sz val="10"/>
        <rFont val="Calibri"/>
        <family val="2"/>
      </rPr>
      <t>E)</t>
    </r>
  </si>
  <si>
    <t>NG</t>
  </si>
  <si>
    <t>(gal)</t>
  </si>
  <si>
    <t>Qty</t>
  </si>
  <si>
    <t>btus/unit</t>
  </si>
  <si>
    <t>mmbtus</t>
  </si>
  <si>
    <t>kg/mmBTU</t>
  </si>
  <si>
    <t>Oil(2,4)</t>
  </si>
  <si>
    <t>Oil(6)</t>
  </si>
  <si>
    <t xml:space="preserve">% of Heat </t>
  </si>
  <si>
    <t>Share</t>
  </si>
  <si>
    <t># 2 Oil</t>
  </si>
  <si>
    <t># 4 Oil</t>
  </si>
  <si>
    <t>No. 24</t>
  </si>
  <si>
    <t>No. 25</t>
  </si>
  <si>
    <t>No. 26</t>
  </si>
  <si>
    <t>Electric Consumption (Imported Electricity) Emissions for Maryland</t>
  </si>
  <si>
    <t>Emissions from Natural Gas Activities in MD</t>
  </si>
  <si>
    <t>Emissions from Mining in MD</t>
  </si>
  <si>
    <t>Emissions from:</t>
  </si>
  <si>
    <t>Mines</t>
  </si>
  <si>
    <t>Underground Mines</t>
  </si>
  <si>
    <t>-</t>
  </si>
  <si>
    <t>Surface Mines</t>
  </si>
  <si>
    <t>Post-Mining Activity</t>
  </si>
  <si>
    <t>Post-Mining Total</t>
  </si>
  <si>
    <t>Total Coal Mining</t>
  </si>
  <si>
    <t>---</t>
  </si>
  <si>
    <t>Methane Recovered from Degasification Systems and Usef for Energy
(mcf)</t>
  </si>
  <si>
    <t>Degasification System Emissions
(mcf)</t>
  </si>
  <si>
    <t>Measured Ventilation Emissions
(mcf)</t>
  </si>
  <si>
    <t>Surface Coal Production
('000 short tons)</t>
  </si>
  <si>
    <t>Coal Production
('000 short tons)</t>
  </si>
  <si>
    <t>Maryland Abandoned Coal Mines Emissions Summary</t>
  </si>
  <si>
    <r>
      <t>Emissions
(mcf CH</t>
    </r>
    <r>
      <rPr>
        <b/>
        <vertAlign val="subscript"/>
        <sz val="7"/>
        <rFont val="Calibri"/>
        <family val="2"/>
      </rPr>
      <t>4</t>
    </r>
    <r>
      <rPr>
        <b/>
        <sz val="7"/>
        <rFont val="Calibri"/>
        <family val="2"/>
      </rPr>
      <t>)</t>
    </r>
  </si>
  <si>
    <r>
      <t>Emissions
(MTCH</t>
    </r>
    <r>
      <rPr>
        <b/>
        <vertAlign val="subscript"/>
        <sz val="7"/>
        <rFont val="Calibri"/>
        <family val="2"/>
      </rPr>
      <t>4</t>
    </r>
    <r>
      <rPr>
        <b/>
        <sz val="7"/>
        <rFont val="Calibri"/>
        <family val="2"/>
      </rPr>
      <t>)</t>
    </r>
  </si>
  <si>
    <r>
      <t>Emissions
(MTCO</t>
    </r>
    <r>
      <rPr>
        <b/>
        <vertAlign val="subscript"/>
        <sz val="7"/>
        <rFont val="Calibri"/>
        <family val="2"/>
      </rPr>
      <t>2</t>
    </r>
    <r>
      <rPr>
        <b/>
        <sz val="7"/>
        <rFont val="Calibri"/>
        <family val="2"/>
      </rPr>
      <t>E)</t>
    </r>
  </si>
  <si>
    <r>
      <t>Basin-specific EF
(ft</t>
    </r>
    <r>
      <rPr>
        <b/>
        <vertAlign val="superscript"/>
        <sz val="7"/>
        <rFont val="Calibri"/>
        <family val="2"/>
      </rPr>
      <t>3</t>
    </r>
    <r>
      <rPr>
        <b/>
        <sz val="7"/>
        <rFont val="Calibri"/>
        <family val="2"/>
      </rPr>
      <t>/short ton)</t>
    </r>
  </si>
  <si>
    <r>
      <t>Emissions
('000 ft</t>
    </r>
    <r>
      <rPr>
        <b/>
        <vertAlign val="superscript"/>
        <sz val="7"/>
        <rFont val="Calibri"/>
        <family val="2"/>
      </rPr>
      <t>3</t>
    </r>
    <r>
      <rPr>
        <b/>
        <sz val="7"/>
        <rFont val="Calibri"/>
        <family val="2"/>
      </rPr>
      <t xml:space="preserve"> CH</t>
    </r>
    <r>
      <rPr>
        <b/>
        <vertAlign val="subscript"/>
        <sz val="7"/>
        <rFont val="Calibri"/>
        <family val="2"/>
      </rPr>
      <t>4</t>
    </r>
    <r>
      <rPr>
        <b/>
        <sz val="7"/>
        <rFont val="Calibri"/>
        <family val="2"/>
      </rPr>
      <t>)</t>
    </r>
  </si>
  <si>
    <r>
      <t>Basin- &amp; Mine-specific EF
(ft</t>
    </r>
    <r>
      <rPr>
        <b/>
        <vertAlign val="superscript"/>
        <sz val="7"/>
        <rFont val="Calibri"/>
        <family val="2"/>
      </rPr>
      <t>3</t>
    </r>
    <r>
      <rPr>
        <b/>
        <sz val="7"/>
        <rFont val="Calibri"/>
        <family val="2"/>
      </rPr>
      <t>/short ton)</t>
    </r>
  </si>
  <si>
    <r>
      <t>(MTCO</t>
    </r>
    <r>
      <rPr>
        <b/>
        <vertAlign val="subscript"/>
        <sz val="7"/>
        <rFont val="Calibri"/>
        <family val="2"/>
      </rPr>
      <t>2</t>
    </r>
    <r>
      <rPr>
        <b/>
        <sz val="7"/>
        <rFont val="Calibri"/>
        <family val="2"/>
      </rPr>
      <t>E)</t>
    </r>
  </si>
  <si>
    <t>Emissions
(MTCE)</t>
  </si>
  <si>
    <t>Maryland Coal Mines Emissions Summary</t>
  </si>
  <si>
    <r>
      <t>Emission Factor
(Gg CH</t>
    </r>
    <r>
      <rPr>
        <b/>
        <vertAlign val="subscript"/>
        <sz val="7"/>
        <rFont val="Calibri"/>
        <family val="2"/>
      </rPr>
      <t>4</t>
    </r>
    <r>
      <rPr>
        <b/>
        <sz val="7"/>
        <rFont val="Calibri"/>
        <family val="2"/>
      </rPr>
      <t>/Gg BOD</t>
    </r>
    <r>
      <rPr>
        <b/>
        <vertAlign val="subscript"/>
        <sz val="7"/>
        <rFont val="Calibri"/>
        <family val="2"/>
      </rPr>
      <t>5</t>
    </r>
    <r>
      <rPr>
        <b/>
        <sz val="7"/>
        <rFont val="Calibri"/>
        <family val="2"/>
      </rPr>
      <t>)</t>
    </r>
  </si>
  <si>
    <r>
      <t>Emissions
(metric tons CH</t>
    </r>
    <r>
      <rPr>
        <b/>
        <vertAlign val="subscript"/>
        <sz val="7"/>
        <rFont val="Calibri"/>
        <family val="2"/>
      </rPr>
      <t>4</t>
    </r>
    <r>
      <rPr>
        <b/>
        <sz val="7"/>
        <rFont val="Calibri"/>
        <family val="2"/>
      </rPr>
      <t>)</t>
    </r>
  </si>
  <si>
    <r>
      <t>CH</t>
    </r>
    <r>
      <rPr>
        <b/>
        <vertAlign val="subscript"/>
        <sz val="7"/>
        <rFont val="Calibri"/>
        <family val="2"/>
      </rPr>
      <t xml:space="preserve">4 </t>
    </r>
    <r>
      <rPr>
        <b/>
        <sz val="7"/>
        <rFont val="Calibri"/>
        <family val="2"/>
      </rPr>
      <t>GWP
(CO</t>
    </r>
    <r>
      <rPr>
        <b/>
        <vertAlign val="subscript"/>
        <sz val="7"/>
        <rFont val="Calibri"/>
        <family val="2"/>
      </rPr>
      <t>2</t>
    </r>
    <r>
      <rPr>
        <b/>
        <sz val="7"/>
        <rFont val="Calibri"/>
        <family val="2"/>
      </rPr>
      <t xml:space="preserve"> Eq.)</t>
    </r>
  </si>
  <si>
    <r>
      <t>Emissions
(MMTCO</t>
    </r>
    <r>
      <rPr>
        <b/>
        <vertAlign val="subscript"/>
        <sz val="7"/>
        <rFont val="Calibri"/>
        <family val="2"/>
      </rPr>
      <t>2</t>
    </r>
    <r>
      <rPr>
        <b/>
        <sz val="7"/>
        <rFont val="Calibri"/>
        <family val="2"/>
      </rPr>
      <t>E)</t>
    </r>
  </si>
  <si>
    <r>
      <t>Emissions 
(metric tons N</t>
    </r>
    <r>
      <rPr>
        <b/>
        <vertAlign val="subscript"/>
        <sz val="7"/>
        <rFont val="Comic Sans MS"/>
        <family val="4"/>
      </rPr>
      <t>2</t>
    </r>
    <r>
      <rPr>
        <b/>
        <sz val="7"/>
        <rFont val="Comic Sans MS"/>
        <family val="4"/>
      </rPr>
      <t>O)</t>
    </r>
  </si>
  <si>
    <r>
      <t>Emission Factor
(kg N</t>
    </r>
    <r>
      <rPr>
        <b/>
        <vertAlign val="subscript"/>
        <sz val="7"/>
        <rFont val="Comic Sans MS"/>
        <family val="4"/>
      </rPr>
      <t>2</t>
    </r>
    <r>
      <rPr>
        <b/>
        <sz val="7"/>
        <rFont val="Comic Sans MS"/>
        <family val="4"/>
      </rPr>
      <t xml:space="preserve">O-N/ kg sewage N-produced) </t>
    </r>
  </si>
  <si>
    <r>
      <t>N</t>
    </r>
    <r>
      <rPr>
        <b/>
        <vertAlign val="subscript"/>
        <sz val="7"/>
        <rFont val="Calibri"/>
        <family val="2"/>
      </rPr>
      <t>2</t>
    </r>
    <r>
      <rPr>
        <b/>
        <sz val="7"/>
        <rFont val="Calibri"/>
        <family val="2"/>
      </rPr>
      <t>O GWP
(CO</t>
    </r>
    <r>
      <rPr>
        <b/>
        <vertAlign val="subscript"/>
        <sz val="7"/>
        <rFont val="Calibri"/>
        <family val="2"/>
      </rPr>
      <t>2</t>
    </r>
    <r>
      <rPr>
        <b/>
        <sz val="7"/>
        <rFont val="Calibri"/>
        <family val="2"/>
      </rPr>
      <t xml:space="preserve"> Eq.)</t>
    </r>
  </si>
  <si>
    <r>
      <t>Emissions
(Metric Tons N</t>
    </r>
    <r>
      <rPr>
        <b/>
        <vertAlign val="subscript"/>
        <sz val="7"/>
        <rFont val="Calibri"/>
        <family val="2"/>
      </rPr>
      <t>2</t>
    </r>
    <r>
      <rPr>
        <b/>
        <sz val="7"/>
        <rFont val="Calibri"/>
        <family val="2"/>
      </rPr>
      <t>O)</t>
    </r>
  </si>
  <si>
    <r>
      <t>Direct N</t>
    </r>
    <r>
      <rPr>
        <b/>
        <vertAlign val="subscript"/>
        <sz val="7"/>
        <rFont val="Calibri"/>
        <family val="2"/>
      </rPr>
      <t>2</t>
    </r>
    <r>
      <rPr>
        <b/>
        <sz val="7"/>
        <rFont val="Calibri"/>
        <family val="2"/>
      </rPr>
      <t>O Emissions from Wastewater Treatment
 (g N</t>
    </r>
    <r>
      <rPr>
        <b/>
        <vertAlign val="subscript"/>
        <sz val="7"/>
        <rFont val="Calibri"/>
        <family val="2"/>
      </rPr>
      <t>2</t>
    </r>
    <r>
      <rPr>
        <b/>
        <sz val="7"/>
        <rFont val="Calibri"/>
        <family val="2"/>
      </rPr>
      <t>O/person/year)</t>
    </r>
  </si>
  <si>
    <t>Default MD Abandoned Mine Emissions
Gg/Year</t>
  </si>
  <si>
    <t xml:space="preserve">Mine Status
Percent </t>
  </si>
  <si>
    <t>State Population</t>
  </si>
  <si>
    <t>Days per Year
(days)</t>
  </si>
  <si>
    <t>Unit Conversion
(metric tons/kg)</t>
  </si>
  <si>
    <t>Unit Conversion
(MMT/MT)</t>
  </si>
  <si>
    <t>Emissions
(MMTCE)</t>
  </si>
  <si>
    <t>Maryland Municipal Wastewater Methane Emissions</t>
  </si>
  <si>
    <r>
      <t>Per Capita BOD</t>
    </r>
    <r>
      <rPr>
        <b/>
        <vertAlign val="subscript"/>
        <sz val="7"/>
        <rFont val="Calibri"/>
        <family val="2"/>
      </rPr>
      <t xml:space="preserve">5
</t>
    </r>
    <r>
      <rPr>
        <b/>
        <sz val="7"/>
        <rFont val="Calibri"/>
        <family val="2"/>
      </rPr>
      <t>(kg/day)</t>
    </r>
  </si>
  <si>
    <r>
      <t>WW BOD</t>
    </r>
    <r>
      <rPr>
        <b/>
        <vertAlign val="subscript"/>
        <sz val="7"/>
        <rFont val="Calibri"/>
        <family val="2"/>
      </rPr>
      <t>5</t>
    </r>
    <r>
      <rPr>
        <b/>
        <sz val="7"/>
        <rFont val="Calibri"/>
        <family val="2"/>
      </rPr>
      <t xml:space="preserve"> anaerobically digested
(percent)</t>
    </r>
  </si>
  <si>
    <r>
      <t>(MMTCO</t>
    </r>
    <r>
      <rPr>
        <b/>
        <vertAlign val="subscript"/>
        <sz val="11"/>
        <rFont val="Calibri"/>
        <family val="2"/>
      </rPr>
      <t>2</t>
    </r>
    <r>
      <rPr>
        <b/>
        <sz val="11"/>
        <rFont val="Calibri"/>
        <family val="2"/>
      </rPr>
      <t>E)</t>
    </r>
  </si>
  <si>
    <r>
      <t>C/CO</t>
    </r>
    <r>
      <rPr>
        <b/>
        <vertAlign val="subscript"/>
        <sz val="7"/>
        <rFont val="Calibri"/>
        <family val="2"/>
      </rPr>
      <t>2</t>
    </r>
  </si>
  <si>
    <t>Maryland Wastewater Emissions Summary</t>
  </si>
  <si>
    <t>Maryland Direct Nitrous Oxide Emissions from Municipal Wastewater Treatment</t>
  </si>
  <si>
    <t>Fraction of Population not on Septic</t>
  </si>
  <si>
    <t>Unit Conversion
(g/metric ton)</t>
  </si>
  <si>
    <t xml:space="preserve">Unit Conversion
(MMT/MT)
</t>
  </si>
  <si>
    <t>Maryland Effulent Nitrous Oxide Emissions from Municipal Wastewater Treatment</t>
  </si>
  <si>
    <t>Fraction Non-Consumption N</t>
  </si>
  <si>
    <t>Unit Conversion</t>
  </si>
  <si>
    <t>Percentage of Biosolids Used as Fertilizer</t>
  </si>
  <si>
    <r>
      <t>N</t>
    </r>
    <r>
      <rPr>
        <b/>
        <vertAlign val="subscript"/>
        <sz val="7"/>
        <rFont val="Comic Sans MS"/>
        <family val="4"/>
      </rPr>
      <t>2</t>
    </r>
    <r>
      <rPr>
        <b/>
        <sz val="7"/>
        <rFont val="Comic Sans MS"/>
        <family val="4"/>
      </rPr>
      <t>O/N</t>
    </r>
    <r>
      <rPr>
        <b/>
        <vertAlign val="subscript"/>
        <sz val="7"/>
        <rFont val="Comic Sans MS"/>
        <family val="4"/>
      </rPr>
      <t>2</t>
    </r>
  </si>
  <si>
    <r>
      <t>(CO</t>
    </r>
    <r>
      <rPr>
        <vertAlign val="subscript"/>
        <sz val="7"/>
        <rFont val="Comic Sans MS"/>
        <family val="4"/>
      </rPr>
      <t>2</t>
    </r>
    <r>
      <rPr>
        <sz val="7"/>
        <rFont val="Comic Sans MS"/>
        <family val="4"/>
      </rPr>
      <t xml:space="preserve"> Eq.)</t>
    </r>
  </si>
  <si>
    <t>(MMT/MT)</t>
  </si>
  <si>
    <r>
      <t>(MMTCO</t>
    </r>
    <r>
      <rPr>
        <vertAlign val="subscript"/>
        <sz val="7"/>
        <rFont val="Comic Sans MS"/>
        <family val="4"/>
      </rPr>
      <t>2</t>
    </r>
    <r>
      <rPr>
        <sz val="7"/>
        <rFont val="Comic Sans MS"/>
        <family val="4"/>
      </rPr>
      <t>E)</t>
    </r>
  </si>
  <si>
    <t>Protein
(kg/ person/ year)</t>
  </si>
  <si>
    <r>
      <t>Frac</t>
    </r>
    <r>
      <rPr>
        <b/>
        <vertAlign val="subscript"/>
        <sz val="7"/>
        <rFont val="Comic Sans MS"/>
        <family val="4"/>
      </rPr>
      <t xml:space="preserve">NPR 
</t>
    </r>
    <r>
      <rPr>
        <b/>
        <sz val="7"/>
        <rFont val="Comic Sans MS"/>
        <family val="4"/>
      </rPr>
      <t xml:space="preserve">(kg N/kg protein) </t>
    </r>
  </si>
  <si>
    <t>N in Domestic Wastewater
(metric tons)</t>
  </si>
  <si>
    <t>MD -Electricity Losses (MWh) (Transmission and Distribution) Assume 6.25 %</t>
  </si>
  <si>
    <t>Direct N Emissions from Domestic Wastewater
(metric tons)</t>
  </si>
  <si>
    <t>Biosolids Available N
(metric tons)</t>
  </si>
  <si>
    <r>
      <t>N</t>
    </r>
    <r>
      <rPr>
        <b/>
        <vertAlign val="subscript"/>
        <sz val="7"/>
        <rFont val="Comic Sans MS"/>
        <family val="4"/>
      </rPr>
      <t>2</t>
    </r>
    <r>
      <rPr>
        <b/>
        <sz val="7"/>
        <rFont val="Comic Sans MS"/>
        <family val="4"/>
      </rPr>
      <t>O GWP
(CO2 Eq.)</t>
    </r>
  </si>
  <si>
    <t>Emissions from Biosolids
(MMTCE)</t>
  </si>
  <si>
    <t>Direct Emissions
(MMTCE)</t>
  </si>
  <si>
    <t>Total Emissions
(MMTCE)</t>
  </si>
  <si>
    <t>Emission
(MMTCO2E)</t>
  </si>
  <si>
    <t>Production Processed</t>
  </si>
  <si>
    <t xml:space="preserve">WW Outflow </t>
  </si>
  <si>
    <t xml:space="preserve">COD </t>
  </si>
  <si>
    <t>COD Degraded</t>
  </si>
  <si>
    <r>
      <t>CH</t>
    </r>
    <r>
      <rPr>
        <b/>
        <vertAlign val="subscript"/>
        <sz val="7"/>
        <rFont val="Comic Sans MS"/>
        <family val="4"/>
      </rPr>
      <t>4</t>
    </r>
    <r>
      <rPr>
        <b/>
        <sz val="7"/>
        <rFont val="Comic Sans MS"/>
        <family val="4"/>
      </rPr>
      <t xml:space="preserve"> GWP</t>
    </r>
  </si>
  <si>
    <r>
      <t>(m</t>
    </r>
    <r>
      <rPr>
        <vertAlign val="superscript"/>
        <sz val="7"/>
        <rFont val="Comic Sans MS"/>
        <family val="4"/>
      </rPr>
      <t>3</t>
    </r>
    <r>
      <rPr>
        <sz val="7"/>
        <rFont val="Comic Sans MS"/>
        <family val="4"/>
      </rPr>
      <t>/metric ton)</t>
    </r>
  </si>
  <si>
    <r>
      <t>(l/m</t>
    </r>
    <r>
      <rPr>
        <vertAlign val="superscript"/>
        <sz val="7"/>
        <rFont val="Comic Sans MS"/>
        <family val="4"/>
      </rPr>
      <t>3</t>
    </r>
    <r>
      <rPr>
        <sz val="7"/>
        <rFont val="Comic Sans MS"/>
        <family val="4"/>
      </rPr>
      <t>)</t>
    </r>
  </si>
  <si>
    <t>(g COD/l)</t>
  </si>
  <si>
    <r>
      <t>(g CH</t>
    </r>
    <r>
      <rPr>
        <vertAlign val="subscript"/>
        <sz val="7"/>
        <rFont val="Comic Sans MS"/>
        <family val="4"/>
      </rPr>
      <t>4</t>
    </r>
    <r>
      <rPr>
        <sz val="7"/>
        <rFont val="Comic Sans MS"/>
        <family val="4"/>
      </rPr>
      <t>/g COD)</t>
    </r>
  </si>
  <si>
    <t>(percent)</t>
  </si>
  <si>
    <r>
      <t>(g CH</t>
    </r>
    <r>
      <rPr>
        <vertAlign val="subscript"/>
        <sz val="7"/>
        <rFont val="Comic Sans MS"/>
        <family val="4"/>
      </rPr>
      <t>4</t>
    </r>
    <r>
      <rPr>
        <sz val="7"/>
        <rFont val="Comic Sans MS"/>
        <family val="4"/>
      </rPr>
      <t>)</t>
    </r>
  </si>
  <si>
    <t>(g/Tg)</t>
  </si>
  <si>
    <r>
      <t>(Tg or MMT CH</t>
    </r>
    <r>
      <rPr>
        <vertAlign val="subscript"/>
        <sz val="7"/>
        <rFont val="Comic Sans MS"/>
        <family val="4"/>
      </rPr>
      <t>4</t>
    </r>
    <r>
      <rPr>
        <sz val="7"/>
        <rFont val="Comic Sans MS"/>
        <family val="4"/>
      </rPr>
      <t>)</t>
    </r>
  </si>
  <si>
    <t>Agricultural Emissions in Maryland</t>
  </si>
  <si>
    <t>Dairy Cattle</t>
  </si>
  <si>
    <t>Dairy Cows</t>
  </si>
  <si>
    <t>Dairy Replacement Heifers</t>
  </si>
  <si>
    <t xml:space="preserve">   Replacements 0-12 mos.</t>
  </si>
  <si>
    <t xml:space="preserve">   Replacements 12-24 mos.</t>
  </si>
  <si>
    <t>Magesium Production from Dolomite</t>
  </si>
  <si>
    <t>Soda Ash Use</t>
  </si>
  <si>
    <t>Manufacture</t>
  </si>
  <si>
    <t xml:space="preserve">   =</t>
  </si>
  <si>
    <t>Ammonia Production and Urea Consumption</t>
  </si>
  <si>
    <t>Consumption
(Metric Tons)</t>
  </si>
  <si>
    <t>Manufacture and Consumption
(Metric tons)</t>
  </si>
  <si>
    <t>Production &amp; Consumption
(Metric Tons)</t>
  </si>
  <si>
    <t>Subract emissions from Urea</t>
  </si>
  <si>
    <t>Ozone Depleting Substances (ODS) Substitutes</t>
  </si>
  <si>
    <t>Electric Power Transmission &amp; Distribution (T&amp;D)</t>
  </si>
  <si>
    <t>National Population</t>
  </si>
  <si>
    <t>Apportioned National Emissions
(MTCE)</t>
  </si>
  <si>
    <t>/</t>
  </si>
  <si>
    <r>
      <t>SF</t>
    </r>
    <r>
      <rPr>
        <b/>
        <vertAlign val="subscript"/>
        <sz val="9"/>
        <rFont val="Calibri"/>
        <family val="2"/>
      </rPr>
      <t>6</t>
    </r>
    <r>
      <rPr>
        <b/>
        <sz val="9"/>
        <rFont val="Calibri"/>
        <family val="2"/>
      </rPr>
      <t xml:space="preserve"> Consumption
(Metric Tons)</t>
    </r>
  </si>
  <si>
    <t>Production
(Metric Tons)</t>
  </si>
  <si>
    <t>Emission Factor
(t CE/t Production)</t>
  </si>
  <si>
    <t>Aluminum Production (EastAlCo Shut Down)</t>
  </si>
  <si>
    <t>Landfill Emissions</t>
  </si>
  <si>
    <t>Incinerator Emissions</t>
  </si>
  <si>
    <t>Cement Industry Production Emissions</t>
  </si>
  <si>
    <t>Maryland  GHG Emissions by Sectors</t>
  </si>
  <si>
    <t>Residential Open Burning - Leaves, Brush, MSW</t>
  </si>
  <si>
    <t>Open Burning</t>
  </si>
  <si>
    <t>Land Use, Land-Use Change, and Forestry Emissions and Sequestration</t>
  </si>
  <si>
    <t>Beef Cattle</t>
  </si>
  <si>
    <t>Beef Cows</t>
  </si>
  <si>
    <t>2011MD</t>
  </si>
  <si>
    <t>Beef Replacement Heifers</t>
  </si>
  <si>
    <t>Heifer Stockers</t>
  </si>
  <si>
    <t>Steer Stockers</t>
  </si>
  <si>
    <t>Feedlot Heifers</t>
  </si>
  <si>
    <t>Feedlot Steer</t>
  </si>
  <si>
    <t>Bulls</t>
  </si>
  <si>
    <t>Sheep</t>
  </si>
  <si>
    <t>Goats</t>
  </si>
  <si>
    <t>Swine</t>
  </si>
  <si>
    <t>Horses</t>
  </si>
  <si>
    <t>Number of Animals
('000 head)</t>
  </si>
  <si>
    <r>
      <t>Emission Factor
(kg CH</t>
    </r>
    <r>
      <rPr>
        <b/>
        <vertAlign val="subscript"/>
        <sz val="7"/>
        <rFont val="Arial"/>
        <family val="2"/>
      </rPr>
      <t>4</t>
    </r>
    <r>
      <rPr>
        <b/>
        <sz val="7"/>
        <rFont val="Arial"/>
        <family val="2"/>
      </rPr>
      <t>/head)</t>
    </r>
  </si>
  <si>
    <r>
      <t>Emissions
(kg CH</t>
    </r>
    <r>
      <rPr>
        <b/>
        <vertAlign val="subscript"/>
        <sz val="7"/>
        <rFont val="Arial"/>
        <family val="2"/>
      </rPr>
      <t>4</t>
    </r>
    <r>
      <rPr>
        <b/>
        <sz val="7"/>
        <rFont val="Arial"/>
        <family val="2"/>
      </rPr>
      <t>)</t>
    </r>
  </si>
  <si>
    <r>
      <t>Emissions
(MMTCH</t>
    </r>
    <r>
      <rPr>
        <b/>
        <vertAlign val="subscript"/>
        <sz val="7"/>
        <rFont val="Arial"/>
        <family val="2"/>
      </rPr>
      <t>4</t>
    </r>
    <r>
      <rPr>
        <b/>
        <sz val="7"/>
        <rFont val="Arial"/>
        <family val="2"/>
      </rPr>
      <t>)</t>
    </r>
  </si>
  <si>
    <r>
      <t>Emissions
(MMTCO</t>
    </r>
    <r>
      <rPr>
        <b/>
        <vertAlign val="subscript"/>
        <sz val="7"/>
        <rFont val="Arial"/>
        <family val="2"/>
      </rPr>
      <t>2</t>
    </r>
    <r>
      <rPr>
        <b/>
        <sz val="7"/>
        <rFont val="Arial"/>
        <family val="2"/>
      </rPr>
      <t>E)</t>
    </r>
  </si>
  <si>
    <t>Manure Management Methane Emissions</t>
  </si>
  <si>
    <t>Enteric Fermentation Emissions</t>
  </si>
  <si>
    <t>Number of Animals ('000 head)</t>
  </si>
  <si>
    <t>Typical Animal Mass (TAM) (kg)</t>
  </si>
  <si>
    <t>Volatile Solids (VS)  [kg VS/1000 kg animal mass/day]</t>
  </si>
  <si>
    <t>Total VS (kg/yr)</t>
  </si>
  <si>
    <r>
      <t>Max Pot. Emissions (m</t>
    </r>
    <r>
      <rPr>
        <b/>
        <vertAlign val="superscript"/>
        <sz val="7"/>
        <rFont val="Comic Sans MS"/>
        <family val="4"/>
      </rPr>
      <t>3</t>
    </r>
    <r>
      <rPr>
        <b/>
        <sz val="7"/>
        <rFont val="Comic Sans MS"/>
        <family val="4"/>
      </rPr>
      <t xml:space="preserve"> CH</t>
    </r>
    <r>
      <rPr>
        <b/>
        <vertAlign val="subscript"/>
        <sz val="7"/>
        <rFont val="Comic Sans MS"/>
        <family val="4"/>
      </rPr>
      <t>4</t>
    </r>
    <r>
      <rPr>
        <b/>
        <sz val="7"/>
        <rFont val="Comic Sans MS"/>
        <family val="4"/>
      </rPr>
      <t>/ kg VS)</t>
    </r>
  </si>
  <si>
    <t>Weighted MCF</t>
  </si>
  <si>
    <r>
      <t>Emissions      (m</t>
    </r>
    <r>
      <rPr>
        <b/>
        <vertAlign val="superscript"/>
        <sz val="7"/>
        <rFont val="Comic Sans MS"/>
        <family val="4"/>
      </rPr>
      <t>3</t>
    </r>
    <r>
      <rPr>
        <b/>
        <sz val="7"/>
        <rFont val="Comic Sans MS"/>
        <family val="4"/>
      </rPr>
      <t xml:space="preserve"> CH</t>
    </r>
    <r>
      <rPr>
        <b/>
        <vertAlign val="subscript"/>
        <sz val="7"/>
        <rFont val="Comic Sans MS"/>
        <family val="4"/>
      </rPr>
      <t>4</t>
    </r>
    <r>
      <rPr>
        <b/>
        <sz val="7"/>
        <rFont val="Comic Sans MS"/>
        <family val="4"/>
      </rPr>
      <t>)</t>
    </r>
  </si>
  <si>
    <r>
      <t>Emissions (Metric Tons CH</t>
    </r>
    <r>
      <rPr>
        <b/>
        <vertAlign val="subscript"/>
        <sz val="7"/>
        <rFont val="Comic Sans MS"/>
        <family val="4"/>
      </rPr>
      <t>4</t>
    </r>
    <r>
      <rPr>
        <b/>
        <sz val="7"/>
        <rFont val="Comic Sans MS"/>
        <family val="4"/>
      </rPr>
      <t>)</t>
    </r>
  </si>
  <si>
    <r>
      <t>Emissions (MMTCH</t>
    </r>
    <r>
      <rPr>
        <b/>
        <vertAlign val="subscript"/>
        <sz val="7"/>
        <rFont val="Comic Sans MS"/>
        <family val="4"/>
      </rPr>
      <t>4</t>
    </r>
    <r>
      <rPr>
        <b/>
        <sz val="7"/>
        <rFont val="Comic Sans MS"/>
        <family val="4"/>
      </rPr>
      <t>)</t>
    </r>
  </si>
  <si>
    <t>Emissions (MMTCE)</t>
  </si>
  <si>
    <r>
      <t>Emissions  (MMTCO</t>
    </r>
    <r>
      <rPr>
        <b/>
        <vertAlign val="subscript"/>
        <sz val="7"/>
        <rFont val="Arial"/>
        <family val="2"/>
      </rPr>
      <t>2</t>
    </r>
    <r>
      <rPr>
        <b/>
        <sz val="7"/>
        <rFont val="Arial"/>
        <family val="2"/>
      </rPr>
      <t>E)</t>
    </r>
  </si>
  <si>
    <t>Calves</t>
  </si>
  <si>
    <t>Breeding Swine</t>
  </si>
  <si>
    <t>Market Under 60 lbs</t>
  </si>
  <si>
    <t>Market 60-119 lbs</t>
  </si>
  <si>
    <t>Market 120-179 lbs</t>
  </si>
  <si>
    <t>Market over 180 lbs</t>
  </si>
  <si>
    <t>Layers</t>
  </si>
  <si>
    <t>Hens &gt; 1 yr</t>
  </si>
  <si>
    <t>Pullets</t>
  </si>
  <si>
    <t>Chickens</t>
  </si>
  <si>
    <t>Broilers</t>
  </si>
  <si>
    <t>Turkeys</t>
  </si>
  <si>
    <t>Sheep on Feed</t>
  </si>
  <si>
    <t>Sheep Not on Feed</t>
  </si>
  <si>
    <t>Dairy</t>
  </si>
  <si>
    <t xml:space="preserve"> </t>
  </si>
  <si>
    <t>(A)</t>
  </si>
  <si>
    <t>(B)</t>
  </si>
  <si>
    <t>(A) +(B)</t>
  </si>
  <si>
    <t>Emissions (short tons)</t>
  </si>
  <si>
    <t>Unvolatilized N from Manure in Solid Storage, Drylot &amp; Other Systems
(kg)</t>
  </si>
  <si>
    <t>Unvolatilized N from Manure in Anaerobic Lagoons and Liquid Systems
(kg)</t>
  </si>
  <si>
    <t>Total K-Nitrogen Excreted
(kg)</t>
  </si>
  <si>
    <t>Emissions from Anaerobic Lagoons and Liquid Systems
(kg N2O-N)</t>
  </si>
  <si>
    <t>Emissions from Solid Storage, Drylot, &amp; Other Systems
(kg N2O-N)</t>
  </si>
  <si>
    <r>
      <t>Total N</t>
    </r>
    <r>
      <rPr>
        <b/>
        <vertAlign val="subscript"/>
        <sz val="7"/>
        <rFont val="Arial"/>
        <family val="2"/>
      </rPr>
      <t>2</t>
    </r>
    <r>
      <rPr>
        <b/>
        <sz val="7"/>
        <rFont val="Arial"/>
        <family val="2"/>
      </rPr>
      <t>O Emissions
(kg N</t>
    </r>
    <r>
      <rPr>
        <b/>
        <vertAlign val="subscript"/>
        <sz val="7"/>
        <rFont val="Arial"/>
        <family val="2"/>
      </rPr>
      <t>2</t>
    </r>
    <r>
      <rPr>
        <b/>
        <sz val="7"/>
        <rFont val="Arial"/>
        <family val="2"/>
      </rPr>
      <t>O)</t>
    </r>
  </si>
  <si>
    <t>Legumes and Crop Residue Calculations</t>
  </si>
  <si>
    <t xml:space="preserve">Crop Production </t>
  </si>
  <si>
    <t>Crop Production (metric tons)</t>
  </si>
  <si>
    <t>N-Fixed by Crops (kg)</t>
  </si>
  <si>
    <t xml:space="preserve">Alfalfa  </t>
  </si>
  <si>
    <t>'000 tons</t>
  </si>
  <si>
    <t>Residues</t>
  </si>
  <si>
    <t xml:space="preserve">Corn for Grain </t>
  </si>
  <si>
    <t>'000 bushels</t>
  </si>
  <si>
    <t>Legumes</t>
  </si>
  <si>
    <t xml:space="preserve">All Wheat </t>
  </si>
  <si>
    <t xml:space="preserve">Barley </t>
  </si>
  <si>
    <t>Sorghum for Grain</t>
  </si>
  <si>
    <t>Oats</t>
  </si>
  <si>
    <t>Rye</t>
  </si>
  <si>
    <t>Millet</t>
  </si>
  <si>
    <t>Rice</t>
  </si>
  <si>
    <t xml:space="preserve">Soybeans </t>
  </si>
  <si>
    <t>Peanuts</t>
  </si>
  <si>
    <t>'000 lbs</t>
  </si>
  <si>
    <t>Dry Edible Beans</t>
  </si>
  <si>
    <t>Dry Edible Peas</t>
  </si>
  <si>
    <t>Austrian Winter Peas</t>
  </si>
  <si>
    <t>Lentils</t>
  </si>
  <si>
    <t>Wrinkled Seed Peas</t>
  </si>
  <si>
    <t>Red Clover</t>
  </si>
  <si>
    <t>metric tons</t>
  </si>
  <si>
    <t>White Clover</t>
  </si>
  <si>
    <t>Birdsfoot Trefoil</t>
  </si>
  <si>
    <t>Arrowleaf Clover</t>
  </si>
  <si>
    <t>Crimson Clover</t>
  </si>
  <si>
    <t>Crop</t>
  </si>
  <si>
    <t>metric tons/bushel:</t>
  </si>
  <si>
    <t>Residue: Crop Mass Ratio</t>
  </si>
  <si>
    <t>Barley</t>
  </si>
  <si>
    <t>Soybeans</t>
  </si>
  <si>
    <r>
      <t>Direct N</t>
    </r>
    <r>
      <rPr>
        <b/>
        <vertAlign val="subscript"/>
        <sz val="8"/>
        <rFont val="Calibri"/>
        <family val="2"/>
      </rPr>
      <t>2</t>
    </r>
    <r>
      <rPr>
        <b/>
        <sz val="8"/>
        <rFont val="Calibri"/>
        <family val="2"/>
      </rPr>
      <t>O Emissions (metric tons N</t>
    </r>
    <r>
      <rPr>
        <b/>
        <vertAlign val="subscript"/>
        <sz val="8"/>
        <rFont val="Calibri"/>
        <family val="2"/>
      </rPr>
      <t>2</t>
    </r>
    <r>
      <rPr>
        <b/>
        <sz val="8"/>
        <rFont val="Calibri"/>
        <family val="2"/>
      </rPr>
      <t>O)</t>
    </r>
  </si>
  <si>
    <r>
      <t>Direct Emissions</t>
    </r>
    <r>
      <rPr>
        <sz val="8"/>
        <rFont val="Calibri"/>
        <family val="2"/>
      </rPr>
      <t xml:space="preserve"> (MMTCE)</t>
    </r>
  </si>
  <si>
    <r>
      <t>Direct Emissions  (MMTCO</t>
    </r>
    <r>
      <rPr>
        <b/>
        <vertAlign val="subscript"/>
        <sz val="8"/>
        <rFont val="Calibri"/>
        <family val="2"/>
      </rPr>
      <t>2</t>
    </r>
    <r>
      <rPr>
        <b/>
        <sz val="8"/>
        <rFont val="Calibri"/>
        <family val="2"/>
      </rPr>
      <t>E)</t>
    </r>
  </si>
  <si>
    <t>'000 hundred weight</t>
  </si>
  <si>
    <t>Residue Dry Matter Fraction</t>
  </si>
  <si>
    <t xml:space="preserve">Fraction Residue Applied </t>
  </si>
  <si>
    <t>Nitrogen Content of Residue</t>
  </si>
  <si>
    <t>Nitrogen Returned to Soil</t>
  </si>
  <si>
    <r>
      <t>CO</t>
    </r>
    <r>
      <rPr>
        <vertAlign val="subscript"/>
        <sz val="8"/>
        <rFont val="Arial"/>
        <family val="2"/>
      </rPr>
      <t>2</t>
    </r>
    <r>
      <rPr>
        <sz val="8"/>
        <rFont val="Arial"/>
        <family val="2"/>
      </rPr>
      <t xml:space="preserve"> Emission Factor-(kg CO</t>
    </r>
    <r>
      <rPr>
        <vertAlign val="subscript"/>
        <sz val="8"/>
        <rFont val="Arial"/>
        <family val="2"/>
      </rPr>
      <t>2</t>
    </r>
    <r>
      <rPr>
        <sz val="8"/>
        <rFont val="Arial"/>
        <family val="2"/>
      </rPr>
      <t>/mmbtu)</t>
    </r>
  </si>
  <si>
    <r>
      <t>CO</t>
    </r>
    <r>
      <rPr>
        <vertAlign val="subscript"/>
        <sz val="8"/>
        <rFont val="Arial"/>
        <family val="2"/>
      </rPr>
      <t>2</t>
    </r>
    <r>
      <rPr>
        <sz val="8"/>
        <rFont val="Arial"/>
        <family val="2"/>
      </rPr>
      <t xml:space="preserve"> Emission (kg CO</t>
    </r>
    <r>
      <rPr>
        <vertAlign val="subscript"/>
        <sz val="8"/>
        <rFont val="Arial"/>
        <family val="2"/>
      </rPr>
      <t>2</t>
    </r>
    <r>
      <rPr>
        <sz val="8"/>
        <rFont val="Arial"/>
        <family val="2"/>
      </rPr>
      <t>)</t>
    </r>
  </si>
  <si>
    <r>
      <t>CO</t>
    </r>
    <r>
      <rPr>
        <vertAlign val="subscript"/>
        <sz val="8"/>
        <rFont val="Arial"/>
        <family val="2"/>
      </rPr>
      <t>2</t>
    </r>
    <r>
      <rPr>
        <sz val="8"/>
        <rFont val="Arial"/>
        <family val="2"/>
      </rPr>
      <t xml:space="preserve"> Emission (metric tons CO</t>
    </r>
    <r>
      <rPr>
        <vertAlign val="subscript"/>
        <sz val="8"/>
        <rFont val="Arial"/>
        <family val="2"/>
      </rPr>
      <t>2</t>
    </r>
    <r>
      <rPr>
        <sz val="8"/>
        <rFont val="Arial"/>
        <family val="2"/>
      </rPr>
      <t>)</t>
    </r>
  </si>
  <si>
    <r>
      <t>CO</t>
    </r>
    <r>
      <rPr>
        <vertAlign val="subscript"/>
        <sz val="8"/>
        <rFont val="Arial"/>
        <family val="2"/>
      </rPr>
      <t>2</t>
    </r>
    <r>
      <rPr>
        <sz val="8"/>
        <rFont val="Arial"/>
        <family val="2"/>
      </rPr>
      <t xml:space="preserve"> Emission (short tons CO</t>
    </r>
    <r>
      <rPr>
        <vertAlign val="subscript"/>
        <sz val="8"/>
        <rFont val="Arial"/>
        <family val="2"/>
      </rPr>
      <t>2</t>
    </r>
    <r>
      <rPr>
        <sz val="8"/>
        <rFont val="Arial"/>
        <family val="2"/>
      </rPr>
      <t>)</t>
    </r>
  </si>
  <si>
    <r>
      <t>CO</t>
    </r>
    <r>
      <rPr>
        <vertAlign val="subscript"/>
        <sz val="8"/>
        <rFont val="Arial"/>
        <family val="2"/>
      </rPr>
      <t>2</t>
    </r>
    <r>
      <rPr>
        <sz val="8"/>
        <rFont val="Arial"/>
        <family val="2"/>
      </rPr>
      <t xml:space="preserve"> Emission Estimate (short tons CO</t>
    </r>
    <r>
      <rPr>
        <vertAlign val="subscript"/>
        <sz val="8"/>
        <rFont val="Arial"/>
        <family val="2"/>
      </rPr>
      <t>2</t>
    </r>
    <r>
      <rPr>
        <sz val="8"/>
        <rFont val="Arial"/>
        <family val="2"/>
      </rPr>
      <t>)</t>
    </r>
  </si>
  <si>
    <r>
      <t>CO</t>
    </r>
    <r>
      <rPr>
        <vertAlign val="subscript"/>
        <sz val="8"/>
        <rFont val="Arial"/>
        <family val="2"/>
      </rPr>
      <t>2</t>
    </r>
    <r>
      <rPr>
        <sz val="8"/>
        <rFont val="Arial"/>
        <family val="2"/>
      </rPr>
      <t xml:space="preserve"> Emission CEM Readings (short tons CO</t>
    </r>
    <r>
      <rPr>
        <vertAlign val="subscript"/>
        <sz val="8"/>
        <rFont val="Arial"/>
        <family val="2"/>
      </rPr>
      <t>2</t>
    </r>
    <r>
      <rPr>
        <sz val="8"/>
        <rFont val="Arial"/>
        <family val="2"/>
      </rPr>
      <t>)</t>
    </r>
  </si>
  <si>
    <t>Incinerator #6</t>
  </si>
  <si>
    <r>
      <t>MD Summmary Cement Process CO</t>
    </r>
    <r>
      <rPr>
        <b/>
        <vertAlign val="subscript"/>
        <sz val="8"/>
        <rFont val="Arial"/>
        <family val="2"/>
      </rPr>
      <t>2</t>
    </r>
    <r>
      <rPr>
        <b/>
        <sz val="8"/>
        <rFont val="Arial"/>
        <family val="2"/>
      </rPr>
      <t xml:space="preserve"> Emissions (metric tons) </t>
    </r>
  </si>
  <si>
    <r>
      <t>MD Summmary Cement Process CO</t>
    </r>
    <r>
      <rPr>
        <b/>
        <vertAlign val="subscript"/>
        <sz val="8"/>
        <rFont val="Arial"/>
        <family val="2"/>
      </rPr>
      <t>2</t>
    </r>
    <r>
      <rPr>
        <b/>
        <sz val="8"/>
        <rFont val="Arial"/>
        <family val="2"/>
      </rPr>
      <t xml:space="preserve"> Emissions (MMTCO</t>
    </r>
    <r>
      <rPr>
        <b/>
        <vertAlign val="subscript"/>
        <sz val="8"/>
        <rFont val="Arial"/>
        <family val="2"/>
      </rPr>
      <t>2</t>
    </r>
    <r>
      <rPr>
        <b/>
        <sz val="8"/>
        <rFont val="Arial"/>
        <family val="2"/>
      </rPr>
      <t xml:space="preserve">E) </t>
    </r>
  </si>
  <si>
    <r>
      <t>Emissions (MMTCO</t>
    </r>
    <r>
      <rPr>
        <b/>
        <vertAlign val="subscript"/>
        <sz val="8"/>
        <rFont val="Comic Sans MS"/>
        <family val="4"/>
      </rPr>
      <t>2</t>
    </r>
    <r>
      <rPr>
        <b/>
        <sz val="8"/>
        <rFont val="Comic Sans MS"/>
        <family val="4"/>
      </rPr>
      <t>E)</t>
    </r>
  </si>
  <si>
    <t>Energy Information Administration, U.S. Department of Energy, Annual Coal Report, Table 1.</t>
  </si>
  <si>
    <t>Number of Gas Producing Wells : http://www.eia.gov/dnav/ng/hist/na1170_smd_8a.htm.</t>
  </si>
  <si>
    <r>
      <t>CH</t>
    </r>
    <r>
      <rPr>
        <vertAlign val="subscript"/>
        <sz val="14"/>
        <rFont val="Calibri"/>
        <family val="2"/>
      </rPr>
      <t>4</t>
    </r>
    <r>
      <rPr>
        <sz val="14"/>
        <rFont val="Calibri"/>
        <family val="2"/>
      </rPr>
      <t xml:space="preserve"> from Coal Mining in MD</t>
    </r>
  </si>
  <si>
    <r>
      <t>Emissions (MMTCO</t>
    </r>
    <r>
      <rPr>
        <b/>
        <vertAlign val="subscript"/>
        <sz val="8"/>
        <rFont val="Calibri"/>
        <family val="2"/>
      </rPr>
      <t>2</t>
    </r>
    <r>
      <rPr>
        <b/>
        <sz val="8"/>
        <rFont val="Calibri"/>
        <family val="2"/>
      </rPr>
      <t>E)</t>
    </r>
  </si>
  <si>
    <r>
      <t>Emissions (MTCO</t>
    </r>
    <r>
      <rPr>
        <b/>
        <vertAlign val="subscript"/>
        <sz val="8"/>
        <rFont val="Calibri"/>
        <family val="2"/>
      </rPr>
      <t>2</t>
    </r>
    <r>
      <rPr>
        <b/>
        <sz val="8"/>
        <rFont val="Calibri"/>
        <family val="2"/>
      </rPr>
      <t>E)</t>
    </r>
  </si>
  <si>
    <r>
      <t>Emissions by Gas (MTCH</t>
    </r>
    <r>
      <rPr>
        <b/>
        <vertAlign val="subscript"/>
        <sz val="8"/>
        <rFont val="Calibri"/>
        <family val="2"/>
      </rPr>
      <t>4</t>
    </r>
    <r>
      <rPr>
        <b/>
        <sz val="8"/>
        <rFont val="Calibri"/>
        <family val="2"/>
      </rPr>
      <t>)</t>
    </r>
  </si>
  <si>
    <r>
      <t>Maryland Industrial Wastewater Methane Emissions - CH</t>
    </r>
    <r>
      <rPr>
        <b/>
        <vertAlign val="subscript"/>
        <sz val="12"/>
        <color indexed="8"/>
        <rFont val="Comic Sans MS"/>
        <family val="4"/>
      </rPr>
      <t>4</t>
    </r>
  </si>
  <si>
    <t>N content of Aboveground Biomass for N fixing</t>
  </si>
  <si>
    <t>EF Direct</t>
  </si>
  <si>
    <t>Fertilizer Calculations</t>
  </si>
  <si>
    <t>Growing Year Entry</t>
  </si>
  <si>
    <r>
      <t>MMtCO</t>
    </r>
    <r>
      <rPr>
        <b/>
        <vertAlign val="subscript"/>
        <sz val="11"/>
        <color indexed="9"/>
        <rFont val="Calibri"/>
        <family val="2"/>
      </rPr>
      <t>2</t>
    </r>
    <r>
      <rPr>
        <b/>
        <sz val="11"/>
        <color indexed="9"/>
        <rFont val="Calibri"/>
        <family val="2"/>
      </rPr>
      <t>e</t>
    </r>
  </si>
  <si>
    <r>
      <t>Energy Use (CO</t>
    </r>
    <r>
      <rPr>
        <b/>
        <vertAlign val="subscript"/>
        <sz val="11"/>
        <rFont val="Calibri"/>
        <family val="2"/>
      </rPr>
      <t>2</t>
    </r>
    <r>
      <rPr>
        <b/>
        <sz val="11"/>
        <rFont val="Calibri"/>
        <family val="2"/>
      </rPr>
      <t>, CH</t>
    </r>
    <r>
      <rPr>
        <b/>
        <vertAlign val="subscript"/>
        <sz val="11"/>
        <rFont val="Calibri"/>
        <family val="2"/>
      </rPr>
      <t>4</t>
    </r>
    <r>
      <rPr>
        <b/>
        <sz val="11"/>
        <rFont val="Calibri"/>
        <family val="2"/>
      </rPr>
      <t>, N</t>
    </r>
    <r>
      <rPr>
        <b/>
        <vertAlign val="subscript"/>
        <sz val="11"/>
        <rFont val="Calibri"/>
        <family val="2"/>
      </rPr>
      <t>2</t>
    </r>
    <r>
      <rPr>
        <b/>
        <sz val="11"/>
        <rFont val="Calibri"/>
        <family val="2"/>
      </rPr>
      <t>O)</t>
    </r>
  </si>
  <si>
    <r>
      <t>Electricity Use (Consumption)</t>
    </r>
    <r>
      <rPr>
        <b/>
        <vertAlign val="superscript"/>
        <sz val="11"/>
        <rFont val="Calibri"/>
        <family val="2"/>
      </rPr>
      <t>b</t>
    </r>
  </si>
  <si>
    <t>Electricity Production (in-state)</t>
  </si>
  <si>
    <t xml:space="preserve">      Coal</t>
  </si>
  <si>
    <r>
      <t>CO</t>
    </r>
    <r>
      <rPr>
        <vertAlign val="subscript"/>
        <sz val="11"/>
        <rFont val="Calibri"/>
        <family val="2"/>
      </rPr>
      <t>2</t>
    </r>
  </si>
  <si>
    <r>
      <t>CH</t>
    </r>
    <r>
      <rPr>
        <vertAlign val="subscript"/>
        <sz val="11"/>
        <rFont val="Calibri"/>
        <family val="2"/>
      </rPr>
      <t>4</t>
    </r>
  </si>
  <si>
    <r>
      <t>N</t>
    </r>
    <r>
      <rPr>
        <vertAlign val="subscript"/>
        <sz val="11"/>
        <rFont val="Calibri"/>
        <family val="2"/>
      </rPr>
      <t>2</t>
    </r>
    <r>
      <rPr>
        <sz val="11"/>
        <rFont val="Calibri"/>
        <family val="2"/>
      </rPr>
      <t>O</t>
    </r>
  </si>
  <si>
    <t xml:space="preserve">      Natural Gas</t>
  </si>
  <si>
    <t xml:space="preserve">      Oil</t>
  </si>
  <si>
    <t xml:space="preserve">      Wood</t>
  </si>
  <si>
    <t xml:space="preserve">      MSW/LFG</t>
  </si>
  <si>
    <t xml:space="preserve">Net Imported Electricity </t>
  </si>
  <si>
    <t>Residential/Commercial/Industrial (RCI) Fuel Use</t>
  </si>
  <si>
    <t xml:space="preserve"> Natural Gas &amp; LPG</t>
  </si>
  <si>
    <t xml:space="preserve"> Petroleum</t>
  </si>
  <si>
    <t xml:space="preserve"> Wood </t>
  </si>
  <si>
    <t>Onroad Gasoline</t>
  </si>
  <si>
    <t>Energy Content
(kg/Mbtu)</t>
  </si>
  <si>
    <t>Density
(kg/gallon)</t>
  </si>
  <si>
    <r>
      <t>N</t>
    </r>
    <r>
      <rPr>
        <b/>
        <vertAlign val="subscript"/>
        <sz val="8"/>
        <rFont val="Arial"/>
        <family val="2"/>
      </rPr>
      <t>2</t>
    </r>
    <r>
      <rPr>
        <b/>
        <sz val="8"/>
        <rFont val="Arial"/>
        <family val="2"/>
      </rPr>
      <t>O EF
(g/kg fuel)</t>
    </r>
  </si>
  <si>
    <r>
      <t>N</t>
    </r>
    <r>
      <rPr>
        <b/>
        <vertAlign val="subscript"/>
        <sz val="8"/>
        <rFont val="Arial"/>
        <family val="2"/>
      </rPr>
      <t>2</t>
    </r>
    <r>
      <rPr>
        <b/>
        <sz val="8"/>
        <rFont val="Arial"/>
        <family val="2"/>
      </rPr>
      <t>O EM
(Gigagrams)</t>
    </r>
  </si>
  <si>
    <r>
      <t>N</t>
    </r>
    <r>
      <rPr>
        <b/>
        <vertAlign val="subscript"/>
        <sz val="8"/>
        <rFont val="Arial"/>
        <family val="2"/>
      </rPr>
      <t>2</t>
    </r>
    <r>
      <rPr>
        <b/>
        <sz val="8"/>
        <rFont val="Arial"/>
        <family val="2"/>
      </rPr>
      <t>O
(MTCE)</t>
    </r>
  </si>
  <si>
    <r>
      <t>CH</t>
    </r>
    <r>
      <rPr>
        <b/>
        <vertAlign val="subscript"/>
        <sz val="8"/>
        <rFont val="Arial"/>
        <family val="2"/>
      </rPr>
      <t>4</t>
    </r>
    <r>
      <rPr>
        <b/>
        <sz val="8"/>
        <rFont val="Arial"/>
        <family val="2"/>
      </rPr>
      <t xml:space="preserve"> EF
(g/kg fuel)</t>
    </r>
  </si>
  <si>
    <r>
      <t>CH</t>
    </r>
    <r>
      <rPr>
        <b/>
        <vertAlign val="subscript"/>
        <sz val="8"/>
        <rFont val="Arial"/>
        <family val="2"/>
      </rPr>
      <t>4</t>
    </r>
    <r>
      <rPr>
        <b/>
        <sz val="8"/>
        <rFont val="Arial"/>
        <family val="2"/>
      </rPr>
      <t xml:space="preserve"> EM
(Gigagrams)</t>
    </r>
  </si>
  <si>
    <t>Nonroad Gasoline</t>
  </si>
  <si>
    <t>Onroad Diesel</t>
  </si>
  <si>
    <t>Nonroad Diesel</t>
  </si>
  <si>
    <t>Rail</t>
  </si>
  <si>
    <t>Marine Vessels (Gas &amp; Oil)</t>
  </si>
  <si>
    <t xml:space="preserve">Lubricants, Natural Gas, and LPG </t>
  </si>
  <si>
    <t>Jet Fuel and Aviation Gasoline</t>
  </si>
  <si>
    <t xml:space="preserve"> Natural Gas Industry</t>
  </si>
  <si>
    <t xml:space="preserve"> Oil Industry</t>
  </si>
  <si>
    <t xml:space="preserve"> Coal Mining</t>
  </si>
  <si>
    <t xml:space="preserve"> Cement Manufacture</t>
  </si>
  <si>
    <t xml:space="preserve"> Limestone and Dolomite </t>
  </si>
  <si>
    <t xml:space="preserve"> Soda Ash </t>
  </si>
  <si>
    <t xml:space="preserve"> Iron and Steel</t>
  </si>
  <si>
    <t xml:space="preserve"> ODS Substitutes</t>
  </si>
  <si>
    <r>
      <t>HFC, PFC, SF</t>
    </r>
    <r>
      <rPr>
        <vertAlign val="subscript"/>
        <sz val="11"/>
        <rFont val="Calibri"/>
        <family val="2"/>
      </rPr>
      <t>6</t>
    </r>
  </si>
  <si>
    <t xml:space="preserve"> Electricity Transmission and Dist.</t>
  </si>
  <si>
    <t xml:space="preserve"> Semiconductor Manufacturing</t>
  </si>
  <si>
    <t xml:space="preserve"> Ammonia and Urea Production (Nonfertilizer Usage)</t>
  </si>
  <si>
    <t xml:space="preserve"> Aluminum Production</t>
  </si>
  <si>
    <t>Urea Fertilizer Usage</t>
  </si>
  <si>
    <t>Gross Emissions (Consumption Basis, Excludes Sinks)</t>
  </si>
  <si>
    <t>increase relative to 2006</t>
  </si>
  <si>
    <t>Emissions Sinks</t>
  </si>
  <si>
    <t>Agricultural Soils (Cultivation Practices)</t>
  </si>
  <si>
    <t>Net Emissions (Consumptions Basis) (Including forestry, land use, and ag sinks)</t>
  </si>
  <si>
    <t>Electricity Use (Consumption)</t>
  </si>
  <si>
    <t>RCI Fuel Use</t>
  </si>
  <si>
    <t>Transportation - Onroad</t>
  </si>
  <si>
    <t>Transportation - Nonroad</t>
  </si>
  <si>
    <r>
      <t>Emissions (MMTCO</t>
    </r>
    <r>
      <rPr>
        <b/>
        <vertAlign val="subscript"/>
        <sz val="9"/>
        <rFont val="Calibri"/>
        <family val="2"/>
      </rPr>
      <t xml:space="preserve">2 </t>
    </r>
    <r>
      <rPr>
        <b/>
        <sz val="9"/>
        <rFont val="Calibri"/>
        <family val="2"/>
      </rPr>
      <t>Eq.)</t>
    </r>
  </si>
  <si>
    <t xml:space="preserve">Synthetic </t>
  </si>
  <si>
    <t xml:space="preserve">Organic  </t>
  </si>
  <si>
    <t>Dried Blood</t>
  </si>
  <si>
    <t>Compost</t>
  </si>
  <si>
    <t>Dried Manure</t>
  </si>
  <si>
    <t>Activated Sewage Sludge</t>
  </si>
  <si>
    <t>Other Sewage Sludge</t>
  </si>
  <si>
    <t>Tankage</t>
  </si>
  <si>
    <t xml:space="preserve">Other </t>
  </si>
  <si>
    <t>Dried Manure %</t>
  </si>
  <si>
    <t>Non-Manure Organics</t>
  </si>
  <si>
    <t>Manure Organics</t>
  </si>
  <si>
    <t>Volatilzation
(Percent)</t>
  </si>
  <si>
    <r>
      <t>Total Fertilizer Use</t>
    </r>
    <r>
      <rPr>
        <sz val="8"/>
        <rFont val="Calibri"/>
        <family val="2"/>
      </rPr>
      <t xml:space="preserve"> (kg N)</t>
    </r>
  </si>
  <si>
    <r>
      <t xml:space="preserve">Total N in Fertilizers </t>
    </r>
    <r>
      <rPr>
        <sz val="8"/>
        <rFont val="Calibri"/>
        <family val="2"/>
      </rPr>
      <t>(Calendar Year)</t>
    </r>
  </si>
  <si>
    <r>
      <t xml:space="preserve">Unvolatized N
</t>
    </r>
    <r>
      <rPr>
        <sz val="8"/>
        <rFont val="Calibri"/>
        <family val="2"/>
      </rPr>
      <t>(kg)</t>
    </r>
  </si>
  <si>
    <r>
      <t xml:space="preserve">Volatized N
</t>
    </r>
    <r>
      <rPr>
        <sz val="8"/>
        <rFont val="Calibri"/>
        <family val="2"/>
      </rPr>
      <t>(kg)</t>
    </r>
  </si>
  <si>
    <r>
      <t>Direct N</t>
    </r>
    <r>
      <rPr>
        <b/>
        <vertAlign val="subscript"/>
        <sz val="8"/>
        <rFont val="Calibri"/>
        <family val="2"/>
      </rPr>
      <t>2</t>
    </r>
    <r>
      <rPr>
        <b/>
        <sz val="8"/>
        <rFont val="Calibri"/>
        <family val="2"/>
      </rPr>
      <t>O Emissions
(metric tons)</t>
    </r>
  </si>
  <si>
    <r>
      <t>Indirect N</t>
    </r>
    <r>
      <rPr>
        <b/>
        <vertAlign val="subscript"/>
        <sz val="8"/>
        <rFont val="Calibri"/>
        <family val="2"/>
      </rPr>
      <t>2</t>
    </r>
    <r>
      <rPr>
        <b/>
        <sz val="8"/>
        <rFont val="Calibri"/>
        <family val="2"/>
      </rPr>
      <t>O Emissions
(metric tons)</t>
    </r>
  </si>
  <si>
    <r>
      <t xml:space="preserve">Direct Emissions
</t>
    </r>
    <r>
      <rPr>
        <sz val="8"/>
        <rFont val="Calibri"/>
        <family val="2"/>
      </rPr>
      <t>(MMTCE)</t>
    </r>
  </si>
  <si>
    <r>
      <t xml:space="preserve">Indirect Emissions
</t>
    </r>
    <r>
      <rPr>
        <sz val="8"/>
        <rFont val="Calibri"/>
        <family val="2"/>
      </rPr>
      <t>(MMTCE)</t>
    </r>
  </si>
  <si>
    <t>Aux Boiler</t>
  </si>
  <si>
    <t>Combustion Turbine CT1</t>
  </si>
  <si>
    <t>Westport</t>
  </si>
  <si>
    <t>Combustion Turbine Unit 5</t>
  </si>
  <si>
    <t>MMBTU/10E+06 Scf</t>
  </si>
  <si>
    <t>CT1</t>
  </si>
  <si>
    <t>MMBTU/1E+06 scf</t>
  </si>
  <si>
    <t>CT3</t>
  </si>
  <si>
    <t>CT4</t>
  </si>
  <si>
    <t>CT5</t>
  </si>
  <si>
    <t>CT6</t>
  </si>
  <si>
    <t>MMBTU/scf</t>
  </si>
  <si>
    <t>005-0076</t>
  </si>
  <si>
    <t>CPSG- Notch Cliff</t>
  </si>
  <si>
    <t>MMBTU/1E+03 gallons</t>
  </si>
  <si>
    <t>Rock Spring</t>
  </si>
  <si>
    <t>Unit 101</t>
  </si>
  <si>
    <t>Unit 102</t>
  </si>
  <si>
    <t>Unit 7</t>
  </si>
  <si>
    <t>Unit 9</t>
  </si>
  <si>
    <t>Unit 10</t>
  </si>
  <si>
    <t>Unit 11</t>
  </si>
  <si>
    <t>Unit 12</t>
  </si>
  <si>
    <t>Unit 13</t>
  </si>
  <si>
    <t>Unit 14</t>
  </si>
  <si>
    <t>Easton Utility -Airport Park</t>
  </si>
  <si>
    <t>Unit 201</t>
  </si>
  <si>
    <t>Unit 202</t>
  </si>
  <si>
    <t>Unit 203</t>
  </si>
  <si>
    <t>Unit 204</t>
  </si>
  <si>
    <t>Unit 21</t>
  </si>
  <si>
    <t>Unit 22</t>
  </si>
  <si>
    <t>Unit 23</t>
  </si>
  <si>
    <t>Unit 24</t>
  </si>
  <si>
    <t>20-9-0033</t>
  </si>
  <si>
    <t>20-9-0034</t>
  </si>
  <si>
    <t>20-9-0035</t>
  </si>
  <si>
    <t>20-9-0036</t>
  </si>
  <si>
    <t>FM Diesel Gen</t>
  </si>
  <si>
    <t>EMD Diesel Gen</t>
  </si>
  <si>
    <t>Mitsu  Diesel Gen</t>
  </si>
  <si>
    <t>Connectiv -Crisfield Generation</t>
  </si>
  <si>
    <t xml:space="preserve">Unit 1 </t>
  </si>
  <si>
    <t>11 Aux Boiler</t>
  </si>
  <si>
    <t>1B Emergenvy Generator</t>
  </si>
  <si>
    <t>2A Emergency Generator</t>
  </si>
  <si>
    <t>2B Emergency Generator</t>
  </si>
  <si>
    <t>1A Emergency Generator</t>
  </si>
  <si>
    <t>OC Emergency Generator</t>
  </si>
  <si>
    <t>Security Diesel generator</t>
  </si>
  <si>
    <t>003-00529</t>
  </si>
  <si>
    <t>CPSG -Fort Smallwood Complex</t>
  </si>
  <si>
    <t>Propane</t>
  </si>
  <si>
    <t>Unit 3 Utility B</t>
  </si>
  <si>
    <t xml:space="preserve">Heat </t>
  </si>
  <si>
    <t>Content</t>
  </si>
  <si>
    <t xml:space="preserve">Heat Content </t>
  </si>
  <si>
    <t>Unit</t>
  </si>
  <si>
    <t>Heat Input</t>
  </si>
  <si>
    <r>
      <t>Direct Emissions
(MMTCO</t>
    </r>
    <r>
      <rPr>
        <b/>
        <vertAlign val="subscript"/>
        <sz val="8"/>
        <rFont val="Calibri"/>
        <family val="2"/>
      </rPr>
      <t>2</t>
    </r>
    <r>
      <rPr>
        <b/>
        <sz val="8"/>
        <rFont val="Calibri"/>
        <family val="2"/>
      </rPr>
      <t>E)</t>
    </r>
  </si>
  <si>
    <r>
      <t>Indirect Emissions
(MMTCO</t>
    </r>
    <r>
      <rPr>
        <b/>
        <vertAlign val="subscript"/>
        <sz val="8"/>
        <rFont val="Calibri"/>
        <family val="2"/>
      </rPr>
      <t>2</t>
    </r>
    <r>
      <rPr>
        <b/>
        <sz val="8"/>
        <rFont val="Calibri"/>
        <family val="2"/>
      </rPr>
      <t>E)</t>
    </r>
  </si>
  <si>
    <t>N Content of Non-Manure Organics</t>
  </si>
  <si>
    <t>Agriculture Soils - Emissions from Animals &amp; Runoff</t>
  </si>
  <si>
    <t>K-NITROGEN EXCRETED BY MANAGEMENT SYSTEM (kg):</t>
  </si>
  <si>
    <t>DIRECT EMISSIONS (MT N)</t>
  </si>
  <si>
    <t>Managed Systems</t>
  </si>
  <si>
    <t>Unmanaged Systems - Pasture, Range, and Paddock</t>
  </si>
  <si>
    <t>Unmanaged Systems - Daily Spread</t>
  </si>
  <si>
    <t>Manure Applied to Soils</t>
  </si>
  <si>
    <t>Pasture, Range and Paddock</t>
  </si>
  <si>
    <t>Unvolatilized N from Organic Fertilizers (kg)</t>
  </si>
  <si>
    <t>Unvolatilized N from Synthetic Fertilizers (kg)</t>
  </si>
  <si>
    <t>Total N excreted by Livestock (kg)</t>
  </si>
  <si>
    <t>Livestock
(MMTCE)</t>
  </si>
  <si>
    <t>Leaching and Runoff
(MMTCE)</t>
  </si>
  <si>
    <t>TOTAL Runoff/Leached</t>
  </si>
  <si>
    <t>Total Beef Heifers</t>
  </si>
  <si>
    <t>TAM
(kg)</t>
  </si>
  <si>
    <t>K-Nitrogen
(kg/day/1000kg)</t>
  </si>
  <si>
    <r>
      <t xml:space="preserve">Number of Animals
</t>
    </r>
    <r>
      <rPr>
        <sz val="8"/>
        <rFont val="Calibri"/>
        <family val="2"/>
      </rPr>
      <t>('000 head)</t>
    </r>
  </si>
  <si>
    <r>
      <t xml:space="preserve">Total K-Nitrogen Excreted
</t>
    </r>
    <r>
      <rPr>
        <sz val="8"/>
        <rFont val="Calibri"/>
        <family val="2"/>
      </rPr>
      <t>(kg)</t>
    </r>
  </si>
  <si>
    <r>
      <t>Indirect Animal N</t>
    </r>
    <r>
      <rPr>
        <b/>
        <vertAlign val="subscript"/>
        <sz val="8"/>
        <rFont val="Calibri"/>
        <family val="2"/>
      </rPr>
      <t>2</t>
    </r>
    <r>
      <rPr>
        <b/>
        <sz val="8"/>
        <rFont val="Calibri"/>
        <family val="2"/>
      </rPr>
      <t xml:space="preserve">O Emissions
</t>
    </r>
    <r>
      <rPr>
        <sz val="8"/>
        <rFont val="Calibri"/>
        <family val="2"/>
      </rPr>
      <t>(metric tons N)</t>
    </r>
  </si>
  <si>
    <r>
      <t>Fertilizer Runoff/Leached</t>
    </r>
    <r>
      <rPr>
        <sz val="8"/>
        <rFont val="Calibri"/>
        <family val="2"/>
      </rPr>
      <t xml:space="preserve"> (metric tons N)</t>
    </r>
  </si>
  <si>
    <r>
      <t xml:space="preserve">Manure Runoff/Leached </t>
    </r>
    <r>
      <rPr>
        <sz val="8"/>
        <rFont val="Calibri"/>
        <family val="2"/>
      </rPr>
      <t>(metric tons N)</t>
    </r>
  </si>
  <si>
    <r>
      <t xml:space="preserve">TOTAL Runoff/Leached </t>
    </r>
    <r>
      <rPr>
        <sz val="8"/>
        <rFont val="Calibri"/>
        <family val="2"/>
      </rPr>
      <t>(metric tons N</t>
    </r>
    <r>
      <rPr>
        <vertAlign val="subscript"/>
        <sz val="8"/>
        <rFont val="Calibri"/>
        <family val="2"/>
      </rPr>
      <t>2</t>
    </r>
    <r>
      <rPr>
        <sz val="8"/>
        <rFont val="Calibri"/>
        <family val="2"/>
      </rPr>
      <t>O-N)</t>
    </r>
  </si>
  <si>
    <r>
      <t>Livestock
(Metric Tons N</t>
    </r>
    <r>
      <rPr>
        <b/>
        <vertAlign val="subscript"/>
        <sz val="8"/>
        <rFont val="Calibri"/>
        <family val="2"/>
      </rPr>
      <t>2</t>
    </r>
    <r>
      <rPr>
        <b/>
        <sz val="8"/>
        <rFont val="Calibri"/>
        <family val="2"/>
      </rPr>
      <t>O)</t>
    </r>
  </si>
  <si>
    <r>
      <t>Livestock
(MMTCO</t>
    </r>
    <r>
      <rPr>
        <b/>
        <vertAlign val="subscript"/>
        <sz val="8"/>
        <rFont val="Calibri"/>
        <family val="2"/>
      </rPr>
      <t>2</t>
    </r>
    <r>
      <rPr>
        <b/>
        <sz val="8"/>
        <rFont val="Calibri"/>
        <family val="2"/>
      </rPr>
      <t>E)</t>
    </r>
  </si>
  <si>
    <r>
      <t>Leaching and Runoff
(Metric Tons N</t>
    </r>
    <r>
      <rPr>
        <b/>
        <vertAlign val="subscript"/>
        <sz val="8"/>
        <rFont val="Calibri"/>
        <family val="2"/>
      </rPr>
      <t>2</t>
    </r>
    <r>
      <rPr>
        <b/>
        <sz val="8"/>
        <rFont val="Calibri"/>
        <family val="2"/>
      </rPr>
      <t>O)</t>
    </r>
  </si>
  <si>
    <r>
      <t>Leaching and Runoff
(MMTCO</t>
    </r>
    <r>
      <rPr>
        <b/>
        <vertAlign val="subscript"/>
        <sz val="8"/>
        <rFont val="Calibri"/>
        <family val="2"/>
      </rPr>
      <t>2</t>
    </r>
    <r>
      <rPr>
        <b/>
        <sz val="8"/>
        <rFont val="Calibri"/>
        <family val="2"/>
      </rPr>
      <t>E)</t>
    </r>
  </si>
  <si>
    <t xml:space="preserve">Dairy Cows </t>
  </si>
  <si>
    <t>Dairy Heifers</t>
  </si>
  <si>
    <t>Feedlot Beef</t>
  </si>
  <si>
    <t>NOF Beef</t>
  </si>
  <si>
    <t>Year &amp; State</t>
  </si>
  <si>
    <t>Anaerobic Lagoon</t>
  </si>
  <si>
    <t>Liquid/ Slurry</t>
  </si>
  <si>
    <t>Daily Spread</t>
  </si>
  <si>
    <t>Solid Storage</t>
  </si>
  <si>
    <t>Pasture</t>
  </si>
  <si>
    <t>Deep Pit</t>
  </si>
  <si>
    <t>Managed</t>
  </si>
  <si>
    <t>PRP</t>
  </si>
  <si>
    <t>STATE</t>
  </si>
  <si>
    <t>Dry Lot</t>
  </si>
  <si>
    <t>Poultry without bedding</t>
  </si>
  <si>
    <t>State</t>
  </si>
  <si>
    <t>Range</t>
  </si>
  <si>
    <t>On Feed (PRP)</t>
  </si>
  <si>
    <t>Not on Feed (PRP)</t>
  </si>
  <si>
    <t>Northern Appalachian Basin</t>
  </si>
  <si>
    <t>Pasture, Range &amp; Paddock</t>
  </si>
  <si>
    <t xml:space="preserve">Percentage Breakdown of Manure Management Systems </t>
  </si>
  <si>
    <t>Source: US Inventory spreadsheets. See Manure-N2O.xls, WMS sheets.</t>
  </si>
  <si>
    <t>MD</t>
  </si>
  <si>
    <t>Leaching and Runoff</t>
  </si>
  <si>
    <t>TOTAL AGRICULTURE</t>
  </si>
  <si>
    <t xml:space="preserve">Crop Production        </t>
  </si>
  <si>
    <t>Crop Production     (metric tons)</t>
  </si>
  <si>
    <t>Residue/Crop Ratio</t>
  </si>
  <si>
    <t>Fraction   Residue Burned</t>
  </si>
  <si>
    <t>Dry Matter Fraction</t>
  </si>
  <si>
    <t>Burning Efficiency</t>
  </si>
  <si>
    <t>Combustion Efficiency</t>
  </si>
  <si>
    <t>Total C Released  (metric tons C)</t>
  </si>
  <si>
    <t>Corn</t>
  </si>
  <si>
    <t>'000 pounds</t>
  </si>
  <si>
    <t>'000 cwt</t>
  </si>
  <si>
    <t>Sugarcane</t>
  </si>
  <si>
    <t>Wheat</t>
  </si>
  <si>
    <t>metric tons/bushel</t>
  </si>
  <si>
    <r>
      <t>CH</t>
    </r>
    <r>
      <rPr>
        <b/>
        <vertAlign val="subscript"/>
        <sz val="8"/>
        <rFont val="Calibri"/>
        <family val="2"/>
      </rPr>
      <t>4</t>
    </r>
    <r>
      <rPr>
        <b/>
        <sz val="8"/>
        <rFont val="Calibri"/>
        <family val="2"/>
      </rPr>
      <t xml:space="preserve"> Emissions  (metric tons CH</t>
    </r>
    <r>
      <rPr>
        <b/>
        <vertAlign val="subscript"/>
        <sz val="8"/>
        <rFont val="Calibri"/>
        <family val="2"/>
      </rPr>
      <t>4</t>
    </r>
    <r>
      <rPr>
        <b/>
        <sz val="8"/>
        <rFont val="Calibri"/>
        <family val="2"/>
      </rPr>
      <t>)</t>
    </r>
  </si>
  <si>
    <r>
      <t>CH</t>
    </r>
    <r>
      <rPr>
        <b/>
        <vertAlign val="subscript"/>
        <sz val="8"/>
        <rFont val="Calibri"/>
        <family val="2"/>
      </rPr>
      <t>4</t>
    </r>
    <r>
      <rPr>
        <b/>
        <sz val="8"/>
        <rFont val="Calibri"/>
        <family val="2"/>
      </rPr>
      <t xml:space="preserve"> Emissions  (MMTCE)</t>
    </r>
  </si>
  <si>
    <r>
      <t>CH</t>
    </r>
    <r>
      <rPr>
        <b/>
        <vertAlign val="subscript"/>
        <sz val="8"/>
        <rFont val="Calibri"/>
        <family val="2"/>
      </rPr>
      <t>4</t>
    </r>
    <r>
      <rPr>
        <b/>
        <sz val="8"/>
        <rFont val="Calibri"/>
        <family val="2"/>
      </rPr>
      <t xml:space="preserve"> Emissions  (MMTCO</t>
    </r>
    <r>
      <rPr>
        <b/>
        <vertAlign val="subscript"/>
        <sz val="8"/>
        <rFont val="Calibri"/>
        <family val="2"/>
      </rPr>
      <t>2</t>
    </r>
    <r>
      <rPr>
        <b/>
        <sz val="8"/>
        <rFont val="Calibri"/>
        <family val="2"/>
      </rPr>
      <t>E)</t>
    </r>
  </si>
  <si>
    <t>Fraction Residue Burned</t>
  </si>
  <si>
    <t>Nitrogen Content</t>
  </si>
  <si>
    <t>Total N Released  (metric tons)</t>
  </si>
  <si>
    <r>
      <t>N</t>
    </r>
    <r>
      <rPr>
        <b/>
        <vertAlign val="subscript"/>
        <sz val="8"/>
        <rFont val="Calibri"/>
        <family val="2"/>
      </rPr>
      <t>2</t>
    </r>
    <r>
      <rPr>
        <b/>
        <sz val="8"/>
        <rFont val="Calibri"/>
        <family val="2"/>
      </rPr>
      <t>O Emissions  (metric tons)</t>
    </r>
  </si>
  <si>
    <r>
      <t>N</t>
    </r>
    <r>
      <rPr>
        <b/>
        <vertAlign val="subscript"/>
        <sz val="8"/>
        <rFont val="Calibri"/>
        <family val="2"/>
      </rPr>
      <t>2</t>
    </r>
    <r>
      <rPr>
        <b/>
        <sz val="8"/>
        <rFont val="Calibri"/>
        <family val="2"/>
      </rPr>
      <t>O Emissions  (MMTCE)</t>
    </r>
  </si>
  <si>
    <r>
      <t>N</t>
    </r>
    <r>
      <rPr>
        <b/>
        <vertAlign val="subscript"/>
        <sz val="8"/>
        <rFont val="Calibri"/>
        <family val="2"/>
      </rPr>
      <t>2</t>
    </r>
    <r>
      <rPr>
        <b/>
        <sz val="8"/>
        <rFont val="Calibri"/>
        <family val="2"/>
      </rPr>
      <t>O Emissions  (MMTCO</t>
    </r>
    <r>
      <rPr>
        <b/>
        <vertAlign val="subscript"/>
        <sz val="8"/>
        <rFont val="Calibri"/>
        <family val="2"/>
      </rPr>
      <t>2</t>
    </r>
    <r>
      <rPr>
        <b/>
        <sz val="8"/>
        <rFont val="Calibri"/>
        <family val="2"/>
      </rPr>
      <t>E)</t>
    </r>
  </si>
  <si>
    <t>Rice Cultivation</t>
  </si>
  <si>
    <t>Urea Fertilization</t>
  </si>
  <si>
    <t>Aviation Gasoline</t>
  </si>
  <si>
    <t>Distillate Fuel</t>
  </si>
  <si>
    <t>Jet Fuel, Kerosene</t>
  </si>
  <si>
    <t>LPG</t>
  </si>
  <si>
    <t>Motor Gasoline</t>
  </si>
  <si>
    <t>Residual Fuel</t>
  </si>
  <si>
    <t>Lubricants</t>
  </si>
  <si>
    <t>Uncontrolled Landfills</t>
  </si>
  <si>
    <t>Waste Combustion</t>
  </si>
  <si>
    <t>Landfills</t>
  </si>
  <si>
    <t>Coal Mining</t>
  </si>
  <si>
    <t>Forest Carbon Flux</t>
  </si>
  <si>
    <t>Limestone</t>
  </si>
  <si>
    <t>Dolomite</t>
  </si>
  <si>
    <t>Grass</t>
  </si>
  <si>
    <t>Leaves</t>
  </si>
  <si>
    <t>Branches</t>
  </si>
  <si>
    <t>Landfilled Food Scraps</t>
  </si>
  <si>
    <t>* Note that parentheses indicate net sequestration.</t>
  </si>
  <si>
    <t>Aboveground Biomass</t>
  </si>
  <si>
    <t>Belowground Biomass</t>
  </si>
  <si>
    <t>Dead Wood</t>
  </si>
  <si>
    <t>Litter</t>
  </si>
  <si>
    <t>Total wood products and landfills</t>
  </si>
  <si>
    <t>Fertilizer Runoff/Leached</t>
  </si>
  <si>
    <t xml:space="preserve">Manure Runoff/Leached </t>
  </si>
  <si>
    <t>Kerosene</t>
  </si>
  <si>
    <t>Coking Coal</t>
  </si>
  <si>
    <t>Other Coal</t>
  </si>
  <si>
    <t>Asphalt and Road Oil</t>
  </si>
  <si>
    <t>Aviation Gasoline Blending Components</t>
  </si>
  <si>
    <t>Crude Oil</t>
  </si>
  <si>
    <t>Feedstocks, Naphtha less than 401 F</t>
  </si>
  <si>
    <t>Feedstocks, Other Oils greater than 401 F</t>
  </si>
  <si>
    <t>Motor Gasoline Blending Components</t>
  </si>
  <si>
    <t>Misc. Petro Products</t>
  </si>
  <si>
    <t>Petroleum Coke</t>
  </si>
  <si>
    <t>Pentanes Plus</t>
  </si>
  <si>
    <t>Still Gas</t>
  </si>
  <si>
    <t>Special Naphthas</t>
  </si>
  <si>
    <t>Unfinished Oils</t>
  </si>
  <si>
    <t>Waxes</t>
  </si>
  <si>
    <t>Soil Organic Carbon</t>
  </si>
  <si>
    <r>
      <t>Residential Sector CO</t>
    </r>
    <r>
      <rPr>
        <vertAlign val="subscript"/>
        <sz val="14"/>
        <rFont val="Comic Sans MS"/>
        <family val="4"/>
      </rPr>
      <t>2</t>
    </r>
  </si>
  <si>
    <r>
      <t>Residential Sector N</t>
    </r>
    <r>
      <rPr>
        <vertAlign val="subscript"/>
        <sz val="14"/>
        <rFont val="Comic Sans MS"/>
        <family val="4"/>
      </rPr>
      <t>2</t>
    </r>
    <r>
      <rPr>
        <sz val="14"/>
        <rFont val="Comic Sans MS"/>
        <family val="4"/>
      </rPr>
      <t>0</t>
    </r>
  </si>
  <si>
    <r>
      <t>Residential Sector CH</t>
    </r>
    <r>
      <rPr>
        <vertAlign val="subscript"/>
        <sz val="14"/>
        <rFont val="Comic Sans MS"/>
        <family val="4"/>
      </rPr>
      <t>4</t>
    </r>
  </si>
  <si>
    <t>(MMTCO2E)</t>
  </si>
  <si>
    <r>
      <t>Commercial Sector CO</t>
    </r>
    <r>
      <rPr>
        <vertAlign val="subscript"/>
        <sz val="14"/>
        <rFont val="Comic Sans MS"/>
        <family val="4"/>
      </rPr>
      <t>2</t>
    </r>
  </si>
  <si>
    <r>
      <t>Commercial Sector N</t>
    </r>
    <r>
      <rPr>
        <vertAlign val="subscript"/>
        <sz val="14"/>
        <rFont val="Comic Sans MS"/>
        <family val="4"/>
      </rPr>
      <t>2</t>
    </r>
    <r>
      <rPr>
        <sz val="14"/>
        <rFont val="Comic Sans MS"/>
        <family val="4"/>
      </rPr>
      <t>O</t>
    </r>
  </si>
  <si>
    <r>
      <t>Commercial Sector CH</t>
    </r>
    <r>
      <rPr>
        <vertAlign val="subscript"/>
        <sz val="14"/>
        <rFont val="Comic Sans MS"/>
        <family val="4"/>
      </rPr>
      <t>4</t>
    </r>
  </si>
  <si>
    <t>GHG</t>
  </si>
  <si>
    <t>Motor Gasoline (On Road)</t>
  </si>
  <si>
    <t>Motor Diesel  (On-Road)</t>
  </si>
  <si>
    <r>
      <t>CO</t>
    </r>
    <r>
      <rPr>
        <b/>
        <vertAlign val="subscript"/>
        <sz val="8"/>
        <color indexed="8"/>
        <rFont val="Arial"/>
        <family val="2"/>
      </rPr>
      <t>2</t>
    </r>
    <r>
      <rPr>
        <b/>
        <sz val="8"/>
        <color indexed="8"/>
        <rFont val="Arial"/>
        <family val="2"/>
      </rPr>
      <t xml:space="preserve"> Emissions</t>
    </r>
  </si>
  <si>
    <r>
      <t>N</t>
    </r>
    <r>
      <rPr>
        <b/>
        <vertAlign val="subscript"/>
        <sz val="8"/>
        <color indexed="8"/>
        <rFont val="Arial"/>
        <family val="2"/>
      </rPr>
      <t>2</t>
    </r>
    <r>
      <rPr>
        <b/>
        <sz val="8"/>
        <color indexed="8"/>
        <rFont val="Arial"/>
        <family val="2"/>
      </rPr>
      <t>O Emissions</t>
    </r>
  </si>
  <si>
    <r>
      <t>CH</t>
    </r>
    <r>
      <rPr>
        <b/>
        <vertAlign val="subscript"/>
        <sz val="8"/>
        <color indexed="8"/>
        <rFont val="Arial"/>
        <family val="2"/>
      </rPr>
      <t>4</t>
    </r>
    <r>
      <rPr>
        <b/>
        <sz val="8"/>
        <color indexed="8"/>
        <rFont val="Arial"/>
        <family val="2"/>
      </rPr>
      <t xml:space="preserve"> Emissions</t>
    </r>
  </si>
  <si>
    <r>
      <t>Emissions Data (MMTCO</t>
    </r>
    <r>
      <rPr>
        <vertAlign val="subscript"/>
        <sz val="14"/>
        <rFont val="Comic Sans MS"/>
        <family val="4"/>
      </rPr>
      <t>2</t>
    </r>
    <r>
      <rPr>
        <sz val="14"/>
        <rFont val="Comic Sans MS"/>
        <family val="4"/>
      </rPr>
      <t>e)</t>
    </r>
  </si>
  <si>
    <r>
      <t>N</t>
    </r>
    <r>
      <rPr>
        <b/>
        <vertAlign val="subscript"/>
        <sz val="8"/>
        <rFont val="Arial"/>
        <family val="2"/>
      </rPr>
      <t>2</t>
    </r>
    <r>
      <rPr>
        <b/>
        <sz val="8"/>
        <rFont val="Arial"/>
        <family val="2"/>
      </rPr>
      <t>O EM
Gigagrams</t>
    </r>
  </si>
  <si>
    <r>
      <t>Industrial Sector CO</t>
    </r>
    <r>
      <rPr>
        <vertAlign val="subscript"/>
        <sz val="14"/>
        <color indexed="8"/>
        <rFont val="Comic Sans MS"/>
        <family val="4"/>
      </rPr>
      <t>2</t>
    </r>
  </si>
  <si>
    <t xml:space="preserve">Total </t>
  </si>
  <si>
    <t xml:space="preserve">Non-Energy </t>
  </si>
  <si>
    <t xml:space="preserve">Net combustible </t>
  </si>
  <si>
    <t>Storage Factor (%)</t>
  </si>
  <si>
    <r>
      <t>Industrial Sector N</t>
    </r>
    <r>
      <rPr>
        <vertAlign val="subscript"/>
        <sz val="14"/>
        <rFont val="Comic Sans MS"/>
        <family val="4"/>
      </rPr>
      <t>2</t>
    </r>
    <r>
      <rPr>
        <sz val="14"/>
        <rFont val="Comic Sans MS"/>
        <family val="4"/>
      </rPr>
      <t>O</t>
    </r>
  </si>
  <si>
    <t>NA</t>
  </si>
  <si>
    <r>
      <t>Industrial Sector CH</t>
    </r>
    <r>
      <rPr>
        <vertAlign val="subscript"/>
        <sz val="14"/>
        <color indexed="8"/>
        <rFont val="Comic Sans MS"/>
        <family val="4"/>
      </rPr>
      <t>4</t>
    </r>
  </si>
  <si>
    <t>Industrial Sector GHG</t>
  </si>
  <si>
    <t>x</t>
  </si>
  <si>
    <t>=</t>
  </si>
  <si>
    <t>+</t>
  </si>
  <si>
    <t>Flared Landfills</t>
  </si>
  <si>
    <t>County</t>
  </si>
  <si>
    <t>Facility Name</t>
  </si>
  <si>
    <t>TOTAL Landfill Capacity (Million tons)</t>
  </si>
  <si>
    <t>Correct Capacity (MegaGrams)</t>
  </si>
  <si>
    <t>Average Acceptance / Yearly Disposal (tons/yr)</t>
  </si>
  <si>
    <t>Average Acceptance / Yearly Disposal ( Mg/yr)</t>
  </si>
  <si>
    <t>Year Opened</t>
  </si>
  <si>
    <t>Year Closed</t>
  </si>
  <si>
    <r>
      <t>CO</t>
    </r>
    <r>
      <rPr>
        <b/>
        <vertAlign val="subscript"/>
        <sz val="9"/>
        <rFont val="Arial"/>
        <family val="2"/>
      </rPr>
      <t>2</t>
    </r>
    <r>
      <rPr>
        <b/>
        <sz val="9"/>
        <rFont val="Arial"/>
        <family val="2"/>
      </rPr>
      <t xml:space="preserve"> Generation (short tons) LandGEM 3.0</t>
    </r>
  </si>
  <si>
    <r>
      <t>CH</t>
    </r>
    <r>
      <rPr>
        <b/>
        <vertAlign val="subscript"/>
        <sz val="9"/>
        <rFont val="Arial"/>
        <family val="2"/>
      </rPr>
      <t>4</t>
    </r>
    <r>
      <rPr>
        <b/>
        <sz val="9"/>
        <rFont val="Arial"/>
        <family val="2"/>
      </rPr>
      <t xml:space="preserve"> Generation (short tons/yr) LandGEM 3.0</t>
    </r>
  </si>
  <si>
    <r>
      <t xml:space="preserve"> CH</t>
    </r>
    <r>
      <rPr>
        <b/>
        <vertAlign val="subscript"/>
        <sz val="9"/>
        <rFont val="Arial"/>
        <family val="2"/>
      </rPr>
      <t>4</t>
    </r>
    <r>
      <rPr>
        <b/>
        <sz val="9"/>
        <rFont val="Arial"/>
        <family val="2"/>
      </rPr>
      <t xml:space="preserve"> Collection Efficiency (%)</t>
    </r>
  </si>
  <si>
    <t>Flare Control Efficeincy (%)</t>
  </si>
  <si>
    <r>
      <t>Limestone &amp; Dolomite; Soda Ash; Ammonia &amp; Urea; ODS; Electric Power T&amp;D Summary (MTCO</t>
    </r>
    <r>
      <rPr>
        <b/>
        <vertAlign val="subscript"/>
        <sz val="14"/>
        <rFont val="Comic Sans MS"/>
        <family val="4"/>
      </rPr>
      <t>2</t>
    </r>
    <r>
      <rPr>
        <b/>
        <sz val="14"/>
        <rFont val="Comic Sans MS"/>
        <family val="4"/>
      </rPr>
      <t>E)</t>
    </r>
  </si>
  <si>
    <r>
      <t xml:space="preserve"> National Emissions
(Metric Tons CO</t>
    </r>
    <r>
      <rPr>
        <b/>
        <vertAlign val="subscript"/>
        <sz val="9"/>
        <rFont val="Calibri"/>
        <family val="2"/>
      </rPr>
      <t>2</t>
    </r>
    <r>
      <rPr>
        <b/>
        <sz val="9"/>
        <rFont val="Calibri"/>
        <family val="2"/>
      </rPr>
      <t xml:space="preserve"> Eq.)</t>
    </r>
  </si>
  <si>
    <r>
      <t>Uncombusted CH</t>
    </r>
    <r>
      <rPr>
        <b/>
        <vertAlign val="subscript"/>
        <sz val="9"/>
        <rFont val="Arial"/>
        <family val="2"/>
      </rPr>
      <t xml:space="preserve">4 </t>
    </r>
    <r>
      <rPr>
        <b/>
        <sz val="9"/>
        <rFont val="Arial"/>
        <family val="2"/>
      </rPr>
      <t xml:space="preserve"> (Flare Emission, tons)  </t>
    </r>
  </si>
  <si>
    <r>
      <t>Uncollected Landfill  CH</t>
    </r>
    <r>
      <rPr>
        <b/>
        <vertAlign val="subscript"/>
        <sz val="9"/>
        <rFont val="Arial"/>
        <family val="2"/>
      </rPr>
      <t>4</t>
    </r>
  </si>
  <si>
    <t>Surface Oxidation %</t>
  </si>
  <si>
    <r>
      <t>Fugitive Landfill CH</t>
    </r>
    <r>
      <rPr>
        <b/>
        <vertAlign val="subscript"/>
        <sz val="9"/>
        <rFont val="Arial"/>
        <family val="2"/>
      </rPr>
      <t>4</t>
    </r>
    <r>
      <rPr>
        <b/>
        <sz val="9"/>
        <rFont val="Arial"/>
        <family val="2"/>
      </rPr>
      <t xml:space="preserve"> Emission (tons)</t>
    </r>
  </si>
  <si>
    <r>
      <t>CO</t>
    </r>
    <r>
      <rPr>
        <b/>
        <vertAlign val="subscript"/>
        <sz val="9"/>
        <rFont val="Arial"/>
        <family val="2"/>
      </rPr>
      <t>2</t>
    </r>
    <r>
      <rPr>
        <b/>
        <sz val="9"/>
        <rFont val="Arial"/>
        <family val="2"/>
      </rPr>
      <t xml:space="preserve">e Emissions </t>
    </r>
  </si>
  <si>
    <t>Tolat GHG Emissions (tons)</t>
  </si>
  <si>
    <t>Allegany</t>
  </si>
  <si>
    <t>Mountainview Municipal Landfill</t>
  </si>
  <si>
    <t>Vale Summit</t>
  </si>
  <si>
    <t>Anne Arundel</t>
  </si>
  <si>
    <t>Annapolis</t>
  </si>
  <si>
    <t>Fort G. Meade Municipal Landfill</t>
  </si>
  <si>
    <r>
      <t>Emissions* (MMTCO</t>
    </r>
    <r>
      <rPr>
        <b/>
        <vertAlign val="subscript"/>
        <sz val="10"/>
        <rFont val="Calibri"/>
        <family val="2"/>
      </rPr>
      <t>2</t>
    </r>
    <r>
      <rPr>
        <b/>
        <sz val="10"/>
        <rFont val="Calibri"/>
        <family val="2"/>
      </rPr>
      <t>E)</t>
    </r>
  </si>
  <si>
    <r>
      <t>CH</t>
    </r>
    <r>
      <rPr>
        <i/>
        <vertAlign val="subscript"/>
        <sz val="10"/>
        <rFont val="Calibri"/>
        <family val="2"/>
      </rPr>
      <t>4</t>
    </r>
  </si>
  <si>
    <r>
      <t>N</t>
    </r>
    <r>
      <rPr>
        <i/>
        <vertAlign val="subscript"/>
        <sz val="10"/>
        <rFont val="Calibri"/>
        <family val="2"/>
      </rPr>
      <t>2</t>
    </r>
    <r>
      <rPr>
        <i/>
        <sz val="10"/>
        <rFont val="Calibri"/>
        <family val="2"/>
      </rPr>
      <t>O</t>
    </r>
  </si>
  <si>
    <r>
      <t>N</t>
    </r>
    <r>
      <rPr>
        <b/>
        <vertAlign val="subscript"/>
        <sz val="10"/>
        <rFont val="Calibri"/>
        <family val="2"/>
      </rPr>
      <t>2</t>
    </r>
    <r>
      <rPr>
        <b/>
        <sz val="10"/>
        <rFont val="Calibri"/>
        <family val="2"/>
      </rPr>
      <t>O from Settlement Soils</t>
    </r>
  </si>
  <si>
    <t>Millersville Municipal Landfill</t>
  </si>
  <si>
    <t>Sudley Road</t>
  </si>
  <si>
    <t>Baltimore City</t>
  </si>
  <si>
    <t>Quarrantine Road Municipal Landfill</t>
  </si>
  <si>
    <t>Eastern Municiapl Landfill</t>
  </si>
  <si>
    <t>Calvert</t>
  </si>
  <si>
    <t>Appeal  Municiapl Landfill</t>
  </si>
  <si>
    <t>Barstow</t>
  </si>
  <si>
    <t>Carroll</t>
  </si>
  <si>
    <t>Hoods Mill</t>
  </si>
  <si>
    <t>Northern Municpal Landfill</t>
  </si>
  <si>
    <t>Cecil</t>
  </si>
  <si>
    <t>Cecil County Central Landfill - Hog Hill</t>
  </si>
  <si>
    <t>Charles</t>
  </si>
  <si>
    <t>Charles County Municipal LF #2</t>
  </si>
  <si>
    <t>Pisgah</t>
  </si>
  <si>
    <t xml:space="preserve">Dorchester </t>
  </si>
  <si>
    <t>Beulah HE #1</t>
  </si>
  <si>
    <t>Beulah HE #2</t>
  </si>
  <si>
    <t>Frederick</t>
  </si>
  <si>
    <t>Fort Detrick Municipal Landfill</t>
  </si>
  <si>
    <t>Garrett</t>
  </si>
  <si>
    <t>Garrett County SWD&amp;RF  or  Del Signiore</t>
  </si>
  <si>
    <t>Round Glade</t>
  </si>
  <si>
    <t>Harford</t>
  </si>
  <si>
    <t>Harford W.D. Center Municipal Landfill</t>
  </si>
  <si>
    <t>Howard</t>
  </si>
  <si>
    <t>Alpha Ridge</t>
  </si>
  <si>
    <t>Kent</t>
  </si>
  <si>
    <t>Nicholson</t>
  </si>
  <si>
    <t>The Oaks</t>
  </si>
  <si>
    <t>Prince Georges</t>
  </si>
  <si>
    <t>Brown Station Landfill B</t>
  </si>
  <si>
    <t>CDP/Sandy Hill</t>
  </si>
  <si>
    <t>Saint Andrews 1 &amp; 2 Municipal LF</t>
  </si>
  <si>
    <t>Somerset</t>
  </si>
  <si>
    <t>Somerset County Municipal LF or Fairmount Rd</t>
  </si>
  <si>
    <t>Westover/Ring</t>
  </si>
  <si>
    <t>Talbot</t>
  </si>
  <si>
    <t>Midshore Regional Municipal LF</t>
  </si>
  <si>
    <t>Washington</t>
  </si>
  <si>
    <t>Hancock Landfill</t>
  </si>
  <si>
    <t>Forty West</t>
  </si>
  <si>
    <t>Wicomico</t>
  </si>
  <si>
    <r>
      <t xml:space="preserve">Newland Park Municipal LF - </t>
    </r>
    <r>
      <rPr>
        <b/>
        <sz val="10"/>
        <rFont val="Arial"/>
        <family val="2"/>
      </rPr>
      <t>Wicomico County Landfill</t>
    </r>
  </si>
  <si>
    <t>Worcester</t>
  </si>
  <si>
    <t>Landfill Gas-to-Energy (tons)</t>
  </si>
  <si>
    <r>
      <t>CH</t>
    </r>
    <r>
      <rPr>
        <vertAlign val="subscript"/>
        <sz val="10"/>
        <rFont val="Arial"/>
        <family val="2"/>
      </rPr>
      <t>4</t>
    </r>
    <r>
      <rPr>
        <sz val="10"/>
        <rFont val="Arial"/>
        <family val="2"/>
      </rPr>
      <t xml:space="preserve"> GWP</t>
    </r>
  </si>
  <si>
    <r>
      <t>MSW Generation ( MTCO</t>
    </r>
    <r>
      <rPr>
        <b/>
        <vertAlign val="subscript"/>
        <sz val="10"/>
        <rFont val="Arial"/>
        <family val="2"/>
      </rPr>
      <t>2</t>
    </r>
    <r>
      <rPr>
        <b/>
        <sz val="10"/>
        <rFont val="Arial"/>
        <family val="2"/>
      </rPr>
      <t>E)</t>
    </r>
  </si>
  <si>
    <r>
      <t>Flared CH</t>
    </r>
    <r>
      <rPr>
        <b/>
        <vertAlign val="subscript"/>
        <sz val="10"/>
        <rFont val="Arial"/>
        <family val="2"/>
      </rPr>
      <t>4</t>
    </r>
    <r>
      <rPr>
        <b/>
        <sz val="10"/>
        <rFont val="Arial"/>
        <family val="2"/>
      </rPr>
      <t xml:space="preserve"> (MTCO</t>
    </r>
    <r>
      <rPr>
        <b/>
        <vertAlign val="subscript"/>
        <sz val="10"/>
        <rFont val="Arial"/>
        <family val="2"/>
      </rPr>
      <t>2</t>
    </r>
    <r>
      <rPr>
        <b/>
        <sz val="10"/>
        <rFont val="Arial"/>
        <family val="2"/>
      </rPr>
      <t>E)</t>
    </r>
  </si>
  <si>
    <r>
      <t>Landfill Gas-to-Energy (MTCO</t>
    </r>
    <r>
      <rPr>
        <b/>
        <vertAlign val="subscript"/>
        <sz val="10"/>
        <rFont val="Arial"/>
        <family val="2"/>
      </rPr>
      <t>2</t>
    </r>
    <r>
      <rPr>
        <b/>
        <sz val="10"/>
        <rFont val="Arial"/>
        <family val="2"/>
      </rPr>
      <t>E)</t>
    </r>
  </si>
  <si>
    <r>
      <t>Industrial  Generation (MTCO</t>
    </r>
    <r>
      <rPr>
        <b/>
        <vertAlign val="subscript"/>
        <sz val="10"/>
        <rFont val="Arial"/>
        <family val="2"/>
      </rPr>
      <t>2</t>
    </r>
    <r>
      <rPr>
        <b/>
        <sz val="10"/>
        <rFont val="Arial"/>
        <family val="2"/>
      </rPr>
      <t>E)</t>
    </r>
  </si>
  <si>
    <r>
      <t>Potential CH</t>
    </r>
    <r>
      <rPr>
        <b/>
        <vertAlign val="subscript"/>
        <sz val="10"/>
        <rFont val="Arial"/>
        <family val="2"/>
      </rPr>
      <t xml:space="preserve">4 </t>
    </r>
    <r>
      <rPr>
        <b/>
        <sz val="10"/>
        <rFont val="Arial"/>
        <family val="2"/>
      </rPr>
      <t>(MTCO</t>
    </r>
    <r>
      <rPr>
        <b/>
        <vertAlign val="subscript"/>
        <sz val="10"/>
        <rFont val="Arial"/>
        <family val="2"/>
      </rPr>
      <t>2</t>
    </r>
    <r>
      <rPr>
        <b/>
        <sz val="10"/>
        <rFont val="Arial"/>
        <family val="2"/>
      </rPr>
      <t>E)</t>
    </r>
  </si>
  <si>
    <r>
      <t>CH</t>
    </r>
    <r>
      <rPr>
        <b/>
        <vertAlign val="subscript"/>
        <sz val="10"/>
        <rFont val="Arial"/>
        <family val="2"/>
      </rPr>
      <t>4</t>
    </r>
    <r>
      <rPr>
        <b/>
        <sz val="10"/>
        <rFont val="Arial"/>
        <family val="2"/>
      </rPr>
      <t xml:space="preserve"> Avoided (MTCO</t>
    </r>
    <r>
      <rPr>
        <b/>
        <vertAlign val="subscript"/>
        <sz val="10"/>
        <rFont val="Arial"/>
        <family val="2"/>
      </rPr>
      <t>2</t>
    </r>
    <r>
      <rPr>
        <b/>
        <sz val="10"/>
        <rFont val="Arial"/>
        <family val="2"/>
      </rPr>
      <t>E)</t>
    </r>
  </si>
  <si>
    <r>
      <t>Landfill Gas-to-Energy (MTC</t>
    </r>
    <r>
      <rPr>
        <b/>
        <sz val="10"/>
        <rFont val="Arial"/>
        <family val="2"/>
      </rPr>
      <t>E)</t>
    </r>
  </si>
  <si>
    <t>Oxidation at MSW Landfills (tons)</t>
  </si>
  <si>
    <r>
      <t>Oxidation at MSW Landfills (MTCO</t>
    </r>
    <r>
      <rPr>
        <b/>
        <vertAlign val="subscript"/>
        <sz val="10"/>
        <rFont val="Arial"/>
        <family val="2"/>
      </rPr>
      <t>2</t>
    </r>
    <r>
      <rPr>
        <b/>
        <sz val="10"/>
        <rFont val="Arial"/>
        <family val="2"/>
      </rPr>
      <t>E)</t>
    </r>
  </si>
  <si>
    <r>
      <t>Oxidation at MSW Landfills (MTC</t>
    </r>
    <r>
      <rPr>
        <b/>
        <sz val="10"/>
        <rFont val="Arial"/>
        <family val="2"/>
      </rPr>
      <t>E)</t>
    </r>
  </si>
  <si>
    <r>
      <t>Oxidation at Industrial Landfills (MTCO</t>
    </r>
    <r>
      <rPr>
        <b/>
        <vertAlign val="subscript"/>
        <sz val="10"/>
        <rFont val="Arial"/>
        <family val="2"/>
      </rPr>
      <t>2</t>
    </r>
    <r>
      <rPr>
        <b/>
        <sz val="10"/>
        <rFont val="Arial"/>
        <family val="2"/>
      </rPr>
      <t>E)</t>
    </r>
  </si>
  <si>
    <r>
      <t>Oxidation at Industrial Landfills (MTC</t>
    </r>
    <r>
      <rPr>
        <b/>
        <sz val="10"/>
        <rFont val="Arial"/>
        <family val="2"/>
      </rPr>
      <t>E)</t>
    </r>
  </si>
  <si>
    <r>
      <t>Total CH</t>
    </r>
    <r>
      <rPr>
        <b/>
        <vertAlign val="subscript"/>
        <sz val="10"/>
        <rFont val="Arial"/>
        <family val="2"/>
      </rPr>
      <t>4</t>
    </r>
    <r>
      <rPr>
        <b/>
        <sz val="10"/>
        <rFont val="Arial"/>
        <family val="2"/>
      </rPr>
      <t xml:space="preserve"> Emissions (MTCO</t>
    </r>
    <r>
      <rPr>
        <b/>
        <vertAlign val="subscript"/>
        <sz val="10"/>
        <rFont val="Arial"/>
        <family val="2"/>
      </rPr>
      <t>2</t>
    </r>
    <r>
      <rPr>
        <b/>
        <sz val="10"/>
        <rFont val="Arial"/>
        <family val="2"/>
      </rPr>
      <t>E)</t>
    </r>
  </si>
  <si>
    <t>Incinerator #1</t>
  </si>
  <si>
    <t>Incinerator #4</t>
  </si>
  <si>
    <t>Incinerator #5</t>
  </si>
  <si>
    <t>Fort Detrick</t>
  </si>
  <si>
    <t>MSW Processed (tons)</t>
  </si>
  <si>
    <t>Wheelabrator Baltimore</t>
  </si>
  <si>
    <r>
      <t>C/CO</t>
    </r>
    <r>
      <rPr>
        <b/>
        <vertAlign val="subscript"/>
        <sz val="7"/>
        <rFont val="Comic Sans MS"/>
        <family val="4"/>
      </rPr>
      <t>2</t>
    </r>
  </si>
  <si>
    <t>Emissions (MTCE)</t>
  </si>
  <si>
    <t>Carbon Content</t>
  </si>
  <si>
    <t>Construction</t>
  </si>
  <si>
    <t>Residual Fuel Oil</t>
  </si>
  <si>
    <t>Natural Gases -  (Million Cubic Feet)</t>
  </si>
  <si>
    <t>(Gallons)</t>
  </si>
  <si>
    <t>(MMTCE)</t>
  </si>
  <si>
    <t>- (</t>
  </si>
  <si>
    <t>) =</t>
  </si>
  <si>
    <t>Natural Gas - Production</t>
  </si>
  <si>
    <t>Activity Data</t>
  </si>
  <si>
    <r>
      <t>Metric Tons CH</t>
    </r>
    <r>
      <rPr>
        <b/>
        <vertAlign val="subscript"/>
        <sz val="8"/>
        <rFont val="Comic Sans MS"/>
        <family val="4"/>
      </rPr>
      <t>4</t>
    </r>
  </si>
  <si>
    <r>
      <t>MMTCO</t>
    </r>
    <r>
      <rPr>
        <b/>
        <vertAlign val="subscript"/>
        <sz val="8"/>
        <rFont val="Comic Sans MS"/>
        <family val="4"/>
      </rPr>
      <t>2</t>
    </r>
    <r>
      <rPr>
        <b/>
        <sz val="8"/>
        <rFont val="Comic Sans MS"/>
        <family val="4"/>
      </rPr>
      <t>E</t>
    </r>
  </si>
  <si>
    <r>
      <t>metric tons CH</t>
    </r>
    <r>
      <rPr>
        <vertAlign val="subscript"/>
        <sz val="8"/>
        <rFont val="Comic Sans MS"/>
        <family val="4"/>
      </rPr>
      <t>4</t>
    </r>
    <r>
      <rPr>
        <sz val="8"/>
        <rFont val="Comic Sans MS"/>
        <family val="4"/>
      </rPr>
      <t xml:space="preserve"> per year per activity unit</t>
    </r>
  </si>
  <si>
    <t>Total number of wells</t>
  </si>
  <si>
    <t>Number of off-shore platforms not in the Gulf of Mexico</t>
  </si>
  <si>
    <t xml:space="preserve">Total  </t>
  </si>
  <si>
    <t>Natural Gas - Transmission</t>
  </si>
  <si>
    <t>Miles of transmission pipeline</t>
  </si>
  <si>
    <t>Number of gas transmission compressor stations</t>
  </si>
  <si>
    <t>Number of gas storage compressor stations</t>
  </si>
  <si>
    <t xml:space="preserve">Number of LNG storage compressor stations from EIA, US LNG Markets and Uses, http://www.eia.doe.gov/pub/oil_gas/natural_gas/feature_articles/2003/lng/lng2003.pdf </t>
  </si>
  <si>
    <t>Miles of transmission pipeline from US Department of Transport, Office of Pipeline Safety, "  Distribution and Transmission Annuals data:1990 -2005" . Acess from http://www.phmsa.dot.gov/portal/</t>
  </si>
  <si>
    <t>Number of gas transmission compressor stations = miles of transmission pipeline x 0.006 -EIIP, Volume VII: Chapter 5,March 2005</t>
  </si>
  <si>
    <t>Number of gas storage compressor station  = miles of transmission pipeline x 0.0015 -EIIP, Volume VII: Chapter 5,March 2005</t>
  </si>
  <si>
    <t>Natural Gas - Distribution</t>
  </si>
  <si>
    <t>Distribution pipeline</t>
  </si>
  <si>
    <t>Miles of cast iron distribution pipeline</t>
  </si>
  <si>
    <t>Miles of unprotected steel distribution pipeline</t>
  </si>
  <si>
    <t>Miles of protected steel distribution pipeline</t>
  </si>
  <si>
    <t>Miles of plastic distribution pipeline</t>
  </si>
  <si>
    <t>Services</t>
  </si>
  <si>
    <t>Total number of services</t>
  </si>
  <si>
    <t>Number of unprotected steel services</t>
  </si>
  <si>
    <t>Number of protected steel services</t>
  </si>
  <si>
    <t>Miles of Distribution pipeline from US Department of Transport, Office of Pipeline Safety, "  Distribution and Transmission Annuals data:1990 -2005" . Acess from http://www.phmsa.dot.gov/portal/</t>
  </si>
  <si>
    <t>Abandoned Coal Mines</t>
  </si>
  <si>
    <t>Vented</t>
  </si>
  <si>
    <t>Sealed</t>
  </si>
  <si>
    <t>Flooded</t>
  </si>
  <si>
    <t>Urban Trees</t>
  </si>
  <si>
    <t>Landfilled Yard Trimmings and Food Scraps</t>
  </si>
  <si>
    <t>Forest Fires</t>
  </si>
  <si>
    <t>Urban Forestry and Land Use</t>
  </si>
  <si>
    <r>
      <t>Captured CH</t>
    </r>
    <r>
      <rPr>
        <b/>
        <vertAlign val="subscript"/>
        <sz val="8.5"/>
        <rFont val="MS Sans Serif"/>
        <family val="2"/>
      </rPr>
      <t>4</t>
    </r>
  </si>
  <si>
    <t>Solar</t>
  </si>
  <si>
    <t>Maryland 2011  Import Share (MWh)</t>
  </si>
  <si>
    <t>Residential Open Burning</t>
  </si>
  <si>
    <t>Forested Landscape</t>
  </si>
  <si>
    <t>Residential</t>
  </si>
  <si>
    <t>Coal</t>
  </si>
  <si>
    <t>Petroleum</t>
  </si>
  <si>
    <t>Natural Gas</t>
  </si>
  <si>
    <t>Commercial</t>
  </si>
  <si>
    <t>Industrial</t>
  </si>
  <si>
    <t>Plant ID</t>
  </si>
  <si>
    <t xml:space="preserve">Plant Name </t>
  </si>
  <si>
    <t>Equipment Description</t>
  </si>
  <si>
    <t>Fuel Type</t>
  </si>
  <si>
    <t>Usage</t>
  </si>
  <si>
    <t>(tons)</t>
  </si>
  <si>
    <t>Units</t>
  </si>
  <si>
    <t>(MMBTU)</t>
  </si>
  <si>
    <t>001-0203</t>
  </si>
  <si>
    <t>AES WARRIOR RUN COGEN</t>
  </si>
  <si>
    <t>001-3-0127</t>
  </si>
  <si>
    <t xml:space="preserve">ACF Boiler </t>
  </si>
  <si>
    <t>Btu/lb</t>
  </si>
  <si>
    <t>003-0468</t>
  </si>
  <si>
    <r>
      <t>Emission Factor
(t CO</t>
    </r>
    <r>
      <rPr>
        <b/>
        <vertAlign val="subscript"/>
        <sz val="9"/>
        <rFont val="Calibri"/>
        <family val="2"/>
      </rPr>
      <t>2</t>
    </r>
    <r>
      <rPr>
        <b/>
        <sz val="9"/>
        <rFont val="Calibri"/>
        <family val="2"/>
      </rPr>
      <t>/t production)</t>
    </r>
  </si>
  <si>
    <r>
      <t>Emissions
(MTCO</t>
    </r>
    <r>
      <rPr>
        <b/>
        <vertAlign val="subscript"/>
        <sz val="9"/>
        <rFont val="Calibri"/>
        <family val="2"/>
      </rPr>
      <t>2</t>
    </r>
    <r>
      <rPr>
        <b/>
        <sz val="9"/>
        <rFont val="Calibri"/>
        <family val="2"/>
      </rPr>
      <t>E)</t>
    </r>
  </si>
  <si>
    <r>
      <t>Emission Factor
(mt CO</t>
    </r>
    <r>
      <rPr>
        <b/>
        <vertAlign val="subscript"/>
        <sz val="9"/>
        <rFont val="Calibri"/>
        <family val="2"/>
      </rPr>
      <t>2</t>
    </r>
    <r>
      <rPr>
        <b/>
        <sz val="9"/>
        <rFont val="Calibri"/>
        <family val="2"/>
      </rPr>
      <t>/mt activity)</t>
    </r>
  </si>
  <si>
    <r>
      <t>Apportioned National Emissions
(MTCO</t>
    </r>
    <r>
      <rPr>
        <b/>
        <vertAlign val="subscript"/>
        <sz val="9"/>
        <rFont val="Calibri"/>
        <family val="2"/>
      </rPr>
      <t>2</t>
    </r>
    <r>
      <rPr>
        <b/>
        <sz val="9"/>
        <rFont val="Calibri"/>
        <family val="2"/>
      </rPr>
      <t>E)</t>
    </r>
  </si>
  <si>
    <r>
      <t>Emission Factor
(t SF</t>
    </r>
    <r>
      <rPr>
        <b/>
        <vertAlign val="subscript"/>
        <sz val="9"/>
        <rFont val="Calibri"/>
        <family val="2"/>
      </rPr>
      <t>6</t>
    </r>
    <r>
      <rPr>
        <b/>
        <sz val="9"/>
        <rFont val="Calibri"/>
        <family val="2"/>
      </rPr>
      <t>/t Consumption)</t>
    </r>
  </si>
  <si>
    <r>
      <t>Emissions
(Metric Tons SF</t>
    </r>
    <r>
      <rPr>
        <b/>
        <vertAlign val="subscript"/>
        <sz val="9"/>
        <rFont val="Calibri"/>
        <family val="2"/>
      </rPr>
      <t>6</t>
    </r>
    <r>
      <rPr>
        <b/>
        <sz val="9"/>
        <rFont val="Calibri"/>
        <family val="2"/>
      </rPr>
      <t>)</t>
    </r>
  </si>
  <si>
    <t xml:space="preserve"> Brandon Shores </t>
  </si>
  <si>
    <t>Unit 1</t>
  </si>
  <si>
    <t>P-Coal</t>
  </si>
  <si>
    <t>Unit 2</t>
  </si>
  <si>
    <t>24-005-0079</t>
  </si>
  <si>
    <t xml:space="preserve">C.P.Crane </t>
  </si>
  <si>
    <t>3-0108</t>
  </si>
  <si>
    <t>Boiler Unit 1</t>
  </si>
  <si>
    <t>3-0109</t>
  </si>
  <si>
    <t>Boiler Unit 2</t>
  </si>
  <si>
    <t>033-00014</t>
  </si>
  <si>
    <t>Chalk Point</t>
  </si>
  <si>
    <t>1600-14-30004</t>
  </si>
  <si>
    <t>Btu/ lb</t>
  </si>
  <si>
    <t>1600-14-30005</t>
  </si>
  <si>
    <t>003-0014</t>
  </si>
  <si>
    <t>HERBERT A WAGNER</t>
  </si>
  <si>
    <t>4-0308</t>
  </si>
  <si>
    <t>MMBtu/ tons</t>
  </si>
  <si>
    <t>3-0003</t>
  </si>
  <si>
    <t>Unit 3</t>
  </si>
  <si>
    <t>MMBTU/ Gal</t>
  </si>
  <si>
    <t>MMBTU/ tons</t>
  </si>
  <si>
    <t>MMBTU/gallons</t>
  </si>
  <si>
    <t>MMBTU/ gallons</t>
  </si>
  <si>
    <t>Mcf</t>
  </si>
  <si>
    <t>MMBTU/ Mcf</t>
  </si>
  <si>
    <t>Used Oil</t>
  </si>
  <si>
    <t>40 CFR 98</t>
  </si>
  <si>
    <t>Fuel</t>
  </si>
  <si>
    <t>Bitumunious Coal</t>
  </si>
  <si>
    <t>Subbituminous Coal</t>
  </si>
  <si>
    <t>Distillate Fuel oil #2</t>
  </si>
  <si>
    <t>Distillate Fuel Oil #6</t>
  </si>
  <si>
    <t>Emission Factors (kg/MMBTU)</t>
  </si>
  <si>
    <t>Global Warming Potentials</t>
  </si>
  <si>
    <t>NC</t>
  </si>
  <si>
    <t>(lb/MMBTU)</t>
  </si>
  <si>
    <t>(lb/Mgal)</t>
  </si>
  <si>
    <t>Emission Factors</t>
  </si>
  <si>
    <t>CO2</t>
  </si>
  <si>
    <t>e-GGRT Subpart D</t>
  </si>
  <si>
    <t>e-GGRT Subpart C</t>
  </si>
  <si>
    <t>2014 ECMPS</t>
  </si>
  <si>
    <t>Unit 1 and Unit 2</t>
  </si>
  <si>
    <t>Aux 2,3 and CT</t>
  </si>
  <si>
    <t>Bit Coal</t>
  </si>
  <si>
    <t>Sub -Bit -Coal</t>
  </si>
  <si>
    <t>MMBTU/tons</t>
  </si>
  <si>
    <t>Sub Bit Coal</t>
  </si>
  <si>
    <t>CH4 (lb/MMBTU)</t>
  </si>
  <si>
    <t>N2O(lb/MMBTU)</t>
  </si>
  <si>
    <t>BTU for #2 Fuel Oil =137,000</t>
  </si>
  <si>
    <t>0.11 lbs/1,000 gal</t>
  </si>
  <si>
    <t>1.11 lbs/1,000 gallons of Fuel</t>
  </si>
  <si>
    <t>22,600 lbs/1,000 gallons</t>
  </si>
  <si>
    <t>Emission Certificate Report-Easton Utility</t>
  </si>
  <si>
    <t>Berlin Town</t>
  </si>
  <si>
    <t>Crisfield</t>
  </si>
  <si>
    <t>0.9 lbs/1,000 gal</t>
  </si>
  <si>
    <t>0.2 lbs/1,000 gal</t>
  </si>
  <si>
    <t>AP-42 Method</t>
  </si>
  <si>
    <r>
      <t>CH</t>
    </r>
    <r>
      <rPr>
        <vertAlign val="subscript"/>
        <sz val="10"/>
        <rFont val="Arial"/>
        <family val="2"/>
      </rPr>
      <t>4</t>
    </r>
    <r>
      <rPr>
        <sz val="10"/>
        <rFont val="Arial"/>
        <family val="2"/>
      </rPr>
      <t>(lb/MMBTU)</t>
    </r>
  </si>
  <si>
    <r>
      <t>N</t>
    </r>
    <r>
      <rPr>
        <vertAlign val="subscript"/>
        <sz val="10"/>
        <rFont val="Arial"/>
        <family val="2"/>
      </rPr>
      <t>2</t>
    </r>
    <r>
      <rPr>
        <sz val="10"/>
        <rFont val="Arial"/>
        <family val="2"/>
      </rPr>
      <t>O (lb/MMBTU)</t>
    </r>
  </si>
  <si>
    <r>
      <t>N</t>
    </r>
    <r>
      <rPr>
        <vertAlign val="subscript"/>
        <sz val="10"/>
        <rFont val="Arial"/>
        <family val="2"/>
      </rPr>
      <t>2</t>
    </r>
    <r>
      <rPr>
        <sz val="10"/>
        <rFont val="Arial"/>
        <family val="2"/>
      </rPr>
      <t>O</t>
    </r>
  </si>
  <si>
    <r>
      <t>N</t>
    </r>
    <r>
      <rPr>
        <vertAlign val="subscript"/>
        <sz val="10"/>
        <color indexed="10"/>
        <rFont val="Arial"/>
        <family val="2"/>
      </rPr>
      <t>2</t>
    </r>
    <r>
      <rPr>
        <sz val="10"/>
        <color indexed="10"/>
        <rFont val="Arial"/>
        <family val="2"/>
      </rPr>
      <t>O Emission Factor =</t>
    </r>
  </si>
  <si>
    <r>
      <t>CH</t>
    </r>
    <r>
      <rPr>
        <vertAlign val="subscript"/>
        <sz val="10"/>
        <color indexed="10"/>
        <rFont val="Arial"/>
        <family val="2"/>
      </rPr>
      <t>4</t>
    </r>
    <r>
      <rPr>
        <sz val="10"/>
        <color indexed="10"/>
        <rFont val="Arial"/>
        <family val="2"/>
      </rPr>
      <t xml:space="preserve"> Emission Factors =</t>
    </r>
  </si>
  <si>
    <r>
      <t>CO</t>
    </r>
    <r>
      <rPr>
        <vertAlign val="subscript"/>
        <sz val="10"/>
        <color indexed="10"/>
        <rFont val="Arial"/>
        <family val="2"/>
      </rPr>
      <t>2</t>
    </r>
    <r>
      <rPr>
        <sz val="10"/>
        <color indexed="10"/>
        <rFont val="Arial"/>
        <family val="2"/>
      </rPr>
      <t xml:space="preserve"> Emission Factor =</t>
    </r>
  </si>
  <si>
    <r>
      <t>CO</t>
    </r>
    <r>
      <rPr>
        <b/>
        <vertAlign val="subscript"/>
        <sz val="10"/>
        <color indexed="10"/>
        <rFont val="Arial"/>
        <family val="2"/>
      </rPr>
      <t xml:space="preserve">2 </t>
    </r>
    <r>
      <rPr>
        <b/>
        <sz val="10"/>
        <color indexed="10"/>
        <rFont val="Arial"/>
        <family val="2"/>
      </rPr>
      <t>Emission factor Sources ; 22.2 pounds/gallons . Http;www.epa.gov/oms/climate/420f05001.htm</t>
    </r>
  </si>
  <si>
    <r>
      <t>CH</t>
    </r>
    <r>
      <rPr>
        <b/>
        <vertAlign val="subscript"/>
        <sz val="10"/>
        <color indexed="10"/>
        <rFont val="Arial"/>
        <family val="2"/>
      </rPr>
      <t>4</t>
    </r>
    <r>
      <rPr>
        <b/>
        <sz val="10"/>
        <color indexed="10"/>
        <rFont val="Arial"/>
        <family val="2"/>
      </rPr>
      <t xml:space="preserve"> ;3g/MMBTU</t>
    </r>
  </si>
  <si>
    <r>
      <t>N</t>
    </r>
    <r>
      <rPr>
        <b/>
        <vertAlign val="subscript"/>
        <sz val="10"/>
        <color indexed="10"/>
        <rFont val="Arial"/>
        <family val="2"/>
      </rPr>
      <t>2</t>
    </r>
    <r>
      <rPr>
        <b/>
        <sz val="10"/>
        <color indexed="10"/>
        <rFont val="Arial"/>
        <family val="2"/>
      </rPr>
      <t>O ; 0.6 g/MMBTU</t>
    </r>
  </si>
  <si>
    <r>
      <t>CO</t>
    </r>
    <r>
      <rPr>
        <vertAlign val="subscript"/>
        <sz val="10"/>
        <rFont val="Arial"/>
        <family val="2"/>
      </rPr>
      <t>2</t>
    </r>
    <r>
      <rPr>
        <sz val="10"/>
        <rFont val="Arial"/>
        <family val="2"/>
      </rPr>
      <t xml:space="preserve"> Emission Factor</t>
    </r>
  </si>
  <si>
    <r>
      <t>CH</t>
    </r>
    <r>
      <rPr>
        <vertAlign val="subscript"/>
        <sz val="10"/>
        <rFont val="Arial"/>
        <family val="2"/>
      </rPr>
      <t>4</t>
    </r>
    <r>
      <rPr>
        <sz val="10"/>
        <rFont val="Arial"/>
        <family val="2"/>
      </rPr>
      <t xml:space="preserve"> Emission Factor</t>
    </r>
  </si>
  <si>
    <r>
      <t xml:space="preserve">CPSG - </t>
    </r>
    <r>
      <rPr>
        <b/>
        <sz val="10"/>
        <color indexed="10"/>
        <rFont val="Arial"/>
        <family val="2"/>
      </rPr>
      <t>Gould Street</t>
    </r>
  </si>
  <si>
    <t>22.2 lbs/gal</t>
  </si>
  <si>
    <r>
      <t>CO</t>
    </r>
    <r>
      <rPr>
        <vertAlign val="subscript"/>
        <sz val="10"/>
        <color indexed="10"/>
        <rFont val="Arial"/>
        <family val="2"/>
      </rPr>
      <t>2</t>
    </r>
    <r>
      <rPr>
        <sz val="10"/>
        <color indexed="10"/>
        <rFont val="Arial"/>
        <family val="2"/>
      </rPr>
      <t xml:space="preserve"> =</t>
    </r>
  </si>
  <si>
    <t>4-0015</t>
  </si>
  <si>
    <t>12 Aux Boiler</t>
  </si>
  <si>
    <t>9-0017   &amp;   9-0018</t>
  </si>
  <si>
    <t>9-0015  &amp;  9-0016</t>
  </si>
  <si>
    <t>Calvert Cliff</t>
  </si>
  <si>
    <t>CH4 Emission Factor for EDG ;Table 3.4-1 of AP-42 =1.00E-06 lbs/gal</t>
  </si>
  <si>
    <t>CH4 Emission Factor for Aux Boilers  ;Table 1.3-3 of AP-42 =1.00E+03 lbs/gal</t>
  </si>
  <si>
    <r>
      <t>N</t>
    </r>
    <r>
      <rPr>
        <vertAlign val="subscript"/>
        <sz val="10"/>
        <rFont val="Arial"/>
        <family val="2"/>
      </rPr>
      <t>2</t>
    </r>
    <r>
      <rPr>
        <sz val="10"/>
        <rFont val="Arial"/>
        <family val="2"/>
      </rPr>
      <t>O Emission Factor for EDG ;Table 1.3.8 of AP-42 =1.00E+03 lbs/gal</t>
    </r>
  </si>
  <si>
    <r>
      <t>CO</t>
    </r>
    <r>
      <rPr>
        <vertAlign val="subscript"/>
        <sz val="10"/>
        <rFont val="Arial"/>
        <family val="2"/>
      </rPr>
      <t>2</t>
    </r>
    <r>
      <rPr>
        <sz val="10"/>
        <rFont val="Arial"/>
        <family val="2"/>
      </rPr>
      <t xml:space="preserve"> Emission Factor for EDG ;Table 3.4-1 of AP-42 =165 lbs/MMBTU</t>
    </r>
  </si>
  <si>
    <r>
      <t>CO</t>
    </r>
    <r>
      <rPr>
        <vertAlign val="subscript"/>
        <sz val="10"/>
        <rFont val="Arial"/>
        <family val="2"/>
      </rPr>
      <t>2</t>
    </r>
    <r>
      <rPr>
        <sz val="10"/>
        <rFont val="Arial"/>
        <family val="2"/>
      </rPr>
      <t xml:space="preserve"> Emission Factor for Aux Boilers  ;Table 1.3-12 of AP-42 =2.23E+04 lbs/1,000gal</t>
    </r>
  </si>
  <si>
    <t>Table C-1 and C-2 Data</t>
  </si>
  <si>
    <t>MSW</t>
  </si>
  <si>
    <r>
      <t>CO</t>
    </r>
    <r>
      <rPr>
        <vertAlign val="subscript"/>
        <sz val="8"/>
        <rFont val="Arial"/>
        <family val="2"/>
      </rPr>
      <t>2</t>
    </r>
    <r>
      <rPr>
        <sz val="8"/>
        <rFont val="Arial"/>
        <family val="2"/>
      </rPr>
      <t xml:space="preserve"> EF</t>
    </r>
  </si>
  <si>
    <r>
      <t>CH</t>
    </r>
    <r>
      <rPr>
        <vertAlign val="subscript"/>
        <sz val="8"/>
        <rFont val="Arial"/>
        <family val="2"/>
      </rPr>
      <t>4</t>
    </r>
    <r>
      <rPr>
        <sz val="8"/>
        <rFont val="Arial"/>
        <family val="2"/>
      </rPr>
      <t xml:space="preserve"> EF</t>
    </r>
  </si>
  <si>
    <r>
      <t>N</t>
    </r>
    <r>
      <rPr>
        <vertAlign val="subscript"/>
        <sz val="8"/>
        <rFont val="Arial"/>
        <family val="2"/>
      </rPr>
      <t>2</t>
    </r>
    <r>
      <rPr>
        <sz val="8"/>
        <rFont val="Arial"/>
        <family val="2"/>
      </rPr>
      <t>O Ef</t>
    </r>
  </si>
  <si>
    <r>
      <t>kg CO</t>
    </r>
    <r>
      <rPr>
        <vertAlign val="subscript"/>
        <sz val="8"/>
        <rFont val="Arial"/>
        <family val="2"/>
      </rPr>
      <t>2</t>
    </r>
    <r>
      <rPr>
        <sz val="8"/>
        <rFont val="Arial"/>
        <family val="2"/>
      </rPr>
      <t>/MMBTU</t>
    </r>
  </si>
  <si>
    <r>
      <t>kg CH</t>
    </r>
    <r>
      <rPr>
        <vertAlign val="subscript"/>
        <sz val="8"/>
        <rFont val="Arial"/>
        <family val="2"/>
      </rPr>
      <t>4</t>
    </r>
    <r>
      <rPr>
        <sz val="8"/>
        <rFont val="Arial"/>
        <family val="2"/>
      </rPr>
      <t>/MMBTU</t>
    </r>
  </si>
  <si>
    <r>
      <t>kg N</t>
    </r>
    <r>
      <rPr>
        <vertAlign val="subscript"/>
        <sz val="8"/>
        <rFont val="Arial"/>
        <family val="2"/>
      </rPr>
      <t>2</t>
    </r>
    <r>
      <rPr>
        <sz val="8"/>
        <rFont val="Arial"/>
        <family val="2"/>
      </rPr>
      <t>O /MMBTU</t>
    </r>
  </si>
  <si>
    <t>Table A-1 Data</t>
  </si>
  <si>
    <r>
      <t>CO</t>
    </r>
    <r>
      <rPr>
        <vertAlign val="subscript"/>
        <sz val="8"/>
        <rFont val="Arial"/>
        <family val="2"/>
      </rPr>
      <t>2</t>
    </r>
    <r>
      <rPr>
        <sz val="8"/>
        <rFont val="Arial"/>
        <family val="2"/>
      </rPr>
      <t xml:space="preserve"> GWP</t>
    </r>
  </si>
  <si>
    <r>
      <t>CH</t>
    </r>
    <r>
      <rPr>
        <vertAlign val="subscript"/>
        <sz val="8"/>
        <rFont val="Arial"/>
        <family val="2"/>
      </rPr>
      <t>4</t>
    </r>
    <r>
      <rPr>
        <sz val="8"/>
        <rFont val="Arial"/>
        <family val="2"/>
      </rPr>
      <t xml:space="preserve"> GWP</t>
    </r>
  </si>
  <si>
    <r>
      <t>N</t>
    </r>
    <r>
      <rPr>
        <vertAlign val="subscript"/>
        <sz val="8"/>
        <rFont val="Arial"/>
        <family val="2"/>
      </rPr>
      <t>2</t>
    </r>
    <r>
      <rPr>
        <sz val="8"/>
        <rFont val="Arial"/>
        <family val="2"/>
      </rPr>
      <t>O GWP</t>
    </r>
  </si>
  <si>
    <t>updated beginning January 1,2014</t>
  </si>
  <si>
    <r>
      <t>CO</t>
    </r>
    <r>
      <rPr>
        <b/>
        <vertAlign val="subscript"/>
        <sz val="11"/>
        <rFont val="Calibri"/>
        <family val="2"/>
      </rPr>
      <t>2</t>
    </r>
  </si>
  <si>
    <r>
      <t>CH</t>
    </r>
    <r>
      <rPr>
        <b/>
        <vertAlign val="subscript"/>
        <sz val="11"/>
        <rFont val="Calibri"/>
        <family val="2"/>
      </rPr>
      <t>4</t>
    </r>
  </si>
  <si>
    <r>
      <t>N</t>
    </r>
    <r>
      <rPr>
        <b/>
        <vertAlign val="subscript"/>
        <sz val="11"/>
        <rFont val="Calibri"/>
        <family val="2"/>
      </rPr>
      <t>2</t>
    </r>
    <r>
      <rPr>
        <b/>
        <sz val="11"/>
        <rFont val="Calibri"/>
        <family val="2"/>
      </rPr>
      <t>O</t>
    </r>
  </si>
  <si>
    <r>
      <t>(ft</t>
    </r>
    <r>
      <rPr>
        <vertAlign val="superscript"/>
        <sz val="11"/>
        <rFont val="Calibri"/>
        <family val="2"/>
      </rPr>
      <t>3</t>
    </r>
    <r>
      <rPr>
        <sz val="11"/>
        <rFont val="Calibri"/>
        <family val="2"/>
      </rPr>
      <t>)</t>
    </r>
  </si>
  <si>
    <r>
      <t>CO</t>
    </r>
    <r>
      <rPr>
        <b/>
        <vertAlign val="subscript"/>
        <sz val="11"/>
        <rFont val="Calibri"/>
        <family val="2"/>
      </rPr>
      <t>2</t>
    </r>
    <r>
      <rPr>
        <b/>
        <sz val="11"/>
        <rFont val="Calibri"/>
        <family val="2"/>
      </rPr>
      <t xml:space="preserve"> emissions (short tons)</t>
    </r>
  </si>
  <si>
    <r>
      <t>CH</t>
    </r>
    <r>
      <rPr>
        <b/>
        <vertAlign val="subscript"/>
        <sz val="11"/>
        <rFont val="Calibri"/>
        <family val="2"/>
      </rPr>
      <t>4</t>
    </r>
    <r>
      <rPr>
        <b/>
        <sz val="11"/>
        <rFont val="Calibri"/>
        <family val="2"/>
      </rPr>
      <t xml:space="preserve"> emissions (short tons)</t>
    </r>
  </si>
  <si>
    <r>
      <t>N</t>
    </r>
    <r>
      <rPr>
        <b/>
        <vertAlign val="subscript"/>
        <sz val="11"/>
        <rFont val="Calibri"/>
        <family val="2"/>
      </rPr>
      <t>2</t>
    </r>
    <r>
      <rPr>
        <b/>
        <sz val="11"/>
        <rFont val="Calibri"/>
        <family val="2"/>
      </rPr>
      <t>O emissions  (short tons)</t>
    </r>
  </si>
  <si>
    <r>
      <t>N</t>
    </r>
    <r>
      <rPr>
        <b/>
        <vertAlign val="subscript"/>
        <sz val="11"/>
        <rFont val="Calibri"/>
        <family val="2"/>
      </rPr>
      <t>2</t>
    </r>
    <r>
      <rPr>
        <b/>
        <sz val="11"/>
        <rFont val="Calibri"/>
        <family val="2"/>
      </rPr>
      <t>O emissions (short tons)</t>
    </r>
  </si>
  <si>
    <r>
      <t>CO</t>
    </r>
    <r>
      <rPr>
        <b/>
        <vertAlign val="subscript"/>
        <sz val="11"/>
        <rFont val="Calibri"/>
        <family val="2"/>
      </rPr>
      <t>2</t>
    </r>
    <r>
      <rPr>
        <b/>
        <sz val="11"/>
        <rFont val="Calibri"/>
        <family val="2"/>
      </rPr>
      <t xml:space="preserve"> Emission </t>
    </r>
  </si>
  <si>
    <r>
      <t>CH</t>
    </r>
    <r>
      <rPr>
        <b/>
        <vertAlign val="subscript"/>
        <sz val="11"/>
        <rFont val="Calibri"/>
        <family val="2"/>
      </rPr>
      <t>4</t>
    </r>
    <r>
      <rPr>
        <b/>
        <sz val="11"/>
        <rFont val="Calibri"/>
        <family val="2"/>
      </rPr>
      <t xml:space="preserve"> Emission </t>
    </r>
  </si>
  <si>
    <r>
      <t>(MMTCO</t>
    </r>
    <r>
      <rPr>
        <b/>
        <vertAlign val="subscript"/>
        <sz val="11"/>
        <rFont val="Calibri"/>
        <family val="2"/>
      </rPr>
      <t>2</t>
    </r>
    <r>
      <rPr>
        <b/>
        <sz val="11"/>
        <rFont val="Calibri"/>
        <family val="2"/>
      </rPr>
      <t>)</t>
    </r>
  </si>
  <si>
    <r>
      <t>N</t>
    </r>
    <r>
      <rPr>
        <b/>
        <vertAlign val="subscript"/>
        <sz val="11"/>
        <rFont val="Calibri"/>
        <family val="2"/>
      </rPr>
      <t>2</t>
    </r>
    <r>
      <rPr>
        <b/>
        <sz val="11"/>
        <rFont val="Calibri"/>
        <family val="2"/>
      </rPr>
      <t xml:space="preserve">O Emission </t>
    </r>
  </si>
  <si>
    <t>POWER BOILERS (LUKE) 2014</t>
  </si>
  <si>
    <t>CO2 Emmission</t>
  </si>
  <si>
    <t>CH4  Emission</t>
  </si>
  <si>
    <t>N2O  Emission</t>
  </si>
  <si>
    <t>CPSG - Gould Street</t>
  </si>
  <si>
    <t>Total (Coal)</t>
  </si>
  <si>
    <t xml:space="preserve">Total #2 Oil </t>
  </si>
  <si>
    <t>Total #6 Oil</t>
  </si>
  <si>
    <t>Total Natural Gas</t>
  </si>
  <si>
    <t>PJM Electricity Generation Fuel Mix 2014 (%)</t>
  </si>
  <si>
    <t>Actual Total 2014</t>
  </si>
  <si>
    <t xml:space="preserve">Residential Sector 2014 GHG Emissions </t>
  </si>
  <si>
    <t>Commercial Sector 2014 GHG Emission</t>
  </si>
  <si>
    <t>Holcim Kiln 2014</t>
  </si>
  <si>
    <r>
      <t>2014
MMTCO</t>
    </r>
    <r>
      <rPr>
        <b/>
        <vertAlign val="subscript"/>
        <sz val="9"/>
        <rFont val="Calibri"/>
        <family val="2"/>
      </rPr>
      <t>2</t>
    </r>
    <r>
      <rPr>
        <b/>
        <sz val="9"/>
        <rFont val="Calibri"/>
        <family val="2"/>
      </rPr>
      <t>E</t>
    </r>
  </si>
  <si>
    <t>g/gmol</t>
  </si>
  <si>
    <t>Universal Gas Constant =</t>
  </si>
  <si>
    <t>Gas Temperature =</t>
  </si>
  <si>
    <t>grams x 1.1023E-06 = short tons</t>
  </si>
  <si>
    <t>1 short ton = (lb *2,000)</t>
  </si>
  <si>
    <t>Pressure =</t>
  </si>
  <si>
    <t>atm</t>
  </si>
  <si>
    <t>Enclosed Flare Control Efficiency =</t>
  </si>
  <si>
    <t>Utility Flare Control Efficiency =</t>
  </si>
  <si>
    <t>lb/MMBTU</t>
  </si>
  <si>
    <t>Ave. LFG Collection Efficiency</t>
  </si>
  <si>
    <t>Adjusted Site-specific LFG Generation Rate (MM scf/yr)</t>
  </si>
  <si>
    <t>Flares</t>
  </si>
  <si>
    <t>Boilers</t>
  </si>
  <si>
    <t xml:space="preserve">LFGTE </t>
  </si>
  <si>
    <t>Alfa Ridge Landfill</t>
  </si>
  <si>
    <t>Brown Station</t>
  </si>
  <si>
    <t>Eastern Sanitary</t>
  </si>
  <si>
    <t>Gude Landfill</t>
  </si>
  <si>
    <t>Millersville Landfill</t>
  </si>
  <si>
    <t>Oaks Landfill</t>
  </si>
  <si>
    <t>Newland Park</t>
  </si>
  <si>
    <t>Quarantine Road</t>
  </si>
  <si>
    <t>Reich Ford</t>
  </si>
  <si>
    <t>Sandy Hill</t>
  </si>
  <si>
    <t>Mountainview</t>
  </si>
  <si>
    <t>Cecil County</t>
  </si>
  <si>
    <t>Northern</t>
  </si>
  <si>
    <t>Charles County</t>
  </si>
  <si>
    <t>Total -Site -Specific CH4 Flow ((MM scf / yr)</t>
  </si>
  <si>
    <t>Site -Specific CH4 Flow (short tons/yr)</t>
  </si>
  <si>
    <r>
      <t>CO</t>
    </r>
    <r>
      <rPr>
        <b/>
        <vertAlign val="subscript"/>
        <sz val="9"/>
        <rFont val="Arial"/>
        <family val="2"/>
      </rPr>
      <t>2</t>
    </r>
    <r>
      <rPr>
        <b/>
        <sz val="9"/>
        <rFont val="Arial"/>
        <family val="2"/>
      </rPr>
      <t xml:space="preserve"> Generated from CH</t>
    </r>
    <r>
      <rPr>
        <b/>
        <vertAlign val="subscript"/>
        <sz val="9"/>
        <rFont val="Arial"/>
        <family val="2"/>
      </rPr>
      <t>4</t>
    </r>
    <r>
      <rPr>
        <b/>
        <sz val="9"/>
        <rFont val="Arial"/>
        <family val="2"/>
      </rPr>
      <t xml:space="preserve"> Combustion, tons</t>
    </r>
  </si>
  <si>
    <r>
      <t>Total  CH</t>
    </r>
    <r>
      <rPr>
        <b/>
        <vertAlign val="subscript"/>
        <sz val="11"/>
        <rFont val="Calibri"/>
        <family val="2"/>
      </rPr>
      <t>4</t>
    </r>
    <r>
      <rPr>
        <b/>
        <sz val="11"/>
        <rFont val="Calibri"/>
        <family val="2"/>
        <charset val="1"/>
      </rPr>
      <t xml:space="preserve"> Emission, tons </t>
    </r>
  </si>
  <si>
    <t>Baltimore County</t>
  </si>
  <si>
    <r>
      <t xml:space="preserve">Reich's Ford </t>
    </r>
    <r>
      <rPr>
        <b/>
        <sz val="10"/>
        <rFont val="Arial"/>
        <family val="2"/>
      </rPr>
      <t>A &amp; B</t>
    </r>
    <r>
      <rPr>
        <sz val="11"/>
        <rFont val="Calibri"/>
        <family val="2"/>
      </rPr>
      <t xml:space="preserve">   Municpal Landfill</t>
    </r>
  </si>
  <si>
    <r>
      <t xml:space="preserve">Reich's Ford Site </t>
    </r>
    <r>
      <rPr>
        <b/>
        <sz val="10"/>
        <rFont val="Arial"/>
        <family val="2"/>
      </rPr>
      <t>B-Cell 3</t>
    </r>
    <r>
      <rPr>
        <sz val="11"/>
        <rFont val="Calibri"/>
        <family val="2"/>
      </rPr>
      <t xml:space="preserve"> Municpal Landfill</t>
    </r>
  </si>
  <si>
    <r>
      <t xml:space="preserve">Midshore Regional </t>
    </r>
    <r>
      <rPr>
        <b/>
        <sz val="11"/>
        <color indexed="10"/>
        <rFont val="Calibri"/>
        <family val="2"/>
      </rPr>
      <t>II</t>
    </r>
    <r>
      <rPr>
        <sz val="11"/>
        <rFont val="Calibri"/>
        <family val="2"/>
        <charset val="1"/>
      </rPr>
      <t xml:space="preserve"> Municipal LF</t>
    </r>
  </si>
  <si>
    <r>
      <t>Resh Road</t>
    </r>
    <r>
      <rPr>
        <sz val="11"/>
        <rFont val="Calibri"/>
        <family val="2"/>
      </rPr>
      <t xml:space="preserve"> 1 &amp; 2 Municipal LF</t>
    </r>
  </si>
  <si>
    <r>
      <t>Central Municipal Cell 1 &amp; 2 -</t>
    </r>
    <r>
      <rPr>
        <b/>
        <sz val="10"/>
        <rFont val="Arial"/>
        <family val="2"/>
      </rPr>
      <t xml:space="preserve"> Worcester County Sanitary Landfill</t>
    </r>
  </si>
  <si>
    <r>
      <t>Central Municipal Cell 4-</t>
    </r>
    <r>
      <rPr>
        <b/>
        <sz val="10"/>
        <rFont val="Arial"/>
        <family val="2"/>
      </rPr>
      <t xml:space="preserve"> Worcester County Sanitary Landfill</t>
    </r>
  </si>
  <si>
    <r>
      <t>Potential CH</t>
    </r>
    <r>
      <rPr>
        <b/>
        <vertAlign val="subscript"/>
        <sz val="10"/>
        <rFont val="Arial"/>
        <family val="2"/>
      </rPr>
      <t xml:space="preserve">4 </t>
    </r>
    <r>
      <rPr>
        <b/>
        <sz val="10"/>
        <rFont val="Arial"/>
        <family val="2"/>
      </rPr>
      <t>(MTCE)</t>
    </r>
  </si>
  <si>
    <r>
      <t>CH</t>
    </r>
    <r>
      <rPr>
        <b/>
        <vertAlign val="subscript"/>
        <sz val="10"/>
        <rFont val="Arial"/>
        <family val="2"/>
      </rPr>
      <t>4</t>
    </r>
    <r>
      <rPr>
        <b/>
        <sz val="10"/>
        <rFont val="Arial"/>
        <family val="2"/>
      </rPr>
      <t xml:space="preserve"> Avoided (MTCE)</t>
    </r>
  </si>
  <si>
    <r>
      <t xml:space="preserve"> CO</t>
    </r>
    <r>
      <rPr>
        <b/>
        <vertAlign val="subscript"/>
        <sz val="10"/>
        <rFont val="Arial"/>
        <family val="2"/>
      </rPr>
      <t>2</t>
    </r>
    <r>
      <rPr>
        <b/>
        <sz val="10"/>
        <rFont val="Arial"/>
        <family val="2"/>
      </rPr>
      <t xml:space="preserve"> Emission from (Flaring + LFGTE) (MTCO</t>
    </r>
    <r>
      <rPr>
        <b/>
        <vertAlign val="subscript"/>
        <sz val="10"/>
        <rFont val="Arial"/>
        <family val="2"/>
      </rPr>
      <t>2</t>
    </r>
    <r>
      <rPr>
        <b/>
        <sz val="10"/>
        <rFont val="Arial"/>
        <family val="2"/>
      </rPr>
      <t>E)</t>
    </r>
  </si>
  <si>
    <r>
      <t xml:space="preserve"> CO</t>
    </r>
    <r>
      <rPr>
        <b/>
        <vertAlign val="subscript"/>
        <sz val="11"/>
        <rFont val="Calibri"/>
        <family val="2"/>
      </rPr>
      <t>2</t>
    </r>
    <r>
      <rPr>
        <b/>
        <sz val="11"/>
        <rFont val="Calibri"/>
        <family val="2"/>
        <charset val="1"/>
      </rPr>
      <t xml:space="preserve"> Emission from Landfill (MTCO</t>
    </r>
    <r>
      <rPr>
        <b/>
        <vertAlign val="subscript"/>
        <sz val="11"/>
        <rFont val="Calibri"/>
        <family val="2"/>
      </rPr>
      <t>2</t>
    </r>
    <r>
      <rPr>
        <b/>
        <sz val="11"/>
        <rFont val="Calibri"/>
        <family val="2"/>
        <charset val="1"/>
      </rPr>
      <t>E)</t>
    </r>
  </si>
  <si>
    <r>
      <t xml:space="preserve"> CO</t>
    </r>
    <r>
      <rPr>
        <b/>
        <vertAlign val="subscript"/>
        <sz val="11"/>
        <rFont val="Calibri"/>
        <family val="2"/>
        <charset val="1"/>
      </rPr>
      <t>2</t>
    </r>
    <r>
      <rPr>
        <b/>
        <sz val="11"/>
        <rFont val="Calibri"/>
        <family val="2"/>
        <charset val="1"/>
      </rPr>
      <t xml:space="preserve"> Emission from Landfill (MMTCO</t>
    </r>
    <r>
      <rPr>
        <b/>
        <vertAlign val="subscript"/>
        <sz val="11"/>
        <rFont val="Calibri"/>
        <family val="2"/>
        <charset val="1"/>
      </rPr>
      <t>2</t>
    </r>
    <r>
      <rPr>
        <b/>
        <sz val="11"/>
        <rFont val="Calibri"/>
        <family val="2"/>
        <charset val="1"/>
      </rPr>
      <t>E)</t>
    </r>
  </si>
  <si>
    <r>
      <t>Total CH</t>
    </r>
    <r>
      <rPr>
        <b/>
        <vertAlign val="subscript"/>
        <sz val="10"/>
        <rFont val="Arial"/>
        <family val="2"/>
      </rPr>
      <t>4</t>
    </r>
    <r>
      <rPr>
        <b/>
        <sz val="10"/>
        <rFont val="Arial"/>
        <family val="2"/>
      </rPr>
      <t xml:space="preserve"> Emissions (MMTCO</t>
    </r>
    <r>
      <rPr>
        <b/>
        <vertAlign val="subscript"/>
        <sz val="10"/>
        <rFont val="Arial"/>
        <family val="2"/>
      </rPr>
      <t>2</t>
    </r>
    <r>
      <rPr>
        <b/>
        <sz val="10"/>
        <rFont val="Arial"/>
        <family val="2"/>
      </rPr>
      <t>E)</t>
    </r>
  </si>
  <si>
    <r>
      <t>CO</t>
    </r>
    <r>
      <rPr>
        <vertAlign val="subscript"/>
        <sz val="11"/>
        <rFont val="Calibri"/>
        <family val="2"/>
      </rPr>
      <t>2</t>
    </r>
    <r>
      <rPr>
        <sz val="11"/>
        <rFont val="Calibri"/>
        <family val="2"/>
      </rPr>
      <t xml:space="preserve"> molecular mass =</t>
    </r>
  </si>
  <si>
    <r>
      <t>m</t>
    </r>
    <r>
      <rPr>
        <vertAlign val="superscript"/>
        <sz val="11"/>
        <rFont val="Calibri"/>
        <family val="2"/>
      </rPr>
      <t>3</t>
    </r>
    <r>
      <rPr>
        <sz val="11"/>
        <rFont val="Calibri"/>
        <family val="2"/>
      </rPr>
      <t>-atm/gmol/K</t>
    </r>
  </si>
  <si>
    <r>
      <rPr>
        <vertAlign val="superscript"/>
        <sz val="11"/>
        <rFont val="Calibri"/>
        <family val="2"/>
      </rPr>
      <t>o</t>
    </r>
    <r>
      <rPr>
        <sz val="11"/>
        <rFont val="Calibri"/>
        <family val="2"/>
      </rPr>
      <t>C</t>
    </r>
  </si>
  <si>
    <r>
      <rPr>
        <vertAlign val="superscript"/>
        <sz val="11"/>
        <rFont val="Calibri"/>
        <family val="2"/>
      </rPr>
      <t>o</t>
    </r>
    <r>
      <rPr>
        <sz val="11"/>
        <rFont val="Calibri"/>
        <family val="2"/>
      </rPr>
      <t>K</t>
    </r>
  </si>
  <si>
    <r>
      <t>CH</t>
    </r>
    <r>
      <rPr>
        <vertAlign val="subscript"/>
        <sz val="11"/>
        <rFont val="Calibri"/>
        <family val="2"/>
      </rPr>
      <t>4</t>
    </r>
    <r>
      <rPr>
        <sz val="11"/>
        <rFont val="Calibri"/>
        <family val="2"/>
      </rPr>
      <t xml:space="preserve"> molecular mass =</t>
    </r>
  </si>
  <si>
    <r>
      <t>1 m</t>
    </r>
    <r>
      <rPr>
        <b/>
        <vertAlign val="superscript"/>
        <sz val="11"/>
        <color indexed="10"/>
        <rFont val="Calibri"/>
        <family val="2"/>
      </rPr>
      <t>3</t>
    </r>
    <r>
      <rPr>
        <b/>
        <sz val="11"/>
        <color indexed="10"/>
        <rFont val="Calibri"/>
        <family val="2"/>
      </rPr>
      <t xml:space="preserve"> =35.31 ft</t>
    </r>
    <r>
      <rPr>
        <b/>
        <vertAlign val="superscript"/>
        <sz val="11"/>
        <color indexed="10"/>
        <rFont val="Calibri"/>
        <family val="2"/>
      </rPr>
      <t>3</t>
    </r>
  </si>
  <si>
    <r>
      <t>Standard CH</t>
    </r>
    <r>
      <rPr>
        <vertAlign val="subscript"/>
        <sz val="11"/>
        <rFont val="Calibri"/>
        <family val="2"/>
      </rPr>
      <t>4</t>
    </r>
    <r>
      <rPr>
        <sz val="11"/>
        <rFont val="Calibri"/>
        <family val="2"/>
      </rPr>
      <t xml:space="preserve"> Heat Content =</t>
    </r>
  </si>
  <si>
    <r>
      <t>AP-42 CH</t>
    </r>
    <r>
      <rPr>
        <vertAlign val="subscript"/>
        <sz val="11"/>
        <rFont val="Calibri"/>
        <family val="2"/>
      </rPr>
      <t>4</t>
    </r>
    <r>
      <rPr>
        <sz val="11"/>
        <rFont val="Calibri"/>
        <family val="2"/>
      </rPr>
      <t xml:space="preserve"> Destruction Efficiency =</t>
    </r>
  </si>
  <si>
    <r>
      <t>AP-42 CH</t>
    </r>
    <r>
      <rPr>
        <vertAlign val="subscript"/>
        <sz val="11"/>
        <rFont val="Calibri"/>
        <family val="2"/>
      </rPr>
      <t>4</t>
    </r>
    <r>
      <rPr>
        <sz val="11"/>
        <rFont val="Calibri"/>
        <family val="2"/>
      </rPr>
      <t xml:space="preserve"> Emission Factor =</t>
    </r>
  </si>
  <si>
    <t xml:space="preserve">          Site- Specific LFG Flows (MM scf/yr)</t>
  </si>
  <si>
    <r>
      <t>Site-Specific CH</t>
    </r>
    <r>
      <rPr>
        <b/>
        <vertAlign val="subscript"/>
        <sz val="11"/>
        <rFont val="Calibri"/>
        <family val="2"/>
      </rPr>
      <t>4</t>
    </r>
    <r>
      <rPr>
        <b/>
        <sz val="11"/>
        <rFont val="Calibri"/>
        <family val="2"/>
      </rPr>
      <t xml:space="preserve"> Content (%)</t>
    </r>
  </si>
  <si>
    <r>
      <t>Site-Specific CO</t>
    </r>
    <r>
      <rPr>
        <b/>
        <vertAlign val="subscript"/>
        <sz val="11"/>
        <rFont val="Calibri"/>
        <family val="2"/>
      </rPr>
      <t>2</t>
    </r>
    <r>
      <rPr>
        <b/>
        <sz val="11"/>
        <rFont val="Calibri"/>
        <family val="2"/>
      </rPr>
      <t xml:space="preserve"> Content (%)</t>
    </r>
  </si>
  <si>
    <r>
      <t>Site -Specific CH</t>
    </r>
    <r>
      <rPr>
        <b/>
        <vertAlign val="subscript"/>
        <sz val="11"/>
        <rFont val="Calibri"/>
        <family val="2"/>
      </rPr>
      <t>4</t>
    </r>
    <r>
      <rPr>
        <b/>
        <sz val="11"/>
        <rFont val="Calibri"/>
        <family val="2"/>
      </rPr>
      <t xml:space="preserve"> Flow (MM scf / yr)</t>
    </r>
  </si>
  <si>
    <t>Total  -Site - Specific LFG Collected (MM scf / yr)</t>
  </si>
  <si>
    <r>
      <t>CH</t>
    </r>
    <r>
      <rPr>
        <b/>
        <vertAlign val="subscript"/>
        <sz val="11"/>
        <color indexed="17"/>
        <rFont val="Calibri"/>
        <family val="2"/>
      </rPr>
      <t>4</t>
    </r>
    <r>
      <rPr>
        <b/>
        <sz val="11"/>
        <color indexed="17"/>
        <rFont val="Calibri"/>
        <family val="2"/>
      </rPr>
      <t xml:space="preserve"> Generation Rate (MM scf/yr)- LandGEM </t>
    </r>
  </si>
  <si>
    <r>
      <t>Fugitive CO</t>
    </r>
    <r>
      <rPr>
        <b/>
        <vertAlign val="subscript"/>
        <sz val="11"/>
        <rFont val="Calibri"/>
        <family val="2"/>
      </rPr>
      <t>2</t>
    </r>
    <r>
      <rPr>
        <b/>
        <sz val="11"/>
        <rFont val="Calibri"/>
        <family val="2"/>
      </rPr>
      <t xml:space="preserve"> Emissions from Landfill (m</t>
    </r>
    <r>
      <rPr>
        <b/>
        <vertAlign val="superscript"/>
        <sz val="11"/>
        <rFont val="Calibri"/>
        <family val="2"/>
      </rPr>
      <t>3</t>
    </r>
    <r>
      <rPr>
        <b/>
        <sz val="11"/>
        <rFont val="Calibri"/>
        <family val="2"/>
      </rPr>
      <t>/yr)</t>
    </r>
  </si>
  <si>
    <r>
      <t>Fugitive CO</t>
    </r>
    <r>
      <rPr>
        <b/>
        <vertAlign val="subscript"/>
        <sz val="11"/>
        <color indexed="36"/>
        <rFont val="Calibri"/>
        <family val="2"/>
      </rPr>
      <t>2</t>
    </r>
    <r>
      <rPr>
        <b/>
        <sz val="11"/>
        <color indexed="36"/>
        <rFont val="Calibri"/>
        <family val="2"/>
      </rPr>
      <t xml:space="preserve"> Emissions from Landfill (tons/yr)</t>
    </r>
  </si>
  <si>
    <r>
      <t xml:space="preserve"> CO</t>
    </r>
    <r>
      <rPr>
        <b/>
        <vertAlign val="subscript"/>
        <sz val="11"/>
        <color indexed="53"/>
        <rFont val="Calibri"/>
        <family val="2"/>
      </rPr>
      <t>2</t>
    </r>
    <r>
      <rPr>
        <b/>
        <sz val="11"/>
        <color indexed="53"/>
        <rFont val="Calibri"/>
        <family val="2"/>
      </rPr>
      <t xml:space="preserve"> Emissions from LFG Burnt in Flares</t>
    </r>
  </si>
  <si>
    <r>
      <t xml:space="preserve"> CO</t>
    </r>
    <r>
      <rPr>
        <b/>
        <vertAlign val="subscript"/>
        <sz val="11"/>
        <color indexed="23"/>
        <rFont val="Calibri"/>
        <family val="2"/>
      </rPr>
      <t>2</t>
    </r>
    <r>
      <rPr>
        <b/>
        <sz val="11"/>
        <color indexed="23"/>
        <rFont val="Calibri"/>
        <family val="2"/>
      </rPr>
      <t xml:space="preserve"> Emissions from LFG Burnt in Boilers</t>
    </r>
  </si>
  <si>
    <r>
      <t xml:space="preserve"> CO</t>
    </r>
    <r>
      <rPr>
        <b/>
        <vertAlign val="subscript"/>
        <sz val="11"/>
        <color indexed="10"/>
        <rFont val="Calibri"/>
        <family val="2"/>
      </rPr>
      <t>2</t>
    </r>
    <r>
      <rPr>
        <b/>
        <sz val="11"/>
        <color indexed="10"/>
        <rFont val="Calibri"/>
        <family val="2"/>
      </rPr>
      <t xml:space="preserve"> Emissions from LFG Burnt at LFGTE</t>
    </r>
  </si>
  <si>
    <r>
      <t>Fugitive CH</t>
    </r>
    <r>
      <rPr>
        <b/>
        <vertAlign val="subscript"/>
        <sz val="11"/>
        <color indexed="60"/>
        <rFont val="Calibri"/>
        <family val="2"/>
      </rPr>
      <t>4</t>
    </r>
    <r>
      <rPr>
        <b/>
        <sz val="11"/>
        <color indexed="60"/>
        <rFont val="Calibri"/>
        <family val="2"/>
      </rPr>
      <t xml:space="preserve"> Emissions from Landfill (tons)</t>
    </r>
  </si>
  <si>
    <r>
      <t xml:space="preserve"> CH</t>
    </r>
    <r>
      <rPr>
        <b/>
        <vertAlign val="subscript"/>
        <sz val="11"/>
        <rFont val="Calibri"/>
        <family val="2"/>
      </rPr>
      <t>4</t>
    </r>
    <r>
      <rPr>
        <b/>
        <sz val="11"/>
        <rFont val="Calibri"/>
        <family val="2"/>
      </rPr>
      <t xml:space="preserve"> Emissions from LFG Burnt in Flares (tons)</t>
    </r>
  </si>
  <si>
    <r>
      <t xml:space="preserve"> CH</t>
    </r>
    <r>
      <rPr>
        <b/>
        <vertAlign val="subscript"/>
        <sz val="11"/>
        <rFont val="Calibri"/>
        <family val="2"/>
      </rPr>
      <t>4</t>
    </r>
    <r>
      <rPr>
        <b/>
        <sz val="11"/>
        <rFont val="Calibri"/>
        <family val="2"/>
      </rPr>
      <t xml:space="preserve"> Emissions from LFG Burnt in Utility Boilers (tons)</t>
    </r>
  </si>
  <si>
    <r>
      <t xml:space="preserve"> CH</t>
    </r>
    <r>
      <rPr>
        <b/>
        <vertAlign val="subscript"/>
        <sz val="11"/>
        <rFont val="Calibri"/>
        <family val="2"/>
      </rPr>
      <t>4</t>
    </r>
    <r>
      <rPr>
        <b/>
        <sz val="11"/>
        <rFont val="Calibri"/>
        <family val="2"/>
      </rPr>
      <t xml:space="preserve"> Emissions from LFG Burnt at LFGTE Plant</t>
    </r>
  </si>
  <si>
    <t>Average -Site -Specific LFG Heat Content (Btu/scf)</t>
  </si>
  <si>
    <r>
      <t>Residential Consumption and CO</t>
    </r>
    <r>
      <rPr>
        <vertAlign val="subscript"/>
        <sz val="14"/>
        <rFont val="Comic Sans MS"/>
        <family val="4"/>
      </rPr>
      <t>2</t>
    </r>
    <r>
      <rPr>
        <sz val="14"/>
        <rFont val="Comic Sans MS"/>
        <family val="4"/>
      </rPr>
      <t xml:space="preserve"> Emissions in Maryland</t>
    </r>
  </si>
  <si>
    <t xml:space="preserve">- Default state-level data derived from EIA’s State Energy Consumption, Price, and Expenditure Estimates (SEDS) 2013: Consumption Estimates (EIA 2013)  http://www.eia.gov/state/seds/?sid=MD </t>
  </si>
  <si>
    <r>
      <t>Commercial Consumption and CO</t>
    </r>
    <r>
      <rPr>
        <vertAlign val="subscript"/>
        <sz val="14"/>
        <rFont val="Comic Sans MS"/>
        <family val="4"/>
      </rPr>
      <t>2</t>
    </r>
    <r>
      <rPr>
        <sz val="14"/>
        <rFont val="Comic Sans MS"/>
        <family val="4"/>
      </rPr>
      <t xml:space="preserve"> Emissions in Maryland</t>
    </r>
  </si>
  <si>
    <r>
      <t>(MMTCO</t>
    </r>
    <r>
      <rPr>
        <b/>
        <vertAlign val="subscript"/>
        <sz val="10"/>
        <rFont val="Calibri"/>
        <family val="2"/>
      </rPr>
      <t>2</t>
    </r>
    <r>
      <rPr>
        <b/>
        <sz val="10"/>
        <rFont val="Calibri"/>
        <family val="2"/>
      </rPr>
      <t>E)</t>
    </r>
  </si>
  <si>
    <r>
      <t>(metric tons N</t>
    </r>
    <r>
      <rPr>
        <b/>
        <vertAlign val="subscript"/>
        <sz val="10"/>
        <rFont val="Calibri"/>
        <family val="2"/>
      </rPr>
      <t>2</t>
    </r>
    <r>
      <rPr>
        <b/>
        <sz val="10"/>
        <rFont val="Calibri"/>
        <family val="2"/>
      </rPr>
      <t>O/BBtu)</t>
    </r>
  </si>
  <si>
    <r>
      <t>(metric tons N</t>
    </r>
    <r>
      <rPr>
        <b/>
        <vertAlign val="subscript"/>
        <sz val="10"/>
        <rFont val="Calibri"/>
        <family val="2"/>
      </rPr>
      <t>2</t>
    </r>
    <r>
      <rPr>
        <b/>
        <sz val="10"/>
        <rFont val="Calibri"/>
        <family val="2"/>
      </rPr>
      <t>O)</t>
    </r>
  </si>
  <si>
    <r>
      <t>(metric tons CH</t>
    </r>
    <r>
      <rPr>
        <b/>
        <vertAlign val="subscript"/>
        <sz val="10"/>
        <rFont val="Calibri"/>
        <family val="2"/>
      </rPr>
      <t>4</t>
    </r>
    <r>
      <rPr>
        <b/>
        <sz val="10"/>
        <rFont val="Calibri"/>
        <family val="2"/>
      </rPr>
      <t>)</t>
    </r>
  </si>
  <si>
    <r>
      <t>CO</t>
    </r>
    <r>
      <rPr>
        <b/>
        <vertAlign val="subscript"/>
        <sz val="10"/>
        <rFont val="Calibri"/>
        <family val="2"/>
      </rPr>
      <t>2</t>
    </r>
  </si>
  <si>
    <r>
      <t>N</t>
    </r>
    <r>
      <rPr>
        <b/>
        <vertAlign val="subscript"/>
        <sz val="10"/>
        <rFont val="Calibri"/>
        <family val="2"/>
      </rPr>
      <t>2</t>
    </r>
    <r>
      <rPr>
        <b/>
        <sz val="10"/>
        <rFont val="Calibri"/>
        <family val="2"/>
      </rPr>
      <t>O</t>
    </r>
  </si>
  <si>
    <r>
      <t>CH</t>
    </r>
    <r>
      <rPr>
        <b/>
        <vertAlign val="subscript"/>
        <sz val="10"/>
        <rFont val="Calibri"/>
        <family val="2"/>
      </rPr>
      <t>4</t>
    </r>
  </si>
  <si>
    <r>
      <t>(metric tons CH</t>
    </r>
    <r>
      <rPr>
        <b/>
        <vertAlign val="subscript"/>
        <sz val="10"/>
        <rFont val="Calibri"/>
        <family val="2"/>
      </rPr>
      <t>4</t>
    </r>
    <r>
      <rPr>
        <b/>
        <sz val="10"/>
        <rFont val="Calibri"/>
        <family val="2"/>
      </rPr>
      <t xml:space="preserve"> /BBtu)</t>
    </r>
  </si>
  <si>
    <r>
      <t>(MMTCO</t>
    </r>
    <r>
      <rPr>
        <b/>
        <vertAlign val="subscript"/>
        <sz val="10"/>
        <rFont val="Calibri"/>
        <family val="2"/>
      </rPr>
      <t>2</t>
    </r>
    <r>
      <rPr>
        <b/>
        <sz val="10"/>
        <rFont val="Calibri"/>
        <family val="2"/>
      </rPr>
      <t>E)</t>
    </r>
  </si>
  <si>
    <r>
      <t>(metric tons N</t>
    </r>
    <r>
      <rPr>
        <b/>
        <vertAlign val="subscript"/>
        <sz val="10"/>
        <rFont val="Calibri"/>
        <family val="2"/>
      </rPr>
      <t>2</t>
    </r>
    <r>
      <rPr>
        <b/>
        <sz val="10"/>
        <rFont val="Calibri"/>
        <family val="2"/>
      </rPr>
      <t>O/BBtu)</t>
    </r>
  </si>
  <si>
    <r>
      <t>(metric tons N</t>
    </r>
    <r>
      <rPr>
        <b/>
        <vertAlign val="subscript"/>
        <sz val="10"/>
        <rFont val="Calibri"/>
        <family val="2"/>
      </rPr>
      <t>2</t>
    </r>
    <r>
      <rPr>
        <b/>
        <sz val="10"/>
        <rFont val="Calibri"/>
        <family val="2"/>
      </rPr>
      <t>O)</t>
    </r>
  </si>
  <si>
    <r>
      <t>CO</t>
    </r>
    <r>
      <rPr>
        <b/>
        <vertAlign val="subscript"/>
        <sz val="10"/>
        <color indexed="8"/>
        <rFont val="Calibri"/>
        <family val="2"/>
      </rPr>
      <t>2</t>
    </r>
  </si>
  <si>
    <r>
      <t>CH</t>
    </r>
    <r>
      <rPr>
        <b/>
        <vertAlign val="subscript"/>
        <sz val="10"/>
        <color indexed="8"/>
        <rFont val="Calibri"/>
        <family val="2"/>
      </rPr>
      <t>4</t>
    </r>
  </si>
  <si>
    <r>
      <t>N</t>
    </r>
    <r>
      <rPr>
        <b/>
        <vertAlign val="subscript"/>
        <sz val="10"/>
        <color indexed="8"/>
        <rFont val="Calibri"/>
        <family val="2"/>
      </rPr>
      <t>2</t>
    </r>
    <r>
      <rPr>
        <b/>
        <sz val="10"/>
        <color indexed="8"/>
        <rFont val="Calibri"/>
        <family val="2"/>
      </rPr>
      <t>O</t>
    </r>
  </si>
  <si>
    <r>
      <t>(metric tons CH</t>
    </r>
    <r>
      <rPr>
        <b/>
        <vertAlign val="subscript"/>
        <sz val="10"/>
        <rFont val="Calibri"/>
        <family val="2"/>
      </rPr>
      <t>4</t>
    </r>
    <r>
      <rPr>
        <b/>
        <sz val="10"/>
        <rFont val="Calibri"/>
        <family val="2"/>
      </rPr>
      <t xml:space="preserve"> /BBtu)</t>
    </r>
  </si>
  <si>
    <r>
      <t>(metric tons CH</t>
    </r>
    <r>
      <rPr>
        <b/>
        <vertAlign val="subscript"/>
        <sz val="10"/>
        <rFont val="Calibri"/>
        <family val="2"/>
      </rPr>
      <t>4</t>
    </r>
    <r>
      <rPr>
        <b/>
        <sz val="10"/>
        <rFont val="Calibri"/>
        <family val="2"/>
      </rPr>
      <t>)</t>
    </r>
  </si>
  <si>
    <r>
      <t>(MMTCO</t>
    </r>
    <r>
      <rPr>
        <b/>
        <vertAlign val="subscript"/>
        <sz val="10"/>
        <rFont val="Calibri"/>
        <family val="2"/>
      </rPr>
      <t>2</t>
    </r>
    <r>
      <rPr>
        <b/>
        <sz val="10"/>
        <rFont val="Calibri"/>
        <family val="2"/>
      </rPr>
      <t>E)</t>
    </r>
  </si>
  <si>
    <t>Transportation Sector: On-Road Mobile Sources  2014</t>
  </si>
  <si>
    <r>
      <t>Electric Power Production  and CO</t>
    </r>
    <r>
      <rPr>
        <b/>
        <vertAlign val="subscript"/>
        <sz val="10"/>
        <rFont val="Calibri"/>
        <family val="2"/>
      </rPr>
      <t>2</t>
    </r>
    <r>
      <rPr>
        <b/>
        <sz val="10"/>
        <rFont val="Calibri"/>
        <family val="2"/>
      </rPr>
      <t xml:space="preserve"> Emissions in Maryland</t>
    </r>
  </si>
  <si>
    <r>
      <t>CO</t>
    </r>
    <r>
      <rPr>
        <b/>
        <vertAlign val="subscript"/>
        <sz val="10"/>
        <rFont val="Calibri"/>
        <family val="2"/>
      </rPr>
      <t>2</t>
    </r>
    <r>
      <rPr>
        <b/>
        <sz val="10"/>
        <rFont val="Calibri"/>
        <family val="2"/>
      </rPr>
      <t xml:space="preserve"> Emmission</t>
    </r>
  </si>
  <si>
    <r>
      <t>CH</t>
    </r>
    <r>
      <rPr>
        <b/>
        <vertAlign val="subscript"/>
        <sz val="10"/>
        <rFont val="Calibri"/>
        <family val="2"/>
      </rPr>
      <t>4</t>
    </r>
    <r>
      <rPr>
        <b/>
        <sz val="10"/>
        <rFont val="Calibri"/>
        <family val="2"/>
      </rPr>
      <t xml:space="preserve">  Emission</t>
    </r>
  </si>
  <si>
    <r>
      <t>N</t>
    </r>
    <r>
      <rPr>
        <b/>
        <vertAlign val="subscript"/>
        <sz val="10"/>
        <rFont val="Calibri"/>
        <family val="2"/>
      </rPr>
      <t>2</t>
    </r>
    <r>
      <rPr>
        <b/>
        <sz val="10"/>
        <rFont val="Calibri"/>
        <family val="2"/>
      </rPr>
      <t>O  Emission</t>
    </r>
  </si>
  <si>
    <r>
      <t>Total Coal (MMTCO</t>
    </r>
    <r>
      <rPr>
        <vertAlign val="subscript"/>
        <sz val="10"/>
        <rFont val="Calibri"/>
        <family val="2"/>
      </rPr>
      <t>2</t>
    </r>
    <r>
      <rPr>
        <sz val="10"/>
        <rFont val="Calibri"/>
        <family val="2"/>
      </rPr>
      <t>E)</t>
    </r>
  </si>
  <si>
    <r>
      <t>Total #2 Oil (MMTCO</t>
    </r>
    <r>
      <rPr>
        <b/>
        <vertAlign val="subscript"/>
        <sz val="10"/>
        <rFont val="Calibri"/>
        <family val="2"/>
      </rPr>
      <t>2</t>
    </r>
    <r>
      <rPr>
        <b/>
        <sz val="10"/>
        <rFont val="Calibri"/>
        <family val="2"/>
      </rPr>
      <t>E)</t>
    </r>
  </si>
  <si>
    <r>
      <t>CH</t>
    </r>
    <r>
      <rPr>
        <b/>
        <vertAlign val="subscript"/>
        <sz val="10"/>
        <rFont val="Calibri"/>
        <family val="2"/>
      </rPr>
      <t xml:space="preserve">4 </t>
    </r>
    <r>
      <rPr>
        <b/>
        <sz val="10"/>
        <rFont val="Calibri"/>
        <family val="2"/>
      </rPr>
      <t xml:space="preserve"> Emission</t>
    </r>
  </si>
  <si>
    <r>
      <t>Total #6 Oil (MMTCO</t>
    </r>
    <r>
      <rPr>
        <vertAlign val="subscript"/>
        <sz val="10"/>
        <rFont val="Calibri"/>
        <family val="2"/>
      </rPr>
      <t>2</t>
    </r>
    <r>
      <rPr>
        <sz val="10"/>
        <rFont val="Calibri"/>
        <family val="2"/>
      </rPr>
      <t>E)</t>
    </r>
  </si>
  <si>
    <r>
      <t>Total NG (MMTCO</t>
    </r>
    <r>
      <rPr>
        <vertAlign val="subscript"/>
        <sz val="10"/>
        <rFont val="Calibri"/>
        <family val="2"/>
      </rPr>
      <t>2</t>
    </r>
    <r>
      <rPr>
        <sz val="10"/>
        <rFont val="Calibri"/>
        <family val="2"/>
      </rPr>
      <t>E)</t>
    </r>
  </si>
  <si>
    <r>
      <t>CO</t>
    </r>
    <r>
      <rPr>
        <b/>
        <vertAlign val="subscript"/>
        <sz val="10"/>
        <color indexed="30"/>
        <rFont val="Calibri"/>
        <family val="2"/>
      </rPr>
      <t>2</t>
    </r>
    <r>
      <rPr>
        <b/>
        <sz val="10"/>
        <color indexed="30"/>
        <rFont val="Calibri"/>
        <family val="2"/>
      </rPr>
      <t xml:space="preserve">  EMISSION SUMMARY</t>
    </r>
  </si>
  <si>
    <r>
      <t>Electric Power Sector CO</t>
    </r>
    <r>
      <rPr>
        <vertAlign val="subscript"/>
        <sz val="10"/>
        <rFont val="Calibri"/>
        <family val="2"/>
      </rPr>
      <t>2</t>
    </r>
  </si>
  <si>
    <r>
      <t>CO</t>
    </r>
    <r>
      <rPr>
        <b/>
        <vertAlign val="subscript"/>
        <sz val="10"/>
        <rFont val="Calibri"/>
        <family val="2"/>
      </rPr>
      <t>2</t>
    </r>
    <r>
      <rPr>
        <b/>
        <sz val="10"/>
        <rFont val="Calibri"/>
        <family val="2"/>
      </rPr>
      <t xml:space="preserve"> Emission </t>
    </r>
  </si>
  <si>
    <r>
      <t>CO</t>
    </r>
    <r>
      <rPr>
        <b/>
        <vertAlign val="subscript"/>
        <sz val="10"/>
        <rFont val="Calibri"/>
        <family val="2"/>
      </rPr>
      <t>2</t>
    </r>
    <r>
      <rPr>
        <b/>
        <sz val="10"/>
        <rFont val="Calibri"/>
        <family val="2"/>
      </rPr>
      <t xml:space="preserve"> Emission</t>
    </r>
  </si>
  <si>
    <r>
      <t xml:space="preserve"> (MMTCO</t>
    </r>
    <r>
      <rPr>
        <b/>
        <vertAlign val="subscript"/>
        <sz val="10"/>
        <rFont val="Calibri"/>
        <family val="2"/>
      </rPr>
      <t>2</t>
    </r>
    <r>
      <rPr>
        <b/>
        <sz val="10"/>
        <rFont val="Calibri"/>
        <family val="2"/>
      </rPr>
      <t>)</t>
    </r>
  </si>
  <si>
    <r>
      <t>CH</t>
    </r>
    <r>
      <rPr>
        <b/>
        <vertAlign val="subscript"/>
        <sz val="10"/>
        <color indexed="30"/>
        <rFont val="Calibri"/>
        <family val="2"/>
      </rPr>
      <t>4</t>
    </r>
    <r>
      <rPr>
        <b/>
        <sz val="10"/>
        <color indexed="30"/>
        <rFont val="Calibri"/>
        <family val="2"/>
      </rPr>
      <t xml:space="preserve">   EMISSION SUMMARY</t>
    </r>
  </si>
  <si>
    <r>
      <t>Electric Power Sector CH</t>
    </r>
    <r>
      <rPr>
        <vertAlign val="subscript"/>
        <sz val="10"/>
        <color indexed="8"/>
        <rFont val="Calibri"/>
        <family val="2"/>
      </rPr>
      <t>4</t>
    </r>
  </si>
  <si>
    <r>
      <t>(short tons CH</t>
    </r>
    <r>
      <rPr>
        <b/>
        <vertAlign val="subscript"/>
        <sz val="10"/>
        <rFont val="Calibri"/>
        <family val="2"/>
      </rPr>
      <t>4</t>
    </r>
    <r>
      <rPr>
        <b/>
        <sz val="10"/>
        <rFont val="Calibri"/>
        <family val="2"/>
      </rPr>
      <t>)</t>
    </r>
  </si>
  <si>
    <r>
      <t>N</t>
    </r>
    <r>
      <rPr>
        <b/>
        <vertAlign val="subscript"/>
        <sz val="10"/>
        <color indexed="30"/>
        <rFont val="Calibri"/>
        <family val="2"/>
      </rPr>
      <t>2</t>
    </r>
    <r>
      <rPr>
        <b/>
        <sz val="10"/>
        <color indexed="30"/>
        <rFont val="Calibri"/>
        <family val="2"/>
      </rPr>
      <t>O  EMISSION SUMMARY</t>
    </r>
  </si>
  <si>
    <r>
      <t>Electric Power Sector N</t>
    </r>
    <r>
      <rPr>
        <vertAlign val="subscript"/>
        <sz val="10"/>
        <rFont val="Calibri"/>
        <family val="2"/>
      </rPr>
      <t>2</t>
    </r>
    <r>
      <rPr>
        <sz val="10"/>
        <rFont val="Calibri"/>
        <family val="2"/>
      </rPr>
      <t>O</t>
    </r>
  </si>
  <si>
    <r>
      <t>(short tons N</t>
    </r>
    <r>
      <rPr>
        <b/>
        <vertAlign val="subscript"/>
        <sz val="10"/>
        <rFont val="Calibri"/>
        <family val="2"/>
      </rPr>
      <t>2</t>
    </r>
    <r>
      <rPr>
        <b/>
        <sz val="10"/>
        <rFont val="Calibri"/>
        <family val="2"/>
      </rPr>
      <t>O)</t>
    </r>
  </si>
  <si>
    <r>
      <t>(metric tons N</t>
    </r>
    <r>
      <rPr>
        <b/>
        <vertAlign val="subscript"/>
        <sz val="10"/>
        <rFont val="Calibri"/>
        <family val="2"/>
      </rPr>
      <t>2</t>
    </r>
    <r>
      <rPr>
        <b/>
        <sz val="10"/>
        <rFont val="Calibri"/>
        <family val="2"/>
      </rPr>
      <t>O)</t>
    </r>
  </si>
  <si>
    <r>
      <t>CO</t>
    </r>
    <r>
      <rPr>
        <b/>
        <vertAlign val="subscript"/>
        <sz val="10"/>
        <rFont val="Calibri"/>
        <family val="2"/>
      </rPr>
      <t>2</t>
    </r>
  </si>
  <si>
    <r>
      <t>N</t>
    </r>
    <r>
      <rPr>
        <b/>
        <vertAlign val="subscript"/>
        <sz val="10"/>
        <rFont val="Calibri"/>
        <family val="2"/>
      </rPr>
      <t>2</t>
    </r>
    <r>
      <rPr>
        <b/>
        <sz val="10"/>
        <rFont val="Calibri"/>
        <family val="2"/>
      </rPr>
      <t>O</t>
    </r>
  </si>
  <si>
    <r>
      <t>CH</t>
    </r>
    <r>
      <rPr>
        <b/>
        <vertAlign val="subscript"/>
        <sz val="10"/>
        <rFont val="Calibri"/>
        <family val="2"/>
      </rPr>
      <t>4</t>
    </r>
  </si>
  <si>
    <t>-http://www.eia.gov/electricity/data/browser/#/topic/0?agg=2,0,1&amp;fuel=vvg&amp;geo=00000008&amp;sec=g&amp;linechart=ELEC.GEN.ALL-MD-99.A~ELEC.GEN.AOR-MD-99.A&amp;columnchart=ELEC.GEN.ALL-MD-99.A&amp;map=ELEC.GEN.ALL-MD-99.A&amp;freq=A&amp;start=2001&amp;end=2014&amp;ctype=linechart&amp;ltype=pin&amp;rtype=s&amp;maptype=0&amp;rse=0&amp;pin=</t>
  </si>
  <si>
    <t>Coal Basin(s)    (if applicable)</t>
  </si>
  <si>
    <t>http://odocs.osmre.gov/</t>
  </si>
  <si>
    <r>
      <t xml:space="preserve">Source: USDA Quick Stats 2.0, </t>
    </r>
    <r>
      <rPr>
        <sz val="8"/>
        <color indexed="10"/>
        <rFont val="Arial"/>
        <family val="2"/>
      </rPr>
      <t>Annual Red Meat Production</t>
    </r>
    <r>
      <rPr>
        <sz val="8"/>
        <rFont val="Arial"/>
        <family val="2"/>
      </rPr>
      <t>. Available online by state: http://quickstats.nass.usda.gov. Choose Survey, Animals &amp; Products, Livestock, Red Meat, Production, Red Meat Slaughter Commercial Production Measured in LB (Don't choose Total in the Domain), Choose National AND State, Select All States (including US Total), 1990-2014, Annual, Year, Get Data.</t>
    </r>
  </si>
  <si>
    <t>Short tons</t>
  </si>
  <si>
    <t>MMT</t>
  </si>
  <si>
    <r>
      <t>MMTCO</t>
    </r>
    <r>
      <rPr>
        <b/>
        <vertAlign val="subscript"/>
        <sz val="8"/>
        <rFont val="Arial"/>
        <family val="2"/>
      </rPr>
      <t>2</t>
    </r>
    <r>
      <rPr>
        <b/>
        <sz val="8"/>
        <rFont val="Arial"/>
        <family val="2"/>
      </rPr>
      <t>E</t>
    </r>
  </si>
  <si>
    <t>http://www.eia.gov/dnav/ng/NG_PROD_WELLS_S1_A.htm</t>
  </si>
  <si>
    <t>http://www.eia.gov/electricity/data/state/</t>
  </si>
  <si>
    <t xml:space="preserve"> State Energy Data  2014</t>
  </si>
  <si>
    <r>
      <t xml:space="preserve">2014 PEI GHG </t>
    </r>
    <r>
      <rPr>
        <b/>
        <sz val="16"/>
        <color indexed="12"/>
        <rFont val="Calibri"/>
        <family val="2"/>
      </rPr>
      <t>Annual</t>
    </r>
    <r>
      <rPr>
        <b/>
        <sz val="16"/>
        <color indexed="8"/>
        <rFont val="Calibri"/>
        <family val="2"/>
      </rPr>
      <t xml:space="preserve"> Estimates for MD using MOVES2014 Model</t>
    </r>
  </si>
  <si>
    <t>CNG</t>
  </si>
  <si>
    <t>Ethanol (E85)</t>
  </si>
  <si>
    <t>Grand Total</t>
  </si>
  <si>
    <t>2014 PEI</t>
  </si>
  <si>
    <t>Baltimore</t>
  </si>
  <si>
    <t>Caroline</t>
  </si>
  <si>
    <t>Dorchester</t>
  </si>
  <si>
    <t>Prince George's</t>
  </si>
  <si>
    <t>Queen Anne's</t>
  </si>
  <si>
    <t>Saint Mary's</t>
  </si>
  <si>
    <t>State of MD</t>
  </si>
  <si>
    <r>
      <t>CO</t>
    </r>
    <r>
      <rPr>
        <vertAlign val="subscript"/>
        <sz val="8"/>
        <rFont val="Arial"/>
        <family val="2"/>
      </rPr>
      <t>2</t>
    </r>
    <r>
      <rPr>
        <sz val="8"/>
        <rFont val="Arial"/>
        <family val="2"/>
      </rPr>
      <t>E in grams per year</t>
    </r>
  </si>
  <si>
    <t>Fuel Consumption from MOVES2014 Model</t>
  </si>
  <si>
    <t>Fuel Density</t>
  </si>
  <si>
    <t>g/gallon</t>
  </si>
  <si>
    <t>Energy Content</t>
  </si>
  <si>
    <t>KJ/g</t>
  </si>
  <si>
    <t>Fuel from MOVES</t>
  </si>
  <si>
    <t>gal</t>
  </si>
  <si>
    <t>1000 gal</t>
  </si>
  <si>
    <r>
      <t>N</t>
    </r>
    <r>
      <rPr>
        <b/>
        <vertAlign val="subscript"/>
        <sz val="8"/>
        <rFont val="Arial"/>
        <family val="2"/>
      </rPr>
      <t>2</t>
    </r>
    <r>
      <rPr>
        <b/>
        <sz val="8"/>
        <rFont val="Arial"/>
        <family val="2"/>
      </rPr>
      <t>O
(MMTCO</t>
    </r>
    <r>
      <rPr>
        <b/>
        <vertAlign val="subscript"/>
        <sz val="8"/>
        <rFont val="Arial"/>
        <family val="2"/>
      </rPr>
      <t>2</t>
    </r>
    <r>
      <rPr>
        <b/>
        <sz val="8"/>
        <rFont val="Arial"/>
        <family val="2"/>
      </rPr>
      <t>E)</t>
    </r>
  </si>
  <si>
    <r>
      <t>CH</t>
    </r>
    <r>
      <rPr>
        <b/>
        <vertAlign val="subscript"/>
        <sz val="8"/>
        <rFont val="Arial"/>
        <family val="2"/>
      </rPr>
      <t>4</t>
    </r>
    <r>
      <rPr>
        <b/>
        <sz val="8"/>
        <rFont val="Arial"/>
        <family val="2"/>
      </rPr>
      <t xml:space="preserve">
(MMTCO</t>
    </r>
    <r>
      <rPr>
        <b/>
        <vertAlign val="subscript"/>
        <sz val="8"/>
        <rFont val="Arial"/>
        <family val="2"/>
      </rPr>
      <t>2</t>
    </r>
    <r>
      <rPr>
        <b/>
        <sz val="8"/>
        <rFont val="Arial"/>
        <family val="2"/>
      </rPr>
      <t>E)</t>
    </r>
  </si>
  <si>
    <r>
      <t>CO</t>
    </r>
    <r>
      <rPr>
        <b/>
        <vertAlign val="subscript"/>
        <sz val="11"/>
        <color indexed="12"/>
        <rFont val="Calibri"/>
        <family val="2"/>
      </rPr>
      <t>2</t>
    </r>
    <r>
      <rPr>
        <b/>
        <sz val="11"/>
        <color indexed="12"/>
        <rFont val="Calibri"/>
        <family val="2"/>
      </rPr>
      <t>E ( MMTons)</t>
    </r>
  </si>
  <si>
    <t>countyID</t>
  </si>
  <si>
    <t>SCC</t>
  </si>
  <si>
    <t>description</t>
  </si>
  <si>
    <t>fuelTypeDesc</t>
  </si>
  <si>
    <t>24001</t>
  </si>
  <si>
    <t>2260005035</t>
  </si>
  <si>
    <t>2265005010</t>
  </si>
  <si>
    <t>2265005015</t>
  </si>
  <si>
    <t>2265005020</t>
  </si>
  <si>
    <t>2265005025</t>
  </si>
  <si>
    <t>2265005030</t>
  </si>
  <si>
    <t>2265005035</t>
  </si>
  <si>
    <t>2265005040</t>
  </si>
  <si>
    <t>2265005045</t>
  </si>
  <si>
    <t>2265005055</t>
  </si>
  <si>
    <t>2265005060</t>
  </si>
  <si>
    <t>2267005055</t>
  </si>
  <si>
    <t>Liquefied Petroleum Gas (LPG)</t>
  </si>
  <si>
    <t>2267005060</t>
  </si>
  <si>
    <t>2268005055</t>
  </si>
  <si>
    <t>Compressed Natural Gas (CNG)</t>
  </si>
  <si>
    <t>2268005060</t>
  </si>
  <si>
    <t>2270005010</t>
  </si>
  <si>
    <t>Nonroad Diesel Fuel</t>
  </si>
  <si>
    <t>2270005015</t>
  </si>
  <si>
    <t>2270005020</t>
  </si>
  <si>
    <t>2270005025</t>
  </si>
  <si>
    <t>2270005030</t>
  </si>
  <si>
    <t>2270005035</t>
  </si>
  <si>
    <t>2270005040</t>
  </si>
  <si>
    <t>2270005045</t>
  </si>
  <si>
    <t>2270005055</t>
  </si>
  <si>
    <t>2270005060</t>
  </si>
  <si>
    <t>2265008005</t>
  </si>
  <si>
    <t>Airport Support</t>
  </si>
  <si>
    <t>2267008005</t>
  </si>
  <si>
    <t>2270008005</t>
  </si>
  <si>
    <t>2260006005</t>
  </si>
  <si>
    <t>2260006010</t>
  </si>
  <si>
    <t>2260006015</t>
  </si>
  <si>
    <t>2260006035</t>
  </si>
  <si>
    <t>2265006005</t>
  </si>
  <si>
    <t>2265006010</t>
  </si>
  <si>
    <t>2265006015</t>
  </si>
  <si>
    <t>2265006025</t>
  </si>
  <si>
    <t>2265006030</t>
  </si>
  <si>
    <t>2265006035</t>
  </si>
  <si>
    <t>2267006005</t>
  </si>
  <si>
    <t>2267006010</t>
  </si>
  <si>
    <t>2267006015</t>
  </si>
  <si>
    <t>2267006025</t>
  </si>
  <si>
    <t>2267006030</t>
  </si>
  <si>
    <t>2267006035</t>
  </si>
  <si>
    <t>2268006005</t>
  </si>
  <si>
    <t>2268006010</t>
  </si>
  <si>
    <t>2268006015</t>
  </si>
  <si>
    <t>2268006020</t>
  </si>
  <si>
    <t>2270006005</t>
  </si>
  <si>
    <t>2270006010</t>
  </si>
  <si>
    <t>2270006015</t>
  </si>
  <si>
    <t>2270006025</t>
  </si>
  <si>
    <t>2270006030</t>
  </si>
  <si>
    <t>2270006035</t>
  </si>
  <si>
    <t>2260002006</t>
  </si>
  <si>
    <t>2260002009</t>
  </si>
  <si>
    <t>2260002021</t>
  </si>
  <si>
    <t>2260002027</t>
  </si>
  <si>
    <t>2260002039</t>
  </si>
  <si>
    <t>2260002054</t>
  </si>
  <si>
    <t>2265002003</t>
  </si>
  <si>
    <t>2265002006</t>
  </si>
  <si>
    <t>2265002009</t>
  </si>
  <si>
    <t>2265002015</t>
  </si>
  <si>
    <t>2265002021</t>
  </si>
  <si>
    <t>2265002024</t>
  </si>
  <si>
    <t>2265002027</t>
  </si>
  <si>
    <t>2265002030</t>
  </si>
  <si>
    <t>2265002033</t>
  </si>
  <si>
    <t>2265002039</t>
  </si>
  <si>
    <t>2265002042</t>
  </si>
  <si>
    <t>2265002045</t>
  </si>
  <si>
    <t>2265002054</t>
  </si>
  <si>
    <t>2265002057</t>
  </si>
  <si>
    <t>2265002060</t>
  </si>
  <si>
    <t>2265002066</t>
  </si>
  <si>
    <t>2265002072</t>
  </si>
  <si>
    <t>2265002078</t>
  </si>
  <si>
    <t>2265002081</t>
  </si>
  <si>
    <t>2267002003</t>
  </si>
  <si>
    <t>2267002015</t>
  </si>
  <si>
    <t>2267002021</t>
  </si>
  <si>
    <t>2267002024</t>
  </si>
  <si>
    <t>2267002030</t>
  </si>
  <si>
    <t>2267002033</t>
  </si>
  <si>
    <t>2267002039</t>
  </si>
  <si>
    <t>2267002045</t>
  </si>
  <si>
    <t>2267002054</t>
  </si>
  <si>
    <t>2267002057</t>
  </si>
  <si>
    <t>2267002060</t>
  </si>
  <si>
    <t>2267002066</t>
  </si>
  <si>
    <t>2267002072</t>
  </si>
  <si>
    <t>2267002081</t>
  </si>
  <si>
    <t>2268002081</t>
  </si>
  <si>
    <t>2270002003</t>
  </si>
  <si>
    <t>2270002006</t>
  </si>
  <si>
    <t>2270002009</t>
  </si>
  <si>
    <t>2270002015</t>
  </si>
  <si>
    <t>2270002018</t>
  </si>
  <si>
    <t>2270002021</t>
  </si>
  <si>
    <t>2270002024</t>
  </si>
  <si>
    <t>2270002027</t>
  </si>
  <si>
    <t>2270002030</t>
  </si>
  <si>
    <t>2270002033</t>
  </si>
  <si>
    <t>2270002036</t>
  </si>
  <si>
    <t>2270002039</t>
  </si>
  <si>
    <t>2270002042</t>
  </si>
  <si>
    <t>2270002045</t>
  </si>
  <si>
    <t>2270002048</t>
  </si>
  <si>
    <t>2270002051</t>
  </si>
  <si>
    <t>2270002054</t>
  </si>
  <si>
    <t>2270002057</t>
  </si>
  <si>
    <t>2270002060</t>
  </si>
  <si>
    <t>2270002066</t>
  </si>
  <si>
    <t>2270002069</t>
  </si>
  <si>
    <t>2270002072</t>
  </si>
  <si>
    <t>2270002075</t>
  </si>
  <si>
    <t>2270002078</t>
  </si>
  <si>
    <t>2270002081</t>
  </si>
  <si>
    <t>2260003030</t>
  </si>
  <si>
    <t>2260003040</t>
  </si>
  <si>
    <t>2265003010</t>
  </si>
  <si>
    <t>2265003020</t>
  </si>
  <si>
    <t>2265003030</t>
  </si>
  <si>
    <t>2265003040</t>
  </si>
  <si>
    <t>2265003050</t>
  </si>
  <si>
    <t>2265003060</t>
  </si>
  <si>
    <t>2265003070</t>
  </si>
  <si>
    <t>2267003010</t>
  </si>
  <si>
    <t>2267003020</t>
  </si>
  <si>
    <t>2267003030</t>
  </si>
  <si>
    <t>2267003040</t>
  </si>
  <si>
    <t>2267003050</t>
  </si>
  <si>
    <t>2267003070</t>
  </si>
  <si>
    <t>2268003020</t>
  </si>
  <si>
    <t>2268003030</t>
  </si>
  <si>
    <t>2268003040</t>
  </si>
  <si>
    <t>2268003060</t>
  </si>
  <si>
    <t>2268003070</t>
  </si>
  <si>
    <t>2270003010</t>
  </si>
  <si>
    <t>2270003020</t>
  </si>
  <si>
    <t>2270003030</t>
  </si>
  <si>
    <t>2270003040</t>
  </si>
  <si>
    <t>2270003050</t>
  </si>
  <si>
    <t>2270003060</t>
  </si>
  <si>
    <t>2270003070</t>
  </si>
  <si>
    <t>2260004015</t>
  </si>
  <si>
    <t>Lawn/Garden</t>
  </si>
  <si>
    <t>2260004016</t>
  </si>
  <si>
    <t>2260004020</t>
  </si>
  <si>
    <t>2260004021</t>
  </si>
  <si>
    <t>2260004025</t>
  </si>
  <si>
    <t>2260004026</t>
  </si>
  <si>
    <t>2260004030</t>
  </si>
  <si>
    <t>2260004031</t>
  </si>
  <si>
    <t>2260004035</t>
  </si>
  <si>
    <t>2260004036</t>
  </si>
  <si>
    <t>2260004071</t>
  </si>
  <si>
    <t>2265004010</t>
  </si>
  <si>
    <t>2265004011</t>
  </si>
  <si>
    <t>2265004015</t>
  </si>
  <si>
    <t>2265004016</t>
  </si>
  <si>
    <t>2265004025</t>
  </si>
  <si>
    <t>2265004026</t>
  </si>
  <si>
    <t>2265004030</t>
  </si>
  <si>
    <t>2265004031</t>
  </si>
  <si>
    <t>2265004035</t>
  </si>
  <si>
    <t>2265004036</t>
  </si>
  <si>
    <t>2265004040</t>
  </si>
  <si>
    <t>2265004041</t>
  </si>
  <si>
    <t>2265004046</t>
  </si>
  <si>
    <t>2265004051</t>
  </si>
  <si>
    <t>2265004055</t>
  </si>
  <si>
    <t>2265004056</t>
  </si>
  <si>
    <t>2265004066</t>
  </si>
  <si>
    <t>2265004071</t>
  </si>
  <si>
    <t>2265004075</t>
  </si>
  <si>
    <t>2265004076</t>
  </si>
  <si>
    <t>2267004066</t>
  </si>
  <si>
    <t>2270004031</t>
  </si>
  <si>
    <t>2270004036</t>
  </si>
  <si>
    <t>2270004046</t>
  </si>
  <si>
    <t>2270004056</t>
  </si>
  <si>
    <t>2270004066</t>
  </si>
  <si>
    <t>2270004071</t>
  </si>
  <si>
    <t>2270004076</t>
  </si>
  <si>
    <t>2260007005</t>
  </si>
  <si>
    <t>Logging</t>
  </si>
  <si>
    <t>2265007010</t>
  </si>
  <si>
    <t>2265007015</t>
  </si>
  <si>
    <t>2270007015</t>
  </si>
  <si>
    <t>2265010010</t>
  </si>
  <si>
    <t>Oil Field</t>
  </si>
  <si>
    <t>2268010010</t>
  </si>
  <si>
    <t>2270010010</t>
  </si>
  <si>
    <t>2282005010</t>
  </si>
  <si>
    <t>Pleasure Craft</t>
  </si>
  <si>
    <t>2282005015</t>
  </si>
  <si>
    <t>2282010005</t>
  </si>
  <si>
    <t>2282020005</t>
  </si>
  <si>
    <t>Marine Diesel Fuel</t>
  </si>
  <si>
    <t>2282020010</t>
  </si>
  <si>
    <t>2285002015</t>
  </si>
  <si>
    <t>Railroad</t>
  </si>
  <si>
    <t>2285004015</t>
  </si>
  <si>
    <t>2285006015</t>
  </si>
  <si>
    <t>2260001010</t>
  </si>
  <si>
    <t>Recreational</t>
  </si>
  <si>
    <t>2260001020</t>
  </si>
  <si>
    <t>2260001030</t>
  </si>
  <si>
    <t>2260001060</t>
  </si>
  <si>
    <t>2265001010</t>
  </si>
  <si>
    <t>2265001030</t>
  </si>
  <si>
    <t>2265001050</t>
  </si>
  <si>
    <t>2265001060</t>
  </si>
  <si>
    <t>2267001060</t>
  </si>
  <si>
    <t>2270001060</t>
  </si>
  <si>
    <t>2270009010</t>
  </si>
  <si>
    <t>Underground Mining</t>
  </si>
  <si>
    <t>24003</t>
  </si>
  <si>
    <t>24005</t>
  </si>
  <si>
    <t>24009</t>
  </si>
  <si>
    <t>24011</t>
  </si>
  <si>
    <t>24013</t>
  </si>
  <si>
    <t>24015</t>
  </si>
  <si>
    <t>24017</t>
  </si>
  <si>
    <t>24019</t>
  </si>
  <si>
    <t>24021</t>
  </si>
  <si>
    <t>24023</t>
  </si>
  <si>
    <t>24025</t>
  </si>
  <si>
    <t>24027</t>
  </si>
  <si>
    <t>24029</t>
  </si>
  <si>
    <t>24031</t>
  </si>
  <si>
    <t>24033</t>
  </si>
  <si>
    <t>24035</t>
  </si>
  <si>
    <t>24037</t>
  </si>
  <si>
    <t>24039</t>
  </si>
  <si>
    <t>24041</t>
  </si>
  <si>
    <t>24043</t>
  </si>
  <si>
    <t>24045</t>
  </si>
  <si>
    <t>24047</t>
  </si>
  <si>
    <t>24510</t>
  </si>
  <si>
    <t>Gasoline Total</t>
  </si>
  <si>
    <r>
      <t>CH</t>
    </r>
    <r>
      <rPr>
        <vertAlign val="subscript"/>
        <sz val="11"/>
        <color indexed="8"/>
        <rFont val="Calibri"/>
        <family val="2"/>
      </rPr>
      <t>4</t>
    </r>
  </si>
  <si>
    <r>
      <t>CO</t>
    </r>
    <r>
      <rPr>
        <vertAlign val="subscript"/>
        <sz val="11"/>
        <color indexed="8"/>
        <rFont val="Calibri"/>
        <family val="2"/>
      </rPr>
      <t>2</t>
    </r>
  </si>
  <si>
    <t>Compressed Natural gas</t>
  </si>
  <si>
    <t>Liquefidies Petroleum Gas (LPG)</t>
  </si>
  <si>
    <t>Non-Road Diesel fuel</t>
  </si>
  <si>
    <t>(short tons/yr)</t>
  </si>
  <si>
    <r>
      <t>CH</t>
    </r>
    <r>
      <rPr>
        <vertAlign val="subscript"/>
        <sz val="8"/>
        <rFont val="Arial"/>
        <family val="2"/>
      </rPr>
      <t>4</t>
    </r>
  </si>
  <si>
    <r>
      <t>CO</t>
    </r>
    <r>
      <rPr>
        <vertAlign val="subscript"/>
        <sz val="8"/>
        <rFont val="Arial"/>
        <family val="2"/>
      </rPr>
      <t>2</t>
    </r>
  </si>
  <si>
    <t xml:space="preserve">                                                                                 Summary Table</t>
  </si>
  <si>
    <r>
      <t>(MMTCO</t>
    </r>
    <r>
      <rPr>
        <b/>
        <vertAlign val="subscript"/>
        <sz val="8"/>
        <rFont val="Arial"/>
        <family val="2"/>
      </rPr>
      <t>2</t>
    </r>
    <r>
      <rPr>
        <b/>
        <sz val="8"/>
        <rFont val="Arial"/>
        <family val="2"/>
      </rPr>
      <t>E)</t>
    </r>
  </si>
  <si>
    <t xml:space="preserve">       Transportation Consumption and GHG Emissions</t>
  </si>
  <si>
    <t>Transportation Sector Emissions: Other-Non-Road Mobile Sources  2014</t>
  </si>
  <si>
    <t xml:space="preserve">Jet Fuel- Kerosene Type </t>
  </si>
  <si>
    <r>
      <t>CH</t>
    </r>
    <r>
      <rPr>
        <b/>
        <vertAlign val="subscript"/>
        <sz val="10"/>
        <rFont val="Calibri"/>
        <family val="2"/>
      </rPr>
      <t>4</t>
    </r>
  </si>
  <si>
    <r>
      <t>N</t>
    </r>
    <r>
      <rPr>
        <b/>
        <vertAlign val="subscript"/>
        <sz val="10"/>
        <rFont val="Calibri"/>
        <family val="2"/>
      </rPr>
      <t>2</t>
    </r>
    <r>
      <rPr>
        <b/>
        <sz val="10"/>
        <rFont val="Calibri"/>
        <family val="2"/>
      </rPr>
      <t>O</t>
    </r>
  </si>
  <si>
    <t>(Total)</t>
  </si>
  <si>
    <r>
      <t>CH</t>
    </r>
    <r>
      <rPr>
        <b/>
        <vertAlign val="subscript"/>
        <sz val="8"/>
        <rFont val="Arial"/>
        <family val="2"/>
      </rPr>
      <t>4</t>
    </r>
    <r>
      <rPr>
        <b/>
        <sz val="8"/>
        <rFont val="Arial"/>
        <family val="2"/>
      </rPr>
      <t xml:space="preserve">
(MT)</t>
    </r>
  </si>
  <si>
    <r>
      <t>N</t>
    </r>
    <r>
      <rPr>
        <b/>
        <vertAlign val="subscript"/>
        <sz val="8"/>
        <rFont val="Arial"/>
        <family val="2"/>
      </rPr>
      <t>2</t>
    </r>
    <r>
      <rPr>
        <b/>
        <sz val="8"/>
        <rFont val="Arial"/>
        <family val="2"/>
      </rPr>
      <t>O
(MT)</t>
    </r>
  </si>
  <si>
    <t>Distillate Fuel-Rail</t>
  </si>
  <si>
    <r>
      <t>CO</t>
    </r>
    <r>
      <rPr>
        <b/>
        <vertAlign val="subscript"/>
        <sz val="8"/>
        <color indexed="10"/>
        <rFont val="Arial"/>
        <family val="2"/>
      </rPr>
      <t>2</t>
    </r>
    <r>
      <rPr>
        <b/>
        <sz val="8"/>
        <color indexed="10"/>
        <rFont val="Arial"/>
        <family val="2"/>
      </rPr>
      <t xml:space="preserve"> Emissions (MMTCO</t>
    </r>
    <r>
      <rPr>
        <b/>
        <vertAlign val="subscript"/>
        <sz val="8"/>
        <color indexed="10"/>
        <rFont val="Arial"/>
        <family val="2"/>
      </rPr>
      <t>2</t>
    </r>
    <r>
      <rPr>
        <b/>
        <sz val="8"/>
        <color indexed="10"/>
        <rFont val="Arial"/>
        <family val="2"/>
      </rPr>
      <t>E)</t>
    </r>
  </si>
  <si>
    <t>Distillate Fuel -Vessel Bunkering</t>
  </si>
  <si>
    <t>Residual Fuel- Vessel Bunkering</t>
  </si>
  <si>
    <t>Distillate Fuel - Vessel Bunkering</t>
  </si>
  <si>
    <r>
      <t>Transportation Sector Emissions:</t>
    </r>
    <r>
      <rPr>
        <sz val="14"/>
        <color indexed="10"/>
        <rFont val="Calibri"/>
        <family val="2"/>
      </rPr>
      <t xml:space="preserve"> International Bunker Fuels 2014</t>
    </r>
  </si>
  <si>
    <t>Table 1: Coal Produced for Sale, Transfer, Or Use During the Calendar Year,EY 2014, ending June 30,2015</t>
  </si>
  <si>
    <t>2015 Maryland Annual Evaluation Report, Office of Surface Mining Relcamation &amp; Enforcement.</t>
  </si>
  <si>
    <t>Compressed Natural Gas (CNG) Total</t>
  </si>
  <si>
    <t>Liquefied Petroleum Gas (LPG) Total</t>
  </si>
  <si>
    <t>Marine Diesel Fuel Total</t>
  </si>
  <si>
    <t>Nonroad Diesel Fuel Total</t>
  </si>
  <si>
    <t>SUM BY FUEL TYPE</t>
  </si>
  <si>
    <t>SUM BY SOURCE CATEGORY</t>
  </si>
  <si>
    <t>Agriculture Total</t>
  </si>
  <si>
    <t>Airport Support Total</t>
  </si>
  <si>
    <t>Commercial Total</t>
  </si>
  <si>
    <t>Construction Total</t>
  </si>
  <si>
    <t>Industrial Total</t>
  </si>
  <si>
    <t>Lawn/Garden Total</t>
  </si>
  <si>
    <t>Logging Total</t>
  </si>
  <si>
    <t>Oil Field Total</t>
  </si>
  <si>
    <t>Pleasure Craft Total</t>
  </si>
  <si>
    <t>Railroad Total</t>
  </si>
  <si>
    <t>Recreational Total</t>
  </si>
  <si>
    <t>Underground Mining Total</t>
  </si>
  <si>
    <t>SUM BY COUNTY</t>
  </si>
  <si>
    <t>24001 Total</t>
  </si>
  <si>
    <t>24003 Total</t>
  </si>
  <si>
    <t>24005 Total</t>
  </si>
  <si>
    <t>24009 Total</t>
  </si>
  <si>
    <t>24011 Total</t>
  </si>
  <si>
    <t>24013 Total</t>
  </si>
  <si>
    <t>24015 Total</t>
  </si>
  <si>
    <t>24017 Total</t>
  </si>
  <si>
    <t>24019 Total</t>
  </si>
  <si>
    <t>24021 Total</t>
  </si>
  <si>
    <t>24023 Total</t>
  </si>
  <si>
    <t>24025 Total</t>
  </si>
  <si>
    <t>24027 Total</t>
  </si>
  <si>
    <t>24029 Total</t>
  </si>
  <si>
    <t>24031 Total</t>
  </si>
  <si>
    <t>24033 Total</t>
  </si>
  <si>
    <t>24035 Total</t>
  </si>
  <si>
    <t>24037 Total</t>
  </si>
  <si>
    <t>24039 Total</t>
  </si>
  <si>
    <t>24041 Total</t>
  </si>
  <si>
    <t>24043 Total</t>
  </si>
  <si>
    <t>24045 Total</t>
  </si>
  <si>
    <t>24047 Total</t>
  </si>
  <si>
    <t>24510 Total</t>
  </si>
  <si>
    <t>Transportation - NonRoad GHG Emissions</t>
  </si>
  <si>
    <t>Transportation - OnRoad Consumption and GHG Emissions</t>
  </si>
  <si>
    <r>
      <t>Electric Power Production and CO</t>
    </r>
    <r>
      <rPr>
        <vertAlign val="subscript"/>
        <sz val="14"/>
        <rFont val="Comic Sans MS"/>
        <family val="4"/>
      </rPr>
      <t>2</t>
    </r>
    <r>
      <rPr>
        <sz val="14"/>
        <rFont val="Comic Sans MS"/>
        <family val="4"/>
      </rPr>
      <t xml:space="preserve"> Emissions in Maryland</t>
    </r>
  </si>
  <si>
    <r>
      <t>Pulp and Paper Electric Power Production and CO</t>
    </r>
    <r>
      <rPr>
        <vertAlign val="subscript"/>
        <sz val="14"/>
        <rFont val="Comic Sans MS"/>
        <family val="4"/>
      </rPr>
      <t>2</t>
    </r>
    <r>
      <rPr>
        <sz val="14"/>
        <rFont val="Comic Sans MS"/>
        <family val="4"/>
      </rPr>
      <t xml:space="preserve"> Emissions in Maryland</t>
    </r>
  </si>
  <si>
    <t>Landfill Gas to Energy Emissions</t>
  </si>
  <si>
    <t>http://www.eia.gov/state/seds/seds-data-fuel.cfm?sid=US</t>
  </si>
  <si>
    <t>- Default state-level data derived from EIA’s State Energy Consumption, Price, and Expenditure Estimates (SEDS) 2014: Consumption Estimates (EIA 2014)  http://www.eia.gov/state/seds/seds-data-fuel.cfm?sid=US</t>
  </si>
</sst>
</file>

<file path=xl/styles.xml><?xml version="1.0" encoding="utf-8"?>
<styleSheet xmlns="http://schemas.openxmlformats.org/spreadsheetml/2006/main">
  <numFmts count="43">
    <numFmt numFmtId="41" formatCode="_(* #,##0_);_(* \(#,##0\);_(* &quot;-&quot;_);_(@_)"/>
    <numFmt numFmtId="43" formatCode="_(* #,##0.00_);_(* \(#,##0.00\);_(* &quot;-&quot;??_);_(@_)"/>
    <numFmt numFmtId="164" formatCode="0.00_)"/>
    <numFmt numFmtId="165" formatCode="0.0"/>
    <numFmt numFmtId="166" formatCode="0.0%"/>
    <numFmt numFmtId="167" formatCode="_(* #,##0.000_);_(* \(#,##0.000\);_(* &quot;-&quot;??_);_(@_)"/>
    <numFmt numFmtId="168" formatCode="_(* #,##0.0000_);_(* \(#,##0.0000\);_(* &quot;-&quot;??_);_(@_)"/>
    <numFmt numFmtId="169" formatCode="_(* #,##0.00000_);_(* \(#,##0.00000\);_(* &quot;-&quot;??_);_(@_)"/>
    <numFmt numFmtId="170" formatCode="0.000"/>
    <numFmt numFmtId="171" formatCode="0.0000"/>
    <numFmt numFmtId="172" formatCode="0.0000000000"/>
    <numFmt numFmtId="173" formatCode="_(* #,##0_);_(* \(#,##0\);_(* &quot;-&quot;??_);_(@_)"/>
    <numFmt numFmtId="174" formatCode="_(* #,##0.0_);_(* \(#,##0.0\);_(* &quot;-&quot;??_);_(@_)"/>
    <numFmt numFmtId="175" formatCode="#,##0.0000"/>
    <numFmt numFmtId="176" formatCode="#,##0.0"/>
    <numFmt numFmtId="177" formatCode="_(* #,##0.000000_);_(* \(#,##0.000000\);_(* &quot;-&quot;??_);_(@_)"/>
    <numFmt numFmtId="178" formatCode="0_)"/>
    <numFmt numFmtId="179" formatCode="0.00000"/>
    <numFmt numFmtId="180" formatCode="_([$€-2]* #,##0.00_);_([$€-2]* \(#,##0.00\);_([$€-2]* &quot;-&quot;??_)"/>
    <numFmt numFmtId="181" formatCode="0.000000"/>
    <numFmt numFmtId="182" formatCode="0.00000000"/>
    <numFmt numFmtId="183" formatCode="0.000000000"/>
    <numFmt numFmtId="184" formatCode="_(* #,##0.0000000_);_(* \(#,##0.0000000\);_(* &quot;-&quot;??_);_(@_)"/>
    <numFmt numFmtId="185" formatCode="_(* #,##0.00000000_);_(* \(#,##0.00000000\);_(* &quot;-&quot;????????_);_(@_)"/>
    <numFmt numFmtId="186" formatCode="#,##0.00000_);\(#,##0.00000\)"/>
    <numFmt numFmtId="187" formatCode="0E+00"/>
    <numFmt numFmtId="188" formatCode="_(* #,##0.000000_);_(* \(#,##0.000000\);_(* &quot;-&quot;??????_);_(@_)"/>
    <numFmt numFmtId="189" formatCode="0.00000000000000000%"/>
    <numFmt numFmtId="190" formatCode="0.0000000"/>
    <numFmt numFmtId="191" formatCode="0.0000%"/>
    <numFmt numFmtId="192" formatCode="#,##0.000000_);\(#,##0.000000\)"/>
    <numFmt numFmtId="193" formatCode="0.000_)"/>
    <numFmt numFmtId="194" formatCode="_-* #,##0_-;\-* #,##0_-;_-* &quot;-&quot;??_-;_-@_-"/>
    <numFmt numFmtId="195" formatCode="_-* #,##0.0_-;\-* #,##0.0_-;_-* &quot;-&quot;??_-;_-@_-"/>
    <numFmt numFmtId="196" formatCode="_-* #,##0.00_-;\-* #,##0.00_-;_-* &quot;-&quot;??_-;_-@_-"/>
    <numFmt numFmtId="197" formatCode="_-* #,##0.000_-;\-* #,##0.000_-;_-* &quot;-&quot;??_-;_-@_-"/>
    <numFmt numFmtId="198" formatCode="#,##0.000_);\(#,##0.000\)"/>
    <numFmt numFmtId="199" formatCode="#,##0.0_);\(#,##0.0\)"/>
    <numFmt numFmtId="200" formatCode="_(* #,##0.00_);_(* \(#,##0.00\);_(* \-??_);_(@_)"/>
    <numFmt numFmtId="201" formatCode="_(* #,##0_);_(* \(#,##0\);_(* \-??_);_(@_)"/>
    <numFmt numFmtId="202" formatCode="_(* #,##0.0000_);_(* \(#,##0.0000\);_(* \-??_);_(@_)"/>
    <numFmt numFmtId="203" formatCode="#,##0.0000_);\(#,##0.0000\)"/>
    <numFmt numFmtId="204" formatCode="0.0000_)"/>
  </numFmts>
  <fonts count="253">
    <font>
      <sz val="8"/>
      <name val="Arial"/>
    </font>
    <font>
      <sz val="11"/>
      <color indexed="8"/>
      <name val="Calibri"/>
      <family val="2"/>
    </font>
    <font>
      <sz val="8"/>
      <name val="Arial"/>
      <family val="2"/>
    </font>
    <font>
      <b/>
      <sz val="14"/>
      <name val="Comic Sans MS"/>
      <family val="4"/>
    </font>
    <font>
      <sz val="8"/>
      <name val="Comic Sans MS"/>
      <family val="4"/>
    </font>
    <font>
      <b/>
      <sz val="8"/>
      <name val="Comic Sans MS"/>
      <family val="4"/>
    </font>
    <font>
      <sz val="8"/>
      <name val="Arial"/>
      <family val="2"/>
    </font>
    <font>
      <b/>
      <sz val="10"/>
      <name val="Arial"/>
      <family val="2"/>
    </font>
    <font>
      <sz val="8"/>
      <name val="Arial"/>
      <family val="2"/>
    </font>
    <font>
      <i/>
      <sz val="10"/>
      <name val="Arial"/>
      <family val="2"/>
    </font>
    <font>
      <b/>
      <vertAlign val="subscript"/>
      <sz val="8"/>
      <name val="Comic Sans MS"/>
      <family val="4"/>
    </font>
    <font>
      <sz val="8"/>
      <color indexed="81"/>
      <name val="Tahoma"/>
      <family val="2"/>
    </font>
    <font>
      <b/>
      <sz val="14"/>
      <color indexed="18"/>
      <name val="Comic Sans MS"/>
      <family val="4"/>
    </font>
    <font>
      <sz val="10"/>
      <name val="Arial"/>
      <family val="2"/>
    </font>
    <font>
      <sz val="7"/>
      <name val="Arial"/>
      <family val="2"/>
    </font>
    <font>
      <b/>
      <sz val="7"/>
      <name val="Comic Sans MS"/>
      <family val="4"/>
    </font>
    <font>
      <sz val="7"/>
      <name val="Comic Sans MS"/>
      <family val="4"/>
    </font>
    <font>
      <sz val="10"/>
      <name val="Comic Sans MS"/>
      <family val="4"/>
    </font>
    <font>
      <b/>
      <sz val="7"/>
      <name val="Arial"/>
      <family val="2"/>
    </font>
    <font>
      <sz val="10"/>
      <name val="Arial"/>
      <family val="2"/>
    </font>
    <font>
      <sz val="8"/>
      <color indexed="10"/>
      <name val="Arial"/>
      <family val="2"/>
    </font>
    <font>
      <sz val="10"/>
      <color indexed="10"/>
      <name val="Arial"/>
      <family val="2"/>
    </font>
    <font>
      <b/>
      <sz val="9"/>
      <name val="Arial"/>
      <family val="2"/>
    </font>
    <font>
      <b/>
      <sz val="8"/>
      <name val="Arial"/>
      <family val="2"/>
    </font>
    <font>
      <vertAlign val="subscript"/>
      <sz val="8"/>
      <name val="Arial"/>
      <family val="2"/>
    </font>
    <font>
      <sz val="7"/>
      <color indexed="8"/>
      <name val="Comic Sans MS"/>
      <family val="4"/>
    </font>
    <font>
      <sz val="10"/>
      <name val="Courier"/>
      <family val="3"/>
    </font>
    <font>
      <sz val="14"/>
      <name val="Arial"/>
      <family val="2"/>
    </font>
    <font>
      <sz val="9"/>
      <name val="Times New Roman"/>
      <family val="1"/>
    </font>
    <font>
      <b/>
      <sz val="9"/>
      <name val="Times New Roman"/>
      <family val="1"/>
    </font>
    <font>
      <b/>
      <sz val="12"/>
      <name val="Times New Roman"/>
      <family val="1"/>
    </font>
    <font>
      <sz val="8"/>
      <name val="Helvetica"/>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Arial"/>
      <family val="2"/>
    </font>
    <font>
      <sz val="12"/>
      <name val="Helv"/>
    </font>
    <font>
      <b/>
      <sz val="10"/>
      <name val="Arial"/>
      <family val="2"/>
    </font>
    <font>
      <u/>
      <sz val="10"/>
      <color indexed="12"/>
      <name val="Arial"/>
      <family val="2"/>
    </font>
    <font>
      <sz val="8"/>
      <color indexed="8"/>
      <name val="Arial"/>
      <family val="2"/>
    </font>
    <font>
      <sz val="12"/>
      <color indexed="8"/>
      <name val="Arial"/>
      <family val="2"/>
    </font>
    <font>
      <b/>
      <sz val="8"/>
      <color indexed="81"/>
      <name val="Tahoma"/>
      <family val="2"/>
    </font>
    <font>
      <b/>
      <vertAlign val="subscript"/>
      <sz val="10"/>
      <name val="Arial"/>
      <family val="2"/>
    </font>
    <font>
      <b/>
      <sz val="10"/>
      <color indexed="10"/>
      <name val="Arial"/>
      <family val="2"/>
    </font>
    <font>
      <sz val="14"/>
      <color indexed="8"/>
      <name val="Comic Sans MS"/>
      <family val="4"/>
    </font>
    <font>
      <vertAlign val="subscript"/>
      <sz val="14"/>
      <color indexed="8"/>
      <name val="Comic Sans MS"/>
      <family val="4"/>
    </font>
    <font>
      <sz val="8"/>
      <color indexed="8"/>
      <name val="Comic Sans MS"/>
      <family val="4"/>
    </font>
    <font>
      <b/>
      <sz val="10"/>
      <name val="Comic Sans MS"/>
      <family val="4"/>
    </font>
    <font>
      <sz val="10"/>
      <name val="Arial"/>
      <family val="2"/>
    </font>
    <font>
      <sz val="14"/>
      <name val="Comic Sans MS"/>
      <family val="4"/>
    </font>
    <font>
      <vertAlign val="subscript"/>
      <sz val="14"/>
      <name val="Comic Sans MS"/>
      <family val="4"/>
    </font>
    <font>
      <b/>
      <sz val="8"/>
      <color indexed="8"/>
      <name val="Arial"/>
      <family val="2"/>
    </font>
    <font>
      <vertAlign val="subscript"/>
      <sz val="8"/>
      <color indexed="81"/>
      <name val="Tahoma"/>
      <family val="2"/>
    </font>
    <font>
      <sz val="7"/>
      <color indexed="8"/>
      <name val="Arial"/>
      <family val="2"/>
    </font>
    <font>
      <b/>
      <sz val="10"/>
      <name val="MS Sans Serif"/>
      <family val="2"/>
    </font>
    <font>
      <b/>
      <sz val="10"/>
      <color indexed="12"/>
      <name val="MS Sans Serif"/>
      <family val="2"/>
    </font>
    <font>
      <sz val="10"/>
      <color indexed="12"/>
      <name val="MS Sans Serif"/>
      <family val="2"/>
    </font>
    <font>
      <b/>
      <sz val="10"/>
      <color indexed="10"/>
      <name val="MS Sans Serif"/>
      <family val="2"/>
    </font>
    <font>
      <sz val="10"/>
      <color indexed="10"/>
      <name val="MS Sans Serif"/>
      <family val="2"/>
    </font>
    <font>
      <sz val="10"/>
      <name val="MS Sans Serif"/>
      <family val="2"/>
    </font>
    <font>
      <b/>
      <sz val="10"/>
      <color indexed="61"/>
      <name val="MS Sans Serif"/>
      <family val="2"/>
    </font>
    <font>
      <sz val="10"/>
      <color indexed="61"/>
      <name val="MS Sans Serif"/>
      <family val="2"/>
    </font>
    <font>
      <vertAlign val="subscript"/>
      <sz val="10"/>
      <name val="MS Sans Serif"/>
      <family val="2"/>
    </font>
    <font>
      <b/>
      <sz val="8.5"/>
      <name val="MS Sans Serif"/>
      <family val="2"/>
    </font>
    <font>
      <b/>
      <vertAlign val="subscript"/>
      <sz val="7"/>
      <name val="Comic Sans MS"/>
      <family val="4"/>
    </font>
    <font>
      <b/>
      <sz val="8"/>
      <name val="Arial"/>
      <family val="2"/>
    </font>
    <font>
      <b/>
      <sz val="7"/>
      <color indexed="8"/>
      <name val="Comic Sans MS"/>
      <family val="4"/>
    </font>
    <font>
      <b/>
      <vertAlign val="subscript"/>
      <sz val="8"/>
      <color indexed="8"/>
      <name val="Arial"/>
      <family val="2"/>
    </font>
    <font>
      <b/>
      <vertAlign val="superscript"/>
      <sz val="8"/>
      <color indexed="81"/>
      <name val="Tahoma"/>
      <family val="2"/>
    </font>
    <font>
      <vertAlign val="subscript"/>
      <sz val="10"/>
      <name val="Arial"/>
      <family val="2"/>
    </font>
    <font>
      <b/>
      <vertAlign val="subscript"/>
      <sz val="9"/>
      <name val="Arial"/>
      <family val="2"/>
    </font>
    <font>
      <sz val="7"/>
      <color indexed="9"/>
      <name val="Comic Sans MS"/>
      <family val="4"/>
    </font>
    <font>
      <sz val="7"/>
      <color indexed="9"/>
      <name val="Arial"/>
      <family val="2"/>
    </font>
    <font>
      <vertAlign val="subscript"/>
      <sz val="8"/>
      <name val="Comic Sans MS"/>
      <family val="4"/>
    </font>
    <font>
      <sz val="16"/>
      <color indexed="18"/>
      <name val="Comic Sans MS"/>
      <family val="4"/>
    </font>
    <font>
      <vertAlign val="subscript"/>
      <sz val="7"/>
      <name val="Comic Sans MS"/>
      <family val="4"/>
    </font>
    <font>
      <b/>
      <sz val="7"/>
      <color indexed="10"/>
      <name val="Comic Sans MS"/>
      <family val="4"/>
    </font>
    <font>
      <sz val="7"/>
      <color indexed="10"/>
      <name val="Comic Sans MS"/>
      <family val="4"/>
    </font>
    <font>
      <b/>
      <vertAlign val="subscript"/>
      <sz val="10"/>
      <color indexed="10"/>
      <name val="Arial"/>
      <family val="2"/>
    </font>
    <font>
      <b/>
      <vertAlign val="subscript"/>
      <sz val="10"/>
      <name val="MS Sans Serif"/>
      <family val="2"/>
    </font>
    <font>
      <sz val="10"/>
      <name val="Times New Roman"/>
      <family val="1"/>
    </font>
    <font>
      <b/>
      <sz val="10"/>
      <name val="Times New Roman"/>
      <family val="1"/>
    </font>
    <font>
      <sz val="8"/>
      <name val="Calibri"/>
      <family val="2"/>
    </font>
    <font>
      <b/>
      <sz val="10"/>
      <name val="Calibri"/>
      <family val="2"/>
    </font>
    <font>
      <sz val="10"/>
      <name val="Calibri"/>
      <family val="2"/>
    </font>
    <font>
      <sz val="10"/>
      <color indexed="8"/>
      <name val="Calibri"/>
      <family val="2"/>
    </font>
    <font>
      <b/>
      <sz val="10"/>
      <color indexed="8"/>
      <name val="Calibri"/>
      <family val="2"/>
    </font>
    <font>
      <b/>
      <vertAlign val="subscript"/>
      <sz val="10"/>
      <name val="Calibri"/>
      <family val="2"/>
    </font>
    <font>
      <sz val="14"/>
      <name val="Calibri"/>
      <family val="2"/>
    </font>
    <font>
      <sz val="7"/>
      <name val="Calibri"/>
      <family val="2"/>
    </font>
    <font>
      <b/>
      <sz val="7"/>
      <name val="Calibri"/>
      <family val="2"/>
    </font>
    <font>
      <sz val="10"/>
      <color indexed="9"/>
      <name val="Calibri"/>
      <family val="2"/>
    </font>
    <font>
      <b/>
      <sz val="8"/>
      <name val="Calibri"/>
      <family val="2"/>
    </font>
    <font>
      <b/>
      <vertAlign val="subscript"/>
      <sz val="7"/>
      <name val="Calibri"/>
      <family val="2"/>
    </font>
    <font>
      <b/>
      <i/>
      <sz val="7"/>
      <name val="Calibri"/>
      <family val="2"/>
    </font>
    <font>
      <b/>
      <vertAlign val="superscript"/>
      <sz val="7"/>
      <name val="Calibri"/>
      <family val="2"/>
    </font>
    <font>
      <b/>
      <sz val="14"/>
      <name val="Calibri"/>
      <family val="2"/>
    </font>
    <font>
      <b/>
      <sz val="14"/>
      <color indexed="18"/>
      <name val="Calibri"/>
      <family val="2"/>
    </font>
    <font>
      <i/>
      <sz val="8"/>
      <name val="Calibri"/>
      <family val="2"/>
    </font>
    <font>
      <vertAlign val="superscript"/>
      <sz val="7"/>
      <name val="Comic Sans MS"/>
      <family val="4"/>
    </font>
    <font>
      <b/>
      <sz val="12"/>
      <color indexed="8"/>
      <name val="Comic Sans MS"/>
      <family val="4"/>
    </font>
    <font>
      <sz val="8"/>
      <name val="Arial"/>
      <family val="2"/>
    </font>
    <font>
      <b/>
      <vertAlign val="subscript"/>
      <sz val="7"/>
      <name val="Arial"/>
      <family val="2"/>
    </font>
    <font>
      <sz val="7"/>
      <name val="@Batang"/>
      <family val="1"/>
    </font>
    <font>
      <sz val="12"/>
      <name val="Comic Sans MS"/>
      <family val="4"/>
    </font>
    <font>
      <b/>
      <sz val="10"/>
      <name val="Arial"/>
      <family val="2"/>
    </font>
    <font>
      <b/>
      <vertAlign val="superscript"/>
      <sz val="7"/>
      <name val="Comic Sans MS"/>
      <family val="4"/>
    </font>
    <font>
      <sz val="7"/>
      <name val="Arial"/>
      <family val="2"/>
    </font>
    <font>
      <sz val="7"/>
      <color indexed="9"/>
      <name val="Arial"/>
      <family val="2"/>
    </font>
    <font>
      <sz val="10"/>
      <color indexed="9"/>
      <name val="Arial"/>
      <family val="2"/>
    </font>
    <font>
      <sz val="8"/>
      <color indexed="8"/>
      <name val="Calibri"/>
      <family val="2"/>
    </font>
    <font>
      <b/>
      <vertAlign val="subscript"/>
      <sz val="8"/>
      <name val="Calibri"/>
      <family val="2"/>
    </font>
    <font>
      <sz val="7"/>
      <color indexed="81"/>
      <name val="Tahoma"/>
      <family val="2"/>
    </font>
    <font>
      <sz val="10"/>
      <name val="Courier"/>
      <family val="3"/>
    </font>
    <font>
      <vertAlign val="subscript"/>
      <sz val="8"/>
      <name val="Calibri"/>
      <family val="2"/>
    </font>
    <font>
      <sz val="8"/>
      <color indexed="9"/>
      <name val="Calibri"/>
      <family val="2"/>
    </font>
    <font>
      <b/>
      <sz val="11"/>
      <name val="Calibri"/>
      <family val="2"/>
    </font>
    <font>
      <sz val="11"/>
      <name val="Calibri"/>
      <family val="2"/>
    </font>
    <font>
      <b/>
      <vertAlign val="subscript"/>
      <sz val="11"/>
      <color indexed="9"/>
      <name val="Calibri"/>
      <family val="2"/>
    </font>
    <font>
      <b/>
      <vertAlign val="subscript"/>
      <sz val="11"/>
      <name val="Calibri"/>
      <family val="2"/>
    </font>
    <font>
      <b/>
      <vertAlign val="superscript"/>
      <sz val="11"/>
      <name val="Calibri"/>
      <family val="2"/>
    </font>
    <font>
      <i/>
      <sz val="11"/>
      <name val="Calibri"/>
      <family val="2"/>
    </font>
    <font>
      <vertAlign val="subscript"/>
      <sz val="11"/>
      <name val="Calibri"/>
      <family val="2"/>
    </font>
    <font>
      <sz val="9"/>
      <name val="Calibri"/>
      <family val="2"/>
    </font>
    <font>
      <b/>
      <sz val="9"/>
      <name val="Calibri"/>
      <family val="2"/>
    </font>
    <font>
      <b/>
      <vertAlign val="subscript"/>
      <sz val="9"/>
      <name val="Calibri"/>
      <family val="2"/>
    </font>
    <font>
      <i/>
      <sz val="9"/>
      <name val="Calibri"/>
      <family val="2"/>
    </font>
    <font>
      <b/>
      <vertAlign val="subscript"/>
      <sz val="8"/>
      <name val="Arial"/>
      <family val="2"/>
    </font>
    <font>
      <sz val="14"/>
      <color indexed="8"/>
      <name val="Calibri"/>
      <family val="2"/>
    </font>
    <font>
      <i/>
      <sz val="10"/>
      <name val="Calibri"/>
      <family val="2"/>
    </font>
    <font>
      <sz val="6"/>
      <name val="P-AVGARD"/>
    </font>
    <font>
      <b/>
      <i/>
      <sz val="10"/>
      <name val="Calibri"/>
      <family val="2"/>
    </font>
    <font>
      <i/>
      <vertAlign val="subscript"/>
      <sz val="10"/>
      <name val="Calibri"/>
      <family val="2"/>
    </font>
    <font>
      <sz val="11"/>
      <color indexed="12"/>
      <name val="Calibri"/>
      <family val="2"/>
    </font>
    <font>
      <i/>
      <sz val="26"/>
      <name val="Engravers MT"/>
      <family val="1"/>
    </font>
    <font>
      <sz val="8"/>
      <name val="Times New Roman"/>
      <family val="1"/>
    </font>
    <font>
      <b/>
      <sz val="8"/>
      <name val="Times New Roman"/>
      <family val="1"/>
    </font>
    <font>
      <vertAlign val="subscript"/>
      <sz val="9"/>
      <name val="Arial"/>
      <family val="2"/>
    </font>
    <font>
      <b/>
      <vertAlign val="subscript"/>
      <sz val="8.5"/>
      <name val="MS Sans Serif"/>
      <family val="2"/>
    </font>
    <font>
      <b/>
      <sz val="9"/>
      <color indexed="81"/>
      <name val="Tahoma"/>
      <family val="2"/>
    </font>
    <font>
      <b/>
      <vertAlign val="subscript"/>
      <sz val="12"/>
      <color indexed="8"/>
      <name val="Comic Sans MS"/>
      <family val="4"/>
    </font>
    <font>
      <sz val="9"/>
      <color indexed="81"/>
      <name val="Tahoma"/>
      <family val="2"/>
    </font>
    <font>
      <vertAlign val="subscript"/>
      <sz val="12"/>
      <name val="Comic Sans MS"/>
      <family val="4"/>
    </font>
    <font>
      <vertAlign val="subscript"/>
      <sz val="14"/>
      <name val="Calibri"/>
      <family val="2"/>
    </font>
    <font>
      <sz val="10"/>
      <color indexed="10"/>
      <name val="Calibri"/>
      <family val="2"/>
    </font>
    <font>
      <b/>
      <sz val="12"/>
      <name val="Arial"/>
      <family val="2"/>
    </font>
    <font>
      <b/>
      <sz val="11"/>
      <color indexed="10"/>
      <name val="Calibri"/>
      <family val="2"/>
    </font>
    <font>
      <b/>
      <sz val="8"/>
      <color indexed="10"/>
      <name val="Calibri"/>
      <family val="2"/>
    </font>
    <font>
      <sz val="8"/>
      <color indexed="10"/>
      <name val="Calibri"/>
      <family val="2"/>
    </font>
    <font>
      <b/>
      <vertAlign val="subscript"/>
      <sz val="8"/>
      <color indexed="10"/>
      <name val="Calibri"/>
      <family val="2"/>
    </font>
    <font>
      <b/>
      <vertAlign val="subscript"/>
      <sz val="14"/>
      <name val="Comic Sans MS"/>
      <family val="4"/>
    </font>
    <font>
      <b/>
      <vertAlign val="subscript"/>
      <sz val="9"/>
      <color indexed="81"/>
      <name val="Tahoma"/>
      <family val="2"/>
    </font>
    <font>
      <sz val="8"/>
      <color indexed="10"/>
      <name val="Arial"/>
      <family val="2"/>
    </font>
    <font>
      <vertAlign val="subscript"/>
      <sz val="10"/>
      <color indexed="10"/>
      <name val="Arial"/>
      <family val="2"/>
    </font>
    <font>
      <sz val="10"/>
      <color indexed="10"/>
      <name val="Arial"/>
      <family val="2"/>
    </font>
    <font>
      <b/>
      <sz val="10"/>
      <color indexed="10"/>
      <name val="Arial"/>
      <family val="2"/>
    </font>
    <font>
      <sz val="8"/>
      <color indexed="10"/>
      <name val="Arial"/>
      <family val="2"/>
    </font>
    <font>
      <b/>
      <sz val="8"/>
      <color indexed="10"/>
      <name val="Times New Roman"/>
      <family val="1"/>
    </font>
    <font>
      <sz val="8"/>
      <color indexed="10"/>
      <name val="Times New Roman"/>
      <family val="1"/>
    </font>
    <font>
      <sz val="11"/>
      <name val="Calibri"/>
      <family val="2"/>
    </font>
    <font>
      <b/>
      <sz val="11"/>
      <name val="Calibri"/>
      <family val="2"/>
    </font>
    <font>
      <vertAlign val="superscript"/>
      <sz val="11"/>
      <name val="Calibri"/>
      <family val="2"/>
    </font>
    <font>
      <b/>
      <sz val="11"/>
      <color indexed="61"/>
      <name val="Calibri"/>
      <family val="2"/>
    </font>
    <font>
      <b/>
      <sz val="11"/>
      <color indexed="60"/>
      <name val="Calibri"/>
      <family val="2"/>
    </font>
    <font>
      <sz val="11"/>
      <name val="Calibri"/>
      <family val="2"/>
    </font>
    <font>
      <sz val="10"/>
      <color indexed="10"/>
      <name val="Arial"/>
      <family val="2"/>
    </font>
    <font>
      <b/>
      <sz val="10"/>
      <color indexed="10"/>
      <name val="Arial"/>
      <family val="2"/>
    </font>
    <font>
      <b/>
      <sz val="11"/>
      <color indexed="17"/>
      <name val="Calibri"/>
      <family val="2"/>
    </font>
    <font>
      <sz val="11"/>
      <name val="Calibri"/>
      <family val="2"/>
      <charset val="1"/>
    </font>
    <font>
      <i/>
      <sz val="11"/>
      <name val="Calibri"/>
      <family val="2"/>
      <charset val="1"/>
    </font>
    <font>
      <b/>
      <sz val="11"/>
      <name val="Calibri"/>
      <family val="2"/>
      <charset val="1"/>
    </font>
    <font>
      <sz val="11"/>
      <color indexed="10"/>
      <name val="Calibri"/>
      <family val="2"/>
      <charset val="1"/>
    </font>
    <font>
      <b/>
      <vertAlign val="subscript"/>
      <sz val="11"/>
      <name val="Calibri"/>
      <family val="2"/>
      <charset val="1"/>
    </font>
    <font>
      <sz val="8"/>
      <color indexed="8"/>
      <name val="Tahoma"/>
      <family val="2"/>
    </font>
    <font>
      <vertAlign val="subscript"/>
      <sz val="8"/>
      <color indexed="8"/>
      <name val="Tahoma"/>
      <family val="2"/>
    </font>
    <font>
      <b/>
      <sz val="8"/>
      <color indexed="8"/>
      <name val="Tahoma"/>
      <family val="2"/>
    </font>
    <font>
      <b/>
      <sz val="11"/>
      <color indexed="36"/>
      <name val="Calibri"/>
      <family val="2"/>
    </font>
    <font>
      <b/>
      <sz val="11"/>
      <color indexed="53"/>
      <name val="Calibri"/>
      <family val="2"/>
    </font>
    <font>
      <b/>
      <sz val="11"/>
      <color indexed="23"/>
      <name val="Calibri"/>
      <family val="2"/>
    </font>
    <font>
      <b/>
      <vertAlign val="superscript"/>
      <sz val="11"/>
      <color indexed="10"/>
      <name val="Calibri"/>
      <family val="2"/>
    </font>
    <font>
      <b/>
      <vertAlign val="subscript"/>
      <sz val="11"/>
      <color indexed="17"/>
      <name val="Calibri"/>
      <family val="2"/>
    </font>
    <font>
      <b/>
      <vertAlign val="subscript"/>
      <sz val="11"/>
      <color indexed="36"/>
      <name val="Calibri"/>
      <family val="2"/>
    </font>
    <font>
      <b/>
      <vertAlign val="subscript"/>
      <sz val="11"/>
      <color indexed="53"/>
      <name val="Calibri"/>
      <family val="2"/>
    </font>
    <font>
      <b/>
      <vertAlign val="subscript"/>
      <sz val="11"/>
      <color indexed="23"/>
      <name val="Calibri"/>
      <family val="2"/>
    </font>
    <font>
      <b/>
      <vertAlign val="subscript"/>
      <sz val="11"/>
      <color indexed="10"/>
      <name val="Calibri"/>
      <family val="2"/>
    </font>
    <font>
      <b/>
      <vertAlign val="subscript"/>
      <sz val="11"/>
      <color indexed="60"/>
      <name val="Calibri"/>
      <family val="2"/>
    </font>
    <font>
      <b/>
      <vertAlign val="subscript"/>
      <sz val="10"/>
      <color indexed="8"/>
      <name val="Calibri"/>
      <family val="2"/>
    </font>
    <font>
      <b/>
      <sz val="10"/>
      <color indexed="30"/>
      <name val="Calibri"/>
      <family val="2"/>
    </font>
    <font>
      <vertAlign val="subscript"/>
      <sz val="10"/>
      <name val="Calibri"/>
      <family val="2"/>
    </font>
    <font>
      <b/>
      <vertAlign val="subscript"/>
      <sz val="10"/>
      <color indexed="30"/>
      <name val="Calibri"/>
      <family val="2"/>
    </font>
    <font>
      <vertAlign val="subscript"/>
      <sz val="10"/>
      <color indexed="8"/>
      <name val="Calibri"/>
      <family val="2"/>
    </font>
    <font>
      <sz val="8"/>
      <name val="Arial"/>
      <family val="2"/>
    </font>
    <font>
      <sz val="10"/>
      <color indexed="8"/>
      <name val="Arial"/>
      <family val="2"/>
    </font>
    <font>
      <b/>
      <sz val="11"/>
      <color indexed="8"/>
      <name val="Calibri"/>
      <family val="2"/>
    </font>
    <font>
      <sz val="11"/>
      <color indexed="10"/>
      <name val="Calibri"/>
      <family val="2"/>
    </font>
    <font>
      <sz val="11"/>
      <name val="Calibri"/>
      <family val="2"/>
    </font>
    <font>
      <b/>
      <sz val="11"/>
      <color indexed="40"/>
      <name val="Calibri"/>
      <family val="2"/>
    </font>
    <font>
      <b/>
      <sz val="11"/>
      <color indexed="17"/>
      <name val="Calibri"/>
      <family val="2"/>
    </font>
    <font>
      <sz val="11"/>
      <color indexed="36"/>
      <name val="Calibri"/>
      <family val="2"/>
    </font>
    <font>
      <sz val="11"/>
      <color indexed="53"/>
      <name val="Calibri"/>
      <family val="2"/>
    </font>
    <font>
      <sz val="11"/>
      <color indexed="23"/>
      <name val="Calibri"/>
      <family val="2"/>
    </font>
    <font>
      <sz val="11"/>
      <color indexed="60"/>
      <name val="Calibri"/>
      <family val="2"/>
    </font>
    <font>
      <b/>
      <sz val="11"/>
      <color indexed="10"/>
      <name val="Calibri"/>
      <family val="2"/>
    </font>
    <font>
      <b/>
      <sz val="11"/>
      <name val="Calibri"/>
      <family val="2"/>
    </font>
    <font>
      <sz val="11"/>
      <color indexed="10"/>
      <name val="Calibri"/>
      <family val="2"/>
      <charset val="1"/>
    </font>
    <font>
      <b/>
      <sz val="11"/>
      <color indexed="36"/>
      <name val="Calibri"/>
      <family val="2"/>
    </font>
    <font>
      <b/>
      <sz val="11"/>
      <color indexed="53"/>
      <name val="Calibri"/>
      <family val="2"/>
    </font>
    <font>
      <b/>
      <sz val="11"/>
      <color indexed="23"/>
      <name val="Calibri"/>
      <family val="2"/>
    </font>
    <font>
      <b/>
      <sz val="11"/>
      <color indexed="60"/>
      <name val="Calibri"/>
      <family val="2"/>
    </font>
    <font>
      <sz val="11"/>
      <color indexed="40"/>
      <name val="Calibri"/>
      <family val="2"/>
    </font>
    <font>
      <b/>
      <sz val="10"/>
      <name val="Calibri"/>
      <family val="2"/>
    </font>
    <font>
      <sz val="10"/>
      <name val="Calibri"/>
      <family val="2"/>
    </font>
    <font>
      <b/>
      <sz val="10"/>
      <color indexed="8"/>
      <name val="Calibri"/>
      <family val="2"/>
    </font>
    <font>
      <sz val="10"/>
      <color indexed="8"/>
      <name val="Calibri"/>
      <family val="2"/>
    </font>
    <font>
      <b/>
      <sz val="10"/>
      <color indexed="30"/>
      <name val="Calibri"/>
      <family val="2"/>
    </font>
    <font>
      <sz val="10"/>
      <color indexed="30"/>
      <name val="Calibri"/>
      <family val="2"/>
    </font>
    <font>
      <b/>
      <sz val="10"/>
      <color indexed="12"/>
      <name val="Calibri"/>
      <family val="2"/>
    </font>
    <font>
      <sz val="10"/>
      <color indexed="10"/>
      <name val="Calibri"/>
      <family val="2"/>
    </font>
    <font>
      <sz val="10"/>
      <color indexed="10"/>
      <name val="Calibri"/>
      <family val="2"/>
    </font>
    <font>
      <b/>
      <sz val="10"/>
      <color indexed="10"/>
      <name val="Calibri"/>
      <family val="2"/>
    </font>
    <font>
      <b/>
      <sz val="10"/>
      <color indexed="30"/>
      <name val="Calibri"/>
      <family val="2"/>
    </font>
    <font>
      <b/>
      <sz val="16"/>
      <color indexed="8"/>
      <name val="Calibri"/>
      <family val="2"/>
    </font>
    <font>
      <b/>
      <sz val="16"/>
      <color indexed="12"/>
      <name val="Calibri"/>
      <family val="2"/>
    </font>
    <font>
      <sz val="16"/>
      <color indexed="10"/>
      <name val="Calibri"/>
      <family val="2"/>
    </font>
    <font>
      <b/>
      <sz val="11"/>
      <color indexed="12"/>
      <name val="Calibri"/>
      <family val="2"/>
    </font>
    <font>
      <b/>
      <vertAlign val="subscript"/>
      <sz val="11"/>
      <color indexed="12"/>
      <name val="Calibri"/>
      <family val="2"/>
    </font>
    <font>
      <sz val="16"/>
      <color indexed="8"/>
      <name val="Calibri"/>
      <family val="2"/>
    </font>
    <font>
      <sz val="11"/>
      <color indexed="12"/>
      <name val="Calibri"/>
      <family val="2"/>
    </font>
    <font>
      <b/>
      <sz val="8"/>
      <color indexed="10"/>
      <name val="Arial"/>
      <family val="2"/>
    </font>
    <font>
      <vertAlign val="subscript"/>
      <sz val="11"/>
      <color indexed="8"/>
      <name val="Calibri"/>
      <family val="2"/>
    </font>
    <font>
      <b/>
      <vertAlign val="subscript"/>
      <sz val="8"/>
      <color indexed="10"/>
      <name val="Arial"/>
      <family val="2"/>
    </font>
    <font>
      <sz val="14"/>
      <color indexed="10"/>
      <name val="Calibri"/>
      <family val="2"/>
    </font>
    <font>
      <b/>
      <sz val="10"/>
      <color indexed="10"/>
      <name val="Calibri"/>
      <family val="2"/>
    </font>
    <font>
      <b/>
      <sz val="8"/>
      <color indexed="10"/>
      <name val="Arial"/>
      <family val="2"/>
    </font>
    <font>
      <sz val="10"/>
      <color indexed="10"/>
      <name val="Calibri"/>
      <family val="2"/>
    </font>
    <font>
      <u/>
      <sz val="8"/>
      <color theme="10"/>
      <name val="Arial"/>
      <family val="2"/>
    </font>
    <font>
      <sz val="12"/>
      <name val="Arial"/>
      <family val="2"/>
    </font>
    <font>
      <i/>
      <sz val="22"/>
      <name val="Engravers MT"/>
      <family val="1"/>
    </font>
    <font>
      <sz val="8"/>
      <color rgb="FFFF0000"/>
      <name val="Calibri"/>
      <family val="2"/>
    </font>
  </fonts>
  <fills count="5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4"/>
        <bgColor indexed="64"/>
      </patternFill>
    </fill>
    <fill>
      <patternFill patternType="solid">
        <fgColor indexed="47"/>
        <bgColor indexed="64"/>
      </patternFill>
    </fill>
    <fill>
      <patternFill patternType="solid">
        <fgColor indexed="43"/>
      </patternFill>
    </fill>
    <fill>
      <patternFill patternType="solid">
        <fgColor indexed="22"/>
        <bgColor indexed="64"/>
      </patternFill>
    </fill>
    <fill>
      <patternFill patternType="solid">
        <fgColor indexed="26"/>
      </patternFill>
    </fill>
    <fill>
      <patternFill patternType="darkTrellis"/>
    </fill>
    <fill>
      <patternFill patternType="solid">
        <fgColor indexed="46"/>
        <bgColor indexed="64"/>
      </patternFill>
    </fill>
    <fill>
      <patternFill patternType="solid">
        <fgColor indexed="13"/>
        <bgColor indexed="64"/>
      </patternFill>
    </fill>
    <fill>
      <patternFill patternType="solid">
        <fgColor indexed="9"/>
        <bgColor indexed="64"/>
      </patternFill>
    </fill>
    <fill>
      <patternFill patternType="solid">
        <fgColor indexed="41"/>
        <bgColor indexed="64"/>
      </patternFill>
    </fill>
    <fill>
      <patternFill patternType="solid">
        <fgColor indexed="42"/>
        <bgColor indexed="64"/>
      </patternFill>
    </fill>
    <fill>
      <patternFill patternType="solid">
        <fgColor indexed="57"/>
        <bgColor indexed="64"/>
      </patternFill>
    </fill>
    <fill>
      <patternFill patternType="solid">
        <fgColor indexed="51"/>
        <bgColor indexed="64"/>
      </patternFill>
    </fill>
    <fill>
      <patternFill patternType="solid">
        <fgColor indexed="45"/>
        <bgColor indexed="64"/>
      </patternFill>
    </fill>
    <fill>
      <patternFill patternType="solid">
        <fgColor indexed="43"/>
        <bgColor indexed="64"/>
      </patternFill>
    </fill>
    <fill>
      <patternFill patternType="solid">
        <fgColor indexed="17"/>
        <bgColor indexed="64"/>
      </patternFill>
    </fill>
    <fill>
      <patternFill patternType="solid">
        <fgColor indexed="55"/>
        <bgColor indexed="64"/>
      </patternFill>
    </fill>
    <fill>
      <patternFill patternType="solid">
        <fgColor indexed="14"/>
        <bgColor indexed="64"/>
      </patternFill>
    </fill>
    <fill>
      <patternFill patternType="solid">
        <fgColor indexed="23"/>
        <bgColor indexed="64"/>
      </patternFill>
    </fill>
    <fill>
      <patternFill patternType="solid">
        <fgColor indexed="50"/>
        <bgColor indexed="64"/>
      </patternFill>
    </fill>
    <fill>
      <patternFill patternType="solid">
        <fgColor indexed="11"/>
        <bgColor indexed="64"/>
      </patternFill>
    </fill>
    <fill>
      <patternFill patternType="solid">
        <fgColor indexed="10"/>
        <bgColor indexed="64"/>
      </patternFill>
    </fill>
    <fill>
      <patternFill patternType="solid">
        <fgColor indexed="40"/>
        <bgColor indexed="64"/>
      </patternFill>
    </fill>
    <fill>
      <patternFill patternType="solid">
        <fgColor indexed="36"/>
        <bgColor indexed="64"/>
      </patternFill>
    </fill>
    <fill>
      <patternFill patternType="solid">
        <fgColor indexed="19"/>
        <bgColor indexed="64"/>
      </patternFill>
    </fill>
    <fill>
      <patternFill patternType="solid">
        <fgColor indexed="50"/>
        <bgColor indexed="49"/>
      </patternFill>
    </fill>
    <fill>
      <patternFill patternType="solid">
        <fgColor indexed="51"/>
        <bgColor indexed="22"/>
      </patternFill>
    </fill>
    <fill>
      <patternFill patternType="solid">
        <fgColor indexed="46"/>
        <bgColor indexed="24"/>
      </patternFill>
    </fill>
    <fill>
      <patternFill patternType="solid">
        <fgColor indexed="40"/>
        <bgColor indexed="49"/>
      </patternFill>
    </fill>
    <fill>
      <patternFill patternType="solid">
        <fgColor indexed="19"/>
        <bgColor indexed="23"/>
      </patternFill>
    </fill>
    <fill>
      <patternFill patternType="solid">
        <fgColor indexed="22"/>
        <bgColor indexed="0"/>
      </patternFill>
    </fill>
    <fill>
      <patternFill patternType="solid">
        <fgColor indexed="63"/>
        <bgColor indexed="64"/>
      </patternFill>
    </fill>
    <fill>
      <patternFill patternType="solid">
        <fgColor rgb="FFFFFFCC"/>
        <bgColor indexed="64"/>
      </patternFill>
    </fill>
  </fills>
  <borders count="308">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64"/>
      </left>
      <right/>
      <top style="medium">
        <color indexed="64"/>
      </top>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bottom/>
      <diagonal/>
    </border>
    <border>
      <left style="double">
        <color indexed="64"/>
      </left>
      <right/>
      <top style="double">
        <color indexed="64"/>
      </top>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right/>
      <top style="medium">
        <color indexed="64"/>
      </top>
      <bottom/>
      <diagonal/>
    </border>
    <border>
      <left style="double">
        <color indexed="64"/>
      </left>
      <right style="thin">
        <color indexed="64"/>
      </right>
      <top style="thin">
        <color indexed="64"/>
      </top>
      <bottom style="thin">
        <color indexed="64"/>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style="thin">
        <color indexed="64"/>
      </left>
      <right/>
      <top style="thin">
        <color indexed="64"/>
      </top>
      <bottom style="thin">
        <color indexed="64"/>
      </bottom>
      <diagonal/>
    </border>
    <border>
      <left/>
      <right/>
      <top style="double">
        <color indexed="64"/>
      </top>
      <bottom/>
      <diagonal/>
    </border>
    <border>
      <left/>
      <right style="double">
        <color indexed="64"/>
      </right>
      <top style="double">
        <color indexed="64"/>
      </top>
      <bottom/>
      <diagonal/>
    </border>
    <border>
      <left style="thin">
        <color indexed="64"/>
      </left>
      <right style="thin">
        <color indexed="64"/>
      </right>
      <top style="thin">
        <color indexed="64"/>
      </top>
      <bottom style="thick">
        <color indexed="64"/>
      </bottom>
      <diagonal/>
    </border>
    <border>
      <left style="thin">
        <color indexed="64"/>
      </left>
      <right style="thin">
        <color indexed="64"/>
      </right>
      <top/>
      <bottom/>
      <diagonal/>
    </border>
    <border>
      <left style="medium">
        <color indexed="64"/>
      </left>
      <right style="thin">
        <color indexed="64"/>
      </right>
      <top style="medium">
        <color indexed="64"/>
      </top>
      <bottom style="thin">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right/>
      <top style="medium">
        <color indexed="64"/>
      </top>
      <bottom style="medium">
        <color indexed="64"/>
      </bottom>
      <diagonal/>
    </border>
    <border>
      <left style="thin">
        <color indexed="64"/>
      </left>
      <right style="double">
        <color indexed="64"/>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medium">
        <color indexed="64"/>
      </top>
      <bottom/>
      <diagonal/>
    </border>
    <border>
      <left style="medium">
        <color indexed="64"/>
      </left>
      <right/>
      <top/>
      <bottom/>
      <diagonal/>
    </border>
    <border>
      <left style="medium">
        <color indexed="64"/>
      </left>
      <right style="medium">
        <color indexed="64"/>
      </right>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double">
        <color indexed="64"/>
      </left>
      <right/>
      <top style="double">
        <color indexed="64"/>
      </top>
      <bottom style="medium">
        <color indexed="64"/>
      </bottom>
      <diagonal/>
    </border>
    <border>
      <left/>
      <right style="double">
        <color indexed="64"/>
      </right>
      <top style="double">
        <color indexed="64"/>
      </top>
      <bottom style="medium">
        <color indexed="64"/>
      </bottom>
      <diagonal/>
    </border>
    <border>
      <left style="double">
        <color indexed="64"/>
      </left>
      <right/>
      <top style="medium">
        <color indexed="64"/>
      </top>
      <bottom style="medium">
        <color indexed="64"/>
      </bottom>
      <diagonal/>
    </border>
    <border>
      <left/>
      <right style="double">
        <color indexed="64"/>
      </right>
      <top/>
      <bottom style="medium">
        <color indexed="64"/>
      </bottom>
      <diagonal/>
    </border>
    <border>
      <left style="double">
        <color indexed="64"/>
      </left>
      <right style="thin">
        <color indexed="64"/>
      </right>
      <top style="double">
        <color indexed="64"/>
      </top>
      <bottom style="thin">
        <color indexed="64"/>
      </bottom>
      <diagonal/>
    </border>
    <border>
      <left style="thin">
        <color indexed="64"/>
      </left>
      <right style="double">
        <color indexed="64"/>
      </right>
      <top style="double">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top/>
      <bottom/>
      <diagonal/>
    </border>
    <border>
      <left style="double">
        <color indexed="64"/>
      </left>
      <right/>
      <top style="double">
        <color indexed="64"/>
      </top>
      <bottom style="thin">
        <color indexed="64"/>
      </bottom>
      <diagonal/>
    </border>
    <border>
      <left/>
      <right/>
      <top style="double">
        <color indexed="64"/>
      </top>
      <bottom style="thin">
        <color indexed="64"/>
      </bottom>
      <diagonal/>
    </border>
    <border>
      <left/>
      <right style="double">
        <color indexed="64"/>
      </right>
      <top style="double">
        <color indexed="64"/>
      </top>
      <bottom style="thin">
        <color indexed="64"/>
      </bottom>
      <diagonal/>
    </border>
    <border>
      <left style="double">
        <color indexed="64"/>
      </left>
      <right/>
      <top style="thin">
        <color indexed="64"/>
      </top>
      <bottom style="double">
        <color indexed="64"/>
      </bottom>
      <diagonal/>
    </border>
    <border>
      <left/>
      <right/>
      <top style="thin">
        <color indexed="64"/>
      </top>
      <bottom style="double">
        <color indexed="64"/>
      </bottom>
      <diagonal/>
    </border>
    <border>
      <left/>
      <right style="double">
        <color indexed="64"/>
      </right>
      <top style="thin">
        <color indexed="64"/>
      </top>
      <bottom style="double">
        <color indexed="64"/>
      </bottom>
      <diagonal/>
    </border>
    <border>
      <left/>
      <right style="thin">
        <color indexed="22"/>
      </right>
      <top/>
      <bottom/>
      <diagonal/>
    </border>
    <border>
      <left/>
      <right style="medium">
        <color indexed="22"/>
      </right>
      <top/>
      <bottom style="thin">
        <color indexed="64"/>
      </bottom>
      <diagonal/>
    </border>
    <border>
      <left style="medium">
        <color indexed="64"/>
      </left>
      <right style="thin">
        <color indexed="22"/>
      </right>
      <top style="thin">
        <color indexed="64"/>
      </top>
      <bottom style="thin">
        <color indexed="22"/>
      </bottom>
      <diagonal/>
    </border>
    <border>
      <left style="medium">
        <color indexed="64"/>
      </left>
      <right style="thin">
        <color indexed="22"/>
      </right>
      <top style="thin">
        <color indexed="22"/>
      </top>
      <bottom style="thin">
        <color indexed="22"/>
      </bottom>
      <diagonal/>
    </border>
    <border>
      <left style="medium">
        <color indexed="64"/>
      </left>
      <right style="thin">
        <color indexed="22"/>
      </right>
      <top style="thin">
        <color indexed="22"/>
      </top>
      <bottom style="thin">
        <color indexed="64"/>
      </bottom>
      <diagonal/>
    </border>
    <border>
      <left style="medium">
        <color indexed="64"/>
      </left>
      <right style="medium">
        <color indexed="22"/>
      </right>
      <top/>
      <bottom style="thin">
        <color indexed="64"/>
      </bottom>
      <diagonal/>
    </border>
    <border>
      <left style="medium">
        <color indexed="64"/>
      </left>
      <right style="medium">
        <color indexed="22"/>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diagonal/>
    </border>
    <border>
      <left/>
      <right style="thin">
        <color indexed="64"/>
      </right>
      <top/>
      <bottom/>
      <diagonal/>
    </border>
    <border>
      <left style="thick">
        <color indexed="10"/>
      </left>
      <right/>
      <top/>
      <bottom/>
      <diagonal/>
    </border>
    <border>
      <left/>
      <right style="thick">
        <color indexed="10"/>
      </right>
      <top/>
      <bottom/>
      <diagonal/>
    </border>
    <border>
      <left/>
      <right style="thick">
        <color indexed="10"/>
      </right>
      <top/>
      <bottom style="medium">
        <color indexed="64"/>
      </bottom>
      <diagonal/>
    </border>
    <border>
      <left style="thick">
        <color indexed="10"/>
      </left>
      <right style="thin">
        <color indexed="64"/>
      </right>
      <top style="thin">
        <color indexed="64"/>
      </top>
      <bottom style="thin">
        <color indexed="64"/>
      </bottom>
      <diagonal/>
    </border>
    <border>
      <left style="thin">
        <color indexed="64"/>
      </left>
      <right style="thick">
        <color indexed="10"/>
      </right>
      <top style="thin">
        <color indexed="64"/>
      </top>
      <bottom style="thin">
        <color indexed="64"/>
      </bottom>
      <diagonal/>
    </border>
    <border>
      <left style="thick">
        <color indexed="10"/>
      </left>
      <right style="thin">
        <color indexed="64"/>
      </right>
      <top/>
      <bottom style="thin">
        <color indexed="64"/>
      </bottom>
      <diagonal/>
    </border>
    <border>
      <left style="thick">
        <color indexed="10"/>
      </left>
      <right/>
      <top/>
      <bottom style="thick">
        <color indexed="10"/>
      </bottom>
      <diagonal/>
    </border>
    <border>
      <left/>
      <right/>
      <top/>
      <bottom style="thick">
        <color indexed="10"/>
      </bottom>
      <diagonal/>
    </border>
    <border>
      <left/>
      <right style="thick">
        <color indexed="10"/>
      </right>
      <top/>
      <bottom style="thick">
        <color indexed="10"/>
      </bottom>
      <diagonal/>
    </border>
    <border>
      <left style="thick">
        <color indexed="10"/>
      </left>
      <right style="thick">
        <color indexed="10"/>
      </right>
      <top/>
      <bottom style="thick">
        <color indexed="10"/>
      </bottom>
      <diagonal/>
    </border>
    <border>
      <left style="thick">
        <color indexed="64"/>
      </left>
      <right/>
      <top/>
      <bottom/>
      <diagonal/>
    </border>
    <border>
      <left/>
      <right style="thick">
        <color indexed="64"/>
      </right>
      <top/>
      <bottom/>
      <diagonal/>
    </border>
    <border>
      <left style="thick">
        <color indexed="64"/>
      </left>
      <right/>
      <top/>
      <bottom style="thick">
        <color indexed="64"/>
      </bottom>
      <diagonal/>
    </border>
    <border>
      <left/>
      <right/>
      <top/>
      <bottom style="thick">
        <color indexed="64"/>
      </bottom>
      <diagonal/>
    </border>
    <border>
      <left/>
      <right style="thick">
        <color indexed="64"/>
      </right>
      <top/>
      <bottom style="thick">
        <color indexed="64"/>
      </bottom>
      <diagonal/>
    </border>
    <border>
      <left style="thick">
        <color indexed="64"/>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style="thick">
        <color indexed="64"/>
      </right>
      <top style="thick">
        <color indexed="64"/>
      </top>
      <bottom style="thin">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thin">
        <color indexed="64"/>
      </left>
      <right style="medium">
        <color indexed="64"/>
      </right>
      <top style="thin">
        <color indexed="64"/>
      </top>
      <bottom style="thin">
        <color indexed="64"/>
      </bottom>
      <diagonal/>
    </border>
    <border>
      <left style="double">
        <color indexed="64"/>
      </left>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diagonal/>
    </border>
    <border>
      <left style="double">
        <color indexed="64"/>
      </left>
      <right style="thin">
        <color indexed="64"/>
      </right>
      <top style="thin">
        <color indexed="64"/>
      </top>
      <bottom/>
      <diagonal/>
    </border>
    <border>
      <left style="thin">
        <color indexed="64"/>
      </left>
      <right style="thin">
        <color indexed="64"/>
      </right>
      <top/>
      <bottom style="thick">
        <color indexed="64"/>
      </bottom>
      <diagonal/>
    </border>
    <border>
      <left style="thin">
        <color indexed="64"/>
      </left>
      <right style="thin">
        <color indexed="64"/>
      </right>
      <top style="double">
        <color indexed="64"/>
      </top>
      <bottom style="thin">
        <color indexed="64"/>
      </bottom>
      <diagonal/>
    </border>
    <border>
      <left style="double">
        <color indexed="64"/>
      </left>
      <right style="thin">
        <color indexed="64"/>
      </right>
      <top style="thick">
        <color indexed="64"/>
      </top>
      <bottom style="thin">
        <color indexed="64"/>
      </bottom>
      <diagonal/>
    </border>
    <border>
      <left style="thin">
        <color indexed="64"/>
      </left>
      <right style="double">
        <color indexed="64"/>
      </right>
      <top style="thin">
        <color indexed="64"/>
      </top>
      <bottom/>
      <diagonal/>
    </border>
    <border>
      <left style="double">
        <color indexed="64"/>
      </left>
      <right style="thin">
        <color indexed="64"/>
      </right>
      <top/>
      <bottom/>
      <diagonal/>
    </border>
    <border>
      <left style="thin">
        <color indexed="64"/>
      </left>
      <right style="double">
        <color indexed="64"/>
      </right>
      <top/>
      <bottom/>
      <diagonal/>
    </border>
    <border>
      <left style="double">
        <color indexed="64"/>
      </left>
      <right style="thin">
        <color indexed="64"/>
      </right>
      <top style="medium">
        <color indexed="64"/>
      </top>
      <bottom style="medium">
        <color indexed="64"/>
      </bottom>
      <diagonal/>
    </border>
    <border>
      <left style="thin">
        <color indexed="64"/>
      </left>
      <right style="double">
        <color indexed="64"/>
      </right>
      <top style="medium">
        <color indexed="64"/>
      </top>
      <bottom style="medium">
        <color indexed="64"/>
      </bottom>
      <diagonal/>
    </border>
    <border>
      <left style="double">
        <color indexed="64"/>
      </left>
      <right style="thin">
        <color indexed="64"/>
      </right>
      <top/>
      <bottom style="thin">
        <color indexed="64"/>
      </bottom>
      <diagonal/>
    </border>
    <border>
      <left style="thin">
        <color indexed="64"/>
      </left>
      <right style="double">
        <color indexed="64"/>
      </right>
      <top/>
      <bottom style="thin">
        <color indexed="64"/>
      </bottom>
      <diagonal/>
    </border>
    <border>
      <left style="double">
        <color indexed="64"/>
      </left>
      <right style="thin">
        <color indexed="64"/>
      </right>
      <top style="thick">
        <color indexed="64"/>
      </top>
      <bottom style="thick">
        <color indexed="64"/>
      </bottom>
      <diagonal/>
    </border>
    <border>
      <left style="double">
        <color indexed="64"/>
      </left>
      <right/>
      <top/>
      <bottom style="thick">
        <color indexed="64"/>
      </bottom>
      <diagonal/>
    </border>
    <border>
      <left/>
      <right style="double">
        <color indexed="64"/>
      </right>
      <top/>
      <bottom style="thick">
        <color indexed="64"/>
      </bottom>
      <diagonal/>
    </border>
    <border>
      <left style="double">
        <color indexed="64"/>
      </left>
      <right style="thin">
        <color indexed="64"/>
      </right>
      <top style="thin">
        <color indexed="64"/>
      </top>
      <bottom style="thick">
        <color indexed="64"/>
      </bottom>
      <diagonal/>
    </border>
    <border>
      <left style="thin">
        <color indexed="64"/>
      </left>
      <right style="double">
        <color indexed="64"/>
      </right>
      <top style="thin">
        <color indexed="64"/>
      </top>
      <bottom style="thick">
        <color indexed="64"/>
      </bottom>
      <diagonal/>
    </border>
    <border>
      <left style="double">
        <color indexed="64"/>
      </left>
      <right/>
      <top style="thick">
        <color indexed="64"/>
      </top>
      <bottom style="thick">
        <color indexed="64"/>
      </bottom>
      <diagonal/>
    </border>
    <border>
      <left/>
      <right/>
      <top style="thick">
        <color indexed="64"/>
      </top>
      <bottom style="thick">
        <color indexed="64"/>
      </bottom>
      <diagonal/>
    </border>
    <border>
      <left style="thin">
        <color indexed="64"/>
      </left>
      <right style="medium">
        <color indexed="64"/>
      </right>
      <top style="thin">
        <color indexed="64"/>
      </top>
      <bottom/>
      <diagonal/>
    </border>
    <border>
      <left style="thin">
        <color indexed="64"/>
      </left>
      <right/>
      <top style="thin">
        <color indexed="64"/>
      </top>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right style="thick">
        <color indexed="64"/>
      </right>
      <top style="thick">
        <color indexed="64"/>
      </top>
      <bottom style="thick">
        <color indexed="64"/>
      </bottom>
      <diagonal/>
    </border>
    <border>
      <left style="thin">
        <color indexed="64"/>
      </left>
      <right style="medium">
        <color indexed="64"/>
      </right>
      <top style="thin">
        <color indexed="64"/>
      </top>
      <bottom style="medium">
        <color indexed="64"/>
      </bottom>
      <diagonal/>
    </border>
    <border>
      <left/>
      <right/>
      <top style="thick">
        <color indexed="64"/>
      </top>
      <bottom/>
      <diagonal/>
    </border>
    <border>
      <left/>
      <right style="thick">
        <color indexed="64"/>
      </right>
      <top style="thick">
        <color indexed="64"/>
      </top>
      <bottom/>
      <diagonal/>
    </border>
    <border>
      <left style="thick">
        <color indexed="64"/>
      </left>
      <right/>
      <top style="thick">
        <color indexed="64"/>
      </top>
      <bottom/>
      <diagonal/>
    </border>
    <border>
      <left style="thick">
        <color indexed="10"/>
      </left>
      <right/>
      <top style="thick">
        <color indexed="10"/>
      </top>
      <bottom/>
      <diagonal/>
    </border>
    <border>
      <left/>
      <right/>
      <top style="thick">
        <color indexed="10"/>
      </top>
      <bottom/>
      <diagonal/>
    </border>
    <border>
      <left/>
      <right style="thick">
        <color indexed="10"/>
      </right>
      <top style="thick">
        <color indexed="10"/>
      </top>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style="medium">
        <color indexed="64"/>
      </top>
      <bottom style="thin">
        <color indexed="64"/>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style="thin">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style="thin">
        <color indexed="64"/>
      </top>
      <bottom style="thin">
        <color indexed="64"/>
      </bottom>
      <diagonal/>
    </border>
    <border>
      <left style="thin">
        <color indexed="64"/>
      </left>
      <right style="medium">
        <color indexed="8"/>
      </right>
      <top style="thick">
        <color indexed="64"/>
      </top>
      <bottom style="thin">
        <color indexed="64"/>
      </bottom>
      <diagonal/>
    </border>
    <border>
      <left style="thin">
        <color indexed="64"/>
      </left>
      <right style="medium">
        <color indexed="8"/>
      </right>
      <top style="thin">
        <color indexed="64"/>
      </top>
      <bottom style="thin">
        <color indexed="64"/>
      </bottom>
      <diagonal/>
    </border>
    <border>
      <left style="thin">
        <color indexed="64"/>
      </left>
      <right style="medium">
        <color indexed="8"/>
      </right>
      <top style="thin">
        <color indexed="64"/>
      </top>
      <bottom style="medium">
        <color indexed="8"/>
      </bottom>
      <diagonal/>
    </border>
    <border>
      <left style="thick">
        <color indexed="64"/>
      </left>
      <right style="thin">
        <color indexed="64"/>
      </right>
      <top style="thin">
        <color indexed="64"/>
      </top>
      <bottom style="medium">
        <color indexed="64"/>
      </bottom>
      <diagonal/>
    </border>
    <border>
      <left style="thick">
        <color indexed="64"/>
      </left>
      <right/>
      <top style="medium">
        <color indexed="64"/>
      </top>
      <bottom style="medium">
        <color indexed="64"/>
      </bottom>
      <diagonal/>
    </border>
    <border>
      <left style="medium">
        <color indexed="22"/>
      </left>
      <right/>
      <top/>
      <bottom style="thin">
        <color indexed="64"/>
      </bottom>
      <diagonal/>
    </border>
    <border>
      <left style="thin">
        <color indexed="22"/>
      </left>
      <right/>
      <top style="thin">
        <color indexed="64"/>
      </top>
      <bottom style="thin">
        <color indexed="22"/>
      </bottom>
      <diagonal/>
    </border>
    <border>
      <left style="thin">
        <color indexed="22"/>
      </left>
      <right/>
      <top style="thin">
        <color indexed="22"/>
      </top>
      <bottom style="thin">
        <color indexed="22"/>
      </bottom>
      <diagonal/>
    </border>
    <border>
      <left style="thin">
        <color indexed="22"/>
      </left>
      <right/>
      <top style="thin">
        <color indexed="22"/>
      </top>
      <bottom style="thin">
        <color indexed="64"/>
      </bottom>
      <diagonal/>
    </border>
    <border>
      <left style="medium">
        <color indexed="22"/>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style="thin">
        <color indexed="64"/>
      </right>
      <top style="thick">
        <color indexed="64"/>
      </top>
      <bottom/>
      <diagonal/>
    </border>
    <border>
      <left style="thin">
        <color indexed="64"/>
      </left>
      <right style="double">
        <color indexed="64"/>
      </right>
      <top style="thick">
        <color indexed="64"/>
      </top>
      <bottom style="thin">
        <color indexed="64"/>
      </bottom>
      <diagonal/>
    </border>
    <border>
      <left style="thin">
        <color indexed="64"/>
      </left>
      <right style="thin">
        <color indexed="64"/>
      </right>
      <top style="thick">
        <color indexed="64"/>
      </top>
      <bottom style="thick">
        <color indexed="64"/>
      </bottom>
      <diagonal/>
    </border>
    <border>
      <left style="thin">
        <color indexed="64"/>
      </left>
      <right style="double">
        <color indexed="64"/>
      </right>
      <top style="thick">
        <color indexed="64"/>
      </top>
      <bottom style="thick">
        <color indexed="64"/>
      </bottom>
      <diagonal/>
    </border>
    <border>
      <left style="thick">
        <color indexed="64"/>
      </left>
      <right style="medium">
        <color indexed="64"/>
      </right>
      <top/>
      <bottom/>
      <diagonal/>
    </border>
    <border>
      <left style="medium">
        <color indexed="64"/>
      </left>
      <right style="medium">
        <color indexed="64"/>
      </right>
      <top/>
      <bottom style="thick">
        <color indexed="64"/>
      </bottom>
      <diagonal/>
    </border>
    <border>
      <left style="medium">
        <color indexed="64"/>
      </left>
      <right style="thick">
        <color indexed="64"/>
      </right>
      <top/>
      <bottom/>
      <diagonal/>
    </border>
    <border>
      <left style="thick">
        <color indexed="64"/>
      </left>
      <right style="medium">
        <color indexed="64"/>
      </right>
      <top/>
      <bottom style="thick">
        <color indexed="64"/>
      </bottom>
      <diagonal/>
    </border>
    <border>
      <left style="medium">
        <color indexed="64"/>
      </left>
      <right style="thick">
        <color indexed="64"/>
      </right>
      <top/>
      <bottom style="thick">
        <color indexed="64"/>
      </bottom>
      <diagonal/>
    </border>
    <border>
      <left style="thick">
        <color indexed="64"/>
      </left>
      <right style="medium">
        <color indexed="64"/>
      </right>
      <top style="medium">
        <color indexed="64"/>
      </top>
      <bottom/>
      <diagonal/>
    </border>
    <border>
      <left style="medium">
        <color indexed="64"/>
      </left>
      <right style="thick">
        <color indexed="64"/>
      </right>
      <top style="medium">
        <color indexed="64"/>
      </top>
      <bottom/>
      <diagonal/>
    </border>
    <border>
      <left style="thick">
        <color indexed="64"/>
      </left>
      <right style="medium">
        <color indexed="64"/>
      </right>
      <top/>
      <bottom style="medium">
        <color indexed="64"/>
      </bottom>
      <diagonal/>
    </border>
    <border>
      <left style="medium">
        <color indexed="64"/>
      </left>
      <right style="thick">
        <color indexed="64"/>
      </right>
      <top/>
      <bottom style="medium">
        <color indexed="64"/>
      </bottom>
      <diagonal/>
    </border>
    <border>
      <left style="thick">
        <color indexed="64"/>
      </left>
      <right style="medium">
        <color indexed="64"/>
      </right>
      <top style="thick">
        <color indexed="64"/>
      </top>
      <bottom/>
      <diagonal/>
    </border>
    <border>
      <left style="medium">
        <color indexed="64"/>
      </left>
      <right style="medium">
        <color indexed="64"/>
      </right>
      <top style="thick">
        <color indexed="64"/>
      </top>
      <bottom/>
      <diagonal/>
    </border>
    <border>
      <left style="medium">
        <color indexed="64"/>
      </left>
      <right style="thick">
        <color indexed="64"/>
      </right>
      <top style="thick">
        <color indexed="64"/>
      </top>
      <bottom/>
      <diagonal/>
    </border>
    <border>
      <left/>
      <right style="medium">
        <color indexed="64"/>
      </right>
      <top style="medium">
        <color indexed="64"/>
      </top>
      <bottom style="thin">
        <color indexed="64"/>
      </bottom>
      <diagonal/>
    </border>
    <border>
      <left/>
      <right style="medium">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style="double">
        <color indexed="64"/>
      </left>
      <right style="medium">
        <color indexed="64"/>
      </right>
      <top style="double">
        <color indexed="64"/>
      </top>
      <bottom/>
      <diagonal/>
    </border>
    <border>
      <left style="medium">
        <color indexed="64"/>
      </left>
      <right style="medium">
        <color indexed="64"/>
      </right>
      <top style="double">
        <color indexed="64"/>
      </top>
      <bottom/>
      <diagonal/>
    </border>
    <border>
      <left style="medium">
        <color indexed="64"/>
      </left>
      <right/>
      <top style="double">
        <color indexed="64"/>
      </top>
      <bottom/>
      <diagonal/>
    </border>
    <border>
      <left style="double">
        <color indexed="64"/>
      </left>
      <right style="medium">
        <color indexed="64"/>
      </right>
      <top/>
      <bottom style="medium">
        <color indexed="64"/>
      </bottom>
      <diagonal/>
    </border>
    <border>
      <left style="double">
        <color indexed="64"/>
      </left>
      <right style="thin">
        <color indexed="64"/>
      </right>
      <top/>
      <bottom style="double">
        <color indexed="64"/>
      </bottom>
      <diagonal/>
    </border>
    <border>
      <left style="thin">
        <color indexed="64"/>
      </left>
      <right style="thin">
        <color indexed="64"/>
      </right>
      <top/>
      <bottom style="double">
        <color indexed="64"/>
      </bottom>
      <diagonal/>
    </border>
    <border>
      <left style="thin">
        <color indexed="64"/>
      </left>
      <right/>
      <top/>
      <bottom style="double">
        <color indexed="64"/>
      </bottom>
      <diagonal/>
    </border>
    <border>
      <left style="medium">
        <color indexed="64"/>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thin">
        <color indexed="64"/>
      </left>
      <right style="double">
        <color indexed="64"/>
      </right>
      <top style="medium">
        <color indexed="64"/>
      </top>
      <bottom style="thin">
        <color indexed="64"/>
      </bottom>
      <diagonal/>
    </border>
    <border>
      <left style="double">
        <color indexed="64"/>
      </left>
      <right style="thin">
        <color indexed="64"/>
      </right>
      <top style="medium">
        <color indexed="64"/>
      </top>
      <bottom style="thin">
        <color indexed="64"/>
      </bottom>
      <diagonal/>
    </border>
    <border>
      <left style="double">
        <color indexed="64"/>
      </left>
      <right/>
      <top style="thin">
        <color indexed="64"/>
      </top>
      <bottom style="thin">
        <color indexed="64"/>
      </bottom>
      <diagonal/>
    </border>
    <border>
      <left/>
      <right/>
      <top style="medium">
        <color indexed="64"/>
      </top>
      <bottom style="thin">
        <color indexed="64"/>
      </bottom>
      <diagonal/>
    </border>
    <border>
      <left style="medium">
        <color indexed="64"/>
      </left>
      <right style="thin">
        <color indexed="64"/>
      </right>
      <top/>
      <bottom/>
      <diagonal/>
    </border>
    <border>
      <left style="thick">
        <color indexed="64"/>
      </left>
      <right style="medium">
        <color indexed="64"/>
      </right>
      <top style="thin">
        <color indexed="64"/>
      </top>
      <bottom style="thin">
        <color indexed="64"/>
      </bottom>
      <diagonal/>
    </border>
    <border>
      <left style="thick">
        <color indexed="64"/>
      </left>
      <right style="medium">
        <color indexed="64"/>
      </right>
      <top style="thin">
        <color indexed="64"/>
      </top>
      <bottom/>
      <diagonal/>
    </border>
    <border>
      <left style="thick">
        <color indexed="64"/>
      </left>
      <right style="medium">
        <color indexed="64"/>
      </right>
      <top style="thin">
        <color indexed="64"/>
      </top>
      <bottom style="thick">
        <color indexed="64"/>
      </bottom>
      <diagonal/>
    </border>
    <border>
      <left style="medium">
        <color indexed="64"/>
      </left>
      <right style="medium">
        <color indexed="64"/>
      </right>
      <top style="thin">
        <color indexed="64"/>
      </top>
      <bottom style="thick">
        <color indexed="64"/>
      </bottom>
      <diagonal/>
    </border>
    <border>
      <left style="double">
        <color indexed="8"/>
      </left>
      <right style="thin">
        <color indexed="8"/>
      </right>
      <top style="double">
        <color indexed="8"/>
      </top>
      <bottom style="thin">
        <color indexed="8"/>
      </bottom>
      <diagonal/>
    </border>
    <border>
      <left style="thin">
        <color indexed="8"/>
      </left>
      <right style="thin">
        <color indexed="8"/>
      </right>
      <top style="double">
        <color indexed="8"/>
      </top>
      <bottom style="thin">
        <color indexed="8"/>
      </bottom>
      <diagonal/>
    </border>
    <border>
      <left style="thin">
        <color indexed="8"/>
      </left>
      <right style="double">
        <color indexed="8"/>
      </right>
      <top style="double">
        <color indexed="8"/>
      </top>
      <bottom style="thin">
        <color indexed="8"/>
      </bottom>
      <diagonal/>
    </border>
    <border>
      <left style="double">
        <color indexed="8"/>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double">
        <color indexed="8"/>
      </right>
      <top style="thin">
        <color indexed="8"/>
      </top>
      <bottom style="thin">
        <color indexed="8"/>
      </bottom>
      <diagonal/>
    </border>
    <border>
      <left style="double">
        <color indexed="8"/>
      </left>
      <right style="thin">
        <color indexed="8"/>
      </right>
      <top style="thin">
        <color indexed="8"/>
      </top>
      <bottom style="double">
        <color indexed="8"/>
      </bottom>
      <diagonal/>
    </border>
    <border>
      <left style="thin">
        <color indexed="8"/>
      </left>
      <right style="thin">
        <color indexed="8"/>
      </right>
      <top style="thin">
        <color indexed="8"/>
      </top>
      <bottom style="double">
        <color indexed="8"/>
      </bottom>
      <diagonal/>
    </border>
    <border>
      <left style="thin">
        <color indexed="8"/>
      </left>
      <right style="double">
        <color indexed="8"/>
      </right>
      <top style="thin">
        <color indexed="8"/>
      </top>
      <bottom style="double">
        <color indexed="8"/>
      </bottom>
      <diagonal/>
    </border>
    <border>
      <left style="thick">
        <color indexed="64"/>
      </left>
      <right/>
      <top style="thin">
        <color indexed="64"/>
      </top>
      <bottom style="thin">
        <color indexed="64"/>
      </bottom>
      <diagonal/>
    </border>
    <border>
      <left style="thick">
        <color indexed="64"/>
      </left>
      <right/>
      <top style="thin">
        <color indexed="64"/>
      </top>
      <bottom/>
      <diagonal/>
    </border>
    <border>
      <left style="thin">
        <color indexed="64"/>
      </left>
      <right style="thick">
        <color indexed="64"/>
      </right>
      <top style="thin">
        <color indexed="64"/>
      </top>
      <bottom/>
      <diagonal/>
    </border>
    <border>
      <left style="thick">
        <color indexed="64"/>
      </left>
      <right/>
      <top style="thick">
        <color indexed="64"/>
      </top>
      <bottom style="thin">
        <color indexed="64"/>
      </bottom>
      <diagonal/>
    </border>
    <border>
      <left style="medium">
        <color indexed="64"/>
      </left>
      <right style="medium">
        <color indexed="64"/>
      </right>
      <top style="thick">
        <color indexed="64"/>
      </top>
      <bottom style="thin">
        <color indexed="64"/>
      </bottom>
      <diagonal/>
    </border>
    <border>
      <left style="thick">
        <color indexed="64"/>
      </left>
      <right/>
      <top style="thin">
        <color indexed="64"/>
      </top>
      <bottom style="medium">
        <color indexed="64"/>
      </bottom>
      <diagonal/>
    </border>
    <border>
      <left style="medium">
        <color indexed="64"/>
      </left>
      <right/>
      <top style="medium">
        <color indexed="64"/>
      </top>
      <bottom style="thin">
        <color indexed="64"/>
      </bottom>
      <diagonal/>
    </border>
    <border>
      <left/>
      <right/>
      <top style="thin">
        <color indexed="64"/>
      </top>
      <bottom/>
      <diagonal/>
    </border>
    <border>
      <left style="thin">
        <color indexed="64"/>
      </left>
      <right/>
      <top style="thin">
        <color indexed="64"/>
      </top>
      <bottom style="thick">
        <color indexed="64"/>
      </bottom>
      <diagonal/>
    </border>
    <border>
      <left/>
      <right style="thin">
        <color indexed="64"/>
      </right>
      <top style="thick">
        <color indexed="64"/>
      </top>
      <bottom style="thin">
        <color indexed="64"/>
      </bottom>
      <diagonal/>
    </border>
    <border>
      <left/>
      <right style="thin">
        <color indexed="64"/>
      </right>
      <top style="thin">
        <color indexed="64"/>
      </top>
      <bottom/>
      <diagonal/>
    </border>
    <border>
      <left/>
      <right style="thin">
        <color indexed="64"/>
      </right>
      <top style="thin">
        <color indexed="64"/>
      </top>
      <bottom style="thick">
        <color indexed="64"/>
      </bottom>
      <diagonal/>
    </border>
    <border>
      <left style="medium">
        <color indexed="64"/>
      </left>
      <right style="medium">
        <color indexed="64"/>
      </right>
      <top style="medium">
        <color indexed="64"/>
      </top>
      <bottom style="double">
        <color indexed="64"/>
      </bottom>
      <diagonal/>
    </border>
    <border>
      <left style="medium">
        <color indexed="64"/>
      </left>
      <right style="double">
        <color indexed="64"/>
      </right>
      <top style="double">
        <color indexed="64"/>
      </top>
      <bottom/>
      <diagonal/>
    </border>
    <border>
      <left style="medium">
        <color indexed="64"/>
      </left>
      <right style="double">
        <color indexed="64"/>
      </right>
      <top/>
      <bottom style="medium">
        <color indexed="64"/>
      </bottom>
      <diagonal/>
    </border>
    <border>
      <left style="double">
        <color indexed="64"/>
      </left>
      <right style="medium">
        <color indexed="64"/>
      </right>
      <top style="medium">
        <color indexed="64"/>
      </top>
      <bottom style="thin">
        <color indexed="64"/>
      </bottom>
      <diagonal/>
    </border>
    <border>
      <left style="medium">
        <color indexed="64"/>
      </left>
      <right style="double">
        <color indexed="64"/>
      </right>
      <top style="medium">
        <color indexed="64"/>
      </top>
      <bottom style="thin">
        <color indexed="64"/>
      </bottom>
      <diagonal/>
    </border>
    <border>
      <left style="double">
        <color indexed="64"/>
      </left>
      <right style="medium">
        <color indexed="64"/>
      </right>
      <top style="thin">
        <color indexed="64"/>
      </top>
      <bottom style="thin">
        <color indexed="64"/>
      </bottom>
      <diagonal/>
    </border>
    <border>
      <left style="medium">
        <color indexed="64"/>
      </left>
      <right style="double">
        <color indexed="64"/>
      </right>
      <top style="thin">
        <color indexed="64"/>
      </top>
      <bottom style="thin">
        <color indexed="64"/>
      </bottom>
      <diagonal/>
    </border>
    <border>
      <left style="double">
        <color indexed="64"/>
      </left>
      <right style="medium">
        <color indexed="64"/>
      </right>
      <top style="thin">
        <color indexed="64"/>
      </top>
      <bottom/>
      <diagonal/>
    </border>
    <border>
      <left style="medium">
        <color indexed="64"/>
      </left>
      <right style="double">
        <color indexed="64"/>
      </right>
      <top style="thin">
        <color indexed="64"/>
      </top>
      <bottom/>
      <diagonal/>
    </border>
    <border>
      <left style="double">
        <color indexed="64"/>
      </left>
      <right style="medium">
        <color indexed="64"/>
      </right>
      <top style="medium">
        <color indexed="64"/>
      </top>
      <bottom style="double">
        <color indexed="64"/>
      </bottom>
      <diagonal/>
    </border>
    <border>
      <left style="medium">
        <color indexed="64"/>
      </left>
      <right style="double">
        <color indexed="64"/>
      </right>
      <top style="medium">
        <color indexed="64"/>
      </top>
      <bottom style="double">
        <color indexed="64"/>
      </bottom>
      <diagonal/>
    </border>
    <border>
      <left style="double">
        <color indexed="64"/>
      </left>
      <right/>
      <top/>
      <bottom style="thin">
        <color indexed="64"/>
      </bottom>
      <diagonal/>
    </border>
    <border>
      <left/>
      <right style="double">
        <color indexed="64"/>
      </right>
      <top/>
      <bottom style="thin">
        <color indexed="64"/>
      </bottom>
      <diagonal/>
    </border>
    <border>
      <left/>
      <right style="double">
        <color indexed="64"/>
      </right>
      <top style="thin">
        <color indexed="64"/>
      </top>
      <bottom style="thin">
        <color indexed="64"/>
      </bottom>
      <diagonal/>
    </border>
    <border>
      <left style="double">
        <color indexed="64"/>
      </left>
      <right/>
      <top style="thin">
        <color indexed="64"/>
      </top>
      <bottom/>
      <diagonal/>
    </border>
    <border>
      <left/>
      <right style="double">
        <color indexed="64"/>
      </right>
      <top style="thin">
        <color indexed="64"/>
      </top>
      <bottom/>
      <diagonal/>
    </border>
    <border>
      <left style="double">
        <color indexed="64"/>
      </left>
      <right/>
      <top style="medium">
        <color indexed="64"/>
      </top>
      <bottom style="double">
        <color indexed="64"/>
      </bottom>
      <diagonal/>
    </border>
    <border>
      <left/>
      <right style="double">
        <color indexed="64"/>
      </right>
      <top style="medium">
        <color indexed="64"/>
      </top>
      <bottom style="double">
        <color indexed="64"/>
      </bottom>
      <diagonal/>
    </border>
    <border>
      <left style="double">
        <color indexed="64"/>
      </left>
      <right style="medium">
        <color indexed="64"/>
      </right>
      <top/>
      <bottom/>
      <diagonal/>
    </border>
    <border>
      <left style="medium">
        <color indexed="64"/>
      </left>
      <right style="double">
        <color indexed="64"/>
      </right>
      <top/>
      <bottom/>
      <diagonal/>
    </border>
    <border>
      <left style="double">
        <color indexed="64"/>
      </left>
      <right/>
      <top style="medium">
        <color indexed="64"/>
      </top>
      <bottom/>
      <diagonal/>
    </border>
    <border>
      <left/>
      <right style="double">
        <color indexed="64"/>
      </right>
      <top style="medium">
        <color indexed="64"/>
      </top>
      <bottom/>
      <diagonal/>
    </border>
    <border>
      <left style="double">
        <color indexed="64"/>
      </left>
      <right/>
      <top/>
      <bottom style="medium">
        <color indexed="64"/>
      </bottom>
      <diagonal/>
    </border>
    <border>
      <left/>
      <right style="double">
        <color indexed="64"/>
      </right>
      <top style="medium">
        <color indexed="64"/>
      </top>
      <bottom style="thin">
        <color indexed="64"/>
      </bottom>
      <diagonal/>
    </border>
    <border>
      <left/>
      <right style="double">
        <color indexed="64"/>
      </right>
      <top style="thin">
        <color indexed="64"/>
      </top>
      <bottom style="medium">
        <color indexed="64"/>
      </bottom>
      <diagonal/>
    </border>
    <border>
      <left/>
      <right style="double">
        <color indexed="64"/>
      </right>
      <top style="medium">
        <color indexed="64"/>
      </top>
      <bottom style="medium">
        <color indexed="64"/>
      </bottom>
      <diagonal/>
    </border>
    <border>
      <left style="medium">
        <color indexed="64"/>
      </left>
      <right style="medium">
        <color indexed="64"/>
      </right>
      <top/>
      <bottom style="thin">
        <color indexed="64"/>
      </bottom>
      <diagonal/>
    </border>
    <border>
      <left style="double">
        <color indexed="64"/>
      </left>
      <right style="medium">
        <color indexed="64"/>
      </right>
      <top style="medium">
        <color indexed="64"/>
      </top>
      <bottom/>
      <diagonal/>
    </border>
    <border>
      <left style="medium">
        <color indexed="64"/>
      </left>
      <right style="double">
        <color indexed="64"/>
      </right>
      <top style="medium">
        <color indexed="64"/>
      </top>
      <bottom/>
      <diagonal/>
    </border>
    <border>
      <left style="double">
        <color indexed="64"/>
      </left>
      <right style="medium">
        <color indexed="64"/>
      </right>
      <top style="thin">
        <color indexed="64"/>
      </top>
      <bottom style="medium">
        <color indexed="64"/>
      </bottom>
      <diagonal/>
    </border>
    <border>
      <left style="thin">
        <color indexed="64"/>
      </left>
      <right style="thin">
        <color indexed="64"/>
      </right>
      <top style="double">
        <color indexed="64"/>
      </top>
      <bottom/>
      <diagonal/>
    </border>
    <border>
      <left style="thin">
        <color indexed="64"/>
      </left>
      <right style="double">
        <color indexed="64"/>
      </right>
      <top style="double">
        <color indexed="64"/>
      </top>
      <bottom/>
      <diagonal/>
    </border>
    <border>
      <left style="double">
        <color indexed="64"/>
      </left>
      <right style="thin">
        <color indexed="64"/>
      </right>
      <top style="double">
        <color indexed="64"/>
      </top>
      <bottom/>
      <diagonal/>
    </border>
    <border>
      <left style="medium">
        <color indexed="64"/>
      </left>
      <right style="double">
        <color indexed="64"/>
      </right>
      <top style="medium">
        <color indexed="64"/>
      </top>
      <bottom style="medium">
        <color indexed="64"/>
      </bottom>
      <diagonal/>
    </border>
    <border>
      <left style="double">
        <color indexed="64"/>
      </left>
      <right style="medium">
        <color indexed="64"/>
      </right>
      <top/>
      <bottom style="double">
        <color indexed="64"/>
      </bottom>
      <diagonal/>
    </border>
    <border>
      <left style="medium">
        <color indexed="64"/>
      </left>
      <right style="medium">
        <color indexed="64"/>
      </right>
      <top/>
      <bottom style="double">
        <color indexed="64"/>
      </bottom>
      <diagonal/>
    </border>
    <border>
      <left style="medium">
        <color indexed="64"/>
      </left>
      <right style="double">
        <color indexed="64"/>
      </right>
      <top/>
      <bottom style="double">
        <color indexed="64"/>
      </bottom>
      <diagonal/>
    </border>
    <border>
      <left style="double">
        <color indexed="64"/>
      </left>
      <right style="medium">
        <color indexed="64"/>
      </right>
      <top style="thin">
        <color indexed="64"/>
      </top>
      <bottom style="double">
        <color indexed="64"/>
      </bottom>
      <diagonal/>
    </border>
    <border>
      <left style="medium">
        <color indexed="64"/>
      </left>
      <right style="medium">
        <color indexed="64"/>
      </right>
      <top style="thin">
        <color indexed="64"/>
      </top>
      <bottom style="double">
        <color indexed="64"/>
      </bottom>
      <diagonal/>
    </border>
    <border>
      <left style="double">
        <color indexed="64"/>
      </left>
      <right style="medium">
        <color indexed="64"/>
      </right>
      <top/>
      <bottom style="thin">
        <color indexed="64"/>
      </bottom>
      <diagonal/>
    </border>
    <border>
      <left style="medium">
        <color indexed="64"/>
      </left>
      <right style="double">
        <color indexed="64"/>
      </right>
      <top/>
      <bottom style="thin">
        <color indexed="64"/>
      </bottom>
      <diagonal/>
    </border>
    <border>
      <left style="double">
        <color indexed="64"/>
      </left>
      <right style="medium">
        <color indexed="64"/>
      </right>
      <top/>
      <bottom style="thick">
        <color indexed="64"/>
      </bottom>
      <diagonal/>
    </border>
    <border>
      <left style="medium">
        <color indexed="64"/>
      </left>
      <right style="double">
        <color indexed="64"/>
      </right>
      <top/>
      <bottom style="thick">
        <color indexed="64"/>
      </bottom>
      <diagonal/>
    </border>
    <border>
      <left style="thick">
        <color indexed="10"/>
      </left>
      <right/>
      <top style="thick">
        <color indexed="10"/>
      </top>
      <bottom style="thick">
        <color indexed="8"/>
      </bottom>
      <diagonal/>
    </border>
    <border>
      <left/>
      <right/>
      <top style="thick">
        <color indexed="10"/>
      </top>
      <bottom style="thick">
        <color indexed="8"/>
      </bottom>
      <diagonal/>
    </border>
    <border>
      <left/>
      <right style="thick">
        <color indexed="10"/>
      </right>
      <top style="thick">
        <color indexed="10"/>
      </top>
      <bottom style="thick">
        <color indexed="8"/>
      </bottom>
      <diagonal/>
    </border>
    <border>
      <left style="thick">
        <color indexed="10"/>
      </left>
      <right/>
      <top style="thick">
        <color indexed="10"/>
      </top>
      <bottom style="thick">
        <color indexed="64"/>
      </bottom>
      <diagonal/>
    </border>
    <border>
      <left/>
      <right/>
      <top style="thick">
        <color indexed="10"/>
      </top>
      <bottom style="thick">
        <color indexed="64"/>
      </bottom>
      <diagonal/>
    </border>
    <border>
      <left/>
      <right style="thick">
        <color indexed="10"/>
      </right>
      <top style="thick">
        <color indexed="10"/>
      </top>
      <bottom style="thick">
        <color indexed="64"/>
      </bottom>
      <diagonal/>
    </border>
    <border>
      <left/>
      <right style="thick">
        <color indexed="64"/>
      </right>
      <top style="medium">
        <color indexed="64"/>
      </top>
      <bottom/>
      <diagonal/>
    </border>
    <border>
      <left style="medium">
        <color indexed="64"/>
      </left>
      <right/>
      <top/>
      <bottom style="thick">
        <color indexed="64"/>
      </bottom>
      <diagonal/>
    </border>
    <border>
      <left style="thin">
        <color indexed="64"/>
      </left>
      <right style="double">
        <color indexed="64"/>
      </right>
      <top/>
      <bottom style="medium">
        <color indexed="64"/>
      </bottom>
      <diagonal/>
    </border>
    <border>
      <left style="thin">
        <color indexed="64"/>
      </left>
      <right style="double">
        <color indexed="64"/>
      </right>
      <top/>
      <bottom style="double">
        <color indexed="64"/>
      </bottom>
      <diagonal/>
    </border>
    <border>
      <left style="thin">
        <color indexed="64"/>
      </left>
      <right style="thick">
        <color indexed="64"/>
      </right>
      <top style="thick">
        <color indexed="64"/>
      </top>
      <bottom/>
      <diagonal/>
    </border>
    <border>
      <left style="thick">
        <color indexed="64"/>
      </left>
      <right style="thin">
        <color indexed="64"/>
      </right>
      <top/>
      <bottom/>
      <diagonal/>
    </border>
    <border>
      <left style="thin">
        <color indexed="64"/>
      </left>
      <right style="thin">
        <color indexed="64"/>
      </right>
      <top style="medium">
        <color indexed="8"/>
      </top>
      <bottom style="thin">
        <color indexed="8"/>
      </bottom>
      <diagonal/>
    </border>
    <border>
      <left style="thin">
        <color indexed="64"/>
      </left>
      <right style="thin">
        <color indexed="64"/>
      </right>
      <top style="thin">
        <color indexed="8"/>
      </top>
      <bottom style="thin">
        <color indexed="8"/>
      </bottom>
      <diagonal/>
    </border>
    <border>
      <left style="thin">
        <color indexed="64"/>
      </left>
      <right style="thin">
        <color indexed="64"/>
      </right>
      <top style="thin">
        <color indexed="8"/>
      </top>
      <bottom style="thin">
        <color indexed="64"/>
      </bottom>
      <diagonal/>
    </border>
    <border>
      <left style="thin">
        <color indexed="64"/>
      </left>
      <right style="thin">
        <color indexed="64"/>
      </right>
      <top style="thin">
        <color indexed="64"/>
      </top>
      <bottom style="thin">
        <color indexed="8"/>
      </bottom>
      <diagonal/>
    </border>
    <border>
      <left style="thin">
        <color indexed="64"/>
      </left>
      <right style="thin">
        <color indexed="64"/>
      </right>
      <top style="thin">
        <color indexed="8"/>
      </top>
      <bottom style="medium">
        <color indexed="8"/>
      </bottom>
      <diagonal/>
    </border>
    <border>
      <left style="thin">
        <color indexed="64"/>
      </left>
      <right style="thin">
        <color indexed="64"/>
      </right>
      <top style="medium">
        <color indexed="8"/>
      </top>
      <bottom style="medium">
        <color indexed="64"/>
      </bottom>
      <diagonal/>
    </border>
    <border>
      <left style="thin">
        <color indexed="64"/>
      </left>
      <right style="thick">
        <color indexed="64"/>
      </right>
      <top style="thin">
        <color indexed="64"/>
      </top>
      <bottom style="medium">
        <color indexed="64"/>
      </bottom>
      <diagonal/>
    </border>
    <border>
      <left style="thin">
        <color indexed="64"/>
      </left>
      <right/>
      <top style="thick">
        <color indexed="64"/>
      </top>
      <bottom style="thin">
        <color indexed="64"/>
      </bottom>
      <diagonal/>
    </border>
    <border>
      <left style="thick">
        <color indexed="10"/>
      </left>
      <right/>
      <top/>
      <bottom style="thick">
        <color indexed="64"/>
      </bottom>
      <diagonal/>
    </border>
    <border>
      <left style="thick">
        <color indexed="64"/>
      </left>
      <right style="thick">
        <color indexed="64"/>
      </right>
      <top/>
      <bottom style="thick">
        <color indexed="64"/>
      </bottom>
      <diagonal/>
    </border>
    <border>
      <left style="thin">
        <color indexed="8"/>
      </left>
      <right style="thin">
        <color indexed="8"/>
      </right>
      <top style="thick">
        <color indexed="8"/>
      </top>
      <bottom style="thin">
        <color indexed="8"/>
      </bottom>
      <diagonal/>
    </border>
    <border>
      <left style="thin">
        <color indexed="8"/>
      </left>
      <right style="thick">
        <color indexed="10"/>
      </right>
      <top style="thick">
        <color indexed="8"/>
      </top>
      <bottom style="thin">
        <color indexed="8"/>
      </bottom>
      <diagonal/>
    </border>
    <border>
      <left style="thin">
        <color indexed="8"/>
      </left>
      <right style="thick">
        <color indexed="10"/>
      </right>
      <top style="thin">
        <color indexed="8"/>
      </top>
      <bottom style="thin">
        <color indexed="8"/>
      </bottom>
      <diagonal/>
    </border>
    <border>
      <left style="thick">
        <color indexed="10"/>
      </left>
      <right style="thin">
        <color indexed="64"/>
      </right>
      <top style="thick">
        <color indexed="64"/>
      </top>
      <bottom style="thin">
        <color indexed="64"/>
      </bottom>
      <diagonal/>
    </border>
    <border>
      <left style="thin">
        <color indexed="64"/>
      </left>
      <right style="thick">
        <color indexed="10"/>
      </right>
      <top style="thick">
        <color indexed="64"/>
      </top>
      <bottom style="thin">
        <color indexed="64"/>
      </bottom>
      <diagonal/>
    </border>
    <border>
      <left style="thin">
        <color indexed="64"/>
      </left>
      <right style="thick">
        <color indexed="10"/>
      </right>
      <top/>
      <bottom style="thin">
        <color indexed="64"/>
      </bottom>
      <diagonal/>
    </border>
    <border>
      <left style="thick">
        <color indexed="64"/>
      </left>
      <right/>
      <top style="medium">
        <color indexed="64"/>
      </top>
      <bottom/>
      <diagonal/>
    </border>
    <border>
      <left style="thick">
        <color indexed="10"/>
      </left>
      <right/>
      <top style="medium">
        <color indexed="64"/>
      </top>
      <bottom/>
      <diagonal/>
    </border>
    <border>
      <left/>
      <right style="thick">
        <color indexed="10"/>
      </right>
      <top style="medium">
        <color indexed="64"/>
      </top>
      <bottom/>
      <diagonal/>
    </border>
    <border>
      <left style="thick">
        <color indexed="64"/>
      </left>
      <right/>
      <top/>
      <bottom style="medium">
        <color indexed="64"/>
      </bottom>
      <diagonal/>
    </border>
    <border>
      <left style="thick">
        <color indexed="10"/>
      </left>
      <right/>
      <top/>
      <bottom style="medium">
        <color indexed="64"/>
      </bottom>
      <diagonal/>
    </border>
    <border>
      <left style="double">
        <color indexed="64"/>
      </left>
      <right style="thin">
        <color indexed="64"/>
      </right>
      <top style="thin">
        <color indexed="64"/>
      </top>
      <bottom style="medium">
        <color indexed="64"/>
      </bottom>
      <diagonal/>
    </border>
    <border>
      <left style="thin">
        <color indexed="64"/>
      </left>
      <right style="double">
        <color indexed="64"/>
      </right>
      <top style="thin">
        <color indexed="64"/>
      </top>
      <bottom style="medium">
        <color indexed="64"/>
      </bottom>
      <diagonal/>
    </border>
    <border>
      <left style="thin">
        <color indexed="64"/>
      </left>
      <right style="thick">
        <color indexed="10"/>
      </right>
      <top style="medium">
        <color indexed="64"/>
      </top>
      <bottom style="thin">
        <color indexed="64"/>
      </bottom>
      <diagonal/>
    </border>
    <border>
      <left style="medium">
        <color indexed="64"/>
      </left>
      <right style="medium">
        <color indexed="22"/>
      </right>
      <top style="medium">
        <color indexed="64"/>
      </top>
      <bottom style="thin">
        <color indexed="64"/>
      </bottom>
      <diagonal/>
    </border>
    <border>
      <left style="medium">
        <color indexed="22"/>
      </left>
      <right/>
      <top style="medium">
        <color indexed="64"/>
      </top>
      <bottom style="thin">
        <color indexed="64"/>
      </bottom>
      <diagonal/>
    </border>
    <border>
      <left style="medium">
        <color indexed="64"/>
      </left>
      <right/>
      <top style="thick">
        <color indexed="64"/>
      </top>
      <bottom style="thin">
        <color indexed="64"/>
      </bottom>
      <diagonal/>
    </border>
    <border>
      <left/>
      <right/>
      <top style="thick">
        <color indexed="64"/>
      </top>
      <bottom style="thin">
        <color indexed="64"/>
      </bottom>
      <diagonal/>
    </border>
    <border>
      <left/>
      <right style="medium">
        <color indexed="64"/>
      </right>
      <top style="thick">
        <color indexed="64"/>
      </top>
      <bottom style="thin">
        <color indexed="64"/>
      </bottom>
      <diagonal/>
    </border>
  </borders>
  <cellStyleXfs count="662">
    <xf numFmtId="0" fontId="0" fillId="0" borderId="0"/>
    <xf numFmtId="0" fontId="32" fillId="2" borderId="0" applyNumberFormat="0" applyBorder="0" applyAlignment="0" applyProtection="0"/>
    <xf numFmtId="0" fontId="32" fillId="2" borderId="0" applyNumberFormat="0" applyBorder="0" applyAlignment="0" applyProtection="0"/>
    <xf numFmtId="0" fontId="32" fillId="2" borderId="0" applyNumberFormat="0" applyBorder="0" applyAlignment="0" applyProtection="0"/>
    <xf numFmtId="0" fontId="32" fillId="2" borderId="0" applyNumberFormat="0" applyBorder="0" applyAlignment="0" applyProtection="0"/>
    <xf numFmtId="0" fontId="32" fillId="2" borderId="0" applyNumberFormat="0" applyBorder="0" applyAlignment="0" applyProtection="0"/>
    <xf numFmtId="0" fontId="32" fillId="2" borderId="0" applyNumberFormat="0" applyBorder="0" applyAlignment="0" applyProtection="0"/>
    <xf numFmtId="0" fontId="32" fillId="2" borderId="0" applyNumberFormat="0" applyBorder="0" applyAlignment="0" applyProtection="0"/>
    <xf numFmtId="0" fontId="32" fillId="2" borderId="0" applyNumberFormat="0" applyBorder="0" applyAlignment="0" applyProtection="0"/>
    <xf numFmtId="0" fontId="32" fillId="2" borderId="0" applyNumberFormat="0" applyBorder="0" applyAlignment="0" applyProtection="0"/>
    <xf numFmtId="0" fontId="32" fillId="2" borderId="0" applyNumberFormat="0" applyBorder="0" applyAlignment="0" applyProtection="0"/>
    <xf numFmtId="0" fontId="32" fillId="2"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5" borderId="0" applyNumberFormat="0" applyBorder="0" applyAlignment="0" applyProtection="0"/>
    <xf numFmtId="0" fontId="32" fillId="5" borderId="0" applyNumberFormat="0" applyBorder="0" applyAlignment="0" applyProtection="0"/>
    <xf numFmtId="0" fontId="32" fillId="5" borderId="0" applyNumberFormat="0" applyBorder="0" applyAlignment="0" applyProtection="0"/>
    <xf numFmtId="0" fontId="32" fillId="5" borderId="0" applyNumberFormat="0" applyBorder="0" applyAlignment="0" applyProtection="0"/>
    <xf numFmtId="0" fontId="32" fillId="5" borderId="0" applyNumberFormat="0" applyBorder="0" applyAlignment="0" applyProtection="0"/>
    <xf numFmtId="0" fontId="32" fillId="5" borderId="0" applyNumberFormat="0" applyBorder="0" applyAlignment="0" applyProtection="0"/>
    <xf numFmtId="0" fontId="32" fillId="5" borderId="0" applyNumberFormat="0" applyBorder="0" applyAlignment="0" applyProtection="0"/>
    <xf numFmtId="0" fontId="32" fillId="5" borderId="0" applyNumberFormat="0" applyBorder="0" applyAlignment="0" applyProtection="0"/>
    <xf numFmtId="0" fontId="32" fillId="5" borderId="0" applyNumberFormat="0" applyBorder="0" applyAlignment="0" applyProtection="0"/>
    <xf numFmtId="0" fontId="32" fillId="5" borderId="0" applyNumberFormat="0" applyBorder="0" applyAlignment="0" applyProtection="0"/>
    <xf numFmtId="0" fontId="32" fillId="5" borderId="0" applyNumberFormat="0" applyBorder="0" applyAlignment="0" applyProtection="0"/>
    <xf numFmtId="0" fontId="32" fillId="6" borderId="0" applyNumberFormat="0" applyBorder="0" applyAlignment="0" applyProtection="0"/>
    <xf numFmtId="0" fontId="32" fillId="6" borderId="0" applyNumberFormat="0" applyBorder="0" applyAlignment="0" applyProtection="0"/>
    <xf numFmtId="0" fontId="32" fillId="6" borderId="0" applyNumberFormat="0" applyBorder="0" applyAlignment="0" applyProtection="0"/>
    <xf numFmtId="0" fontId="32" fillId="6" borderId="0" applyNumberFormat="0" applyBorder="0" applyAlignment="0" applyProtection="0"/>
    <xf numFmtId="0" fontId="32" fillId="6" borderId="0" applyNumberFormat="0" applyBorder="0" applyAlignment="0" applyProtection="0"/>
    <xf numFmtId="0" fontId="32" fillId="6" borderId="0" applyNumberFormat="0" applyBorder="0" applyAlignment="0" applyProtection="0"/>
    <xf numFmtId="0" fontId="32" fillId="6" borderId="0" applyNumberFormat="0" applyBorder="0" applyAlignment="0" applyProtection="0"/>
    <xf numFmtId="0" fontId="32" fillId="6" borderId="0" applyNumberFormat="0" applyBorder="0" applyAlignment="0" applyProtection="0"/>
    <xf numFmtId="0" fontId="32" fillId="6" borderId="0" applyNumberFormat="0" applyBorder="0" applyAlignment="0" applyProtection="0"/>
    <xf numFmtId="0" fontId="32" fillId="6" borderId="0" applyNumberFormat="0" applyBorder="0" applyAlignment="0" applyProtection="0"/>
    <xf numFmtId="0" fontId="32" fillId="6" borderId="0" applyNumberFormat="0" applyBorder="0" applyAlignment="0" applyProtection="0"/>
    <xf numFmtId="0" fontId="32" fillId="7" borderId="0" applyNumberFormat="0" applyBorder="0" applyAlignment="0" applyProtection="0"/>
    <xf numFmtId="0" fontId="32" fillId="7" borderId="0" applyNumberFormat="0" applyBorder="0" applyAlignment="0" applyProtection="0"/>
    <xf numFmtId="0" fontId="32" fillId="7" borderId="0" applyNumberFormat="0" applyBorder="0" applyAlignment="0" applyProtection="0"/>
    <xf numFmtId="0" fontId="32" fillId="7" borderId="0" applyNumberFormat="0" applyBorder="0" applyAlignment="0" applyProtection="0"/>
    <xf numFmtId="0" fontId="32" fillId="7" borderId="0" applyNumberFormat="0" applyBorder="0" applyAlignment="0" applyProtection="0"/>
    <xf numFmtId="0" fontId="32" fillId="7" borderId="0" applyNumberFormat="0" applyBorder="0" applyAlignment="0" applyProtection="0"/>
    <xf numFmtId="0" fontId="32" fillId="7" borderId="0" applyNumberFormat="0" applyBorder="0" applyAlignment="0" applyProtection="0"/>
    <xf numFmtId="0" fontId="32" fillId="7" borderId="0" applyNumberFormat="0" applyBorder="0" applyAlignment="0" applyProtection="0"/>
    <xf numFmtId="0" fontId="32" fillId="7" borderId="0" applyNumberFormat="0" applyBorder="0" applyAlignment="0" applyProtection="0"/>
    <xf numFmtId="0" fontId="32" fillId="7" borderId="0" applyNumberFormat="0" applyBorder="0" applyAlignment="0" applyProtection="0"/>
    <xf numFmtId="0" fontId="32" fillId="7" borderId="0" applyNumberFormat="0" applyBorder="0" applyAlignment="0" applyProtection="0"/>
    <xf numFmtId="49" fontId="28" fillId="0" borderId="1" applyNumberFormat="0" applyFont="0" applyFill="0" applyBorder="0" applyProtection="0">
      <alignment horizontal="left" vertical="center" indent="2"/>
    </xf>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5" borderId="0" applyNumberFormat="0" applyBorder="0" applyAlignment="0" applyProtection="0"/>
    <xf numFmtId="0" fontId="32" fillId="5" borderId="0" applyNumberFormat="0" applyBorder="0" applyAlignment="0" applyProtection="0"/>
    <xf numFmtId="0" fontId="32" fillId="5" borderId="0" applyNumberFormat="0" applyBorder="0" applyAlignment="0" applyProtection="0"/>
    <xf numFmtId="0" fontId="32" fillId="5" borderId="0" applyNumberFormat="0" applyBorder="0" applyAlignment="0" applyProtection="0"/>
    <xf numFmtId="0" fontId="32" fillId="5" borderId="0" applyNumberFormat="0" applyBorder="0" applyAlignment="0" applyProtection="0"/>
    <xf numFmtId="0" fontId="32" fillId="5" borderId="0" applyNumberFormat="0" applyBorder="0" applyAlignment="0" applyProtection="0"/>
    <xf numFmtId="0" fontId="32" fillId="5" borderId="0" applyNumberFormat="0" applyBorder="0" applyAlignment="0" applyProtection="0"/>
    <xf numFmtId="0" fontId="32" fillId="5" borderId="0" applyNumberFormat="0" applyBorder="0" applyAlignment="0" applyProtection="0"/>
    <xf numFmtId="0" fontId="32" fillId="5" borderId="0" applyNumberFormat="0" applyBorder="0" applyAlignment="0" applyProtection="0"/>
    <xf numFmtId="0" fontId="32" fillId="5" borderId="0" applyNumberFormat="0" applyBorder="0" applyAlignment="0" applyProtection="0"/>
    <xf numFmtId="0" fontId="32" fillId="5"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49" fontId="28" fillId="0" borderId="2" applyNumberFormat="0" applyFont="0" applyFill="0" applyBorder="0" applyProtection="0">
      <alignment horizontal="left" vertical="center" indent="5"/>
    </xf>
    <xf numFmtId="0" fontId="33" fillId="12" borderId="0" applyNumberFormat="0" applyBorder="0" applyAlignment="0" applyProtection="0"/>
    <xf numFmtId="0" fontId="33" fillId="12" borderId="0" applyNumberFormat="0" applyBorder="0" applyAlignment="0" applyProtection="0"/>
    <xf numFmtId="0" fontId="33" fillId="12" borderId="0" applyNumberFormat="0" applyBorder="0" applyAlignment="0" applyProtection="0"/>
    <xf numFmtId="0" fontId="33" fillId="12" borderId="0" applyNumberFormat="0" applyBorder="0" applyAlignment="0" applyProtection="0"/>
    <xf numFmtId="0" fontId="33" fillId="12" borderId="0" applyNumberFormat="0" applyBorder="0" applyAlignment="0" applyProtection="0"/>
    <xf numFmtId="0" fontId="33" fillId="12" borderId="0" applyNumberFormat="0" applyBorder="0" applyAlignment="0" applyProtection="0"/>
    <xf numFmtId="0" fontId="33" fillId="12" borderId="0" applyNumberFormat="0" applyBorder="0" applyAlignment="0" applyProtection="0"/>
    <xf numFmtId="0" fontId="33" fillId="12" borderId="0" applyNumberFormat="0" applyBorder="0" applyAlignment="0" applyProtection="0"/>
    <xf numFmtId="0" fontId="33" fillId="12" borderId="0" applyNumberFormat="0" applyBorder="0" applyAlignment="0" applyProtection="0"/>
    <xf numFmtId="0" fontId="33" fillId="12" borderId="0" applyNumberFormat="0" applyBorder="0" applyAlignment="0" applyProtection="0"/>
    <xf numFmtId="0" fontId="33" fillId="12" borderId="0" applyNumberFormat="0" applyBorder="0" applyAlignment="0" applyProtection="0"/>
    <xf numFmtId="0" fontId="33" fillId="9" borderId="0" applyNumberFormat="0" applyBorder="0" applyAlignment="0" applyProtection="0"/>
    <xf numFmtId="0" fontId="33" fillId="9" borderId="0" applyNumberFormat="0" applyBorder="0" applyAlignment="0" applyProtection="0"/>
    <xf numFmtId="0" fontId="33" fillId="9" borderId="0" applyNumberFormat="0" applyBorder="0" applyAlignment="0" applyProtection="0"/>
    <xf numFmtId="0" fontId="33" fillId="9" borderId="0" applyNumberFormat="0" applyBorder="0" applyAlignment="0" applyProtection="0"/>
    <xf numFmtId="0" fontId="33" fillId="9" borderId="0" applyNumberFormat="0" applyBorder="0" applyAlignment="0" applyProtection="0"/>
    <xf numFmtId="0" fontId="33" fillId="9" borderId="0" applyNumberFormat="0" applyBorder="0" applyAlignment="0" applyProtection="0"/>
    <xf numFmtId="0" fontId="33" fillId="9" borderId="0" applyNumberFormat="0" applyBorder="0" applyAlignment="0" applyProtection="0"/>
    <xf numFmtId="0" fontId="33" fillId="9" borderId="0" applyNumberFormat="0" applyBorder="0" applyAlignment="0" applyProtection="0"/>
    <xf numFmtId="0" fontId="33" fillId="9" borderId="0" applyNumberFormat="0" applyBorder="0" applyAlignment="0" applyProtection="0"/>
    <xf numFmtId="0" fontId="33" fillId="9" borderId="0" applyNumberFormat="0" applyBorder="0" applyAlignment="0" applyProtection="0"/>
    <xf numFmtId="0" fontId="33" fillId="9"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3" borderId="0" applyNumberFormat="0" applyBorder="0" applyAlignment="0" applyProtection="0"/>
    <xf numFmtId="0" fontId="33" fillId="13" borderId="0" applyNumberFormat="0" applyBorder="0" applyAlignment="0" applyProtection="0"/>
    <xf numFmtId="0" fontId="33" fillId="13" borderId="0" applyNumberFormat="0" applyBorder="0" applyAlignment="0" applyProtection="0"/>
    <xf numFmtId="0" fontId="33" fillId="13" borderId="0" applyNumberFormat="0" applyBorder="0" applyAlignment="0" applyProtection="0"/>
    <xf numFmtId="0" fontId="33" fillId="13" borderId="0" applyNumberFormat="0" applyBorder="0" applyAlignment="0" applyProtection="0"/>
    <xf numFmtId="0" fontId="33" fillId="13" borderId="0" applyNumberFormat="0" applyBorder="0" applyAlignment="0" applyProtection="0"/>
    <xf numFmtId="0" fontId="33" fillId="13" borderId="0" applyNumberFormat="0" applyBorder="0" applyAlignment="0" applyProtection="0"/>
    <xf numFmtId="0" fontId="33" fillId="13" borderId="0" applyNumberFormat="0" applyBorder="0" applyAlignment="0" applyProtection="0"/>
    <xf numFmtId="0" fontId="33" fillId="13" borderId="0" applyNumberFormat="0" applyBorder="0" applyAlignment="0" applyProtection="0"/>
    <xf numFmtId="0" fontId="33" fillId="13" borderId="0" applyNumberFormat="0" applyBorder="0" applyAlignment="0" applyProtection="0"/>
    <xf numFmtId="0" fontId="33" fillId="13"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3" borderId="0" applyNumberFormat="0" applyBorder="0" applyAlignment="0" applyProtection="0"/>
    <xf numFmtId="0" fontId="33" fillId="13" borderId="0" applyNumberFormat="0" applyBorder="0" applyAlignment="0" applyProtection="0"/>
    <xf numFmtId="0" fontId="33" fillId="13" borderId="0" applyNumberFormat="0" applyBorder="0" applyAlignment="0" applyProtection="0"/>
    <xf numFmtId="0" fontId="33" fillId="13" borderId="0" applyNumberFormat="0" applyBorder="0" applyAlignment="0" applyProtection="0"/>
    <xf numFmtId="0" fontId="33" fillId="13" borderId="0" applyNumberFormat="0" applyBorder="0" applyAlignment="0" applyProtection="0"/>
    <xf numFmtId="0" fontId="33" fillId="13" borderId="0" applyNumberFormat="0" applyBorder="0" applyAlignment="0" applyProtection="0"/>
    <xf numFmtId="0" fontId="33" fillId="13" borderId="0" applyNumberFormat="0" applyBorder="0" applyAlignment="0" applyProtection="0"/>
    <xf numFmtId="0" fontId="33" fillId="13" borderId="0" applyNumberFormat="0" applyBorder="0" applyAlignment="0" applyProtection="0"/>
    <xf numFmtId="0" fontId="33" fillId="13" borderId="0" applyNumberFormat="0" applyBorder="0" applyAlignment="0" applyProtection="0"/>
    <xf numFmtId="0" fontId="33" fillId="13" borderId="0" applyNumberFormat="0" applyBorder="0" applyAlignment="0" applyProtection="0"/>
    <xf numFmtId="0" fontId="33" fillId="13"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4" fillId="3" borderId="0" applyNumberFormat="0" applyBorder="0" applyAlignment="0" applyProtection="0"/>
    <xf numFmtId="0" fontId="34" fillId="3" borderId="0" applyNumberFormat="0" applyBorder="0" applyAlignment="0" applyProtection="0"/>
    <xf numFmtId="0" fontId="34" fillId="3" borderId="0" applyNumberFormat="0" applyBorder="0" applyAlignment="0" applyProtection="0"/>
    <xf numFmtId="0" fontId="34" fillId="3" borderId="0" applyNumberFormat="0" applyBorder="0" applyAlignment="0" applyProtection="0"/>
    <xf numFmtId="0" fontId="34" fillId="3" borderId="0" applyNumberFormat="0" applyBorder="0" applyAlignment="0" applyProtection="0"/>
    <xf numFmtId="0" fontId="34" fillId="3" borderId="0" applyNumberFormat="0" applyBorder="0" applyAlignment="0" applyProtection="0"/>
    <xf numFmtId="0" fontId="34" fillId="3" borderId="0" applyNumberFormat="0" applyBorder="0" applyAlignment="0" applyProtection="0"/>
    <xf numFmtId="0" fontId="34" fillId="3" borderId="0" applyNumberFormat="0" applyBorder="0" applyAlignment="0" applyProtection="0"/>
    <xf numFmtId="0" fontId="34" fillId="3" borderId="0" applyNumberFormat="0" applyBorder="0" applyAlignment="0" applyProtection="0"/>
    <xf numFmtId="0" fontId="34" fillId="3" borderId="0" applyNumberFormat="0" applyBorder="0" applyAlignment="0" applyProtection="0"/>
    <xf numFmtId="0" fontId="34" fillId="3" borderId="0" applyNumberFormat="0" applyBorder="0" applyAlignment="0" applyProtection="0"/>
    <xf numFmtId="4" fontId="29" fillId="0" borderId="3" applyFill="0" applyBorder="0" applyProtection="0">
      <alignment horizontal="right" vertical="center"/>
    </xf>
    <xf numFmtId="0" fontId="35" fillId="20" borderId="4" applyNumberFormat="0" applyAlignment="0" applyProtection="0"/>
    <xf numFmtId="0" fontId="35" fillId="20" borderId="4" applyNumberFormat="0" applyAlignment="0" applyProtection="0"/>
    <xf numFmtId="0" fontId="35" fillId="20" borderId="4" applyNumberFormat="0" applyAlignment="0" applyProtection="0"/>
    <xf numFmtId="0" fontId="35" fillId="20" borderId="4" applyNumberFormat="0" applyAlignment="0" applyProtection="0"/>
    <xf numFmtId="0" fontId="35" fillId="20" borderId="4" applyNumberFormat="0" applyAlignment="0" applyProtection="0"/>
    <xf numFmtId="0" fontId="35" fillId="20" borderId="4" applyNumberFormat="0" applyAlignment="0" applyProtection="0"/>
    <xf numFmtId="0" fontId="35" fillId="20" borderId="4" applyNumberFormat="0" applyAlignment="0" applyProtection="0"/>
    <xf numFmtId="0" fontId="35" fillId="20" borderId="4" applyNumberFormat="0" applyAlignment="0" applyProtection="0"/>
    <xf numFmtId="0" fontId="35" fillId="20" borderId="4" applyNumberFormat="0" applyAlignment="0" applyProtection="0"/>
    <xf numFmtId="0" fontId="35" fillId="20" borderId="4" applyNumberFormat="0" applyAlignment="0" applyProtection="0"/>
    <xf numFmtId="0" fontId="35" fillId="20" borderId="4" applyNumberFormat="0" applyAlignment="0" applyProtection="0"/>
    <xf numFmtId="0" fontId="36" fillId="21" borderId="5" applyNumberFormat="0" applyAlignment="0" applyProtection="0"/>
    <xf numFmtId="0" fontId="36" fillId="21" borderId="5" applyNumberFormat="0" applyAlignment="0" applyProtection="0"/>
    <xf numFmtId="0" fontId="36" fillId="21" borderId="5" applyNumberFormat="0" applyAlignment="0" applyProtection="0"/>
    <xf numFmtId="0" fontId="36" fillId="21" borderId="5" applyNumberFormat="0" applyAlignment="0" applyProtection="0"/>
    <xf numFmtId="0" fontId="36" fillId="21" borderId="5" applyNumberFormat="0" applyAlignment="0" applyProtection="0"/>
    <xf numFmtId="0" fontId="36" fillId="21" borderId="5" applyNumberFormat="0" applyAlignment="0" applyProtection="0"/>
    <xf numFmtId="0" fontId="36" fillId="21" borderId="5" applyNumberFormat="0" applyAlignment="0" applyProtection="0"/>
    <xf numFmtId="0" fontId="36" fillId="21" borderId="5" applyNumberFormat="0" applyAlignment="0" applyProtection="0"/>
    <xf numFmtId="0" fontId="36" fillId="21" borderId="5" applyNumberFormat="0" applyAlignment="0" applyProtection="0"/>
    <xf numFmtId="0" fontId="36" fillId="21" borderId="5" applyNumberFormat="0" applyAlignment="0" applyProtection="0"/>
    <xf numFmtId="0" fontId="36" fillId="21" borderId="5" applyNumberFormat="0" applyAlignment="0" applyProtection="0"/>
    <xf numFmtId="43" fontId="2" fillId="0" borderId="0" applyFont="0" applyFill="0" applyBorder="0" applyAlignment="0" applyProtection="0"/>
    <xf numFmtId="43" fontId="13" fillId="0" borderId="0" applyFont="0" applyFill="0" applyBorder="0" applyAlignment="0" applyProtection="0"/>
    <xf numFmtId="43" fontId="4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3" fontId="13" fillId="0" borderId="0" applyFont="0" applyFill="0" applyBorder="0" applyAlignment="0" applyProtection="0"/>
    <xf numFmtId="3" fontId="13" fillId="0" borderId="0" applyFont="0" applyFill="0" applyBorder="0" applyAlignment="0" applyProtection="0"/>
    <xf numFmtId="3" fontId="13" fillId="0" borderId="0" applyFont="0" applyFill="0" applyBorder="0" applyAlignment="0" applyProtection="0"/>
    <xf numFmtId="3" fontId="13" fillId="0" borderId="0" applyFont="0" applyFill="0" applyBorder="0" applyAlignment="0" applyProtection="0"/>
    <xf numFmtId="3" fontId="13" fillId="0" borderId="0" applyFont="0" applyFill="0" applyBorder="0" applyAlignment="0" applyProtection="0"/>
    <xf numFmtId="3" fontId="13" fillId="0" borderId="0" applyFont="0" applyFill="0" applyBorder="0" applyAlignment="0" applyProtection="0"/>
    <xf numFmtId="3" fontId="13" fillId="0" borderId="0" applyFont="0" applyFill="0" applyBorder="0" applyAlignment="0" applyProtection="0"/>
    <xf numFmtId="3" fontId="13" fillId="0" borderId="0" applyFont="0" applyFill="0" applyBorder="0" applyAlignment="0" applyProtection="0"/>
    <xf numFmtId="3" fontId="13" fillId="0" borderId="0" applyFont="0" applyFill="0" applyBorder="0" applyAlignment="0" applyProtection="0"/>
    <xf numFmtId="3" fontId="13" fillId="0" borderId="0" applyFont="0" applyFill="0" applyBorder="0" applyAlignment="0" applyProtection="0"/>
    <xf numFmtId="3" fontId="13" fillId="0" borderId="0" applyFont="0" applyFill="0" applyBorder="0" applyAlignment="0" applyProtection="0"/>
    <xf numFmtId="3" fontId="13" fillId="0" borderId="0" applyFont="0" applyFill="0" applyBorder="0" applyAlignment="0" applyProtection="0"/>
    <xf numFmtId="3" fontId="13" fillId="0" borderId="0" applyFont="0" applyFill="0" applyBorder="0" applyAlignment="0" applyProtection="0"/>
    <xf numFmtId="3" fontId="13" fillId="0" borderId="0" applyFont="0" applyFill="0" applyBorder="0" applyAlignment="0" applyProtection="0"/>
    <xf numFmtId="3" fontId="13" fillId="0" borderId="0" applyFont="0" applyFill="0" applyBorder="0" applyAlignment="0" applyProtection="0"/>
    <xf numFmtId="3" fontId="13" fillId="0" borderId="0" applyFont="0" applyFill="0" applyBorder="0" applyAlignment="0" applyProtection="0"/>
    <xf numFmtId="3" fontId="13" fillId="0" borderId="0" applyFont="0" applyFill="0" applyBorder="0" applyAlignment="0" applyProtection="0"/>
    <xf numFmtId="3" fontId="13" fillId="0" borderId="0" applyFont="0" applyFill="0" applyBorder="0" applyAlignment="0" applyProtection="0"/>
    <xf numFmtId="3"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9" fillId="22" borderId="0" applyNumberFormat="0" applyAlignment="0">
      <alignment horizontal="right"/>
    </xf>
    <xf numFmtId="0" fontId="13" fillId="22" borderId="0" applyNumberFormat="0" applyAlignment="0">
      <alignment horizontal="right"/>
    </xf>
    <xf numFmtId="0" fontId="13" fillId="22" borderId="0" applyNumberFormat="0" applyAlignment="0">
      <alignment horizontal="right"/>
    </xf>
    <xf numFmtId="0" fontId="13" fillId="23" borderId="0" applyNumberFormat="0" applyAlignment="0"/>
    <xf numFmtId="0" fontId="13" fillId="23" borderId="0" applyNumberFormat="0" applyAlignment="0"/>
    <xf numFmtId="0" fontId="13" fillId="23" borderId="0" applyNumberFormat="0" applyAlignment="0"/>
    <xf numFmtId="0" fontId="13" fillId="23" borderId="0" applyNumberFormat="0" applyAlignment="0"/>
    <xf numFmtId="0" fontId="13" fillId="23" borderId="0" applyNumberFormat="0" applyAlignment="0"/>
    <xf numFmtId="0" fontId="13" fillId="23" borderId="0" applyNumberFormat="0" applyAlignment="0"/>
    <xf numFmtId="0" fontId="13" fillId="23" borderId="0" applyNumberFormat="0" applyAlignment="0"/>
    <xf numFmtId="0" fontId="13" fillId="23" borderId="0" applyNumberFormat="0" applyAlignment="0"/>
    <xf numFmtId="0" fontId="13" fillId="23" borderId="0" applyNumberFormat="0" applyAlignment="0"/>
    <xf numFmtId="0" fontId="13" fillId="23" borderId="0" applyNumberFormat="0" applyAlignment="0"/>
    <xf numFmtId="0" fontId="13" fillId="23" borderId="0" applyNumberFormat="0" applyAlignment="0"/>
    <xf numFmtId="0" fontId="13" fillId="23" borderId="0" applyNumberFormat="0" applyAlignment="0"/>
    <xf numFmtId="0" fontId="13" fillId="23" borderId="0" applyNumberFormat="0" applyAlignment="0"/>
    <xf numFmtId="0" fontId="13" fillId="23" borderId="0" applyNumberFormat="0" applyAlignment="0"/>
    <xf numFmtId="0" fontId="13" fillId="23" borderId="0" applyNumberFormat="0" applyAlignment="0"/>
    <xf numFmtId="0" fontId="13" fillId="23" borderId="0" applyNumberFormat="0" applyAlignment="0"/>
    <xf numFmtId="0" fontId="13" fillId="23" borderId="0" applyNumberFormat="0" applyAlignment="0"/>
    <xf numFmtId="0" fontId="13" fillId="23" borderId="0" applyNumberFormat="0" applyAlignment="0"/>
    <xf numFmtId="0" fontId="13" fillId="23" borderId="0" applyNumberFormat="0" applyAlignment="0"/>
    <xf numFmtId="0" fontId="49" fillId="23" borderId="0" applyNumberFormat="0" applyAlignment="0"/>
    <xf numFmtId="180" fontId="13" fillId="0" borderId="0" applyFont="0" applyFill="0" applyBorder="0" applyAlignment="0" applyProtection="0"/>
    <xf numFmtId="180" fontId="13" fillId="0" borderId="0" applyFont="0" applyFill="0" applyBorder="0" applyAlignment="0" applyProtection="0"/>
    <xf numFmtId="180" fontId="13" fillId="0" borderId="0" applyFont="0" applyFill="0" applyBorder="0" applyAlignment="0" applyProtection="0"/>
    <xf numFmtId="180" fontId="13" fillId="0" borderId="0" applyFont="0" applyFill="0" applyBorder="0" applyAlignment="0" applyProtection="0"/>
    <xf numFmtId="180" fontId="13" fillId="0" borderId="0" applyFont="0" applyFill="0" applyBorder="0" applyAlignment="0" applyProtection="0"/>
    <xf numFmtId="180" fontId="13" fillId="0" borderId="0" applyFont="0" applyFill="0" applyBorder="0" applyAlignment="0" applyProtection="0"/>
    <xf numFmtId="180" fontId="13" fillId="0" borderId="0" applyFont="0" applyFill="0" applyBorder="0" applyAlignment="0" applyProtection="0"/>
    <xf numFmtId="180" fontId="13" fillId="0" borderId="0" applyFont="0" applyFill="0" applyBorder="0" applyAlignment="0" applyProtection="0"/>
    <xf numFmtId="180" fontId="13" fillId="0" borderId="0" applyFont="0" applyFill="0" applyBorder="0" applyAlignment="0" applyProtection="0"/>
    <xf numFmtId="180" fontId="13" fillId="0" borderId="0" applyFont="0" applyFill="0" applyBorder="0" applyAlignment="0" applyProtection="0"/>
    <xf numFmtId="180" fontId="13" fillId="0" borderId="0" applyFont="0" applyFill="0" applyBorder="0" applyAlignment="0" applyProtection="0"/>
    <xf numFmtId="180" fontId="13" fillId="0" borderId="0" applyFont="0" applyFill="0" applyBorder="0" applyAlignment="0" applyProtection="0"/>
    <xf numFmtId="180" fontId="13" fillId="0" borderId="0" applyFont="0" applyFill="0" applyBorder="0" applyAlignment="0" applyProtection="0"/>
    <xf numFmtId="180" fontId="13" fillId="0" borderId="0" applyFont="0" applyFill="0" applyBorder="0" applyAlignment="0" applyProtection="0"/>
    <xf numFmtId="180" fontId="13" fillId="0" borderId="0" applyFont="0" applyFill="0" applyBorder="0" applyAlignment="0" applyProtection="0"/>
    <xf numFmtId="180" fontId="13" fillId="0" borderId="0" applyFont="0" applyFill="0" applyBorder="0" applyAlignment="0" applyProtection="0"/>
    <xf numFmtId="180" fontId="13" fillId="0" borderId="0" applyFont="0" applyFill="0" applyBorder="0" applyAlignment="0" applyProtection="0"/>
    <xf numFmtId="180" fontId="13" fillId="0" borderId="0" applyFont="0" applyFill="0" applyBorder="0" applyAlignment="0" applyProtection="0"/>
    <xf numFmtId="180" fontId="13" fillId="0" borderId="0" applyFon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8" fillId="4" borderId="0" applyNumberFormat="0" applyBorder="0" applyAlignment="0" applyProtection="0"/>
    <xf numFmtId="0" fontId="38" fillId="4" borderId="0" applyNumberFormat="0" applyBorder="0" applyAlignment="0" applyProtection="0"/>
    <xf numFmtId="0" fontId="38" fillId="4" borderId="0" applyNumberFormat="0" applyBorder="0" applyAlignment="0" applyProtection="0"/>
    <xf numFmtId="0" fontId="38" fillId="4" borderId="0" applyNumberFormat="0" applyBorder="0" applyAlignment="0" applyProtection="0"/>
    <xf numFmtId="0" fontId="38" fillId="4" borderId="0" applyNumberFormat="0" applyBorder="0" applyAlignment="0" applyProtection="0"/>
    <xf numFmtId="0" fontId="38" fillId="4" borderId="0" applyNumberFormat="0" applyBorder="0" applyAlignment="0" applyProtection="0"/>
    <xf numFmtId="0" fontId="38" fillId="4" borderId="0" applyNumberFormat="0" applyBorder="0" applyAlignment="0" applyProtection="0"/>
    <xf numFmtId="0" fontId="38" fillId="4" borderId="0" applyNumberFormat="0" applyBorder="0" applyAlignment="0" applyProtection="0"/>
    <xf numFmtId="0" fontId="38" fillId="4" borderId="0" applyNumberFormat="0" applyBorder="0" applyAlignment="0" applyProtection="0"/>
    <xf numFmtId="0" fontId="38" fillId="4" borderId="0" applyNumberFormat="0" applyBorder="0" applyAlignment="0" applyProtection="0"/>
    <xf numFmtId="0" fontId="38" fillId="4" borderId="0" applyNumberFormat="0" applyBorder="0" applyAlignment="0" applyProtection="0"/>
    <xf numFmtId="0" fontId="39" fillId="0" borderId="6" applyNumberFormat="0" applyFill="0" applyAlignment="0" applyProtection="0"/>
    <xf numFmtId="0" fontId="39" fillId="0" borderId="6" applyNumberFormat="0" applyFill="0" applyAlignment="0" applyProtection="0"/>
    <xf numFmtId="0" fontId="39" fillId="0" borderId="6" applyNumberFormat="0" applyFill="0" applyAlignment="0" applyProtection="0"/>
    <xf numFmtId="0" fontId="39" fillId="0" borderId="6" applyNumberFormat="0" applyFill="0" applyAlignment="0" applyProtection="0"/>
    <xf numFmtId="0" fontId="39" fillId="0" borderId="6" applyNumberFormat="0" applyFill="0" applyAlignment="0" applyProtection="0"/>
    <xf numFmtId="0" fontId="39" fillId="0" borderId="6" applyNumberFormat="0" applyFill="0" applyAlignment="0" applyProtection="0"/>
    <xf numFmtId="0" fontId="39" fillId="0" borderId="6" applyNumberFormat="0" applyFill="0" applyAlignment="0" applyProtection="0"/>
    <xf numFmtId="0" fontId="39" fillId="0" borderId="6" applyNumberFormat="0" applyFill="0" applyAlignment="0" applyProtection="0"/>
    <xf numFmtId="0" fontId="39" fillId="0" borderId="6" applyNumberFormat="0" applyFill="0" applyAlignment="0" applyProtection="0"/>
    <xf numFmtId="0" fontId="39" fillId="0" borderId="6" applyNumberFormat="0" applyFill="0" applyAlignment="0" applyProtection="0"/>
    <xf numFmtId="0" fontId="39" fillId="0" borderId="6" applyNumberFormat="0" applyFill="0" applyAlignment="0" applyProtection="0"/>
    <xf numFmtId="0" fontId="40" fillId="0" borderId="7" applyNumberFormat="0" applyFill="0" applyAlignment="0" applyProtection="0"/>
    <xf numFmtId="0" fontId="40" fillId="0" borderId="7" applyNumberFormat="0" applyFill="0" applyAlignment="0" applyProtection="0"/>
    <xf numFmtId="0" fontId="40" fillId="0" borderId="7" applyNumberFormat="0" applyFill="0" applyAlignment="0" applyProtection="0"/>
    <xf numFmtId="0" fontId="40" fillId="0" borderId="7" applyNumberFormat="0" applyFill="0" applyAlignment="0" applyProtection="0"/>
    <xf numFmtId="0" fontId="40" fillId="0" borderId="7" applyNumberFormat="0" applyFill="0" applyAlignment="0" applyProtection="0"/>
    <xf numFmtId="0" fontId="40" fillId="0" borderId="7" applyNumberFormat="0" applyFill="0" applyAlignment="0" applyProtection="0"/>
    <xf numFmtId="0" fontId="40" fillId="0" borderId="7" applyNumberFormat="0" applyFill="0" applyAlignment="0" applyProtection="0"/>
    <xf numFmtId="0" fontId="40" fillId="0" borderId="7" applyNumberFormat="0" applyFill="0" applyAlignment="0" applyProtection="0"/>
    <xf numFmtId="0" fontId="40" fillId="0" borderId="7" applyNumberFormat="0" applyFill="0" applyAlignment="0" applyProtection="0"/>
    <xf numFmtId="0" fontId="40" fillId="0" borderId="7" applyNumberFormat="0" applyFill="0" applyAlignment="0" applyProtection="0"/>
    <xf numFmtId="0" fontId="40" fillId="0" borderId="7" applyNumberFormat="0" applyFill="0" applyAlignment="0" applyProtection="0"/>
    <xf numFmtId="0" fontId="41" fillId="0" borderId="8" applyNumberFormat="0" applyFill="0" applyAlignment="0" applyProtection="0"/>
    <xf numFmtId="0" fontId="41" fillId="0" borderId="8" applyNumberFormat="0" applyFill="0" applyAlignment="0" applyProtection="0"/>
    <xf numFmtId="0" fontId="41" fillId="0" borderId="8" applyNumberFormat="0" applyFill="0" applyAlignment="0" applyProtection="0"/>
    <xf numFmtId="0" fontId="41" fillId="0" borderId="8" applyNumberFormat="0" applyFill="0" applyAlignment="0" applyProtection="0"/>
    <xf numFmtId="0" fontId="41" fillId="0" borderId="8" applyNumberFormat="0" applyFill="0" applyAlignment="0" applyProtection="0"/>
    <xf numFmtId="0" fontId="41" fillId="0" borderId="8" applyNumberFormat="0" applyFill="0" applyAlignment="0" applyProtection="0"/>
    <xf numFmtId="0" fontId="41" fillId="0" borderId="8" applyNumberFormat="0" applyFill="0" applyAlignment="0" applyProtection="0"/>
    <xf numFmtId="0" fontId="41" fillId="0" borderId="8" applyNumberFormat="0" applyFill="0" applyAlignment="0" applyProtection="0"/>
    <xf numFmtId="0" fontId="41" fillId="0" borderId="8" applyNumberFormat="0" applyFill="0" applyAlignment="0" applyProtection="0"/>
    <xf numFmtId="0" fontId="41" fillId="0" borderId="8" applyNumberFormat="0" applyFill="0" applyAlignment="0" applyProtection="0"/>
    <xf numFmtId="0" fontId="41" fillId="0" borderId="8" applyNumberFormat="0" applyFill="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30" fillId="0" borderId="0" applyNumberFormat="0" applyFill="0" applyBorder="0" applyAlignment="0" applyProtection="0"/>
    <xf numFmtId="0" fontId="249" fillId="0" borderId="0" applyNumberFormat="0" applyFill="0" applyBorder="0" applyAlignment="0" applyProtection="0">
      <alignment vertical="top"/>
      <protection locked="0"/>
    </xf>
    <xf numFmtId="0" fontId="52" fillId="0" borderId="0" applyNumberFormat="0" applyFill="0" applyBorder="0" applyAlignment="0" applyProtection="0">
      <alignment vertical="top"/>
      <protection locked="0"/>
    </xf>
    <xf numFmtId="0" fontId="42" fillId="7" borderId="4" applyNumberFormat="0" applyAlignment="0" applyProtection="0"/>
    <xf numFmtId="0" fontId="42" fillId="7" borderId="4" applyNumberFormat="0" applyAlignment="0" applyProtection="0"/>
    <xf numFmtId="0" fontId="42" fillId="7" borderId="4" applyNumberFormat="0" applyAlignment="0" applyProtection="0"/>
    <xf numFmtId="0" fontId="42" fillId="7" borderId="4" applyNumberFormat="0" applyAlignment="0" applyProtection="0"/>
    <xf numFmtId="0" fontId="42" fillId="7" borderId="4" applyNumberFormat="0" applyAlignment="0" applyProtection="0"/>
    <xf numFmtId="0" fontId="42" fillId="7" borderId="4" applyNumberFormat="0" applyAlignment="0" applyProtection="0"/>
    <xf numFmtId="0" fontId="42" fillId="7" borderId="4" applyNumberFormat="0" applyAlignment="0" applyProtection="0"/>
    <xf numFmtId="0" fontId="42" fillId="7" borderId="4" applyNumberFormat="0" applyAlignment="0" applyProtection="0"/>
    <xf numFmtId="0" fontId="42" fillId="7" borderId="4" applyNumberFormat="0" applyAlignment="0" applyProtection="0"/>
    <xf numFmtId="0" fontId="42" fillId="7" borderId="4" applyNumberFormat="0" applyAlignment="0" applyProtection="0"/>
    <xf numFmtId="0" fontId="42" fillId="7" borderId="4" applyNumberFormat="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4" fillId="24" borderId="0" applyNumberFormat="0" applyBorder="0" applyAlignment="0" applyProtection="0"/>
    <xf numFmtId="0" fontId="44" fillId="24" borderId="0" applyNumberFormat="0" applyBorder="0" applyAlignment="0" applyProtection="0"/>
    <xf numFmtId="0" fontId="44" fillId="24" borderId="0" applyNumberFormat="0" applyBorder="0" applyAlignment="0" applyProtection="0"/>
    <xf numFmtId="0" fontId="44" fillId="24" borderId="0" applyNumberFormat="0" applyBorder="0" applyAlignment="0" applyProtection="0"/>
    <xf numFmtId="0" fontId="44" fillId="24" borderId="0" applyNumberFormat="0" applyBorder="0" applyAlignment="0" applyProtection="0"/>
    <xf numFmtId="0" fontId="44" fillId="24" borderId="0" applyNumberFormat="0" applyBorder="0" applyAlignment="0" applyProtection="0"/>
    <xf numFmtId="0" fontId="44" fillId="24" borderId="0" applyNumberFormat="0" applyBorder="0" applyAlignment="0" applyProtection="0"/>
    <xf numFmtId="0" fontId="44" fillId="24" borderId="0" applyNumberFormat="0" applyBorder="0" applyAlignment="0" applyProtection="0"/>
    <xf numFmtId="0" fontId="44" fillId="24" borderId="0" applyNumberFormat="0" applyBorder="0" applyAlignment="0" applyProtection="0"/>
    <xf numFmtId="0" fontId="44" fillId="24" borderId="0" applyNumberFormat="0" applyBorder="0" applyAlignment="0" applyProtection="0"/>
    <xf numFmtId="0" fontId="44" fillId="24" borderId="0" applyNumberFormat="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13" fillId="0" borderId="0"/>
    <xf numFmtId="0" fontId="13" fillId="0" borderId="0"/>
    <xf numFmtId="0" fontId="13" fillId="0" borderId="0"/>
    <xf numFmtId="0" fontId="32" fillId="0" borderId="0"/>
    <xf numFmtId="0" fontId="32" fillId="0" borderId="0"/>
    <xf numFmtId="0" fontId="32" fillId="0" borderId="0"/>
    <xf numFmtId="0" fontId="32" fillId="0" borderId="0"/>
    <xf numFmtId="0" fontId="32" fillId="0" borderId="0"/>
    <xf numFmtId="0" fontId="32" fillId="0" borderId="0"/>
    <xf numFmtId="0" fontId="49" fillId="0" borderId="0"/>
    <xf numFmtId="0" fontId="32" fillId="0" borderId="0"/>
    <xf numFmtId="0" fontId="50" fillId="0" borderId="0"/>
    <xf numFmtId="0" fontId="50" fillId="0" borderId="0"/>
    <xf numFmtId="0" fontId="26" fillId="0" borderId="0"/>
    <xf numFmtId="0" fontId="13" fillId="0" borderId="0"/>
    <xf numFmtId="0" fontId="32" fillId="0" borderId="0"/>
    <xf numFmtId="0" fontId="13" fillId="0" borderId="0"/>
    <xf numFmtId="0" fontId="32" fillId="0" borderId="0"/>
    <xf numFmtId="0" fontId="32" fillId="0" borderId="0"/>
    <xf numFmtId="0" fontId="13" fillId="0" borderId="0"/>
    <xf numFmtId="0" fontId="32" fillId="0" borderId="0"/>
    <xf numFmtId="0" fontId="32" fillId="0" borderId="0"/>
    <xf numFmtId="0" fontId="32" fillId="0" borderId="0"/>
    <xf numFmtId="0" fontId="13" fillId="0" borderId="0"/>
    <xf numFmtId="0" fontId="13" fillId="0" borderId="0"/>
    <xf numFmtId="0" fontId="13" fillId="0" borderId="0"/>
    <xf numFmtId="0" fontId="13" fillId="0" borderId="0"/>
    <xf numFmtId="0" fontId="13" fillId="0" borderId="0"/>
    <xf numFmtId="0" fontId="32" fillId="0" borderId="0"/>
    <xf numFmtId="0" fontId="50" fillId="0" borderId="0"/>
    <xf numFmtId="0" fontId="50" fillId="0" borderId="0"/>
    <xf numFmtId="0" fontId="13" fillId="0" borderId="0"/>
    <xf numFmtId="0" fontId="32" fillId="0" borderId="0"/>
    <xf numFmtId="0" fontId="13" fillId="0" borderId="0"/>
    <xf numFmtId="0" fontId="13" fillId="0" borderId="0"/>
    <xf numFmtId="0" fontId="13" fillId="0" borderId="0"/>
    <xf numFmtId="0" fontId="32" fillId="0" borderId="0"/>
    <xf numFmtId="0" fontId="13" fillId="0" borderId="0"/>
    <xf numFmtId="0" fontId="13" fillId="0" borderId="0"/>
    <xf numFmtId="0" fontId="13"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 fontId="28" fillId="0" borderId="1" applyFill="0" applyBorder="0" applyProtection="0">
      <alignment horizontal="right" vertical="center"/>
    </xf>
    <xf numFmtId="49" fontId="29" fillId="0" borderId="1" applyNumberFormat="0" applyFill="0" applyBorder="0" applyProtection="0">
      <alignment horizontal="left" vertical="center"/>
    </xf>
    <xf numFmtId="0" fontId="28" fillId="0" borderId="1" applyNumberFormat="0" applyFill="0" applyAlignment="0" applyProtection="0"/>
    <xf numFmtId="0" fontId="31" fillId="25" borderId="0" applyNumberFormat="0" applyFont="0" applyBorder="0" applyAlignment="0" applyProtection="0"/>
    <xf numFmtId="0" fontId="62" fillId="0" borderId="0"/>
    <xf numFmtId="0" fontId="2" fillId="0" borderId="0"/>
    <xf numFmtId="0" fontId="13" fillId="0" borderId="0"/>
    <xf numFmtId="0" fontId="62" fillId="0" borderId="0" applyBorder="0"/>
    <xf numFmtId="0" fontId="13" fillId="0" borderId="0"/>
    <xf numFmtId="0" fontId="13" fillId="0" borderId="0"/>
    <xf numFmtId="164" fontId="8" fillId="0" borderId="0"/>
    <xf numFmtId="0" fontId="144" fillId="0" borderId="0"/>
    <xf numFmtId="0" fontId="13" fillId="0" borderId="0"/>
    <xf numFmtId="0" fontId="206" fillId="0" borderId="0"/>
    <xf numFmtId="0" fontId="2" fillId="0" borderId="0"/>
    <xf numFmtId="0" fontId="2" fillId="0" borderId="0"/>
    <xf numFmtId="0" fontId="62" fillId="0" borderId="0" applyBorder="0"/>
    <xf numFmtId="0" fontId="6" fillId="0" borderId="0"/>
    <xf numFmtId="0" fontId="127" fillId="0" borderId="0"/>
    <xf numFmtId="0" fontId="6" fillId="26" borderId="10" applyNumberFormat="0" applyFont="0" applyAlignment="0" applyProtection="0"/>
    <xf numFmtId="0" fontId="6" fillId="26" borderId="10" applyNumberFormat="0" applyFont="0" applyAlignment="0" applyProtection="0"/>
    <xf numFmtId="0" fontId="6" fillId="26" borderId="10" applyNumberFormat="0" applyFont="0" applyAlignment="0" applyProtection="0"/>
    <xf numFmtId="0" fontId="6" fillId="26" borderId="10" applyNumberFormat="0" applyFont="0" applyAlignment="0" applyProtection="0"/>
    <xf numFmtId="0" fontId="32" fillId="26" borderId="10" applyNumberFormat="0" applyFont="0" applyAlignment="0" applyProtection="0"/>
    <xf numFmtId="0" fontId="6" fillId="26" borderId="10" applyNumberFormat="0" applyFont="0" applyAlignment="0" applyProtection="0"/>
    <xf numFmtId="0" fontId="32" fillId="26" borderId="10" applyNumberFormat="0" applyFont="0" applyAlignment="0" applyProtection="0"/>
    <xf numFmtId="0" fontId="6" fillId="26" borderId="10" applyNumberFormat="0" applyFont="0" applyAlignment="0" applyProtection="0"/>
    <xf numFmtId="0" fontId="6" fillId="26" borderId="10" applyNumberFormat="0" applyFont="0" applyAlignment="0" applyProtection="0"/>
    <xf numFmtId="0" fontId="32" fillId="26" borderId="10" applyNumberFormat="0" applyFont="0" applyAlignment="0" applyProtection="0"/>
    <xf numFmtId="0" fontId="6" fillId="26" borderId="10" applyNumberFormat="0" applyFont="0" applyAlignment="0" applyProtection="0"/>
    <xf numFmtId="0" fontId="45" fillId="20" borderId="11" applyNumberFormat="0" applyAlignment="0" applyProtection="0"/>
    <xf numFmtId="0" fontId="45" fillId="20" borderId="11" applyNumberFormat="0" applyAlignment="0" applyProtection="0"/>
    <xf numFmtId="0" fontId="45" fillId="20" borderId="11" applyNumberFormat="0" applyAlignment="0" applyProtection="0"/>
    <xf numFmtId="0" fontId="45" fillId="20" borderId="11" applyNumberFormat="0" applyAlignment="0" applyProtection="0"/>
    <xf numFmtId="0" fontId="45" fillId="20" borderId="11" applyNumberFormat="0" applyAlignment="0" applyProtection="0"/>
    <xf numFmtId="0" fontId="45" fillId="20" borderId="11" applyNumberFormat="0" applyAlignment="0" applyProtection="0"/>
    <xf numFmtId="0" fontId="45" fillId="20" borderId="11" applyNumberFormat="0" applyAlignment="0" applyProtection="0"/>
    <xf numFmtId="0" fontId="45" fillId="20" borderId="11" applyNumberFormat="0" applyAlignment="0" applyProtection="0"/>
    <xf numFmtId="0" fontId="45" fillId="20" borderId="11" applyNumberFormat="0" applyAlignment="0" applyProtection="0"/>
    <xf numFmtId="0" fontId="45" fillId="20" borderId="11" applyNumberFormat="0" applyAlignment="0" applyProtection="0"/>
    <xf numFmtId="0" fontId="45" fillId="20" borderId="11" applyNumberFormat="0" applyAlignment="0" applyProtection="0"/>
    <xf numFmtId="175" fontId="28" fillId="27" borderId="1" applyNumberFormat="0" applyFont="0" applyBorder="0" applyAlignment="0" applyProtection="0">
      <alignment horizontal="right" vertical="center"/>
    </xf>
    <xf numFmtId="9" fontId="2" fillId="0" borderId="0" applyFont="0" applyFill="0" applyBorder="0" applyAlignment="0" applyProtection="0"/>
    <xf numFmtId="9" fontId="49" fillId="0" borderId="0" applyFont="0" applyFill="0" applyBorder="0" applyAlignment="0" applyProtection="0"/>
    <xf numFmtId="0" fontId="51" fillId="0" borderId="0" applyNumberFormat="0" applyFill="0" applyBorder="0">
      <alignment horizontal="center" wrapText="1"/>
    </xf>
    <xf numFmtId="0" fontId="7" fillId="0" borderId="0" applyNumberFormat="0" applyFill="0" applyBorder="0">
      <alignment horizontal="center" wrapText="1"/>
    </xf>
    <xf numFmtId="0" fontId="7" fillId="0" borderId="0" applyNumberFormat="0" applyFill="0" applyBorder="0">
      <alignment horizontal="center" wrapText="1"/>
    </xf>
    <xf numFmtId="0" fontId="7" fillId="0" borderId="0" applyNumberFormat="0" applyFill="0" applyBorder="0">
      <alignment horizontal="center" wrapText="1"/>
    </xf>
    <xf numFmtId="0" fontId="7" fillId="0" borderId="0" applyNumberFormat="0" applyFill="0" applyBorder="0">
      <alignment horizontal="center" wrapText="1"/>
    </xf>
    <xf numFmtId="0" fontId="7" fillId="0" borderId="0" applyNumberFormat="0" applyFill="0" applyBorder="0">
      <alignment horizontal="center" wrapText="1"/>
    </xf>
    <xf numFmtId="0" fontId="7" fillId="0" borderId="0" applyNumberFormat="0" applyFill="0" applyBorder="0">
      <alignment horizontal="center" wrapText="1"/>
    </xf>
    <xf numFmtId="0" fontId="7" fillId="0" borderId="0" applyNumberFormat="0" applyFill="0" applyBorder="0">
      <alignment horizontal="center" wrapText="1"/>
    </xf>
    <xf numFmtId="0" fontId="7" fillId="0" borderId="0" applyNumberFormat="0" applyFill="0" applyBorder="0">
      <alignment horizontal="center" wrapText="1"/>
    </xf>
    <xf numFmtId="0" fontId="7" fillId="0" borderId="0" applyNumberFormat="0" applyFill="0" applyBorder="0">
      <alignment horizontal="center" wrapText="1"/>
    </xf>
    <xf numFmtId="0" fontId="7" fillId="0" borderId="0" applyNumberFormat="0" applyFill="0" applyBorder="0">
      <alignment horizontal="center" wrapText="1"/>
    </xf>
    <xf numFmtId="0" fontId="7" fillId="0" borderId="0" applyNumberFormat="0" applyFill="0" applyBorder="0">
      <alignment horizontal="center" wrapText="1"/>
    </xf>
    <xf numFmtId="0" fontId="7" fillId="0" borderId="0" applyNumberFormat="0" applyFill="0" applyBorder="0">
      <alignment horizontal="center" wrapText="1"/>
    </xf>
    <xf numFmtId="0" fontId="7" fillId="0" borderId="0" applyNumberFormat="0" applyFill="0" applyBorder="0">
      <alignment horizontal="center" wrapText="1"/>
    </xf>
    <xf numFmtId="0" fontId="51" fillId="0" borderId="0" applyNumberFormat="0" applyFill="0" applyBorder="0">
      <alignment horizontal="center" wrapText="1"/>
    </xf>
    <xf numFmtId="0" fontId="7" fillId="0" borderId="0" applyNumberFormat="0" applyFill="0" applyBorder="0">
      <alignment horizontal="center" wrapText="1"/>
    </xf>
    <xf numFmtId="0" fontId="7" fillId="0" borderId="0" applyNumberFormat="0" applyFill="0" applyBorder="0">
      <alignment horizontal="center" wrapText="1"/>
    </xf>
    <xf numFmtId="0" fontId="7" fillId="0" borderId="0" applyNumberFormat="0" applyFill="0" applyBorder="0">
      <alignment horizontal="center" wrapText="1"/>
    </xf>
    <xf numFmtId="0" fontId="7" fillId="0" borderId="0" applyNumberFormat="0" applyFill="0" applyBorder="0">
      <alignment horizontal="center" wrapText="1"/>
    </xf>
    <xf numFmtId="0" fontId="7" fillId="0" borderId="0" applyNumberFormat="0" applyFill="0" applyBorder="0">
      <alignment horizontal="center" wrapText="1"/>
    </xf>
    <xf numFmtId="0" fontId="7" fillId="0" borderId="0" applyNumberFormat="0" applyFill="0" applyBorder="0">
      <alignment horizontal="center" wrapText="1"/>
    </xf>
    <xf numFmtId="0" fontId="7" fillId="0" borderId="0" applyNumberFormat="0" applyFill="0" applyBorder="0">
      <alignment horizontal="center" wrapText="1"/>
    </xf>
    <xf numFmtId="0" fontId="7" fillId="0" borderId="0" applyNumberFormat="0" applyFill="0" applyBorder="0">
      <alignment horizontal="center" wrapText="1"/>
    </xf>
    <xf numFmtId="0" fontId="7" fillId="0" borderId="0" applyNumberFormat="0" applyFill="0" applyBorder="0">
      <alignment horizontal="center" wrapText="1"/>
    </xf>
    <xf numFmtId="0" fontId="7" fillId="0" borderId="0" applyNumberFormat="0" applyFill="0" applyBorder="0">
      <alignment horizontal="center" wrapText="1"/>
    </xf>
    <xf numFmtId="0" fontId="7" fillId="0" borderId="0" applyNumberFormat="0" applyFill="0" applyBorder="0">
      <alignment horizontal="center" wrapText="1"/>
    </xf>
    <xf numFmtId="0" fontId="7" fillId="0" borderId="0" applyNumberFormat="0" applyFill="0" applyBorder="0">
      <alignment horizontal="center" wrapText="1"/>
    </xf>
    <xf numFmtId="0" fontId="7" fillId="0" borderId="0" applyNumberFormat="0" applyFill="0" applyBorder="0">
      <alignment horizontal="center" wrapText="1"/>
    </xf>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cellStyleXfs>
  <cellXfs count="3119">
    <xf numFmtId="0" fontId="0" fillId="0" borderId="0" xfId="0"/>
    <xf numFmtId="0" fontId="2" fillId="0" borderId="0" xfId="0" applyFont="1"/>
    <xf numFmtId="0" fontId="0" fillId="0" borderId="13" xfId="0" applyBorder="1"/>
    <xf numFmtId="0" fontId="0" fillId="0" borderId="0" xfId="0" applyBorder="1"/>
    <xf numFmtId="0" fontId="7" fillId="0" borderId="0" xfId="0" applyFont="1" applyFill="1" applyBorder="1"/>
    <xf numFmtId="0" fontId="0" fillId="0" borderId="14" xfId="0" applyBorder="1"/>
    <xf numFmtId="0" fontId="0" fillId="0" borderId="0" xfId="0" applyFill="1" applyBorder="1"/>
    <xf numFmtId="0" fontId="0" fillId="0" borderId="15" xfId="0" applyBorder="1"/>
    <xf numFmtId="0" fontId="0" fillId="0" borderId="16" xfId="0" applyBorder="1"/>
    <xf numFmtId="0" fontId="0" fillId="0" borderId="17" xfId="0" applyBorder="1"/>
    <xf numFmtId="0" fontId="13" fillId="0" borderId="0" xfId="0" applyFont="1"/>
    <xf numFmtId="0" fontId="2" fillId="0" borderId="0" xfId="0" applyFont="1" applyFill="1" applyBorder="1"/>
    <xf numFmtId="3" fontId="0" fillId="0" borderId="0" xfId="0" applyNumberFormat="1" applyAlignment="1">
      <alignment horizontal="center"/>
    </xf>
    <xf numFmtId="43" fontId="0" fillId="0" borderId="0" xfId="0" applyNumberFormat="1"/>
    <xf numFmtId="0" fontId="7" fillId="0" borderId="0" xfId="0" applyFont="1" applyFill="1"/>
    <xf numFmtId="0" fontId="0" fillId="0" borderId="0" xfId="0" applyFill="1"/>
    <xf numFmtId="0" fontId="2" fillId="0" borderId="0" xfId="0" applyFont="1" applyBorder="1"/>
    <xf numFmtId="0" fontId="2" fillId="0" borderId="0" xfId="0" applyFont="1" applyFill="1"/>
    <xf numFmtId="0" fontId="0" fillId="28" borderId="0" xfId="0" applyFill="1"/>
    <xf numFmtId="4" fontId="0" fillId="0" borderId="0" xfId="0" applyNumberFormat="1"/>
    <xf numFmtId="0" fontId="0" fillId="0" borderId="18" xfId="0" applyBorder="1"/>
    <xf numFmtId="3" fontId="0" fillId="0" borderId="14" xfId="0" applyNumberFormat="1" applyBorder="1"/>
    <xf numFmtId="0" fontId="0" fillId="0" borderId="19" xfId="0" applyBorder="1"/>
    <xf numFmtId="0" fontId="0" fillId="0" borderId="20" xfId="0" applyBorder="1"/>
    <xf numFmtId="0" fontId="0" fillId="0" borderId="21" xfId="0" applyBorder="1"/>
    <xf numFmtId="0" fontId="0" fillId="0" borderId="22" xfId="0" applyBorder="1"/>
    <xf numFmtId="0" fontId="0" fillId="0" borderId="23" xfId="0" applyBorder="1"/>
    <xf numFmtId="0" fontId="0" fillId="0" borderId="24" xfId="0" applyBorder="1"/>
    <xf numFmtId="0" fontId="0" fillId="0" borderId="16" xfId="0" applyBorder="1" applyAlignment="1">
      <alignment horizontal="center"/>
    </xf>
    <xf numFmtId="0" fontId="7" fillId="0" borderId="25" xfId="0" applyFont="1" applyBorder="1"/>
    <xf numFmtId="173" fontId="13" fillId="0" borderId="1" xfId="301" applyNumberFormat="1" applyFont="1" applyBorder="1"/>
    <xf numFmtId="0" fontId="0" fillId="0" borderId="26" xfId="0" applyBorder="1"/>
    <xf numFmtId="0" fontId="0" fillId="0" borderId="1" xfId="0" applyBorder="1"/>
    <xf numFmtId="0" fontId="0" fillId="0" borderId="27" xfId="0" applyBorder="1"/>
    <xf numFmtId="0" fontId="0" fillId="0" borderId="28" xfId="0" applyBorder="1"/>
    <xf numFmtId="0" fontId="0" fillId="0" borderId="29" xfId="0" applyBorder="1"/>
    <xf numFmtId="0" fontId="53" fillId="0" borderId="0" xfId="0" applyFont="1" applyFill="1"/>
    <xf numFmtId="0" fontId="60" fillId="0" borderId="0" xfId="0" applyFont="1" applyFill="1"/>
    <xf numFmtId="173" fontId="13" fillId="0" borderId="1" xfId="301" applyNumberFormat="1" applyFont="1" applyFill="1" applyBorder="1"/>
    <xf numFmtId="0" fontId="63" fillId="0" borderId="0" xfId="0" applyFont="1" applyFill="1"/>
    <xf numFmtId="0" fontId="4" fillId="0" borderId="0" xfId="0" applyFont="1" applyFill="1"/>
    <xf numFmtId="0" fontId="53" fillId="0" borderId="0" xfId="0" applyFont="1" applyBorder="1"/>
    <xf numFmtId="0" fontId="15" fillId="0" borderId="0" xfId="0" applyFont="1" applyFill="1" applyBorder="1" applyAlignment="1">
      <alignment horizontal="center"/>
    </xf>
    <xf numFmtId="0" fontId="68" fillId="0" borderId="0" xfId="0" applyFont="1"/>
    <xf numFmtId="0" fontId="0" fillId="0" borderId="30" xfId="0" applyBorder="1"/>
    <xf numFmtId="3" fontId="13" fillId="0" borderId="14" xfId="0" quotePrefix="1" applyNumberFormat="1" applyFont="1" applyFill="1" applyBorder="1" applyAlignment="1">
      <alignment horizontal="right"/>
    </xf>
    <xf numFmtId="0" fontId="69" fillId="0" borderId="0" xfId="0" applyFont="1"/>
    <xf numFmtId="0" fontId="70" fillId="0" borderId="0" xfId="0" applyFont="1"/>
    <xf numFmtId="173" fontId="0" fillId="0" borderId="1" xfId="0" applyNumberFormat="1" applyBorder="1"/>
    <xf numFmtId="0" fontId="71" fillId="0" borderId="0" xfId="0" applyFont="1"/>
    <xf numFmtId="0" fontId="72" fillId="0" borderId="0" xfId="0" applyFont="1"/>
    <xf numFmtId="0" fontId="75" fillId="0" borderId="0" xfId="0" applyFont="1"/>
    <xf numFmtId="173" fontId="0" fillId="0" borderId="0" xfId="0" applyNumberFormat="1"/>
    <xf numFmtId="0" fontId="63" fillId="29" borderId="0" xfId="0" applyFont="1" applyFill="1"/>
    <xf numFmtId="0" fontId="2" fillId="29" borderId="0" xfId="0" applyFont="1" applyFill="1"/>
    <xf numFmtId="0" fontId="2" fillId="0" borderId="0" xfId="0" quotePrefix="1" applyFont="1" applyFill="1" applyBorder="1" applyAlignment="1">
      <alignment horizontal="center"/>
    </xf>
    <xf numFmtId="170" fontId="14" fillId="0" borderId="0" xfId="0" applyNumberFormat="1" applyFont="1" applyFill="1" applyBorder="1"/>
    <xf numFmtId="0" fontId="0" fillId="29" borderId="0" xfId="0" applyFill="1"/>
    <xf numFmtId="0" fontId="58" fillId="29" borderId="0" xfId="0" applyFont="1" applyFill="1"/>
    <xf numFmtId="173" fontId="14" fillId="0" borderId="1" xfId="301" applyNumberFormat="1" applyFont="1" applyFill="1" applyBorder="1"/>
    <xf numFmtId="173" fontId="14" fillId="0" borderId="0" xfId="301" applyNumberFormat="1" applyFont="1" applyFill="1" applyBorder="1" applyAlignment="1">
      <alignment horizontal="center"/>
    </xf>
    <xf numFmtId="171" fontId="14" fillId="0" borderId="0" xfId="0" applyNumberFormat="1" applyFont="1" applyFill="1" applyBorder="1"/>
    <xf numFmtId="0" fontId="2" fillId="0" borderId="0" xfId="0" applyFont="1" applyFill="1" applyBorder="1" applyAlignment="1">
      <alignment horizontal="center"/>
    </xf>
    <xf numFmtId="170" fontId="18" fillId="0" borderId="0" xfId="0" applyNumberFormat="1" applyFont="1" applyFill="1" applyBorder="1"/>
    <xf numFmtId="171" fontId="18" fillId="0" borderId="0" xfId="0" applyNumberFormat="1" applyFont="1" applyFill="1" applyBorder="1"/>
    <xf numFmtId="0" fontId="63" fillId="28" borderId="0" xfId="0" applyFont="1" applyFill="1"/>
    <xf numFmtId="0" fontId="58" fillId="28" borderId="0" xfId="0" applyFont="1" applyFill="1"/>
    <xf numFmtId="168" fontId="14" fillId="0" borderId="0" xfId="301" applyNumberFormat="1" applyFont="1" applyFill="1" applyBorder="1"/>
    <xf numFmtId="168" fontId="23" fillId="0" borderId="0" xfId="0" applyNumberFormat="1" applyFont="1" applyFill="1" applyBorder="1"/>
    <xf numFmtId="0" fontId="63" fillId="29" borderId="19" xfId="0" applyFont="1" applyFill="1" applyBorder="1"/>
    <xf numFmtId="0" fontId="2" fillId="29" borderId="31" xfId="0" applyFont="1" applyFill="1" applyBorder="1"/>
    <xf numFmtId="0" fontId="63" fillId="29" borderId="31" xfId="0" applyFont="1" applyFill="1" applyBorder="1"/>
    <xf numFmtId="0" fontId="63" fillId="0" borderId="31" xfId="0" applyFont="1" applyFill="1" applyBorder="1"/>
    <xf numFmtId="0" fontId="2" fillId="0" borderId="31" xfId="0" applyFont="1" applyFill="1" applyBorder="1"/>
    <xf numFmtId="0" fontId="2" fillId="0" borderId="32" xfId="0" applyFont="1" applyFill="1" applyBorder="1"/>
    <xf numFmtId="0" fontId="2" fillId="0" borderId="20" xfId="0" applyFont="1" applyBorder="1"/>
    <xf numFmtId="0" fontId="2" fillId="0" borderId="21" xfId="0" applyFont="1" applyBorder="1"/>
    <xf numFmtId="0" fontId="15" fillId="0" borderId="0" xfId="0" applyFont="1" applyFill="1" applyAlignment="1">
      <alignment horizontal="center"/>
    </xf>
    <xf numFmtId="0" fontId="14" fillId="0" borderId="0" xfId="0" applyFont="1" applyFill="1" applyAlignment="1">
      <alignment horizontal="center"/>
    </xf>
    <xf numFmtId="0" fontId="14" fillId="0" borderId="0" xfId="0" applyFont="1" applyFill="1" applyBorder="1" applyAlignment="1">
      <alignment horizontal="center"/>
    </xf>
    <xf numFmtId="0" fontId="53" fillId="29" borderId="0" xfId="0" applyFont="1" applyFill="1"/>
    <xf numFmtId="0" fontId="53" fillId="0" borderId="0" xfId="0" applyFont="1" applyFill="1" applyBorder="1"/>
    <xf numFmtId="0" fontId="53" fillId="0" borderId="0" xfId="0" applyFont="1" applyBorder="1" applyProtection="1"/>
    <xf numFmtId="0" fontId="80" fillId="0" borderId="0" xfId="0" applyFont="1" applyFill="1" applyBorder="1" applyAlignment="1">
      <alignment horizontal="center"/>
    </xf>
    <xf numFmtId="0" fontId="53" fillId="0" borderId="0" xfId="0" quotePrefix="1" applyFont="1" applyFill="1" applyBorder="1" applyAlignment="1">
      <alignment horizontal="center"/>
    </xf>
    <xf numFmtId="1" fontId="53" fillId="0" borderId="0" xfId="0" quotePrefix="1" applyNumberFormat="1" applyFont="1" applyFill="1" applyBorder="1" applyAlignment="1">
      <alignment horizontal="center"/>
    </xf>
    <xf numFmtId="0" fontId="53" fillId="0" borderId="0" xfId="0" applyFont="1"/>
    <xf numFmtId="0" fontId="53" fillId="0" borderId="0" xfId="0" applyFont="1" applyProtection="1"/>
    <xf numFmtId="1" fontId="53" fillId="0" borderId="0" xfId="0" applyNumberFormat="1" applyFont="1" applyFill="1" applyBorder="1" applyAlignment="1">
      <alignment horizontal="center"/>
    </xf>
    <xf numFmtId="0" fontId="53" fillId="28" borderId="0" xfId="0" applyFont="1" applyFill="1"/>
    <xf numFmtId="171" fontId="14" fillId="0" borderId="1" xfId="562" applyNumberFormat="1" applyFont="1" applyFill="1" applyBorder="1"/>
    <xf numFmtId="0" fontId="0" fillId="0" borderId="33" xfId="0" applyBorder="1"/>
    <xf numFmtId="0" fontId="0" fillId="0" borderId="3" xfId="0" applyBorder="1"/>
    <xf numFmtId="0" fontId="0" fillId="0" borderId="34" xfId="0" applyBorder="1"/>
    <xf numFmtId="0" fontId="0" fillId="0" borderId="35" xfId="0" applyBorder="1"/>
    <xf numFmtId="0" fontId="0" fillId="0" borderId="2" xfId="0" applyBorder="1"/>
    <xf numFmtId="0" fontId="0" fillId="0" borderId="36" xfId="0" applyBorder="1"/>
    <xf numFmtId="0" fontId="7" fillId="0" borderId="37" xfId="0" applyFont="1" applyBorder="1"/>
    <xf numFmtId="0" fontId="2" fillId="0" borderId="0" xfId="571"/>
    <xf numFmtId="0" fontId="4" fillId="23" borderId="0" xfId="0" applyFont="1" applyFill="1"/>
    <xf numFmtId="0" fontId="4" fillId="23" borderId="0" xfId="0" applyFont="1" applyFill="1" applyAlignment="1">
      <alignment horizontal="center"/>
    </xf>
    <xf numFmtId="0" fontId="4" fillId="0" borderId="0" xfId="0" applyFont="1"/>
    <xf numFmtId="0" fontId="4" fillId="0" borderId="0" xfId="0" applyFont="1" applyBorder="1"/>
    <xf numFmtId="0" fontId="4" fillId="0" borderId="0" xfId="0" applyFont="1" applyBorder="1" applyAlignment="1">
      <alignment horizontal="center"/>
    </xf>
    <xf numFmtId="0" fontId="4" fillId="0" borderId="0" xfId="0" applyFont="1" applyBorder="1" applyAlignment="1">
      <alignment horizontal="center" wrapText="1"/>
    </xf>
    <xf numFmtId="2" fontId="4" fillId="0" borderId="1" xfId="0" applyNumberFormat="1" applyFont="1" applyBorder="1"/>
    <xf numFmtId="173" fontId="4" fillId="0" borderId="1" xfId="301" applyNumberFormat="1" applyFont="1" applyBorder="1"/>
    <xf numFmtId="0" fontId="5" fillId="0" borderId="0" xfId="0" applyFont="1"/>
    <xf numFmtId="0" fontId="4" fillId="0" borderId="0" xfId="0" applyFont="1" applyAlignment="1">
      <alignment horizontal="center"/>
    </xf>
    <xf numFmtId="173" fontId="5" fillId="0" borderId="0" xfId="301" applyNumberFormat="1" applyFont="1" applyBorder="1"/>
    <xf numFmtId="173" fontId="4" fillId="0" borderId="0" xfId="0" applyNumberFormat="1" applyFont="1" applyAlignment="1">
      <alignment horizontal="center"/>
    </xf>
    <xf numFmtId="169" fontId="5" fillId="0" borderId="0" xfId="301" applyNumberFormat="1" applyFont="1" applyBorder="1"/>
    <xf numFmtId="0" fontId="4" fillId="31" borderId="0" xfId="0" applyFont="1" applyFill="1" applyAlignment="1">
      <alignment horizontal="center"/>
    </xf>
    <xf numFmtId="0" fontId="4" fillId="31" borderId="0" xfId="0" applyFont="1" applyFill="1"/>
    <xf numFmtId="0" fontId="4" fillId="32" borderId="0" xfId="0" applyFont="1" applyFill="1"/>
    <xf numFmtId="0" fontId="3" fillId="0" borderId="0" xfId="0" applyFont="1"/>
    <xf numFmtId="0" fontId="4" fillId="0" borderId="0" xfId="0" applyFont="1" applyFill="1" applyBorder="1" applyAlignment="1">
      <alignment horizontal="left" vertical="top" wrapText="1"/>
    </xf>
    <xf numFmtId="0" fontId="14" fillId="0" borderId="0" xfId="0" applyFont="1" applyBorder="1"/>
    <xf numFmtId="0" fontId="5" fillId="0" borderId="38" xfId="0" applyFont="1" applyFill="1" applyBorder="1"/>
    <xf numFmtId="0" fontId="5" fillId="0" borderId="16" xfId="0" applyFont="1" applyBorder="1"/>
    <xf numFmtId="0" fontId="58" fillId="23" borderId="0" xfId="0" applyFont="1" applyFill="1"/>
    <xf numFmtId="0" fontId="4" fillId="0" borderId="0" xfId="0" applyFont="1" applyFill="1" applyAlignment="1">
      <alignment horizontal="center"/>
    </xf>
    <xf numFmtId="0" fontId="4" fillId="0" borderId="19" xfId="0" applyFont="1" applyBorder="1"/>
    <xf numFmtId="0" fontId="5" fillId="0" borderId="31" xfId="0" applyFont="1" applyBorder="1" applyAlignment="1">
      <alignment horizontal="center"/>
    </xf>
    <xf numFmtId="0" fontId="5" fillId="0" borderId="32" xfId="0" applyFont="1" applyBorder="1" applyAlignment="1">
      <alignment horizontal="center"/>
    </xf>
    <xf numFmtId="0" fontId="4" fillId="0" borderId="20" xfId="0" applyFont="1" applyBorder="1"/>
    <xf numFmtId="0" fontId="4" fillId="0" borderId="21" xfId="0" applyFont="1" applyBorder="1"/>
    <xf numFmtId="0" fontId="4" fillId="0" borderId="26" xfId="0" applyFont="1" applyBorder="1" applyAlignment="1">
      <alignment vertical="top" wrapText="1"/>
    </xf>
    <xf numFmtId="173" fontId="4" fillId="0" borderId="1" xfId="301" applyNumberFormat="1" applyFont="1" applyFill="1" applyBorder="1" applyProtection="1">
      <protection locked="0"/>
    </xf>
    <xf numFmtId="169" fontId="4" fillId="0" borderId="39" xfId="301" applyNumberFormat="1" applyFont="1" applyBorder="1"/>
    <xf numFmtId="0" fontId="5" fillId="0" borderId="26" xfId="0" applyFont="1" applyBorder="1"/>
    <xf numFmtId="0" fontId="4" fillId="0" borderId="30" xfId="0" applyFont="1" applyBorder="1"/>
    <xf numFmtId="0" fontId="4" fillId="0" borderId="40" xfId="0" applyFont="1" applyBorder="1"/>
    <xf numFmtId="173" fontId="5" fillId="0" borderId="1" xfId="301" applyNumberFormat="1" applyFont="1" applyBorder="1"/>
    <xf numFmtId="169" fontId="5" fillId="0" borderId="39" xfId="301" applyNumberFormat="1" applyFont="1" applyBorder="1"/>
    <xf numFmtId="0" fontId="0" fillId="0" borderId="0" xfId="0" applyAlignment="1">
      <alignment wrapText="1"/>
    </xf>
    <xf numFmtId="0" fontId="58" fillId="32" borderId="0" xfId="0" applyFont="1" applyFill="1"/>
    <xf numFmtId="0" fontId="16" fillId="0" borderId="19" xfId="0" applyFont="1" applyBorder="1"/>
    <xf numFmtId="0" fontId="15" fillId="0" borderId="0" xfId="0" applyFont="1" applyAlignment="1">
      <alignment horizontal="center"/>
    </xf>
    <xf numFmtId="0" fontId="90" fillId="0" borderId="0" xfId="0" applyFont="1"/>
    <xf numFmtId="0" fontId="15" fillId="0" borderId="20" xfId="0" applyFont="1" applyBorder="1" applyAlignment="1">
      <alignment horizontal="left" indent="1"/>
    </xf>
    <xf numFmtId="0" fontId="91" fillId="0" borderId="0" xfId="0" applyFont="1"/>
    <xf numFmtId="173" fontId="25" fillId="0" borderId="1" xfId="301" applyNumberFormat="1" applyFont="1" applyFill="1" applyBorder="1" applyProtection="1">
      <protection locked="0"/>
    </xf>
    <xf numFmtId="2" fontId="16" fillId="0" borderId="1" xfId="0" applyNumberFormat="1" applyFont="1" applyBorder="1"/>
    <xf numFmtId="43" fontId="25" fillId="0" borderId="1" xfId="301" applyFont="1" applyBorder="1"/>
    <xf numFmtId="167" fontId="25" fillId="0" borderId="39" xfId="301" applyNumberFormat="1" applyFont="1" applyBorder="1"/>
    <xf numFmtId="167" fontId="25" fillId="0" borderId="20" xfId="301" applyNumberFormat="1" applyFont="1" applyBorder="1"/>
    <xf numFmtId="173" fontId="25" fillId="0" borderId="1" xfId="301" applyNumberFormat="1" applyFont="1" applyBorder="1"/>
    <xf numFmtId="0" fontId="16" fillId="0" borderId="20" xfId="0" applyFont="1" applyBorder="1"/>
    <xf numFmtId="0" fontId="15" fillId="0" borderId="22" xfId="0" applyFont="1" applyBorder="1"/>
    <xf numFmtId="173" fontId="80" fillId="0" borderId="28" xfId="301" applyNumberFormat="1" applyFont="1" applyBorder="1"/>
    <xf numFmtId="167" fontId="80" fillId="0" borderId="29" xfId="301" applyNumberFormat="1" applyFont="1" applyBorder="1"/>
    <xf numFmtId="167" fontId="80" fillId="0" borderId="20" xfId="301" applyNumberFormat="1" applyFont="1" applyBorder="1"/>
    <xf numFmtId="0" fontId="58" fillId="31" borderId="0" xfId="0" applyFont="1" applyFill="1"/>
    <xf numFmtId="173" fontId="4" fillId="0" borderId="0" xfId="301" applyNumberFormat="1" applyFont="1" applyAlignment="1">
      <alignment horizontal="center"/>
    </xf>
    <xf numFmtId="171" fontId="4" fillId="0" borderId="3" xfId="0" applyNumberFormat="1" applyFont="1" applyBorder="1"/>
    <xf numFmtId="165" fontId="4" fillId="0" borderId="1" xfId="0" applyNumberFormat="1" applyFont="1" applyBorder="1"/>
    <xf numFmtId="173" fontId="5" fillId="0" borderId="0" xfId="301" applyNumberFormat="1" applyFont="1" applyAlignment="1">
      <alignment horizontal="center"/>
    </xf>
    <xf numFmtId="0" fontId="7" fillId="0" borderId="37" xfId="566" applyFont="1" applyBorder="1" applyAlignment="1">
      <alignment horizontal="center"/>
    </xf>
    <xf numFmtId="0" fontId="7" fillId="0" borderId="13" xfId="0" applyFont="1" applyBorder="1" applyAlignment="1">
      <alignment horizontal="center"/>
    </xf>
    <xf numFmtId="0" fontId="7" fillId="0" borderId="41" xfId="0" applyFont="1" applyFill="1" applyBorder="1"/>
    <xf numFmtId="0" fontId="7" fillId="0" borderId="42" xfId="566" applyFont="1" applyBorder="1" applyAlignment="1">
      <alignment horizontal="left"/>
    </xf>
    <xf numFmtId="0" fontId="7" fillId="0" borderId="0" xfId="0" applyFont="1" applyFill="1" applyBorder="1" applyAlignment="1">
      <alignment horizontal="center"/>
    </xf>
    <xf numFmtId="0" fontId="7" fillId="0" borderId="36" xfId="0" applyFont="1" applyFill="1" applyBorder="1"/>
    <xf numFmtId="0" fontId="0" fillId="0" borderId="43" xfId="0" applyBorder="1"/>
    <xf numFmtId="0" fontId="13" fillId="0" borderId="44" xfId="566" applyFont="1" applyBorder="1"/>
    <xf numFmtId="0" fontId="0" fillId="0" borderId="45" xfId="0" applyBorder="1"/>
    <xf numFmtId="179" fontId="0" fillId="0" borderId="45" xfId="0" applyNumberFormat="1" applyBorder="1"/>
    <xf numFmtId="9" fontId="0" fillId="0" borderId="46" xfId="0" applyNumberFormat="1" applyBorder="1" applyAlignment="1">
      <alignment horizontal="center"/>
    </xf>
    <xf numFmtId="177" fontId="0" fillId="0" borderId="43" xfId="301" applyNumberFormat="1" applyFont="1" applyBorder="1"/>
    <xf numFmtId="184" fontId="0" fillId="0" borderId="16" xfId="301" applyNumberFormat="1" applyFont="1" applyBorder="1"/>
    <xf numFmtId="177" fontId="0" fillId="0" borderId="16" xfId="301" applyNumberFormat="1" applyFont="1" applyBorder="1"/>
    <xf numFmtId="177" fontId="7" fillId="0" borderId="17" xfId="0" applyNumberFormat="1" applyFont="1" applyBorder="1"/>
    <xf numFmtId="0" fontId="13" fillId="0" borderId="0" xfId="566" applyFont="1"/>
    <xf numFmtId="0" fontId="5" fillId="0" borderId="47" xfId="564" applyFont="1" applyFill="1" applyBorder="1"/>
    <xf numFmtId="0" fontId="6" fillId="0" borderId="48" xfId="564" applyFont="1" applyFill="1" applyBorder="1"/>
    <xf numFmtId="0" fontId="5" fillId="0" borderId="49" xfId="564" applyFont="1" applyFill="1" applyBorder="1"/>
    <xf numFmtId="0" fontId="5" fillId="0" borderId="50" xfId="564" applyFont="1" applyBorder="1"/>
    <xf numFmtId="0" fontId="4" fillId="0" borderId="20" xfId="564" applyFont="1" applyFill="1" applyBorder="1"/>
    <xf numFmtId="168" fontId="23" fillId="0" borderId="21" xfId="301" applyNumberFormat="1" applyFont="1" applyFill="1" applyBorder="1"/>
    <xf numFmtId="0" fontId="4" fillId="0" borderId="20" xfId="564" applyFont="1" applyFill="1" applyBorder="1" applyAlignment="1">
      <alignment horizontal="left" indent="1"/>
    </xf>
    <xf numFmtId="168" fontId="6" fillId="0" borderId="21" xfId="301" applyNumberFormat="1" applyFont="1" applyFill="1" applyBorder="1"/>
    <xf numFmtId="0" fontId="0" fillId="0" borderId="51" xfId="0" applyBorder="1"/>
    <xf numFmtId="0" fontId="0" fillId="0" borderId="52" xfId="0" applyBorder="1"/>
    <xf numFmtId="0" fontId="0" fillId="0" borderId="39" xfId="0" applyBorder="1"/>
    <xf numFmtId="0" fontId="12" fillId="0" borderId="0" xfId="574" applyFont="1" applyFill="1" applyAlignment="1">
      <alignment vertical="center"/>
    </xf>
    <xf numFmtId="0" fontId="27" fillId="0" borderId="0" xfId="574" applyFont="1" applyFill="1"/>
    <xf numFmtId="0" fontId="4" fillId="0" borderId="0" xfId="0" applyFont="1" applyFill="1" applyAlignment="1">
      <alignment horizontal="left" indent="1"/>
    </xf>
    <xf numFmtId="0" fontId="0" fillId="0" borderId="0" xfId="0" applyAlignment="1"/>
    <xf numFmtId="0" fontId="68" fillId="0" borderId="0" xfId="0" applyFont="1" applyAlignment="1"/>
    <xf numFmtId="185" fontId="0" fillId="0" borderId="0" xfId="0" applyNumberFormat="1"/>
    <xf numFmtId="0" fontId="68" fillId="0" borderId="53" xfId="0" applyFont="1" applyBorder="1"/>
    <xf numFmtId="0" fontId="68" fillId="0" borderId="54" xfId="0" applyFont="1" applyFill="1" applyBorder="1"/>
    <xf numFmtId="3" fontId="0" fillId="0" borderId="1" xfId="0" applyNumberFormat="1" applyBorder="1"/>
    <xf numFmtId="3" fontId="0" fillId="0" borderId="30" xfId="0" applyNumberFormat="1" applyBorder="1"/>
    <xf numFmtId="3" fontId="0" fillId="0" borderId="55" xfId="0" applyNumberFormat="1" applyBorder="1"/>
    <xf numFmtId="3" fontId="0" fillId="0" borderId="56" xfId="0" applyNumberFormat="1" applyBorder="1"/>
    <xf numFmtId="3" fontId="13" fillId="0" borderId="57" xfId="0" quotePrefix="1" applyNumberFormat="1" applyFont="1" applyFill="1" applyBorder="1" applyAlignment="1">
      <alignment horizontal="right"/>
    </xf>
    <xf numFmtId="3" fontId="0" fillId="0" borderId="57" xfId="0" applyNumberFormat="1" applyBorder="1"/>
    <xf numFmtId="0" fontId="68" fillId="0" borderId="53" xfId="0" applyFont="1" applyFill="1" applyBorder="1"/>
    <xf numFmtId="0" fontId="68" fillId="0" borderId="58" xfId="0" applyFont="1" applyBorder="1"/>
    <xf numFmtId="3" fontId="13" fillId="0" borderId="1" xfId="0" quotePrefix="1" applyNumberFormat="1" applyFont="1" applyFill="1" applyBorder="1"/>
    <xf numFmtId="0" fontId="0" fillId="0" borderId="59" xfId="0" applyBorder="1"/>
    <xf numFmtId="0" fontId="0" fillId="0" borderId="60" xfId="0" applyBorder="1"/>
    <xf numFmtId="3" fontId="13" fillId="0" borderId="60" xfId="0" quotePrefix="1" applyNumberFormat="1" applyFont="1" applyFill="1" applyBorder="1"/>
    <xf numFmtId="0" fontId="0" fillId="25" borderId="61" xfId="0" applyFill="1" applyBorder="1"/>
    <xf numFmtId="3" fontId="13" fillId="25" borderId="62" xfId="0" quotePrefix="1" applyNumberFormat="1" applyFont="1" applyFill="1" applyBorder="1"/>
    <xf numFmtId="173" fontId="0" fillId="25" borderId="62" xfId="0" applyNumberFormat="1" applyFill="1" applyBorder="1"/>
    <xf numFmtId="0" fontId="13" fillId="0" borderId="2" xfId="0" quotePrefix="1" applyNumberFormat="1" applyFont="1" applyFill="1" applyBorder="1" applyAlignment="1">
      <alignment horizontal="left"/>
    </xf>
    <xf numFmtId="0" fontId="13" fillId="0" borderId="63" xfId="0" quotePrefix="1" applyNumberFormat="1" applyFont="1" applyFill="1" applyBorder="1" applyAlignment="1">
      <alignment horizontal="left"/>
    </xf>
    <xf numFmtId="0" fontId="63" fillId="0" borderId="0" xfId="0" applyFont="1" applyAlignment="1" applyProtection="1">
      <alignment vertical="top"/>
      <protection locked="0"/>
    </xf>
    <xf numFmtId="0" fontId="63" fillId="0" borderId="0" xfId="0" applyFont="1"/>
    <xf numFmtId="0" fontId="63" fillId="0" borderId="0" xfId="0" applyFont="1" applyProtection="1">
      <protection locked="0"/>
    </xf>
    <xf numFmtId="0" fontId="96" fillId="0" borderId="0" xfId="0" applyFont="1"/>
    <xf numFmtId="0" fontId="96" fillId="0" borderId="0" xfId="0" applyFont="1" applyFill="1"/>
    <xf numFmtId="0" fontId="98" fillId="0" borderId="0" xfId="0" applyFont="1" applyFill="1"/>
    <xf numFmtId="0" fontId="98" fillId="0" borderId="0" xfId="0" applyFont="1"/>
    <xf numFmtId="166" fontId="99" fillId="0" borderId="1" xfId="599" applyNumberFormat="1" applyFont="1" applyFill="1" applyBorder="1"/>
    <xf numFmtId="0" fontId="98" fillId="0" borderId="0" xfId="0" applyFont="1" applyBorder="1"/>
    <xf numFmtId="173" fontId="99" fillId="0" borderId="1" xfId="301" applyNumberFormat="1" applyFont="1" applyFill="1" applyBorder="1"/>
    <xf numFmtId="0" fontId="96" fillId="0" borderId="0" xfId="0" applyFont="1" applyBorder="1"/>
    <xf numFmtId="0" fontId="102" fillId="0" borderId="0" xfId="0" applyFont="1"/>
    <xf numFmtId="0" fontId="105" fillId="0" borderId="0" xfId="0" applyFont="1" applyFill="1"/>
    <xf numFmtId="3" fontId="103" fillId="28" borderId="1" xfId="0" applyNumberFormat="1" applyFont="1" applyFill="1" applyBorder="1" applyAlignment="1" applyProtection="1">
      <alignment horizontal="center"/>
      <protection locked="0"/>
    </xf>
    <xf numFmtId="0" fontId="96" fillId="0" borderId="0" xfId="0" applyFont="1" applyFill="1" applyAlignment="1">
      <alignment horizontal="center"/>
    </xf>
    <xf numFmtId="4" fontId="103" fillId="0" borderId="1" xfId="0" applyNumberFormat="1" applyFont="1" applyBorder="1"/>
    <xf numFmtId="173" fontId="103" fillId="0" borderId="1" xfId="301" applyNumberFormat="1" applyFont="1" applyBorder="1"/>
    <xf numFmtId="0" fontId="96" fillId="0" borderId="0" xfId="0" applyFont="1" applyFill="1" applyBorder="1" applyAlignment="1">
      <alignment horizontal="center"/>
    </xf>
    <xf numFmtId="0" fontId="104" fillId="0" borderId="0" xfId="0" applyFont="1" applyFill="1" applyBorder="1" applyAlignment="1">
      <alignment horizontal="center" wrapText="1"/>
    </xf>
    <xf numFmtId="165" fontId="103" fillId="0" borderId="1" xfId="0" applyNumberFormat="1" applyFont="1" applyFill="1" applyBorder="1" applyAlignment="1">
      <alignment horizontal="center"/>
    </xf>
    <xf numFmtId="173" fontId="103" fillId="0" borderId="1" xfId="301" applyNumberFormat="1" applyFont="1" applyFill="1" applyBorder="1" applyProtection="1"/>
    <xf numFmtId="173" fontId="103" fillId="0" borderId="1" xfId="301" applyNumberFormat="1" applyFont="1" applyFill="1" applyBorder="1"/>
    <xf numFmtId="37" fontId="103" fillId="28" borderId="1" xfId="301" applyNumberFormat="1" applyFont="1" applyFill="1" applyBorder="1" applyAlignment="1" applyProtection="1">
      <alignment horizontal="center"/>
      <protection locked="0"/>
    </xf>
    <xf numFmtId="173" fontId="103" fillId="0" borderId="1" xfId="301" applyNumberFormat="1" applyFont="1" applyFill="1" applyBorder="1" applyAlignment="1" applyProtection="1">
      <alignment horizontal="right"/>
    </xf>
    <xf numFmtId="173" fontId="103" fillId="0" borderId="1" xfId="301" applyNumberFormat="1" applyFont="1" applyFill="1" applyBorder="1" applyAlignment="1">
      <alignment horizontal="right"/>
    </xf>
    <xf numFmtId="173" fontId="103" fillId="0" borderId="1" xfId="301" applyNumberFormat="1" applyFont="1" applyBorder="1" applyAlignment="1">
      <alignment horizontal="right"/>
    </xf>
    <xf numFmtId="173" fontId="103" fillId="0" borderId="1" xfId="301" quotePrefix="1" applyNumberFormat="1" applyFont="1" applyFill="1" applyBorder="1" applyAlignment="1" applyProtection="1">
      <alignment horizontal="right"/>
    </xf>
    <xf numFmtId="173" fontId="103" fillId="0" borderId="1" xfId="301" applyNumberFormat="1" applyFont="1" applyBorder="1" applyAlignment="1">
      <alignment horizontal="center"/>
    </xf>
    <xf numFmtId="0" fontId="110" fillId="0" borderId="0" xfId="0" applyFont="1"/>
    <xf numFmtId="0" fontId="103" fillId="0" borderId="0" xfId="0" applyFont="1" applyBorder="1"/>
    <xf numFmtId="0" fontId="111" fillId="0" borderId="0" xfId="0" applyFont="1"/>
    <xf numFmtId="0" fontId="96" fillId="0" borderId="0" xfId="0" applyFont="1" applyFill="1" applyBorder="1" applyAlignment="1">
      <alignment horizontal="left" vertical="top" wrapText="1"/>
    </xf>
    <xf numFmtId="0" fontId="96" fillId="0" borderId="0" xfId="0" applyFont="1" applyAlignment="1">
      <alignment vertical="center"/>
    </xf>
    <xf numFmtId="0" fontId="106" fillId="0" borderId="44" xfId="0" applyFont="1" applyFill="1" applyBorder="1"/>
    <xf numFmtId="0" fontId="103" fillId="0" borderId="41" xfId="0" applyFont="1" applyBorder="1"/>
    <xf numFmtId="0" fontId="106" fillId="0" borderId="46" xfId="0" applyFont="1" applyBorder="1"/>
    <xf numFmtId="0" fontId="96" fillId="0" borderId="42" xfId="0" applyFont="1" applyFill="1" applyBorder="1"/>
    <xf numFmtId="169" fontId="96" fillId="0" borderId="18" xfId="301" applyNumberFormat="1" applyFont="1" applyFill="1" applyBorder="1"/>
    <xf numFmtId="186" fontId="96" fillId="0" borderId="0" xfId="0" applyNumberFormat="1" applyFont="1"/>
    <xf numFmtId="179" fontId="96" fillId="0" borderId="0" xfId="0" applyNumberFormat="1" applyFont="1"/>
    <xf numFmtId="0" fontId="112" fillId="0" borderId="42" xfId="0" applyFont="1" applyBorder="1" applyAlignment="1">
      <alignment horizontal="left" indent="1"/>
    </xf>
    <xf numFmtId="0" fontId="96" fillId="0" borderId="15" xfId="0" applyFont="1" applyFill="1" applyBorder="1" applyAlignment="1">
      <alignment horizontal="left" vertical="top" wrapText="1"/>
    </xf>
    <xf numFmtId="0" fontId="103" fillId="0" borderId="17" xfId="0" applyFont="1" applyBorder="1"/>
    <xf numFmtId="0" fontId="96" fillId="0" borderId="0" xfId="0" applyFont="1" applyFill="1" applyAlignment="1">
      <alignment horizontal="left" vertical="top" wrapText="1"/>
    </xf>
    <xf numFmtId="173" fontId="96" fillId="0" borderId="18" xfId="301" applyNumberFormat="1" applyFont="1" applyFill="1" applyBorder="1"/>
    <xf numFmtId="0" fontId="106" fillId="0" borderId="15" xfId="0" applyFont="1" applyFill="1" applyBorder="1"/>
    <xf numFmtId="173" fontId="96" fillId="0" borderId="17" xfId="301" applyNumberFormat="1" applyFont="1" applyFill="1" applyBorder="1"/>
    <xf numFmtId="0" fontId="106" fillId="0" borderId="17" xfId="0" applyFont="1" applyBorder="1"/>
    <xf numFmtId="0" fontId="112" fillId="0" borderId="15" xfId="0" applyFont="1" applyBorder="1" applyAlignment="1">
      <alignment horizontal="left" indent="1"/>
    </xf>
    <xf numFmtId="43" fontId="96" fillId="0" borderId="0" xfId="0" applyNumberFormat="1" applyFont="1"/>
    <xf numFmtId="0" fontId="106" fillId="0" borderId="0" xfId="562" applyFont="1" applyFill="1" applyBorder="1" applyAlignment="1">
      <alignment horizontal="center"/>
    </xf>
    <xf numFmtId="0" fontId="104" fillId="0" borderId="0" xfId="562" applyFont="1" applyFill="1" applyBorder="1" applyAlignment="1">
      <alignment horizontal="center" wrapText="1"/>
    </xf>
    <xf numFmtId="0" fontId="103" fillId="0" borderId="0" xfId="562" applyFont="1" applyFill="1" applyBorder="1"/>
    <xf numFmtId="0" fontId="103" fillId="0" borderId="0" xfId="562" applyFont="1" applyFill="1" applyBorder="1" applyAlignment="1">
      <alignment horizontal="center" wrapText="1"/>
    </xf>
    <xf numFmtId="0" fontId="96" fillId="0" borderId="0" xfId="574" applyFont="1" applyBorder="1"/>
    <xf numFmtId="0" fontId="15" fillId="0" borderId="0" xfId="0" applyFont="1" applyBorder="1" applyAlignment="1">
      <alignment horizontal="center" wrapText="1"/>
    </xf>
    <xf numFmtId="0" fontId="16" fillId="0" borderId="0" xfId="562" applyFont="1" applyFill="1" applyBorder="1" applyAlignment="1">
      <alignment horizontal="center" vertical="top"/>
    </xf>
    <xf numFmtId="0" fontId="16" fillId="0" borderId="0" xfId="0" applyFont="1" applyBorder="1" applyAlignment="1">
      <alignment horizontal="center" vertical="top"/>
    </xf>
    <xf numFmtId="0" fontId="16" fillId="0" borderId="0" xfId="562" applyFont="1" applyFill="1" applyBorder="1" applyAlignment="1">
      <alignment horizontal="center"/>
    </xf>
    <xf numFmtId="0" fontId="96" fillId="0" borderId="0" xfId="0" applyFont="1" applyFill="1" applyBorder="1"/>
    <xf numFmtId="182" fontId="4" fillId="0" borderId="0" xfId="301" applyNumberFormat="1" applyFont="1" applyFill="1"/>
    <xf numFmtId="182" fontId="60" fillId="0" borderId="0" xfId="301" applyNumberFormat="1" applyFont="1" applyFill="1"/>
    <xf numFmtId="182" fontId="5" fillId="0" borderId="38" xfId="0" applyNumberFormat="1" applyFont="1" applyFill="1" applyBorder="1"/>
    <xf numFmtId="182" fontId="0" fillId="0" borderId="0" xfId="0" applyNumberFormat="1"/>
    <xf numFmtId="0" fontId="16" fillId="0" borderId="0" xfId="0" applyFont="1" applyBorder="1" applyAlignment="1">
      <alignment horizontal="center"/>
    </xf>
    <xf numFmtId="0" fontId="106" fillId="0" borderId="0" xfId="0" applyFont="1" applyFill="1" applyBorder="1"/>
    <xf numFmtId="173" fontId="106" fillId="0" borderId="0" xfId="301" applyNumberFormat="1" applyFont="1" applyFill="1" applyBorder="1" applyAlignment="1" applyProtection="1"/>
    <xf numFmtId="43" fontId="106" fillId="0" borderId="0" xfId="301" applyNumberFormat="1" applyFont="1" applyFill="1" applyBorder="1" applyAlignment="1" applyProtection="1">
      <protection locked="0"/>
    </xf>
    <xf numFmtId="9" fontId="106" fillId="0" borderId="0" xfId="599" applyFont="1" applyFill="1" applyBorder="1" applyAlignment="1"/>
    <xf numFmtId="2" fontId="106" fillId="0" borderId="0" xfId="599" applyNumberFormat="1" applyFont="1" applyFill="1" applyBorder="1" applyAlignment="1"/>
    <xf numFmtId="167" fontId="106" fillId="0" borderId="0" xfId="301" applyNumberFormat="1" applyFont="1" applyFill="1" applyBorder="1" applyAlignment="1"/>
    <xf numFmtId="0" fontId="106" fillId="0" borderId="0" xfId="562" quotePrefix="1" applyFont="1" applyFill="1" applyBorder="1" applyAlignment="1">
      <alignment horizontal="center"/>
    </xf>
    <xf numFmtId="173" fontId="106" fillId="0" borderId="0" xfId="301" applyNumberFormat="1" applyFont="1" applyFill="1" applyBorder="1" applyAlignment="1"/>
    <xf numFmtId="173" fontId="106" fillId="0" borderId="0" xfId="301" quotePrefix="1" applyNumberFormat="1" applyFont="1" applyFill="1" applyBorder="1" applyAlignment="1">
      <alignment horizontal="center"/>
    </xf>
    <xf numFmtId="9" fontId="106" fillId="0" borderId="0" xfId="599" applyFont="1" applyFill="1" applyBorder="1" applyAlignment="1" applyProtection="1">
      <protection locked="0"/>
    </xf>
    <xf numFmtId="2" fontId="106" fillId="0" borderId="0" xfId="562" applyNumberFormat="1" applyFont="1" applyFill="1" applyBorder="1" applyAlignment="1"/>
    <xf numFmtId="170" fontId="106" fillId="0" borderId="0" xfId="599" applyNumberFormat="1" applyFont="1" applyFill="1" applyBorder="1" applyAlignment="1"/>
    <xf numFmtId="43" fontId="106" fillId="0" borderId="0" xfId="301" applyNumberFormat="1" applyFont="1" applyFill="1" applyBorder="1" applyAlignment="1"/>
    <xf numFmtId="177" fontId="106" fillId="0" borderId="0" xfId="301" applyNumberFormat="1" applyFont="1" applyFill="1" applyBorder="1" applyAlignment="1"/>
    <xf numFmtId="170" fontId="106" fillId="0" borderId="0" xfId="562" applyNumberFormat="1" applyFont="1" applyFill="1" applyBorder="1" applyAlignment="1"/>
    <xf numFmtId="170" fontId="106" fillId="0" borderId="0" xfId="562" quotePrefix="1" applyNumberFormat="1" applyFont="1" applyFill="1" applyBorder="1" applyAlignment="1">
      <alignment horizontal="center"/>
    </xf>
    <xf numFmtId="170" fontId="106" fillId="0" borderId="0" xfId="562" applyNumberFormat="1" applyFont="1" applyFill="1" applyBorder="1" applyAlignment="1">
      <alignment horizontal="center"/>
    </xf>
    <xf numFmtId="0" fontId="79" fillId="0" borderId="0" xfId="0" applyFont="1" applyBorder="1"/>
    <xf numFmtId="0" fontId="79" fillId="0" borderId="0" xfId="0" applyFont="1"/>
    <xf numFmtId="9" fontId="106" fillId="0" borderId="0" xfId="599" applyFont="1" applyFill="1" applyBorder="1" applyAlignment="1" applyProtection="1"/>
    <xf numFmtId="174" fontId="106" fillId="0" borderId="0" xfId="301" applyNumberFormat="1" applyFont="1" applyFill="1" applyBorder="1" applyAlignment="1"/>
    <xf numFmtId="187" fontId="106" fillId="0" borderId="0" xfId="301" applyNumberFormat="1" applyFont="1" applyFill="1" applyBorder="1" applyAlignment="1"/>
    <xf numFmtId="0" fontId="106" fillId="0" borderId="0" xfId="0" applyFont="1" applyBorder="1"/>
    <xf numFmtId="173" fontId="106" fillId="0" borderId="0" xfId="301" applyNumberFormat="1" applyFont="1" applyFill="1" applyBorder="1" applyAlignment="1" applyProtection="1">
      <protection locked="0"/>
    </xf>
    <xf numFmtId="171" fontId="106" fillId="0" borderId="0" xfId="562" applyNumberFormat="1" applyFont="1" applyFill="1" applyBorder="1" applyAlignment="1"/>
    <xf numFmtId="1" fontId="106" fillId="0" borderId="0" xfId="599" applyNumberFormat="1" applyFont="1" applyFill="1" applyBorder="1" applyAlignment="1"/>
    <xf numFmtId="10" fontId="106" fillId="0" borderId="0" xfId="599" applyNumberFormat="1" applyFont="1" applyFill="1" applyBorder="1" applyAlignment="1"/>
    <xf numFmtId="0" fontId="106" fillId="0" borderId="0" xfId="562" applyNumberFormat="1" applyFont="1" applyFill="1" applyBorder="1" applyAlignment="1"/>
    <xf numFmtId="43" fontId="106" fillId="0" borderId="0" xfId="0" applyNumberFormat="1" applyFont="1" applyFill="1" applyBorder="1" applyProtection="1">
      <protection locked="0"/>
    </xf>
    <xf numFmtId="1" fontId="106" fillId="0" borderId="0" xfId="562" applyNumberFormat="1" applyFont="1" applyFill="1" applyBorder="1" applyAlignment="1"/>
    <xf numFmtId="165" fontId="106" fillId="0" borderId="0" xfId="599" applyNumberFormat="1" applyFont="1" applyFill="1" applyBorder="1" applyAlignment="1"/>
    <xf numFmtId="9" fontId="106" fillId="0" borderId="0" xfId="599" applyNumberFormat="1" applyFont="1" applyFill="1" applyBorder="1" applyAlignment="1"/>
    <xf numFmtId="173" fontId="106" fillId="0" borderId="0" xfId="301" applyNumberFormat="1" applyFont="1" applyFill="1" applyBorder="1" applyAlignment="1">
      <alignment horizontal="left"/>
    </xf>
    <xf numFmtId="0" fontId="106" fillId="0" borderId="0" xfId="301" applyNumberFormat="1" applyFont="1" applyFill="1" applyBorder="1" applyAlignment="1">
      <alignment horizontal="right"/>
    </xf>
    <xf numFmtId="0" fontId="115" fillId="0" borderId="0" xfId="0" applyFont="1"/>
    <xf numFmtId="176" fontId="117" fillId="23" borderId="1" xfId="0" applyNumberFormat="1" applyFont="1" applyFill="1" applyBorder="1" applyAlignment="1" applyProtection="1">
      <alignment horizontal="center"/>
      <protection locked="0"/>
    </xf>
    <xf numFmtId="165" fontId="16" fillId="0" borderId="1" xfId="0" applyNumberFormat="1" applyFont="1" applyFill="1" applyBorder="1" applyAlignment="1">
      <alignment horizontal="center"/>
    </xf>
    <xf numFmtId="173" fontId="16" fillId="0" borderId="1" xfId="301" applyNumberFormat="1" applyFont="1" applyBorder="1"/>
    <xf numFmtId="170" fontId="16" fillId="0" borderId="1" xfId="0" applyNumberFormat="1" applyFont="1" applyBorder="1"/>
    <xf numFmtId="176" fontId="14" fillId="23" borderId="1" xfId="0" applyNumberFormat="1" applyFont="1" applyFill="1" applyBorder="1" applyAlignment="1" applyProtection="1">
      <alignment horizontal="center"/>
      <protection locked="0"/>
    </xf>
    <xf numFmtId="173" fontId="15" fillId="0" borderId="0" xfId="301" applyNumberFormat="1" applyFont="1" applyBorder="1"/>
    <xf numFmtId="171" fontId="15" fillId="0" borderId="0" xfId="0" applyNumberFormat="1" applyFont="1" applyBorder="1"/>
    <xf numFmtId="170" fontId="15" fillId="0" borderId="0" xfId="0" applyNumberFormat="1" applyFont="1" applyBorder="1"/>
    <xf numFmtId="0" fontId="15" fillId="0" borderId="16" xfId="0" applyFont="1" applyBorder="1"/>
    <xf numFmtId="0" fontId="14" fillId="0" borderId="16" xfId="0" applyFont="1" applyFill="1" applyBorder="1" applyAlignment="1">
      <alignment horizontal="center"/>
    </xf>
    <xf numFmtId="0" fontId="16" fillId="0" borderId="16" xfId="0" applyFont="1" applyBorder="1" applyAlignment="1">
      <alignment horizontal="center"/>
    </xf>
    <xf numFmtId="173" fontId="15" fillId="0" borderId="16" xfId="301" applyNumberFormat="1" applyFont="1" applyBorder="1"/>
    <xf numFmtId="0" fontId="15" fillId="0" borderId="16" xfId="0" applyFont="1" applyBorder="1" applyAlignment="1">
      <alignment horizontal="center"/>
    </xf>
    <xf numFmtId="171" fontId="15" fillId="0" borderId="16" xfId="0" applyNumberFormat="1" applyFont="1" applyBorder="1"/>
    <xf numFmtId="170" fontId="15" fillId="0" borderId="16" xfId="0" applyNumberFormat="1" applyFont="1" applyBorder="1"/>
    <xf numFmtId="3" fontId="16" fillId="0" borderId="1" xfId="301" applyNumberFormat="1" applyFont="1" applyBorder="1" applyAlignment="1">
      <alignment horizontal="center"/>
    </xf>
    <xf numFmtId="165" fontId="16" fillId="0" borderId="1" xfId="561" applyNumberFormat="1" applyFont="1" applyBorder="1" applyAlignment="1">
      <alignment horizontal="center"/>
    </xf>
    <xf numFmtId="173" fontId="16" fillId="0" borderId="1" xfId="301" applyNumberFormat="1" applyFont="1" applyFill="1" applyBorder="1" applyAlignment="1">
      <alignment horizontal="center"/>
    </xf>
    <xf numFmtId="170" fontId="16" fillId="0" borderId="1" xfId="599" applyNumberFormat="1" applyFont="1" applyBorder="1" applyAlignment="1">
      <alignment horizontal="center" vertical="center"/>
    </xf>
    <xf numFmtId="173" fontId="16" fillId="0" borderId="1" xfId="561" applyNumberFormat="1" applyFont="1" applyFill="1" applyBorder="1" applyAlignment="1">
      <alignment horizontal="center"/>
    </xf>
    <xf numFmtId="173" fontId="14" fillId="0" borderId="1" xfId="301" applyNumberFormat="1" applyFont="1" applyBorder="1" applyAlignment="1">
      <alignment horizontal="center"/>
    </xf>
    <xf numFmtId="170" fontId="121" fillId="0" borderId="1" xfId="561" applyNumberFormat="1" applyFont="1" applyBorder="1" applyAlignment="1">
      <alignment horizontal="right"/>
    </xf>
    <xf numFmtId="170" fontId="14" fillId="0" borderId="1" xfId="561" applyNumberFormat="1" applyFont="1" applyBorder="1" applyAlignment="1">
      <alignment horizontal="right"/>
    </xf>
    <xf numFmtId="2" fontId="16" fillId="0" borderId="1" xfId="599" applyNumberFormat="1" applyFont="1" applyBorder="1" applyAlignment="1">
      <alignment horizontal="center"/>
    </xf>
    <xf numFmtId="0" fontId="16" fillId="0" borderId="1" xfId="561" applyFont="1" applyBorder="1" applyAlignment="1">
      <alignment horizontal="center"/>
    </xf>
    <xf numFmtId="170" fontId="16" fillId="0" borderId="1" xfId="599" applyNumberFormat="1" applyFont="1" applyFill="1" applyBorder="1" applyAlignment="1">
      <alignment horizontal="center"/>
    </xf>
    <xf numFmtId="0" fontId="16" fillId="0" borderId="0" xfId="573" applyNumberFormat="1" applyFont="1" applyFill="1" applyBorder="1" applyAlignment="1">
      <alignment horizontal="center"/>
    </xf>
    <xf numFmtId="170" fontId="16" fillId="0" borderId="1" xfId="599" applyNumberFormat="1" applyFont="1" applyBorder="1" applyAlignment="1">
      <alignment horizontal="center"/>
    </xf>
    <xf numFmtId="0" fontId="62" fillId="0" borderId="0" xfId="561" applyFill="1" applyBorder="1"/>
    <xf numFmtId="0" fontId="115" fillId="0" borderId="16" xfId="0" applyFont="1" applyBorder="1"/>
    <xf numFmtId="173" fontId="16" fillId="0" borderId="1" xfId="301" applyNumberFormat="1" applyFont="1" applyBorder="1" applyAlignment="1">
      <alignment horizontal="center"/>
    </xf>
    <xf numFmtId="169" fontId="16" fillId="0" borderId="1" xfId="301" applyNumberFormat="1" applyFont="1" applyBorder="1" applyAlignment="1">
      <alignment horizontal="center"/>
    </xf>
    <xf numFmtId="174" fontId="96" fillId="0" borderId="0" xfId="301" applyNumberFormat="1" applyFont="1" applyFill="1" applyBorder="1"/>
    <xf numFmtId="173" fontId="96" fillId="0" borderId="1" xfId="301" applyNumberFormat="1" applyFont="1" applyFill="1" applyBorder="1" applyAlignment="1">
      <alignment horizontal="center"/>
    </xf>
    <xf numFmtId="173" fontId="106" fillId="0" borderId="0" xfId="301" applyNumberFormat="1" applyFont="1" applyFill="1" applyBorder="1" applyAlignment="1">
      <alignment horizontal="center" vertical="center"/>
    </xf>
    <xf numFmtId="0" fontId="106" fillId="0" borderId="0" xfId="0" applyFont="1" applyFill="1" applyBorder="1" applyAlignment="1">
      <alignment horizontal="center" vertical="center"/>
    </xf>
    <xf numFmtId="173" fontId="96" fillId="0" borderId="0" xfId="301" applyNumberFormat="1" applyFont="1" applyFill="1" applyBorder="1" applyAlignment="1">
      <alignment horizontal="center"/>
    </xf>
    <xf numFmtId="0" fontId="16" fillId="0" borderId="0" xfId="0" applyFont="1" applyFill="1" applyAlignment="1">
      <alignment horizontal="center"/>
    </xf>
    <xf numFmtId="173" fontId="106" fillId="0" borderId="0" xfId="301" applyNumberFormat="1" applyFont="1" applyBorder="1" applyAlignment="1">
      <alignment horizontal="center" vertical="center" wrapText="1"/>
    </xf>
    <xf numFmtId="173" fontId="96" fillId="33" borderId="1" xfId="301" applyNumberFormat="1" applyFont="1" applyFill="1" applyBorder="1" applyProtection="1">
      <protection locked="0"/>
    </xf>
    <xf numFmtId="173" fontId="96" fillId="0" borderId="0" xfId="301" applyNumberFormat="1" applyFont="1" applyFill="1" applyBorder="1"/>
    <xf numFmtId="173" fontId="96" fillId="0" borderId="1" xfId="301" applyNumberFormat="1" applyFont="1" applyBorder="1" applyAlignment="1">
      <alignment horizontal="center"/>
    </xf>
    <xf numFmtId="9" fontId="96" fillId="0" borderId="0" xfId="599" applyFont="1" applyFill="1" applyBorder="1" applyAlignment="1">
      <alignment horizontal="center"/>
    </xf>
    <xf numFmtId="9" fontId="96" fillId="0" borderId="1" xfId="599" applyFont="1" applyFill="1" applyBorder="1"/>
    <xf numFmtId="173" fontId="96" fillId="0" borderId="0" xfId="301" applyNumberFormat="1" applyFont="1"/>
    <xf numFmtId="173" fontId="96" fillId="0" borderId="1" xfId="301" applyNumberFormat="1" applyFont="1" applyFill="1" applyBorder="1"/>
    <xf numFmtId="173" fontId="15" fillId="0" borderId="0" xfId="301" applyNumberFormat="1" applyFont="1" applyFill="1" applyBorder="1"/>
    <xf numFmtId="0" fontId="96" fillId="0" borderId="0" xfId="0" applyFont="1" applyFill="1" applyProtection="1"/>
    <xf numFmtId="0" fontId="96" fillId="0" borderId="0" xfId="0" applyFont="1" applyProtection="1"/>
    <xf numFmtId="0" fontId="96" fillId="0" borderId="0" xfId="0" applyFont="1" applyBorder="1" applyProtection="1"/>
    <xf numFmtId="0" fontId="96" fillId="0" borderId="64" xfId="0" applyFont="1" applyFill="1" applyBorder="1" applyProtection="1"/>
    <xf numFmtId="9" fontId="96" fillId="0" borderId="0" xfId="599" applyFont="1" applyBorder="1" applyProtection="1"/>
    <xf numFmtId="0" fontId="96" fillId="0" borderId="0" xfId="0" applyFont="1" applyFill="1" applyBorder="1" applyProtection="1"/>
    <xf numFmtId="9" fontId="96" fillId="0" borderId="0" xfId="599" applyFont="1" applyFill="1" applyBorder="1" applyProtection="1"/>
    <xf numFmtId="173" fontId="96" fillId="0" borderId="0" xfId="301" applyNumberFormat="1" applyFont="1" applyFill="1" applyBorder="1" applyProtection="1"/>
    <xf numFmtId="0" fontId="96" fillId="0" borderId="0" xfId="0" applyFont="1" applyAlignment="1" applyProtection="1">
      <alignment horizontal="center"/>
    </xf>
    <xf numFmtId="0" fontId="106" fillId="0" borderId="0" xfId="0" applyFont="1" applyFill="1" applyBorder="1" applyAlignment="1" applyProtection="1">
      <alignment horizontal="center" wrapText="1"/>
    </xf>
    <xf numFmtId="0" fontId="96" fillId="0" borderId="0" xfId="0" applyFont="1" applyBorder="1" applyAlignment="1" applyProtection="1">
      <alignment horizontal="center"/>
    </xf>
    <xf numFmtId="173" fontId="96" fillId="0" borderId="1" xfId="301" applyNumberFormat="1" applyFont="1" applyBorder="1" applyAlignment="1" applyProtection="1">
      <alignment horizontal="center"/>
    </xf>
    <xf numFmtId="173" fontId="96" fillId="0" borderId="1" xfId="0" applyNumberFormat="1" applyFont="1" applyFill="1" applyBorder="1" applyProtection="1"/>
    <xf numFmtId="0" fontId="96" fillId="0" borderId="0" xfId="0" applyFont="1" applyFill="1" applyBorder="1" applyAlignment="1" applyProtection="1">
      <alignment horizontal="center"/>
    </xf>
    <xf numFmtId="173" fontId="96" fillId="0" borderId="1" xfId="301" applyNumberFormat="1" applyFont="1" applyFill="1" applyBorder="1" applyAlignment="1" applyProtection="1">
      <alignment horizontal="center"/>
    </xf>
    <xf numFmtId="0" fontId="96" fillId="0" borderId="1" xfId="0" applyFont="1" applyFill="1" applyBorder="1" applyAlignment="1" applyProtection="1">
      <alignment horizontal="center"/>
    </xf>
    <xf numFmtId="173" fontId="96" fillId="0" borderId="1" xfId="0" applyNumberFormat="1" applyFont="1" applyFill="1" applyBorder="1" applyAlignment="1" applyProtection="1">
      <alignment horizontal="center"/>
    </xf>
    <xf numFmtId="173" fontId="96" fillId="0" borderId="1" xfId="0" applyNumberFormat="1" applyFont="1" applyFill="1" applyBorder="1" applyAlignment="1" applyProtection="1">
      <alignment horizontal="right"/>
    </xf>
    <xf numFmtId="0" fontId="106" fillId="0" borderId="0" xfId="565" applyFont="1" applyFill="1" applyAlignment="1" applyProtection="1">
      <alignment horizontal="left" wrapText="1"/>
    </xf>
    <xf numFmtId="0" fontId="6" fillId="0" borderId="0" xfId="0" applyFont="1"/>
    <xf numFmtId="0" fontId="6" fillId="0" borderId="0" xfId="0" applyFont="1" applyAlignment="1"/>
    <xf numFmtId="0" fontId="23" fillId="0" borderId="0" xfId="0" applyFont="1" applyAlignment="1">
      <alignment horizontal="center" vertical="top" wrapText="1"/>
    </xf>
    <xf numFmtId="0" fontId="23" fillId="0" borderId="0" xfId="0" applyFont="1" applyFill="1" applyAlignment="1">
      <alignment horizontal="center" vertical="top" wrapText="1"/>
    </xf>
    <xf numFmtId="9" fontId="23" fillId="0" borderId="65" xfId="599" applyFont="1" applyBorder="1" applyAlignment="1">
      <alignment horizontal="left" wrapText="1"/>
    </xf>
    <xf numFmtId="9" fontId="23" fillId="0" borderId="66" xfId="599" applyFont="1" applyBorder="1" applyAlignment="1">
      <alignment horizontal="center" wrapText="1"/>
    </xf>
    <xf numFmtId="9" fontId="23" fillId="0" borderId="67" xfId="599" applyFont="1" applyBorder="1" applyAlignment="1">
      <alignment horizontal="center" wrapText="1"/>
    </xf>
    <xf numFmtId="0" fontId="13" fillId="0" borderId="0" xfId="0" applyFont="1" applyAlignment="1"/>
    <xf numFmtId="0" fontId="23" fillId="0" borderId="65" xfId="0" applyFont="1" applyFill="1" applyBorder="1" applyAlignment="1">
      <alignment horizontal="center" wrapText="1"/>
    </xf>
    <xf numFmtId="9" fontId="23" fillId="0" borderId="66" xfId="599" applyFont="1" applyFill="1" applyBorder="1" applyAlignment="1">
      <alignment horizontal="center" wrapText="1"/>
    </xf>
    <xf numFmtId="9" fontId="23" fillId="0" borderId="67" xfId="599" applyFont="1" applyFill="1" applyBorder="1" applyAlignment="1">
      <alignment horizontal="center" wrapText="1"/>
    </xf>
    <xf numFmtId="0" fontId="23" fillId="0" borderId="65" xfId="0" applyFont="1" applyBorder="1" applyAlignment="1">
      <alignment horizontal="center" wrapText="1"/>
    </xf>
    <xf numFmtId="9" fontId="23" fillId="0" borderId="65" xfId="599" applyFont="1" applyBorder="1" applyAlignment="1">
      <alignment horizontal="center" wrapText="1"/>
    </xf>
    <xf numFmtId="0" fontId="23" fillId="0" borderId="0" xfId="0" applyFont="1" applyAlignment="1"/>
    <xf numFmtId="9" fontId="23" fillId="0" borderId="65" xfId="0" applyNumberFormat="1" applyFont="1" applyBorder="1" applyAlignment="1">
      <alignment horizontal="center" wrapText="1"/>
    </xf>
    <xf numFmtId="9" fontId="23" fillId="0" borderId="66" xfId="0" applyNumberFormat="1" applyFont="1" applyBorder="1" applyAlignment="1">
      <alignment horizontal="center" wrapText="1"/>
    </xf>
    <xf numFmtId="9" fontId="23" fillId="0" borderId="67" xfId="0" applyNumberFormat="1" applyFont="1" applyBorder="1" applyAlignment="1">
      <alignment horizontal="center" wrapText="1"/>
    </xf>
    <xf numFmtId="0" fontId="23" fillId="0" borderId="19" xfId="0" applyFont="1" applyBorder="1" applyAlignment="1">
      <alignment horizontal="center" wrapText="1"/>
    </xf>
    <xf numFmtId="0" fontId="23" fillId="0" borderId="20" xfId="0" applyFont="1" applyBorder="1" applyAlignment="1">
      <alignment horizontal="center" wrapText="1"/>
    </xf>
    <xf numFmtId="0" fontId="23" fillId="0" borderId="66" xfId="0" applyFont="1" applyBorder="1" applyAlignment="1">
      <alignment horizontal="center" wrapText="1"/>
    </xf>
    <xf numFmtId="0" fontId="23" fillId="0" borderId="67" xfId="0" applyFont="1" applyBorder="1" applyAlignment="1">
      <alignment horizontal="center" wrapText="1"/>
    </xf>
    <xf numFmtId="9" fontId="23" fillId="0" borderId="65" xfId="599" applyFont="1" applyFill="1" applyBorder="1" applyAlignment="1">
      <alignment horizontal="left" wrapText="1"/>
    </xf>
    <xf numFmtId="0" fontId="23" fillId="0" borderId="66" xfId="0" applyFont="1" applyFill="1" applyBorder="1" applyAlignment="1">
      <alignment horizontal="center" vertical="center" wrapText="1"/>
    </xf>
    <xf numFmtId="0" fontId="23" fillId="0" borderId="21" xfId="0" applyFont="1" applyFill="1" applyBorder="1" applyAlignment="1">
      <alignment horizontal="center" wrapText="1"/>
    </xf>
    <xf numFmtId="0" fontId="23" fillId="0" borderId="32" xfId="0" applyFont="1" applyBorder="1" applyAlignment="1">
      <alignment horizontal="center" wrapText="1"/>
    </xf>
    <xf numFmtId="0" fontId="23" fillId="0" borderId="0" xfId="0" applyFont="1"/>
    <xf numFmtId="189" fontId="6" fillId="0" borderId="0" xfId="599" applyNumberFormat="1" applyFont="1" applyAlignment="1">
      <alignment horizontal="left"/>
    </xf>
    <xf numFmtId="9" fontId="6" fillId="0" borderId="68" xfId="599" applyFont="1" applyBorder="1" applyAlignment="1">
      <alignment horizontal="left" vertical="top" wrapText="1"/>
    </xf>
    <xf numFmtId="9" fontId="6" fillId="0" borderId="69" xfId="599" applyFont="1" applyBorder="1" applyAlignment="1">
      <alignment horizontal="center"/>
    </xf>
    <xf numFmtId="9" fontId="6" fillId="0" borderId="70" xfId="599" applyFont="1" applyBorder="1" applyAlignment="1">
      <alignment horizontal="center"/>
    </xf>
    <xf numFmtId="0" fontId="6" fillId="0" borderId="68" xfId="0" applyFont="1" applyBorder="1" applyAlignment="1">
      <alignment horizontal="center"/>
    </xf>
    <xf numFmtId="9" fontId="6" fillId="0" borderId="69" xfId="599" applyFont="1" applyBorder="1" applyAlignment="1">
      <alignment horizontal="center" vertical="top" wrapText="1"/>
    </xf>
    <xf numFmtId="9" fontId="6" fillId="0" borderId="69" xfId="0" applyNumberFormat="1" applyFont="1" applyBorder="1" applyAlignment="1">
      <alignment horizontal="center"/>
    </xf>
    <xf numFmtId="9" fontId="6" fillId="0" borderId="70" xfId="0" applyNumberFormat="1" applyFont="1" applyBorder="1" applyAlignment="1">
      <alignment horizontal="center"/>
    </xf>
    <xf numFmtId="0" fontId="96" fillId="0" borderId="22" xfId="0" applyFont="1" applyBorder="1"/>
    <xf numFmtId="0" fontId="96" fillId="0" borderId="68" xfId="0" applyFont="1" applyBorder="1"/>
    <xf numFmtId="0" fontId="96" fillId="0" borderId="69" xfId="0" applyFont="1" applyBorder="1"/>
    <xf numFmtId="0" fontId="23" fillId="0" borderId="67" xfId="0" applyFont="1" applyFill="1" applyBorder="1" applyAlignment="1">
      <alignment horizontal="center" vertical="center" wrapText="1"/>
    </xf>
    <xf numFmtId="10" fontId="6" fillId="0" borderId="70" xfId="0" applyNumberFormat="1" applyFont="1" applyBorder="1" applyAlignment="1">
      <alignment horizontal="center"/>
    </xf>
    <xf numFmtId="9" fontId="96" fillId="0" borderId="24" xfId="0" applyNumberFormat="1" applyFont="1" applyBorder="1"/>
    <xf numFmtId="9" fontId="96" fillId="0" borderId="69" xfId="0" applyNumberFormat="1" applyFont="1" applyBorder="1"/>
    <xf numFmtId="9" fontId="96" fillId="0" borderId="70" xfId="0" applyNumberFormat="1" applyFont="1" applyBorder="1"/>
    <xf numFmtId="0" fontId="129" fillId="0" borderId="0" xfId="0" applyFont="1" applyFill="1"/>
    <xf numFmtId="0" fontId="129" fillId="0" borderId="0" xfId="0" applyFont="1"/>
    <xf numFmtId="174" fontId="96" fillId="0" borderId="1" xfId="301" applyNumberFormat="1" applyFont="1" applyBorder="1" applyProtection="1"/>
    <xf numFmtId="0" fontId="96" fillId="0" borderId="1" xfId="0" applyFont="1" applyBorder="1" applyAlignment="1">
      <alignment horizontal="center"/>
    </xf>
    <xf numFmtId="170" fontId="96" fillId="0" borderId="1" xfId="0" applyNumberFormat="1" applyFont="1" applyBorder="1"/>
    <xf numFmtId="168" fontId="96" fillId="0" borderId="1" xfId="301" applyNumberFormat="1" applyFont="1" applyBorder="1" applyAlignment="1">
      <alignment horizontal="center"/>
    </xf>
    <xf numFmtId="184" fontId="96" fillId="0" borderId="1" xfId="301" applyNumberFormat="1" applyFont="1" applyBorder="1" applyAlignment="1">
      <alignment horizontal="center"/>
    </xf>
    <xf numFmtId="174" fontId="96" fillId="34" borderId="1" xfId="301" applyNumberFormat="1" applyFont="1" applyFill="1" applyBorder="1" applyProtection="1">
      <protection locked="0"/>
    </xf>
    <xf numFmtId="2" fontId="96" fillId="34" borderId="1" xfId="0" applyNumberFormat="1" applyFont="1" applyFill="1" applyBorder="1" applyAlignment="1" applyProtection="1">
      <alignment horizontal="center"/>
      <protection locked="0"/>
    </xf>
    <xf numFmtId="170" fontId="96" fillId="34" borderId="1" xfId="0" applyNumberFormat="1" applyFont="1" applyFill="1" applyBorder="1" applyProtection="1">
      <protection locked="0"/>
    </xf>
    <xf numFmtId="167" fontId="96" fillId="34" borderId="1" xfId="301" applyNumberFormat="1" applyFont="1" applyFill="1" applyBorder="1" applyProtection="1">
      <protection locked="0"/>
    </xf>
    <xf numFmtId="168" fontId="96" fillId="34" borderId="1" xfId="301" applyNumberFormat="1" applyFont="1" applyFill="1" applyBorder="1" applyAlignment="1" applyProtection="1">
      <alignment horizontal="center"/>
      <protection locked="0"/>
    </xf>
    <xf numFmtId="173" fontId="96" fillId="30" borderId="1" xfId="301" applyNumberFormat="1" applyFont="1" applyFill="1" applyBorder="1" applyAlignment="1" applyProtection="1">
      <alignment horizontal="center"/>
    </xf>
    <xf numFmtId="43" fontId="96" fillId="0" borderId="1" xfId="301" applyFont="1" applyBorder="1"/>
    <xf numFmtId="190" fontId="96" fillId="0" borderId="1" xfId="0" applyNumberFormat="1" applyFont="1" applyBorder="1"/>
    <xf numFmtId="0" fontId="131" fillId="0" borderId="71" xfId="0" applyFont="1" applyBorder="1"/>
    <xf numFmtId="0" fontId="131" fillId="0" borderId="0" xfId="0" applyFont="1" applyBorder="1"/>
    <xf numFmtId="0" fontId="130" fillId="0" borderId="72" xfId="0" applyFont="1" applyBorder="1"/>
    <xf numFmtId="0" fontId="131" fillId="0" borderId="73" xfId="0" applyFont="1" applyBorder="1"/>
    <xf numFmtId="0" fontId="131" fillId="0" borderId="74" xfId="0" applyFont="1" applyBorder="1"/>
    <xf numFmtId="0" fontId="131" fillId="0" borderId="75" xfId="0" applyFont="1" applyBorder="1"/>
    <xf numFmtId="0" fontId="130" fillId="0" borderId="76" xfId="0" applyFont="1" applyBorder="1" applyAlignment="1"/>
    <xf numFmtId="0" fontId="130" fillId="0" borderId="77" xfId="0" applyFont="1" applyBorder="1"/>
    <xf numFmtId="0" fontId="130" fillId="0" borderId="73" xfId="0" applyFont="1" applyBorder="1"/>
    <xf numFmtId="0" fontId="130" fillId="0" borderId="74" xfId="0" applyFont="1" applyBorder="1"/>
    <xf numFmtId="0" fontId="130" fillId="0" borderId="75" xfId="0" applyFont="1" applyBorder="1"/>
    <xf numFmtId="0" fontId="131" fillId="0" borderId="0" xfId="0" applyFont="1"/>
    <xf numFmtId="0" fontId="131" fillId="0" borderId="16" xfId="0" applyFont="1" applyBorder="1"/>
    <xf numFmtId="181" fontId="0" fillId="0" borderId="0" xfId="0" applyNumberFormat="1"/>
    <xf numFmtId="188" fontId="0" fillId="0" borderId="0" xfId="0" applyNumberFormat="1"/>
    <xf numFmtId="3" fontId="96" fillId="0" borderId="1" xfId="0" applyNumberFormat="1" applyFont="1" applyFill="1" applyBorder="1" applyAlignment="1" applyProtection="1">
      <alignment horizontal="center"/>
    </xf>
    <xf numFmtId="0" fontId="137" fillId="0" borderId="0" xfId="0" applyFont="1"/>
    <xf numFmtId="0" fontId="137" fillId="0" borderId="0" xfId="0" applyFont="1" applyBorder="1"/>
    <xf numFmtId="171" fontId="137" fillId="0" borderId="1" xfId="562" applyNumberFormat="1" applyFont="1" applyFill="1" applyBorder="1"/>
    <xf numFmtId="173" fontId="137" fillId="0" borderId="1" xfId="301" applyNumberFormat="1" applyFont="1" applyFill="1" applyBorder="1"/>
    <xf numFmtId="0" fontId="137" fillId="0" borderId="0" xfId="562" applyFont="1"/>
    <xf numFmtId="0" fontId="138" fillId="0" borderId="0" xfId="0" applyFont="1"/>
    <xf numFmtId="165" fontId="137" fillId="0" borderId="1" xfId="562" applyNumberFormat="1" applyFont="1" applyFill="1" applyBorder="1"/>
    <xf numFmtId="43" fontId="137" fillId="0" borderId="1" xfId="301" applyNumberFormat="1" applyFont="1" applyFill="1" applyBorder="1"/>
    <xf numFmtId="173" fontId="137" fillId="0" borderId="1" xfId="301" applyNumberFormat="1" applyFont="1" applyFill="1" applyBorder="1" applyProtection="1">
      <protection locked="0"/>
    </xf>
    <xf numFmtId="173" fontId="137" fillId="0" borderId="1" xfId="301" applyNumberFormat="1" applyFont="1" applyFill="1" applyBorder="1" applyAlignment="1" applyProtection="1">
      <alignment horizontal="right"/>
      <protection locked="0"/>
    </xf>
    <xf numFmtId="0" fontId="5" fillId="0" borderId="0" xfId="0" applyFont="1" applyFill="1"/>
    <xf numFmtId="0" fontId="138" fillId="0" borderId="0" xfId="0" applyFont="1" applyFill="1"/>
    <xf numFmtId="173" fontId="14" fillId="0" borderId="1" xfId="301" applyNumberFormat="1" applyFont="1" applyFill="1" applyBorder="1" applyAlignment="1" applyProtection="1">
      <alignment horizontal="right"/>
      <protection locked="0"/>
    </xf>
    <xf numFmtId="0" fontId="115" fillId="0" borderId="16" xfId="0" applyFont="1" applyFill="1" applyBorder="1"/>
    <xf numFmtId="0" fontId="23" fillId="0" borderId="20" xfId="0" applyFont="1" applyFill="1" applyBorder="1"/>
    <xf numFmtId="0" fontId="110" fillId="33" borderId="1" xfId="0" applyFont="1" applyFill="1" applyBorder="1" applyAlignment="1">
      <alignment horizontal="center"/>
    </xf>
    <xf numFmtId="0" fontId="2" fillId="0" borderId="1" xfId="0" applyFont="1" applyBorder="1"/>
    <xf numFmtId="173" fontId="2" fillId="0" borderId="1" xfId="301" applyNumberFormat="1" applyFont="1" applyBorder="1"/>
    <xf numFmtId="0" fontId="98" fillId="0" borderId="0" xfId="0" applyFont="1" applyFill="1" applyBorder="1"/>
    <xf numFmtId="0" fontId="98" fillId="0" borderId="16" xfId="0" applyFont="1" applyBorder="1"/>
    <xf numFmtId="0" fontId="131" fillId="0" borderId="16" xfId="0" applyFont="1" applyFill="1" applyBorder="1"/>
    <xf numFmtId="0" fontId="99" fillId="0" borderId="0" xfId="571" applyFont="1" applyFill="1"/>
    <xf numFmtId="0" fontId="99" fillId="0" borderId="0" xfId="571" applyFont="1" applyFill="1" applyBorder="1"/>
    <xf numFmtId="0" fontId="100" fillId="0" borderId="0" xfId="571" applyFont="1" applyFill="1" applyBorder="1" applyAlignment="1">
      <alignment horizontal="center"/>
    </xf>
    <xf numFmtId="173" fontId="99" fillId="35" borderId="1" xfId="301" applyNumberFormat="1" applyFont="1" applyFill="1" applyBorder="1" applyProtection="1">
      <protection locked="0"/>
    </xf>
    <xf numFmtId="0" fontId="99" fillId="0" borderId="0" xfId="571" applyFont="1" applyFill="1" applyAlignment="1">
      <alignment horizontal="center"/>
    </xf>
    <xf numFmtId="2" fontId="99" fillId="0" borderId="1" xfId="571" applyNumberFormat="1" applyFont="1" applyFill="1" applyBorder="1"/>
    <xf numFmtId="0" fontId="99" fillId="0" borderId="0" xfId="571" quotePrefix="1" applyFont="1" applyFill="1" applyAlignment="1">
      <alignment horizontal="center"/>
    </xf>
    <xf numFmtId="170" fontId="98" fillId="0" borderId="1" xfId="571" applyNumberFormat="1" applyFont="1" applyFill="1" applyBorder="1"/>
    <xf numFmtId="0" fontId="99" fillId="0" borderId="0" xfId="571" quotePrefix="1" applyFont="1" applyFill="1" applyBorder="1" applyAlignment="1">
      <alignment horizontal="center"/>
    </xf>
    <xf numFmtId="2" fontId="98" fillId="0" borderId="1" xfId="571" applyNumberFormat="1" applyFont="1" applyFill="1" applyBorder="1"/>
    <xf numFmtId="0" fontId="99" fillId="35" borderId="1" xfId="571" applyFont="1" applyFill="1" applyBorder="1" applyProtection="1">
      <protection locked="0"/>
    </xf>
    <xf numFmtId="166" fontId="99" fillId="35" borderId="1" xfId="599" applyNumberFormat="1" applyFont="1" applyFill="1" applyBorder="1" applyProtection="1">
      <protection locked="0"/>
    </xf>
    <xf numFmtId="9" fontId="99" fillId="0" borderId="1" xfId="599" applyFont="1" applyFill="1" applyBorder="1"/>
    <xf numFmtId="0" fontId="99" fillId="0" borderId="0" xfId="571" applyFont="1" applyAlignment="1">
      <alignment horizontal="center"/>
    </xf>
    <xf numFmtId="0" fontId="97" fillId="0" borderId="0" xfId="571" applyFont="1" applyFill="1" applyBorder="1" applyAlignment="1">
      <alignment horizontal="center"/>
    </xf>
    <xf numFmtId="43" fontId="6" fillId="0" borderId="80" xfId="301" applyFont="1" applyBorder="1"/>
    <xf numFmtId="173" fontId="131" fillId="0" borderId="0" xfId="0" applyNumberFormat="1" applyFont="1" applyFill="1" applyBorder="1"/>
    <xf numFmtId="0" fontId="99" fillId="0" borderId="81" xfId="571" applyFont="1" applyBorder="1"/>
    <xf numFmtId="0" fontId="99" fillId="0" borderId="0" xfId="571" applyFont="1" applyBorder="1"/>
    <xf numFmtId="0" fontId="98" fillId="0" borderId="81" xfId="0" applyFont="1" applyBorder="1"/>
    <xf numFmtId="0" fontId="23" fillId="0" borderId="81" xfId="568" applyFont="1" applyBorder="1" applyAlignment="1">
      <alignment horizontal="center" wrapText="1"/>
    </xf>
    <xf numFmtId="0" fontId="23" fillId="0" borderId="16" xfId="568" applyFont="1" applyBorder="1" applyAlignment="1">
      <alignment horizontal="center" wrapText="1"/>
    </xf>
    <xf numFmtId="0" fontId="23" fillId="0" borderId="83" xfId="568" applyFont="1" applyBorder="1" applyAlignment="1">
      <alignment horizontal="center" wrapText="1"/>
    </xf>
    <xf numFmtId="173" fontId="99" fillId="0" borderId="84" xfId="301" applyNumberFormat="1" applyFont="1" applyFill="1" applyBorder="1"/>
    <xf numFmtId="170" fontId="98" fillId="0" borderId="85" xfId="571" applyNumberFormat="1" applyFont="1" applyFill="1" applyBorder="1"/>
    <xf numFmtId="43" fontId="6" fillId="36" borderId="84" xfId="301" applyFont="1" applyFill="1" applyBorder="1" applyProtection="1">
      <protection locked="0"/>
    </xf>
    <xf numFmtId="172" fontId="98" fillId="0" borderId="0" xfId="0" applyNumberFormat="1" applyFont="1" applyBorder="1"/>
    <xf numFmtId="170" fontId="6" fillId="0" borderId="0" xfId="568" applyNumberFormat="1" applyFont="1" applyBorder="1"/>
    <xf numFmtId="170" fontId="6" fillId="0" borderId="82" xfId="568" applyNumberFormat="1" applyFont="1" applyBorder="1"/>
    <xf numFmtId="164" fontId="6" fillId="36" borderId="84" xfId="567" applyNumberFormat="1" applyFont="1" applyFill="1" applyBorder="1" applyProtection="1">
      <protection locked="0"/>
    </xf>
    <xf numFmtId="192" fontId="6" fillId="0" borderId="0" xfId="568" applyNumberFormat="1" applyFont="1" applyBorder="1"/>
    <xf numFmtId="192" fontId="6" fillId="0" borderId="82" xfId="568" applyNumberFormat="1" applyFont="1" applyBorder="1"/>
    <xf numFmtId="193" fontId="6" fillId="36" borderId="1" xfId="567" applyNumberFormat="1" applyFont="1" applyFill="1" applyBorder="1" applyProtection="1">
      <protection locked="0"/>
    </xf>
    <xf numFmtId="164" fontId="6" fillId="36" borderId="1" xfId="567" applyNumberFormat="1" applyFont="1" applyFill="1" applyBorder="1" applyProtection="1">
      <protection locked="0"/>
    </xf>
    <xf numFmtId="173" fontId="99" fillId="0" borderId="0" xfId="301" applyNumberFormat="1" applyFont="1" applyFill="1" applyBorder="1" applyProtection="1">
      <protection locked="0"/>
    </xf>
    <xf numFmtId="164" fontId="6" fillId="36" borderId="86" xfId="567" applyNumberFormat="1" applyFont="1" applyFill="1" applyBorder="1" applyProtection="1">
      <protection locked="0"/>
    </xf>
    <xf numFmtId="0" fontId="99" fillId="0" borderId="87" xfId="571" applyFont="1" applyFill="1" applyBorder="1"/>
    <xf numFmtId="0" fontId="99" fillId="0" borderId="88" xfId="571" quotePrefix="1" applyFont="1" applyFill="1" applyBorder="1" applyAlignment="1">
      <alignment horizontal="center"/>
    </xf>
    <xf numFmtId="0" fontId="99" fillId="0" borderId="88" xfId="571" applyFont="1" applyFill="1" applyBorder="1"/>
    <xf numFmtId="0" fontId="99" fillId="0" borderId="88" xfId="571" applyFont="1" applyFill="1" applyBorder="1" applyAlignment="1">
      <alignment horizontal="left"/>
    </xf>
    <xf numFmtId="0" fontId="99" fillId="0" borderId="87" xfId="571" applyFont="1" applyBorder="1"/>
    <xf numFmtId="0" fontId="99" fillId="0" borderId="88" xfId="571" applyFont="1" applyBorder="1"/>
    <xf numFmtId="0" fontId="98" fillId="0" borderId="88" xfId="0" applyFont="1" applyBorder="1"/>
    <xf numFmtId="0" fontId="98" fillId="0" borderId="89" xfId="0" applyFont="1" applyBorder="1"/>
    <xf numFmtId="0" fontId="98" fillId="0" borderId="87" xfId="0" applyFont="1" applyBorder="1"/>
    <xf numFmtId="0" fontId="143" fillId="0" borderId="91" xfId="562" applyFont="1" applyFill="1" applyBorder="1" applyAlignment="1">
      <alignment horizontal="left" wrapText="1"/>
    </xf>
    <xf numFmtId="0" fontId="143" fillId="0" borderId="91" xfId="562" applyFont="1" applyFill="1" applyBorder="1" applyAlignment="1">
      <alignment horizontal="left" wrapText="1" indent="1"/>
    </xf>
    <xf numFmtId="0" fontId="143" fillId="0" borderId="91" xfId="562" applyFont="1" applyFill="1" applyBorder="1" applyAlignment="1">
      <alignment horizontal="left" indent="1"/>
    </xf>
    <xf numFmtId="0" fontId="97" fillId="0" borderId="91" xfId="0" applyFont="1" applyFill="1" applyBorder="1"/>
    <xf numFmtId="0" fontId="98" fillId="0" borderId="91" xfId="0" applyFont="1" applyFill="1" applyBorder="1" applyAlignment="1">
      <alignment horizontal="left" indent="1"/>
    </xf>
    <xf numFmtId="0" fontId="143" fillId="0" borderId="91" xfId="0" applyFont="1" applyFill="1" applyBorder="1" applyAlignment="1">
      <alignment horizontal="left" indent="1"/>
    </xf>
    <xf numFmtId="0" fontId="97" fillId="0" borderId="91" xfId="0" applyFont="1" applyBorder="1"/>
    <xf numFmtId="0" fontId="98" fillId="0" borderId="92" xfId="0" applyFont="1" applyBorder="1"/>
    <xf numFmtId="0" fontId="98" fillId="0" borderId="93" xfId="0" applyFont="1" applyBorder="1"/>
    <xf numFmtId="0" fontId="98" fillId="0" borderId="94" xfId="0" applyFont="1" applyBorder="1"/>
    <xf numFmtId="0" fontId="98" fillId="0" borderId="95" xfId="0" applyFont="1" applyBorder="1"/>
    <xf numFmtId="0" fontId="147" fillId="0" borderId="0" xfId="562" applyFont="1" applyFill="1" applyAlignment="1">
      <alignment wrapText="1"/>
    </xf>
    <xf numFmtId="0" fontId="131" fillId="0" borderId="0" xfId="562" applyFont="1" applyFill="1" applyAlignment="1">
      <alignment wrapText="1"/>
    </xf>
    <xf numFmtId="0" fontId="131" fillId="0" borderId="0" xfId="562" applyFont="1" applyFill="1" applyAlignment="1">
      <alignment horizontal="left" wrapText="1"/>
    </xf>
    <xf numFmtId="0" fontId="131" fillId="0" borderId="0" xfId="562" applyFont="1"/>
    <xf numFmtId="0" fontId="131" fillId="0" borderId="96" xfId="562" applyFont="1" applyFill="1" applyBorder="1"/>
    <xf numFmtId="0" fontId="131" fillId="0" borderId="97" xfId="562" applyFont="1" applyBorder="1"/>
    <xf numFmtId="0" fontId="130" fillId="0" borderId="98" xfId="562" applyFont="1" applyFill="1" applyBorder="1" applyAlignment="1">
      <alignment horizontal="center"/>
    </xf>
    <xf numFmtId="0" fontId="130" fillId="0" borderId="99" xfId="562" applyFont="1" applyFill="1" applyBorder="1"/>
    <xf numFmtId="0" fontId="131" fillId="0" borderId="1" xfId="562" applyFont="1" applyBorder="1"/>
    <xf numFmtId="0" fontId="130" fillId="0" borderId="100" xfId="562" applyFont="1" applyFill="1" applyBorder="1" applyAlignment="1">
      <alignment horizontal="center"/>
    </xf>
    <xf numFmtId="0" fontId="130" fillId="0" borderId="1" xfId="562" applyFont="1" applyFill="1" applyBorder="1"/>
    <xf numFmtId="0" fontId="131" fillId="0" borderId="100" xfId="562" applyFont="1" applyBorder="1"/>
    <xf numFmtId="0" fontId="131" fillId="0" borderId="99" xfId="562" applyFont="1" applyBorder="1" applyAlignment="1">
      <alignment horizontal="center"/>
    </xf>
    <xf numFmtId="0" fontId="131" fillId="0" borderId="1" xfId="562" applyFont="1" applyFill="1" applyBorder="1" applyAlignment="1">
      <alignment horizontal="center"/>
    </xf>
    <xf numFmtId="0" fontId="130" fillId="0" borderId="99" xfId="562" applyFont="1" applyFill="1" applyBorder="1" applyAlignment="1">
      <alignment horizontal="center"/>
    </xf>
    <xf numFmtId="0" fontId="131" fillId="0" borderId="1" xfId="562" applyFont="1" applyFill="1" applyBorder="1" applyAlignment="1">
      <alignment horizontal="left"/>
    </xf>
    <xf numFmtId="173" fontId="131" fillId="0" borderId="0" xfId="301" applyNumberFormat="1" applyFont="1" applyFill="1" applyBorder="1"/>
    <xf numFmtId="0" fontId="131" fillId="0" borderId="101" xfId="562" applyFont="1" applyBorder="1" applyAlignment="1">
      <alignment horizontal="center"/>
    </xf>
    <xf numFmtId="0" fontId="131" fillId="0" borderId="33" xfId="562" applyFont="1" applyFill="1" applyBorder="1" applyAlignment="1">
      <alignment horizontal="center"/>
    </xf>
    <xf numFmtId="0" fontId="131" fillId="0" borderId="102" xfId="562" applyFont="1" applyBorder="1"/>
    <xf numFmtId="170" fontId="99" fillId="0" borderId="89" xfId="571" applyNumberFormat="1" applyFont="1" applyFill="1" applyBorder="1"/>
    <xf numFmtId="0" fontId="148" fillId="0" borderId="0" xfId="0" applyFont="1"/>
    <xf numFmtId="0" fontId="102" fillId="0" borderId="71" xfId="0" applyFont="1" applyBorder="1"/>
    <xf numFmtId="0" fontId="110" fillId="0" borderId="0" xfId="0" applyFont="1" applyBorder="1"/>
    <xf numFmtId="0" fontId="63" fillId="0" borderId="0" xfId="0" applyFont="1" applyAlignment="1"/>
    <xf numFmtId="0" fontId="3" fillId="0" borderId="0" xfId="0" applyFont="1" applyAlignment="1"/>
    <xf numFmtId="0" fontId="12" fillId="0" borderId="0" xfId="574" applyFont="1" applyFill="1" applyAlignment="1"/>
    <xf numFmtId="0" fontId="88" fillId="0" borderId="0" xfId="0" applyFont="1" applyAlignment="1">
      <alignment horizontal="left"/>
    </xf>
    <xf numFmtId="0" fontId="0" fillId="0" borderId="64" xfId="0" applyBorder="1"/>
    <xf numFmtId="0" fontId="0" fillId="0" borderId="62" xfId="0" applyBorder="1"/>
    <xf numFmtId="0" fontId="0" fillId="0" borderId="53" xfId="0" applyBorder="1"/>
    <xf numFmtId="0" fontId="0" fillId="0" borderId="58" xfId="0" applyBorder="1"/>
    <xf numFmtId="0" fontId="0" fillId="25" borderId="1" xfId="0" applyFill="1" applyBorder="1"/>
    <xf numFmtId="173" fontId="0" fillId="0" borderId="1" xfId="301" applyNumberFormat="1" applyFont="1" applyBorder="1"/>
    <xf numFmtId="0" fontId="0" fillId="0" borderId="103" xfId="0" applyBorder="1"/>
    <xf numFmtId="0" fontId="0" fillId="0" borderId="55" xfId="0" applyBorder="1"/>
    <xf numFmtId="0" fontId="0" fillId="0" borderId="104" xfId="0" applyBorder="1"/>
    <xf numFmtId="0" fontId="0" fillId="0" borderId="105" xfId="0" applyBorder="1"/>
    <xf numFmtId="0" fontId="7" fillId="0" borderId="106" xfId="0" applyFont="1" applyBorder="1"/>
    <xf numFmtId="0" fontId="0" fillId="0" borderId="107" xfId="0" applyBorder="1"/>
    <xf numFmtId="0" fontId="6" fillId="0" borderId="1" xfId="0" applyFont="1" applyBorder="1" applyAlignment="1">
      <alignment horizontal="center" vertical="top" wrapText="1"/>
    </xf>
    <xf numFmtId="0" fontId="23" fillId="0" borderId="1" xfId="0" applyFont="1" applyBorder="1" applyAlignment="1">
      <alignment horizontal="center" vertical="top" wrapText="1"/>
    </xf>
    <xf numFmtId="194" fontId="149" fillId="0" borderId="1" xfId="301" applyNumberFormat="1" applyFont="1" applyFill="1" applyBorder="1" applyAlignment="1">
      <alignment wrapText="1"/>
    </xf>
    <xf numFmtId="195" fontId="149" fillId="0" borderId="1" xfId="301" applyNumberFormat="1" applyFont="1" applyFill="1" applyBorder="1" applyAlignment="1">
      <alignment wrapText="1"/>
    </xf>
    <xf numFmtId="196" fontId="149" fillId="0" borderId="1" xfId="301" applyNumberFormat="1" applyFont="1" applyFill="1" applyBorder="1" applyAlignment="1">
      <alignment wrapText="1"/>
    </xf>
    <xf numFmtId="191" fontId="150" fillId="0" borderId="1" xfId="301" applyNumberFormat="1" applyFont="1" applyFill="1" applyBorder="1" applyAlignment="1">
      <alignment wrapText="1"/>
    </xf>
    <xf numFmtId="196" fontId="150" fillId="37" borderId="1" xfId="301" applyNumberFormat="1" applyFont="1" applyFill="1" applyBorder="1" applyAlignment="1">
      <alignment wrapText="1"/>
    </xf>
    <xf numFmtId="196" fontId="149" fillId="37" borderId="1" xfId="301" applyNumberFormat="1" applyFont="1" applyFill="1" applyBorder="1" applyAlignment="1">
      <alignment wrapText="1"/>
    </xf>
    <xf numFmtId="2" fontId="149" fillId="0" borderId="1" xfId="301" applyNumberFormat="1" applyFont="1" applyFill="1" applyBorder="1" applyAlignment="1">
      <alignment wrapText="1"/>
    </xf>
    <xf numFmtId="197" fontId="149" fillId="0" borderId="1" xfId="301" applyNumberFormat="1" applyFont="1" applyFill="1" applyBorder="1" applyAlignment="1">
      <alignment wrapText="1"/>
    </xf>
    <xf numFmtId="173" fontId="94" fillId="0" borderId="1" xfId="301" applyNumberFormat="1" applyFont="1" applyBorder="1"/>
    <xf numFmtId="194" fontId="149" fillId="0" borderId="60" xfId="301" applyNumberFormat="1" applyFont="1" applyFill="1" applyBorder="1" applyAlignment="1">
      <alignment wrapText="1"/>
    </xf>
    <xf numFmtId="195" fontId="149" fillId="0" borderId="60" xfId="301" applyNumberFormat="1" applyFont="1" applyFill="1" applyBorder="1" applyAlignment="1">
      <alignment wrapText="1"/>
    </xf>
    <xf numFmtId="173" fontId="94" fillId="0" borderId="60" xfId="301" applyNumberFormat="1" applyFont="1" applyBorder="1"/>
    <xf numFmtId="196" fontId="149" fillId="0" borderId="60" xfId="301" applyNumberFormat="1" applyFont="1" applyFill="1" applyBorder="1" applyAlignment="1">
      <alignment wrapText="1"/>
    </xf>
    <xf numFmtId="194" fontId="149" fillId="0" borderId="34" xfId="301" applyNumberFormat="1" applyFont="1" applyFill="1" applyBorder="1" applyAlignment="1">
      <alignment wrapText="1"/>
    </xf>
    <xf numFmtId="195" fontId="149" fillId="0" borderId="34" xfId="301" applyNumberFormat="1" applyFont="1" applyFill="1" applyBorder="1" applyAlignment="1">
      <alignment wrapText="1"/>
    </xf>
    <xf numFmtId="173" fontId="94" fillId="0" borderId="34" xfId="301" applyNumberFormat="1" applyFont="1" applyBorder="1"/>
    <xf numFmtId="196" fontId="149" fillId="0" borderId="34" xfId="301" applyNumberFormat="1" applyFont="1" applyFill="1" applyBorder="1" applyAlignment="1">
      <alignment wrapText="1"/>
    </xf>
    <xf numFmtId="194" fontId="149" fillId="29" borderId="62" xfId="301" applyNumberFormat="1" applyFont="1" applyFill="1" applyBorder="1" applyAlignment="1">
      <alignment wrapText="1"/>
    </xf>
    <xf numFmtId="195" fontId="149" fillId="29" borderId="62" xfId="301" applyNumberFormat="1" applyFont="1" applyFill="1" applyBorder="1" applyAlignment="1">
      <alignment wrapText="1"/>
    </xf>
    <xf numFmtId="194" fontId="150" fillId="29" borderId="62" xfId="301" applyNumberFormat="1" applyFont="1" applyFill="1" applyBorder="1" applyAlignment="1">
      <alignment wrapText="1"/>
    </xf>
    <xf numFmtId="196" fontId="149" fillId="29" borderId="62" xfId="301" applyNumberFormat="1" applyFont="1" applyFill="1" applyBorder="1" applyAlignment="1">
      <alignment wrapText="1"/>
    </xf>
    <xf numFmtId="197" fontId="149" fillId="0" borderId="34" xfId="301" applyNumberFormat="1" applyFont="1" applyFill="1" applyBorder="1" applyAlignment="1">
      <alignment wrapText="1"/>
    </xf>
    <xf numFmtId="194" fontId="150" fillId="33" borderId="62" xfId="301" applyNumberFormat="1" applyFont="1" applyFill="1" applyBorder="1" applyAlignment="1">
      <alignment wrapText="1"/>
    </xf>
    <xf numFmtId="195" fontId="150" fillId="33" borderId="62" xfId="301" applyNumberFormat="1" applyFont="1" applyFill="1" applyBorder="1" applyAlignment="1">
      <alignment wrapText="1"/>
    </xf>
    <xf numFmtId="197" fontId="149" fillId="33" borderId="62" xfId="301" applyNumberFormat="1" applyFont="1" applyFill="1" applyBorder="1" applyAlignment="1">
      <alignment wrapText="1"/>
    </xf>
    <xf numFmtId="194" fontId="150" fillId="0" borderId="3" xfId="301" applyNumberFormat="1" applyFont="1" applyFill="1" applyBorder="1" applyAlignment="1">
      <alignment wrapText="1"/>
    </xf>
    <xf numFmtId="195" fontId="150" fillId="0" borderId="3" xfId="301" applyNumberFormat="1" applyFont="1" applyFill="1" applyBorder="1" applyAlignment="1">
      <alignment wrapText="1"/>
    </xf>
    <xf numFmtId="197" fontId="149" fillId="0" borderId="3" xfId="301" applyNumberFormat="1" applyFont="1" applyFill="1" applyBorder="1" applyAlignment="1">
      <alignment wrapText="1"/>
    </xf>
    <xf numFmtId="194" fontId="149" fillId="0" borderId="62" xfId="301" applyNumberFormat="1" applyFont="1" applyFill="1" applyBorder="1" applyAlignment="1">
      <alignment wrapText="1"/>
    </xf>
    <xf numFmtId="196" fontId="149" fillId="0" borderId="62" xfId="301" applyNumberFormat="1" applyFont="1" applyFill="1" applyBorder="1" applyAlignment="1">
      <alignment wrapText="1"/>
    </xf>
    <xf numFmtId="196" fontId="150" fillId="0" borderId="62" xfId="301" applyNumberFormat="1" applyFont="1" applyFill="1" applyBorder="1" applyAlignment="1">
      <alignment wrapText="1"/>
    </xf>
    <xf numFmtId="195" fontId="150" fillId="0" borderId="34" xfId="301" applyNumberFormat="1" applyFont="1" applyFill="1" applyBorder="1" applyAlignment="1">
      <alignment wrapText="1"/>
    </xf>
    <xf numFmtId="194" fontId="149" fillId="22" borderId="62" xfId="301" applyNumberFormat="1" applyFont="1" applyFill="1" applyBorder="1" applyAlignment="1">
      <alignment wrapText="1"/>
    </xf>
    <xf numFmtId="195" fontId="150" fillId="22" borderId="62" xfId="301" applyNumberFormat="1" applyFont="1" applyFill="1" applyBorder="1" applyAlignment="1">
      <alignment wrapText="1"/>
    </xf>
    <xf numFmtId="197" fontId="149" fillId="22" borderId="62" xfId="301" applyNumberFormat="1" applyFont="1" applyFill="1" applyBorder="1" applyAlignment="1">
      <alignment wrapText="1"/>
    </xf>
    <xf numFmtId="0" fontId="0" fillId="0" borderId="94" xfId="0" applyBorder="1"/>
    <xf numFmtId="196" fontId="149" fillId="0" borderId="1" xfId="301" applyNumberFormat="1" applyFont="1" applyBorder="1" applyAlignment="1">
      <alignment wrapText="1"/>
    </xf>
    <xf numFmtId="196" fontId="150" fillId="0" borderId="34" xfId="301" applyNumberFormat="1" applyFont="1" applyFill="1" applyBorder="1" applyAlignment="1">
      <alignment wrapText="1"/>
    </xf>
    <xf numFmtId="194" fontId="150" fillId="0" borderId="34" xfId="301" applyNumberFormat="1" applyFont="1" applyFill="1" applyBorder="1" applyAlignment="1">
      <alignment wrapText="1"/>
    </xf>
    <xf numFmtId="0" fontId="0" fillId="36" borderId="62" xfId="0" applyFill="1" applyBorder="1"/>
    <xf numFmtId="0" fontId="0" fillId="22" borderId="62" xfId="0" applyFill="1" applyBorder="1"/>
    <xf numFmtId="196" fontId="150" fillId="22" borderId="62" xfId="301" applyNumberFormat="1" applyFont="1" applyFill="1" applyBorder="1" applyAlignment="1">
      <alignment wrapText="1"/>
    </xf>
    <xf numFmtId="194" fontId="149" fillId="36" borderId="62" xfId="301" applyNumberFormat="1" applyFont="1" applyFill="1" applyBorder="1" applyAlignment="1">
      <alignment wrapText="1"/>
    </xf>
    <xf numFmtId="0" fontId="0" fillId="0" borderId="108" xfId="0" applyBorder="1"/>
    <xf numFmtId="194" fontId="149" fillId="33" borderId="62" xfId="301" applyNumberFormat="1" applyFont="1" applyFill="1" applyBorder="1" applyAlignment="1">
      <alignment wrapText="1"/>
    </xf>
    <xf numFmtId="0" fontId="0" fillId="33" borderId="62" xfId="0" applyFill="1" applyBorder="1"/>
    <xf numFmtId="196" fontId="150" fillId="33" borderId="62" xfId="301" applyNumberFormat="1" applyFont="1" applyFill="1" applyBorder="1" applyAlignment="1">
      <alignment wrapText="1"/>
    </xf>
    <xf numFmtId="0" fontId="23" fillId="0" borderId="109" xfId="0" applyFont="1" applyBorder="1" applyAlignment="1">
      <alignment horizontal="center" vertical="top" wrapText="1"/>
    </xf>
    <xf numFmtId="0" fontId="23" fillId="0" borderId="52" xfId="0" applyFont="1" applyBorder="1" applyAlignment="1">
      <alignment horizontal="center" vertical="top" wrapText="1"/>
    </xf>
    <xf numFmtId="0" fontId="28" fillId="0" borderId="26" xfId="0" applyFont="1" applyBorder="1" applyAlignment="1">
      <alignment vertical="top" wrapText="1"/>
    </xf>
    <xf numFmtId="0" fontId="23" fillId="0" borderId="39" xfId="0" applyFont="1" applyBorder="1" applyAlignment="1">
      <alignment horizontal="center" vertical="top" wrapText="1"/>
    </xf>
    <xf numFmtId="0" fontId="7" fillId="25" borderId="110" xfId="0" applyFont="1" applyFill="1" applyBorder="1"/>
    <xf numFmtId="0" fontId="6" fillId="0" borderId="26" xfId="0" applyFont="1" applyFill="1" applyBorder="1" applyAlignment="1">
      <alignment wrapText="1"/>
    </xf>
    <xf numFmtId="196" fontId="149" fillId="0" borderId="39" xfId="301" applyNumberFormat="1" applyFont="1" applyFill="1" applyBorder="1" applyAlignment="1">
      <alignment wrapText="1"/>
    </xf>
    <xf numFmtId="194" fontId="149" fillId="0" borderId="39" xfId="301" applyNumberFormat="1" applyFont="1" applyFill="1" applyBorder="1" applyAlignment="1">
      <alignment wrapText="1"/>
    </xf>
    <xf numFmtId="0" fontId="6" fillId="0" borderId="26" xfId="0" applyFont="1" applyFill="1" applyBorder="1" applyAlignment="1">
      <alignment horizontal="left" wrapText="1"/>
    </xf>
    <xf numFmtId="196" fontId="149" fillId="37" borderId="39" xfId="301" applyNumberFormat="1" applyFont="1" applyFill="1" applyBorder="1" applyAlignment="1">
      <alignment wrapText="1"/>
    </xf>
    <xf numFmtId="195" fontId="149" fillId="0" borderId="39" xfId="301" applyNumberFormat="1" applyFont="1" applyFill="1" applyBorder="1" applyAlignment="1">
      <alignment wrapText="1"/>
    </xf>
    <xf numFmtId="0" fontId="6" fillId="0" borderId="107" xfId="0" applyFont="1" applyFill="1" applyBorder="1" applyAlignment="1">
      <alignment wrapText="1"/>
    </xf>
    <xf numFmtId="196" fontId="149" fillId="0" borderId="111" xfId="301" applyNumberFormat="1" applyFont="1" applyFill="1" applyBorder="1" applyAlignment="1">
      <alignment wrapText="1"/>
    </xf>
    <xf numFmtId="0" fontId="6" fillId="0" borderId="112" xfId="0" applyFont="1" applyFill="1" applyBorder="1" applyAlignment="1">
      <alignment wrapText="1"/>
    </xf>
    <xf numFmtId="196" fontId="149" fillId="0" borderId="113" xfId="301" applyNumberFormat="1" applyFont="1" applyFill="1" applyBorder="1" applyAlignment="1">
      <alignment wrapText="1"/>
    </xf>
    <xf numFmtId="0" fontId="23" fillId="29" borderId="114" xfId="0" applyFont="1" applyFill="1" applyBorder="1" applyAlignment="1">
      <alignment horizontal="left" wrapText="1"/>
    </xf>
    <xf numFmtId="196" fontId="149" fillId="29" borderId="115" xfId="301" applyNumberFormat="1" applyFont="1" applyFill="1" applyBorder="1" applyAlignment="1">
      <alignment wrapText="1"/>
    </xf>
    <xf numFmtId="195" fontId="149" fillId="0" borderId="113" xfId="301" applyNumberFormat="1" applyFont="1" applyFill="1" applyBorder="1" applyAlignment="1">
      <alignment wrapText="1"/>
    </xf>
    <xf numFmtId="0" fontId="23" fillId="33" borderId="114" xfId="0" applyFont="1" applyFill="1" applyBorder="1" applyAlignment="1">
      <alignment horizontal="left"/>
    </xf>
    <xf numFmtId="195" fontId="149" fillId="33" borderId="115" xfId="301" applyNumberFormat="1" applyFont="1" applyFill="1" applyBorder="1" applyAlignment="1">
      <alignment wrapText="1"/>
    </xf>
    <xf numFmtId="0" fontId="23" fillId="0" borderId="116" xfId="0" applyFont="1" applyFill="1" applyBorder="1" applyAlignment="1">
      <alignment horizontal="center" wrapText="1"/>
    </xf>
    <xf numFmtId="195" fontId="149" fillId="0" borderId="117" xfId="301" applyNumberFormat="1" applyFont="1" applyFill="1" applyBorder="1" applyAlignment="1">
      <alignment wrapText="1"/>
    </xf>
    <xf numFmtId="0" fontId="23" fillId="0" borderId="114" xfId="0" applyFont="1" applyFill="1" applyBorder="1" applyAlignment="1">
      <alignment wrapText="1"/>
    </xf>
    <xf numFmtId="0" fontId="23" fillId="0" borderId="112" xfId="0" applyFont="1" applyFill="1" applyBorder="1" applyAlignment="1">
      <alignment wrapText="1"/>
    </xf>
    <xf numFmtId="0" fontId="23" fillId="22" borderId="114" xfId="0" applyFont="1" applyFill="1" applyBorder="1" applyAlignment="1">
      <alignment horizontal="left" wrapText="1"/>
    </xf>
    <xf numFmtId="195" fontId="149" fillId="22" borderId="115" xfId="301" applyNumberFormat="1" applyFont="1" applyFill="1" applyBorder="1" applyAlignment="1">
      <alignment wrapText="1"/>
    </xf>
    <xf numFmtId="0" fontId="6" fillId="0" borderId="116" xfId="0" applyFont="1" applyFill="1" applyBorder="1" applyAlignment="1">
      <alignment wrapText="1"/>
    </xf>
    <xf numFmtId="0" fontId="23" fillId="29" borderId="118" xfId="0" applyFont="1" applyFill="1" applyBorder="1" applyAlignment="1">
      <alignment horizontal="left" wrapText="1"/>
    </xf>
    <xf numFmtId="0" fontId="0" fillId="0" borderId="119" xfId="0" applyBorder="1"/>
    <xf numFmtId="0" fontId="0" fillId="0" borderId="120" xfId="0" applyBorder="1"/>
    <xf numFmtId="0" fontId="28" fillId="0" borderId="26" xfId="0" applyFont="1" applyBorder="1" applyAlignment="1">
      <alignment horizontal="center" vertical="top" wrapText="1"/>
    </xf>
    <xf numFmtId="0" fontId="23" fillId="25" borderId="26" xfId="0" applyFont="1" applyFill="1" applyBorder="1" applyAlignment="1">
      <alignment wrapText="1"/>
    </xf>
    <xf numFmtId="197" fontId="149" fillId="0" borderId="39" xfId="301" applyNumberFormat="1" applyFont="1" applyFill="1" applyBorder="1" applyAlignment="1">
      <alignment wrapText="1"/>
    </xf>
    <xf numFmtId="0" fontId="6" fillId="0" borderId="26" xfId="0" quotePrefix="1" applyFont="1" applyFill="1" applyBorder="1" applyAlignment="1">
      <alignment wrapText="1"/>
    </xf>
    <xf numFmtId="0" fontId="23" fillId="25" borderId="107" xfId="0" applyFont="1" applyFill="1" applyBorder="1" applyAlignment="1">
      <alignment wrapText="1"/>
    </xf>
    <xf numFmtId="0" fontId="6" fillId="0" borderId="114" xfId="0" applyFont="1" applyFill="1" applyBorder="1" applyAlignment="1">
      <alignment horizontal="left" wrapText="1"/>
    </xf>
    <xf numFmtId="195" fontId="150" fillId="0" borderId="113" xfId="301" applyNumberFormat="1" applyFont="1" applyFill="1" applyBorder="1" applyAlignment="1">
      <alignment wrapText="1"/>
    </xf>
    <xf numFmtId="0" fontId="23" fillId="29" borderId="114" xfId="0" applyFont="1" applyFill="1" applyBorder="1" applyAlignment="1">
      <alignment horizontal="left"/>
    </xf>
    <xf numFmtId="0" fontId="23" fillId="0" borderId="112" xfId="0" applyFont="1" applyFill="1" applyBorder="1" applyAlignment="1">
      <alignment horizontal="left"/>
    </xf>
    <xf numFmtId="0" fontId="23" fillId="33" borderId="114" xfId="0" applyFont="1" applyFill="1" applyBorder="1" applyAlignment="1"/>
    <xf numFmtId="195" fontId="150" fillId="33" borderId="115" xfId="301" applyNumberFormat="1" applyFont="1" applyFill="1" applyBorder="1" applyAlignment="1">
      <alignment wrapText="1"/>
    </xf>
    <xf numFmtId="0" fontId="23" fillId="22" borderId="114" xfId="0" applyFont="1" applyFill="1" applyBorder="1" applyAlignment="1"/>
    <xf numFmtId="196" fontId="150" fillId="22" borderId="115" xfId="301" applyNumberFormat="1" applyFont="1" applyFill="1" applyBorder="1" applyAlignment="1">
      <alignment wrapText="1"/>
    </xf>
    <xf numFmtId="0" fontId="23" fillId="0" borderId="112" xfId="0" applyFont="1" applyFill="1" applyBorder="1" applyAlignment="1"/>
    <xf numFmtId="0" fontId="0" fillId="0" borderId="121" xfId="0" applyBorder="1"/>
    <xf numFmtId="0" fontId="0" fillId="0" borderId="122" xfId="0" applyBorder="1"/>
    <xf numFmtId="0" fontId="23" fillId="38" borderId="123" xfId="0" applyFont="1" applyFill="1" applyBorder="1"/>
    <xf numFmtId="0" fontId="0" fillId="38" borderId="124" xfId="0" applyFill="1" applyBorder="1"/>
    <xf numFmtId="0" fontId="7" fillId="0" borderId="53" xfId="0" applyFont="1" applyFill="1" applyBorder="1"/>
    <xf numFmtId="0" fontId="7" fillId="0" borderId="58" xfId="0" applyFont="1" applyFill="1" applyBorder="1"/>
    <xf numFmtId="0" fontId="0" fillId="0" borderId="125" xfId="0" applyBorder="1"/>
    <xf numFmtId="0" fontId="0" fillId="0" borderId="1" xfId="0" applyFill="1" applyBorder="1"/>
    <xf numFmtId="43" fontId="0" fillId="0" borderId="1" xfId="0" applyNumberFormat="1" applyBorder="1"/>
    <xf numFmtId="43" fontId="0" fillId="39" borderId="1" xfId="301" applyFont="1" applyFill="1" applyBorder="1"/>
    <xf numFmtId="43" fontId="0" fillId="0" borderId="1" xfId="301" applyFont="1" applyFill="1" applyBorder="1"/>
    <xf numFmtId="43" fontId="0" fillId="0" borderId="1" xfId="301" applyFont="1" applyBorder="1"/>
    <xf numFmtId="43" fontId="0" fillId="0" borderId="1" xfId="301" applyNumberFormat="1" applyFont="1" applyBorder="1"/>
    <xf numFmtId="0" fontId="0" fillId="0" borderId="26" xfId="0" applyFill="1" applyBorder="1"/>
    <xf numFmtId="0" fontId="13" fillId="0" borderId="1" xfId="0" applyFont="1" applyFill="1" applyBorder="1"/>
    <xf numFmtId="0" fontId="0" fillId="0" borderId="109" xfId="0" applyBorder="1"/>
    <xf numFmtId="3" fontId="13" fillId="0" borderId="0" xfId="0" applyNumberFormat="1" applyFont="1" applyFill="1" applyBorder="1"/>
    <xf numFmtId="0" fontId="68" fillId="0" borderId="58" xfId="0" applyFont="1" applyFill="1" applyBorder="1"/>
    <xf numFmtId="2" fontId="0" fillId="0" borderId="1" xfId="0" applyNumberFormat="1" applyFill="1" applyBorder="1"/>
    <xf numFmtId="0" fontId="0" fillId="33" borderId="1" xfId="0" applyFill="1" applyBorder="1"/>
    <xf numFmtId="43" fontId="0" fillId="0" borderId="60" xfId="0" applyNumberFormat="1" applyBorder="1"/>
    <xf numFmtId="0" fontId="0" fillId="33" borderId="60" xfId="0" applyFill="1" applyBorder="1"/>
    <xf numFmtId="173" fontId="0" fillId="0" borderId="30" xfId="301" applyNumberFormat="1" applyFont="1" applyBorder="1"/>
    <xf numFmtId="43" fontId="0" fillId="0" borderId="126" xfId="0" applyNumberFormat="1" applyBorder="1"/>
    <xf numFmtId="0" fontId="77" fillId="25" borderId="53" xfId="0" applyFont="1" applyFill="1" applyBorder="1"/>
    <xf numFmtId="0" fontId="77" fillId="25" borderId="54" xfId="0" applyFont="1" applyFill="1" applyBorder="1"/>
    <xf numFmtId="0" fontId="77" fillId="25" borderId="106" xfId="0" applyFont="1" applyFill="1" applyBorder="1"/>
    <xf numFmtId="0" fontId="23" fillId="25" borderId="35" xfId="0" applyFont="1" applyFill="1" applyBorder="1"/>
    <xf numFmtId="0" fontId="0" fillId="33" borderId="34" xfId="0" applyFill="1" applyBorder="1"/>
    <xf numFmtId="2" fontId="23" fillId="0" borderId="1" xfId="0" applyNumberFormat="1" applyFont="1" applyBorder="1"/>
    <xf numFmtId="43" fontId="23" fillId="0" borderId="1" xfId="0" applyNumberFormat="1" applyFont="1" applyBorder="1"/>
    <xf numFmtId="43" fontId="23" fillId="0" borderId="1" xfId="301" applyFont="1" applyBorder="1"/>
    <xf numFmtId="2" fontId="23" fillId="0" borderId="30" xfId="0" applyNumberFormat="1" applyFont="1" applyBorder="1"/>
    <xf numFmtId="165" fontId="7" fillId="0" borderId="1" xfId="0" quotePrefix="1" applyNumberFormat="1" applyFont="1" applyFill="1" applyBorder="1" applyAlignment="1">
      <alignment horizontal="right"/>
    </xf>
    <xf numFmtId="165" fontId="23" fillId="0" borderId="30" xfId="0" applyNumberFormat="1" applyFont="1" applyBorder="1"/>
    <xf numFmtId="0" fontId="23" fillId="0" borderId="1" xfId="0" applyFont="1" applyBorder="1"/>
    <xf numFmtId="2" fontId="99" fillId="0" borderId="1" xfId="0" applyNumberFormat="1" applyFont="1" applyFill="1" applyBorder="1"/>
    <xf numFmtId="0" fontId="0" fillId="25" borderId="2" xfId="0" applyFill="1" applyBorder="1"/>
    <xf numFmtId="43" fontId="0" fillId="25" borderId="1" xfId="301" applyFont="1" applyFill="1" applyBorder="1"/>
    <xf numFmtId="174" fontId="0" fillId="0" borderId="1" xfId="301" applyNumberFormat="1" applyFont="1" applyBorder="1"/>
    <xf numFmtId="0" fontId="0" fillId="25" borderId="103" xfId="0" applyFill="1" applyBorder="1"/>
    <xf numFmtId="0" fontId="23" fillId="25" borderId="26" xfId="0" applyFont="1" applyFill="1" applyBorder="1"/>
    <xf numFmtId="173" fontId="23" fillId="0" borderId="1" xfId="301" applyNumberFormat="1" applyFont="1" applyBorder="1"/>
    <xf numFmtId="0" fontId="0" fillId="25" borderId="26" xfId="0" applyFill="1" applyBorder="1"/>
    <xf numFmtId="173" fontId="23" fillId="25" borderId="1" xfId="301" applyNumberFormat="1" applyFont="1" applyFill="1" applyBorder="1"/>
    <xf numFmtId="0" fontId="0" fillId="22" borderId="2" xfId="0" applyFill="1" applyBorder="1"/>
    <xf numFmtId="43" fontId="0" fillId="22" borderId="1" xfId="301" applyFont="1" applyFill="1" applyBorder="1"/>
    <xf numFmtId="0" fontId="0" fillId="22" borderId="26" xfId="0" applyFill="1" applyBorder="1"/>
    <xf numFmtId="0" fontId="0" fillId="39" borderId="2" xfId="0" applyFill="1" applyBorder="1"/>
    <xf numFmtId="0" fontId="0" fillId="39" borderId="26" xfId="0" applyFill="1" applyBorder="1"/>
    <xf numFmtId="43" fontId="23" fillId="25" borderId="1" xfId="301" applyFont="1" applyFill="1" applyBorder="1"/>
    <xf numFmtId="43" fontId="23" fillId="22" borderId="1" xfId="301" applyFont="1" applyFill="1" applyBorder="1"/>
    <xf numFmtId="168" fontId="0" fillId="0" borderId="1" xfId="301" applyNumberFormat="1" applyFont="1" applyBorder="1"/>
    <xf numFmtId="0" fontId="23" fillId="25" borderId="2" xfId="0" applyFont="1" applyFill="1" applyBorder="1"/>
    <xf numFmtId="0" fontId="23" fillId="0" borderId="53" xfId="0" applyFont="1" applyBorder="1"/>
    <xf numFmtId="43" fontId="23" fillId="25" borderId="1" xfId="301" applyNumberFormat="1" applyFont="1" applyFill="1" applyBorder="1"/>
    <xf numFmtId="0" fontId="0" fillId="0" borderId="2" xfId="0" applyFill="1" applyBorder="1"/>
    <xf numFmtId="43" fontId="0" fillId="0" borderId="1" xfId="301" applyNumberFormat="1" applyFont="1" applyFill="1" applyBorder="1"/>
    <xf numFmtId="168" fontId="0" fillId="22" borderId="1" xfId="301" applyNumberFormat="1" applyFont="1" applyFill="1" applyBorder="1"/>
    <xf numFmtId="0" fontId="0" fillId="0" borderId="103" xfId="0" applyFill="1" applyBorder="1"/>
    <xf numFmtId="173" fontId="0" fillId="25" borderId="1" xfId="301" applyNumberFormat="1" applyFont="1" applyFill="1" applyBorder="1"/>
    <xf numFmtId="0" fontId="0" fillId="22" borderId="103" xfId="0" applyFill="1" applyBorder="1"/>
    <xf numFmtId="0" fontId="0" fillId="39" borderId="103" xfId="0" applyFill="1" applyBorder="1"/>
    <xf numFmtId="43" fontId="0" fillId="0" borderId="1" xfId="0" applyNumberFormat="1" applyFill="1" applyBorder="1"/>
    <xf numFmtId="2" fontId="23" fillId="22" borderId="1" xfId="0" applyNumberFormat="1" applyFont="1" applyFill="1" applyBorder="1"/>
    <xf numFmtId="43" fontId="6" fillId="0" borderId="1" xfId="0" applyNumberFormat="1" applyFont="1" applyFill="1" applyBorder="1"/>
    <xf numFmtId="2" fontId="0" fillId="39" borderId="1" xfId="301" applyNumberFormat="1" applyFont="1" applyFill="1" applyBorder="1"/>
    <xf numFmtId="2" fontId="23" fillId="39" borderId="1" xfId="0" applyNumberFormat="1" applyFont="1" applyFill="1" applyBorder="1"/>
    <xf numFmtId="0" fontId="0" fillId="0" borderId="127" xfId="0" applyBorder="1"/>
    <xf numFmtId="0" fontId="0" fillId="0" borderId="128" xfId="0" applyBorder="1"/>
    <xf numFmtId="0" fontId="0" fillId="0" borderId="57" xfId="0" applyBorder="1"/>
    <xf numFmtId="11" fontId="0" fillId="22" borderId="1" xfId="301" applyNumberFormat="1" applyFont="1" applyFill="1" applyBorder="1"/>
    <xf numFmtId="174" fontId="0" fillId="0" borderId="1" xfId="0" applyNumberFormat="1" applyBorder="1"/>
    <xf numFmtId="174" fontId="0" fillId="22" borderId="1" xfId="0" applyNumberFormat="1" applyFill="1" applyBorder="1"/>
    <xf numFmtId="174" fontId="0" fillId="0" borderId="1" xfId="0" applyNumberFormat="1" applyFill="1" applyBorder="1"/>
    <xf numFmtId="174" fontId="23" fillId="39" borderId="1" xfId="0" applyNumberFormat="1" applyFont="1" applyFill="1" applyBorder="1"/>
    <xf numFmtId="168" fontId="0" fillId="0" borderId="1" xfId="0" applyNumberFormat="1" applyBorder="1"/>
    <xf numFmtId="43" fontId="23" fillId="0" borderId="1" xfId="301" applyFont="1" applyFill="1" applyBorder="1"/>
    <xf numFmtId="43" fontId="6" fillId="0" borderId="1" xfId="301" applyFont="1" applyFill="1" applyBorder="1"/>
    <xf numFmtId="0" fontId="0" fillId="0" borderId="59" xfId="0" applyFill="1" applyBorder="1"/>
    <xf numFmtId="43" fontId="0" fillId="0" borderId="60" xfId="301" applyFont="1" applyFill="1" applyBorder="1"/>
    <xf numFmtId="0" fontId="0" fillId="39" borderId="129" xfId="0" applyFill="1" applyBorder="1"/>
    <xf numFmtId="0" fontId="0" fillId="39" borderId="0" xfId="0" applyFill="1" applyBorder="1"/>
    <xf numFmtId="0" fontId="0" fillId="39" borderId="130" xfId="0" applyFill="1" applyBorder="1"/>
    <xf numFmtId="0" fontId="0" fillId="0" borderId="111" xfId="0" applyBorder="1"/>
    <xf numFmtId="174" fontId="23" fillId="25" borderId="1" xfId="301" applyNumberFormat="1" applyFont="1" applyFill="1" applyBorder="1"/>
    <xf numFmtId="43" fontId="23" fillId="22" borderId="1" xfId="0" applyNumberFormat="1" applyFont="1" applyFill="1" applyBorder="1"/>
    <xf numFmtId="43" fontId="23" fillId="39" borderId="1" xfId="0" applyNumberFormat="1" applyFont="1" applyFill="1" applyBorder="1"/>
    <xf numFmtId="43" fontId="23" fillId="39" borderId="1" xfId="301" applyNumberFormat="1" applyFont="1" applyFill="1" applyBorder="1"/>
    <xf numFmtId="0" fontId="23" fillId="39" borderId="0" xfId="0" applyFont="1" applyFill="1" applyBorder="1"/>
    <xf numFmtId="0" fontId="63" fillId="28" borderId="131" xfId="0" applyFont="1" applyFill="1" applyBorder="1"/>
    <xf numFmtId="0" fontId="2" fillId="28" borderId="132" xfId="0" applyFont="1" applyFill="1" applyBorder="1"/>
    <xf numFmtId="0" fontId="0" fillId="28" borderId="133" xfId="0" applyFill="1" applyBorder="1"/>
    <xf numFmtId="0" fontId="63" fillId="0" borderId="13" xfId="562" applyFont="1" applyFill="1" applyBorder="1"/>
    <xf numFmtId="0" fontId="115" fillId="0" borderId="25" xfId="0" applyFont="1" applyBorder="1"/>
    <xf numFmtId="0" fontId="115" fillId="0" borderId="41" xfId="0" applyFont="1" applyBorder="1"/>
    <xf numFmtId="0" fontId="137" fillId="0" borderId="42" xfId="562" applyFont="1" applyFill="1" applyBorder="1"/>
    <xf numFmtId="0" fontId="138" fillId="0" borderId="0" xfId="562" applyFont="1" applyFill="1" applyBorder="1" applyAlignment="1">
      <alignment horizontal="center" vertical="center" wrapText="1"/>
    </xf>
    <xf numFmtId="0" fontId="138" fillId="0" borderId="0" xfId="562" applyFont="1" applyFill="1" applyBorder="1" applyAlignment="1">
      <alignment horizontal="center"/>
    </xf>
    <xf numFmtId="0" fontId="138" fillId="0" borderId="0" xfId="562" applyFont="1" applyFill="1" applyBorder="1" applyAlignment="1">
      <alignment horizontal="center" wrapText="1"/>
    </xf>
    <xf numFmtId="0" fontId="137" fillId="0" borderId="0" xfId="562" applyFont="1" applyFill="1" applyBorder="1"/>
    <xf numFmtId="0" fontId="137" fillId="0" borderId="18" xfId="0" applyFont="1" applyBorder="1"/>
    <xf numFmtId="0" fontId="137" fillId="0" borderId="0" xfId="562" applyFont="1" applyFill="1" applyBorder="1" applyAlignment="1">
      <alignment horizontal="center"/>
    </xf>
    <xf numFmtId="0" fontId="137" fillId="0" borderId="0" xfId="562" quotePrefix="1" applyFont="1" applyFill="1" applyBorder="1" applyAlignment="1">
      <alignment horizontal="center"/>
    </xf>
    <xf numFmtId="0" fontId="137" fillId="0" borderId="0" xfId="562" applyFont="1" applyBorder="1"/>
    <xf numFmtId="0" fontId="137" fillId="0" borderId="18" xfId="562" applyFont="1" applyBorder="1"/>
    <xf numFmtId="0" fontId="115" fillId="0" borderId="15" xfId="0" applyFont="1" applyBorder="1"/>
    <xf numFmtId="0" fontId="115" fillId="0" borderId="17" xfId="0" applyFont="1" applyBorder="1"/>
    <xf numFmtId="0" fontId="63" fillId="0" borderId="42" xfId="562" applyFont="1" applyFill="1" applyBorder="1"/>
    <xf numFmtId="0" fontId="115" fillId="0" borderId="0" xfId="0" applyFont="1" applyBorder="1"/>
    <xf numFmtId="0" fontId="115" fillId="0" borderId="18" xfId="0" applyFont="1" applyBorder="1"/>
    <xf numFmtId="0" fontId="137" fillId="0" borderId="42" xfId="0" applyFont="1" applyBorder="1"/>
    <xf numFmtId="0" fontId="138" fillId="0" borderId="18" xfId="562" applyFont="1" applyFill="1" applyBorder="1" applyAlignment="1">
      <alignment horizontal="center" wrapText="1"/>
    </xf>
    <xf numFmtId="0" fontId="137" fillId="0" borderId="42" xfId="562" applyFont="1" applyFill="1" applyBorder="1" applyAlignment="1">
      <alignment horizontal="left"/>
    </xf>
    <xf numFmtId="173" fontId="137" fillId="0" borderId="103" xfId="301" applyNumberFormat="1" applyFont="1" applyFill="1" applyBorder="1"/>
    <xf numFmtId="0" fontId="137" fillId="0" borderId="0" xfId="562" applyFont="1" applyFill="1" applyBorder="1" applyAlignment="1">
      <alignment wrapText="1"/>
    </xf>
    <xf numFmtId="0" fontId="137" fillId="0" borderId="42" xfId="562" applyFont="1" applyFill="1" applyBorder="1" applyAlignment="1">
      <alignment horizontal="center"/>
    </xf>
    <xf numFmtId="0" fontId="138" fillId="0" borderId="0" xfId="562" applyFont="1" applyFill="1" applyBorder="1" applyAlignment="1">
      <alignment horizontal="center" vertical="center"/>
    </xf>
    <xf numFmtId="0" fontId="137" fillId="0" borderId="0" xfId="562" applyFont="1" applyFill="1" applyBorder="1" applyAlignment="1">
      <alignment vertical="center"/>
    </xf>
    <xf numFmtId="0" fontId="137" fillId="0" borderId="0" xfId="562" applyFont="1" applyBorder="1" applyAlignment="1">
      <alignment vertical="center"/>
    </xf>
    <xf numFmtId="0" fontId="138" fillId="0" borderId="18" xfId="562" applyFont="1" applyFill="1" applyBorder="1" applyAlignment="1">
      <alignment horizontal="center" vertical="center" wrapText="1"/>
    </xf>
    <xf numFmtId="0" fontId="115" fillId="0" borderId="0" xfId="0" applyFont="1" applyFill="1" applyBorder="1"/>
    <xf numFmtId="0" fontId="115" fillId="0" borderId="18" xfId="0" applyFont="1" applyFill="1" applyBorder="1"/>
    <xf numFmtId="0" fontId="137" fillId="0" borderId="42" xfId="0" applyFont="1" applyFill="1" applyBorder="1"/>
    <xf numFmtId="0" fontId="137" fillId="0" borderId="0" xfId="0" applyFont="1" applyFill="1" applyBorder="1"/>
    <xf numFmtId="0" fontId="2" fillId="0" borderId="0" xfId="562" quotePrefix="1" applyFont="1" applyFill="1" applyBorder="1" applyAlignment="1">
      <alignment horizontal="center"/>
    </xf>
    <xf numFmtId="173" fontId="14" fillId="0" borderId="103" xfId="301" applyNumberFormat="1" applyFont="1" applyFill="1" applyBorder="1"/>
    <xf numFmtId="0" fontId="115" fillId="0" borderId="15" xfId="0" applyFont="1" applyFill="1" applyBorder="1"/>
    <xf numFmtId="0" fontId="115" fillId="0" borderId="17" xfId="0" applyFont="1" applyFill="1" applyBorder="1"/>
    <xf numFmtId="0" fontId="4" fillId="0" borderId="51" xfId="0" applyFont="1" applyBorder="1"/>
    <xf numFmtId="0" fontId="5" fillId="0" borderId="52" xfId="0" applyFont="1" applyBorder="1"/>
    <xf numFmtId="0" fontId="4" fillId="31" borderId="26" xfId="0" applyFont="1" applyFill="1" applyBorder="1"/>
    <xf numFmtId="173" fontId="4" fillId="31" borderId="39" xfId="301" applyNumberFormat="1" applyFont="1" applyFill="1" applyBorder="1"/>
    <xf numFmtId="0" fontId="4" fillId="0" borderId="26" xfId="0" applyFont="1" applyBorder="1" applyAlignment="1">
      <alignment horizontal="left" indent="1"/>
    </xf>
    <xf numFmtId="173" fontId="4" fillId="0" borderId="39" xfId="301" applyNumberFormat="1" applyFont="1" applyBorder="1"/>
    <xf numFmtId="0" fontId="4" fillId="32" borderId="26" xfId="0" applyFont="1" applyFill="1" applyBorder="1"/>
    <xf numFmtId="173" fontId="4" fillId="32" borderId="39" xfId="301" applyNumberFormat="1" applyFont="1" applyFill="1" applyBorder="1"/>
    <xf numFmtId="0" fontId="4" fillId="28" borderId="26" xfId="0" applyFont="1" applyFill="1" applyBorder="1"/>
    <xf numFmtId="173" fontId="4" fillId="28" borderId="39" xfId="301" applyNumberFormat="1" applyFont="1" applyFill="1" applyBorder="1"/>
    <xf numFmtId="0" fontId="4" fillId="0" borderId="26" xfId="0" applyFont="1" applyBorder="1" applyAlignment="1">
      <alignment horizontal="left" wrapText="1" indent="1"/>
    </xf>
    <xf numFmtId="0" fontId="5" fillId="36" borderId="27" xfId="0" applyFont="1" applyFill="1" applyBorder="1"/>
    <xf numFmtId="173" fontId="4" fillId="36" borderId="29" xfId="301" applyNumberFormat="1" applyFont="1" applyFill="1" applyBorder="1"/>
    <xf numFmtId="43" fontId="23" fillId="0" borderId="0" xfId="0" applyNumberFormat="1" applyFont="1" applyFill="1" applyBorder="1"/>
    <xf numFmtId="173" fontId="23" fillId="0" borderId="0" xfId="0" applyNumberFormat="1" applyFont="1" applyFill="1" applyBorder="1"/>
    <xf numFmtId="173" fontId="23" fillId="38" borderId="134" xfId="0" applyNumberFormat="1" applyFont="1" applyFill="1" applyBorder="1"/>
    <xf numFmtId="176" fontId="14" fillId="22" borderId="1" xfId="0" applyNumberFormat="1" applyFont="1" applyFill="1" applyBorder="1" applyAlignment="1" applyProtection="1">
      <alignment horizontal="center"/>
      <protection locked="0"/>
    </xf>
    <xf numFmtId="176" fontId="16" fillId="23" borderId="1" xfId="301" applyNumberFormat="1" applyFont="1" applyFill="1" applyBorder="1" applyAlignment="1" applyProtection="1">
      <alignment horizontal="center"/>
      <protection locked="0"/>
    </xf>
    <xf numFmtId="174" fontId="96" fillId="23" borderId="1" xfId="301" applyNumberFormat="1" applyFont="1" applyFill="1" applyBorder="1" applyAlignment="1" applyProtection="1">
      <alignment horizontal="center"/>
    </xf>
    <xf numFmtId="173" fontId="96" fillId="23" borderId="1" xfId="301" applyNumberFormat="1" applyFont="1" applyFill="1" applyBorder="1" applyAlignment="1" applyProtection="1">
      <alignment horizontal="center"/>
    </xf>
    <xf numFmtId="3" fontId="96" fillId="23" borderId="1" xfId="0" applyNumberFormat="1" applyFont="1" applyFill="1" applyBorder="1" applyAlignment="1" applyProtection="1">
      <alignment horizontal="center"/>
      <protection locked="0"/>
    </xf>
    <xf numFmtId="43" fontId="16" fillId="0" borderId="1" xfId="301" applyFont="1" applyBorder="1" applyAlignment="1">
      <alignment horizontal="center"/>
    </xf>
    <xf numFmtId="167" fontId="16" fillId="0" borderId="1" xfId="301" applyNumberFormat="1" applyFont="1" applyBorder="1"/>
    <xf numFmtId="0" fontId="106" fillId="0" borderId="35" xfId="0" applyFont="1" applyBorder="1" applyAlignment="1">
      <alignment horizontal="left"/>
    </xf>
    <xf numFmtId="0" fontId="106" fillId="0" borderId="53" xfId="0" applyFont="1" applyBorder="1" applyAlignment="1">
      <alignment horizontal="center" wrapText="1"/>
    </xf>
    <xf numFmtId="0" fontId="104" fillId="0" borderId="53" xfId="0" applyFont="1" applyFill="1" applyBorder="1" applyAlignment="1">
      <alignment horizontal="center" wrapText="1"/>
    </xf>
    <xf numFmtId="0" fontId="106" fillId="0" borderId="53" xfId="0" applyFont="1" applyFill="1" applyBorder="1" applyAlignment="1">
      <alignment horizontal="center" wrapText="1"/>
    </xf>
    <xf numFmtId="0" fontId="106" fillId="0" borderId="53" xfId="0" applyFont="1" applyFill="1" applyBorder="1"/>
    <xf numFmtId="0" fontId="96" fillId="0" borderId="53" xfId="0" applyFont="1" applyFill="1" applyBorder="1"/>
    <xf numFmtId="0" fontId="104" fillId="0" borderId="58" xfId="0" applyFont="1" applyFill="1" applyBorder="1" applyAlignment="1">
      <alignment horizontal="center" wrapText="1"/>
    </xf>
    <xf numFmtId="0" fontId="104" fillId="0" borderId="2" xfId="0" applyFont="1" applyBorder="1" applyAlignment="1">
      <alignment horizontal="left" indent="1"/>
    </xf>
    <xf numFmtId="0" fontId="104" fillId="0" borderId="1" xfId="0" applyFont="1" applyBorder="1"/>
    <xf numFmtId="0" fontId="103" fillId="0" borderId="1" xfId="0" applyFont="1" applyFill="1" applyBorder="1" applyAlignment="1">
      <alignment horizontal="center"/>
    </xf>
    <xf numFmtId="0" fontId="96" fillId="0" borderId="1" xfId="0" applyFont="1" applyBorder="1"/>
    <xf numFmtId="0" fontId="103" fillId="0" borderId="1" xfId="0" applyFont="1" applyBorder="1"/>
    <xf numFmtId="0" fontId="96" fillId="0" borderId="103" xfId="0" applyFont="1" applyBorder="1"/>
    <xf numFmtId="0" fontId="108" fillId="0" borderId="2" xfId="0" applyFont="1" applyBorder="1" applyAlignment="1">
      <alignment horizontal="left" indent="2"/>
    </xf>
    <xf numFmtId="0" fontId="104" fillId="0" borderId="1" xfId="0" applyFont="1" applyBorder="1" applyAlignment="1">
      <alignment horizontal="left" indent="1"/>
    </xf>
    <xf numFmtId="4" fontId="96" fillId="0" borderId="1" xfId="0" applyNumberFormat="1" applyFont="1" applyBorder="1" applyAlignment="1">
      <alignment horizontal="center"/>
    </xf>
    <xf numFmtId="0" fontId="96" fillId="0" borderId="1" xfId="0" applyFont="1" applyFill="1" applyBorder="1" applyAlignment="1">
      <alignment horizontal="center"/>
    </xf>
    <xf numFmtId="173" fontId="103" fillId="0" borderId="103" xfId="301" applyNumberFormat="1" applyFont="1" applyBorder="1"/>
    <xf numFmtId="3" fontId="103" fillId="0" borderId="1" xfId="0" applyNumberFormat="1" applyFont="1" applyFill="1" applyBorder="1" applyAlignment="1" applyProtection="1">
      <alignment horizontal="center"/>
      <protection locked="0"/>
    </xf>
    <xf numFmtId="173" fontId="103" fillId="0" borderId="1" xfId="301" applyNumberFormat="1" applyFont="1" applyBorder="1" applyProtection="1"/>
    <xf numFmtId="171" fontId="103" fillId="0" borderId="1" xfId="0" applyNumberFormat="1" applyFont="1" applyBorder="1"/>
    <xf numFmtId="170" fontId="103" fillId="0" borderId="1" xfId="0" applyNumberFormat="1" applyFont="1" applyBorder="1"/>
    <xf numFmtId="170" fontId="103" fillId="0" borderId="103" xfId="0" applyNumberFormat="1" applyFont="1" applyBorder="1"/>
    <xf numFmtId="0" fontId="103" fillId="0" borderId="2" xfId="0" applyFont="1" applyFill="1" applyBorder="1" applyAlignment="1">
      <alignment horizontal="left" indent="2"/>
    </xf>
    <xf numFmtId="0" fontId="103" fillId="0" borderId="1" xfId="0" applyFont="1" applyFill="1" applyBorder="1" applyAlignment="1">
      <alignment horizontal="left" indent="2"/>
    </xf>
    <xf numFmtId="3" fontId="104" fillId="0" borderId="1" xfId="0" applyNumberFormat="1" applyFont="1" applyFill="1" applyBorder="1" applyAlignment="1" applyProtection="1">
      <alignment horizontal="center" wrapText="1"/>
      <protection locked="0"/>
    </xf>
    <xf numFmtId="0" fontId="104" fillId="0" borderId="1" xfId="0" applyFont="1" applyFill="1" applyBorder="1" applyAlignment="1">
      <alignment horizontal="center" wrapText="1"/>
    </xf>
    <xf numFmtId="170" fontId="103" fillId="0" borderId="103" xfId="0" applyNumberFormat="1" applyFont="1" applyFill="1" applyBorder="1"/>
    <xf numFmtId="0" fontId="103" fillId="0" borderId="1" xfId="0" applyFont="1" applyBorder="1" applyAlignment="1">
      <alignment horizontal="left" indent="1"/>
    </xf>
    <xf numFmtId="0" fontId="96" fillId="0" borderId="2" xfId="0" applyFont="1" applyBorder="1"/>
    <xf numFmtId="0" fontId="103" fillId="0" borderId="1" xfId="0" applyFont="1" applyBorder="1" applyAlignment="1">
      <alignment horizontal="center"/>
    </xf>
    <xf numFmtId="165" fontId="96" fillId="0" borderId="1" xfId="0" applyNumberFormat="1" applyFont="1" applyBorder="1"/>
    <xf numFmtId="165" fontId="104" fillId="0" borderId="1" xfId="0" applyNumberFormat="1" applyFont="1" applyFill="1" applyBorder="1" applyAlignment="1">
      <alignment horizontal="center" wrapText="1"/>
    </xf>
    <xf numFmtId="0" fontId="104" fillId="0" borderId="103" xfId="0" applyFont="1" applyFill="1" applyBorder="1" applyAlignment="1">
      <alignment horizontal="center" wrapText="1"/>
    </xf>
    <xf numFmtId="0" fontId="104" fillId="0" borderId="1" xfId="0" applyFont="1" applyBorder="1" applyAlignment="1">
      <alignment horizontal="left"/>
    </xf>
    <xf numFmtId="0" fontId="104" fillId="0" borderId="1" xfId="0" applyFont="1" applyBorder="1" applyAlignment="1">
      <alignment vertical="center"/>
    </xf>
    <xf numFmtId="173" fontId="104" fillId="0" borderId="1" xfId="301" applyNumberFormat="1" applyFont="1" applyBorder="1" applyAlignment="1">
      <alignment horizontal="center"/>
    </xf>
    <xf numFmtId="43" fontId="96" fillId="0" borderId="1" xfId="0" applyNumberFormat="1" applyFont="1" applyBorder="1"/>
    <xf numFmtId="0" fontId="108" fillId="0" borderId="1" xfId="0" applyFont="1" applyBorder="1" applyAlignment="1">
      <alignment horizontal="left" indent="1"/>
    </xf>
    <xf numFmtId="3" fontId="96" fillId="0" borderId="1" xfId="0" applyNumberFormat="1" applyFont="1" applyBorder="1"/>
    <xf numFmtId="0" fontId="96" fillId="0" borderId="63" xfId="0" applyFont="1" applyBorder="1"/>
    <xf numFmtId="0" fontId="103" fillId="0" borderId="55" xfId="0" applyFont="1" applyBorder="1"/>
    <xf numFmtId="0" fontId="96" fillId="0" borderId="55" xfId="0" applyFont="1" applyBorder="1"/>
    <xf numFmtId="0" fontId="96" fillId="0" borderId="135" xfId="0" applyFont="1" applyBorder="1"/>
    <xf numFmtId="0" fontId="96" fillId="0" borderId="96" xfId="0" applyFont="1" applyFill="1" applyBorder="1" applyAlignment="1">
      <alignment horizontal="left" vertical="top" wrapText="1"/>
    </xf>
    <xf numFmtId="0" fontId="96" fillId="0" borderId="97" xfId="0" applyFont="1" applyBorder="1"/>
    <xf numFmtId="0" fontId="104" fillId="0" borderId="97" xfId="0" applyFont="1" applyBorder="1" applyAlignment="1">
      <alignment horizontal="center" vertical="center" wrapText="1"/>
    </xf>
    <xf numFmtId="0" fontId="106" fillId="0" borderId="97" xfId="0" applyFont="1" applyBorder="1"/>
    <xf numFmtId="0" fontId="106" fillId="0" borderId="97" xfId="0" applyFont="1" applyBorder="1" applyAlignment="1">
      <alignment horizontal="center" wrapText="1"/>
    </xf>
    <xf numFmtId="0" fontId="104" fillId="0" borderId="97" xfId="0" applyFont="1" applyFill="1" applyBorder="1" applyAlignment="1">
      <alignment horizontal="center" vertical="center" wrapText="1"/>
    </xf>
    <xf numFmtId="0" fontId="96" fillId="0" borderId="97" xfId="0" applyFont="1" applyBorder="1" applyAlignment="1">
      <alignment vertical="center"/>
    </xf>
    <xf numFmtId="0" fontId="96" fillId="0" borderId="98" xfId="0" applyFont="1" applyBorder="1"/>
    <xf numFmtId="0" fontId="96" fillId="0" borderId="99" xfId="0" applyFont="1" applyBorder="1"/>
    <xf numFmtId="0" fontId="106" fillId="0" borderId="1" xfId="0" applyFont="1" applyFill="1" applyBorder="1" applyAlignment="1">
      <alignment horizontal="center" vertical="center" wrapText="1"/>
    </xf>
    <xf numFmtId="10" fontId="96" fillId="0" borderId="1" xfId="0" applyNumberFormat="1" applyFont="1" applyBorder="1"/>
    <xf numFmtId="4" fontId="96" fillId="0" borderId="1" xfId="0" applyNumberFormat="1" applyFont="1" applyBorder="1"/>
    <xf numFmtId="0" fontId="96" fillId="0" borderId="100" xfId="0" applyFont="1" applyBorder="1"/>
    <xf numFmtId="0" fontId="96" fillId="0" borderId="101" xfId="0" applyFont="1" applyBorder="1"/>
    <xf numFmtId="0" fontId="106" fillId="0" borderId="33" xfId="0" applyFont="1" applyFill="1" applyBorder="1" applyAlignment="1">
      <alignment horizontal="center" vertical="center" wrapText="1"/>
    </xf>
    <xf numFmtId="0" fontId="103" fillId="0" borderId="33" xfId="0" applyFont="1" applyBorder="1"/>
    <xf numFmtId="0" fontId="96" fillId="0" borderId="33" xfId="0" applyFont="1" applyBorder="1" applyAlignment="1">
      <alignment horizontal="center"/>
    </xf>
    <xf numFmtId="10" fontId="96" fillId="0" borderId="33" xfId="0" applyNumberFormat="1" applyFont="1" applyBorder="1"/>
    <xf numFmtId="4" fontId="96" fillId="0" borderId="33" xfId="0" applyNumberFormat="1" applyFont="1" applyBorder="1"/>
    <xf numFmtId="0" fontId="96" fillId="0" borderId="33" xfId="0" applyFont="1" applyBorder="1"/>
    <xf numFmtId="0" fontId="96" fillId="0" borderId="102" xfId="0" applyFont="1" applyBorder="1"/>
    <xf numFmtId="0" fontId="0" fillId="0" borderId="136" xfId="0" applyBorder="1"/>
    <xf numFmtId="0" fontId="0" fillId="0" borderId="137" xfId="0" applyBorder="1"/>
    <xf numFmtId="0" fontId="104" fillId="0" borderId="91" xfId="562" applyFont="1" applyFill="1" applyBorder="1" applyAlignment="1">
      <alignment horizontal="center" wrapText="1"/>
    </xf>
    <xf numFmtId="0" fontId="106" fillId="0" borderId="0" xfId="562" applyFont="1" applyFill="1" applyBorder="1" applyAlignment="1">
      <alignment horizontal="center" wrapText="1"/>
    </xf>
    <xf numFmtId="0" fontId="104" fillId="0" borderId="92" xfId="562" applyFont="1" applyFill="1" applyBorder="1" applyAlignment="1">
      <alignment horizontal="center" wrapText="1"/>
    </xf>
    <xf numFmtId="0" fontId="106" fillId="0" borderId="91" xfId="562" applyFont="1" applyFill="1" applyBorder="1" applyAlignment="1">
      <alignment horizontal="center"/>
    </xf>
    <xf numFmtId="170" fontId="106" fillId="0" borderId="92" xfId="562" applyNumberFormat="1" applyFont="1" applyFill="1" applyBorder="1" applyAlignment="1"/>
    <xf numFmtId="0" fontId="0" fillId="0" borderId="93" xfId="0" applyBorder="1"/>
    <xf numFmtId="0" fontId="0" fillId="0" borderId="95" xfId="0" applyBorder="1"/>
    <xf numFmtId="0" fontId="96" fillId="0" borderId="92" xfId="0" applyFont="1" applyBorder="1"/>
    <xf numFmtId="0" fontId="106" fillId="0" borderId="92" xfId="0" applyFont="1" applyBorder="1"/>
    <xf numFmtId="0" fontId="96" fillId="0" borderId="93" xfId="0" applyFont="1" applyBorder="1"/>
    <xf numFmtId="0" fontId="96" fillId="0" borderId="94" xfId="0" applyFont="1" applyBorder="1"/>
    <xf numFmtId="0" fontId="96" fillId="0" borderId="95" xfId="0" applyFont="1" applyBorder="1"/>
    <xf numFmtId="0" fontId="15" fillId="0" borderId="0" xfId="562" applyFont="1" applyFill="1" applyBorder="1" applyAlignment="1">
      <alignment horizontal="center" wrapText="1"/>
    </xf>
    <xf numFmtId="0" fontId="16" fillId="0" borderId="0" xfId="562" applyFont="1" applyFill="1" applyBorder="1"/>
    <xf numFmtId="0" fontId="16" fillId="0" borderId="0" xfId="562" applyFont="1" applyFill="1" applyBorder="1" applyAlignment="1">
      <alignment horizontal="center" wrapText="1"/>
    </xf>
    <xf numFmtId="0" fontId="16" fillId="0" borderId="0" xfId="574" applyFont="1" applyBorder="1"/>
    <xf numFmtId="0" fontId="15" fillId="0" borderId="92" xfId="562" applyFont="1" applyFill="1" applyBorder="1" applyAlignment="1">
      <alignment horizontal="center" wrapText="1"/>
    </xf>
    <xf numFmtId="0" fontId="0" fillId="0" borderId="91" xfId="0" applyBorder="1"/>
    <xf numFmtId="0" fontId="16" fillId="0" borderId="0" xfId="562" applyFont="1" applyFill="1" applyBorder="1" applyAlignment="1">
      <alignment horizontal="center" vertical="top" wrapText="1"/>
    </xf>
    <xf numFmtId="0" fontId="16" fillId="0" borderId="92" xfId="0" applyFont="1" applyBorder="1" applyAlignment="1">
      <alignment horizontal="center" vertical="top"/>
    </xf>
    <xf numFmtId="182" fontId="106" fillId="0" borderId="92" xfId="562" applyNumberFormat="1" applyFont="1" applyFill="1" applyBorder="1" applyAlignment="1"/>
    <xf numFmtId="0" fontId="106" fillId="0" borderId="93" xfId="562" applyFont="1" applyFill="1" applyBorder="1" applyAlignment="1">
      <alignment horizontal="center"/>
    </xf>
    <xf numFmtId="173" fontId="106" fillId="0" borderId="94" xfId="301" applyNumberFormat="1" applyFont="1" applyFill="1" applyBorder="1" applyAlignment="1" applyProtection="1"/>
    <xf numFmtId="0" fontId="106" fillId="0" borderId="94" xfId="562" applyFont="1" applyFill="1" applyBorder="1" applyAlignment="1">
      <alignment horizontal="center"/>
    </xf>
    <xf numFmtId="43" fontId="106" fillId="0" borderId="94" xfId="301" applyNumberFormat="1" applyFont="1" applyFill="1" applyBorder="1" applyAlignment="1" applyProtection="1">
      <protection locked="0"/>
    </xf>
    <xf numFmtId="9" fontId="106" fillId="0" borderId="94" xfId="599" applyFont="1" applyFill="1" applyBorder="1" applyAlignment="1"/>
    <xf numFmtId="2" fontId="106" fillId="0" borderId="94" xfId="599" applyNumberFormat="1" applyFont="1" applyFill="1" applyBorder="1" applyAlignment="1"/>
    <xf numFmtId="167" fontId="106" fillId="0" borderId="94" xfId="301" applyNumberFormat="1" applyFont="1" applyFill="1" applyBorder="1" applyAlignment="1"/>
    <xf numFmtId="0" fontId="106" fillId="0" borderId="94" xfId="562" quotePrefix="1" applyFont="1" applyFill="1" applyBorder="1" applyAlignment="1">
      <alignment horizontal="center"/>
    </xf>
    <xf numFmtId="173" fontId="106" fillId="0" borderId="94" xfId="301" applyNumberFormat="1" applyFont="1" applyFill="1" applyBorder="1" applyAlignment="1"/>
    <xf numFmtId="173" fontId="106" fillId="0" borderId="94" xfId="301" quotePrefix="1" applyNumberFormat="1" applyFont="1" applyFill="1" applyBorder="1" applyAlignment="1">
      <alignment horizontal="center"/>
    </xf>
    <xf numFmtId="9" fontId="106" fillId="0" borderId="94" xfId="599" applyFont="1" applyFill="1" applyBorder="1" applyAlignment="1" applyProtection="1">
      <protection locked="0"/>
    </xf>
    <xf numFmtId="2" fontId="106" fillId="0" borderId="94" xfId="562" applyNumberFormat="1" applyFont="1" applyFill="1" applyBorder="1" applyAlignment="1"/>
    <xf numFmtId="170" fontId="106" fillId="0" borderId="94" xfId="599" applyNumberFormat="1" applyFont="1" applyFill="1" applyBorder="1" applyAlignment="1"/>
    <xf numFmtId="43" fontId="106" fillId="0" borderId="94" xfId="301" applyNumberFormat="1" applyFont="1" applyFill="1" applyBorder="1" applyAlignment="1"/>
    <xf numFmtId="177" fontId="106" fillId="0" borderId="94" xfId="301" applyNumberFormat="1" applyFont="1" applyFill="1" applyBorder="1" applyAlignment="1"/>
    <xf numFmtId="170" fontId="106" fillId="0" borderId="94" xfId="562" applyNumberFormat="1" applyFont="1" applyFill="1" applyBorder="1" applyAlignment="1"/>
    <xf numFmtId="170" fontId="106" fillId="0" borderId="94" xfId="562" quotePrefix="1" applyNumberFormat="1" applyFont="1" applyFill="1" applyBorder="1" applyAlignment="1">
      <alignment horizontal="center"/>
    </xf>
    <xf numFmtId="170" fontId="106" fillId="0" borderId="94" xfId="562" applyNumberFormat="1" applyFont="1" applyFill="1" applyBorder="1" applyAlignment="1">
      <alignment horizontal="center"/>
    </xf>
    <xf numFmtId="182" fontId="106" fillId="0" borderId="95" xfId="562" applyNumberFormat="1" applyFont="1" applyFill="1" applyBorder="1" applyAlignment="1"/>
    <xf numFmtId="0" fontId="96" fillId="0" borderId="136" xfId="0" applyFont="1" applyBorder="1"/>
    <xf numFmtId="0" fontId="96" fillId="0" borderId="137" xfId="0" applyFont="1" applyBorder="1"/>
    <xf numFmtId="0" fontId="16" fillId="0" borderId="0" xfId="562" applyFont="1" applyBorder="1"/>
    <xf numFmtId="0" fontId="16" fillId="0" borderId="92" xfId="0" applyFont="1" applyBorder="1" applyAlignment="1">
      <alignment horizontal="center"/>
    </xf>
    <xf numFmtId="181" fontId="106" fillId="0" borderId="92" xfId="562" applyNumberFormat="1" applyFont="1" applyFill="1" applyBorder="1" applyAlignment="1"/>
    <xf numFmtId="0" fontId="114" fillId="25" borderId="138" xfId="574" applyFont="1" applyFill="1" applyBorder="1" applyAlignment="1">
      <alignment vertical="center"/>
    </xf>
    <xf numFmtId="0" fontId="0" fillId="25" borderId="136" xfId="0" applyFill="1" applyBorder="1"/>
    <xf numFmtId="0" fontId="96" fillId="25" borderId="136" xfId="0" applyFont="1" applyFill="1" applyBorder="1"/>
    <xf numFmtId="0" fontId="0" fillId="0" borderId="0" xfId="0" applyBorder="1" applyAlignment="1"/>
    <xf numFmtId="173" fontId="99" fillId="35" borderId="0" xfId="301" applyNumberFormat="1" applyFont="1" applyFill="1" applyBorder="1" applyProtection="1">
      <protection locked="0"/>
    </xf>
    <xf numFmtId="9" fontId="99" fillId="0" borderId="0" xfId="599" applyFont="1" applyFill="1" applyBorder="1"/>
    <xf numFmtId="173" fontId="99" fillId="0" borderId="0" xfId="301" applyNumberFormat="1" applyFont="1" applyFill="1" applyBorder="1"/>
    <xf numFmtId="2" fontId="99" fillId="0" borderId="0" xfId="0" applyNumberFormat="1" applyFont="1" applyFill="1" applyBorder="1"/>
    <xf numFmtId="166" fontId="99" fillId="0" borderId="0" xfId="599" applyNumberFormat="1" applyFont="1" applyFill="1" applyBorder="1"/>
    <xf numFmtId="170" fontId="98" fillId="0" borderId="0" xfId="571" applyNumberFormat="1" applyFont="1" applyFill="1" applyBorder="1"/>
    <xf numFmtId="0" fontId="99" fillId="0" borderId="138" xfId="571" applyFont="1" applyBorder="1"/>
    <xf numFmtId="0" fontId="99" fillId="0" borderId="136" xfId="571" applyFont="1" applyBorder="1"/>
    <xf numFmtId="0" fontId="100" fillId="0" borderId="136" xfId="571" applyFont="1" applyFill="1" applyBorder="1" applyAlignment="1">
      <alignment horizontal="center"/>
    </xf>
    <xf numFmtId="0" fontId="99" fillId="0" borderId="136" xfId="571" applyFont="1" applyFill="1" applyBorder="1"/>
    <xf numFmtId="0" fontId="99" fillId="0" borderId="136" xfId="571" quotePrefix="1" applyFont="1" applyFill="1" applyBorder="1" applyAlignment="1">
      <alignment horizontal="center"/>
    </xf>
    <xf numFmtId="0" fontId="99" fillId="0" borderId="136" xfId="571" applyFont="1" applyFill="1" applyBorder="1" applyAlignment="1">
      <alignment horizontal="left"/>
    </xf>
    <xf numFmtId="0" fontId="2" fillId="0" borderId="136" xfId="571" applyBorder="1"/>
    <xf numFmtId="0" fontId="98" fillId="0" borderId="137" xfId="0" applyFont="1" applyBorder="1"/>
    <xf numFmtId="0" fontId="99" fillId="0" borderId="91" xfId="571" applyFont="1" applyBorder="1"/>
    <xf numFmtId="0" fontId="99" fillId="0" borderId="91" xfId="571" applyFont="1" applyFill="1" applyBorder="1"/>
    <xf numFmtId="0" fontId="99" fillId="0" borderId="0" xfId="571" applyFont="1" applyFill="1" applyBorder="1" applyAlignment="1">
      <alignment horizontal="center"/>
    </xf>
    <xf numFmtId="0" fontId="99" fillId="0" borderId="0" xfId="571" applyFont="1" applyBorder="1" applyAlignment="1">
      <alignment horizontal="center"/>
    </xf>
    <xf numFmtId="0" fontId="99" fillId="0" borderId="93" xfId="571" applyFont="1" applyFill="1" applyBorder="1"/>
    <xf numFmtId="0" fontId="99" fillId="0" borderId="94" xfId="571" quotePrefix="1" applyFont="1" applyFill="1" applyBorder="1" applyAlignment="1">
      <alignment horizontal="center"/>
    </xf>
    <xf numFmtId="0" fontId="99" fillId="0" borderId="94" xfId="571" applyFont="1" applyFill="1" applyBorder="1" applyAlignment="1">
      <alignment horizontal="center"/>
    </xf>
    <xf numFmtId="9" fontId="99" fillId="0" borderId="94" xfId="599" applyFont="1" applyFill="1" applyBorder="1"/>
    <xf numFmtId="173" fontId="99" fillId="0" borderId="94" xfId="301" applyNumberFormat="1" applyFont="1" applyFill="1" applyBorder="1"/>
    <xf numFmtId="2" fontId="99" fillId="0" borderId="94" xfId="0" applyNumberFormat="1" applyFont="1" applyFill="1" applyBorder="1"/>
    <xf numFmtId="166" fontId="99" fillId="0" borderId="94" xfId="599" applyNumberFormat="1" applyFont="1" applyFill="1" applyBorder="1"/>
    <xf numFmtId="170" fontId="98" fillId="0" borderId="94" xfId="571" applyNumberFormat="1" applyFont="1" applyFill="1" applyBorder="1"/>
    <xf numFmtId="0" fontId="99" fillId="0" borderId="94" xfId="571" applyFont="1" applyBorder="1" applyAlignment="1">
      <alignment horizontal="center"/>
    </xf>
    <xf numFmtId="0" fontId="0" fillId="0" borderId="92" xfId="0" applyBorder="1"/>
    <xf numFmtId="173" fontId="99" fillId="0" borderId="94" xfId="301" applyNumberFormat="1" applyFont="1" applyFill="1" applyBorder="1" applyProtection="1">
      <protection locked="0"/>
    </xf>
    <xf numFmtId="0" fontId="131" fillId="0" borderId="0" xfId="0" applyFont="1" applyBorder="1" applyAlignment="1"/>
    <xf numFmtId="0" fontId="131" fillId="0" borderId="0" xfId="0" applyFont="1" applyFill="1" applyBorder="1"/>
    <xf numFmtId="0" fontId="63" fillId="0" borderId="138" xfId="0" applyFont="1" applyBorder="1"/>
    <xf numFmtId="0" fontId="131" fillId="0" borderId="136" xfId="0" applyFont="1" applyBorder="1"/>
    <xf numFmtId="0" fontId="131" fillId="0" borderId="137" xfId="0" applyFont="1" applyBorder="1"/>
    <xf numFmtId="0" fontId="142" fillId="35" borderId="91" xfId="571" applyFont="1" applyFill="1" applyBorder="1"/>
    <xf numFmtId="0" fontId="53" fillId="35" borderId="0" xfId="571" applyFont="1" applyFill="1" applyBorder="1"/>
    <xf numFmtId="0" fontId="58" fillId="35" borderId="0" xfId="571" applyFont="1" applyFill="1" applyBorder="1"/>
    <xf numFmtId="0" fontId="60" fillId="0" borderId="91" xfId="571" applyFont="1" applyFill="1" applyBorder="1"/>
    <xf numFmtId="0" fontId="53" fillId="0" borderId="0" xfId="571" applyFont="1" applyFill="1" applyBorder="1"/>
    <xf numFmtId="0" fontId="60" fillId="0" borderId="0" xfId="571" applyFont="1" applyFill="1" applyBorder="1"/>
    <xf numFmtId="173" fontId="98" fillId="0" borderId="0" xfId="0" applyNumberFormat="1" applyFont="1" applyBorder="1"/>
    <xf numFmtId="41" fontId="98" fillId="0" borderId="0" xfId="0" applyNumberFormat="1" applyFont="1" applyBorder="1"/>
    <xf numFmtId="173" fontId="86" fillId="30" borderId="136" xfId="301" applyNumberFormat="1" applyFont="1" applyFill="1" applyBorder="1" applyProtection="1"/>
    <xf numFmtId="0" fontId="25" fillId="0" borderId="136" xfId="572" applyFont="1" applyFill="1" applyBorder="1" applyAlignment="1">
      <alignment horizontal="center"/>
    </xf>
    <xf numFmtId="0" fontId="67" fillId="0" borderId="136" xfId="572" applyFont="1" applyFill="1" applyBorder="1"/>
    <xf numFmtId="166" fontId="67" fillId="0" borderId="136" xfId="599" applyNumberFormat="1" applyFont="1" applyFill="1" applyBorder="1"/>
    <xf numFmtId="0" fontId="53" fillId="0" borderId="136" xfId="572" quotePrefix="1" applyFont="1" applyFill="1" applyBorder="1" applyAlignment="1">
      <alignment horizontal="center"/>
    </xf>
    <xf numFmtId="173" fontId="67" fillId="0" borderId="136" xfId="301" applyNumberFormat="1" applyFont="1" applyFill="1" applyBorder="1"/>
    <xf numFmtId="170" fontId="14" fillId="0" borderId="136" xfId="572" applyNumberFormat="1" applyFont="1" applyFill="1" applyBorder="1"/>
    <xf numFmtId="0" fontId="25" fillId="0" borderId="136" xfId="572" applyFont="1" applyFill="1" applyBorder="1"/>
    <xf numFmtId="173" fontId="99" fillId="0" borderId="81" xfId="301" applyNumberFormat="1" applyFont="1" applyFill="1" applyBorder="1"/>
    <xf numFmtId="170" fontId="97" fillId="25" borderId="1" xfId="571" applyNumberFormat="1" applyFont="1" applyFill="1" applyBorder="1"/>
    <xf numFmtId="0" fontId="99" fillId="35" borderId="0" xfId="571" applyFont="1" applyFill="1" applyBorder="1" applyProtection="1">
      <protection locked="0"/>
    </xf>
    <xf numFmtId="166" fontId="99" fillId="35" borderId="0" xfId="599" applyNumberFormat="1" applyFont="1" applyFill="1" applyBorder="1" applyProtection="1">
      <protection locked="0"/>
    </xf>
    <xf numFmtId="182" fontId="98" fillId="0" borderId="0" xfId="0" applyNumberFormat="1" applyFont="1" applyBorder="1"/>
    <xf numFmtId="0" fontId="53" fillId="33" borderId="139" xfId="571" applyFont="1" applyFill="1" applyBorder="1"/>
    <xf numFmtId="0" fontId="53" fillId="33" borderId="140" xfId="571" applyFont="1" applyFill="1" applyBorder="1"/>
    <xf numFmtId="0" fontId="65" fillId="33" borderId="140" xfId="571" applyFont="1" applyFill="1" applyBorder="1" applyAlignment="1">
      <alignment horizontal="center"/>
    </xf>
    <xf numFmtId="0" fontId="53" fillId="33" borderId="141" xfId="571" applyFont="1" applyFill="1" applyBorder="1"/>
    <xf numFmtId="0" fontId="0" fillId="33" borderId="140" xfId="0" applyFill="1" applyBorder="1"/>
    <xf numFmtId="0" fontId="0" fillId="33" borderId="141" xfId="0" applyFill="1" applyBorder="1"/>
    <xf numFmtId="0" fontId="0" fillId="33" borderId="139" xfId="0" applyFill="1" applyBorder="1"/>
    <xf numFmtId="0" fontId="65" fillId="33" borderId="140" xfId="571" applyFont="1" applyFill="1" applyBorder="1" applyAlignment="1">
      <alignment horizontal="left" indent="4"/>
    </xf>
    <xf numFmtId="0" fontId="0" fillId="40" borderId="0" xfId="0" applyFill="1" applyBorder="1"/>
    <xf numFmtId="0" fontId="23" fillId="0" borderId="112" xfId="0" applyFont="1" applyFill="1" applyBorder="1" applyAlignment="1">
      <alignment horizontal="left" wrapText="1"/>
    </xf>
    <xf numFmtId="0" fontId="7" fillId="38" borderId="110" xfId="0" applyFont="1" applyFill="1" applyBorder="1"/>
    <xf numFmtId="0" fontId="159" fillId="0" borderId="0" xfId="0" quotePrefix="1" applyFont="1"/>
    <xf numFmtId="196" fontId="150" fillId="0" borderId="113" xfId="301" applyNumberFormat="1" applyFont="1" applyFill="1" applyBorder="1" applyAlignment="1">
      <alignment wrapText="1"/>
    </xf>
    <xf numFmtId="0" fontId="160" fillId="0" borderId="76" xfId="0" applyFont="1" applyBorder="1" applyAlignment="1"/>
    <xf numFmtId="0" fontId="106" fillId="0" borderId="0" xfId="565" applyFont="1" applyFill="1" applyAlignment="1" applyProtection="1">
      <alignment horizontal="right" wrapText="1"/>
    </xf>
    <xf numFmtId="0" fontId="68" fillId="29" borderId="44" xfId="0" applyFont="1" applyFill="1" applyBorder="1"/>
    <xf numFmtId="0" fontId="0" fillId="29" borderId="38" xfId="0" applyFill="1" applyBorder="1"/>
    <xf numFmtId="0" fontId="0" fillId="29" borderId="46" xfId="0" applyFill="1" applyBorder="1"/>
    <xf numFmtId="0" fontId="69" fillId="0" borderId="0" xfId="0" applyFont="1" applyBorder="1"/>
    <xf numFmtId="0" fontId="70" fillId="0" borderId="0" xfId="0" applyFont="1" applyBorder="1"/>
    <xf numFmtId="0" fontId="68" fillId="29" borderId="46" xfId="0" applyFont="1" applyFill="1" applyBorder="1"/>
    <xf numFmtId="0" fontId="73" fillId="29" borderId="38" xfId="0" applyFont="1" applyFill="1" applyBorder="1"/>
    <xf numFmtId="0" fontId="73" fillId="29" borderId="46" xfId="0" applyFont="1" applyFill="1" applyBorder="1"/>
    <xf numFmtId="0" fontId="68" fillId="29" borderId="44" xfId="0" applyFont="1" applyFill="1" applyBorder="1" applyAlignment="1"/>
    <xf numFmtId="0" fontId="115" fillId="29" borderId="46" xfId="0" applyFont="1" applyFill="1" applyBorder="1" applyAlignment="1"/>
    <xf numFmtId="0" fontId="79" fillId="29" borderId="38" xfId="0" applyFont="1" applyFill="1" applyBorder="1" applyAlignment="1"/>
    <xf numFmtId="0" fontId="79" fillId="29" borderId="46" xfId="0" applyFont="1" applyFill="1" applyBorder="1" applyAlignment="1"/>
    <xf numFmtId="0" fontId="79" fillId="29" borderId="44" xfId="0" applyFont="1" applyFill="1" applyBorder="1"/>
    <xf numFmtId="0" fontId="79" fillId="29" borderId="38" xfId="0" applyFont="1" applyFill="1" applyBorder="1"/>
    <xf numFmtId="0" fontId="74" fillId="29" borderId="46" xfId="0" applyFont="1" applyFill="1" applyBorder="1"/>
    <xf numFmtId="0" fontId="115" fillId="0" borderId="0" xfId="0" applyFont="1" applyFill="1" applyAlignment="1"/>
    <xf numFmtId="0" fontId="77" fillId="41" borderId="2" xfId="0" applyFont="1" applyFill="1" applyBorder="1" applyAlignment="1">
      <alignment wrapText="1"/>
    </xf>
    <xf numFmtId="9" fontId="96" fillId="0" borderId="1" xfId="0" applyNumberFormat="1" applyFont="1" applyBorder="1" applyAlignment="1">
      <alignment horizontal="center"/>
    </xf>
    <xf numFmtId="173" fontId="96" fillId="0" borderId="1" xfId="301" applyNumberFormat="1" applyFont="1" applyBorder="1" applyAlignment="1">
      <alignment horizontal="center" wrapText="1"/>
    </xf>
    <xf numFmtId="173" fontId="106" fillId="0" borderId="1" xfId="301" applyNumberFormat="1" applyFont="1" applyBorder="1" applyAlignment="1">
      <alignment horizontal="center"/>
    </xf>
    <xf numFmtId="0" fontId="96" fillId="0" borderId="1" xfId="0" applyFont="1" applyFill="1" applyBorder="1" applyAlignment="1">
      <alignment horizontal="center" wrapText="1"/>
    </xf>
    <xf numFmtId="169" fontId="106" fillId="0" borderId="1" xfId="301" applyNumberFormat="1" applyFont="1" applyBorder="1" applyAlignment="1">
      <alignment horizontal="center"/>
    </xf>
    <xf numFmtId="169" fontId="96" fillId="0" borderId="1" xfId="0" applyNumberFormat="1" applyFont="1" applyFill="1" applyBorder="1" applyAlignment="1">
      <alignment horizontal="center" wrapText="1"/>
    </xf>
    <xf numFmtId="9" fontId="96" fillId="0" borderId="55" xfId="0" applyNumberFormat="1" applyFont="1" applyBorder="1" applyAlignment="1">
      <alignment horizontal="center"/>
    </xf>
    <xf numFmtId="173" fontId="96" fillId="0" borderId="55" xfId="301" applyNumberFormat="1" applyFont="1" applyBorder="1" applyAlignment="1">
      <alignment horizontal="center" wrapText="1"/>
    </xf>
    <xf numFmtId="0" fontId="96" fillId="0" borderId="55" xfId="0" applyFont="1" applyFill="1" applyBorder="1" applyAlignment="1">
      <alignment horizontal="center" wrapText="1"/>
    </xf>
    <xf numFmtId="173" fontId="96" fillId="0" borderId="40" xfId="301" applyNumberFormat="1" applyFont="1" applyFill="1" applyBorder="1"/>
    <xf numFmtId="173" fontId="96" fillId="0" borderId="142" xfId="301" applyNumberFormat="1" applyFont="1" applyFill="1" applyBorder="1" applyAlignment="1">
      <alignment horizontal="center"/>
    </xf>
    <xf numFmtId="0" fontId="106" fillId="0" borderId="2" xfId="0" applyFont="1" applyFill="1" applyBorder="1" applyAlignment="1">
      <alignment horizontal="left" wrapText="1"/>
    </xf>
    <xf numFmtId="173" fontId="124" fillId="0" borderId="103" xfId="301" applyNumberFormat="1" applyFont="1" applyFill="1" applyBorder="1" applyAlignment="1">
      <alignment horizontal="center"/>
    </xf>
    <xf numFmtId="173" fontId="124" fillId="0" borderId="103" xfId="301" applyNumberFormat="1" applyFont="1" applyBorder="1" applyAlignment="1">
      <alignment horizontal="center"/>
    </xf>
    <xf numFmtId="0" fontId="96" fillId="0" borderId="2" xfId="0" applyFont="1" applyBorder="1" applyAlignment="1">
      <alignment horizontal="left" indent="1"/>
    </xf>
    <xf numFmtId="0" fontId="112" fillId="0" borderId="2" xfId="0" applyFont="1" applyBorder="1"/>
    <xf numFmtId="9" fontId="124" fillId="0" borderId="103" xfId="599" applyFont="1" applyFill="1" applyBorder="1"/>
    <xf numFmtId="173" fontId="124" fillId="0" borderId="103" xfId="301" applyNumberFormat="1" applyFont="1" applyFill="1" applyBorder="1"/>
    <xf numFmtId="0" fontId="112" fillId="0" borderId="2" xfId="0" applyFont="1" applyFill="1" applyBorder="1"/>
    <xf numFmtId="173" fontId="96" fillId="0" borderId="103" xfId="301" applyNumberFormat="1" applyFont="1" applyFill="1" applyBorder="1"/>
    <xf numFmtId="173" fontId="96" fillId="0" borderId="1" xfId="301" applyNumberFormat="1" applyFont="1" applyBorder="1"/>
    <xf numFmtId="173" fontId="96" fillId="0" borderId="103" xfId="301" applyNumberFormat="1" applyFont="1" applyBorder="1"/>
    <xf numFmtId="0" fontId="96" fillId="0" borderId="1" xfId="0" applyFont="1" applyFill="1" applyBorder="1"/>
    <xf numFmtId="0" fontId="96" fillId="0" borderId="103" xfId="0" applyFont="1" applyFill="1" applyBorder="1"/>
    <xf numFmtId="0" fontId="96" fillId="0" borderId="103" xfId="0" applyFont="1" applyFill="1" applyBorder="1" applyAlignment="1">
      <alignment horizontal="center"/>
    </xf>
    <xf numFmtId="173" fontId="106" fillId="0" borderId="1" xfId="301" applyNumberFormat="1" applyFont="1" applyFill="1" applyBorder="1" applyAlignment="1">
      <alignment horizontal="center" vertical="center" wrapText="1"/>
    </xf>
    <xf numFmtId="173" fontId="106" fillId="0" borderId="103" xfId="301" applyNumberFormat="1" applyFont="1" applyFill="1" applyBorder="1" applyAlignment="1">
      <alignment horizontal="center" wrapText="1"/>
    </xf>
    <xf numFmtId="173" fontId="96" fillId="0" borderId="103" xfId="301" applyNumberFormat="1" applyFont="1" applyFill="1" applyBorder="1" applyAlignment="1">
      <alignment horizontal="center"/>
    </xf>
    <xf numFmtId="0" fontId="112" fillId="0" borderId="63" xfId="0" applyFont="1" applyFill="1" applyBorder="1"/>
    <xf numFmtId="173" fontId="96" fillId="0" borderId="55" xfId="301" applyNumberFormat="1" applyFont="1" applyFill="1" applyBorder="1"/>
    <xf numFmtId="173" fontId="96" fillId="0" borderId="135" xfId="301" applyNumberFormat="1" applyFont="1" applyFill="1" applyBorder="1"/>
    <xf numFmtId="0" fontId="118" fillId="23" borderId="44" xfId="0" applyFont="1" applyFill="1" applyBorder="1" applyAlignment="1">
      <alignment horizontal="left"/>
    </xf>
    <xf numFmtId="0" fontId="14" fillId="23" borderId="38" xfId="0" applyFont="1" applyFill="1" applyBorder="1" applyAlignment="1">
      <alignment horizontal="center"/>
    </xf>
    <xf numFmtId="0" fontId="16" fillId="23" borderId="38" xfId="0" applyFont="1" applyFill="1" applyBorder="1" applyAlignment="1">
      <alignment horizontal="center"/>
    </xf>
    <xf numFmtId="0" fontId="96" fillId="0" borderId="40" xfId="0" applyFont="1" applyFill="1" applyBorder="1" applyAlignment="1">
      <alignment horizontal="center"/>
    </xf>
    <xf numFmtId="0" fontId="96" fillId="0" borderId="59" xfId="0" applyFont="1" applyFill="1" applyBorder="1"/>
    <xf numFmtId="0" fontId="96" fillId="0" borderId="60" xfId="0" applyFont="1" applyFill="1" applyBorder="1"/>
    <xf numFmtId="0" fontId="106" fillId="0" borderId="129" xfId="0" applyFont="1" applyFill="1" applyBorder="1" applyAlignment="1">
      <alignment horizontal="left" vertical="center"/>
    </xf>
    <xf numFmtId="173" fontId="106" fillId="0" borderId="3" xfId="301" applyNumberFormat="1" applyFont="1" applyBorder="1" applyAlignment="1">
      <alignment horizontal="center" vertical="center" wrapText="1"/>
    </xf>
    <xf numFmtId="0" fontId="106" fillId="36" borderId="61" xfId="0" applyFont="1" applyFill="1" applyBorder="1" applyAlignment="1">
      <alignment vertical="center"/>
    </xf>
    <xf numFmtId="1" fontId="106" fillId="36" borderId="143" xfId="301" applyNumberFormat="1" applyFont="1" applyFill="1" applyBorder="1" applyAlignment="1">
      <alignment horizontal="center"/>
    </xf>
    <xf numFmtId="173" fontId="96" fillId="0" borderId="0" xfId="301" applyNumberFormat="1" applyFont="1" applyFill="1"/>
    <xf numFmtId="0" fontId="106" fillId="36" borderId="15" xfId="0" applyFont="1" applyFill="1" applyBorder="1" applyAlignment="1">
      <alignment vertical="center"/>
    </xf>
    <xf numFmtId="1" fontId="106" fillId="36" borderId="17" xfId="301" applyNumberFormat="1" applyFont="1" applyFill="1" applyBorder="1" applyAlignment="1">
      <alignment horizontal="center"/>
    </xf>
    <xf numFmtId="0" fontId="16" fillId="23" borderId="46" xfId="0" applyFont="1" applyFill="1" applyBorder="1" applyAlignment="1">
      <alignment horizontal="center"/>
    </xf>
    <xf numFmtId="0" fontId="118" fillId="23" borderId="13" xfId="0" applyFont="1" applyFill="1" applyBorder="1" applyAlignment="1">
      <alignment horizontal="left"/>
    </xf>
    <xf numFmtId="0" fontId="14" fillId="23" borderId="25" xfId="0" applyFont="1" applyFill="1" applyBorder="1" applyAlignment="1">
      <alignment horizontal="center"/>
    </xf>
    <xf numFmtId="0" fontId="16" fillId="23" borderId="25" xfId="0" applyFont="1" applyFill="1" applyBorder="1" applyAlignment="1">
      <alignment horizontal="center"/>
    </xf>
    <xf numFmtId="0" fontId="96" fillId="0" borderId="44" xfId="0" applyFont="1" applyFill="1" applyBorder="1" applyAlignment="1" applyProtection="1">
      <alignment horizontal="left"/>
    </xf>
    <xf numFmtId="173" fontId="96" fillId="0" borderId="38" xfId="301" applyNumberFormat="1" applyFont="1" applyFill="1" applyBorder="1" applyProtection="1"/>
    <xf numFmtId="0" fontId="96" fillId="0" borderId="38" xfId="0" applyFont="1" applyFill="1" applyBorder="1" applyAlignment="1" applyProtection="1">
      <alignment horizontal="center"/>
    </xf>
    <xf numFmtId="0" fontId="96" fillId="0" borderId="38" xfId="0" applyFont="1" applyBorder="1"/>
    <xf numFmtId="0" fontId="96" fillId="0" borderId="38" xfId="0" applyFont="1" applyFill="1" applyBorder="1" applyProtection="1"/>
    <xf numFmtId="0" fontId="106" fillId="0" borderId="38" xfId="0" applyFont="1" applyFill="1" applyBorder="1" applyAlignment="1" applyProtection="1">
      <alignment horizontal="center"/>
    </xf>
    <xf numFmtId="0" fontId="96" fillId="0" borderId="46" xfId="0" applyFont="1" applyBorder="1"/>
    <xf numFmtId="0" fontId="96" fillId="0" borderId="53" xfId="0" applyFont="1" applyFill="1" applyBorder="1" applyAlignment="1" applyProtection="1">
      <alignment horizontal="center" wrapText="1"/>
    </xf>
    <xf numFmtId="0" fontId="96" fillId="0" borderId="53" xfId="0" applyFont="1" applyBorder="1"/>
    <xf numFmtId="0" fontId="96" fillId="0" borderId="1" xfId="0" applyFont="1" applyBorder="1" applyProtection="1"/>
    <xf numFmtId="173" fontId="96" fillId="0" borderId="1" xfId="301" applyNumberFormat="1" applyFont="1" applyFill="1" applyBorder="1" applyAlignment="1" applyProtection="1">
      <alignment horizontal="right"/>
    </xf>
    <xf numFmtId="0" fontId="96" fillId="0" borderId="55" xfId="0" applyFont="1" applyBorder="1" applyProtection="1"/>
    <xf numFmtId="0" fontId="96" fillId="0" borderId="18" xfId="0" applyFont="1" applyBorder="1" applyProtection="1"/>
    <xf numFmtId="0" fontId="96" fillId="0" borderId="18" xfId="0" applyFont="1" applyBorder="1" applyAlignment="1" applyProtection="1">
      <alignment horizontal="left" indent="2"/>
    </xf>
    <xf numFmtId="0" fontId="106" fillId="0" borderId="18" xfId="0" applyFont="1" applyBorder="1" applyAlignment="1" applyProtection="1">
      <alignment horizontal="left" indent="1"/>
    </xf>
    <xf numFmtId="0" fontId="96" fillId="0" borderId="18" xfId="0" applyFont="1" applyFill="1" applyBorder="1" applyProtection="1"/>
    <xf numFmtId="0" fontId="96" fillId="0" borderId="16" xfId="0" applyFont="1" applyFill="1" applyBorder="1" applyProtection="1"/>
    <xf numFmtId="0" fontId="96" fillId="0" borderId="16" xfId="0" applyFont="1" applyBorder="1" applyAlignment="1" applyProtection="1">
      <alignment horizontal="center"/>
    </xf>
    <xf numFmtId="0" fontId="96" fillId="0" borderId="16" xfId="0" applyFont="1" applyBorder="1" applyProtection="1"/>
    <xf numFmtId="0" fontId="96" fillId="0" borderId="17" xfId="0" applyFont="1" applyBorder="1" applyProtection="1"/>
    <xf numFmtId="173" fontId="106" fillId="0" borderId="0" xfId="301" applyNumberFormat="1" applyFont="1" applyFill="1" applyBorder="1" applyAlignment="1" applyProtection="1">
      <alignment horizontal="center"/>
    </xf>
    <xf numFmtId="169" fontId="106" fillId="0" borderId="0" xfId="301" applyNumberFormat="1" applyFont="1" applyBorder="1" applyAlignment="1">
      <alignment horizontal="center"/>
    </xf>
    <xf numFmtId="173" fontId="106" fillId="0" borderId="53" xfId="301" applyNumberFormat="1" applyFont="1" applyFill="1" applyBorder="1" applyAlignment="1" applyProtection="1">
      <alignment horizontal="center" wrapText="1"/>
    </xf>
    <xf numFmtId="0" fontId="106" fillId="0" borderId="53" xfId="0" applyFont="1" applyFill="1" applyBorder="1" applyAlignment="1" applyProtection="1">
      <alignment horizontal="center" wrapText="1"/>
    </xf>
    <xf numFmtId="0" fontId="106" fillId="0" borderId="53" xfId="565" applyFont="1" applyFill="1" applyBorder="1" applyAlignment="1" applyProtection="1">
      <alignment horizontal="center" wrapText="1"/>
    </xf>
    <xf numFmtId="0" fontId="106" fillId="0" borderId="2" xfId="0" applyFont="1" applyFill="1" applyBorder="1" applyProtection="1"/>
    <xf numFmtId="178" fontId="124" fillId="0" borderId="2" xfId="575" applyNumberFormat="1" applyFont="1" applyFill="1" applyBorder="1" applyAlignment="1" applyProtection="1">
      <alignment horizontal="left" indent="1"/>
    </xf>
    <xf numFmtId="0" fontId="96" fillId="0" borderId="1" xfId="0" applyFont="1" applyBorder="1" applyAlignment="1" applyProtection="1">
      <alignment horizontal="center"/>
    </xf>
    <xf numFmtId="0" fontId="96" fillId="0" borderId="2" xfId="563" applyFont="1" applyFill="1" applyBorder="1" applyAlignment="1" applyProtection="1">
      <alignment horizontal="left" indent="1"/>
    </xf>
    <xf numFmtId="0" fontId="96" fillId="0" borderId="30" xfId="0" applyFont="1" applyFill="1" applyBorder="1" applyProtection="1"/>
    <xf numFmtId="174" fontId="96" fillId="0" borderId="1" xfId="301" applyNumberFormat="1" applyFont="1" applyFill="1" applyBorder="1" applyAlignment="1" applyProtection="1">
      <alignment horizontal="center"/>
    </xf>
    <xf numFmtId="0" fontId="96" fillId="0" borderId="1" xfId="0" applyFont="1" applyFill="1" applyBorder="1" applyProtection="1"/>
    <xf numFmtId="0" fontId="96" fillId="0" borderId="2" xfId="0" applyFont="1" applyFill="1" applyBorder="1" applyAlignment="1" applyProtection="1">
      <alignment horizontal="left" indent="1"/>
    </xf>
    <xf numFmtId="176" fontId="16" fillId="22" borderId="1" xfId="301" applyNumberFormat="1" applyFont="1" applyFill="1" applyBorder="1" applyAlignment="1" applyProtection="1">
      <alignment horizontal="center"/>
      <protection locked="0"/>
    </xf>
    <xf numFmtId="0" fontId="106" fillId="0" borderId="2" xfId="563" applyFont="1" applyFill="1" applyBorder="1" applyProtection="1"/>
    <xf numFmtId="0" fontId="96" fillId="0" borderId="2" xfId="565" applyFont="1" applyFill="1" applyBorder="1" applyAlignment="1" applyProtection="1">
      <alignment horizontal="left" indent="1"/>
    </xf>
    <xf numFmtId="0" fontId="96" fillId="0" borderId="2" xfId="0" applyFont="1" applyFill="1" applyBorder="1" applyAlignment="1" applyProtection="1">
      <alignment horizontal="left" indent="2"/>
    </xf>
    <xf numFmtId="0" fontId="96" fillId="0" borderId="2" xfId="569" applyFont="1" applyFill="1" applyBorder="1" applyAlignment="1" applyProtection="1">
      <alignment horizontal="left" indent="1"/>
    </xf>
    <xf numFmtId="0" fontId="96" fillId="0" borderId="1" xfId="573" applyNumberFormat="1" applyFont="1" applyBorder="1" applyProtection="1"/>
    <xf numFmtId="0" fontId="96" fillId="0" borderId="2" xfId="0" applyFont="1" applyBorder="1" applyProtection="1"/>
    <xf numFmtId="0" fontId="106" fillId="0" borderId="2" xfId="565" applyFont="1" applyFill="1" applyBorder="1" applyAlignment="1" applyProtection="1">
      <alignment horizontal="left" wrapText="1"/>
    </xf>
    <xf numFmtId="169" fontId="96" fillId="0" borderId="1" xfId="301" applyNumberFormat="1" applyFont="1" applyBorder="1" applyAlignment="1">
      <alignment horizontal="center"/>
    </xf>
    <xf numFmtId="0" fontId="96" fillId="0" borderId="30" xfId="0" applyFont="1" applyBorder="1" applyAlignment="1" applyProtection="1">
      <alignment horizontal="right"/>
    </xf>
    <xf numFmtId="0" fontId="106" fillId="0" borderId="63" xfId="565" applyFont="1" applyFill="1" applyBorder="1" applyAlignment="1" applyProtection="1">
      <alignment horizontal="left" wrapText="1"/>
    </xf>
    <xf numFmtId="0" fontId="106" fillId="0" borderId="55" xfId="565" applyFont="1" applyFill="1" applyBorder="1" applyAlignment="1" applyProtection="1">
      <alignment horizontal="right" wrapText="1"/>
    </xf>
    <xf numFmtId="0" fontId="96" fillId="0" borderId="55" xfId="0" applyFont="1" applyBorder="1" applyAlignment="1" applyProtection="1">
      <alignment horizontal="center"/>
    </xf>
    <xf numFmtId="173" fontId="106" fillId="0" borderId="55" xfId="301" applyNumberFormat="1" applyFont="1" applyFill="1" applyBorder="1" applyAlignment="1" applyProtection="1">
      <alignment horizontal="center"/>
    </xf>
    <xf numFmtId="169" fontId="106" fillId="0" borderId="55" xfId="301" applyNumberFormat="1" applyFont="1" applyBorder="1" applyAlignment="1">
      <alignment horizontal="center"/>
    </xf>
    <xf numFmtId="0" fontId="96" fillId="0" borderId="55" xfId="0" applyFont="1" applyFill="1" applyBorder="1" applyProtection="1"/>
    <xf numFmtId="0" fontId="96" fillId="0" borderId="55" xfId="0" applyFont="1" applyFill="1" applyBorder="1" applyAlignment="1" applyProtection="1">
      <alignment horizontal="center"/>
    </xf>
    <xf numFmtId="0" fontId="96" fillId="0" borderId="56" xfId="0" applyFont="1" applyFill="1" applyBorder="1" applyProtection="1"/>
    <xf numFmtId="0" fontId="96" fillId="0" borderId="144" xfId="0" applyFont="1" applyFill="1" applyBorder="1" applyAlignment="1" applyProtection="1">
      <alignment horizontal="center" wrapText="1"/>
    </xf>
    <xf numFmtId="173" fontId="106" fillId="0" borderId="106" xfId="301" applyNumberFormat="1" applyFont="1" applyFill="1" applyBorder="1" applyAlignment="1" applyProtection="1">
      <alignment horizontal="center" wrapText="1"/>
    </xf>
    <xf numFmtId="0" fontId="106" fillId="0" borderId="106" xfId="573" applyFont="1" applyFill="1" applyBorder="1" applyAlignment="1" applyProtection="1">
      <alignment horizontal="center" wrapText="1"/>
    </xf>
    <xf numFmtId="0" fontId="106" fillId="0" borderId="106" xfId="0" applyFont="1" applyBorder="1" applyAlignment="1">
      <alignment horizontal="center" wrapText="1"/>
    </xf>
    <xf numFmtId="0" fontId="96" fillId="0" borderId="106" xfId="0" applyFont="1" applyBorder="1"/>
    <xf numFmtId="0" fontId="106" fillId="0" borderId="106" xfId="0" applyFont="1" applyFill="1" applyBorder="1" applyAlignment="1" applyProtection="1">
      <alignment horizontal="center" wrapText="1"/>
    </xf>
    <xf numFmtId="0" fontId="96" fillId="0" borderId="106" xfId="0" applyFont="1" applyFill="1" applyBorder="1" applyAlignment="1" applyProtection="1">
      <alignment horizontal="center" wrapText="1"/>
    </xf>
    <xf numFmtId="0" fontId="96" fillId="0" borderId="3" xfId="0" applyFont="1" applyBorder="1" applyAlignment="1" applyProtection="1">
      <alignment horizontal="center"/>
    </xf>
    <xf numFmtId="0" fontId="96" fillId="0" borderId="3" xfId="0" applyFont="1" applyBorder="1" applyProtection="1"/>
    <xf numFmtId="0" fontId="106" fillId="0" borderId="35" xfId="0" applyFont="1" applyFill="1" applyBorder="1" applyProtection="1"/>
    <xf numFmtId="0" fontId="106" fillId="0" borderId="53" xfId="573" applyFont="1" applyFill="1" applyBorder="1" applyAlignment="1" applyProtection="1">
      <alignment horizontal="center" vertical="center" wrapText="1"/>
    </xf>
    <xf numFmtId="0" fontId="96" fillId="0" borderId="53" xfId="0" applyFont="1" applyFill="1" applyBorder="1" applyAlignment="1" applyProtection="1">
      <alignment horizontal="left"/>
    </xf>
    <xf numFmtId="0" fontId="96" fillId="0" borderId="1" xfId="0" quotePrefix="1" applyFont="1" applyFill="1" applyBorder="1" applyProtection="1"/>
    <xf numFmtId="173" fontId="96" fillId="0" borderId="103" xfId="0" applyNumberFormat="1" applyFont="1" applyFill="1" applyBorder="1" applyProtection="1"/>
    <xf numFmtId="3" fontId="96" fillId="0" borderId="1" xfId="0" applyNumberFormat="1" applyFont="1" applyBorder="1" applyAlignment="1" applyProtection="1">
      <alignment horizontal="center"/>
    </xf>
    <xf numFmtId="0" fontId="96" fillId="0" borderId="103" xfId="0" applyFont="1" applyBorder="1" applyProtection="1"/>
    <xf numFmtId="0" fontId="96" fillId="0" borderId="1" xfId="0" applyFont="1" applyFill="1" applyBorder="1" applyAlignment="1" applyProtection="1">
      <alignment horizontal="right"/>
    </xf>
    <xf numFmtId="0" fontId="96" fillId="0" borderId="103" xfId="0" applyFont="1" applyFill="1" applyBorder="1" applyAlignment="1" applyProtection="1">
      <alignment horizontal="center"/>
    </xf>
    <xf numFmtId="0" fontId="96" fillId="0" borderId="103" xfId="0" applyFont="1" applyFill="1" applyBorder="1" applyProtection="1"/>
    <xf numFmtId="0" fontId="96" fillId="0" borderId="1" xfId="573" applyNumberFormat="1" applyFont="1" applyFill="1" applyBorder="1" applyProtection="1"/>
    <xf numFmtId="0" fontId="96" fillId="0" borderId="103" xfId="573" applyNumberFormat="1" applyFont="1" applyFill="1" applyBorder="1" applyProtection="1"/>
    <xf numFmtId="173" fontId="96" fillId="0" borderId="34" xfId="301" applyNumberFormat="1" applyFont="1" applyBorder="1" applyAlignment="1" applyProtection="1">
      <alignment horizontal="center"/>
    </xf>
    <xf numFmtId="0" fontId="96" fillId="0" borderId="34" xfId="0" applyFont="1" applyBorder="1" applyAlignment="1" applyProtection="1">
      <alignment horizontal="center"/>
    </xf>
    <xf numFmtId="0" fontId="106" fillId="0" borderId="34" xfId="0" applyFont="1" applyFill="1" applyBorder="1" applyAlignment="1" applyProtection="1">
      <alignment horizontal="center"/>
    </xf>
    <xf numFmtId="0" fontId="106" fillId="0" borderId="34" xfId="0" applyFont="1" applyBorder="1" applyAlignment="1" applyProtection="1">
      <alignment horizontal="center"/>
    </xf>
    <xf numFmtId="0" fontId="96" fillId="0" borderId="34" xfId="0" applyFont="1" applyBorder="1" applyProtection="1"/>
    <xf numFmtId="0" fontId="96" fillId="0" borderId="34" xfId="0" applyFont="1" applyFill="1" applyBorder="1" applyProtection="1"/>
    <xf numFmtId="0" fontId="96" fillId="0" borderId="129" xfId="0" applyFont="1" applyBorder="1" applyProtection="1"/>
    <xf numFmtId="173" fontId="106" fillId="0" borderId="3" xfId="301" applyNumberFormat="1" applyFont="1" applyBorder="1" applyAlignment="1" applyProtection="1">
      <alignment horizontal="center" vertical="center"/>
    </xf>
    <xf numFmtId="0" fontId="106" fillId="0" borderId="3" xfId="0" applyFont="1" applyFill="1" applyBorder="1" applyAlignment="1" applyProtection="1">
      <alignment horizontal="center" vertical="center"/>
    </xf>
    <xf numFmtId="0" fontId="106" fillId="36" borderId="61" xfId="0" applyFont="1" applyFill="1" applyBorder="1" applyProtection="1"/>
    <xf numFmtId="173" fontId="96" fillId="36" borderId="62" xfId="301" applyNumberFormat="1" applyFont="1" applyFill="1" applyBorder="1" applyProtection="1"/>
    <xf numFmtId="0" fontId="96" fillId="36" borderId="62" xfId="0" applyFont="1" applyFill="1" applyBorder="1" applyProtection="1"/>
    <xf numFmtId="0" fontId="106" fillId="36" borderId="62" xfId="0" applyFont="1" applyFill="1" applyBorder="1" applyAlignment="1" applyProtection="1">
      <alignment horizontal="center"/>
    </xf>
    <xf numFmtId="0" fontId="96" fillId="0" borderId="145" xfId="0" applyFont="1" applyBorder="1"/>
    <xf numFmtId="0" fontId="106" fillId="0" borderId="2" xfId="0" applyFont="1" applyBorder="1" applyAlignment="1" applyProtection="1">
      <alignment horizontal="left" indent="1"/>
    </xf>
    <xf numFmtId="0" fontId="96" fillId="25" borderId="38" xfId="0" applyFont="1" applyFill="1" applyBorder="1" applyProtection="1"/>
    <xf numFmtId="0" fontId="106" fillId="25" borderId="38" xfId="0" applyFont="1" applyFill="1" applyBorder="1" applyAlignment="1" applyProtection="1">
      <alignment horizontal="center"/>
    </xf>
    <xf numFmtId="0" fontId="96" fillId="0" borderId="146" xfId="0" applyFont="1" applyFill="1" applyBorder="1" applyAlignment="1" applyProtection="1">
      <alignment horizontal="center" wrapText="1"/>
    </xf>
    <xf numFmtId="0" fontId="96" fillId="25" borderId="44" xfId="0" applyFont="1" applyFill="1" applyBorder="1" applyProtection="1"/>
    <xf numFmtId="0" fontId="106" fillId="25" borderId="46" xfId="0" applyFont="1" applyFill="1" applyBorder="1" applyAlignment="1" applyProtection="1">
      <alignment horizontal="center"/>
    </xf>
    <xf numFmtId="0" fontId="106" fillId="25" borderId="61" xfId="0" applyFont="1" applyFill="1" applyBorder="1" applyAlignment="1" applyProtection="1">
      <alignment horizontal="center"/>
    </xf>
    <xf numFmtId="0" fontId="96" fillId="25" borderId="62" xfId="0" applyFont="1" applyFill="1" applyBorder="1" applyProtection="1"/>
    <xf numFmtId="0" fontId="106" fillId="25" borderId="62" xfId="0" applyFont="1" applyFill="1" applyBorder="1" applyAlignment="1" applyProtection="1">
      <alignment horizontal="center"/>
    </xf>
    <xf numFmtId="0" fontId="96" fillId="25" borderId="143" xfId="0" applyFont="1" applyFill="1" applyBorder="1" applyProtection="1"/>
    <xf numFmtId="0" fontId="96" fillId="0" borderId="147" xfId="0" applyFont="1" applyFill="1" applyBorder="1" applyAlignment="1" applyProtection="1">
      <alignment horizontal="center" wrapText="1"/>
    </xf>
    <xf numFmtId="0" fontId="96" fillId="0" borderId="3" xfId="0" applyFont="1" applyFill="1" applyBorder="1" applyAlignment="1" applyProtection="1">
      <alignment horizontal="center" wrapText="1"/>
    </xf>
    <xf numFmtId="0" fontId="96" fillId="0" borderId="3" xfId="0" applyFont="1" applyFill="1" applyBorder="1" applyAlignment="1" applyProtection="1">
      <alignment horizontal="left"/>
    </xf>
    <xf numFmtId="0" fontId="96" fillId="0" borderId="130" xfId="0" applyFont="1" applyFill="1" applyBorder="1" applyAlignment="1" applyProtection="1">
      <alignment horizontal="center" wrapText="1"/>
    </xf>
    <xf numFmtId="0" fontId="96" fillId="0" borderId="129" xfId="0" applyFont="1" applyFill="1" applyBorder="1" applyAlignment="1" applyProtection="1">
      <alignment horizontal="center" wrapText="1"/>
    </xf>
    <xf numFmtId="0" fontId="106" fillId="25" borderId="61" xfId="0" applyFont="1" applyFill="1" applyBorder="1" applyAlignment="1" applyProtection="1">
      <alignment horizontal="center" wrapText="1"/>
    </xf>
    <xf numFmtId="0" fontId="96" fillId="25" borderId="62" xfId="0" applyFont="1" applyFill="1" applyBorder="1" applyAlignment="1" applyProtection="1">
      <alignment horizontal="center" wrapText="1"/>
    </xf>
    <xf numFmtId="0" fontId="106" fillId="25" borderId="62" xfId="0" applyFont="1" applyFill="1" applyBorder="1" applyAlignment="1" applyProtection="1">
      <alignment horizontal="center" wrapText="1"/>
    </xf>
    <xf numFmtId="0" fontId="106" fillId="25" borderId="143" xfId="0" applyFont="1" applyFill="1" applyBorder="1" applyAlignment="1" applyProtection="1">
      <alignment horizontal="center" wrapText="1"/>
    </xf>
    <xf numFmtId="0" fontId="106" fillId="25" borderId="61" xfId="565" applyFont="1" applyFill="1" applyBorder="1" applyAlignment="1" applyProtection="1">
      <alignment horizontal="center" wrapText="1"/>
    </xf>
    <xf numFmtId="0" fontId="96" fillId="25" borderId="1" xfId="0" applyFont="1" applyFill="1" applyBorder="1"/>
    <xf numFmtId="0" fontId="15" fillId="0" borderId="0" xfId="0" applyFont="1" applyBorder="1"/>
    <xf numFmtId="0" fontId="15" fillId="0" borderId="0" xfId="0" applyFont="1" applyBorder="1" applyAlignment="1">
      <alignment horizontal="center"/>
    </xf>
    <xf numFmtId="0" fontId="106" fillId="36" borderId="36" xfId="0" applyFont="1" applyFill="1" applyBorder="1"/>
    <xf numFmtId="0" fontId="96" fillId="0" borderId="62" xfId="0" applyFont="1" applyFill="1" applyBorder="1"/>
    <xf numFmtId="0" fontId="96" fillId="0" borderId="35" xfId="0" applyFont="1" applyBorder="1" applyAlignment="1">
      <alignment vertical="center" wrapText="1"/>
    </xf>
    <xf numFmtId="0" fontId="96" fillId="0" borderId="53" xfId="0" quotePrefix="1" applyFont="1" applyBorder="1" applyAlignment="1">
      <alignment horizontal="left" wrapText="1"/>
    </xf>
    <xf numFmtId="173" fontId="96" fillId="33" borderId="53" xfId="301" applyNumberFormat="1" applyFont="1" applyFill="1" applyBorder="1" applyAlignment="1" applyProtection="1">
      <alignment horizontal="center" vertical="center" wrapText="1"/>
      <protection locked="0"/>
    </xf>
    <xf numFmtId="0" fontId="106" fillId="0" borderId="53" xfId="0" applyFont="1" applyFill="1" applyBorder="1" applyAlignment="1">
      <alignment wrapText="1"/>
    </xf>
    <xf numFmtId="171" fontId="96" fillId="0" borderId="53" xfId="0" applyNumberFormat="1" applyFont="1" applyBorder="1"/>
    <xf numFmtId="173" fontId="96" fillId="0" borderId="53" xfId="301" applyNumberFormat="1" applyFont="1" applyFill="1" applyBorder="1" applyAlignment="1">
      <alignment horizontal="center"/>
    </xf>
    <xf numFmtId="173" fontId="106" fillId="0" borderId="53" xfId="301" applyNumberFormat="1" applyFont="1" applyFill="1" applyBorder="1" applyAlignment="1">
      <alignment horizontal="center" wrapText="1"/>
    </xf>
    <xf numFmtId="0" fontId="96" fillId="0" borderId="53" xfId="0" applyFont="1" applyFill="1" applyBorder="1" applyAlignment="1">
      <alignment horizontal="center"/>
    </xf>
    <xf numFmtId="173" fontId="96" fillId="0" borderId="53" xfId="301" applyNumberFormat="1" applyFont="1" applyBorder="1" applyAlignment="1">
      <alignment horizontal="center"/>
    </xf>
    <xf numFmtId="0" fontId="96" fillId="0" borderId="1" xfId="0" quotePrefix="1" applyFont="1" applyBorder="1" applyAlignment="1">
      <alignment horizontal="left" wrapText="1"/>
    </xf>
    <xf numFmtId="173" fontId="96" fillId="33" borderId="1" xfId="301" applyNumberFormat="1" applyFont="1" applyFill="1" applyBorder="1" applyAlignment="1" applyProtection="1">
      <alignment horizontal="center" vertical="center"/>
      <protection locked="0"/>
    </xf>
    <xf numFmtId="0" fontId="96" fillId="0" borderId="1" xfId="0" applyFont="1" applyFill="1" applyBorder="1" applyAlignment="1"/>
    <xf numFmtId="171" fontId="96" fillId="0" borderId="1" xfId="0" applyNumberFormat="1" applyFont="1" applyBorder="1"/>
    <xf numFmtId="0" fontId="106" fillId="0" borderId="1" xfId="0" applyFont="1" applyFill="1" applyBorder="1"/>
    <xf numFmtId="174" fontId="96" fillId="0" borderId="1" xfId="301" applyNumberFormat="1" applyFont="1" applyFill="1" applyBorder="1"/>
    <xf numFmtId="173" fontId="96" fillId="33" borderId="1" xfId="301" applyNumberFormat="1" applyFont="1" applyFill="1" applyBorder="1" applyAlignment="1" applyProtection="1">
      <alignment horizontal="center" vertical="center" wrapText="1"/>
      <protection locked="0"/>
    </xf>
    <xf numFmtId="179" fontId="96" fillId="0" borderId="1" xfId="301" applyNumberFormat="1" applyFont="1" applyFill="1" applyBorder="1"/>
    <xf numFmtId="0" fontId="96" fillId="0" borderId="2" xfId="0" applyFont="1" applyBorder="1" applyAlignment="1">
      <alignment wrapText="1"/>
    </xf>
    <xf numFmtId="0" fontId="96" fillId="0" borderId="1" xfId="0" applyFont="1" applyBorder="1" applyAlignment="1">
      <alignment vertical="top" wrapText="1"/>
    </xf>
    <xf numFmtId="0" fontId="96" fillId="0" borderId="1" xfId="0" applyFont="1" applyBorder="1" applyAlignment="1">
      <alignment horizontal="left" wrapText="1"/>
    </xf>
    <xf numFmtId="0" fontId="96" fillId="0" borderId="16" xfId="0" applyFont="1" applyBorder="1"/>
    <xf numFmtId="0" fontId="106" fillId="25" borderId="63" xfId="0" applyFont="1" applyFill="1" applyBorder="1"/>
    <xf numFmtId="0" fontId="106" fillId="25" borderId="55" xfId="0" applyFont="1" applyFill="1" applyBorder="1"/>
    <xf numFmtId="0" fontId="96" fillId="25" borderId="55" xfId="0" applyFont="1" applyFill="1" applyBorder="1"/>
    <xf numFmtId="173" fontId="106" fillId="25" borderId="55" xfId="301" applyNumberFormat="1" applyFont="1" applyFill="1" applyBorder="1" applyAlignment="1">
      <alignment horizontal="center" vertical="center"/>
    </xf>
    <xf numFmtId="170" fontId="15" fillId="25" borderId="55" xfId="0" applyNumberFormat="1" applyFont="1" applyFill="1" applyBorder="1"/>
    <xf numFmtId="0" fontId="106" fillId="25" borderId="55" xfId="0" applyFont="1" applyFill="1" applyBorder="1" applyAlignment="1">
      <alignment horizontal="center" vertical="center"/>
    </xf>
    <xf numFmtId="173" fontId="106" fillId="25" borderId="55" xfId="301" applyNumberFormat="1" applyFont="1" applyFill="1" applyBorder="1" applyAlignment="1">
      <alignment horizontal="center" vertical="center" wrapText="1"/>
    </xf>
    <xf numFmtId="174" fontId="96" fillId="25" borderId="55" xfId="301" applyNumberFormat="1" applyFont="1" applyFill="1" applyBorder="1"/>
    <xf numFmtId="0" fontId="96" fillId="25" borderId="135" xfId="0" applyFont="1" applyFill="1" applyBorder="1"/>
    <xf numFmtId="0" fontId="96" fillId="25" borderId="62" xfId="0" applyFont="1" applyFill="1" applyBorder="1"/>
    <xf numFmtId="0" fontId="96" fillId="25" borderId="62" xfId="0" applyFont="1" applyFill="1" applyBorder="1" applyAlignment="1">
      <alignment horizontal="center"/>
    </xf>
    <xf numFmtId="0" fontId="106" fillId="25" borderId="62" xfId="0" applyFont="1" applyFill="1" applyBorder="1" applyAlignment="1">
      <alignment horizontal="center" wrapText="1"/>
    </xf>
    <xf numFmtId="174" fontId="106" fillId="25" borderId="62" xfId="301" applyNumberFormat="1" applyFont="1" applyFill="1" applyBorder="1" applyAlignment="1">
      <alignment horizontal="center" wrapText="1"/>
    </xf>
    <xf numFmtId="0" fontId="106" fillId="25" borderId="143" xfId="0" applyFont="1" applyFill="1" applyBorder="1" applyAlignment="1">
      <alignment horizontal="center" wrapText="1"/>
    </xf>
    <xf numFmtId="0" fontId="106" fillId="25" borderId="53" xfId="0" applyFont="1" applyFill="1" applyBorder="1" applyAlignment="1">
      <alignment horizontal="right"/>
    </xf>
    <xf numFmtId="168" fontId="106" fillId="25" borderId="58" xfId="301" applyNumberFormat="1" applyFont="1" applyFill="1" applyBorder="1" applyAlignment="1">
      <alignment horizontal="center"/>
    </xf>
    <xf numFmtId="0" fontId="106" fillId="25" borderId="1" xfId="0" applyFont="1" applyFill="1" applyBorder="1" applyAlignment="1">
      <alignment horizontal="right"/>
    </xf>
    <xf numFmtId="168" fontId="106" fillId="25" borderId="1" xfId="301" applyNumberFormat="1" applyFont="1" applyFill="1" applyBorder="1" applyAlignment="1">
      <alignment horizontal="center"/>
    </xf>
    <xf numFmtId="168" fontId="106" fillId="25" borderId="103" xfId="301" applyNumberFormat="1" applyFont="1" applyFill="1" applyBorder="1" applyAlignment="1">
      <alignment horizontal="center"/>
    </xf>
    <xf numFmtId="0" fontId="161" fillId="25" borderId="61" xfId="0" applyFont="1" applyFill="1" applyBorder="1" applyAlignment="1">
      <alignment wrapText="1"/>
    </xf>
    <xf numFmtId="0" fontId="106" fillId="25" borderId="62" xfId="0" applyFont="1" applyFill="1" applyBorder="1"/>
    <xf numFmtId="0" fontId="106" fillId="25" borderId="62" xfId="0" applyFont="1" applyFill="1" applyBorder="1" applyAlignment="1">
      <alignment horizontal="center"/>
    </xf>
    <xf numFmtId="0" fontId="106" fillId="25" borderId="35" xfId="0" applyFont="1" applyFill="1" applyBorder="1" applyAlignment="1">
      <alignment horizontal="left" vertical="center"/>
    </xf>
    <xf numFmtId="173" fontId="106" fillId="25" borderId="53" xfId="301" applyNumberFormat="1" applyFont="1" applyFill="1" applyBorder="1" applyAlignment="1">
      <alignment horizontal="center" vertical="center" wrapText="1"/>
    </xf>
    <xf numFmtId="173" fontId="106" fillId="25" borderId="58" xfId="301" applyNumberFormat="1" applyFont="1" applyFill="1" applyBorder="1" applyAlignment="1">
      <alignment horizontal="center" vertical="center" wrapText="1"/>
    </xf>
    <xf numFmtId="173" fontId="106" fillId="25" borderId="148" xfId="301" applyNumberFormat="1" applyFont="1" applyFill="1" applyBorder="1" applyAlignment="1">
      <alignment horizontal="center" vertical="center" wrapText="1"/>
    </xf>
    <xf numFmtId="0" fontId="106" fillId="25" borderId="53" xfId="0" applyFont="1" applyFill="1" applyBorder="1" applyAlignment="1">
      <alignment horizontal="center" vertical="center" wrapText="1"/>
    </xf>
    <xf numFmtId="0" fontId="96" fillId="25" borderId="53" xfId="0" applyFont="1" applyFill="1" applyBorder="1" applyAlignment="1">
      <alignment vertical="center"/>
    </xf>
    <xf numFmtId="0" fontId="96" fillId="25" borderId="53" xfId="0" applyFont="1" applyFill="1" applyBorder="1" applyAlignment="1">
      <alignment vertical="center" wrapText="1"/>
    </xf>
    <xf numFmtId="0" fontId="106" fillId="25" borderId="53" xfId="0" applyFont="1" applyFill="1" applyBorder="1" applyAlignment="1">
      <alignment horizontal="left" vertical="center" wrapText="1"/>
    </xf>
    <xf numFmtId="174" fontId="106" fillId="25" borderId="53" xfId="301" applyNumberFormat="1" applyFont="1" applyFill="1" applyBorder="1" applyAlignment="1">
      <alignment horizontal="center" vertical="center" wrapText="1"/>
    </xf>
    <xf numFmtId="0" fontId="106" fillId="25" borderId="58" xfId="0" applyFont="1" applyFill="1" applyBorder="1" applyAlignment="1">
      <alignment horizontal="center" vertical="center" wrapText="1"/>
    </xf>
    <xf numFmtId="0" fontId="96" fillId="0" borderId="16" xfId="0" applyFont="1" applyFill="1" applyBorder="1"/>
    <xf numFmtId="0" fontId="96" fillId="0" borderId="17" xfId="0" applyFont="1" applyFill="1" applyBorder="1"/>
    <xf numFmtId="173" fontId="96" fillId="0" borderId="16" xfId="301" applyNumberFormat="1" applyFont="1" applyFill="1" applyBorder="1"/>
    <xf numFmtId="174" fontId="96" fillId="0" borderId="16" xfId="301" applyNumberFormat="1" applyFont="1" applyFill="1" applyBorder="1"/>
    <xf numFmtId="0" fontId="16" fillId="0" borderId="0" xfId="0" applyFont="1" applyFill="1" applyBorder="1" applyAlignment="1">
      <alignment horizontal="center"/>
    </xf>
    <xf numFmtId="0" fontId="15" fillId="0" borderId="0" xfId="0" applyFont="1" applyFill="1" applyBorder="1"/>
    <xf numFmtId="171" fontId="15" fillId="0" borderId="0" xfId="0" applyNumberFormat="1" applyFont="1" applyFill="1" applyBorder="1"/>
    <xf numFmtId="170" fontId="15" fillId="0" borderId="0" xfId="0" applyNumberFormat="1" applyFont="1" applyFill="1" applyBorder="1"/>
    <xf numFmtId="0" fontId="118" fillId="23" borderId="35" xfId="0" applyFont="1" applyFill="1" applyBorder="1"/>
    <xf numFmtId="0" fontId="0" fillId="23" borderId="53" xfId="0" applyFill="1" applyBorder="1"/>
    <xf numFmtId="0" fontId="0" fillId="23" borderId="58" xfId="0" applyFill="1" applyBorder="1"/>
    <xf numFmtId="0" fontId="2" fillId="0" borderId="2" xfId="0" applyFont="1" applyBorder="1"/>
    <xf numFmtId="0" fontId="15" fillId="0" borderId="2" xfId="0" applyFont="1" applyBorder="1"/>
    <xf numFmtId="0" fontId="14" fillId="0" borderId="1" xfId="0" applyFont="1" applyFill="1" applyBorder="1" applyAlignment="1">
      <alignment horizontal="center"/>
    </xf>
    <xf numFmtId="0" fontId="16" fillId="0" borderId="1" xfId="0" applyFont="1" applyBorder="1" applyAlignment="1">
      <alignment horizontal="center"/>
    </xf>
    <xf numFmtId="0" fontId="16" fillId="0" borderId="1" xfId="0" applyFont="1" applyBorder="1"/>
    <xf numFmtId="0" fontId="16" fillId="0" borderId="2" xfId="0" applyFont="1" applyFill="1" applyBorder="1" applyAlignment="1">
      <alignment horizontal="left" indent="1"/>
    </xf>
    <xf numFmtId="171" fontId="16" fillId="0" borderId="1" xfId="0" applyNumberFormat="1" applyFont="1" applyBorder="1"/>
    <xf numFmtId="170" fontId="16" fillId="0" borderId="103" xfId="0" applyNumberFormat="1" applyFont="1" applyBorder="1"/>
    <xf numFmtId="0" fontId="16" fillId="0" borderId="2" xfId="0" applyFont="1" applyFill="1" applyBorder="1" applyAlignment="1">
      <alignment horizontal="left" indent="2"/>
    </xf>
    <xf numFmtId="3" fontId="14" fillId="0" borderId="1" xfId="0" applyNumberFormat="1" applyFont="1" applyFill="1" applyBorder="1" applyAlignment="1">
      <alignment horizontal="center"/>
    </xf>
    <xf numFmtId="0" fontId="16" fillId="0" borderId="2" xfId="0" applyFont="1" applyBorder="1" applyAlignment="1">
      <alignment horizontal="left" indent="1"/>
    </xf>
    <xf numFmtId="0" fontId="15" fillId="0" borderId="2" xfId="0" applyFont="1" applyFill="1" applyBorder="1" applyAlignment="1"/>
    <xf numFmtId="176" fontId="14" fillId="0" borderId="1" xfId="0" applyNumberFormat="1" applyFont="1" applyFill="1" applyBorder="1" applyAlignment="1" applyProtection="1">
      <alignment horizontal="center"/>
      <protection locked="0"/>
    </xf>
    <xf numFmtId="0" fontId="15" fillId="25" borderId="63" xfId="0" applyFont="1" applyFill="1" applyBorder="1"/>
    <xf numFmtId="0" fontId="14" fillId="25" borderId="55" xfId="0" applyFont="1" applyFill="1" applyBorder="1" applyAlignment="1">
      <alignment horizontal="center"/>
    </xf>
    <xf numFmtId="0" fontId="16" fillId="25" borderId="55" xfId="0" applyFont="1" applyFill="1" applyBorder="1" applyAlignment="1">
      <alignment horizontal="center"/>
    </xf>
    <xf numFmtId="173" fontId="15" fillId="25" borderId="55" xfId="301" applyNumberFormat="1" applyFont="1" applyFill="1" applyBorder="1"/>
    <xf numFmtId="0" fontId="15" fillId="25" borderId="55" xfId="0" applyFont="1" applyFill="1" applyBorder="1" applyAlignment="1">
      <alignment horizontal="center"/>
    </xf>
    <xf numFmtId="171" fontId="15" fillId="25" borderId="55" xfId="0" applyNumberFormat="1" applyFont="1" applyFill="1" applyBorder="1"/>
    <xf numFmtId="0" fontId="0" fillId="25" borderId="55" xfId="0" applyFill="1" applyBorder="1"/>
    <xf numFmtId="170" fontId="15" fillId="25" borderId="135" xfId="0" applyNumberFormat="1" applyFont="1" applyFill="1" applyBorder="1"/>
    <xf numFmtId="0" fontId="18" fillId="25" borderId="1" xfId="0" applyFont="1" applyFill="1" applyBorder="1" applyAlignment="1">
      <alignment horizontal="center" wrapText="1"/>
    </xf>
    <xf numFmtId="0" fontId="7" fillId="25" borderId="1" xfId="0" applyFont="1" applyFill="1" applyBorder="1"/>
    <xf numFmtId="0" fontId="18" fillId="25" borderId="103" xfId="0" applyFont="1" applyFill="1" applyBorder="1" applyAlignment="1">
      <alignment horizontal="center" wrapText="1"/>
    </xf>
    <xf numFmtId="0" fontId="14" fillId="23" borderId="53" xfId="0" applyFont="1" applyFill="1" applyBorder="1" applyAlignment="1">
      <alignment horizontal="center"/>
    </xf>
    <xf numFmtId="0" fontId="16" fillId="23" borderId="53" xfId="0" applyFont="1" applyFill="1" applyBorder="1" applyAlignment="1">
      <alignment horizontal="center"/>
    </xf>
    <xf numFmtId="173" fontId="15" fillId="23" borderId="53" xfId="301" applyNumberFormat="1" applyFont="1" applyFill="1" applyBorder="1"/>
    <xf numFmtId="0" fontId="15" fillId="23" borderId="53" xfId="0" applyFont="1" applyFill="1" applyBorder="1" applyAlignment="1">
      <alignment horizontal="center"/>
    </xf>
    <xf numFmtId="171" fontId="15" fillId="23" borderId="53" xfId="0" applyNumberFormat="1" applyFont="1" applyFill="1" applyBorder="1"/>
    <xf numFmtId="170" fontId="15" fillId="23" borderId="53" xfId="0" applyNumberFormat="1" applyFont="1" applyFill="1" applyBorder="1"/>
    <xf numFmtId="0" fontId="61" fillId="25" borderId="1" xfId="561" applyFont="1" applyFill="1" applyBorder="1" applyAlignment="1">
      <alignment vertical="center"/>
    </xf>
    <xf numFmtId="0" fontId="18" fillId="0" borderId="2" xfId="561" applyFont="1" applyFill="1" applyBorder="1"/>
    <xf numFmtId="0" fontId="17" fillId="0" borderId="1" xfId="561" applyFont="1" applyFill="1" applyBorder="1" applyAlignment="1">
      <alignment vertical="center"/>
    </xf>
    <xf numFmtId="0" fontId="16" fillId="0" borderId="2" xfId="561" applyFont="1" applyFill="1" applyBorder="1" applyAlignment="1">
      <alignment horizontal="left" indent="1"/>
    </xf>
    <xf numFmtId="0" fontId="16" fillId="0" borderId="1" xfId="561" applyFont="1" applyBorder="1" applyAlignment="1">
      <alignment horizontal="center" vertical="center"/>
    </xf>
    <xf numFmtId="170" fontId="14" fillId="0" borderId="103" xfId="561" applyNumberFormat="1" applyFont="1" applyBorder="1" applyAlignment="1">
      <alignment horizontal="right"/>
    </xf>
    <xf numFmtId="0" fontId="14" fillId="0" borderId="2" xfId="563" applyFont="1" applyFill="1" applyBorder="1" applyAlignment="1" applyProtection="1">
      <alignment horizontal="left" indent="1"/>
    </xf>
    <xf numFmtId="0" fontId="18" fillId="0" borderId="2" xfId="563" applyFont="1" applyFill="1" applyBorder="1" applyProtection="1"/>
    <xf numFmtId="3" fontId="16" fillId="23" borderId="1" xfId="301" applyNumberFormat="1" applyFont="1" applyFill="1" applyBorder="1" applyAlignment="1">
      <alignment horizontal="center"/>
    </xf>
    <xf numFmtId="166" fontId="16" fillId="0" borderId="1" xfId="599" applyNumberFormat="1" applyFont="1" applyBorder="1" applyAlignment="1">
      <alignment horizontal="center"/>
    </xf>
    <xf numFmtId="166" fontId="16" fillId="0" borderId="1" xfId="561" applyNumberFormat="1" applyFont="1" applyBorder="1" applyAlignment="1">
      <alignment horizontal="center"/>
    </xf>
    <xf numFmtId="0" fontId="16" fillId="0" borderId="1" xfId="561" applyFont="1" applyFill="1" applyBorder="1" applyAlignment="1">
      <alignment horizontal="center"/>
    </xf>
    <xf numFmtId="166" fontId="16" fillId="0" borderId="1" xfId="599" applyNumberFormat="1" applyFont="1" applyFill="1" applyBorder="1" applyAlignment="1">
      <alignment horizontal="center"/>
    </xf>
    <xf numFmtId="0" fontId="14" fillId="0" borderId="2" xfId="565" applyFont="1" applyFill="1" applyBorder="1" applyAlignment="1" applyProtection="1">
      <alignment horizontal="left" indent="1"/>
    </xf>
    <xf numFmtId="3" fontId="85" fillId="23" borderId="1" xfId="301" applyNumberFormat="1" applyFont="1" applyFill="1" applyBorder="1" applyAlignment="1" applyProtection="1">
      <alignment horizontal="center"/>
      <protection locked="0"/>
    </xf>
    <xf numFmtId="0" fontId="85" fillId="30" borderId="1" xfId="561" applyFont="1" applyFill="1" applyBorder="1" applyAlignment="1">
      <alignment horizontal="center"/>
    </xf>
    <xf numFmtId="3" fontId="85" fillId="30" borderId="1" xfId="301" applyNumberFormat="1" applyFont="1" applyFill="1" applyBorder="1" applyAlignment="1">
      <alignment horizontal="center"/>
    </xf>
    <xf numFmtId="173" fontId="85" fillId="30" borderId="1" xfId="301" applyNumberFormat="1" applyFont="1" applyFill="1" applyBorder="1" applyAlignment="1">
      <alignment horizontal="center"/>
    </xf>
    <xf numFmtId="2" fontId="85" fillId="30" borderId="1" xfId="599" applyNumberFormat="1" applyFont="1" applyFill="1" applyBorder="1" applyAlignment="1">
      <alignment horizontal="center"/>
    </xf>
    <xf numFmtId="170" fontId="85" fillId="30" borderId="1" xfId="599" applyNumberFormat="1" applyFont="1" applyFill="1" applyBorder="1" applyAlignment="1">
      <alignment horizontal="center" vertical="center"/>
    </xf>
    <xf numFmtId="0" fontId="85" fillId="30" borderId="1" xfId="573" applyFont="1" applyFill="1" applyBorder="1" applyAlignment="1">
      <alignment horizontal="center"/>
    </xf>
    <xf numFmtId="173" fontId="86" fillId="30" borderId="1" xfId="301" applyNumberFormat="1" applyFont="1" applyFill="1" applyBorder="1" applyAlignment="1">
      <alignment horizontal="center"/>
    </xf>
    <xf numFmtId="0" fontId="85" fillId="30" borderId="1" xfId="573" applyNumberFormat="1" applyFont="1" applyFill="1" applyBorder="1" applyAlignment="1">
      <alignment horizontal="center"/>
    </xf>
    <xf numFmtId="170" fontId="122" fillId="30" borderId="1" xfId="561" applyNumberFormat="1" applyFont="1" applyFill="1" applyBorder="1" applyAlignment="1">
      <alignment horizontal="right"/>
    </xf>
    <xf numFmtId="170" fontId="86" fillId="30" borderId="1" xfId="561" applyNumberFormat="1" applyFont="1" applyFill="1" applyBorder="1" applyAlignment="1">
      <alignment horizontal="right"/>
    </xf>
    <xf numFmtId="170" fontId="86" fillId="30" borderId="103" xfId="561" applyNumberFormat="1" applyFont="1" applyFill="1" applyBorder="1" applyAlignment="1">
      <alignment horizontal="right"/>
    </xf>
    <xf numFmtId="0" fontId="14" fillId="0" borderId="2" xfId="565" applyFont="1" applyFill="1" applyBorder="1" applyAlignment="1" applyProtection="1">
      <alignment horizontal="left" indent="2"/>
    </xf>
    <xf numFmtId="0" fontId="16" fillId="0" borderId="1" xfId="573" applyFont="1" applyFill="1" applyBorder="1" applyAlignment="1">
      <alignment horizontal="center"/>
    </xf>
    <xf numFmtId="0" fontId="16" fillId="0" borderId="1" xfId="573" applyNumberFormat="1" applyFont="1" applyBorder="1" applyAlignment="1">
      <alignment horizontal="center"/>
    </xf>
    <xf numFmtId="0" fontId="121" fillId="0" borderId="1" xfId="561" applyFont="1" applyBorder="1" applyAlignment="1">
      <alignment horizontal="center"/>
    </xf>
    <xf numFmtId="0" fontId="16" fillId="0" borderId="1" xfId="573" applyFont="1" applyBorder="1" applyAlignment="1">
      <alignment horizontal="center"/>
    </xf>
    <xf numFmtId="0" fontId="14" fillId="0" borderId="2" xfId="569" applyFont="1" applyFill="1" applyBorder="1" applyAlignment="1">
      <alignment horizontal="left" indent="1"/>
    </xf>
    <xf numFmtId="0" fontId="16" fillId="0" borderId="1" xfId="573" applyNumberFormat="1" applyFont="1" applyFill="1" applyBorder="1" applyAlignment="1">
      <alignment horizontal="center"/>
    </xf>
    <xf numFmtId="0" fontId="18" fillId="0" borderId="2" xfId="569" applyFont="1" applyFill="1" applyBorder="1"/>
    <xf numFmtId="0" fontId="18" fillId="0" borderId="129" xfId="561" applyFont="1" applyFill="1" applyBorder="1"/>
    <xf numFmtId="0" fontId="15" fillId="0" borderId="3" xfId="561" applyFont="1" applyFill="1" applyBorder="1" applyAlignment="1">
      <alignment horizontal="center" vertical="center" wrapText="1"/>
    </xf>
    <xf numFmtId="0" fontId="17" fillId="0" borderId="3" xfId="561" applyFont="1" applyFill="1" applyBorder="1" applyAlignment="1">
      <alignment vertical="center"/>
    </xf>
    <xf numFmtId="0" fontId="17" fillId="0" borderId="3" xfId="561" applyFont="1" applyFill="1" applyBorder="1" applyAlignment="1">
      <alignment horizontal="center" vertical="center"/>
    </xf>
    <xf numFmtId="0" fontId="16" fillId="0" borderId="3" xfId="561" applyFont="1" applyBorder="1" applyAlignment="1">
      <alignment horizontal="center"/>
    </xf>
    <xf numFmtId="170" fontId="90" fillId="0" borderId="3" xfId="573" applyNumberFormat="1" applyFont="1" applyFill="1" applyBorder="1" applyAlignment="1">
      <alignment horizontal="center" vertical="center" wrapText="1"/>
    </xf>
    <xf numFmtId="0" fontId="16" fillId="0" borderId="3" xfId="573" applyFont="1" applyBorder="1" applyAlignment="1">
      <alignment horizontal="center" vertical="center" wrapText="1"/>
    </xf>
    <xf numFmtId="0" fontId="14" fillId="0" borderId="3" xfId="561" applyFont="1" applyBorder="1" applyAlignment="1">
      <alignment horizontal="center"/>
    </xf>
    <xf numFmtId="0" fontId="15" fillId="0" borderId="3" xfId="573" applyFont="1" applyBorder="1" applyAlignment="1">
      <alignment horizontal="center" vertical="center" wrapText="1"/>
    </xf>
    <xf numFmtId="0" fontId="15" fillId="0" borderId="130" xfId="573" applyFont="1" applyBorder="1" applyAlignment="1">
      <alignment horizontal="center" vertical="center" wrapText="1"/>
    </xf>
    <xf numFmtId="0" fontId="119" fillId="0" borderId="63" xfId="561" applyFont="1" applyFill="1" applyBorder="1"/>
    <xf numFmtId="0" fontId="15" fillId="25" borderId="55" xfId="561" applyFont="1" applyFill="1" applyBorder="1" applyAlignment="1">
      <alignment horizontal="center" vertical="center" wrapText="1"/>
    </xf>
    <xf numFmtId="0" fontId="61" fillId="25" borderId="55" xfId="561" applyFont="1" applyFill="1" applyBorder="1" applyAlignment="1">
      <alignment vertical="center"/>
    </xf>
    <xf numFmtId="0" fontId="18" fillId="25" borderId="55" xfId="0" applyFont="1" applyFill="1" applyBorder="1" applyAlignment="1">
      <alignment horizontal="center" wrapText="1"/>
    </xf>
    <xf numFmtId="0" fontId="15" fillId="25" borderId="55" xfId="561" applyFont="1" applyFill="1" applyBorder="1" applyAlignment="1">
      <alignment horizontal="center"/>
    </xf>
    <xf numFmtId="0" fontId="15" fillId="25" borderId="55" xfId="573" applyFont="1" applyFill="1" applyBorder="1" applyAlignment="1">
      <alignment horizontal="center" vertical="center" wrapText="1"/>
    </xf>
    <xf numFmtId="0" fontId="15" fillId="25" borderId="135" xfId="573" applyFont="1" applyFill="1" applyBorder="1" applyAlignment="1">
      <alignment horizontal="center" vertical="center" wrapText="1"/>
    </xf>
    <xf numFmtId="0" fontId="15" fillId="25" borderId="63" xfId="561" applyFont="1" applyFill="1" applyBorder="1"/>
    <xf numFmtId="0" fontId="62" fillId="25" borderId="55" xfId="561" applyFill="1" applyBorder="1"/>
    <xf numFmtId="0" fontId="62" fillId="25" borderId="55" xfId="561" applyFill="1" applyBorder="1" applyAlignment="1">
      <alignment horizontal="center"/>
    </xf>
    <xf numFmtId="0" fontId="16" fillId="25" borderId="55" xfId="573" applyNumberFormat="1" applyFont="1" applyFill="1" applyBorder="1" applyAlignment="1">
      <alignment horizontal="center"/>
    </xf>
    <xf numFmtId="173" fontId="15" fillId="25" borderId="55" xfId="301" applyNumberFormat="1" applyFont="1" applyFill="1" applyBorder="1" applyAlignment="1">
      <alignment horizontal="center"/>
    </xf>
    <xf numFmtId="173" fontId="18" fillId="25" borderId="55" xfId="573" applyNumberFormat="1" applyFont="1" applyFill="1" applyBorder="1" applyAlignment="1">
      <alignment horizontal="center"/>
    </xf>
    <xf numFmtId="170" fontId="18" fillId="25" borderId="55" xfId="561" applyNumberFormat="1" applyFont="1" applyFill="1" applyBorder="1" applyAlignment="1">
      <alignment horizontal="right"/>
    </xf>
    <xf numFmtId="170" fontId="18" fillId="25" borderId="135" xfId="561" applyNumberFormat="1" applyFont="1" applyFill="1" applyBorder="1" applyAlignment="1">
      <alignment horizontal="right"/>
    </xf>
    <xf numFmtId="0" fontId="15" fillId="0" borderId="0" xfId="561" applyFont="1" applyFill="1" applyBorder="1"/>
    <xf numFmtId="0" fontId="62" fillId="0" borderId="0" xfId="561" applyFill="1" applyBorder="1" applyAlignment="1">
      <alignment horizontal="center"/>
    </xf>
    <xf numFmtId="173" fontId="15" fillId="0" borderId="0" xfId="301" applyNumberFormat="1" applyFont="1" applyFill="1" applyBorder="1" applyAlignment="1">
      <alignment horizontal="center"/>
    </xf>
    <xf numFmtId="173" fontId="18" fillId="0" borderId="0" xfId="573" applyNumberFormat="1" applyFont="1" applyFill="1" applyBorder="1" applyAlignment="1">
      <alignment horizontal="center"/>
    </xf>
    <xf numFmtId="170" fontId="18" fillId="0" borderId="0" xfId="561" applyNumberFormat="1" applyFont="1" applyFill="1" applyBorder="1" applyAlignment="1">
      <alignment horizontal="right"/>
    </xf>
    <xf numFmtId="0" fontId="62" fillId="0" borderId="2" xfId="561" applyFill="1" applyBorder="1"/>
    <xf numFmtId="176" fontId="15" fillId="0" borderId="1" xfId="561" applyNumberFormat="1" applyFont="1" applyFill="1" applyBorder="1" applyAlignment="1" applyProtection="1">
      <alignment horizontal="center" vertical="center" wrapText="1"/>
    </xf>
    <xf numFmtId="0" fontId="15" fillId="0" borderId="1" xfId="0" applyFont="1" applyFill="1" applyBorder="1"/>
    <xf numFmtId="0" fontId="62" fillId="0" borderId="1" xfId="561" applyBorder="1"/>
    <xf numFmtId="0" fontId="5" fillId="0" borderId="1" xfId="0" applyFont="1" applyBorder="1"/>
    <xf numFmtId="0" fontId="62" fillId="0" borderId="1" xfId="561" applyBorder="1" applyAlignment="1">
      <alignment horizontal="center"/>
    </xf>
    <xf numFmtId="43" fontId="62" fillId="0" borderId="1" xfId="561" applyNumberFormat="1" applyBorder="1"/>
    <xf numFmtId="43" fontId="62" fillId="0" borderId="103" xfId="561" applyNumberFormat="1" applyBorder="1"/>
    <xf numFmtId="0" fontId="62" fillId="0" borderId="1" xfId="561" applyFont="1" applyBorder="1"/>
    <xf numFmtId="169" fontId="16" fillId="0" borderId="103" xfId="301" applyNumberFormat="1" applyFont="1" applyBorder="1" applyAlignment="1">
      <alignment horizontal="center"/>
    </xf>
    <xf numFmtId="176" fontId="16" fillId="0" borderId="1" xfId="301" applyNumberFormat="1" applyFont="1" applyFill="1" applyBorder="1" applyAlignment="1" applyProtection="1">
      <alignment horizontal="center"/>
    </xf>
    <xf numFmtId="173" fontId="16" fillId="0" borderId="103" xfId="301" applyNumberFormat="1" applyFont="1" applyFill="1" applyBorder="1" applyAlignment="1">
      <alignment horizontal="center"/>
    </xf>
    <xf numFmtId="173" fontId="16" fillId="0" borderId="103" xfId="301" applyNumberFormat="1" applyFont="1" applyBorder="1" applyAlignment="1">
      <alignment horizontal="center"/>
    </xf>
    <xf numFmtId="176" fontId="85" fillId="30" borderId="1" xfId="301" applyNumberFormat="1" applyFont="1" applyFill="1" applyBorder="1" applyAlignment="1" applyProtection="1">
      <alignment horizontal="center"/>
    </xf>
    <xf numFmtId="0" fontId="123" fillId="30" borderId="1" xfId="561" applyFont="1" applyFill="1" applyBorder="1"/>
    <xf numFmtId="173" fontId="85" fillId="30" borderId="1" xfId="301" applyNumberFormat="1" applyFont="1" applyFill="1" applyBorder="1"/>
    <xf numFmtId="173" fontId="85" fillId="30" borderId="103" xfId="301" applyNumberFormat="1" applyFont="1" applyFill="1" applyBorder="1" applyAlignment="1">
      <alignment horizontal="center"/>
    </xf>
    <xf numFmtId="0" fontId="15" fillId="0" borderId="63" xfId="0" applyFont="1" applyBorder="1"/>
    <xf numFmtId="0" fontId="14" fillId="0" borderId="55" xfId="0" applyFont="1" applyFill="1" applyBorder="1" applyAlignment="1">
      <alignment horizontal="center"/>
    </xf>
    <xf numFmtId="0" fontId="16" fillId="0" borderId="55" xfId="0" applyFont="1" applyBorder="1" applyAlignment="1">
      <alignment horizontal="center"/>
    </xf>
    <xf numFmtId="173" fontId="15" fillId="0" borderId="55" xfId="301" applyNumberFormat="1" applyFont="1" applyBorder="1"/>
    <xf numFmtId="0" fontId="15" fillId="0" borderId="55" xfId="0" applyFont="1" applyBorder="1" applyAlignment="1">
      <alignment horizontal="center"/>
    </xf>
    <xf numFmtId="171" fontId="15" fillId="0" borderId="55" xfId="0" applyNumberFormat="1" applyFont="1" applyBorder="1"/>
    <xf numFmtId="170" fontId="15" fillId="0" borderId="55" xfId="0" applyNumberFormat="1" applyFont="1" applyBorder="1"/>
    <xf numFmtId="0" fontId="0" fillId="0" borderId="135" xfId="0" applyBorder="1"/>
    <xf numFmtId="0" fontId="15" fillId="25" borderId="2" xfId="561" applyFont="1" applyFill="1" applyBorder="1"/>
    <xf numFmtId="3" fontId="62" fillId="25" borderId="1" xfId="561" applyNumberFormat="1" applyFont="1" applyFill="1" applyBorder="1" applyAlignment="1">
      <alignment horizontal="center"/>
    </xf>
    <xf numFmtId="0" fontId="62" fillId="25" borderId="1" xfId="561" applyFill="1" applyBorder="1"/>
    <xf numFmtId="173" fontId="15" fillId="25" borderId="1" xfId="301" applyNumberFormat="1" applyFont="1" applyFill="1" applyBorder="1" applyAlignment="1">
      <alignment horizontal="center"/>
    </xf>
    <xf numFmtId="173" fontId="16" fillId="25" borderId="1" xfId="301" applyNumberFormat="1" applyFont="1" applyFill="1" applyBorder="1"/>
    <xf numFmtId="173" fontId="16" fillId="25" borderId="1" xfId="301" applyNumberFormat="1" applyFont="1" applyFill="1" applyBorder="1" applyAlignment="1">
      <alignment horizontal="center"/>
    </xf>
    <xf numFmtId="169" fontId="15" fillId="25" borderId="1" xfId="301" applyNumberFormat="1" applyFont="1" applyFill="1" applyBorder="1" applyAlignment="1">
      <alignment horizontal="center"/>
    </xf>
    <xf numFmtId="169" fontId="15" fillId="25" borderId="103" xfId="301" applyNumberFormat="1" applyFont="1" applyFill="1" applyBorder="1" applyAlignment="1">
      <alignment horizontal="center"/>
    </xf>
    <xf numFmtId="176" fontId="18" fillId="25" borderId="1" xfId="0" applyNumberFormat="1" applyFont="1" applyFill="1" applyBorder="1" applyAlignment="1" applyProtection="1">
      <alignment horizontal="center" wrapText="1"/>
    </xf>
    <xf numFmtId="0" fontId="119" fillId="25" borderId="1" xfId="561" applyFont="1" applyFill="1" applyBorder="1"/>
    <xf numFmtId="0" fontId="119" fillId="25" borderId="1" xfId="561" applyFont="1" applyFill="1" applyBorder="1" applyAlignment="1">
      <alignment horizontal="center"/>
    </xf>
    <xf numFmtId="0" fontId="0" fillId="0" borderId="42" xfId="0" applyBorder="1"/>
    <xf numFmtId="173" fontId="15" fillId="23" borderId="38" xfId="301" applyNumberFormat="1" applyFont="1" applyFill="1" applyBorder="1"/>
    <xf numFmtId="0" fontId="15" fillId="23" borderId="38" xfId="0" applyFont="1" applyFill="1" applyBorder="1" applyAlignment="1">
      <alignment horizontal="center"/>
    </xf>
    <xf numFmtId="171" fontId="15" fillId="23" borderId="38" xfId="0" applyNumberFormat="1" applyFont="1" applyFill="1" applyBorder="1"/>
    <xf numFmtId="170" fontId="15" fillId="23" borderId="38" xfId="0" applyNumberFormat="1" applyFont="1" applyFill="1" applyBorder="1"/>
    <xf numFmtId="0" fontId="0" fillId="23" borderId="38" xfId="0" applyFill="1" applyBorder="1"/>
    <xf numFmtId="0" fontId="0" fillId="23" borderId="46" xfId="0" applyFill="1" applyBorder="1"/>
    <xf numFmtId="174" fontId="106" fillId="0" borderId="53" xfId="301" applyNumberFormat="1" applyFont="1" applyFill="1" applyBorder="1" applyAlignment="1">
      <alignment horizontal="center"/>
    </xf>
    <xf numFmtId="168" fontId="106" fillId="0" borderId="53" xfId="301" applyNumberFormat="1" applyFont="1" applyFill="1" applyBorder="1" applyAlignment="1">
      <alignment horizontal="center"/>
    </xf>
    <xf numFmtId="174" fontId="106" fillId="0" borderId="1" xfId="301" applyNumberFormat="1" applyFont="1" applyFill="1" applyBorder="1" applyAlignment="1">
      <alignment horizontal="center"/>
    </xf>
    <xf numFmtId="168" fontId="106" fillId="0" borderId="1" xfId="301" applyNumberFormat="1" applyFont="1" applyFill="1" applyBorder="1" applyAlignment="1">
      <alignment horizontal="center"/>
    </xf>
    <xf numFmtId="173" fontId="15" fillId="23" borderId="25" xfId="301" applyNumberFormat="1" applyFont="1" applyFill="1" applyBorder="1"/>
    <xf numFmtId="173" fontId="96" fillId="0" borderId="60" xfId="301" applyNumberFormat="1" applyFont="1" applyFill="1" applyBorder="1" applyAlignment="1" applyProtection="1">
      <alignment horizontal="right"/>
    </xf>
    <xf numFmtId="0" fontId="96" fillId="0" borderId="60" xfId="0" applyFont="1" applyBorder="1" applyProtection="1"/>
    <xf numFmtId="0" fontId="106" fillId="0" borderId="60" xfId="0" applyFont="1" applyBorder="1" applyProtection="1"/>
    <xf numFmtId="0" fontId="96" fillId="0" borderId="60" xfId="0" applyFont="1" applyBorder="1"/>
    <xf numFmtId="0" fontId="96" fillId="0" borderId="125" xfId="0" applyFont="1" applyBorder="1"/>
    <xf numFmtId="173" fontId="96" fillId="0" borderId="3" xfId="301" applyNumberFormat="1" applyFont="1" applyFill="1" applyBorder="1" applyAlignment="1" applyProtection="1">
      <alignment horizontal="right"/>
    </xf>
    <xf numFmtId="0" fontId="96" fillId="0" borderId="3" xfId="0" applyFont="1" applyBorder="1"/>
    <xf numFmtId="0" fontId="96" fillId="0" borderId="130" xfId="0" applyFont="1" applyBorder="1"/>
    <xf numFmtId="173" fontId="106" fillId="25" borderId="62" xfId="301" applyNumberFormat="1" applyFont="1" applyFill="1" applyBorder="1" applyAlignment="1" applyProtection="1">
      <alignment horizontal="right"/>
    </xf>
    <xf numFmtId="0" fontId="106" fillId="25" borderId="62" xfId="0" applyFont="1" applyFill="1" applyBorder="1" applyProtection="1"/>
    <xf numFmtId="0" fontId="96" fillId="25" borderId="143" xfId="0" applyFont="1" applyFill="1" applyBorder="1"/>
    <xf numFmtId="173" fontId="96" fillId="0" borderId="34" xfId="301" applyNumberFormat="1" applyFont="1" applyFill="1" applyBorder="1" applyAlignment="1" applyProtection="1">
      <alignment horizontal="right"/>
    </xf>
    <xf numFmtId="0" fontId="106" fillId="0" borderId="34" xfId="0" applyFont="1" applyBorder="1" applyProtection="1"/>
    <xf numFmtId="0" fontId="96" fillId="0" borderId="34" xfId="0" applyFont="1" applyBorder="1"/>
    <xf numFmtId="0" fontId="96" fillId="0" borderId="149" xfId="0" applyFont="1" applyBorder="1"/>
    <xf numFmtId="9" fontId="96" fillId="0" borderId="105" xfId="599" applyFont="1" applyBorder="1" applyProtection="1"/>
    <xf numFmtId="0" fontId="96" fillId="0" borderId="105" xfId="0" applyFont="1" applyBorder="1" applyProtection="1"/>
    <xf numFmtId="0" fontId="96" fillId="0" borderId="105" xfId="0" applyFont="1" applyBorder="1"/>
    <xf numFmtId="0" fontId="96" fillId="0" borderId="150" xfId="0" applyFont="1" applyBorder="1"/>
    <xf numFmtId="43" fontId="96" fillId="0" borderId="0" xfId="0" applyNumberFormat="1" applyFont="1" applyProtection="1"/>
    <xf numFmtId="0" fontId="106" fillId="25" borderId="3" xfId="0" applyFont="1" applyFill="1" applyBorder="1" applyAlignment="1" applyProtection="1">
      <alignment horizontal="center" vertical="center" wrapText="1"/>
    </xf>
    <xf numFmtId="0" fontId="106" fillId="25" borderId="3" xfId="0" applyFont="1" applyFill="1" applyBorder="1" applyProtection="1"/>
    <xf numFmtId="0" fontId="106" fillId="25" borderId="151" xfId="0" applyFont="1" applyFill="1" applyBorder="1" applyAlignment="1" applyProtection="1">
      <alignment horizontal="center"/>
    </xf>
    <xf numFmtId="0" fontId="106" fillId="25" borderId="0" xfId="0" applyFont="1" applyFill="1" applyBorder="1" applyAlignment="1" applyProtection="1">
      <alignment horizontal="center"/>
    </xf>
    <xf numFmtId="0" fontId="106" fillId="0" borderId="2" xfId="565" applyFont="1" applyFill="1" applyBorder="1" applyAlignment="1" applyProtection="1">
      <alignment horizontal="left"/>
    </xf>
    <xf numFmtId="0" fontId="106" fillId="0" borderId="1" xfId="0" applyFont="1" applyFill="1" applyBorder="1" applyProtection="1"/>
    <xf numFmtId="0" fontId="106" fillId="0" borderId="1" xfId="565" applyFont="1" applyFill="1" applyBorder="1" applyAlignment="1" applyProtection="1">
      <alignment horizontal="right"/>
    </xf>
    <xf numFmtId="0" fontId="106" fillId="25" borderId="106" xfId="0" applyFont="1" applyFill="1" applyBorder="1" applyAlignment="1" applyProtection="1">
      <alignment horizontal="center" vertical="center" wrapText="1"/>
    </xf>
    <xf numFmtId="0" fontId="106" fillId="25" borderId="106" xfId="0" applyFont="1" applyFill="1" applyBorder="1" applyProtection="1"/>
    <xf numFmtId="0" fontId="96" fillId="36" borderId="143" xfId="0" applyFont="1" applyFill="1" applyBorder="1" applyProtection="1"/>
    <xf numFmtId="0" fontId="106" fillId="25" borderId="18" xfId="0" applyFont="1" applyFill="1" applyBorder="1" applyAlignment="1" applyProtection="1">
      <alignment horizontal="center" vertical="center" wrapText="1"/>
    </xf>
    <xf numFmtId="173" fontId="96" fillId="0" borderId="103" xfId="301" applyNumberFormat="1" applyFont="1" applyFill="1" applyBorder="1" applyAlignment="1" applyProtection="1">
      <alignment horizontal="center"/>
    </xf>
    <xf numFmtId="0" fontId="96" fillId="0" borderId="42" xfId="0" applyFont="1" applyBorder="1" applyProtection="1"/>
    <xf numFmtId="0" fontId="96" fillId="0" borderId="42" xfId="0" applyFont="1" applyFill="1" applyBorder="1" applyProtection="1"/>
    <xf numFmtId="0" fontId="106" fillId="0" borderId="152" xfId="565" applyFont="1" applyFill="1" applyBorder="1" applyAlignment="1" applyProtection="1"/>
    <xf numFmtId="0" fontId="96" fillId="0" borderId="43" xfId="0" applyFont="1" applyBorder="1" applyProtection="1"/>
    <xf numFmtId="0" fontId="96" fillId="0" borderId="25" xfId="0" applyFont="1" applyBorder="1" applyProtection="1"/>
    <xf numFmtId="0" fontId="96" fillId="0" borderId="14" xfId="0" applyFont="1" applyFill="1" applyBorder="1" applyProtection="1"/>
    <xf numFmtId="0" fontId="96" fillId="0" borderId="14" xfId="0" applyFont="1" applyBorder="1" applyProtection="1"/>
    <xf numFmtId="0" fontId="96" fillId="0" borderId="14" xfId="0" applyFont="1" applyBorder="1" applyAlignment="1" applyProtection="1">
      <alignment horizontal="center"/>
    </xf>
    <xf numFmtId="0" fontId="96" fillId="0" borderId="153" xfId="0" applyFont="1" applyBorder="1" applyProtection="1"/>
    <xf numFmtId="0" fontId="162" fillId="0" borderId="1" xfId="0" applyFont="1" applyFill="1" applyBorder="1" applyProtection="1"/>
    <xf numFmtId="0" fontId="161" fillId="0" borderId="30" xfId="0" applyFont="1" applyFill="1" applyBorder="1" applyAlignment="1" applyProtection="1">
      <alignment horizontal="right" vertical="center"/>
    </xf>
    <xf numFmtId="0" fontId="161" fillId="0" borderId="1" xfId="0" applyFont="1" applyBorder="1" applyAlignment="1" applyProtection="1">
      <alignment horizontal="center"/>
    </xf>
    <xf numFmtId="173" fontId="161" fillId="0" borderId="1" xfId="301" applyNumberFormat="1" applyFont="1" applyBorder="1" applyAlignment="1" applyProtection="1">
      <alignment horizontal="center"/>
    </xf>
    <xf numFmtId="0" fontId="161" fillId="0" borderId="1" xfId="0" applyFont="1" applyBorder="1" applyProtection="1"/>
    <xf numFmtId="169" fontId="161" fillId="0" borderId="1" xfId="301" applyNumberFormat="1" applyFont="1" applyBorder="1" applyAlignment="1">
      <alignment horizontal="center"/>
    </xf>
    <xf numFmtId="0" fontId="161" fillId="0" borderId="1" xfId="0" applyFont="1" applyFill="1" applyBorder="1" applyProtection="1"/>
    <xf numFmtId="0" fontId="162" fillId="0" borderId="1" xfId="0" applyFont="1" applyBorder="1" applyAlignment="1" applyProtection="1">
      <alignment horizontal="center"/>
    </xf>
    <xf numFmtId="173" fontId="161" fillId="0" borderId="1" xfId="301" applyNumberFormat="1" applyFont="1" applyFill="1" applyBorder="1" applyAlignment="1" applyProtection="1">
      <alignment horizontal="center"/>
    </xf>
    <xf numFmtId="0" fontId="162" fillId="0" borderId="1" xfId="0" applyFont="1" applyBorder="1" applyProtection="1"/>
    <xf numFmtId="0" fontId="63" fillId="23" borderId="35" xfId="0" applyFont="1" applyFill="1" applyBorder="1"/>
    <xf numFmtId="173" fontId="96" fillId="0" borderId="1" xfId="0" applyNumberFormat="1" applyFont="1" applyBorder="1"/>
    <xf numFmtId="0" fontId="96" fillId="0" borderId="2" xfId="0" applyFont="1" applyFill="1" applyBorder="1" applyAlignment="1">
      <alignment horizontal="left" indent="1"/>
    </xf>
    <xf numFmtId="0" fontId="96" fillId="0" borderId="1" xfId="0" quotePrefix="1" applyFont="1" applyFill="1" applyBorder="1" applyAlignment="1"/>
    <xf numFmtId="43" fontId="96" fillId="0" borderId="1" xfId="301" applyNumberFormat="1" applyFont="1" applyBorder="1"/>
    <xf numFmtId="43" fontId="96" fillId="0" borderId="1" xfId="301" applyFont="1" applyBorder="1" applyAlignment="1">
      <alignment horizontal="center"/>
    </xf>
    <xf numFmtId="43" fontId="96" fillId="34" borderId="1" xfId="301" applyNumberFormat="1" applyFont="1" applyFill="1" applyBorder="1" applyProtection="1">
      <protection locked="0"/>
    </xf>
    <xf numFmtId="0" fontId="96" fillId="0" borderId="2" xfId="0" applyFont="1" applyFill="1" applyBorder="1" applyAlignment="1" applyProtection="1">
      <alignment horizontal="left" indent="1"/>
      <protection locked="0"/>
    </xf>
    <xf numFmtId="0" fontId="106" fillId="0" borderId="2" xfId="0" applyFont="1" applyBorder="1"/>
    <xf numFmtId="0" fontId="106" fillId="0" borderId="1" xfId="0" applyFont="1" applyBorder="1"/>
    <xf numFmtId="3" fontId="96" fillId="0" borderId="1" xfId="0" applyNumberFormat="1" applyFont="1" applyFill="1" applyBorder="1" applyAlignment="1">
      <alignment horizontal="center"/>
    </xf>
    <xf numFmtId="0" fontId="106" fillId="25" borderId="1" xfId="0" applyFont="1" applyFill="1" applyBorder="1" applyAlignment="1">
      <alignment horizontal="center"/>
    </xf>
    <xf numFmtId="0" fontId="106" fillId="25" borderId="1" xfId="0" applyFont="1" applyFill="1" applyBorder="1" applyAlignment="1">
      <alignment horizontal="center" wrapText="1"/>
    </xf>
    <xf numFmtId="0" fontId="106" fillId="25" borderId="1" xfId="0" applyFont="1" applyFill="1" applyBorder="1"/>
    <xf numFmtId="173" fontId="106" fillId="25" borderId="1" xfId="0" applyNumberFormat="1" applyFont="1" applyFill="1" applyBorder="1" applyAlignment="1">
      <alignment horizontal="center" wrapText="1"/>
    </xf>
    <xf numFmtId="173" fontId="106" fillId="25" borderId="1" xfId="301" applyNumberFormat="1" applyFont="1" applyFill="1" applyBorder="1" applyAlignment="1">
      <alignment horizontal="center" wrapText="1"/>
    </xf>
    <xf numFmtId="0" fontId="106" fillId="25" borderId="2" xfId="0" applyFont="1" applyFill="1" applyBorder="1" applyAlignment="1">
      <alignment horizontal="left"/>
    </xf>
    <xf numFmtId="0" fontId="0" fillId="23" borderId="54" xfId="0" applyFill="1" applyBorder="1"/>
    <xf numFmtId="0" fontId="106" fillId="25" borderId="30" xfId="0" applyFont="1" applyFill="1" applyBorder="1" applyAlignment="1">
      <alignment horizontal="center" wrapText="1"/>
    </xf>
    <xf numFmtId="0" fontId="96" fillId="0" borderId="30" xfId="0" applyFont="1" applyBorder="1"/>
    <xf numFmtId="184" fontId="96" fillId="0" borderId="30" xfId="301" applyNumberFormat="1" applyFont="1" applyBorder="1" applyAlignment="1">
      <alignment horizontal="center"/>
    </xf>
    <xf numFmtId="0" fontId="96" fillId="0" borderId="42" xfId="0" applyFont="1" applyBorder="1"/>
    <xf numFmtId="0" fontId="0" fillId="0" borderId="42" xfId="0" applyFill="1" applyBorder="1"/>
    <xf numFmtId="0" fontId="0" fillId="0" borderId="46" xfId="0" applyFill="1" applyBorder="1"/>
    <xf numFmtId="0" fontId="106" fillId="25" borderId="103" xfId="0" applyFont="1" applyFill="1" applyBorder="1" applyAlignment="1">
      <alignment horizontal="center" wrapText="1"/>
    </xf>
    <xf numFmtId="190" fontId="96" fillId="0" borderId="103" xfId="0" applyNumberFormat="1" applyFont="1" applyBorder="1"/>
    <xf numFmtId="167" fontId="96" fillId="0" borderId="1" xfId="301" applyNumberFormat="1" applyFont="1" applyBorder="1"/>
    <xf numFmtId="0" fontId="63" fillId="23" borderId="148" xfId="0" applyFont="1" applyFill="1" applyBorder="1"/>
    <xf numFmtId="0" fontId="106" fillId="25" borderId="40" xfId="0" applyFont="1" applyFill="1" applyBorder="1" applyAlignment="1">
      <alignment horizontal="left"/>
    </xf>
    <xf numFmtId="0" fontId="96" fillId="0" borderId="40" xfId="0" applyFont="1" applyBorder="1"/>
    <xf numFmtId="0" fontId="96" fillId="0" borderId="40" xfId="0" applyFont="1" applyFill="1" applyBorder="1" applyAlignment="1">
      <alignment horizontal="left" indent="1"/>
    </xf>
    <xf numFmtId="0" fontId="106" fillId="0" borderId="40" xfId="0" applyFont="1" applyBorder="1"/>
    <xf numFmtId="0" fontId="15" fillId="0" borderId="142" xfId="0" applyFont="1" applyBorder="1"/>
    <xf numFmtId="0" fontId="129" fillId="0" borderId="18" xfId="0" applyFont="1" applyFill="1" applyBorder="1"/>
    <xf numFmtId="0" fontId="129" fillId="0" borderId="18" xfId="0" applyFont="1" applyBorder="1"/>
    <xf numFmtId="0" fontId="106" fillId="25" borderId="63" xfId="565" applyFont="1" applyFill="1" applyBorder="1" applyAlignment="1" applyProtection="1"/>
    <xf numFmtId="173" fontId="96" fillId="25" borderId="55" xfId="301" applyNumberFormat="1" applyFont="1" applyFill="1" applyBorder="1" applyAlignment="1" applyProtection="1">
      <alignment horizontal="center"/>
    </xf>
    <xf numFmtId="0" fontId="96" fillId="25" borderId="55" xfId="0" applyFont="1" applyFill="1" applyBorder="1" applyAlignment="1" applyProtection="1">
      <alignment horizontal="center"/>
    </xf>
    <xf numFmtId="173" fontId="106" fillId="25" borderId="55" xfId="301" applyNumberFormat="1" applyFont="1" applyFill="1" applyBorder="1" applyAlignment="1" applyProtection="1">
      <alignment horizontal="center"/>
    </xf>
    <xf numFmtId="0" fontId="96" fillId="25" borderId="55" xfId="0" applyFont="1" applyFill="1" applyBorder="1" applyProtection="1"/>
    <xf numFmtId="3" fontId="106" fillId="25" borderId="55" xfId="301" applyNumberFormat="1" applyFont="1" applyFill="1" applyBorder="1" applyAlignment="1" applyProtection="1">
      <alignment horizontal="center"/>
    </xf>
    <xf numFmtId="173" fontId="106" fillId="25" borderId="135" xfId="301" applyNumberFormat="1" applyFont="1" applyFill="1" applyBorder="1" applyAlignment="1" applyProtection="1">
      <alignment horizontal="center"/>
    </xf>
    <xf numFmtId="0" fontId="96" fillId="25" borderId="55" xfId="0" applyFont="1" applyFill="1" applyBorder="1" applyAlignment="1">
      <alignment horizontal="center"/>
    </xf>
    <xf numFmtId="173" fontId="106" fillId="25" borderId="55" xfId="301" applyNumberFormat="1" applyFont="1" applyFill="1" applyBorder="1"/>
    <xf numFmtId="0" fontId="106" fillId="25" borderId="55" xfId="0" applyFont="1" applyFill="1" applyBorder="1" applyAlignment="1">
      <alignment horizontal="center"/>
    </xf>
    <xf numFmtId="170" fontId="106" fillId="25" borderId="55" xfId="0" applyNumberFormat="1" applyFont="1" applyFill="1" applyBorder="1"/>
    <xf numFmtId="173" fontId="106" fillId="25" borderId="55" xfId="0" applyNumberFormat="1" applyFont="1" applyFill="1" applyBorder="1"/>
    <xf numFmtId="170" fontId="106" fillId="25" borderId="56" xfId="0" applyNumberFormat="1" applyFont="1" applyFill="1" applyBorder="1"/>
    <xf numFmtId="0" fontId="106" fillId="25" borderId="40" xfId="0" applyFont="1" applyFill="1" applyBorder="1"/>
    <xf numFmtId="0" fontId="96" fillId="25" borderId="1" xfId="0" applyFont="1" applyFill="1" applyBorder="1" applyAlignment="1">
      <alignment horizontal="center"/>
    </xf>
    <xf numFmtId="173" fontId="106" fillId="25" borderId="1" xfId="301" applyNumberFormat="1" applyFont="1" applyFill="1" applyBorder="1"/>
    <xf numFmtId="170" fontId="106" fillId="25" borderId="1" xfId="0" applyNumberFormat="1" applyFont="1" applyFill="1" applyBorder="1"/>
    <xf numFmtId="43" fontId="106" fillId="25" borderId="1" xfId="301" applyFont="1" applyFill="1" applyBorder="1"/>
    <xf numFmtId="167" fontId="106" fillId="25" borderId="1" xfId="301" applyNumberFormat="1" applyFont="1" applyFill="1" applyBorder="1"/>
    <xf numFmtId="179" fontId="106" fillId="25" borderId="1" xfId="0" applyNumberFormat="1" applyFont="1" applyFill="1" applyBorder="1"/>
    <xf numFmtId="179" fontId="106" fillId="25" borderId="103" xfId="0" applyNumberFormat="1" applyFont="1" applyFill="1" applyBorder="1"/>
    <xf numFmtId="0" fontId="137" fillId="23" borderId="44" xfId="0" applyFont="1" applyFill="1" applyBorder="1" applyAlignment="1">
      <alignment horizontal="left"/>
    </xf>
    <xf numFmtId="0" fontId="137" fillId="23" borderId="38" xfId="0" applyFont="1" applyFill="1" applyBorder="1" applyAlignment="1">
      <alignment horizontal="center"/>
    </xf>
    <xf numFmtId="0" fontId="137" fillId="23" borderId="46" xfId="0" applyFont="1" applyFill="1" applyBorder="1" applyAlignment="1">
      <alignment horizontal="center"/>
    </xf>
    <xf numFmtId="0" fontId="138" fillId="25" borderId="96" xfId="0" applyFont="1" applyFill="1" applyBorder="1"/>
    <xf numFmtId="0" fontId="138" fillId="25" borderId="97" xfId="0" applyFont="1" applyFill="1" applyBorder="1" applyAlignment="1">
      <alignment horizontal="center" wrapText="1"/>
    </xf>
    <xf numFmtId="0" fontId="137" fillId="25" borderId="97" xfId="0" applyFont="1" applyFill="1" applyBorder="1"/>
    <xf numFmtId="0" fontId="138" fillId="25" borderId="154" xfId="0" applyFont="1" applyFill="1" applyBorder="1" applyAlignment="1">
      <alignment horizontal="center" vertical="center" wrapText="1"/>
    </xf>
    <xf numFmtId="0" fontId="137" fillId="0" borderId="99" xfId="0" applyFont="1" applyFill="1" applyBorder="1"/>
    <xf numFmtId="170" fontId="137" fillId="0" borderId="1" xfId="301" applyNumberFormat="1" applyFont="1" applyFill="1" applyBorder="1"/>
    <xf numFmtId="182" fontId="137" fillId="0" borderId="1" xfId="301" applyNumberFormat="1" applyFont="1" applyFill="1" applyBorder="1"/>
    <xf numFmtId="170" fontId="137" fillId="0" borderId="155" xfId="0" applyNumberFormat="1" applyFont="1" applyBorder="1" applyAlignment="1">
      <alignment horizontal="center"/>
    </xf>
    <xf numFmtId="167" fontId="137" fillId="0" borderId="1" xfId="301" applyNumberFormat="1" applyFont="1" applyFill="1" applyBorder="1"/>
    <xf numFmtId="0" fontId="138" fillId="25" borderId="99" xfId="0" applyFont="1" applyFill="1" applyBorder="1"/>
    <xf numFmtId="167" fontId="138" fillId="25" borderId="1" xfId="301" applyNumberFormat="1" applyFont="1" applyFill="1" applyBorder="1"/>
    <xf numFmtId="170" fontId="138" fillId="25" borderId="155" xfId="0" applyNumberFormat="1" applyFont="1" applyFill="1" applyBorder="1" applyAlignment="1">
      <alignment horizontal="center"/>
    </xf>
    <xf numFmtId="0" fontId="138" fillId="0" borderId="99" xfId="0" applyFont="1" applyFill="1" applyBorder="1"/>
    <xf numFmtId="0" fontId="137" fillId="0" borderId="1" xfId="0" applyFont="1" applyFill="1" applyBorder="1"/>
    <xf numFmtId="0" fontId="137" fillId="0" borderId="155" xfId="0" applyFont="1" applyBorder="1" applyAlignment="1">
      <alignment horizontal="center"/>
    </xf>
    <xf numFmtId="0" fontId="138" fillId="25" borderId="99" xfId="0" applyFont="1" applyFill="1" applyBorder="1" applyAlignment="1">
      <alignment wrapText="1"/>
    </xf>
    <xf numFmtId="0" fontId="138" fillId="25" borderId="1" xfId="0" applyFont="1" applyFill="1" applyBorder="1"/>
    <xf numFmtId="0" fontId="138" fillId="25" borderId="155" xfId="0" applyFont="1" applyFill="1" applyBorder="1" applyAlignment="1">
      <alignment horizontal="center" vertical="center" wrapText="1"/>
    </xf>
    <xf numFmtId="167" fontId="138" fillId="0" borderId="1" xfId="301" applyNumberFormat="1" applyFont="1" applyFill="1" applyBorder="1"/>
    <xf numFmtId="170" fontId="138" fillId="0" borderId="155" xfId="0" applyNumberFormat="1" applyFont="1" applyBorder="1" applyAlignment="1">
      <alignment horizontal="center"/>
    </xf>
    <xf numFmtId="0" fontId="137" fillId="0" borderId="99" xfId="0" applyFont="1" applyFill="1" applyBorder="1" applyAlignment="1">
      <alignment horizontal="left" indent="2"/>
    </xf>
    <xf numFmtId="0" fontId="138" fillId="0" borderId="99" xfId="0" applyFont="1" applyFill="1" applyBorder="1" applyAlignment="1">
      <alignment horizontal="left"/>
    </xf>
    <xf numFmtId="0" fontId="137" fillId="0" borderId="99" xfId="0" applyFont="1" applyBorder="1"/>
    <xf numFmtId="0" fontId="137" fillId="0" borderId="1" xfId="0" applyFont="1" applyBorder="1"/>
    <xf numFmtId="0" fontId="137" fillId="0" borderId="155" xfId="0" applyFont="1" applyBorder="1"/>
    <xf numFmtId="0" fontId="138" fillId="25" borderId="155" xfId="0" applyFont="1" applyFill="1" applyBorder="1"/>
    <xf numFmtId="0" fontId="138" fillId="0" borderId="99" xfId="0" applyFont="1" applyBorder="1"/>
    <xf numFmtId="173" fontId="138" fillId="0" borderId="1" xfId="301" applyNumberFormat="1" applyFont="1" applyBorder="1"/>
    <xf numFmtId="173" fontId="138" fillId="0" borderId="155" xfId="0" applyNumberFormat="1" applyFont="1" applyBorder="1"/>
    <xf numFmtId="0" fontId="137" fillId="0" borderId="99" xfId="0" applyFont="1" applyBorder="1" applyAlignment="1">
      <alignment horizontal="left" indent="1"/>
    </xf>
    <xf numFmtId="173" fontId="137" fillId="0" borderId="1" xfId="301" applyNumberFormat="1" applyFont="1" applyBorder="1"/>
    <xf numFmtId="173" fontId="137" fillId="0" borderId="155" xfId="0" applyNumberFormat="1" applyFont="1" applyBorder="1"/>
    <xf numFmtId="174" fontId="137" fillId="0" borderId="155" xfId="0" applyNumberFormat="1" applyFont="1" applyBorder="1"/>
    <xf numFmtId="173" fontId="137" fillId="0" borderId="155" xfId="301" applyNumberFormat="1" applyFont="1" applyBorder="1"/>
    <xf numFmtId="0" fontId="140" fillId="0" borderId="99" xfId="0" applyFont="1" applyBorder="1" applyAlignment="1">
      <alignment horizontal="left" indent="2"/>
    </xf>
    <xf numFmtId="173" fontId="138" fillId="0" borderId="55" xfId="301" applyNumberFormat="1" applyFont="1" applyBorder="1"/>
    <xf numFmtId="173" fontId="138" fillId="0" borderId="156" xfId="0" applyNumberFormat="1" applyFont="1" applyBorder="1"/>
    <xf numFmtId="0" fontId="138" fillId="25" borderId="157" xfId="0" applyFont="1" applyFill="1" applyBorder="1"/>
    <xf numFmtId="173" fontId="138" fillId="25" borderId="55" xfId="301" applyNumberFormat="1" applyFont="1" applyFill="1" applyBorder="1"/>
    <xf numFmtId="0" fontId="97" fillId="0" borderId="158" xfId="562" applyFont="1" applyFill="1" applyBorder="1" applyAlignment="1">
      <alignment horizontal="left" wrapText="1" indent="1"/>
    </xf>
    <xf numFmtId="0" fontId="131" fillId="0" borderId="159" xfId="0" applyFont="1" applyBorder="1"/>
    <xf numFmtId="0" fontId="131" fillId="0" borderId="160" xfId="0" applyFont="1" applyBorder="1"/>
    <xf numFmtId="0" fontId="135" fillId="0" borderId="161" xfId="0" applyFont="1" applyBorder="1"/>
    <xf numFmtId="0" fontId="131" fillId="0" borderId="161" xfId="0" applyFont="1" applyBorder="1" applyAlignment="1">
      <alignment horizontal="left" indent="4"/>
    </xf>
    <xf numFmtId="0" fontId="131" fillId="0" borderId="162" xfId="0" applyFont="1" applyBorder="1"/>
    <xf numFmtId="0" fontId="131" fillId="0" borderId="160" xfId="0" applyFont="1" applyBorder="1" applyAlignment="1">
      <alignment horizontal="left" indent="2"/>
    </xf>
    <xf numFmtId="0" fontId="131" fillId="0" borderId="161" xfId="0" applyFont="1" applyBorder="1" applyAlignment="1">
      <alignment horizontal="left" indent="2"/>
    </xf>
    <xf numFmtId="0" fontId="131" fillId="0" borderId="161" xfId="0" applyFont="1" applyBorder="1" applyAlignment="1">
      <alignment horizontal="left" indent="3"/>
    </xf>
    <xf numFmtId="0" fontId="131" fillId="0" borderId="162" xfId="0" applyFont="1" applyBorder="1" applyAlignment="1">
      <alignment horizontal="left" indent="3"/>
    </xf>
    <xf numFmtId="0" fontId="130" fillId="0" borderId="159" xfId="0" applyFont="1" applyBorder="1" applyAlignment="1"/>
    <xf numFmtId="0" fontId="131" fillId="0" borderId="161" xfId="0" applyFont="1" applyBorder="1"/>
    <xf numFmtId="0" fontId="131" fillId="0" borderId="161" xfId="0" applyFont="1" applyBorder="1" applyAlignment="1">
      <alignment horizontal="left"/>
    </xf>
    <xf numFmtId="0" fontId="135" fillId="0" borderId="163" xfId="0" applyFont="1" applyBorder="1"/>
    <xf numFmtId="0" fontId="135" fillId="0" borderId="160" xfId="0" applyFont="1" applyBorder="1"/>
    <xf numFmtId="1" fontId="130" fillId="36" borderId="78" xfId="0" applyNumberFormat="1" applyFont="1" applyFill="1" applyBorder="1" applyAlignment="1">
      <alignment horizontal="center"/>
    </xf>
    <xf numFmtId="181" fontId="130" fillId="36" borderId="36" xfId="0" applyNumberFormat="1" applyFont="1" applyFill="1" applyBorder="1" applyAlignment="1">
      <alignment horizontal="center"/>
    </xf>
    <xf numFmtId="181" fontId="130" fillId="0" borderId="164" xfId="0" applyNumberFormat="1" applyFont="1" applyBorder="1" applyAlignment="1">
      <alignment horizontal="center"/>
    </xf>
    <xf numFmtId="181" fontId="131" fillId="0" borderId="36" xfId="0" applyNumberFormat="1" applyFont="1" applyBorder="1"/>
    <xf numFmtId="181" fontId="130" fillId="36" borderId="164" xfId="0" applyNumberFormat="1" applyFont="1" applyFill="1" applyBorder="1" applyAlignment="1">
      <alignment horizontal="center"/>
    </xf>
    <xf numFmtId="181" fontId="130" fillId="36" borderId="164" xfId="0" applyNumberFormat="1" applyFont="1" applyFill="1" applyBorder="1" applyAlignment="1">
      <alignment horizontal="center" wrapText="1"/>
    </xf>
    <xf numFmtId="181" fontId="131" fillId="0" borderId="164" xfId="0" applyNumberFormat="1" applyFont="1" applyBorder="1"/>
    <xf numFmtId="181" fontId="131" fillId="36" borderId="164" xfId="0" applyNumberFormat="1" applyFont="1" applyFill="1" applyBorder="1" applyAlignment="1">
      <alignment horizontal="center"/>
    </xf>
    <xf numFmtId="181" fontId="131" fillId="0" borderId="36" xfId="0" applyNumberFormat="1" applyFont="1" applyBorder="1" applyAlignment="1">
      <alignment horizontal="center"/>
    </xf>
    <xf numFmtId="0" fontId="0" fillId="0" borderId="63" xfId="0" applyBorder="1"/>
    <xf numFmtId="0" fontId="23" fillId="38" borderId="97" xfId="0" applyFont="1" applyFill="1" applyBorder="1" applyAlignment="1">
      <alignment horizontal="center" vertical="top" wrapText="1"/>
    </xf>
    <xf numFmtId="0" fontId="0" fillId="38" borderId="165" xfId="0" applyFill="1" applyBorder="1"/>
    <xf numFmtId="0" fontId="23" fillId="38" borderId="166" xfId="0" applyFont="1" applyFill="1" applyBorder="1" applyAlignment="1">
      <alignment horizontal="center" vertical="top" wrapText="1"/>
    </xf>
    <xf numFmtId="0" fontId="149" fillId="25" borderId="1" xfId="0" applyFont="1" applyFill="1" applyBorder="1" applyAlignment="1">
      <alignment wrapText="1"/>
    </xf>
    <xf numFmtId="0" fontId="149" fillId="25" borderId="39" xfId="0" applyFont="1" applyFill="1" applyBorder="1" applyAlignment="1">
      <alignment wrapText="1"/>
    </xf>
    <xf numFmtId="194" fontId="149" fillId="25" borderId="60" xfId="301" applyNumberFormat="1" applyFont="1" applyFill="1" applyBorder="1" applyAlignment="1">
      <alignment wrapText="1"/>
    </xf>
    <xf numFmtId="0" fontId="0" fillId="25" borderId="0" xfId="0" applyFill="1" applyBorder="1"/>
    <xf numFmtId="196" fontId="150" fillId="25" borderId="60" xfId="301" applyNumberFormat="1" applyFont="1" applyFill="1" applyBorder="1" applyAlignment="1">
      <alignment wrapText="1"/>
    </xf>
    <xf numFmtId="194" fontId="150" fillId="25" borderId="60" xfId="301" applyNumberFormat="1" applyFont="1" applyFill="1" applyBorder="1" applyAlignment="1">
      <alignment wrapText="1"/>
    </xf>
    <xf numFmtId="195" fontId="150" fillId="25" borderId="111" xfId="301" applyNumberFormat="1" applyFont="1" applyFill="1" applyBorder="1" applyAlignment="1">
      <alignment wrapText="1"/>
    </xf>
    <xf numFmtId="0" fontId="23" fillId="23" borderId="118" xfId="0" applyFont="1" applyFill="1" applyBorder="1" applyAlignment="1">
      <alignment horizontal="left" wrapText="1"/>
    </xf>
    <xf numFmtId="194" fontId="149" fillId="23" borderId="167" xfId="301" applyNumberFormat="1" applyFont="1" applyFill="1" applyBorder="1" applyAlignment="1">
      <alignment wrapText="1"/>
    </xf>
    <xf numFmtId="195" fontId="149" fillId="23" borderId="167" xfId="301" applyNumberFormat="1" applyFont="1" applyFill="1" applyBorder="1" applyAlignment="1">
      <alignment wrapText="1"/>
    </xf>
    <xf numFmtId="173" fontId="95" fillId="23" borderId="167" xfId="301" applyNumberFormat="1" applyFont="1" applyFill="1" applyBorder="1"/>
    <xf numFmtId="196" fontId="150" fillId="23" borderId="167" xfId="301" applyNumberFormat="1" applyFont="1" applyFill="1" applyBorder="1" applyAlignment="1">
      <alignment wrapText="1"/>
    </xf>
    <xf numFmtId="196" fontId="150" fillId="23" borderId="168" xfId="301" applyNumberFormat="1" applyFont="1" applyFill="1" applyBorder="1" applyAlignment="1">
      <alignment wrapText="1"/>
    </xf>
    <xf numFmtId="0" fontId="23" fillId="23" borderId="114" xfId="0" applyFont="1" applyFill="1" applyBorder="1" applyAlignment="1">
      <alignment horizontal="left" wrapText="1"/>
    </xf>
    <xf numFmtId="0" fontId="0" fillId="23" borderId="62" xfId="0" applyFill="1" applyBorder="1"/>
    <xf numFmtId="0" fontId="23" fillId="23" borderId="114" xfId="0" applyFont="1" applyFill="1" applyBorder="1" applyAlignment="1">
      <alignment horizontal="center" wrapText="1"/>
    </xf>
    <xf numFmtId="194" fontId="149" fillId="23" borderId="62" xfId="301" applyNumberFormat="1" applyFont="1" applyFill="1" applyBorder="1" applyAlignment="1">
      <alignment wrapText="1"/>
    </xf>
    <xf numFmtId="196" fontId="150" fillId="23" borderId="62" xfId="301" applyNumberFormat="1" applyFont="1" applyFill="1" applyBorder="1" applyAlignment="1">
      <alignment wrapText="1"/>
    </xf>
    <xf numFmtId="195" fontId="150" fillId="23" borderId="115" xfId="301" applyNumberFormat="1" applyFont="1" applyFill="1" applyBorder="1" applyAlignment="1">
      <alignment wrapText="1"/>
    </xf>
    <xf numFmtId="194" fontId="150" fillId="40" borderId="34" xfId="301" applyNumberFormat="1" applyFont="1" applyFill="1" applyBorder="1" applyAlignment="1">
      <alignment wrapText="1"/>
    </xf>
    <xf numFmtId="0" fontId="23" fillId="40" borderId="112" xfId="0" applyFont="1" applyFill="1" applyBorder="1" applyAlignment="1">
      <alignment horizontal="left" wrapText="1"/>
    </xf>
    <xf numFmtId="194" fontId="149" fillId="40" borderId="34" xfId="301" applyNumberFormat="1" applyFont="1" applyFill="1" applyBorder="1" applyAlignment="1">
      <alignment wrapText="1"/>
    </xf>
    <xf numFmtId="195" fontId="150" fillId="40" borderId="34" xfId="301" applyNumberFormat="1" applyFont="1" applyFill="1" applyBorder="1" applyAlignment="1">
      <alignment wrapText="1"/>
    </xf>
    <xf numFmtId="197" fontId="149" fillId="40" borderId="34" xfId="301" applyNumberFormat="1" applyFont="1" applyFill="1" applyBorder="1" applyAlignment="1">
      <alignment wrapText="1"/>
    </xf>
    <xf numFmtId="195" fontId="149" fillId="40" borderId="113" xfId="301" applyNumberFormat="1" applyFont="1" applyFill="1" applyBorder="1" applyAlignment="1">
      <alignment wrapText="1"/>
    </xf>
    <xf numFmtId="0" fontId="23" fillId="0" borderId="60" xfId="0" applyFont="1" applyBorder="1" applyAlignment="1">
      <alignment horizontal="center" vertical="top" wrapText="1"/>
    </xf>
    <xf numFmtId="0" fontId="23" fillId="0" borderId="111" xfId="0" applyFont="1" applyBorder="1" applyAlignment="1">
      <alignment horizontal="center" vertical="top" wrapText="1"/>
    </xf>
    <xf numFmtId="0" fontId="149" fillId="25" borderId="97" xfId="0" applyFont="1" applyFill="1" applyBorder="1" applyAlignment="1">
      <alignment wrapText="1"/>
    </xf>
    <xf numFmtId="0" fontId="149" fillId="25" borderId="166" xfId="0" applyFont="1" applyFill="1" applyBorder="1" applyAlignment="1">
      <alignment wrapText="1"/>
    </xf>
    <xf numFmtId="0" fontId="23" fillId="0" borderId="112" xfId="0" applyFont="1" applyFill="1" applyBorder="1" applyAlignment="1">
      <alignment horizontal="center" wrapText="1"/>
    </xf>
    <xf numFmtId="0" fontId="23" fillId="33" borderId="114" xfId="0" applyFont="1" applyFill="1" applyBorder="1" applyAlignment="1">
      <alignment horizontal="left" wrapText="1"/>
    </xf>
    <xf numFmtId="0" fontId="23" fillId="40" borderId="112" xfId="0" applyFont="1" applyFill="1" applyBorder="1" applyAlignment="1"/>
    <xf numFmtId="196" fontId="150" fillId="40" borderId="34" xfId="301" applyNumberFormat="1" applyFont="1" applyFill="1" applyBorder="1" applyAlignment="1">
      <alignment wrapText="1"/>
    </xf>
    <xf numFmtId="196" fontId="150" fillId="40" borderId="113" xfId="301" applyNumberFormat="1" applyFont="1" applyFill="1" applyBorder="1" applyAlignment="1">
      <alignment wrapText="1"/>
    </xf>
    <xf numFmtId="0" fontId="166" fillId="0" borderId="0" xfId="0" applyFont="1"/>
    <xf numFmtId="173" fontId="13" fillId="0" borderId="37" xfId="301" applyNumberFormat="1" applyFont="1" applyFill="1" applyBorder="1"/>
    <xf numFmtId="43" fontId="13" fillId="0" borderId="37" xfId="301" applyNumberFormat="1" applyFont="1" applyFill="1" applyBorder="1"/>
    <xf numFmtId="0" fontId="7" fillId="0" borderId="37" xfId="0" applyFont="1" applyFill="1" applyBorder="1"/>
    <xf numFmtId="0" fontId="13" fillId="0" borderId="0" xfId="0" applyFont="1" applyFill="1"/>
    <xf numFmtId="0" fontId="13" fillId="0" borderId="43" xfId="0" applyFont="1" applyFill="1" applyBorder="1"/>
    <xf numFmtId="173" fontId="21" fillId="0" borderId="43" xfId="301" applyNumberFormat="1" applyFont="1" applyFill="1" applyBorder="1"/>
    <xf numFmtId="11" fontId="13" fillId="0" borderId="1" xfId="0" applyNumberFormat="1" applyFont="1" applyFill="1" applyBorder="1"/>
    <xf numFmtId="0" fontId="21" fillId="0" borderId="0" xfId="0" applyFont="1" applyFill="1"/>
    <xf numFmtId="0" fontId="13" fillId="0" borderId="35" xfId="0" applyFont="1" applyFill="1" applyBorder="1"/>
    <xf numFmtId="0" fontId="13" fillId="0" borderId="63" xfId="0" applyFont="1" applyFill="1" applyBorder="1"/>
    <xf numFmtId="0" fontId="7" fillId="0" borderId="55" xfId="0" applyFont="1" applyFill="1" applyBorder="1" applyAlignment="1">
      <alignment horizontal="center"/>
    </xf>
    <xf numFmtId="0" fontId="7" fillId="0" borderId="135" xfId="0" applyFont="1" applyFill="1" applyBorder="1" applyAlignment="1">
      <alignment horizontal="center"/>
    </xf>
    <xf numFmtId="0" fontId="13" fillId="0" borderId="129" xfId="0" applyFont="1" applyFill="1" applyBorder="1"/>
    <xf numFmtId="0" fontId="13" fillId="0" borderId="3" xfId="0" applyFont="1" applyFill="1" applyBorder="1"/>
    <xf numFmtId="11" fontId="13" fillId="0" borderId="3" xfId="0" applyNumberFormat="1" applyFont="1" applyFill="1" applyBorder="1"/>
    <xf numFmtId="11" fontId="13" fillId="0" borderId="130" xfId="0" applyNumberFormat="1" applyFont="1" applyFill="1" applyBorder="1"/>
    <xf numFmtId="0" fontId="13" fillId="0" borderId="2" xfId="0" applyFont="1" applyFill="1" applyBorder="1"/>
    <xf numFmtId="11" fontId="13" fillId="0" borderId="103" xfId="0" applyNumberFormat="1" applyFont="1" applyFill="1" applyBorder="1"/>
    <xf numFmtId="2" fontId="13" fillId="0" borderId="55" xfId="0" applyNumberFormat="1" applyFont="1" applyFill="1" applyBorder="1"/>
    <xf numFmtId="11" fontId="13" fillId="0" borderId="55" xfId="0" applyNumberFormat="1" applyFont="1" applyFill="1" applyBorder="1"/>
    <xf numFmtId="11" fontId="13" fillId="0" borderId="135" xfId="0" applyNumberFormat="1" applyFont="1" applyFill="1" applyBorder="1"/>
    <xf numFmtId="0" fontId="13" fillId="0" borderId="45" xfId="0" applyFont="1" applyFill="1" applyBorder="1"/>
    <xf numFmtId="0" fontId="13" fillId="0" borderId="37" xfId="0" applyFont="1" applyFill="1" applyBorder="1"/>
    <xf numFmtId="173" fontId="13" fillId="0" borderId="37" xfId="0" applyNumberFormat="1" applyFont="1" applyFill="1" applyBorder="1"/>
    <xf numFmtId="0" fontId="13" fillId="0" borderId="169" xfId="0" applyFont="1" applyFill="1" applyBorder="1"/>
    <xf numFmtId="0" fontId="13" fillId="0" borderId="36" xfId="0" applyFont="1" applyFill="1" applyBorder="1"/>
    <xf numFmtId="11" fontId="13" fillId="0" borderId="36" xfId="0" applyNumberFormat="1" applyFont="1" applyFill="1" applyBorder="1"/>
    <xf numFmtId="3" fontId="13" fillId="0" borderId="36" xfId="0" applyNumberFormat="1" applyFont="1" applyFill="1" applyBorder="1"/>
    <xf numFmtId="0" fontId="13" fillId="0" borderId="170" xfId="0" applyFont="1" applyFill="1" applyBorder="1"/>
    <xf numFmtId="173" fontId="13" fillId="0" borderId="36" xfId="301" applyNumberFormat="1" applyFont="1" applyFill="1" applyBorder="1"/>
    <xf numFmtId="0" fontId="13" fillId="0" borderId="135" xfId="0" applyFont="1" applyFill="1" applyBorder="1"/>
    <xf numFmtId="43" fontId="13" fillId="0" borderId="0" xfId="0" applyNumberFormat="1" applyFont="1" applyFill="1"/>
    <xf numFmtId="173" fontId="21" fillId="0" borderId="36" xfId="301" applyNumberFormat="1" applyFont="1" applyFill="1" applyBorder="1"/>
    <xf numFmtId="0" fontId="13" fillId="0" borderId="171" xfId="0" applyFont="1" applyFill="1" applyBorder="1"/>
    <xf numFmtId="173" fontId="7" fillId="0" borderId="36" xfId="0" applyNumberFormat="1" applyFont="1" applyFill="1" applyBorder="1"/>
    <xf numFmtId="173" fontId="7" fillId="0" borderId="36" xfId="301" applyNumberFormat="1" applyFont="1" applyFill="1" applyBorder="1"/>
    <xf numFmtId="43" fontId="7" fillId="0" borderId="36" xfId="301" applyNumberFormat="1" applyFont="1" applyFill="1" applyBorder="1"/>
    <xf numFmtId="3" fontId="7" fillId="0" borderId="36" xfId="0" applyNumberFormat="1" applyFont="1" applyFill="1" applyBorder="1"/>
    <xf numFmtId="43" fontId="13" fillId="0" borderId="36" xfId="301" applyNumberFormat="1" applyFont="1" applyFill="1" applyBorder="1"/>
    <xf numFmtId="173" fontId="13" fillId="0" borderId="36" xfId="0" applyNumberFormat="1" applyFont="1" applyFill="1" applyBorder="1"/>
    <xf numFmtId="167" fontId="13" fillId="0" borderId="36" xfId="301" applyNumberFormat="1" applyFont="1" applyFill="1" applyBorder="1"/>
    <xf numFmtId="0" fontId="13" fillId="0" borderId="36" xfId="0" applyFont="1" applyFill="1" applyBorder="1" applyAlignment="1">
      <alignment horizontal="center"/>
    </xf>
    <xf numFmtId="168" fontId="13" fillId="0" borderId="36" xfId="301" applyNumberFormat="1" applyFont="1" applyFill="1" applyBorder="1"/>
    <xf numFmtId="43" fontId="21" fillId="0" borderId="36" xfId="0" applyNumberFormat="1" applyFont="1" applyFill="1" applyBorder="1"/>
    <xf numFmtId="174" fontId="7" fillId="0" borderId="36" xfId="301" applyNumberFormat="1" applyFont="1" applyFill="1" applyBorder="1"/>
    <xf numFmtId="173" fontId="21" fillId="0" borderId="36" xfId="0" applyNumberFormat="1" applyFont="1" applyFill="1" applyBorder="1"/>
    <xf numFmtId="173" fontId="57" fillId="0" borderId="36" xfId="301" applyNumberFormat="1" applyFont="1" applyFill="1" applyBorder="1"/>
    <xf numFmtId="43" fontId="57" fillId="0" borderId="36" xfId="301" applyNumberFormat="1" applyFont="1" applyFill="1" applyBorder="1"/>
    <xf numFmtId="43" fontId="21" fillId="0" borderId="36" xfId="301" applyNumberFormat="1" applyFont="1" applyFill="1" applyBorder="1"/>
    <xf numFmtId="43" fontId="21" fillId="0" borderId="171" xfId="301" applyFont="1" applyFill="1" applyBorder="1"/>
    <xf numFmtId="43" fontId="13" fillId="0" borderId="171" xfId="301" applyFont="1" applyFill="1" applyBorder="1"/>
    <xf numFmtId="0" fontId="7" fillId="0" borderId="36" xfId="0" applyFont="1" applyFill="1" applyBorder="1" applyAlignment="1">
      <alignment horizontal="center"/>
    </xf>
    <xf numFmtId="168" fontId="57" fillId="0" borderId="36" xfId="301" applyNumberFormat="1" applyFont="1" applyFill="1" applyBorder="1"/>
    <xf numFmtId="167" fontId="21" fillId="0" borderId="36" xfId="301" applyNumberFormat="1" applyFont="1" applyFill="1" applyBorder="1"/>
    <xf numFmtId="2" fontId="21" fillId="0" borderId="36" xfId="301" applyNumberFormat="1" applyFont="1" applyFill="1" applyBorder="1"/>
    <xf numFmtId="177" fontId="13" fillId="0" borderId="36" xfId="301" applyNumberFormat="1" applyFont="1" applyFill="1" applyBorder="1"/>
    <xf numFmtId="198" fontId="57" fillId="0" borderId="36" xfId="301" applyNumberFormat="1" applyFont="1" applyFill="1" applyBorder="1"/>
    <xf numFmtId="38" fontId="13" fillId="0" borderId="36" xfId="0" applyNumberFormat="1" applyFont="1" applyFill="1" applyBorder="1"/>
    <xf numFmtId="3" fontId="21" fillId="0" borderId="36" xfId="0" applyNumberFormat="1" applyFont="1" applyFill="1" applyBorder="1"/>
    <xf numFmtId="1" fontId="13" fillId="0" borderId="36" xfId="0" applyNumberFormat="1" applyFont="1" applyFill="1" applyBorder="1"/>
    <xf numFmtId="3" fontId="57" fillId="0" borderId="36" xfId="0" applyNumberFormat="1" applyFont="1" applyFill="1" applyBorder="1"/>
    <xf numFmtId="0" fontId="57" fillId="0" borderId="36" xfId="0" applyFont="1" applyFill="1" applyBorder="1"/>
    <xf numFmtId="43" fontId="13" fillId="0" borderId="36" xfId="301" applyFont="1" applyFill="1" applyBorder="1"/>
    <xf numFmtId="0" fontId="57" fillId="0" borderId="171" xfId="0" applyFont="1" applyFill="1" applyBorder="1"/>
    <xf numFmtId="0" fontId="21" fillId="0" borderId="36" xfId="0" applyFont="1" applyFill="1" applyBorder="1"/>
    <xf numFmtId="174" fontId="21" fillId="0" borderId="36" xfId="301" applyNumberFormat="1" applyFont="1" applyFill="1" applyBorder="1"/>
    <xf numFmtId="173" fontId="13" fillId="0" borderId="171" xfId="301" applyNumberFormat="1" applyFont="1" applyFill="1" applyBorder="1"/>
    <xf numFmtId="0" fontId="13" fillId="0" borderId="172" xfId="0" applyFont="1" applyFill="1" applyBorder="1"/>
    <xf numFmtId="0" fontId="13" fillId="0" borderId="173" xfId="0" applyFont="1" applyFill="1" applyBorder="1"/>
    <xf numFmtId="0" fontId="13" fillId="0" borderId="174" xfId="0" applyFont="1" applyFill="1" applyBorder="1"/>
    <xf numFmtId="173" fontId="21" fillId="0" borderId="37" xfId="301" applyNumberFormat="1" applyFont="1" applyFill="1" applyBorder="1"/>
    <xf numFmtId="0" fontId="13" fillId="0" borderId="175" xfId="0" applyFont="1" applyFill="1" applyBorder="1"/>
    <xf numFmtId="0" fontId="13" fillId="0" borderId="176" xfId="0" applyFont="1" applyFill="1" applyBorder="1"/>
    <xf numFmtId="173" fontId="13" fillId="0" borderId="43" xfId="301" applyNumberFormat="1" applyFont="1" applyFill="1" applyBorder="1"/>
    <xf numFmtId="3" fontId="7" fillId="0" borderId="43" xfId="0" applyNumberFormat="1" applyFont="1" applyFill="1" applyBorder="1"/>
    <xf numFmtId="43" fontId="13" fillId="0" borderId="43" xfId="301" applyNumberFormat="1" applyFont="1" applyFill="1" applyBorder="1"/>
    <xf numFmtId="39" fontId="13" fillId="0" borderId="43" xfId="301" applyNumberFormat="1" applyFont="1" applyFill="1" applyBorder="1"/>
    <xf numFmtId="0" fontId="13" fillId="0" borderId="177" xfId="0" applyFont="1" applyFill="1" applyBorder="1"/>
    <xf numFmtId="0" fontId="13" fillId="0" borderId="37" xfId="0" applyFont="1" applyFill="1" applyBorder="1" applyAlignment="1">
      <alignment horizontal="center"/>
    </xf>
    <xf numFmtId="167" fontId="21" fillId="0" borderId="37" xfId="301" applyNumberFormat="1" applyFont="1" applyFill="1" applyBorder="1"/>
    <xf numFmtId="173" fontId="7" fillId="0" borderId="37" xfId="0" applyNumberFormat="1" applyFont="1" applyFill="1" applyBorder="1"/>
    <xf numFmtId="173" fontId="57" fillId="0" borderId="37" xfId="301" applyNumberFormat="1" applyFont="1" applyFill="1" applyBorder="1"/>
    <xf numFmtId="198" fontId="57" fillId="0" borderId="37" xfId="301" applyNumberFormat="1" applyFont="1" applyFill="1" applyBorder="1"/>
    <xf numFmtId="173" fontId="7" fillId="0" borderId="37" xfId="301" applyNumberFormat="1" applyFont="1" applyFill="1" applyBorder="1"/>
    <xf numFmtId="43" fontId="7" fillId="0" borderId="37" xfId="301" applyNumberFormat="1" applyFont="1" applyFill="1" applyBorder="1"/>
    <xf numFmtId="38" fontId="13" fillId="0" borderId="37" xfId="0" applyNumberFormat="1" applyFont="1" applyFill="1" applyBorder="1"/>
    <xf numFmtId="2" fontId="21" fillId="0" borderId="36" xfId="0" applyNumberFormat="1" applyFont="1" applyFill="1" applyBorder="1"/>
    <xf numFmtId="170" fontId="21" fillId="0" borderId="36" xfId="0" applyNumberFormat="1" applyFont="1" applyFill="1" applyBorder="1"/>
    <xf numFmtId="0" fontId="168" fillId="0" borderId="171" xfId="0" applyFont="1" applyFill="1" applyBorder="1"/>
    <xf numFmtId="2" fontId="168" fillId="0" borderId="171" xfId="0" applyNumberFormat="1" applyFont="1" applyFill="1" applyBorder="1"/>
    <xf numFmtId="170" fontId="168" fillId="0" borderId="171" xfId="0" applyNumberFormat="1" applyFont="1" applyFill="1" applyBorder="1"/>
    <xf numFmtId="171" fontId="168" fillId="0" borderId="171" xfId="0" applyNumberFormat="1" applyFont="1" applyFill="1" applyBorder="1"/>
    <xf numFmtId="0" fontId="13" fillId="38" borderId="178" xfId="0" applyFont="1" applyFill="1" applyBorder="1" applyAlignment="1">
      <alignment horizontal="center"/>
    </xf>
    <xf numFmtId="0" fontId="7" fillId="38" borderId="179" xfId="0" applyFont="1" applyFill="1" applyBorder="1" applyAlignment="1">
      <alignment horizontal="center"/>
    </xf>
    <xf numFmtId="165" fontId="7" fillId="38" borderId="179" xfId="0" applyNumberFormat="1" applyFont="1" applyFill="1" applyBorder="1" applyAlignment="1">
      <alignment horizontal="center"/>
    </xf>
    <xf numFmtId="0" fontId="7" fillId="38" borderId="180" xfId="0" applyFont="1" applyFill="1" applyBorder="1" applyAlignment="1">
      <alignment horizontal="center"/>
    </xf>
    <xf numFmtId="0" fontId="13" fillId="38" borderId="169" xfId="0" applyFont="1" applyFill="1" applyBorder="1" applyAlignment="1">
      <alignment horizontal="center"/>
    </xf>
    <xf numFmtId="0" fontId="7" fillId="38" borderId="36" xfId="0" applyFont="1" applyFill="1" applyBorder="1" applyAlignment="1">
      <alignment horizontal="center"/>
    </xf>
    <xf numFmtId="0" fontId="7" fillId="38" borderId="171" xfId="0" applyFont="1" applyFill="1" applyBorder="1" applyAlignment="1">
      <alignment horizontal="center"/>
    </xf>
    <xf numFmtId="43" fontId="168" fillId="0" borderId="36" xfId="0" applyNumberFormat="1" applyFont="1" applyFill="1" applyBorder="1"/>
    <xf numFmtId="43" fontId="169" fillId="0" borderId="36" xfId="0" applyNumberFormat="1" applyFont="1" applyFill="1" applyBorder="1"/>
    <xf numFmtId="0" fontId="169" fillId="0" borderId="171" xfId="0" applyFont="1" applyFill="1" applyBorder="1"/>
    <xf numFmtId="39" fontId="21" fillId="0" borderId="36" xfId="301" applyNumberFormat="1" applyFont="1" applyFill="1" applyBorder="1"/>
    <xf numFmtId="2" fontId="169" fillId="0" borderId="171" xfId="0" applyNumberFormat="1" applyFont="1" applyFill="1" applyBorder="1"/>
    <xf numFmtId="2" fontId="13" fillId="0" borderId="171" xfId="0" applyNumberFormat="1" applyFont="1" applyFill="1" applyBorder="1"/>
    <xf numFmtId="3" fontId="169" fillId="0" borderId="36" xfId="0" applyNumberFormat="1" applyFont="1" applyFill="1" applyBorder="1"/>
    <xf numFmtId="0" fontId="168" fillId="0" borderId="36" xfId="0" applyFont="1" applyFill="1" applyBorder="1"/>
    <xf numFmtId="0" fontId="169" fillId="0" borderId="36" xfId="0" applyFont="1" applyFill="1" applyBorder="1"/>
    <xf numFmtId="43" fontId="7" fillId="0" borderId="36" xfId="301" applyFont="1" applyFill="1" applyBorder="1"/>
    <xf numFmtId="173" fontId="169" fillId="0" borderId="36" xfId="301" applyNumberFormat="1" applyFont="1" applyFill="1" applyBorder="1"/>
    <xf numFmtId="165" fontId="169" fillId="0" borderId="171" xfId="0" applyNumberFormat="1" applyFont="1" applyFill="1" applyBorder="1"/>
    <xf numFmtId="2" fontId="169" fillId="0" borderId="36" xfId="0" applyNumberFormat="1" applyFont="1" applyFill="1" applyBorder="1"/>
    <xf numFmtId="2" fontId="168" fillId="0" borderId="36" xfId="0" applyNumberFormat="1" applyFont="1" applyFill="1" applyBorder="1"/>
    <xf numFmtId="3" fontId="168" fillId="0" borderId="36" xfId="0" applyNumberFormat="1" applyFont="1" applyFill="1" applyBorder="1"/>
    <xf numFmtId="173" fontId="168" fillId="0" borderId="36" xfId="301" applyNumberFormat="1" applyFont="1" applyFill="1" applyBorder="1"/>
    <xf numFmtId="170" fontId="13" fillId="0" borderId="36" xfId="0" applyNumberFormat="1" applyFont="1" applyFill="1" applyBorder="1"/>
    <xf numFmtId="2" fontId="13" fillId="0" borderId="36" xfId="0" applyNumberFormat="1" applyFont="1" applyFill="1" applyBorder="1"/>
    <xf numFmtId="43" fontId="13" fillId="0" borderId="171" xfId="0" applyNumberFormat="1" applyFont="1" applyFill="1" applyBorder="1"/>
    <xf numFmtId="174" fontId="168" fillId="0" borderId="36" xfId="301" applyNumberFormat="1" applyFont="1" applyFill="1" applyBorder="1"/>
    <xf numFmtId="199" fontId="21" fillId="0" borderId="171" xfId="301" applyNumberFormat="1" applyFont="1" applyFill="1" applyBorder="1"/>
    <xf numFmtId="174" fontId="168" fillId="0" borderId="171" xfId="301" applyNumberFormat="1" applyFont="1" applyFill="1" applyBorder="1"/>
    <xf numFmtId="39" fontId="168" fillId="0" borderId="36" xfId="301" applyNumberFormat="1" applyFont="1" applyFill="1" applyBorder="1"/>
    <xf numFmtId="39" fontId="168" fillId="0" borderId="171" xfId="301" applyNumberFormat="1" applyFont="1" applyFill="1" applyBorder="1"/>
    <xf numFmtId="173" fontId="13" fillId="0" borderId="175" xfId="301" applyNumberFormat="1" applyFont="1" applyFill="1" applyBorder="1"/>
    <xf numFmtId="39" fontId="169" fillId="0" borderId="36" xfId="301" applyNumberFormat="1" applyFont="1" applyFill="1" applyBorder="1"/>
    <xf numFmtId="39" fontId="169" fillId="0" borderId="171" xfId="301" applyNumberFormat="1" applyFont="1" applyFill="1" applyBorder="1"/>
    <xf numFmtId="43" fontId="169" fillId="0" borderId="36" xfId="301" applyNumberFormat="1" applyFont="1" applyFill="1" applyBorder="1"/>
    <xf numFmtId="43" fontId="169" fillId="0" borderId="171" xfId="301" applyNumberFormat="1" applyFont="1" applyFill="1" applyBorder="1"/>
    <xf numFmtId="170" fontId="168" fillId="0" borderId="36" xfId="0" applyNumberFormat="1" applyFont="1" applyFill="1" applyBorder="1"/>
    <xf numFmtId="173" fontId="168" fillId="0" borderId="36" xfId="0" applyNumberFormat="1" applyFont="1" applyFill="1" applyBorder="1"/>
    <xf numFmtId="2" fontId="21" fillId="0" borderId="171" xfId="0" applyNumberFormat="1" applyFont="1" applyFill="1" applyBorder="1"/>
    <xf numFmtId="2" fontId="57" fillId="0" borderId="36" xfId="0" applyNumberFormat="1" applyFont="1" applyFill="1" applyBorder="1"/>
    <xf numFmtId="2" fontId="13" fillId="0" borderId="171" xfId="0" applyNumberFormat="1" applyFont="1" applyFill="1" applyBorder="1" applyAlignment="1">
      <alignment horizontal="center"/>
    </xf>
    <xf numFmtId="2" fontId="169" fillId="0" borderId="171" xfId="0" applyNumberFormat="1" applyFont="1" applyFill="1" applyBorder="1" applyAlignment="1">
      <alignment horizontal="center"/>
    </xf>
    <xf numFmtId="2" fontId="13" fillId="0" borderId="171" xfId="301" applyNumberFormat="1" applyFont="1" applyFill="1" applyBorder="1" applyAlignment="1">
      <alignment horizontal="center"/>
    </xf>
    <xf numFmtId="2" fontId="168" fillId="0" borderId="171" xfId="0" applyNumberFormat="1" applyFont="1" applyFill="1" applyBorder="1" applyAlignment="1">
      <alignment horizontal="center"/>
    </xf>
    <xf numFmtId="43" fontId="168" fillId="0" borderId="36" xfId="301" applyFont="1" applyFill="1" applyBorder="1"/>
    <xf numFmtId="0" fontId="168" fillId="0" borderId="0" xfId="0" applyFont="1" applyFill="1"/>
    <xf numFmtId="0" fontId="6" fillId="0" borderId="1" xfId="0" applyFont="1" applyBorder="1"/>
    <xf numFmtId="0" fontId="6" fillId="25" borderId="1" xfId="0" applyFont="1" applyFill="1" applyBorder="1"/>
    <xf numFmtId="0" fontId="6" fillId="0" borderId="0" xfId="0" applyFont="1" applyBorder="1"/>
    <xf numFmtId="0" fontId="170" fillId="0" borderId="64" xfId="0" quotePrefix="1" applyFont="1" applyBorder="1"/>
    <xf numFmtId="0" fontId="170" fillId="0" borderId="0" xfId="0" applyFont="1" applyBorder="1"/>
    <xf numFmtId="196" fontId="171" fillId="0" borderId="62" xfId="301" applyNumberFormat="1" applyFont="1" applyFill="1" applyBorder="1" applyAlignment="1">
      <alignment wrapText="1"/>
    </xf>
    <xf numFmtId="197" fontId="171" fillId="0" borderId="62" xfId="301" applyNumberFormat="1" applyFont="1" applyFill="1" applyBorder="1" applyAlignment="1">
      <alignment wrapText="1"/>
    </xf>
    <xf numFmtId="197" fontId="171" fillId="0" borderId="115" xfId="301" applyNumberFormat="1" applyFont="1" applyFill="1" applyBorder="1" applyAlignment="1">
      <alignment wrapText="1"/>
    </xf>
    <xf numFmtId="194" fontId="171" fillId="36" borderId="62" xfId="301" applyNumberFormat="1" applyFont="1" applyFill="1" applyBorder="1" applyAlignment="1">
      <alignment wrapText="1"/>
    </xf>
    <xf numFmtId="196" fontId="171" fillId="36" borderId="62" xfId="301" applyNumberFormat="1" applyFont="1" applyFill="1" applyBorder="1" applyAlignment="1">
      <alignment wrapText="1"/>
    </xf>
    <xf numFmtId="196" fontId="171" fillId="36" borderId="115" xfId="301" applyNumberFormat="1" applyFont="1" applyFill="1" applyBorder="1" applyAlignment="1">
      <alignment wrapText="1"/>
    </xf>
    <xf numFmtId="194" fontId="149" fillId="0" borderId="3" xfId="301" applyNumberFormat="1" applyFont="1" applyFill="1" applyBorder="1" applyAlignment="1">
      <alignment wrapText="1"/>
    </xf>
    <xf numFmtId="195" fontId="149" fillId="0" borderId="111" xfId="301" applyNumberFormat="1" applyFont="1" applyFill="1" applyBorder="1" applyAlignment="1">
      <alignment wrapText="1"/>
    </xf>
    <xf numFmtId="195" fontId="150" fillId="0" borderId="117" xfId="301" applyNumberFormat="1" applyFont="1" applyFill="1" applyBorder="1" applyAlignment="1">
      <alignment wrapText="1"/>
    </xf>
    <xf numFmtId="195" fontId="150" fillId="23" borderId="62" xfId="301" applyNumberFormat="1" applyFont="1" applyFill="1" applyBorder="1" applyAlignment="1">
      <alignment wrapText="1"/>
    </xf>
    <xf numFmtId="196" fontId="150" fillId="23" borderId="115" xfId="301" applyNumberFormat="1" applyFont="1" applyFill="1" applyBorder="1" applyAlignment="1">
      <alignment wrapText="1"/>
    </xf>
    <xf numFmtId="168" fontId="150" fillId="0" borderId="62" xfId="0" applyNumberFormat="1" applyFont="1" applyFill="1" applyBorder="1"/>
    <xf numFmtId="0" fontId="7" fillId="0" borderId="116" xfId="0" applyFont="1" applyFill="1" applyBorder="1"/>
    <xf numFmtId="0" fontId="149" fillId="0" borderId="3" xfId="0" applyFont="1" applyFill="1" applyBorder="1" applyAlignment="1">
      <alignment wrapText="1"/>
    </xf>
    <xf numFmtId="0" fontId="149" fillId="0" borderId="117" xfId="0" applyFont="1" applyFill="1" applyBorder="1" applyAlignment="1">
      <alignment wrapText="1"/>
    </xf>
    <xf numFmtId="0" fontId="23" fillId="25" borderId="26" xfId="0" applyFont="1" applyFill="1" applyBorder="1" applyAlignment="1">
      <alignment horizontal="left" wrapText="1"/>
    </xf>
    <xf numFmtId="194" fontId="150" fillId="25" borderId="1" xfId="301" applyNumberFormat="1" applyFont="1" applyFill="1" applyBorder="1" applyAlignment="1">
      <alignment wrapText="1"/>
    </xf>
    <xf numFmtId="195" fontId="150" fillId="25" borderId="1" xfId="301" applyNumberFormat="1" applyFont="1" applyFill="1" applyBorder="1" applyAlignment="1">
      <alignment wrapText="1"/>
    </xf>
    <xf numFmtId="197" fontId="149" fillId="25" borderId="1" xfId="301" applyNumberFormat="1" applyFont="1" applyFill="1" applyBorder="1" applyAlignment="1">
      <alignment wrapText="1"/>
    </xf>
    <xf numFmtId="195" fontId="149" fillId="25" borderId="39" xfId="301" applyNumberFormat="1" applyFont="1" applyFill="1" applyBorder="1" applyAlignment="1">
      <alignment wrapText="1"/>
    </xf>
    <xf numFmtId="168" fontId="150" fillId="0" borderId="115" xfId="301" applyNumberFormat="1" applyFont="1" applyFill="1" applyBorder="1" applyAlignment="1">
      <alignment wrapText="1"/>
    </xf>
    <xf numFmtId="196" fontId="171" fillId="29" borderId="62" xfId="301" applyNumberFormat="1" applyFont="1" applyFill="1" applyBorder="1" applyAlignment="1">
      <alignment wrapText="1"/>
    </xf>
    <xf numFmtId="196" fontId="171" fillId="29" borderId="115" xfId="301" applyNumberFormat="1" applyFont="1" applyFill="1" applyBorder="1" applyAlignment="1">
      <alignment wrapText="1"/>
    </xf>
    <xf numFmtId="43" fontId="95" fillId="23" borderId="62" xfId="301" applyNumberFormat="1" applyFont="1" applyFill="1" applyBorder="1"/>
    <xf numFmtId="0" fontId="23" fillId="0" borderId="26" xfId="0" applyFont="1" applyFill="1" applyBorder="1" applyAlignment="1">
      <alignment wrapText="1"/>
    </xf>
    <xf numFmtId="0" fontId="149" fillId="0" borderId="1" xfId="0" applyFont="1" applyFill="1" applyBorder="1" applyAlignment="1">
      <alignment wrapText="1"/>
    </xf>
    <xf numFmtId="0" fontId="149" fillId="0" borderId="39" xfId="0" applyFont="1" applyFill="1" applyBorder="1" applyAlignment="1">
      <alignment wrapText="1"/>
    </xf>
    <xf numFmtId="194" fontId="172" fillId="0" borderId="1" xfId="301" applyNumberFormat="1" applyFont="1" applyFill="1" applyBorder="1" applyAlignment="1">
      <alignment wrapText="1"/>
    </xf>
    <xf numFmtId="194" fontId="172" fillId="0" borderId="62" xfId="301" applyNumberFormat="1" applyFont="1" applyFill="1" applyBorder="1" applyAlignment="1">
      <alignment wrapText="1"/>
    </xf>
    <xf numFmtId="194" fontId="171" fillId="29" borderId="62" xfId="301" applyNumberFormat="1" applyFont="1" applyFill="1" applyBorder="1" applyAlignment="1">
      <alignment wrapText="1"/>
    </xf>
    <xf numFmtId="0" fontId="173" fillId="0" borderId="0" xfId="0" applyFont="1"/>
    <xf numFmtId="0" fontId="174" fillId="0" borderId="0" xfId="0" applyFont="1"/>
    <xf numFmtId="0" fontId="174" fillId="0" borderId="35" xfId="0" applyFont="1" applyBorder="1"/>
    <xf numFmtId="0" fontId="173" fillId="0" borderId="53" xfId="0" applyFont="1" applyBorder="1" applyAlignment="1">
      <alignment horizontal="center"/>
    </xf>
    <xf numFmtId="179" fontId="173" fillId="0" borderId="58" xfId="0" applyNumberFormat="1" applyFont="1" applyBorder="1"/>
    <xf numFmtId="0" fontId="174" fillId="0" borderId="0" xfId="0" applyFont="1" applyAlignment="1">
      <alignment horizontal="center"/>
    </xf>
    <xf numFmtId="0" fontId="174" fillId="0" borderId="2" xfId="0" applyFont="1" applyBorder="1"/>
    <xf numFmtId="0" fontId="173" fillId="0" borderId="1" xfId="0" applyFont="1" applyBorder="1" applyAlignment="1">
      <alignment horizontal="center"/>
    </xf>
    <xf numFmtId="170" fontId="173" fillId="0" borderId="103" xfId="0" applyNumberFormat="1" applyFont="1" applyBorder="1"/>
    <xf numFmtId="190" fontId="173" fillId="0" borderId="103" xfId="0" applyNumberFormat="1" applyFont="1" applyBorder="1"/>
    <xf numFmtId="0" fontId="173" fillId="0" borderId="63" xfId="0" applyFont="1" applyBorder="1"/>
    <xf numFmtId="0" fontId="174" fillId="0" borderId="55" xfId="0" applyFont="1" applyBorder="1" applyAlignment="1">
      <alignment horizontal="center"/>
    </xf>
    <xf numFmtId="0" fontId="174" fillId="0" borderId="135" xfId="0" applyFont="1" applyBorder="1" applyAlignment="1">
      <alignment horizontal="center"/>
    </xf>
    <xf numFmtId="0" fontId="173" fillId="0" borderId="13" xfId="0" applyFont="1" applyBorder="1"/>
    <xf numFmtId="0" fontId="173" fillId="0" borderId="41" xfId="0" applyFont="1" applyBorder="1"/>
    <xf numFmtId="0" fontId="174" fillId="0" borderId="78" xfId="0" applyFont="1" applyFill="1" applyBorder="1" applyAlignment="1">
      <alignment horizontal="center"/>
    </xf>
    <xf numFmtId="0" fontId="174" fillId="0" borderId="78" xfId="0" applyFont="1" applyFill="1" applyBorder="1" applyAlignment="1"/>
    <xf numFmtId="0" fontId="174" fillId="0" borderId="181" xfId="0" applyFont="1" applyFill="1" applyBorder="1" applyAlignment="1">
      <alignment horizontal="center"/>
    </xf>
    <xf numFmtId="0" fontId="173" fillId="0" borderId="42" xfId="0" applyFont="1" applyBorder="1"/>
    <xf numFmtId="0" fontId="173" fillId="0" borderId="18" xfId="0" applyFont="1" applyBorder="1"/>
    <xf numFmtId="0" fontId="174" fillId="28" borderId="164" xfId="0" applyFont="1" applyFill="1" applyBorder="1" applyAlignment="1">
      <alignment horizontal="center"/>
    </xf>
    <xf numFmtId="0" fontId="174" fillId="28" borderId="153" xfId="0" applyFont="1" applyFill="1" applyBorder="1" applyAlignment="1">
      <alignment horizontal="center"/>
    </xf>
    <xf numFmtId="0" fontId="173" fillId="0" borderId="164" xfId="0" applyFont="1" applyFill="1" applyBorder="1" applyAlignment="1">
      <alignment horizontal="center"/>
    </xf>
    <xf numFmtId="0" fontId="173" fillId="0" borderId="164" xfId="0" applyFont="1" applyFill="1" applyBorder="1"/>
    <xf numFmtId="0" fontId="173" fillId="0" borderId="153" xfId="0" applyFont="1" applyFill="1" applyBorder="1"/>
    <xf numFmtId="0" fontId="173" fillId="0" borderId="15" xfId="0" applyFont="1" applyBorder="1"/>
    <xf numFmtId="0" fontId="173" fillId="0" borderId="79" xfId="0" applyFont="1" applyFill="1" applyBorder="1" applyAlignment="1">
      <alignment horizontal="center"/>
    </xf>
    <xf numFmtId="0" fontId="173" fillId="0" borderId="182" xfId="0" applyFont="1" applyFill="1" applyBorder="1" applyAlignment="1">
      <alignment horizontal="center"/>
    </xf>
    <xf numFmtId="0" fontId="174" fillId="25" borderId="183" xfId="0" applyFont="1" applyFill="1" applyBorder="1"/>
    <xf numFmtId="0" fontId="174" fillId="25" borderId="153" xfId="0" applyFont="1" applyFill="1" applyBorder="1" applyAlignment="1">
      <alignment horizontal="right"/>
    </xf>
    <xf numFmtId="0" fontId="173" fillId="25" borderId="183" xfId="0" applyFont="1" applyFill="1" applyBorder="1"/>
    <xf numFmtId="0" fontId="173" fillId="34" borderId="42" xfId="0" applyFont="1" applyFill="1" applyBorder="1"/>
    <xf numFmtId="0" fontId="174" fillId="34" borderId="0" xfId="0" applyFont="1" applyFill="1" applyBorder="1" applyAlignment="1">
      <alignment horizontal="right"/>
    </xf>
    <xf numFmtId="173" fontId="176" fillId="34" borderId="79" xfId="301" applyNumberFormat="1" applyFont="1" applyFill="1" applyBorder="1"/>
    <xf numFmtId="39" fontId="177" fillId="34" borderId="79" xfId="301" applyNumberFormat="1" applyFont="1" applyFill="1" applyBorder="1"/>
    <xf numFmtId="173" fontId="177" fillId="34" borderId="79" xfId="301" applyNumberFormat="1" applyFont="1" applyFill="1" applyBorder="1"/>
    <xf numFmtId="39" fontId="176" fillId="34" borderId="79" xfId="301" applyNumberFormat="1" applyFont="1" applyFill="1" applyBorder="1"/>
    <xf numFmtId="173" fontId="176" fillId="34" borderId="182" xfId="301" applyNumberFormat="1" applyFont="1" applyFill="1" applyBorder="1"/>
    <xf numFmtId="0" fontId="173" fillId="0" borderId="45" xfId="0" applyFont="1" applyFill="1" applyBorder="1"/>
    <xf numFmtId="0" fontId="174" fillId="0" borderId="45" xfId="0" applyFont="1" applyFill="1" applyBorder="1" applyAlignment="1">
      <alignment horizontal="right"/>
    </xf>
    <xf numFmtId="173" fontId="176" fillId="0" borderId="45" xfId="301" applyNumberFormat="1" applyFont="1" applyFill="1" applyBorder="1"/>
    <xf numFmtId="0" fontId="174" fillId="38" borderId="42" xfId="0" applyFont="1" applyFill="1" applyBorder="1"/>
    <xf numFmtId="0" fontId="174" fillId="0" borderId="183" xfId="0" applyFont="1" applyBorder="1"/>
    <xf numFmtId="0" fontId="174" fillId="0" borderId="128" xfId="0" applyFont="1" applyBorder="1"/>
    <xf numFmtId="0" fontId="173" fillId="0" borderId="184" xfId="0" applyFont="1" applyBorder="1"/>
    <xf numFmtId="173" fontId="173" fillId="0" borderId="0" xfId="0" applyNumberFormat="1" applyFont="1"/>
    <xf numFmtId="0" fontId="173" fillId="0" borderId="44" xfId="0" applyFont="1" applyBorder="1"/>
    <xf numFmtId="0" fontId="173" fillId="0" borderId="38" xfId="0" applyFont="1" applyBorder="1"/>
    <xf numFmtId="173" fontId="173" fillId="0" borderId="38" xfId="301" applyNumberFormat="1" applyFont="1" applyFill="1" applyBorder="1"/>
    <xf numFmtId="173" fontId="173" fillId="0" borderId="46" xfId="301" applyNumberFormat="1" applyFont="1" applyFill="1" applyBorder="1"/>
    <xf numFmtId="0" fontId="174" fillId="25" borderId="185" xfId="0" applyFont="1" applyFill="1" applyBorder="1"/>
    <xf numFmtId="0" fontId="174" fillId="25" borderId="186" xfId="0" applyFont="1" applyFill="1" applyBorder="1"/>
    <xf numFmtId="0" fontId="174" fillId="25" borderId="187" xfId="0" applyFont="1" applyFill="1" applyBorder="1"/>
    <xf numFmtId="0" fontId="174" fillId="0" borderId="20" xfId="0" applyFont="1" applyFill="1" applyBorder="1"/>
    <xf numFmtId="0" fontId="174" fillId="25" borderId="188" xfId="0" applyFont="1" applyFill="1" applyBorder="1"/>
    <xf numFmtId="0" fontId="174" fillId="25" borderId="43" xfId="0" applyFont="1" applyFill="1" applyBorder="1"/>
    <xf numFmtId="0" fontId="174" fillId="25" borderId="15" xfId="0" applyFont="1" applyFill="1" applyBorder="1"/>
    <xf numFmtId="0" fontId="173" fillId="0" borderId="26" xfId="0" applyFont="1" applyBorder="1"/>
    <xf numFmtId="171" fontId="173" fillId="0" borderId="20" xfId="0" applyNumberFormat="1" applyFont="1" applyFill="1" applyBorder="1"/>
    <xf numFmtId="0" fontId="173" fillId="0" borderId="107" xfId="0" applyFont="1" applyBorder="1"/>
    <xf numFmtId="2" fontId="174" fillId="0" borderId="20" xfId="0" applyNumberFormat="1" applyFont="1" applyFill="1" applyBorder="1"/>
    <xf numFmtId="0" fontId="174" fillId="25" borderId="114" xfId="0" applyFont="1" applyFill="1" applyBorder="1"/>
    <xf numFmtId="171" fontId="174" fillId="0" borderId="20" xfId="0" applyNumberFormat="1" applyFont="1" applyFill="1" applyBorder="1"/>
    <xf numFmtId="0" fontId="173" fillId="0" borderId="189" xfId="0" applyFont="1" applyBorder="1"/>
    <xf numFmtId="0" fontId="173" fillId="0" borderId="190" xfId="0" applyFont="1" applyBorder="1"/>
    <xf numFmtId="0" fontId="173" fillId="0" borderId="191" xfId="0" applyFont="1" applyBorder="1"/>
    <xf numFmtId="0" fontId="173" fillId="0" borderId="20" xfId="0" applyFont="1" applyFill="1" applyBorder="1"/>
    <xf numFmtId="0" fontId="173" fillId="0" borderId="31" xfId="0" applyFont="1" applyBorder="1"/>
    <xf numFmtId="0" fontId="173" fillId="0" borderId="0" xfId="0" applyFont="1" applyFill="1" applyBorder="1"/>
    <xf numFmtId="0" fontId="173" fillId="0" borderId="0" xfId="0" applyFont="1" applyBorder="1"/>
    <xf numFmtId="0" fontId="173" fillId="0" borderId="23" xfId="0" applyFont="1" applyBorder="1"/>
    <xf numFmtId="2" fontId="173" fillId="0" borderId="20" xfId="0" applyNumberFormat="1" applyFont="1" applyFill="1" applyBorder="1"/>
    <xf numFmtId="43" fontId="131" fillId="0" borderId="183" xfId="301" applyNumberFormat="1" applyFont="1" applyFill="1" applyBorder="1" applyAlignment="1">
      <alignment horizontal="left"/>
    </xf>
    <xf numFmtId="43" fontId="131" fillId="0" borderId="164" xfId="301" applyNumberFormat="1" applyFont="1" applyFill="1" applyBorder="1" applyAlignment="1">
      <alignment horizontal="left"/>
    </xf>
    <xf numFmtId="43" fontId="131" fillId="0" borderId="128" xfId="301" applyNumberFormat="1" applyFont="1" applyFill="1" applyBorder="1" applyAlignment="1">
      <alignment horizontal="left"/>
    </xf>
    <xf numFmtId="43" fontId="131" fillId="0" borderId="192" xfId="301" applyNumberFormat="1" applyFont="1" applyFill="1" applyBorder="1" applyAlignment="1">
      <alignment horizontal="left"/>
    </xf>
    <xf numFmtId="43" fontId="131" fillId="0" borderId="42" xfId="301" applyNumberFormat="1" applyFont="1" applyFill="1" applyBorder="1" applyAlignment="1">
      <alignment horizontal="left"/>
    </xf>
    <xf numFmtId="43" fontId="131" fillId="0" borderId="36" xfId="301" applyNumberFormat="1" applyFont="1" applyFill="1" applyBorder="1" applyAlignment="1">
      <alignment horizontal="left"/>
    </xf>
    <xf numFmtId="43" fontId="131" fillId="0" borderId="18" xfId="301" applyNumberFormat="1" applyFont="1" applyFill="1" applyBorder="1" applyAlignment="1">
      <alignment horizontal="left"/>
    </xf>
    <xf numFmtId="0" fontId="173" fillId="0" borderId="78" xfId="0" applyFont="1" applyBorder="1"/>
    <xf numFmtId="43" fontId="131" fillId="0" borderId="78" xfId="301" applyNumberFormat="1" applyFont="1" applyFill="1" applyBorder="1" applyAlignment="1">
      <alignment horizontal="left"/>
    </xf>
    <xf numFmtId="0" fontId="174" fillId="0" borderId="164" xfId="0" applyFont="1" applyBorder="1"/>
    <xf numFmtId="0" fontId="174" fillId="0" borderId="192" xfId="0" applyFont="1" applyBorder="1"/>
    <xf numFmtId="0" fontId="174" fillId="38" borderId="181" xfId="0" applyFont="1" applyFill="1" applyBorder="1" applyAlignment="1">
      <alignment horizontal="right"/>
    </xf>
    <xf numFmtId="173" fontId="130" fillId="38" borderId="78" xfId="301" applyNumberFormat="1" applyFont="1" applyFill="1" applyBorder="1"/>
    <xf numFmtId="173" fontId="131" fillId="38" borderId="78" xfId="301" applyNumberFormat="1" applyFont="1" applyFill="1" applyBorder="1"/>
    <xf numFmtId="173" fontId="131" fillId="38" borderId="181" xfId="301" applyNumberFormat="1" applyFont="1" applyFill="1" applyBorder="1"/>
    <xf numFmtId="173" fontId="130" fillId="25" borderId="164" xfId="301" applyNumberFormat="1" applyFont="1" applyFill="1" applyBorder="1"/>
    <xf numFmtId="173" fontId="130" fillId="25" borderId="153" xfId="301" applyNumberFormat="1" applyFont="1" applyFill="1" applyBorder="1"/>
    <xf numFmtId="173" fontId="131" fillId="25" borderId="164" xfId="301" applyNumberFormat="1" applyFont="1" applyFill="1" applyBorder="1"/>
    <xf numFmtId="173" fontId="131" fillId="25" borderId="153" xfId="301" applyNumberFormat="1" applyFont="1" applyFill="1" applyBorder="1"/>
    <xf numFmtId="173" fontId="131" fillId="34" borderId="79" xfId="301" applyNumberFormat="1" applyFont="1" applyFill="1" applyBorder="1"/>
    <xf numFmtId="0" fontId="131" fillId="0" borderId="45" xfId="0" applyFont="1" applyFill="1" applyBorder="1"/>
    <xf numFmtId="173" fontId="131" fillId="0" borderId="45" xfId="301" applyNumberFormat="1" applyFont="1" applyFill="1" applyBorder="1"/>
    <xf numFmtId="173" fontId="131" fillId="0" borderId="37" xfId="301" applyNumberFormat="1" applyFont="1" applyFill="1" applyBorder="1"/>
    <xf numFmtId="173" fontId="131" fillId="0" borderId="41" xfId="301" applyNumberFormat="1" applyFont="1" applyFill="1" applyBorder="1"/>
    <xf numFmtId="0" fontId="131" fillId="0" borderId="25" xfId="0" applyFont="1" applyBorder="1"/>
    <xf numFmtId="39" fontId="131" fillId="0" borderId="164" xfId="0" applyNumberFormat="1" applyFont="1" applyBorder="1" applyAlignment="1">
      <alignment horizontal="center"/>
    </xf>
    <xf numFmtId="43" fontId="131" fillId="0" borderId="164" xfId="0" applyNumberFormat="1" applyFont="1" applyBorder="1" applyAlignment="1">
      <alignment horizontal="left"/>
    </xf>
    <xf numFmtId="39" fontId="131" fillId="0" borderId="192" xfId="0" applyNumberFormat="1" applyFont="1" applyBorder="1" applyAlignment="1">
      <alignment horizontal="center"/>
    </xf>
    <xf numFmtId="43" fontId="131" fillId="0" borderId="192" xfId="0" applyNumberFormat="1" applyFont="1" applyBorder="1" applyAlignment="1">
      <alignment horizontal="left"/>
    </xf>
    <xf numFmtId="39" fontId="131" fillId="0" borderId="78" xfId="0" applyNumberFormat="1" applyFont="1" applyBorder="1" applyAlignment="1">
      <alignment horizontal="center"/>
    </xf>
    <xf numFmtId="43" fontId="131" fillId="0" borderId="78" xfId="0" applyNumberFormat="1" applyFont="1" applyBorder="1" applyAlignment="1">
      <alignment horizontal="left"/>
    </xf>
    <xf numFmtId="39" fontId="131" fillId="0" borderId="36" xfId="0" applyNumberFormat="1" applyFont="1" applyBorder="1" applyAlignment="1">
      <alignment horizontal="center"/>
    </xf>
    <xf numFmtId="43" fontId="131" fillId="0" borderId="36" xfId="0" applyNumberFormat="1" applyFont="1" applyBorder="1" applyAlignment="1">
      <alignment horizontal="left"/>
    </xf>
    <xf numFmtId="173" fontId="131" fillId="0" borderId="1" xfId="0" applyNumberFormat="1" applyFont="1" applyBorder="1"/>
    <xf numFmtId="173" fontId="131" fillId="0" borderId="1" xfId="301" applyNumberFormat="1" applyFont="1" applyBorder="1"/>
    <xf numFmtId="171" fontId="131" fillId="0" borderId="30" xfId="0" applyNumberFormat="1" applyFont="1" applyBorder="1"/>
    <xf numFmtId="0" fontId="131" fillId="0" borderId="1" xfId="0" applyFont="1" applyBorder="1"/>
    <xf numFmtId="0" fontId="130" fillId="0" borderId="60" xfId="0" applyFont="1" applyBorder="1"/>
    <xf numFmtId="173" fontId="130" fillId="0" borderId="60" xfId="301" applyNumberFormat="1" applyFont="1" applyBorder="1"/>
    <xf numFmtId="171" fontId="130" fillId="0" borderId="126" xfId="0" applyNumberFormat="1" applyFont="1" applyBorder="1"/>
    <xf numFmtId="173" fontId="130" fillId="25" borderId="62" xfId="0" applyNumberFormat="1" applyFont="1" applyFill="1" applyBorder="1"/>
    <xf numFmtId="173" fontId="130" fillId="25" borderId="62" xfId="301" applyNumberFormat="1" applyFont="1" applyFill="1" applyBorder="1"/>
    <xf numFmtId="171" fontId="130" fillId="25" borderId="193" xfId="0" applyNumberFormat="1" applyFont="1" applyFill="1" applyBorder="1"/>
    <xf numFmtId="43" fontId="131" fillId="0" borderId="153" xfId="301" applyNumberFormat="1" applyFont="1" applyFill="1" applyBorder="1" applyAlignment="1">
      <alignment horizontal="left"/>
    </xf>
    <xf numFmtId="43" fontId="131" fillId="0" borderId="127" xfId="301" applyNumberFormat="1" applyFont="1" applyFill="1" applyBorder="1" applyAlignment="1">
      <alignment horizontal="left"/>
    </xf>
    <xf numFmtId="0" fontId="174" fillId="33" borderId="164" xfId="0" applyFont="1" applyFill="1" applyBorder="1"/>
    <xf numFmtId="43" fontId="131" fillId="33" borderId="183" xfId="301" applyNumberFormat="1" applyFont="1" applyFill="1" applyBorder="1" applyAlignment="1">
      <alignment horizontal="left"/>
    </xf>
    <xf numFmtId="39" fontId="131" fillId="33" borderId="164" xfId="0" applyNumberFormat="1" applyFont="1" applyFill="1" applyBorder="1" applyAlignment="1">
      <alignment horizontal="center"/>
    </xf>
    <xf numFmtId="43" fontId="131" fillId="33" borderId="164" xfId="0" applyNumberFormat="1" applyFont="1" applyFill="1" applyBorder="1" applyAlignment="1">
      <alignment horizontal="left"/>
    </xf>
    <xf numFmtId="43" fontId="131" fillId="33" borderId="164" xfId="301" applyNumberFormat="1" applyFont="1" applyFill="1" applyBorder="1" applyAlignment="1">
      <alignment horizontal="left"/>
    </xf>
    <xf numFmtId="43" fontId="131" fillId="33" borderId="153" xfId="301" applyNumberFormat="1" applyFont="1" applyFill="1" applyBorder="1" applyAlignment="1">
      <alignment horizontal="left"/>
    </xf>
    <xf numFmtId="0" fontId="174" fillId="33" borderId="78" xfId="0" applyFont="1" applyFill="1" applyBorder="1"/>
    <xf numFmtId="43" fontId="131" fillId="33" borderId="78" xfId="0" applyNumberFormat="1" applyFont="1" applyFill="1" applyBorder="1" applyAlignment="1">
      <alignment horizontal="left"/>
    </xf>
    <xf numFmtId="39" fontId="131" fillId="33" borderId="78" xfId="0" applyNumberFormat="1" applyFont="1" applyFill="1" applyBorder="1" applyAlignment="1">
      <alignment horizontal="center"/>
    </xf>
    <xf numFmtId="43" fontId="131" fillId="33" borderId="78" xfId="301" applyNumberFormat="1" applyFont="1" applyFill="1" applyBorder="1" applyAlignment="1">
      <alignment horizontal="left"/>
    </xf>
    <xf numFmtId="0" fontId="0" fillId="0" borderId="194" xfId="0" applyBorder="1"/>
    <xf numFmtId="0" fontId="0" fillId="0" borderId="195" xfId="0" applyBorder="1"/>
    <xf numFmtId="0" fontId="178" fillId="0" borderId="20" xfId="0" applyFont="1" applyBorder="1"/>
    <xf numFmtId="0" fontId="173" fillId="0" borderId="196" xfId="0" applyFont="1" applyBorder="1"/>
    <xf numFmtId="0" fontId="131" fillId="0" borderId="39" xfId="0" applyFont="1" applyBorder="1"/>
    <xf numFmtId="0" fontId="178" fillId="0" borderId="26" xfId="0" applyFont="1" applyBorder="1"/>
    <xf numFmtId="43" fontId="178" fillId="0" borderId="1" xfId="301" applyFont="1" applyBorder="1"/>
    <xf numFmtId="2" fontId="178" fillId="0" borderId="1" xfId="0" applyNumberFormat="1" applyFont="1" applyBorder="1" applyAlignment="1">
      <alignment horizontal="center"/>
    </xf>
    <xf numFmtId="171" fontId="178" fillId="0" borderId="39" xfId="0" applyNumberFormat="1" applyFont="1" applyBorder="1" applyAlignment="1">
      <alignment horizontal="center"/>
    </xf>
    <xf numFmtId="165" fontId="131" fillId="38" borderId="197" xfId="0" applyNumberFormat="1" applyFont="1" applyFill="1" applyBorder="1" applyAlignment="1">
      <alignment horizontal="center"/>
    </xf>
    <xf numFmtId="0" fontId="6" fillId="0" borderId="0" xfId="0" applyFont="1" applyFill="1"/>
    <xf numFmtId="173" fontId="179" fillId="0" borderId="36" xfId="0" applyNumberFormat="1" applyFont="1" applyFill="1" applyBorder="1"/>
    <xf numFmtId="3" fontId="179" fillId="0" borderId="36" xfId="0" applyNumberFormat="1" applyFont="1" applyFill="1" applyBorder="1"/>
    <xf numFmtId="0" fontId="180" fillId="0" borderId="36" xfId="0" applyFont="1" applyFill="1" applyBorder="1"/>
    <xf numFmtId="3" fontId="180" fillId="0" borderId="36" xfId="0" applyNumberFormat="1" applyFont="1" applyFill="1" applyBorder="1"/>
    <xf numFmtId="173" fontId="180" fillId="0" borderId="36" xfId="301" applyNumberFormat="1" applyFont="1" applyFill="1" applyBorder="1"/>
    <xf numFmtId="43" fontId="7" fillId="0" borderId="36" xfId="301" applyNumberFormat="1" applyFont="1" applyFill="1" applyBorder="1" applyAlignment="1">
      <alignment horizontal="center"/>
    </xf>
    <xf numFmtId="43" fontId="180" fillId="0" borderId="36" xfId="301" applyNumberFormat="1" applyFont="1" applyFill="1" applyBorder="1" applyAlignment="1">
      <alignment horizontal="center"/>
    </xf>
    <xf numFmtId="2" fontId="180" fillId="0" borderId="171" xfId="0" applyNumberFormat="1" applyFont="1" applyFill="1" applyBorder="1" applyAlignment="1">
      <alignment horizontal="center"/>
    </xf>
    <xf numFmtId="39" fontId="180" fillId="0" borderId="36" xfId="301" applyNumberFormat="1" applyFont="1" applyFill="1" applyBorder="1" applyAlignment="1">
      <alignment horizontal="center"/>
    </xf>
    <xf numFmtId="0" fontId="180" fillId="0" borderId="36" xfId="0" applyFont="1" applyFill="1" applyBorder="1" applyAlignment="1">
      <alignment horizontal="center"/>
    </xf>
    <xf numFmtId="43" fontId="0" fillId="0" borderId="63" xfId="301" applyFont="1" applyBorder="1"/>
    <xf numFmtId="43" fontId="0" fillId="0" borderId="55" xfId="301" applyFont="1" applyBorder="1"/>
    <xf numFmtId="43" fontId="0" fillId="0" borderId="135" xfId="301" applyFont="1" applyBorder="1"/>
    <xf numFmtId="0" fontId="0" fillId="0" borderId="198" xfId="0" applyBorder="1"/>
    <xf numFmtId="0" fontId="7" fillId="0" borderId="145" xfId="0" applyFont="1" applyBorder="1"/>
    <xf numFmtId="3" fontId="13" fillId="25" borderId="62" xfId="0" applyNumberFormat="1" applyFont="1" applyFill="1" applyBorder="1"/>
    <xf numFmtId="3" fontId="13" fillId="0" borderId="55" xfId="0" quotePrefix="1" applyNumberFormat="1" applyFont="1" applyFill="1" applyBorder="1"/>
    <xf numFmtId="173" fontId="13" fillId="0" borderId="55" xfId="301" applyNumberFormat="1" applyFont="1" applyFill="1" applyBorder="1"/>
    <xf numFmtId="173" fontId="13" fillId="0" borderId="55" xfId="301" applyNumberFormat="1" applyFont="1" applyBorder="1"/>
    <xf numFmtId="173" fontId="13" fillId="25" borderId="62" xfId="301" applyNumberFormat="1" applyFont="1" applyFill="1" applyBorder="1"/>
    <xf numFmtId="0" fontId="68" fillId="0" borderId="54" xfId="0" applyFont="1" applyBorder="1"/>
    <xf numFmtId="173" fontId="6" fillId="0" borderId="30" xfId="301" applyNumberFormat="1" applyFont="1" applyBorder="1"/>
    <xf numFmtId="0" fontId="6" fillId="0" borderId="55" xfId="0" applyFont="1" applyBorder="1"/>
    <xf numFmtId="173" fontId="6" fillId="0" borderId="1" xfId="301" applyNumberFormat="1" applyFont="1" applyFill="1" applyBorder="1"/>
    <xf numFmtId="173" fontId="6" fillId="0" borderId="1" xfId="301" applyNumberFormat="1" applyFont="1" applyBorder="1"/>
    <xf numFmtId="173" fontId="6" fillId="0" borderId="55" xfId="301" applyNumberFormat="1" applyFont="1" applyFill="1" applyBorder="1"/>
    <xf numFmtId="173" fontId="6" fillId="0" borderId="55" xfId="301" applyNumberFormat="1" applyFont="1" applyBorder="1"/>
    <xf numFmtId="173" fontId="6" fillId="0" borderId="135" xfId="301" applyNumberFormat="1" applyFont="1" applyBorder="1"/>
    <xf numFmtId="0" fontId="68" fillId="38" borderId="44" xfId="0" applyFont="1" applyFill="1" applyBorder="1"/>
    <xf numFmtId="0" fontId="0" fillId="38" borderId="38" xfId="0" applyFill="1" applyBorder="1"/>
    <xf numFmtId="0" fontId="0" fillId="38" borderId="46" xfId="0" applyFill="1" applyBorder="1"/>
    <xf numFmtId="0" fontId="209" fillId="0" borderId="78" xfId="0" applyFont="1" applyFill="1" applyBorder="1"/>
    <xf numFmtId="0" fontId="210" fillId="0" borderId="78" xfId="0" applyFont="1" applyBorder="1"/>
    <xf numFmtId="0" fontId="211" fillId="0" borderId="78" xfId="0" applyFont="1" applyBorder="1"/>
    <xf numFmtId="0" fontId="212" fillId="0" borderId="78" xfId="0" applyFont="1" applyBorder="1"/>
    <xf numFmtId="0" fontId="213" fillId="0" borderId="78" xfId="0" applyFont="1" applyBorder="1"/>
    <xf numFmtId="0" fontId="214" fillId="0" borderId="78" xfId="0" applyFont="1" applyBorder="1"/>
    <xf numFmtId="0" fontId="208" fillId="0" borderId="78" xfId="0" applyFont="1" applyBorder="1"/>
    <xf numFmtId="0" fontId="215" fillId="0" borderId="78" xfId="0" applyFont="1" applyBorder="1"/>
    <xf numFmtId="2" fontId="209" fillId="0" borderId="164" xfId="0" applyNumberFormat="1" applyFont="1" applyFill="1" applyBorder="1" applyAlignment="1">
      <alignment horizontal="center"/>
    </xf>
    <xf numFmtId="2" fontId="210" fillId="0" borderId="164" xfId="0" applyNumberFormat="1" applyFont="1" applyBorder="1" applyAlignment="1">
      <alignment horizontal="center"/>
    </xf>
    <xf numFmtId="165" fontId="211" fillId="0" borderId="164" xfId="0" applyNumberFormat="1" applyFont="1" applyBorder="1" applyAlignment="1">
      <alignment horizontal="center"/>
    </xf>
    <xf numFmtId="173" fontId="212" fillId="0" borderId="164" xfId="301" applyNumberFormat="1" applyFont="1" applyBorder="1" applyAlignment="1">
      <alignment horizontal="center"/>
    </xf>
    <xf numFmtId="173" fontId="213" fillId="0" borderId="164" xfId="301" applyNumberFormat="1" applyFont="1" applyBorder="1" applyAlignment="1">
      <alignment horizontal="center"/>
    </xf>
    <xf numFmtId="37" fontId="214" fillId="0" borderId="164" xfId="301" applyNumberFormat="1" applyFont="1" applyBorder="1" applyAlignment="1">
      <alignment horizontal="center"/>
    </xf>
    <xf numFmtId="173" fontId="208" fillId="0" borderId="164" xfId="301" applyNumberFormat="1" applyFont="1" applyBorder="1" applyAlignment="1">
      <alignment horizontal="center"/>
    </xf>
    <xf numFmtId="173" fontId="215" fillId="0" borderId="164" xfId="301" applyNumberFormat="1" applyFont="1" applyBorder="1" applyAlignment="1">
      <alignment horizontal="center"/>
    </xf>
    <xf numFmtId="2" fontId="210" fillId="0" borderId="164" xfId="0" applyNumberFormat="1" applyFont="1" applyFill="1" applyBorder="1" applyAlignment="1">
      <alignment horizontal="center"/>
    </xf>
    <xf numFmtId="0" fontId="211" fillId="0" borderId="164" xfId="0" applyFont="1" applyFill="1" applyBorder="1" applyAlignment="1">
      <alignment horizontal="center"/>
    </xf>
    <xf numFmtId="0" fontId="209" fillId="0" borderId="183" xfId="0" applyFont="1" applyFill="1" applyBorder="1" applyAlignment="1">
      <alignment horizontal="center"/>
    </xf>
    <xf numFmtId="0" fontId="209" fillId="0" borderId="164" xfId="0" applyFont="1" applyFill="1" applyBorder="1" applyAlignment="1">
      <alignment horizontal="center"/>
    </xf>
    <xf numFmtId="173" fontId="209" fillId="0" borderId="164" xfId="301" applyNumberFormat="1" applyFont="1" applyFill="1" applyBorder="1" applyAlignment="1">
      <alignment horizontal="center"/>
    </xf>
    <xf numFmtId="10" fontId="209" fillId="0" borderId="164" xfId="0" applyNumberFormat="1" applyFont="1" applyFill="1" applyBorder="1" applyAlignment="1">
      <alignment horizontal="center"/>
    </xf>
    <xf numFmtId="4" fontId="209" fillId="42" borderId="164" xfId="301" applyNumberFormat="1" applyFont="1" applyFill="1" applyBorder="1" applyAlignment="1">
      <alignment horizontal="center"/>
    </xf>
    <xf numFmtId="2" fontId="209" fillId="0" borderId="164" xfId="0" applyNumberFormat="1" applyFont="1" applyBorder="1" applyAlignment="1">
      <alignment horizontal="center"/>
    </xf>
    <xf numFmtId="0" fontId="211" fillId="0" borderId="164" xfId="0" applyFont="1" applyBorder="1" applyAlignment="1">
      <alignment horizontal="center"/>
    </xf>
    <xf numFmtId="0" fontId="216" fillId="42" borderId="199" xfId="0" applyFont="1" applyFill="1" applyBorder="1"/>
    <xf numFmtId="0" fontId="208" fillId="42" borderId="164" xfId="0" applyFont="1" applyFill="1" applyBorder="1"/>
    <xf numFmtId="10" fontId="208" fillId="42" borderId="164" xfId="0" applyNumberFormat="1" applyFont="1" applyFill="1" applyBorder="1"/>
    <xf numFmtId="4" fontId="208" fillId="42" borderId="164" xfId="0" applyNumberFormat="1" applyFont="1" applyFill="1" applyBorder="1"/>
    <xf numFmtId="43" fontId="208" fillId="42" borderId="164" xfId="301" applyNumberFormat="1" applyFont="1" applyFill="1" applyBorder="1"/>
    <xf numFmtId="0" fontId="216" fillId="0" borderId="200" xfId="0" applyFont="1" applyFill="1" applyBorder="1"/>
    <xf numFmtId="0" fontId="208" fillId="0" borderId="79" xfId="0" applyFont="1" applyFill="1" applyBorder="1"/>
    <xf numFmtId="10" fontId="208" fillId="0" borderId="79" xfId="0" applyNumberFormat="1" applyFont="1" applyFill="1" applyBorder="1"/>
    <xf numFmtId="4" fontId="208" fillId="0" borderId="79" xfId="0" applyNumberFormat="1" applyFont="1" applyFill="1" applyBorder="1"/>
    <xf numFmtId="43" fontId="208" fillId="0" borderId="79" xfId="301" applyNumberFormat="1" applyFont="1" applyFill="1" applyBorder="1"/>
    <xf numFmtId="0" fontId="217" fillId="0" borderId="200" xfId="0" applyFont="1" applyFill="1" applyBorder="1"/>
    <xf numFmtId="0" fontId="209" fillId="0" borderId="79" xfId="0" applyFont="1" applyFill="1" applyBorder="1"/>
    <xf numFmtId="10" fontId="209" fillId="0" borderId="79" xfId="0" applyNumberFormat="1" applyFont="1" applyFill="1" applyBorder="1"/>
    <xf numFmtId="4" fontId="209" fillId="0" borderId="79" xfId="0" applyNumberFormat="1" applyFont="1" applyFill="1" applyBorder="1"/>
    <xf numFmtId="43" fontId="209" fillId="0" borderId="79" xfId="301" applyNumberFormat="1" applyFont="1" applyFill="1" applyBorder="1"/>
    <xf numFmtId="0" fontId="216" fillId="29" borderId="199" xfId="0" applyFont="1" applyFill="1" applyBorder="1"/>
    <xf numFmtId="0" fontId="209" fillId="29" borderId="79" xfId="0" applyFont="1" applyFill="1" applyBorder="1"/>
    <xf numFmtId="10" fontId="209" fillId="29" borderId="79" xfId="0" applyNumberFormat="1" applyFont="1" applyFill="1" applyBorder="1"/>
    <xf numFmtId="4" fontId="217" fillId="29" borderId="79" xfId="0" applyNumberFormat="1" applyFont="1" applyFill="1" applyBorder="1"/>
    <xf numFmtId="43" fontId="209" fillId="29" borderId="79" xfId="301" applyNumberFormat="1" applyFont="1" applyFill="1" applyBorder="1"/>
    <xf numFmtId="0" fontId="209" fillId="0" borderId="201" xfId="0" applyFont="1" applyBorder="1"/>
    <xf numFmtId="0" fontId="209" fillId="0" borderId="202" xfId="0" applyFont="1" applyBorder="1"/>
    <xf numFmtId="43" fontId="209" fillId="0" borderId="202" xfId="301" applyNumberFormat="1" applyFont="1" applyBorder="1"/>
    <xf numFmtId="0" fontId="182" fillId="0" borderId="0" xfId="0" applyFont="1" applyAlignment="1"/>
    <xf numFmtId="0" fontId="182" fillId="0" borderId="0" xfId="0" applyFont="1" applyAlignment="1" applyProtection="1">
      <alignment vertical="top"/>
      <protection locked="0"/>
    </xf>
    <xf numFmtId="0" fontId="183" fillId="0" borderId="0" xfId="0" applyFont="1"/>
    <xf numFmtId="0" fontId="182" fillId="0" borderId="0" xfId="0" applyFont="1"/>
    <xf numFmtId="0" fontId="184" fillId="0" borderId="0" xfId="0" applyFont="1" applyFill="1"/>
    <xf numFmtId="49" fontId="182" fillId="0" borderId="0" xfId="0" applyNumberFormat="1" applyFont="1" applyFill="1" applyBorder="1"/>
    <xf numFmtId="0" fontId="182" fillId="0" borderId="0" xfId="0" applyFont="1" applyFill="1" applyBorder="1" applyAlignment="1">
      <alignment horizontal="center"/>
    </xf>
    <xf numFmtId="0" fontId="182" fillId="0" borderId="0" xfId="0" applyFont="1" applyFill="1" applyBorder="1"/>
    <xf numFmtId="0" fontId="184" fillId="0" borderId="0" xfId="0" applyFont="1"/>
    <xf numFmtId="0" fontId="182" fillId="0" borderId="0" xfId="0" applyFont="1" applyAlignment="1">
      <alignment horizontal="center"/>
    </xf>
    <xf numFmtId="0" fontId="182" fillId="34" borderId="0" xfId="0" applyFont="1" applyFill="1"/>
    <xf numFmtId="0" fontId="182" fillId="41" borderId="0" xfId="0" applyFont="1" applyFill="1"/>
    <xf numFmtId="49" fontId="182" fillId="0" borderId="0" xfId="0" applyNumberFormat="1" applyFont="1" applyFill="1" applyBorder="1" applyAlignment="1">
      <alignment horizontal="center"/>
    </xf>
    <xf numFmtId="49" fontId="185" fillId="0" borderId="0" xfId="0" applyNumberFormat="1" applyFont="1" applyFill="1" applyBorder="1" applyAlignment="1">
      <alignment horizontal="center"/>
    </xf>
    <xf numFmtId="0" fontId="182" fillId="0" borderId="203" xfId="0" applyFont="1" applyFill="1" applyBorder="1"/>
    <xf numFmtId="0" fontId="184" fillId="0" borderId="204" xfId="0" applyFont="1" applyFill="1" applyBorder="1" applyAlignment="1">
      <alignment horizontal="center"/>
    </xf>
    <xf numFmtId="0" fontId="184" fillId="0" borderId="204" xfId="0" applyFont="1" applyFill="1" applyBorder="1" applyAlignment="1">
      <alignment textRotation="90" wrapText="1" shrinkToFit="1"/>
    </xf>
    <xf numFmtId="49" fontId="184" fillId="0" borderId="204" xfId="0" applyNumberFormat="1" applyFont="1" applyFill="1" applyBorder="1" applyAlignment="1">
      <alignment horizontal="center" textRotation="90" wrapText="1" shrinkToFit="1"/>
    </xf>
    <xf numFmtId="0" fontId="184" fillId="0" borderId="204" xfId="0" applyFont="1" applyFill="1" applyBorder="1" applyAlignment="1">
      <alignment horizontal="center" textRotation="90" wrapText="1"/>
    </xf>
    <xf numFmtId="49" fontId="182" fillId="0" borderId="204" xfId="0" applyNumberFormat="1" applyFont="1" applyFill="1" applyBorder="1" applyAlignment="1">
      <alignment textRotation="90" wrapText="1"/>
    </xf>
    <xf numFmtId="49" fontId="182" fillId="0" borderId="204" xfId="0" applyNumberFormat="1" applyFont="1" applyFill="1" applyBorder="1" applyAlignment="1">
      <alignment horizontal="center" textRotation="90" wrapText="1"/>
    </xf>
    <xf numFmtId="0" fontId="184" fillId="36" borderId="204" xfId="0" applyFont="1" applyFill="1" applyBorder="1" applyAlignment="1">
      <alignment textRotation="90" wrapText="1"/>
    </xf>
    <xf numFmtId="0" fontId="184" fillId="22" borderId="204" xfId="0" applyFont="1" applyFill="1" applyBorder="1" applyAlignment="1">
      <alignment textRotation="90" wrapText="1"/>
    </xf>
    <xf numFmtId="0" fontId="184" fillId="0" borderId="204" xfId="0" applyFont="1" applyFill="1" applyBorder="1" applyAlignment="1">
      <alignment textRotation="90" wrapText="1"/>
    </xf>
    <xf numFmtId="0" fontId="184" fillId="0" borderId="205" xfId="0" applyFont="1" applyFill="1" applyBorder="1" applyAlignment="1">
      <alignment textRotation="90" wrapText="1"/>
    </xf>
    <xf numFmtId="0" fontId="182" fillId="0" borderId="206" xfId="0" applyFont="1" applyFill="1" applyBorder="1"/>
    <xf numFmtId="0" fontId="182" fillId="0" borderId="207" xfId="0" applyFont="1" applyFill="1" applyBorder="1"/>
    <xf numFmtId="49" fontId="182" fillId="0" borderId="207" xfId="0" applyNumberFormat="1" applyFont="1" applyFill="1" applyBorder="1" applyAlignment="1">
      <alignment horizontal="center"/>
    </xf>
    <xf numFmtId="0" fontId="182" fillId="0" borderId="207" xfId="0" applyFont="1" applyFill="1" applyBorder="1" applyAlignment="1">
      <alignment horizontal="center"/>
    </xf>
    <xf numFmtId="49" fontId="182" fillId="0" borderId="207" xfId="0" applyNumberFormat="1" applyFont="1" applyFill="1" applyBorder="1"/>
    <xf numFmtId="0" fontId="182" fillId="36" borderId="207" xfId="0" applyFont="1" applyFill="1" applyBorder="1"/>
    <xf numFmtId="0" fontId="182" fillId="22" borderId="207" xfId="0" applyFont="1" applyFill="1" applyBorder="1"/>
    <xf numFmtId="4" fontId="182" fillId="0" borderId="207" xfId="0" applyNumberFormat="1" applyFont="1" applyFill="1" applyBorder="1"/>
    <xf numFmtId="0" fontId="182" fillId="0" borderId="208" xfId="0" applyFont="1" applyFill="1" applyBorder="1"/>
    <xf numFmtId="0" fontId="184" fillId="0" borderId="206" xfId="0" applyFont="1" applyFill="1" applyBorder="1"/>
    <xf numFmtId="0" fontId="182" fillId="34" borderId="207" xfId="0" applyFont="1" applyFill="1" applyBorder="1"/>
    <xf numFmtId="170" fontId="182" fillId="34" borderId="207" xfId="0" applyNumberFormat="1" applyFont="1" applyFill="1" applyBorder="1"/>
    <xf numFmtId="200" fontId="182" fillId="34" borderId="207" xfId="301" applyNumberFormat="1" applyFont="1" applyFill="1" applyBorder="1" applyAlignment="1" applyProtection="1"/>
    <xf numFmtId="3" fontId="182" fillId="34" borderId="207" xfId="301" applyNumberFormat="1" applyFont="1" applyFill="1" applyBorder="1" applyAlignment="1" applyProtection="1">
      <alignment horizontal="center"/>
    </xf>
    <xf numFmtId="3" fontId="182" fillId="34" borderId="207" xfId="0" applyNumberFormat="1" applyFont="1" applyFill="1" applyBorder="1" applyAlignment="1">
      <alignment horizontal="center"/>
    </xf>
    <xf numFmtId="0" fontId="182" fillId="34" borderId="207" xfId="0" applyFont="1" applyFill="1" applyBorder="1" applyAlignment="1">
      <alignment horizontal="center"/>
    </xf>
    <xf numFmtId="1" fontId="182" fillId="34" borderId="207" xfId="0" applyNumberFormat="1" applyFont="1" applyFill="1" applyBorder="1" applyAlignment="1">
      <alignment horizontal="center"/>
    </xf>
    <xf numFmtId="11" fontId="182" fillId="34" borderId="207" xfId="0" applyNumberFormat="1" applyFont="1" applyFill="1" applyBorder="1"/>
    <xf numFmtId="9" fontId="182" fillId="34" borderId="207" xfId="0" applyNumberFormat="1" applyFont="1" applyFill="1" applyBorder="1"/>
    <xf numFmtId="3" fontId="182" fillId="34" borderId="207" xfId="0" applyNumberFormat="1" applyFont="1" applyFill="1" applyBorder="1"/>
    <xf numFmtId="4" fontId="182" fillId="34" borderId="207" xfId="0" applyNumberFormat="1" applyFont="1" applyFill="1" applyBorder="1"/>
    <xf numFmtId="4" fontId="182" fillId="34" borderId="208" xfId="0" applyNumberFormat="1" applyFont="1" applyFill="1" applyBorder="1"/>
    <xf numFmtId="170" fontId="182" fillId="0" borderId="207" xfId="0" applyNumberFormat="1" applyFont="1" applyFill="1" applyBorder="1"/>
    <xf numFmtId="200" fontId="182" fillId="0" borderId="207" xfId="301" applyNumberFormat="1" applyFont="1" applyFill="1" applyBorder="1" applyAlignment="1" applyProtection="1"/>
    <xf numFmtId="3" fontId="182" fillId="0" borderId="207" xfId="0" applyNumberFormat="1" applyFont="1" applyFill="1" applyBorder="1" applyAlignment="1">
      <alignment horizontal="center"/>
    </xf>
    <xf numFmtId="1" fontId="182" fillId="0" borderId="207" xfId="0" applyNumberFormat="1" applyFont="1" applyFill="1" applyBorder="1" applyAlignment="1">
      <alignment horizontal="center"/>
    </xf>
    <xf numFmtId="11" fontId="182" fillId="36" borderId="207" xfId="0" applyNumberFormat="1" applyFont="1" applyFill="1" applyBorder="1"/>
    <xf numFmtId="11" fontId="182" fillId="22" borderId="207" xfId="0" applyNumberFormat="1" applyFont="1" applyFill="1" applyBorder="1"/>
    <xf numFmtId="9" fontId="182" fillId="0" borderId="207" xfId="0" applyNumberFormat="1" applyFont="1" applyFill="1" applyBorder="1"/>
    <xf numFmtId="3" fontId="182" fillId="0" borderId="207" xfId="0" applyNumberFormat="1" applyFont="1" applyFill="1" applyBorder="1"/>
    <xf numFmtId="4" fontId="182" fillId="0" borderId="208" xfId="0" applyNumberFormat="1" applyFont="1" applyFill="1" applyBorder="1"/>
    <xf numFmtId="0" fontId="182" fillId="41" borderId="207" xfId="0" applyFont="1" applyFill="1" applyBorder="1"/>
    <xf numFmtId="170" fontId="182" fillId="41" borderId="207" xfId="0" applyNumberFormat="1" applyFont="1" applyFill="1" applyBorder="1"/>
    <xf numFmtId="200" fontId="182" fillId="41" borderId="207" xfId="301" applyNumberFormat="1" applyFont="1" applyFill="1" applyBorder="1" applyAlignment="1" applyProtection="1"/>
    <xf numFmtId="3" fontId="182" fillId="41" borderId="207" xfId="0" applyNumberFormat="1" applyFont="1" applyFill="1" applyBorder="1" applyAlignment="1">
      <alignment horizontal="center"/>
    </xf>
    <xf numFmtId="0" fontId="182" fillId="41" borderId="207" xfId="0" applyFont="1" applyFill="1" applyBorder="1" applyAlignment="1">
      <alignment horizontal="center"/>
    </xf>
    <xf numFmtId="1" fontId="182" fillId="41" borderId="207" xfId="0" applyNumberFormat="1" applyFont="1" applyFill="1" applyBorder="1" applyAlignment="1">
      <alignment horizontal="center"/>
    </xf>
    <xf numFmtId="9" fontId="182" fillId="41" borderId="207" xfId="0" applyNumberFormat="1" applyFont="1" applyFill="1" applyBorder="1"/>
    <xf numFmtId="3" fontId="182" fillId="41" borderId="207" xfId="0" applyNumberFormat="1" applyFont="1" applyFill="1" applyBorder="1"/>
    <xf numFmtId="10" fontId="182" fillId="41" borderId="207" xfId="0" applyNumberFormat="1" applyFont="1" applyFill="1" applyBorder="1"/>
    <xf numFmtId="4" fontId="182" fillId="41" borderId="207" xfId="0" applyNumberFormat="1" applyFont="1" applyFill="1" applyBorder="1"/>
    <xf numFmtId="4" fontId="182" fillId="41" borderId="207" xfId="301" applyNumberFormat="1" applyFont="1" applyFill="1" applyBorder="1" applyAlignment="1" applyProtection="1"/>
    <xf numFmtId="9" fontId="182" fillId="41" borderId="207" xfId="301" applyNumberFormat="1" applyFont="1" applyFill="1" applyBorder="1" applyAlignment="1" applyProtection="1"/>
    <xf numFmtId="200" fontId="182" fillId="41" borderId="207" xfId="0" applyNumberFormat="1" applyFont="1" applyFill="1" applyBorder="1"/>
    <xf numFmtId="200" fontId="182" fillId="41" borderId="208" xfId="301" applyNumberFormat="1" applyFont="1" applyFill="1" applyBorder="1" applyAlignment="1" applyProtection="1"/>
    <xf numFmtId="2" fontId="182" fillId="41" borderId="207" xfId="0" applyNumberFormat="1" applyFont="1" applyFill="1" applyBorder="1"/>
    <xf numFmtId="4" fontId="182" fillId="41" borderId="208" xfId="0" applyNumberFormat="1" applyFont="1" applyFill="1" applyBorder="1"/>
    <xf numFmtId="43" fontId="182" fillId="34" borderId="207" xfId="301" applyFont="1" applyFill="1" applyBorder="1"/>
    <xf numFmtId="4" fontId="182" fillId="0" borderId="207" xfId="301" applyNumberFormat="1" applyFont="1" applyFill="1" applyBorder="1" applyAlignment="1" applyProtection="1"/>
    <xf numFmtId="9" fontId="182" fillId="0" borderId="207" xfId="301" applyNumberFormat="1" applyFont="1" applyFill="1" applyBorder="1" applyAlignment="1" applyProtection="1"/>
    <xf numFmtId="4" fontId="182" fillId="0" borderId="208" xfId="301" applyNumberFormat="1" applyFont="1" applyFill="1" applyBorder="1" applyAlignment="1" applyProtection="1"/>
    <xf numFmtId="200" fontId="182" fillId="0" borderId="207" xfId="0" applyNumberFormat="1" applyFont="1" applyFill="1" applyBorder="1"/>
    <xf numFmtId="11" fontId="182" fillId="0" borderId="207" xfId="0" applyNumberFormat="1" applyFont="1" applyFill="1" applyBorder="1"/>
    <xf numFmtId="9" fontId="218" fillId="41" borderId="207" xfId="0" applyNumberFormat="1" applyFont="1" applyFill="1" applyBorder="1"/>
    <xf numFmtId="0" fontId="130" fillId="0" borderId="206" xfId="0" applyFont="1" applyFill="1" applyBorder="1"/>
    <xf numFmtId="200" fontId="131" fillId="41" borderId="207" xfId="301" applyNumberFormat="1" applyFont="1" applyFill="1" applyBorder="1"/>
    <xf numFmtId="43" fontId="182" fillId="0" borderId="207" xfId="301" applyFont="1" applyFill="1" applyBorder="1"/>
    <xf numFmtId="11" fontId="0" fillId="36" borderId="207" xfId="0" applyNumberFormat="1" applyFill="1" applyBorder="1"/>
    <xf numFmtId="11" fontId="0" fillId="22" borderId="207" xfId="0" applyNumberFormat="1" applyFill="1" applyBorder="1"/>
    <xf numFmtId="0" fontId="184" fillId="0" borderId="207" xfId="0" applyFont="1" applyFill="1" applyBorder="1"/>
    <xf numFmtId="0" fontId="182" fillId="0" borderId="209" xfId="0" applyFont="1" applyFill="1" applyBorder="1"/>
    <xf numFmtId="0" fontId="182" fillId="0" borderId="210" xfId="0" applyFont="1" applyFill="1" applyBorder="1"/>
    <xf numFmtId="11" fontId="130" fillId="36" borderId="210" xfId="0" applyNumberFormat="1" applyFont="1" applyFill="1" applyBorder="1"/>
    <xf numFmtId="11" fontId="130" fillId="22" borderId="210" xfId="0" applyNumberFormat="1" applyFont="1" applyFill="1" applyBorder="1"/>
    <xf numFmtId="3" fontId="182" fillId="0" borderId="210" xfId="0" applyNumberFormat="1" applyFont="1" applyFill="1" applyBorder="1"/>
    <xf numFmtId="4" fontId="182" fillId="0" borderId="210" xfId="0" applyNumberFormat="1" applyFont="1" applyFill="1" applyBorder="1"/>
    <xf numFmtId="4" fontId="184" fillId="0" borderId="210" xfId="0" applyNumberFormat="1" applyFont="1" applyFill="1" applyBorder="1"/>
    <xf numFmtId="0" fontId="184" fillId="0" borderId="210" xfId="0" applyFont="1" applyFill="1" applyBorder="1"/>
    <xf numFmtId="4" fontId="182" fillId="0" borderId="211" xfId="0" applyNumberFormat="1" applyFont="1" applyFill="1" applyBorder="1"/>
    <xf numFmtId="0" fontId="182" fillId="0" borderId="0" xfId="0" applyFont="1" applyFill="1"/>
    <xf numFmtId="200" fontId="182" fillId="0" borderId="0" xfId="301" applyNumberFormat="1" applyFont="1" applyFill="1" applyBorder="1" applyAlignment="1" applyProtection="1"/>
    <xf numFmtId="3" fontId="182" fillId="0" borderId="0" xfId="0" applyNumberFormat="1" applyFont="1" applyFill="1"/>
    <xf numFmtId="4" fontId="182" fillId="0" borderId="0" xfId="0" applyNumberFormat="1" applyFont="1" applyFill="1"/>
    <xf numFmtId="0" fontId="184" fillId="38" borderId="203" xfId="0" applyFont="1" applyFill="1" applyBorder="1" applyAlignment="1"/>
    <xf numFmtId="0" fontId="184" fillId="38" borderId="204" xfId="0" applyFont="1" applyFill="1" applyBorder="1" applyAlignment="1"/>
    <xf numFmtId="200" fontId="182" fillId="38" borderId="204" xfId="0" applyNumberFormat="1" applyFont="1" applyFill="1" applyBorder="1"/>
    <xf numFmtId="3" fontId="130" fillId="0" borderId="204" xfId="0" applyNumberFormat="1" applyFont="1" applyFill="1" applyBorder="1"/>
    <xf numFmtId="0" fontId="182" fillId="38" borderId="204" xfId="0" applyFont="1" applyFill="1" applyBorder="1"/>
    <xf numFmtId="3" fontId="184" fillId="0" borderId="204" xfId="0" applyNumberFormat="1" applyFont="1" applyFill="1" applyBorder="1"/>
    <xf numFmtId="0" fontId="182" fillId="0" borderId="204" xfId="0" applyFont="1" applyFill="1" applyBorder="1"/>
    <xf numFmtId="3" fontId="182" fillId="0" borderId="204" xfId="0" applyNumberFormat="1" applyFont="1" applyFill="1" applyBorder="1"/>
    <xf numFmtId="3" fontId="182" fillId="0" borderId="205" xfId="0" applyNumberFormat="1" applyFont="1" applyFill="1" applyBorder="1"/>
    <xf numFmtId="200" fontId="184" fillId="0" borderId="0" xfId="0" applyNumberFormat="1" applyFont="1" applyFill="1"/>
    <xf numFmtId="0" fontId="182" fillId="38" borderId="207" xfId="0" applyFont="1" applyFill="1" applyBorder="1"/>
    <xf numFmtId="201" fontId="184" fillId="0" borderId="207" xfId="301" applyNumberFormat="1" applyFont="1" applyFill="1" applyBorder="1" applyAlignment="1" applyProtection="1"/>
    <xf numFmtId="201" fontId="182" fillId="0" borderId="207" xfId="301" applyNumberFormat="1" applyFont="1" applyFill="1" applyBorder="1" applyAlignment="1" applyProtection="1"/>
    <xf numFmtId="0" fontId="184" fillId="0" borderId="207" xfId="0" applyFont="1" applyFill="1" applyBorder="1" applyAlignment="1"/>
    <xf numFmtId="201" fontId="184" fillId="0" borderId="208" xfId="301" applyNumberFormat="1" applyFont="1" applyFill="1" applyBorder="1" applyAlignment="1" applyProtection="1"/>
    <xf numFmtId="0" fontId="0" fillId="0" borderId="206" xfId="0" applyBorder="1"/>
    <xf numFmtId="0" fontId="0" fillId="0" borderId="207" xfId="0" applyBorder="1"/>
    <xf numFmtId="201" fontId="184" fillId="0" borderId="208" xfId="0" applyNumberFormat="1" applyFont="1" applyFill="1" applyBorder="1"/>
    <xf numFmtId="0" fontId="182" fillId="25" borderId="207" xfId="0" applyFont="1" applyFill="1" applyBorder="1"/>
    <xf numFmtId="0" fontId="182" fillId="25" borderId="208" xfId="0" applyFont="1" applyFill="1" applyBorder="1"/>
    <xf numFmtId="201" fontId="184" fillId="0" borderId="207" xfId="0" applyNumberFormat="1" applyFont="1" applyFill="1" applyBorder="1"/>
    <xf numFmtId="200" fontId="184" fillId="0" borderId="207" xfId="301" applyNumberFormat="1" applyFont="1" applyFill="1" applyBorder="1" applyAlignment="1" applyProtection="1"/>
    <xf numFmtId="0" fontId="182" fillId="25" borderId="206" xfId="0" applyFont="1" applyFill="1" applyBorder="1"/>
    <xf numFmtId="0" fontId="182" fillId="0" borderId="207" xfId="0" applyFont="1" applyFill="1" applyBorder="1" applyAlignment="1"/>
    <xf numFmtId="202" fontId="184" fillId="0" borderId="208" xfId="0" applyNumberFormat="1" applyFont="1" applyFill="1" applyBorder="1"/>
    <xf numFmtId="0" fontId="182" fillId="38" borderId="210" xfId="0" applyFont="1" applyFill="1" applyBorder="1"/>
    <xf numFmtId="0" fontId="182" fillId="0" borderId="211" xfId="0" applyFont="1" applyFill="1" applyBorder="1"/>
    <xf numFmtId="0" fontId="209" fillId="0" borderId="0" xfId="0" applyFont="1"/>
    <xf numFmtId="0" fontId="209" fillId="0" borderId="97" xfId="0" applyFont="1" applyBorder="1"/>
    <xf numFmtId="0" fontId="209" fillId="0" borderId="98" xfId="0" applyFont="1" applyBorder="1"/>
    <xf numFmtId="0" fontId="209" fillId="0" borderId="1" xfId="0" applyFont="1" applyBorder="1"/>
    <xf numFmtId="0" fontId="209" fillId="0" borderId="100" xfId="0" applyFont="1" applyBorder="1"/>
    <xf numFmtId="0" fontId="209" fillId="0" borderId="0" xfId="0" applyFont="1" applyFill="1"/>
    <xf numFmtId="0" fontId="209" fillId="0" borderId="212" xfId="0" applyFont="1" applyBorder="1" applyAlignment="1"/>
    <xf numFmtId="0" fontId="209" fillId="0" borderId="213" xfId="0" applyFont="1" applyBorder="1" applyAlignment="1"/>
    <xf numFmtId="0" fontId="209" fillId="0" borderId="60" xfId="0" applyFont="1" applyBorder="1"/>
    <xf numFmtId="0" fontId="209" fillId="0" borderId="214" xfId="0" applyFont="1" applyBorder="1"/>
    <xf numFmtId="0" fontId="209" fillId="0" borderId="101" xfId="0" applyFont="1" applyBorder="1"/>
    <xf numFmtId="0" fontId="209" fillId="0" borderId="33" xfId="0" applyFont="1" applyBorder="1"/>
    <xf numFmtId="0" fontId="209" fillId="0" borderId="102" xfId="0" applyFont="1" applyBorder="1"/>
    <xf numFmtId="0" fontId="209" fillId="0" borderId="0" xfId="0" applyFont="1" applyBorder="1"/>
    <xf numFmtId="0" fontId="209" fillId="0" borderId="215" xfId="0" applyFont="1" applyFill="1" applyBorder="1"/>
    <xf numFmtId="0" fontId="217" fillId="0" borderId="216" xfId="0" applyFont="1" applyFill="1" applyBorder="1" applyAlignment="1">
      <alignment horizontal="center" textRotation="90"/>
    </xf>
    <xf numFmtId="0" fontId="210" fillId="0" borderId="216" xfId="0" applyFont="1" applyFill="1" applyBorder="1" applyAlignment="1">
      <alignment horizontal="center" textRotation="90"/>
    </xf>
    <xf numFmtId="0" fontId="211" fillId="0" borderId="216" xfId="0" applyFont="1" applyFill="1" applyBorder="1" applyAlignment="1">
      <alignment horizontal="center" textRotation="90"/>
    </xf>
    <xf numFmtId="0" fontId="216" fillId="0" borderId="216" xfId="0" applyFont="1" applyFill="1" applyBorder="1" applyAlignment="1">
      <alignment horizontal="center" textRotation="90"/>
    </xf>
    <xf numFmtId="0" fontId="219" fillId="0" borderId="216" xfId="0" applyFont="1" applyFill="1" applyBorder="1" applyAlignment="1">
      <alignment horizontal="center" textRotation="90"/>
    </xf>
    <xf numFmtId="0" fontId="220" fillId="0" borderId="216" xfId="0" applyFont="1" applyFill="1" applyBorder="1" applyAlignment="1">
      <alignment horizontal="center" textRotation="90"/>
    </xf>
    <xf numFmtId="0" fontId="221" fillId="0" borderId="216" xfId="0" applyFont="1" applyFill="1" applyBorder="1" applyAlignment="1">
      <alignment horizontal="center" textRotation="90"/>
    </xf>
    <xf numFmtId="0" fontId="222" fillId="0" borderId="216" xfId="0" applyFont="1" applyFill="1" applyBorder="1" applyAlignment="1">
      <alignment horizontal="center" textRotation="90"/>
    </xf>
    <xf numFmtId="0" fontId="209" fillId="0" borderId="217" xfId="0" applyFont="1" applyBorder="1"/>
    <xf numFmtId="0" fontId="209" fillId="0" borderId="218" xfId="0" applyFont="1" applyBorder="1"/>
    <xf numFmtId="0" fontId="209" fillId="0" borderId="78" xfId="0" applyFont="1" applyBorder="1"/>
    <xf numFmtId="0" fontId="209" fillId="0" borderId="183" xfId="0" applyFont="1" applyBorder="1" applyAlignment="1">
      <alignment horizontal="center"/>
    </xf>
    <xf numFmtId="0" fontId="209" fillId="0" borderId="164" xfId="0" applyFont="1" applyBorder="1" applyAlignment="1">
      <alignment horizontal="center"/>
    </xf>
    <xf numFmtId="173" fontId="209" fillId="0" borderId="164" xfId="301" applyNumberFormat="1" applyFont="1" applyBorder="1" applyAlignment="1">
      <alignment horizontal="center"/>
    </xf>
    <xf numFmtId="10" fontId="209" fillId="0" borderId="164" xfId="0" applyNumberFormat="1" applyFont="1" applyBorder="1" applyAlignment="1">
      <alignment horizontal="center"/>
    </xf>
    <xf numFmtId="43" fontId="209" fillId="0" borderId="164" xfId="301" applyNumberFormat="1" applyFont="1" applyBorder="1" applyAlignment="1">
      <alignment horizontal="center"/>
    </xf>
    <xf numFmtId="174" fontId="209" fillId="0" borderId="164" xfId="301" applyNumberFormat="1" applyFont="1" applyBorder="1" applyAlignment="1">
      <alignment horizontal="center"/>
    </xf>
    <xf numFmtId="199" fontId="209" fillId="0" borderId="164" xfId="301" applyNumberFormat="1" applyFont="1" applyBorder="1" applyAlignment="1">
      <alignment horizontal="center"/>
    </xf>
    <xf numFmtId="0" fontId="217" fillId="0" borderId="164" xfId="0" applyFont="1" applyFill="1" applyBorder="1" applyAlignment="1">
      <alignment horizontal="center"/>
    </xf>
    <xf numFmtId="43" fontId="209" fillId="0" borderId="164" xfId="301" applyNumberFormat="1" applyFont="1" applyFill="1" applyBorder="1" applyAlignment="1">
      <alignment horizontal="center"/>
    </xf>
    <xf numFmtId="2" fontId="209" fillId="0" borderId="183" xfId="0" applyNumberFormat="1" applyFont="1" applyFill="1" applyBorder="1" applyAlignment="1">
      <alignment horizontal="center"/>
    </xf>
    <xf numFmtId="0" fontId="209" fillId="0" borderId="199" xfId="0" applyFont="1" applyBorder="1"/>
    <xf numFmtId="0" fontId="209" fillId="0" borderId="14" xfId="0" applyFont="1" applyBorder="1" applyAlignment="1"/>
    <xf numFmtId="0" fontId="209" fillId="0" borderId="219" xfId="0" applyFont="1" applyBorder="1" applyAlignment="1"/>
    <xf numFmtId="0" fontId="209" fillId="0" borderId="220" xfId="0" applyFont="1" applyBorder="1"/>
    <xf numFmtId="0" fontId="209" fillId="0" borderId="221" xfId="0" applyFont="1" applyBorder="1"/>
    <xf numFmtId="0" fontId="209" fillId="0" borderId="40" xfId="0" applyFont="1" applyBorder="1"/>
    <xf numFmtId="0" fontId="209" fillId="0" borderId="222" xfId="0" applyFont="1" applyBorder="1"/>
    <xf numFmtId="0" fontId="209" fillId="0" borderId="223" xfId="0" applyFont="1" applyBorder="1"/>
    <xf numFmtId="0" fontId="209" fillId="0" borderId="216" xfId="0" applyFont="1" applyBorder="1"/>
    <xf numFmtId="0" fontId="209" fillId="0" borderId="164" xfId="0" applyFont="1" applyBorder="1"/>
    <xf numFmtId="11" fontId="209" fillId="0" borderId="164" xfId="0" applyNumberFormat="1" applyFont="1" applyBorder="1"/>
    <xf numFmtId="0" fontId="207" fillId="0" borderId="164" xfId="0" applyFont="1" applyBorder="1" applyAlignment="1"/>
    <xf numFmtId="0" fontId="209" fillId="0" borderId="79" xfId="0" applyFont="1" applyBorder="1"/>
    <xf numFmtId="10" fontId="209" fillId="0" borderId="79" xfId="0" applyNumberFormat="1" applyFont="1" applyBorder="1"/>
    <xf numFmtId="0" fontId="209" fillId="0" borderId="79" xfId="0" applyNumberFormat="1" applyFont="1" applyBorder="1"/>
    <xf numFmtId="2" fontId="223" fillId="0" borderId="164" xfId="0" applyNumberFormat="1" applyFont="1" applyFill="1" applyBorder="1" applyAlignment="1">
      <alignment horizontal="center"/>
    </xf>
    <xf numFmtId="0" fontId="210" fillId="0" borderId="192" xfId="0" applyFont="1" applyBorder="1" applyAlignment="1">
      <alignment textRotation="90"/>
    </xf>
    <xf numFmtId="0" fontId="211" fillId="0" borderId="192" xfId="0" applyFont="1" applyBorder="1" applyAlignment="1">
      <alignment textRotation="90"/>
    </xf>
    <xf numFmtId="0" fontId="209" fillId="0" borderId="0" xfId="0" applyFont="1" applyAlignment="1">
      <alignment textRotation="90"/>
    </xf>
    <xf numFmtId="0" fontId="0" fillId="0" borderId="0" xfId="0" applyAlignment="1">
      <alignment textRotation="90"/>
    </xf>
    <xf numFmtId="0" fontId="209" fillId="43" borderId="78" xfId="0" applyFont="1" applyFill="1" applyBorder="1"/>
    <xf numFmtId="0" fontId="209" fillId="37" borderId="78" xfId="0" applyFont="1" applyFill="1" applyBorder="1"/>
    <xf numFmtId="0" fontId="209" fillId="41" borderId="78" xfId="0" applyFont="1" applyFill="1" applyBorder="1"/>
    <xf numFmtId="0" fontId="217" fillId="0" borderId="192" xfId="0" applyFont="1" applyBorder="1" applyAlignment="1">
      <alignment textRotation="90"/>
    </xf>
    <xf numFmtId="0" fontId="217" fillId="0" borderId="192" xfId="0" applyFont="1" applyFill="1" applyBorder="1" applyAlignment="1">
      <alignment textRotation="90"/>
    </xf>
    <xf numFmtId="0" fontId="219" fillId="0" borderId="192" xfId="0" applyFont="1" applyBorder="1" applyAlignment="1">
      <alignment textRotation="90"/>
    </xf>
    <xf numFmtId="0" fontId="220" fillId="0" borderId="192" xfId="0" applyFont="1" applyBorder="1" applyAlignment="1">
      <alignment textRotation="90"/>
    </xf>
    <xf numFmtId="0" fontId="221" fillId="0" borderId="192" xfId="0" applyFont="1" applyBorder="1" applyAlignment="1">
      <alignment textRotation="90"/>
    </xf>
    <xf numFmtId="0" fontId="216" fillId="0" borderId="192" xfId="0" applyFont="1" applyBorder="1" applyAlignment="1">
      <alignment textRotation="90"/>
    </xf>
    <xf numFmtId="0" fontId="222" fillId="0" borderId="192" xfId="0" applyFont="1" applyBorder="1" applyAlignment="1">
      <alignment textRotation="90"/>
    </xf>
    <xf numFmtId="0" fontId="217" fillId="43" borderId="78" xfId="0" applyFont="1" applyFill="1" applyBorder="1"/>
    <xf numFmtId="0" fontId="217" fillId="41" borderId="78" xfId="0" applyFont="1" applyFill="1" applyBorder="1"/>
    <xf numFmtId="0" fontId="217" fillId="37" borderId="78" xfId="0" applyFont="1" applyFill="1" applyBorder="1"/>
    <xf numFmtId="43" fontId="209" fillId="0" borderId="202" xfId="301" applyFont="1" applyBorder="1"/>
    <xf numFmtId="43" fontId="209" fillId="0" borderId="164" xfId="301" applyFont="1" applyBorder="1" applyAlignment="1">
      <alignment horizontal="center"/>
    </xf>
    <xf numFmtId="43" fontId="208" fillId="42" borderId="164" xfId="301" applyFont="1" applyFill="1" applyBorder="1"/>
    <xf numFmtId="43" fontId="208" fillId="0" borderId="79" xfId="301" applyFont="1" applyFill="1" applyBorder="1"/>
    <xf numFmtId="43" fontId="209" fillId="0" borderId="79" xfId="301" applyFont="1" applyFill="1" applyBorder="1"/>
    <xf numFmtId="43" fontId="212" fillId="0" borderId="164" xfId="301" applyFont="1" applyBorder="1" applyAlignment="1">
      <alignment horizontal="center"/>
    </xf>
    <xf numFmtId="43" fontId="209" fillId="29" borderId="79" xfId="301" applyFont="1" applyFill="1" applyBorder="1"/>
    <xf numFmtId="43" fontId="213" fillId="0" borderId="164" xfId="301" applyFont="1" applyBorder="1" applyAlignment="1">
      <alignment horizontal="center"/>
    </xf>
    <xf numFmtId="43" fontId="216" fillId="29" borderId="79" xfId="301" applyFont="1" applyFill="1" applyBorder="1"/>
    <xf numFmtId="43" fontId="214" fillId="0" borderId="164" xfId="301" applyFont="1" applyBorder="1" applyAlignment="1">
      <alignment horizontal="center"/>
    </xf>
    <xf numFmtId="43" fontId="208" fillId="0" borderId="164" xfId="301" applyFont="1" applyBorder="1" applyAlignment="1">
      <alignment horizontal="center"/>
    </xf>
    <xf numFmtId="39" fontId="214" fillId="0" borderId="164" xfId="301" applyNumberFormat="1" applyFont="1" applyBorder="1" applyAlignment="1">
      <alignment horizontal="center"/>
    </xf>
    <xf numFmtId="39" fontId="208" fillId="0" borderId="164" xfId="301" applyNumberFormat="1" applyFont="1" applyBorder="1" applyAlignment="1">
      <alignment horizontal="center"/>
    </xf>
    <xf numFmtId="43" fontId="215" fillId="0" borderId="164" xfId="301" applyFont="1" applyBorder="1" applyAlignment="1">
      <alignment horizontal="center"/>
    </xf>
    <xf numFmtId="39" fontId="209" fillId="0" borderId="164" xfId="301" applyNumberFormat="1" applyFont="1" applyBorder="1" applyAlignment="1">
      <alignment horizontal="center"/>
    </xf>
    <xf numFmtId="173" fontId="178" fillId="0" borderId="1" xfId="301" applyNumberFormat="1" applyFont="1" applyBorder="1"/>
    <xf numFmtId="0" fontId="6" fillId="0" borderId="0" xfId="0" quotePrefix="1" applyFont="1"/>
    <xf numFmtId="0" fontId="224" fillId="25" borderId="224" xfId="0" applyFont="1" applyFill="1" applyBorder="1"/>
    <xf numFmtId="0" fontId="225" fillId="0" borderId="185" xfId="0" applyFont="1" applyFill="1" applyBorder="1"/>
    <xf numFmtId="0" fontId="224" fillId="0" borderId="186" xfId="0" applyFont="1" applyFill="1" applyBorder="1" applyAlignment="1">
      <alignment horizontal="center"/>
    </xf>
    <xf numFmtId="0" fontId="224" fillId="0" borderId="225" xfId="0" applyFont="1" applyFill="1" applyBorder="1" applyAlignment="1">
      <alignment horizontal="center"/>
    </xf>
    <xf numFmtId="0" fontId="224" fillId="0" borderId="188" xfId="0" applyFont="1" applyFill="1" applyBorder="1"/>
    <xf numFmtId="0" fontId="224" fillId="0" borderId="43" xfId="0" applyFont="1" applyFill="1" applyBorder="1" applyAlignment="1">
      <alignment horizontal="center"/>
    </xf>
    <xf numFmtId="0" fontId="224" fillId="0" borderId="226" xfId="0" applyFont="1" applyFill="1" applyBorder="1" applyAlignment="1">
      <alignment horizontal="center"/>
    </xf>
    <xf numFmtId="0" fontId="225" fillId="0" borderId="227" xfId="0" applyFont="1" applyFill="1" applyBorder="1"/>
    <xf numFmtId="37" fontId="225" fillId="0" borderId="78" xfId="301" applyNumberFormat="1" applyFont="1" applyFill="1" applyBorder="1" applyProtection="1">
      <protection locked="0"/>
    </xf>
    <xf numFmtId="2" fontId="225" fillId="0" borderId="78" xfId="0" applyNumberFormat="1" applyFont="1" applyFill="1" applyBorder="1"/>
    <xf numFmtId="166" fontId="225" fillId="0" borderId="78" xfId="599" applyNumberFormat="1" applyFont="1" applyFill="1" applyBorder="1"/>
    <xf numFmtId="39" fontId="225" fillId="0" borderId="78" xfId="0" applyNumberFormat="1" applyFont="1" applyBorder="1"/>
    <xf numFmtId="183" fontId="225" fillId="0" borderId="228" xfId="0" applyNumberFormat="1" applyFont="1" applyBorder="1"/>
    <xf numFmtId="0" fontId="225" fillId="0" borderId="229" xfId="0" applyFont="1" applyFill="1" applyBorder="1"/>
    <xf numFmtId="173" fontId="225" fillId="0" borderId="164" xfId="301" applyNumberFormat="1" applyFont="1" applyFill="1" applyBorder="1" applyProtection="1">
      <protection locked="0"/>
    </xf>
    <xf numFmtId="2" fontId="225" fillId="0" borderId="164" xfId="0" applyNumberFormat="1" applyFont="1" applyFill="1" applyBorder="1"/>
    <xf numFmtId="166" fontId="225" fillId="0" borderId="164" xfId="599" applyNumberFormat="1" applyFont="1" applyFill="1" applyBorder="1"/>
    <xf numFmtId="43" fontId="225" fillId="0" borderId="164" xfId="0" applyNumberFormat="1" applyFont="1" applyBorder="1"/>
    <xf numFmtId="183" fontId="225" fillId="0" borderId="230" xfId="0" applyNumberFormat="1" applyFont="1" applyBorder="1"/>
    <xf numFmtId="0" fontId="225" fillId="0" borderId="231" xfId="0" applyFont="1" applyFill="1" applyBorder="1"/>
    <xf numFmtId="173" fontId="225" fillId="0" borderId="79" xfId="301" applyNumberFormat="1" applyFont="1" applyFill="1" applyBorder="1" applyProtection="1">
      <protection locked="0"/>
    </xf>
    <xf numFmtId="2" fontId="225" fillId="0" borderId="79" xfId="0" applyNumberFormat="1" applyFont="1" applyFill="1" applyBorder="1"/>
    <xf numFmtId="166" fontId="225" fillId="0" borderId="79" xfId="599" applyNumberFormat="1" applyFont="1" applyFill="1" applyBorder="1"/>
    <xf numFmtId="43" fontId="225" fillId="0" borderId="79" xfId="0" applyNumberFormat="1" applyFont="1" applyBorder="1"/>
    <xf numFmtId="183" fontId="225" fillId="0" borderId="232" xfId="0" applyNumberFormat="1" applyFont="1" applyBorder="1"/>
    <xf numFmtId="0" fontId="225" fillId="0" borderId="233" xfId="0" applyFont="1" applyBorder="1"/>
    <xf numFmtId="0" fontId="225" fillId="0" borderId="224" xfId="0" applyFont="1" applyBorder="1"/>
    <xf numFmtId="183" fontId="224" fillId="0" borderId="234" xfId="0" applyNumberFormat="1" applyFont="1" applyBorder="1"/>
    <xf numFmtId="0" fontId="225" fillId="0" borderId="235" xfId="0" applyFont="1" applyFill="1" applyBorder="1"/>
    <xf numFmtId="179" fontId="225" fillId="0" borderId="78" xfId="0" applyNumberFormat="1" applyFont="1" applyFill="1" applyBorder="1"/>
    <xf numFmtId="203" fontId="225" fillId="0" borderId="78" xfId="0" applyNumberFormat="1" applyFont="1" applyBorder="1"/>
    <xf numFmtId="173" fontId="225" fillId="0" borderId="78" xfId="301" applyNumberFormat="1" applyFont="1" applyFill="1" applyBorder="1"/>
    <xf numFmtId="203" fontId="225" fillId="0" borderId="236" xfId="301" applyNumberFormat="1" applyFont="1" applyFill="1" applyBorder="1" applyAlignment="1">
      <alignment horizontal="center"/>
    </xf>
    <xf numFmtId="0" fontId="225" fillId="0" borderId="196" xfId="0" applyFont="1" applyFill="1" applyBorder="1"/>
    <xf numFmtId="179" fontId="225" fillId="0" borderId="164" xfId="0" applyNumberFormat="1" applyFont="1" applyFill="1" applyBorder="1"/>
    <xf numFmtId="168" fontId="225" fillId="0" borderId="164" xfId="0" applyNumberFormat="1" applyFont="1" applyBorder="1"/>
    <xf numFmtId="173" fontId="225" fillId="0" borderId="164" xfId="301" applyNumberFormat="1" applyFont="1" applyFill="1" applyBorder="1"/>
    <xf numFmtId="168" fontId="225" fillId="0" borderId="237" xfId="301" applyNumberFormat="1" applyFont="1" applyFill="1" applyBorder="1" applyAlignment="1">
      <alignment horizontal="center"/>
    </xf>
    <xf numFmtId="0" fontId="225" fillId="0" borderId="238" xfId="0" applyFont="1" applyFill="1" applyBorder="1"/>
    <xf numFmtId="179" fontId="225" fillId="0" borderId="79" xfId="0" applyNumberFormat="1" applyFont="1" applyFill="1" applyBorder="1"/>
    <xf numFmtId="168" fontId="225" fillId="0" borderId="79" xfId="0" applyNumberFormat="1" applyFont="1" applyBorder="1"/>
    <xf numFmtId="173" fontId="225" fillId="0" borderId="79" xfId="301" applyNumberFormat="1" applyFont="1" applyFill="1" applyBorder="1"/>
    <xf numFmtId="168" fontId="225" fillId="0" borderId="239" xfId="301" applyNumberFormat="1" applyFont="1" applyFill="1" applyBorder="1" applyAlignment="1">
      <alignment horizontal="center"/>
    </xf>
    <xf numFmtId="0" fontId="225" fillId="0" borderId="240" xfId="0" applyFont="1" applyFill="1" applyBorder="1"/>
    <xf numFmtId="0" fontId="225" fillId="0" borderId="224" xfId="0" applyFont="1" applyFill="1" applyBorder="1"/>
    <xf numFmtId="168" fontId="224" fillId="0" borderId="241" xfId="0" applyNumberFormat="1" applyFont="1" applyFill="1" applyBorder="1"/>
    <xf numFmtId="37" fontId="225" fillId="0" borderId="78" xfId="301" applyNumberFormat="1" applyFont="1" applyFill="1" applyBorder="1"/>
    <xf numFmtId="198" fontId="225" fillId="0" borderId="78" xfId="0" applyNumberFormat="1" applyFont="1" applyBorder="1"/>
    <xf numFmtId="203" fontId="225" fillId="0" borderId="236" xfId="301" applyNumberFormat="1" applyFont="1" applyFill="1" applyBorder="1"/>
    <xf numFmtId="167" fontId="225" fillId="0" borderId="164" xfId="0" applyNumberFormat="1" applyFont="1" applyBorder="1"/>
    <xf numFmtId="168" fontId="225" fillId="0" borderId="237" xfId="301" applyNumberFormat="1" applyFont="1" applyFill="1" applyBorder="1"/>
    <xf numFmtId="167" fontId="225" fillId="0" borderId="79" xfId="0" applyNumberFormat="1" applyFont="1" applyBorder="1"/>
    <xf numFmtId="168" fontId="225" fillId="0" borderId="239" xfId="301" applyNumberFormat="1" applyFont="1" applyFill="1" applyBorder="1"/>
    <xf numFmtId="0" fontId="224" fillId="25" borderId="224" xfId="0" applyFont="1" applyFill="1" applyBorder="1" applyAlignment="1">
      <alignment horizontal="center"/>
    </xf>
    <xf numFmtId="0" fontId="225" fillId="0" borderId="242" xfId="0" applyFont="1" applyFill="1" applyBorder="1"/>
    <xf numFmtId="0" fontId="224" fillId="0" borderId="36" xfId="0" applyFont="1" applyFill="1" applyBorder="1" applyAlignment="1">
      <alignment horizontal="center"/>
    </xf>
    <xf numFmtId="0" fontId="224" fillId="0" borderId="243" xfId="0" applyFont="1" applyFill="1" applyBorder="1" applyAlignment="1">
      <alignment horizontal="center"/>
    </xf>
    <xf numFmtId="0" fontId="225" fillId="0" borderId="78" xfId="0" applyFont="1" applyFill="1" applyBorder="1"/>
    <xf numFmtId="172" fontId="225" fillId="0" borderId="78" xfId="0" applyNumberFormat="1" applyFont="1" applyBorder="1"/>
    <xf numFmtId="172" fontId="225" fillId="0" borderId="78" xfId="0" applyNumberFormat="1" applyFont="1" applyFill="1" applyBorder="1" applyAlignment="1">
      <alignment horizontal="center"/>
    </xf>
    <xf numFmtId="172" fontId="225" fillId="0" borderId="78" xfId="0" applyNumberFormat="1" applyFont="1" applyBorder="1" applyAlignment="1">
      <alignment horizontal="center"/>
    </xf>
    <xf numFmtId="172" fontId="225" fillId="0" borderId="236" xfId="301" applyNumberFormat="1" applyFont="1" applyFill="1" applyBorder="1" applyAlignment="1">
      <alignment horizontal="center"/>
    </xf>
    <xf numFmtId="0" fontId="225" fillId="0" borderId="164" xfId="0" applyFont="1" applyFill="1" applyBorder="1"/>
    <xf numFmtId="172" fontId="225" fillId="0" borderId="164" xfId="0" applyNumberFormat="1" applyFont="1" applyBorder="1"/>
    <xf numFmtId="172" fontId="225" fillId="0" borderId="164" xfId="0" applyNumberFormat="1" applyFont="1" applyFill="1" applyBorder="1" applyAlignment="1">
      <alignment horizontal="center"/>
    </xf>
    <xf numFmtId="172" fontId="225" fillId="0" borderId="164" xfId="0" applyNumberFormat="1" applyFont="1" applyBorder="1" applyAlignment="1">
      <alignment horizontal="center"/>
    </xf>
    <xf numFmtId="172" fontId="225" fillId="0" borderId="237" xfId="301" applyNumberFormat="1" applyFont="1" applyFill="1" applyBorder="1" applyAlignment="1">
      <alignment horizontal="center"/>
    </xf>
    <xf numFmtId="0" fontId="225" fillId="0" borderId="79" xfId="0" applyFont="1" applyFill="1" applyBorder="1"/>
    <xf numFmtId="172" fontId="224" fillId="0" borderId="79" xfId="0" applyNumberFormat="1" applyFont="1" applyBorder="1"/>
    <xf numFmtId="172" fontId="225" fillId="0" borderId="79" xfId="0" applyNumberFormat="1" applyFont="1" applyFill="1" applyBorder="1" applyAlignment="1">
      <alignment horizontal="center"/>
    </xf>
    <xf numFmtId="172" fontId="225" fillId="0" borderId="79" xfId="0" applyNumberFormat="1" applyFont="1" applyBorder="1" applyAlignment="1">
      <alignment horizontal="center"/>
    </xf>
    <xf numFmtId="172" fontId="225" fillId="0" borderId="239" xfId="301" applyNumberFormat="1" applyFont="1" applyFill="1" applyBorder="1" applyAlignment="1">
      <alignment horizontal="center"/>
    </xf>
    <xf numFmtId="43" fontId="224" fillId="0" borderId="241" xfId="0" applyNumberFormat="1" applyFont="1" applyBorder="1"/>
    <xf numFmtId="0" fontId="225" fillId="0" borderId="244" xfId="0" applyFont="1" applyFill="1" applyBorder="1"/>
    <xf numFmtId="0" fontId="224" fillId="0" borderId="78" xfId="0" applyFont="1" applyFill="1" applyBorder="1" applyAlignment="1">
      <alignment horizontal="center"/>
    </xf>
    <xf numFmtId="0" fontId="224" fillId="0" borderId="245" xfId="0" applyFont="1" applyFill="1" applyBorder="1" applyAlignment="1">
      <alignment horizontal="center"/>
    </xf>
    <xf numFmtId="0" fontId="224" fillId="0" borderId="246" xfId="0" applyFont="1" applyFill="1" applyBorder="1"/>
    <xf numFmtId="0" fontId="224" fillId="0" borderId="79" xfId="0" applyFont="1" applyFill="1" applyBorder="1" applyAlignment="1">
      <alignment horizontal="center"/>
    </xf>
    <xf numFmtId="0" fontId="224" fillId="0" borderId="50" xfId="0" applyFont="1" applyFill="1" applyBorder="1" applyAlignment="1">
      <alignment horizontal="center"/>
    </xf>
    <xf numFmtId="0" fontId="225" fillId="0" borderId="20" xfId="0" applyFont="1" applyFill="1" applyBorder="1"/>
    <xf numFmtId="173" fontId="225" fillId="0" borderId="78" xfId="301" applyNumberFormat="1" applyFont="1" applyFill="1" applyBorder="1" applyProtection="1">
      <protection locked="0"/>
    </xf>
    <xf numFmtId="43" fontId="225" fillId="0" borderId="78" xfId="301" applyFont="1" applyBorder="1"/>
    <xf numFmtId="171" fontId="225" fillId="0" borderId="247" xfId="0" applyNumberFormat="1" applyFont="1" applyBorder="1"/>
    <xf numFmtId="43" fontId="225" fillId="0" borderId="164" xfId="301" applyFont="1" applyBorder="1"/>
    <xf numFmtId="171" fontId="225" fillId="0" borderId="237" xfId="0" applyNumberFormat="1" applyFont="1" applyBorder="1"/>
    <xf numFmtId="43" fontId="225" fillId="0" borderId="79" xfId="301" applyFont="1" applyBorder="1"/>
    <xf numFmtId="171" fontId="225" fillId="0" borderId="248" xfId="0" applyNumberFormat="1" applyFont="1" applyBorder="1"/>
    <xf numFmtId="0" fontId="225" fillId="0" borderId="49" xfId="0" applyFont="1" applyBorder="1"/>
    <xf numFmtId="0" fontId="225" fillId="0" borderId="45" xfId="0" applyFont="1" applyBorder="1"/>
    <xf numFmtId="0" fontId="224" fillId="25" borderId="45" xfId="0" applyFont="1" applyFill="1" applyBorder="1" applyAlignment="1">
      <alignment horizontal="center"/>
    </xf>
    <xf numFmtId="171" fontId="224" fillId="0" borderId="249" xfId="0" applyNumberFormat="1" applyFont="1" applyBorder="1"/>
    <xf numFmtId="0" fontId="224" fillId="0" borderId="37" xfId="0" applyFont="1" applyFill="1" applyBorder="1" applyAlignment="1">
      <alignment horizontal="center"/>
    </xf>
    <xf numFmtId="0" fontId="225" fillId="0" borderId="104" xfId="0" applyFont="1" applyFill="1" applyBorder="1"/>
    <xf numFmtId="173" fontId="225" fillId="0" borderId="250" xfId="301" applyNumberFormat="1" applyFont="1" applyFill="1" applyBorder="1" applyProtection="1">
      <protection locked="0"/>
    </xf>
    <xf numFmtId="179" fontId="225" fillId="0" borderId="250" xfId="0" applyNumberFormat="1" applyFont="1" applyFill="1" applyBorder="1"/>
    <xf numFmtId="167" fontId="225" fillId="0" borderId="250" xfId="301" applyNumberFormat="1" applyFont="1" applyFill="1" applyBorder="1"/>
    <xf numFmtId="173" fontId="225" fillId="0" borderId="250" xfId="301" applyNumberFormat="1" applyFont="1" applyFill="1" applyBorder="1"/>
    <xf numFmtId="167" fontId="225" fillId="0" borderId="164" xfId="301" applyNumberFormat="1" applyFont="1" applyFill="1" applyBorder="1"/>
    <xf numFmtId="167" fontId="225" fillId="0" borderId="79" xfId="301" applyNumberFormat="1" applyFont="1" applyFill="1" applyBorder="1"/>
    <xf numFmtId="171" fontId="225" fillId="0" borderId="239" xfId="0" applyNumberFormat="1" applyFont="1" applyBorder="1"/>
    <xf numFmtId="0" fontId="225" fillId="0" borderId="240" xfId="0" applyFont="1" applyBorder="1"/>
    <xf numFmtId="173" fontId="225" fillId="0" borderId="224" xfId="0" applyNumberFormat="1" applyFont="1" applyBorder="1"/>
    <xf numFmtId="171" fontId="224" fillId="0" borderId="241" xfId="0" applyNumberFormat="1" applyFont="1" applyBorder="1"/>
    <xf numFmtId="0" fontId="225" fillId="0" borderId="251" xfId="0" applyFont="1" applyFill="1" applyBorder="1"/>
    <xf numFmtId="0" fontId="224" fillId="0" borderId="252" xfId="0" applyFont="1" applyFill="1" applyBorder="1" applyAlignment="1">
      <alignment horizontal="center"/>
    </xf>
    <xf numFmtId="43" fontId="225" fillId="0" borderId="78" xfId="0" applyNumberFormat="1" applyFont="1" applyFill="1" applyBorder="1" applyAlignment="1">
      <alignment horizontal="center"/>
    </xf>
    <xf numFmtId="0" fontId="225" fillId="0" borderId="247" xfId="0" applyFont="1" applyBorder="1"/>
    <xf numFmtId="43" fontId="225" fillId="0" borderId="164" xfId="0" applyNumberFormat="1" applyFont="1" applyFill="1" applyBorder="1" applyAlignment="1">
      <alignment horizontal="center"/>
    </xf>
    <xf numFmtId="0" fontId="225" fillId="0" borderId="237" xfId="0" applyFont="1" applyBorder="1"/>
    <xf numFmtId="43" fontId="225" fillId="0" borderId="79" xfId="0" applyNumberFormat="1" applyFont="1" applyFill="1" applyBorder="1" applyAlignment="1">
      <alignment horizontal="center"/>
    </xf>
    <xf numFmtId="0" fontId="225" fillId="0" borderId="239" xfId="0" applyFont="1" applyBorder="1"/>
    <xf numFmtId="0" fontId="224" fillId="0" borderId="241" xfId="0" applyFont="1" applyBorder="1"/>
    <xf numFmtId="0" fontId="224" fillId="0" borderId="186" xfId="0" applyFont="1" applyBorder="1" applyAlignment="1">
      <alignment horizontal="center"/>
    </xf>
    <xf numFmtId="0" fontId="224" fillId="0" borderId="32" xfId="0" applyFont="1" applyBorder="1" applyAlignment="1">
      <alignment horizontal="center"/>
    </xf>
    <xf numFmtId="0" fontId="225" fillId="0" borderId="19" xfId="0" applyFont="1" applyBorder="1"/>
    <xf numFmtId="0" fontId="225" fillId="0" borderId="186" xfId="0" applyFont="1" applyBorder="1"/>
    <xf numFmtId="0" fontId="224" fillId="0" borderId="21" xfId="0" applyFont="1" applyFill="1" applyBorder="1" applyAlignment="1">
      <alignment horizontal="center"/>
    </xf>
    <xf numFmtId="182" fontId="225" fillId="0" borderId="250" xfId="0" applyNumberFormat="1" applyFont="1" applyFill="1" applyBorder="1"/>
    <xf numFmtId="0" fontId="225" fillId="0" borderId="250" xfId="0" applyFont="1" applyFill="1" applyBorder="1" applyAlignment="1">
      <alignment horizontal="center"/>
    </xf>
    <xf numFmtId="182" fontId="225" fillId="0" borderId="250" xfId="301" applyNumberFormat="1" applyFont="1" applyFill="1" applyBorder="1"/>
    <xf numFmtId="171" fontId="225" fillId="0" borderId="236" xfId="0" applyNumberFormat="1" applyFont="1" applyBorder="1"/>
    <xf numFmtId="182" fontId="225" fillId="0" borderId="164" xfId="0" applyNumberFormat="1" applyFont="1" applyFill="1" applyBorder="1"/>
    <xf numFmtId="0" fontId="225" fillId="0" borderId="164" xfId="0" applyFont="1" applyFill="1" applyBorder="1" applyAlignment="1">
      <alignment horizontal="center"/>
    </xf>
    <xf numFmtId="182" fontId="225" fillId="0" borderId="164" xfId="301" applyNumberFormat="1" applyFont="1" applyFill="1" applyBorder="1"/>
    <xf numFmtId="0" fontId="225" fillId="0" borderId="79" xfId="0" applyFont="1" applyFill="1" applyBorder="1" applyAlignment="1">
      <alignment horizontal="center"/>
    </xf>
    <xf numFmtId="182" fontId="225" fillId="0" borderId="79" xfId="301" applyNumberFormat="1" applyFont="1" applyFill="1" applyBorder="1"/>
    <xf numFmtId="0" fontId="0" fillId="0" borderId="224" xfId="0" applyBorder="1"/>
    <xf numFmtId="0" fontId="225" fillId="0" borderId="253" xfId="0" applyFont="1" applyFill="1" applyBorder="1"/>
    <xf numFmtId="168" fontId="225" fillId="0" borderId="39" xfId="301" applyNumberFormat="1" applyFont="1" applyBorder="1"/>
    <xf numFmtId="0" fontId="226" fillId="0" borderId="254" xfId="0" applyFont="1" applyFill="1" applyBorder="1" applyAlignment="1">
      <alignment horizontal="center"/>
    </xf>
    <xf numFmtId="0" fontId="227" fillId="0" borderId="254" xfId="0" applyFont="1" applyFill="1" applyBorder="1"/>
    <xf numFmtId="0" fontId="227" fillId="0" borderId="255" xfId="0" applyFont="1" applyFill="1" applyBorder="1"/>
    <xf numFmtId="0" fontId="226" fillId="0" borderId="34" xfId="0" applyFont="1" applyFill="1" applyBorder="1" applyAlignment="1">
      <alignment horizontal="center"/>
    </xf>
    <xf numFmtId="0" fontId="224" fillId="0" borderId="34" xfId="0" applyFont="1" applyFill="1" applyBorder="1" applyAlignment="1">
      <alignment horizontal="center"/>
    </xf>
    <xf numFmtId="0" fontId="224" fillId="0" borderId="113" xfId="0" applyFont="1" applyFill="1" applyBorder="1" applyAlignment="1">
      <alignment horizontal="center"/>
    </xf>
    <xf numFmtId="0" fontId="226" fillId="0" borderId="3" xfId="0" applyFont="1" applyFill="1" applyBorder="1" applyAlignment="1">
      <alignment horizontal="center"/>
    </xf>
    <xf numFmtId="0" fontId="224" fillId="0" borderId="117" xfId="0" applyFont="1" applyFill="1" applyBorder="1" applyAlignment="1">
      <alignment horizontal="center"/>
    </xf>
    <xf numFmtId="0" fontId="227" fillId="0" borderId="26" xfId="0" applyFont="1" applyFill="1" applyBorder="1"/>
    <xf numFmtId="173" fontId="227" fillId="0" borderId="1" xfId="301" applyNumberFormat="1" applyFont="1" applyFill="1" applyBorder="1" applyProtection="1">
      <protection locked="0"/>
    </xf>
    <xf numFmtId="0" fontId="227" fillId="0" borderId="26" xfId="0" applyFont="1" applyFill="1" applyBorder="1" applyAlignment="1"/>
    <xf numFmtId="173" fontId="227" fillId="29" borderId="1" xfId="301" applyNumberFormat="1" applyFont="1" applyFill="1" applyBorder="1" applyProtection="1">
      <protection locked="0"/>
    </xf>
    <xf numFmtId="0" fontId="227" fillId="0" borderId="26" xfId="0" applyFont="1" applyFill="1" applyBorder="1" applyAlignment="1">
      <alignment wrapText="1"/>
    </xf>
    <xf numFmtId="173" fontId="227" fillId="43" borderId="1" xfId="301" applyNumberFormat="1" applyFont="1" applyFill="1" applyBorder="1" applyProtection="1">
      <protection locked="0"/>
    </xf>
    <xf numFmtId="0" fontId="227" fillId="0" borderId="1" xfId="0" applyFont="1" applyBorder="1"/>
    <xf numFmtId="0" fontId="225" fillId="0" borderId="27" xfId="0" applyFont="1" applyBorder="1"/>
    <xf numFmtId="0" fontId="225" fillId="0" borderId="28" xfId="0" applyFont="1" applyBorder="1"/>
    <xf numFmtId="0" fontId="225" fillId="0" borderId="256" xfId="0" applyFont="1" applyFill="1" applyBorder="1"/>
    <xf numFmtId="0" fontId="225" fillId="0" borderId="112" xfId="0" applyFont="1" applyBorder="1"/>
    <xf numFmtId="0" fontId="224" fillId="0" borderId="116" xfId="0" applyFont="1" applyFill="1" applyBorder="1"/>
    <xf numFmtId="0" fontId="224" fillId="0" borderId="3" xfId="0" applyFont="1" applyFill="1" applyBorder="1" applyAlignment="1">
      <alignment horizontal="center"/>
    </xf>
    <xf numFmtId="179" fontId="227" fillId="0" borderId="1" xfId="0" applyNumberFormat="1" applyFont="1" applyFill="1" applyBorder="1" applyAlignment="1">
      <alignment horizontal="center"/>
    </xf>
    <xf numFmtId="167" fontId="227" fillId="0" borderId="1" xfId="301" applyNumberFormat="1" applyFont="1" applyFill="1" applyBorder="1"/>
    <xf numFmtId="173" fontId="227" fillId="0" borderId="1" xfId="301" applyNumberFormat="1" applyFont="1" applyFill="1" applyBorder="1"/>
    <xf numFmtId="0" fontId="225" fillId="0" borderId="26" xfId="0" applyFont="1" applyFill="1" applyBorder="1"/>
    <xf numFmtId="173" fontId="227" fillId="0" borderId="1" xfId="301" applyNumberFormat="1" applyFont="1" applyFill="1" applyBorder="1" applyAlignment="1" applyProtection="1">
      <alignment horizontal="center"/>
    </xf>
    <xf numFmtId="0" fontId="225" fillId="0" borderId="26" xfId="0" applyFont="1" applyBorder="1"/>
    <xf numFmtId="168" fontId="224" fillId="0" borderId="39" xfId="0" applyNumberFormat="1" applyFont="1" applyBorder="1"/>
    <xf numFmtId="0" fontId="225" fillId="0" borderId="29" xfId="0" applyFont="1" applyBorder="1"/>
    <xf numFmtId="0" fontId="226" fillId="0" borderId="186" xfId="0" applyFont="1" applyFill="1" applyBorder="1" applyAlignment="1">
      <alignment horizontal="center"/>
    </xf>
    <xf numFmtId="0" fontId="226" fillId="0" borderId="225" xfId="0" applyFont="1" applyFill="1" applyBorder="1" applyAlignment="1">
      <alignment horizontal="center"/>
    </xf>
    <xf numFmtId="168" fontId="224" fillId="0" borderId="257" xfId="0" applyNumberFormat="1" applyFont="1" applyBorder="1"/>
    <xf numFmtId="0" fontId="227" fillId="0" borderId="185" xfId="0" applyFont="1" applyFill="1" applyBorder="1"/>
    <xf numFmtId="0" fontId="227" fillId="0" borderId="186" xfId="0" applyFont="1" applyFill="1" applyBorder="1"/>
    <xf numFmtId="0" fontId="227" fillId="0" borderId="225" xfId="0" applyFont="1" applyFill="1" applyBorder="1"/>
    <xf numFmtId="0" fontId="227" fillId="0" borderId="242" xfId="0" applyFont="1" applyBorder="1"/>
    <xf numFmtId="0" fontId="226" fillId="0" borderId="36" xfId="0" applyFont="1" applyFill="1" applyBorder="1" applyAlignment="1">
      <alignment horizontal="center"/>
    </xf>
    <xf numFmtId="0" fontId="226" fillId="0" borderId="188" xfId="0" applyFont="1" applyFill="1" applyBorder="1"/>
    <xf numFmtId="0" fontId="226" fillId="0" borderId="43" xfId="0" applyFont="1" applyFill="1" applyBorder="1" applyAlignment="1">
      <alignment horizontal="center"/>
    </xf>
    <xf numFmtId="0" fontId="227" fillId="0" borderId="227" xfId="0" applyFont="1" applyFill="1" applyBorder="1"/>
    <xf numFmtId="173" fontId="227" fillId="0" borderId="164" xfId="301" applyNumberFormat="1" applyFont="1" applyFill="1" applyBorder="1" applyProtection="1">
      <protection locked="0"/>
    </xf>
    <xf numFmtId="173" fontId="227" fillId="30" borderId="78" xfId="301" applyNumberFormat="1" applyFont="1" applyFill="1" applyBorder="1" applyAlignment="1">
      <alignment horizontal="center"/>
    </xf>
    <xf numFmtId="179" fontId="227" fillId="0" borderId="78" xfId="0" applyNumberFormat="1" applyFont="1" applyFill="1" applyBorder="1" applyAlignment="1">
      <alignment horizontal="center"/>
    </xf>
    <xf numFmtId="168" fontId="227" fillId="0" borderId="78" xfId="301" applyNumberFormat="1" applyFont="1" applyFill="1" applyBorder="1" applyAlignment="1">
      <alignment horizontal="center"/>
    </xf>
    <xf numFmtId="173" fontId="227" fillId="0" borderId="78" xfId="301" applyNumberFormat="1" applyFont="1" applyFill="1" applyBorder="1"/>
    <xf numFmtId="168" fontId="225" fillId="0" borderId="228" xfId="301" applyNumberFormat="1" applyFont="1" applyBorder="1"/>
    <xf numFmtId="0" fontId="227" fillId="0" borderId="229" xfId="0" applyFont="1" applyFill="1" applyBorder="1" applyAlignment="1"/>
    <xf numFmtId="173" fontId="227" fillId="29" borderId="164" xfId="301" applyNumberFormat="1" applyFont="1" applyFill="1" applyBorder="1" applyProtection="1">
      <protection locked="0"/>
    </xf>
    <xf numFmtId="173" fontId="227" fillId="30" borderId="164" xfId="301" applyNumberFormat="1" applyFont="1" applyFill="1" applyBorder="1" applyAlignment="1">
      <alignment horizontal="center"/>
    </xf>
    <xf numFmtId="179" fontId="227" fillId="0" borderId="164" xfId="0" applyNumberFormat="1" applyFont="1" applyFill="1" applyBorder="1" applyAlignment="1">
      <alignment horizontal="center"/>
    </xf>
    <xf numFmtId="168" fontId="227" fillId="0" borderId="164" xfId="301" applyNumberFormat="1" applyFont="1" applyFill="1" applyBorder="1" applyAlignment="1">
      <alignment horizontal="center"/>
    </xf>
    <xf numFmtId="173" fontId="227" fillId="0" borderId="164" xfId="301" applyNumberFormat="1" applyFont="1" applyFill="1" applyBorder="1"/>
    <xf numFmtId="168" fontId="225" fillId="0" borderId="230" xfId="301" applyNumberFormat="1" applyFont="1" applyBorder="1"/>
    <xf numFmtId="0" fontId="227" fillId="0" borderId="229" xfId="0" applyFont="1" applyFill="1" applyBorder="1" applyAlignment="1">
      <alignment wrapText="1"/>
    </xf>
    <xf numFmtId="173" fontId="227" fillId="43" borderId="164" xfId="301" applyNumberFormat="1" applyFont="1" applyFill="1" applyBorder="1" applyProtection="1">
      <protection locked="0"/>
    </xf>
    <xf numFmtId="0" fontId="227" fillId="0" borderId="229" xfId="0" applyFont="1" applyBorder="1"/>
    <xf numFmtId="0" fontId="227" fillId="0" borderId="164" xfId="0" applyFont="1" applyBorder="1"/>
    <xf numFmtId="168" fontId="224" fillId="0" borderId="230" xfId="0" applyNumberFormat="1" applyFont="1" applyBorder="1"/>
    <xf numFmtId="0" fontId="227" fillId="0" borderId="258" xfId="0" applyFont="1" applyBorder="1"/>
    <xf numFmtId="0" fontId="227" fillId="0" borderId="259" xfId="0" applyFont="1" applyBorder="1"/>
    <xf numFmtId="0" fontId="227" fillId="0" borderId="260" xfId="0" applyFont="1" applyBorder="1"/>
    <xf numFmtId="0" fontId="227" fillId="0" borderId="36" xfId="0" applyFont="1" applyBorder="1"/>
    <xf numFmtId="9" fontId="227" fillId="0" borderId="164" xfId="599" applyFont="1" applyFill="1" applyBorder="1" applyAlignment="1">
      <alignment horizontal="center"/>
    </xf>
    <xf numFmtId="173" fontId="227" fillId="0" borderId="164" xfId="301" applyNumberFormat="1" applyFont="1" applyFill="1" applyBorder="1" applyAlignment="1">
      <alignment horizontal="center"/>
    </xf>
    <xf numFmtId="2" fontId="227" fillId="0" borderId="164" xfId="0" applyNumberFormat="1" applyFont="1" applyFill="1" applyBorder="1" applyAlignment="1">
      <alignment horizontal="center"/>
    </xf>
    <xf numFmtId="166" fontId="227" fillId="0" borderId="164" xfId="599" applyNumberFormat="1" applyFont="1" applyFill="1" applyBorder="1" applyAlignment="1">
      <alignment horizontal="center"/>
    </xf>
    <xf numFmtId="2" fontId="225" fillId="0" borderId="164" xfId="0" applyNumberFormat="1" applyFont="1" applyFill="1" applyBorder="1" applyAlignment="1">
      <alignment horizontal="center"/>
    </xf>
    <xf numFmtId="168" fontId="225" fillId="0" borderId="232" xfId="301" applyNumberFormat="1" applyFont="1" applyBorder="1"/>
    <xf numFmtId="168" fontId="226" fillId="0" borderId="257" xfId="0" applyNumberFormat="1" applyFont="1" applyBorder="1"/>
    <xf numFmtId="0" fontId="225" fillId="0" borderId="261" xfId="0" applyFont="1" applyBorder="1"/>
    <xf numFmtId="0" fontId="225" fillId="0" borderId="262" xfId="0" applyFont="1" applyBorder="1"/>
    <xf numFmtId="0" fontId="225" fillId="0" borderId="259" xfId="0" applyFont="1" applyBorder="1"/>
    <xf numFmtId="0" fontId="225" fillId="0" borderId="260" xfId="0" applyFont="1" applyBorder="1"/>
    <xf numFmtId="0" fontId="227" fillId="0" borderId="263" xfId="0" applyFont="1" applyFill="1" applyBorder="1"/>
    <xf numFmtId="173" fontId="227" fillId="0" borderId="250" xfId="301" applyNumberFormat="1" applyFont="1" applyFill="1" applyBorder="1" applyProtection="1">
      <protection locked="0"/>
    </xf>
    <xf numFmtId="9" fontId="227" fillId="0" borderId="250" xfId="599" applyFont="1" applyFill="1" applyBorder="1" applyAlignment="1">
      <alignment horizontal="center"/>
    </xf>
    <xf numFmtId="173" fontId="227" fillId="0" borderId="250" xfId="301" applyNumberFormat="1" applyFont="1" applyFill="1" applyBorder="1" applyAlignment="1">
      <alignment horizontal="center"/>
    </xf>
    <xf numFmtId="2" fontId="227" fillId="0" borderId="250" xfId="0" applyNumberFormat="1" applyFont="1" applyFill="1" applyBorder="1" applyAlignment="1">
      <alignment horizontal="center"/>
    </xf>
    <xf numFmtId="166" fontId="227" fillId="0" borderId="250" xfId="599" applyNumberFormat="1" applyFont="1" applyFill="1" applyBorder="1" applyAlignment="1">
      <alignment horizontal="center"/>
    </xf>
    <xf numFmtId="43" fontId="225" fillId="0" borderId="250" xfId="301" applyFont="1" applyBorder="1"/>
    <xf numFmtId="168" fontId="225" fillId="0" borderId="264" xfId="301" applyNumberFormat="1" applyFont="1" applyBorder="1"/>
    <xf numFmtId="0" fontId="226" fillId="0" borderId="265" xfId="0" applyFont="1" applyFill="1" applyBorder="1"/>
    <xf numFmtId="0" fontId="226" fillId="0" borderId="170" xfId="0" applyFont="1" applyFill="1" applyBorder="1" applyAlignment="1">
      <alignment horizontal="center"/>
    </xf>
    <xf numFmtId="0" fontId="224" fillId="0" borderId="266" xfId="0" applyFont="1" applyFill="1" applyBorder="1" applyAlignment="1">
      <alignment horizontal="center"/>
    </xf>
    <xf numFmtId="0" fontId="226" fillId="25" borderId="45" xfId="0" applyFont="1" applyFill="1" applyBorder="1"/>
    <xf numFmtId="0" fontId="224" fillId="25" borderId="1" xfId="0" applyFont="1" applyFill="1" applyBorder="1" applyAlignment="1">
      <alignment horizontal="center"/>
    </xf>
    <xf numFmtId="0" fontId="224" fillId="25" borderId="164" xfId="0" applyFont="1" applyFill="1" applyBorder="1" applyAlignment="1">
      <alignment horizontal="center"/>
    </xf>
    <xf numFmtId="168" fontId="224" fillId="25" borderId="45" xfId="0" applyNumberFormat="1" applyFont="1" applyFill="1" applyBorder="1" applyAlignment="1">
      <alignment horizontal="center"/>
    </xf>
    <xf numFmtId="168" fontId="227" fillId="0" borderId="78" xfId="0" applyNumberFormat="1" applyFont="1" applyFill="1" applyBorder="1" applyAlignment="1">
      <alignment horizontal="center"/>
    </xf>
    <xf numFmtId="168" fontId="227" fillId="0" borderId="78" xfId="301" applyNumberFormat="1" applyFont="1" applyFill="1" applyBorder="1"/>
    <xf numFmtId="168" fontId="227" fillId="0" borderId="164" xfId="0" applyNumberFormat="1" applyFont="1" applyFill="1" applyBorder="1" applyAlignment="1">
      <alignment horizontal="center"/>
    </xf>
    <xf numFmtId="168" fontId="227" fillId="0" borderId="164" xfId="301" applyNumberFormat="1" applyFont="1" applyFill="1" applyBorder="1"/>
    <xf numFmtId="168" fontId="227" fillId="0" borderId="79" xfId="301" applyNumberFormat="1" applyFont="1" applyFill="1" applyBorder="1"/>
    <xf numFmtId="168" fontId="227" fillId="0" borderId="164" xfId="0" applyNumberFormat="1" applyFont="1" applyBorder="1"/>
    <xf numFmtId="43" fontId="6" fillId="0" borderId="1" xfId="301" applyFont="1" applyBorder="1"/>
    <xf numFmtId="0" fontId="131" fillId="0" borderId="55" xfId="0" applyFont="1" applyBorder="1"/>
    <xf numFmtId="0" fontId="131" fillId="0" borderId="18" xfId="0" applyFont="1" applyBorder="1"/>
    <xf numFmtId="0" fontId="99" fillId="0" borderId="138" xfId="571" applyFont="1" applyFill="1" applyBorder="1"/>
    <xf numFmtId="0" fontId="100" fillId="0" borderId="93" xfId="571" applyFont="1" applyFill="1" applyBorder="1"/>
    <xf numFmtId="0" fontId="100" fillId="0" borderId="94" xfId="571" applyFont="1" applyFill="1" applyBorder="1" applyAlignment="1">
      <alignment horizontal="center"/>
    </xf>
    <xf numFmtId="0" fontId="98" fillId="0" borderId="96" xfId="0" applyFont="1" applyBorder="1" applyAlignment="1"/>
    <xf numFmtId="0" fontId="98" fillId="0" borderId="97" xfId="0" applyFont="1" applyBorder="1"/>
    <xf numFmtId="0" fontId="99" fillId="0" borderId="99" xfId="571" applyFont="1" applyFill="1" applyBorder="1"/>
    <xf numFmtId="0" fontId="98" fillId="0" borderId="1" xfId="0" applyFont="1" applyBorder="1"/>
    <xf numFmtId="0" fontId="99" fillId="0" borderId="1" xfId="571" applyFont="1" applyFill="1" applyBorder="1" applyAlignment="1">
      <alignment horizontal="center"/>
    </xf>
    <xf numFmtId="41" fontId="98" fillId="0" borderId="1" xfId="0" applyNumberFormat="1" applyFont="1" applyBorder="1"/>
    <xf numFmtId="0" fontId="53" fillId="33" borderId="267" xfId="571" applyFont="1" applyFill="1" applyBorder="1"/>
    <xf numFmtId="0" fontId="53" fillId="33" borderId="268" xfId="571" applyFont="1" applyFill="1" applyBorder="1"/>
    <xf numFmtId="0" fontId="65" fillId="33" borderId="268" xfId="571" applyFont="1" applyFill="1" applyBorder="1" applyAlignment="1">
      <alignment horizontal="center"/>
    </xf>
    <xf numFmtId="0" fontId="0" fillId="33" borderId="268" xfId="0" applyFill="1" applyBorder="1"/>
    <xf numFmtId="0" fontId="0" fillId="33" borderId="269" xfId="0" applyFill="1" applyBorder="1"/>
    <xf numFmtId="0" fontId="0" fillId="33" borderId="270" xfId="0" applyFill="1" applyBorder="1"/>
    <xf numFmtId="0" fontId="65" fillId="33" borderId="271" xfId="571" applyFont="1" applyFill="1" applyBorder="1" applyAlignment="1">
      <alignment horizontal="left" indent="4"/>
    </xf>
    <xf numFmtId="0" fontId="65" fillId="33" borderId="271" xfId="571" applyFont="1" applyFill="1" applyBorder="1" applyAlignment="1">
      <alignment horizontal="center"/>
    </xf>
    <xf numFmtId="0" fontId="0" fillId="33" borderId="272" xfId="0" applyFill="1" applyBorder="1"/>
    <xf numFmtId="0" fontId="228" fillId="0" borderId="0" xfId="0" applyFont="1"/>
    <xf numFmtId="0" fontId="229" fillId="0" borderId="0" xfId="0" applyFont="1"/>
    <xf numFmtId="0" fontId="224" fillId="0" borderId="0" xfId="0" applyFont="1"/>
    <xf numFmtId="0" fontId="225" fillId="0" borderId="0" xfId="0" applyFont="1"/>
    <xf numFmtId="0" fontId="230" fillId="40" borderId="0" xfId="0" applyFont="1" applyFill="1"/>
    <xf numFmtId="0" fontId="225" fillId="40" borderId="0" xfId="0" applyFont="1" applyFill="1"/>
    <xf numFmtId="0" fontId="225" fillId="38" borderId="178" xfId="0" applyFont="1" applyFill="1" applyBorder="1" applyAlignment="1">
      <alignment horizontal="center"/>
    </xf>
    <xf numFmtId="0" fontId="224" fillId="38" borderId="179" xfId="0" applyFont="1" applyFill="1" applyBorder="1" applyAlignment="1">
      <alignment horizontal="center"/>
    </xf>
    <xf numFmtId="165" fontId="224" fillId="38" borderId="179" xfId="0" applyNumberFormat="1" applyFont="1" applyFill="1" applyBorder="1" applyAlignment="1">
      <alignment horizontal="center"/>
    </xf>
    <xf numFmtId="0" fontId="224" fillId="38" borderId="180" xfId="0" applyFont="1" applyFill="1" applyBorder="1" applyAlignment="1">
      <alignment horizontal="center"/>
    </xf>
    <xf numFmtId="0" fontId="225" fillId="38" borderId="169" xfId="0" applyFont="1" applyFill="1" applyBorder="1" applyAlignment="1">
      <alignment horizontal="center"/>
    </xf>
    <xf numFmtId="0" fontId="224" fillId="38" borderId="36" xfId="0" applyFont="1" applyFill="1" applyBorder="1" applyAlignment="1">
      <alignment horizontal="center"/>
    </xf>
    <xf numFmtId="0" fontId="224" fillId="38" borderId="171" xfId="0" applyFont="1" applyFill="1" applyBorder="1" applyAlignment="1">
      <alignment horizontal="center"/>
    </xf>
    <xf numFmtId="0" fontId="225" fillId="0" borderId="169" xfId="0" applyFont="1" applyFill="1" applyBorder="1"/>
    <xf numFmtId="0" fontId="225" fillId="0" borderId="36" xfId="0" applyFont="1" applyFill="1" applyBorder="1"/>
    <xf numFmtId="173" fontId="231" fillId="0" borderId="36" xfId="301" applyNumberFormat="1" applyFont="1" applyFill="1" applyBorder="1"/>
    <xf numFmtId="0" fontId="225" fillId="0" borderId="171" xfId="0" applyFont="1" applyFill="1" applyBorder="1"/>
    <xf numFmtId="0" fontId="225" fillId="0" borderId="174" xfId="0" applyFont="1" applyFill="1" applyBorder="1"/>
    <xf numFmtId="0" fontId="224" fillId="0" borderId="37" xfId="0" applyFont="1" applyFill="1" applyBorder="1"/>
    <xf numFmtId="0" fontId="225" fillId="0" borderId="37" xfId="0" applyFont="1" applyFill="1" applyBorder="1"/>
    <xf numFmtId="173" fontId="225" fillId="0" borderId="37" xfId="301" applyNumberFormat="1" applyFont="1" applyFill="1" applyBorder="1"/>
    <xf numFmtId="0" fontId="225" fillId="0" borderId="13" xfId="0" applyFont="1" applyFill="1" applyBorder="1"/>
    <xf numFmtId="173" fontId="231" fillId="0" borderId="37" xfId="301" applyNumberFormat="1" applyFont="1" applyFill="1" applyBorder="1"/>
    <xf numFmtId="0" fontId="225" fillId="0" borderId="175" xfId="0" applyFont="1" applyFill="1" applyBorder="1"/>
    <xf numFmtId="0" fontId="225" fillId="0" borderId="36" xfId="0" applyFont="1" applyFill="1" applyBorder="1" applyAlignment="1">
      <alignment horizontal="center"/>
    </xf>
    <xf numFmtId="173" fontId="231" fillId="0" borderId="36" xfId="301" applyNumberFormat="1" applyFont="1" applyFill="1" applyBorder="1" applyAlignment="1">
      <alignment horizontal="center"/>
    </xf>
    <xf numFmtId="173" fontId="225" fillId="0" borderId="36" xfId="301" applyNumberFormat="1" applyFont="1" applyFill="1" applyBorder="1" applyAlignment="1">
      <alignment horizontal="center"/>
    </xf>
    <xf numFmtId="0" fontId="225" fillId="0" borderId="42" xfId="0" applyFont="1" applyFill="1" applyBorder="1" applyAlignment="1">
      <alignment horizontal="center"/>
    </xf>
    <xf numFmtId="173" fontId="225" fillId="0" borderId="36" xfId="301" applyNumberFormat="1" applyFont="1" applyBorder="1"/>
    <xf numFmtId="173" fontId="225" fillId="0" borderId="171" xfId="301" applyNumberFormat="1" applyFont="1" applyBorder="1"/>
    <xf numFmtId="0" fontId="225" fillId="0" borderId="176" xfId="0" applyFont="1" applyFill="1" applyBorder="1"/>
    <xf numFmtId="0" fontId="225" fillId="0" borderId="43" xfId="0" applyFont="1" applyFill="1" applyBorder="1"/>
    <xf numFmtId="0" fontId="225" fillId="0" borderId="43" xfId="0" applyFont="1" applyFill="1" applyBorder="1" applyAlignment="1">
      <alignment horizontal="center"/>
    </xf>
    <xf numFmtId="173" fontId="231" fillId="0" borderId="43" xfId="301" applyNumberFormat="1" applyFont="1" applyFill="1" applyBorder="1" applyAlignment="1">
      <alignment horizontal="center"/>
    </xf>
    <xf numFmtId="173" fontId="225" fillId="0" borderId="43" xfId="301" applyNumberFormat="1" applyFont="1" applyFill="1" applyBorder="1" applyAlignment="1">
      <alignment horizontal="center"/>
    </xf>
    <xf numFmtId="0" fontId="225" fillId="0" borderId="15" xfId="0" applyFont="1" applyFill="1" applyBorder="1" applyAlignment="1">
      <alignment horizontal="center"/>
    </xf>
    <xf numFmtId="173" fontId="225" fillId="0" borderId="37" xfId="301" applyNumberFormat="1" applyFont="1" applyBorder="1"/>
    <xf numFmtId="173" fontId="225" fillId="0" borderId="175" xfId="301" applyNumberFormat="1" applyFont="1" applyBorder="1"/>
    <xf numFmtId="0" fontId="224" fillId="0" borderId="36" xfId="0" applyFont="1" applyFill="1" applyBorder="1"/>
    <xf numFmtId="43" fontId="225" fillId="0" borderId="36" xfId="301" applyNumberFormat="1" applyFont="1" applyFill="1" applyBorder="1" applyAlignment="1">
      <alignment horizontal="center"/>
    </xf>
    <xf numFmtId="0" fontId="225" fillId="0" borderId="37" xfId="0" applyFont="1" applyFill="1" applyBorder="1" applyAlignment="1">
      <alignment horizontal="center"/>
    </xf>
    <xf numFmtId="173" fontId="225" fillId="0" borderId="37" xfId="301" applyNumberFormat="1" applyFont="1" applyFill="1" applyBorder="1" applyAlignment="1">
      <alignment horizontal="center"/>
    </xf>
    <xf numFmtId="0" fontId="225" fillId="0" borderId="13" xfId="0" applyFont="1" applyFill="1" applyBorder="1" applyAlignment="1">
      <alignment horizontal="center"/>
    </xf>
    <xf numFmtId="173" fontId="231" fillId="0" borderId="37" xfId="301" applyNumberFormat="1" applyFont="1" applyFill="1" applyBorder="1" applyAlignment="1">
      <alignment horizontal="center"/>
    </xf>
    <xf numFmtId="43" fontId="231" fillId="0" borderId="36" xfId="301" applyNumberFormat="1" applyFont="1" applyFill="1" applyBorder="1" applyAlignment="1">
      <alignment horizontal="center"/>
    </xf>
    <xf numFmtId="167" fontId="231" fillId="0" borderId="36" xfId="301" applyNumberFormat="1" applyFont="1" applyFill="1" applyBorder="1" applyAlignment="1">
      <alignment horizontal="center"/>
    </xf>
    <xf numFmtId="173" fontId="232" fillId="0" borderId="0" xfId="301" applyNumberFormat="1" applyFont="1"/>
    <xf numFmtId="173" fontId="225" fillId="0" borderId="0" xfId="301" applyNumberFormat="1" applyFont="1"/>
    <xf numFmtId="173" fontId="232" fillId="0" borderId="36" xfId="301" applyNumberFormat="1" applyFont="1" applyFill="1" applyBorder="1" applyAlignment="1">
      <alignment horizontal="center"/>
    </xf>
    <xf numFmtId="173" fontId="232" fillId="0" borderId="37" xfId="301" applyNumberFormat="1" applyFont="1" applyFill="1" applyBorder="1" applyAlignment="1">
      <alignment horizontal="center"/>
    </xf>
    <xf numFmtId="173" fontId="232" fillId="0" borderId="36" xfId="301" applyNumberFormat="1" applyFont="1" applyBorder="1"/>
    <xf numFmtId="0" fontId="225" fillId="0" borderId="169" xfId="0" applyFont="1" applyBorder="1"/>
    <xf numFmtId="0" fontId="225" fillId="0" borderId="36" xfId="0" applyFont="1" applyBorder="1"/>
    <xf numFmtId="0" fontId="225" fillId="0" borderId="36" xfId="0" applyFont="1" applyBorder="1" applyAlignment="1">
      <alignment horizontal="center"/>
    </xf>
    <xf numFmtId="0" fontId="224" fillId="38" borderId="36" xfId="0" applyFont="1" applyFill="1" applyBorder="1"/>
    <xf numFmtId="43" fontId="224" fillId="38" borderId="36" xfId="301" applyFont="1" applyFill="1" applyBorder="1"/>
    <xf numFmtId="173" fontId="224" fillId="38" borderId="36" xfId="301" applyNumberFormat="1" applyFont="1" applyFill="1" applyBorder="1"/>
    <xf numFmtId="173" fontId="224" fillId="38" borderId="171" xfId="301" applyNumberFormat="1" applyFont="1" applyFill="1" applyBorder="1"/>
    <xf numFmtId="0" fontId="225" fillId="38" borderId="36" xfId="0" applyFont="1" applyFill="1" applyBorder="1"/>
    <xf numFmtId="173" fontId="225" fillId="38" borderId="36" xfId="301" applyNumberFormat="1" applyFont="1" applyFill="1" applyBorder="1"/>
    <xf numFmtId="167" fontId="225" fillId="38" borderId="36" xfId="301" applyNumberFormat="1" applyFont="1" applyFill="1" applyBorder="1"/>
    <xf numFmtId="167" fontId="225" fillId="38" borderId="171" xfId="301" applyNumberFormat="1" applyFont="1" applyFill="1" applyBorder="1"/>
    <xf numFmtId="0" fontId="225" fillId="0" borderId="172" xfId="0" applyFont="1" applyBorder="1"/>
    <xf numFmtId="0" fontId="225" fillId="0" borderId="170" xfId="0" applyFont="1" applyBorder="1"/>
    <xf numFmtId="43" fontId="225" fillId="0" borderId="170" xfId="301" applyFont="1" applyBorder="1"/>
    <xf numFmtId="43" fontId="225" fillId="0" borderId="173" xfId="301" applyFont="1" applyBorder="1"/>
    <xf numFmtId="173" fontId="225" fillId="0" borderId="36" xfId="301" applyNumberFormat="1" applyFont="1" applyFill="1" applyBorder="1"/>
    <xf numFmtId="3" fontId="231" fillId="0" borderId="36" xfId="0" applyNumberFormat="1" applyFont="1" applyFill="1" applyBorder="1"/>
    <xf numFmtId="173" fontId="224" fillId="0" borderId="36" xfId="301" applyNumberFormat="1" applyFont="1" applyFill="1" applyBorder="1"/>
    <xf numFmtId="43" fontId="224" fillId="0" borderId="36" xfId="301" applyNumberFormat="1" applyFont="1" applyFill="1" applyBorder="1" applyAlignment="1">
      <alignment horizontal="center"/>
    </xf>
    <xf numFmtId="2" fontId="225" fillId="0" borderId="171" xfId="0" applyNumberFormat="1" applyFont="1" applyFill="1" applyBorder="1" applyAlignment="1">
      <alignment horizontal="center"/>
    </xf>
    <xf numFmtId="0" fontId="233" fillId="0" borderId="36" xfId="0" applyFont="1" applyFill="1" applyBorder="1"/>
    <xf numFmtId="43" fontId="224" fillId="0" borderId="36" xfId="301" applyNumberFormat="1" applyFont="1" applyFill="1" applyBorder="1"/>
    <xf numFmtId="39" fontId="233" fillId="0" borderId="36" xfId="301" applyNumberFormat="1" applyFont="1" applyFill="1" applyBorder="1" applyAlignment="1">
      <alignment horizontal="center"/>
    </xf>
    <xf numFmtId="2" fontId="233" fillId="0" borderId="171" xfId="0" applyNumberFormat="1" applyFont="1" applyFill="1" applyBorder="1" applyAlignment="1">
      <alignment horizontal="center"/>
    </xf>
    <xf numFmtId="173" fontId="231" fillId="0" borderId="43" xfId="301" applyNumberFormat="1" applyFont="1" applyFill="1" applyBorder="1"/>
    <xf numFmtId="173" fontId="225" fillId="0" borderId="43" xfId="301" applyNumberFormat="1" applyFont="1" applyFill="1" applyBorder="1"/>
    <xf numFmtId="3" fontId="224" fillId="0" borderId="43" xfId="0" applyNumberFormat="1" applyFont="1" applyFill="1" applyBorder="1"/>
    <xf numFmtId="43" fontId="225" fillId="0" borderId="43" xfId="301" applyNumberFormat="1" applyFont="1" applyFill="1" applyBorder="1"/>
    <xf numFmtId="39" fontId="225" fillId="0" borderId="43" xfId="301" applyNumberFormat="1" applyFont="1" applyFill="1" applyBorder="1"/>
    <xf numFmtId="0" fontId="225" fillId="0" borderId="177" xfId="0" applyFont="1" applyFill="1" applyBorder="1"/>
    <xf numFmtId="173" fontId="225" fillId="0" borderId="36" xfId="0" applyNumberFormat="1" applyFont="1" applyFill="1" applyBorder="1"/>
    <xf numFmtId="43" fontId="225" fillId="0" borderId="36" xfId="301" applyNumberFormat="1" applyFont="1" applyFill="1" applyBorder="1"/>
    <xf numFmtId="167" fontId="225" fillId="0" borderId="36" xfId="301" applyNumberFormat="1" applyFont="1" applyFill="1" applyBorder="1"/>
    <xf numFmtId="168" fontId="225" fillId="0" borderId="36" xfId="301" applyNumberFormat="1" applyFont="1" applyFill="1" applyBorder="1"/>
    <xf numFmtId="43" fontId="231" fillId="0" borderId="36" xfId="0" applyNumberFormat="1" applyFont="1" applyFill="1" applyBorder="1"/>
    <xf numFmtId="39" fontId="231" fillId="0" borderId="36" xfId="301" applyNumberFormat="1" applyFont="1" applyFill="1" applyBorder="1"/>
    <xf numFmtId="0" fontId="231" fillId="0" borderId="171" xfId="0" applyFont="1" applyFill="1" applyBorder="1"/>
    <xf numFmtId="173" fontId="224" fillId="0" borderId="36" xfId="0" applyNumberFormat="1" applyFont="1" applyFill="1" applyBorder="1"/>
    <xf numFmtId="173" fontId="233" fillId="0" borderId="36" xfId="301" applyNumberFormat="1" applyFont="1" applyFill="1" applyBorder="1"/>
    <xf numFmtId="43" fontId="231" fillId="0" borderId="36" xfId="301" applyNumberFormat="1" applyFont="1" applyFill="1" applyBorder="1"/>
    <xf numFmtId="43" fontId="225" fillId="0" borderId="37" xfId="301" applyNumberFormat="1" applyFont="1" applyFill="1" applyBorder="1"/>
    <xf numFmtId="2" fontId="233" fillId="0" borderId="36" xfId="0" applyNumberFormat="1" applyFont="1" applyFill="1" applyBorder="1"/>
    <xf numFmtId="2" fontId="233" fillId="0" borderId="171" xfId="0" applyNumberFormat="1" applyFont="1" applyFill="1" applyBorder="1"/>
    <xf numFmtId="43" fontId="231" fillId="0" borderId="171" xfId="301" applyFont="1" applyFill="1" applyBorder="1"/>
    <xf numFmtId="43" fontId="233" fillId="0" borderId="36" xfId="301" applyNumberFormat="1" applyFont="1" applyFill="1" applyBorder="1"/>
    <xf numFmtId="43" fontId="233" fillId="0" borderId="171" xfId="301" applyNumberFormat="1" applyFont="1" applyFill="1" applyBorder="1"/>
    <xf numFmtId="173" fontId="225" fillId="0" borderId="37" xfId="0" applyNumberFormat="1" applyFont="1" applyFill="1" applyBorder="1"/>
    <xf numFmtId="43" fontId="225" fillId="0" borderId="171" xfId="301" applyFont="1" applyFill="1" applyBorder="1"/>
    <xf numFmtId="2" fontId="225" fillId="0" borderId="171" xfId="301" applyNumberFormat="1" applyFont="1" applyFill="1" applyBorder="1" applyAlignment="1">
      <alignment horizontal="center"/>
    </xf>
    <xf numFmtId="168" fontId="233" fillId="0" borderId="36" xfId="301" applyNumberFormat="1" applyFont="1" applyFill="1" applyBorder="1"/>
    <xf numFmtId="2" fontId="231" fillId="0" borderId="171" xfId="0" applyNumberFormat="1" applyFont="1" applyFill="1" applyBorder="1" applyAlignment="1">
      <alignment horizontal="center"/>
    </xf>
    <xf numFmtId="167" fontId="231" fillId="0" borderId="36" xfId="301" applyNumberFormat="1" applyFont="1" applyFill="1" applyBorder="1"/>
    <xf numFmtId="198" fontId="233" fillId="0" borderId="36" xfId="301" applyNumberFormat="1" applyFont="1" applyFill="1" applyBorder="1"/>
    <xf numFmtId="167" fontId="231" fillId="0" borderId="37" xfId="301" applyNumberFormat="1" applyFont="1" applyFill="1" applyBorder="1"/>
    <xf numFmtId="173" fontId="224" fillId="0" borderId="37" xfId="0" applyNumberFormat="1" applyFont="1" applyFill="1" applyBorder="1"/>
    <xf numFmtId="173" fontId="233" fillId="0" borderId="37" xfId="301" applyNumberFormat="1" applyFont="1" applyFill="1" applyBorder="1"/>
    <xf numFmtId="198" fontId="233" fillId="0" borderId="37" xfId="301" applyNumberFormat="1" applyFont="1" applyFill="1" applyBorder="1"/>
    <xf numFmtId="2" fontId="225" fillId="0" borderId="171" xfId="0" applyNumberFormat="1" applyFont="1" applyFill="1" applyBorder="1"/>
    <xf numFmtId="39" fontId="233" fillId="0" borderId="36" xfId="301" applyNumberFormat="1" applyFont="1" applyFill="1" applyBorder="1"/>
    <xf numFmtId="39" fontId="233" fillId="0" borderId="171" xfId="301" applyNumberFormat="1" applyFont="1" applyFill="1" applyBorder="1"/>
    <xf numFmtId="173" fontId="224" fillId="0" borderId="37" xfId="301" applyNumberFormat="1" applyFont="1" applyFill="1" applyBorder="1"/>
    <xf numFmtId="43" fontId="224" fillId="0" borderId="37" xfId="301" applyNumberFormat="1" applyFont="1" applyFill="1" applyBorder="1"/>
    <xf numFmtId="165" fontId="233" fillId="0" borderId="171" xfId="0" applyNumberFormat="1" applyFont="1" applyFill="1" applyBorder="1"/>
    <xf numFmtId="38" fontId="225" fillId="0" borderId="36" xfId="0" applyNumberFormat="1" applyFont="1" applyFill="1" applyBorder="1"/>
    <xf numFmtId="38" fontId="225" fillId="0" borderId="37" xfId="0" applyNumberFormat="1" applyFont="1" applyFill="1" applyBorder="1"/>
    <xf numFmtId="3" fontId="225" fillId="0" borderId="36" xfId="0" applyNumberFormat="1" applyFont="1" applyFill="1" applyBorder="1"/>
    <xf numFmtId="1" fontId="225" fillId="0" borderId="36" xfId="0" applyNumberFormat="1" applyFont="1" applyFill="1" applyBorder="1"/>
    <xf numFmtId="2" fontId="231" fillId="0" borderId="36" xfId="0" applyNumberFormat="1" applyFont="1" applyFill="1" applyBorder="1"/>
    <xf numFmtId="2" fontId="231" fillId="0" borderId="171" xfId="0" applyNumberFormat="1" applyFont="1" applyFill="1" applyBorder="1"/>
    <xf numFmtId="43" fontId="225" fillId="0" borderId="36" xfId="301" applyFont="1" applyFill="1" applyBorder="1"/>
    <xf numFmtId="2" fontId="225" fillId="0" borderId="36" xfId="0" applyNumberFormat="1" applyFont="1" applyFill="1" applyBorder="1"/>
    <xf numFmtId="43" fontId="224" fillId="0" borderId="36" xfId="301" applyFont="1" applyFill="1" applyBorder="1"/>
    <xf numFmtId="43" fontId="225" fillId="0" borderId="171" xfId="0" applyNumberFormat="1" applyFont="1" applyFill="1" applyBorder="1"/>
    <xf numFmtId="0" fontId="233" fillId="0" borderId="171" xfId="0" applyFont="1" applyFill="1" applyBorder="1"/>
    <xf numFmtId="174" fontId="231" fillId="0" borderId="36" xfId="301" applyNumberFormat="1" applyFont="1" applyFill="1" applyBorder="1"/>
    <xf numFmtId="199" fontId="231" fillId="0" borderId="171" xfId="301" applyNumberFormat="1" applyFont="1" applyFill="1" applyBorder="1"/>
    <xf numFmtId="0" fontId="231" fillId="0" borderId="36" xfId="0" applyFont="1" applyFill="1" applyBorder="1"/>
    <xf numFmtId="171" fontId="231" fillId="0" borderId="171" xfId="0" applyNumberFormat="1" applyFont="1" applyFill="1" applyBorder="1"/>
    <xf numFmtId="170" fontId="231" fillId="0" borderId="36" xfId="0" applyNumberFormat="1" applyFont="1" applyFill="1" applyBorder="1"/>
    <xf numFmtId="170" fontId="231" fillId="0" borderId="171" xfId="0" applyNumberFormat="1" applyFont="1" applyFill="1" applyBorder="1"/>
    <xf numFmtId="0" fontId="225" fillId="0" borderId="273" xfId="0" applyFont="1" applyFill="1" applyBorder="1"/>
    <xf numFmtId="0" fontId="225" fillId="0" borderId="42" xfId="0" applyFont="1" applyFill="1" applyBorder="1"/>
    <xf numFmtId="0" fontId="225" fillId="0" borderId="92" xfId="0" applyFont="1" applyFill="1" applyBorder="1"/>
    <xf numFmtId="43" fontId="231" fillId="0" borderId="36" xfId="301" applyFont="1" applyFill="1" applyBorder="1"/>
    <xf numFmtId="2" fontId="231" fillId="0" borderId="92" xfId="0" applyNumberFormat="1" applyFont="1" applyFill="1" applyBorder="1"/>
    <xf numFmtId="0" fontId="225" fillId="0" borderId="92" xfId="0" applyFont="1" applyBorder="1"/>
    <xf numFmtId="0" fontId="225" fillId="38" borderId="0" xfId="0" applyFont="1" applyFill="1"/>
    <xf numFmtId="43" fontId="225" fillId="38" borderId="36" xfId="301" applyFont="1" applyFill="1" applyBorder="1"/>
    <xf numFmtId="43" fontId="225" fillId="38" borderId="92" xfId="301" applyFont="1" applyFill="1" applyBorder="1"/>
    <xf numFmtId="43" fontId="225" fillId="38" borderId="0" xfId="301" applyFont="1" applyFill="1"/>
    <xf numFmtId="0" fontId="225" fillId="0" borderId="172" xfId="0" applyFont="1" applyFill="1" applyBorder="1"/>
    <xf numFmtId="0" fontId="225" fillId="0" borderId="170" xfId="0" applyFont="1" applyFill="1" applyBorder="1"/>
    <xf numFmtId="0" fontId="225" fillId="0" borderId="274" xfId="0" applyFont="1" applyFill="1" applyBorder="1"/>
    <xf numFmtId="0" fontId="225" fillId="0" borderId="95" xfId="0" applyFont="1" applyFill="1" applyBorder="1"/>
    <xf numFmtId="43" fontId="225" fillId="0" borderId="36" xfId="301" applyFont="1" applyBorder="1" applyAlignment="1">
      <alignment horizontal="center"/>
    </xf>
    <xf numFmtId="170" fontId="225" fillId="0" borderId="36" xfId="0" applyNumberFormat="1" applyFont="1" applyBorder="1"/>
    <xf numFmtId="2" fontId="225" fillId="0" borderId="171" xfId="0" applyNumberFormat="1" applyFont="1" applyFill="1" applyBorder="1" applyAlignment="1">
      <alignment horizontal="right"/>
    </xf>
    <xf numFmtId="0" fontId="225" fillId="0" borderId="171" xfId="0" applyFont="1" applyBorder="1"/>
    <xf numFmtId="43" fontId="225" fillId="0" borderId="37" xfId="301" applyFont="1" applyBorder="1" applyAlignment="1">
      <alignment horizontal="center"/>
    </xf>
    <xf numFmtId="170" fontId="225" fillId="0" borderId="37" xfId="0" applyNumberFormat="1" applyFont="1" applyBorder="1"/>
    <xf numFmtId="0" fontId="225" fillId="0" borderId="175" xfId="0" applyFont="1" applyBorder="1"/>
    <xf numFmtId="170" fontId="224" fillId="0" borderId="36" xfId="301" applyNumberFormat="1" applyFont="1" applyFill="1" applyBorder="1" applyAlignment="1">
      <alignment horizontal="right"/>
    </xf>
    <xf numFmtId="173" fontId="231" fillId="0" borderId="36" xfId="0" applyNumberFormat="1" applyFont="1" applyFill="1" applyBorder="1"/>
    <xf numFmtId="43" fontId="225" fillId="0" borderId="36" xfId="301" applyFont="1" applyFill="1" applyBorder="1" applyAlignment="1">
      <alignment horizontal="center"/>
    </xf>
    <xf numFmtId="170" fontId="225" fillId="0" borderId="36" xfId="0" applyNumberFormat="1" applyFont="1" applyFill="1" applyBorder="1" applyAlignment="1">
      <alignment horizontal="right"/>
    </xf>
    <xf numFmtId="0" fontId="225" fillId="0" borderId="37" xfId="0" applyFont="1" applyBorder="1"/>
    <xf numFmtId="43" fontId="225" fillId="38" borderId="171" xfId="301" applyFont="1" applyFill="1" applyBorder="1"/>
    <xf numFmtId="0" fontId="225" fillId="0" borderId="173" xfId="0" applyFont="1" applyFill="1" applyBorder="1"/>
    <xf numFmtId="0" fontId="225" fillId="40" borderId="0" xfId="0" applyFont="1" applyFill="1" applyBorder="1"/>
    <xf numFmtId="0" fontId="233" fillId="0" borderId="36" xfId="0" applyFont="1" applyFill="1" applyBorder="1" applyAlignment="1">
      <alignment horizontal="center"/>
    </xf>
    <xf numFmtId="3" fontId="233" fillId="0" borderId="36" xfId="0" applyNumberFormat="1" applyFont="1" applyFill="1" applyBorder="1"/>
    <xf numFmtId="3" fontId="224" fillId="0" borderId="36" xfId="0" applyNumberFormat="1" applyFont="1" applyFill="1" applyBorder="1"/>
    <xf numFmtId="11" fontId="225" fillId="0" borderId="36" xfId="0" applyNumberFormat="1" applyFont="1" applyFill="1" applyBorder="1"/>
    <xf numFmtId="170" fontId="225" fillId="0" borderId="36" xfId="0" applyNumberFormat="1" applyFont="1" applyFill="1" applyBorder="1"/>
    <xf numFmtId="0" fontId="234" fillId="0" borderId="0" xfId="0" applyFont="1"/>
    <xf numFmtId="0" fontId="225" fillId="0" borderId="0" xfId="0" applyFont="1" applyFill="1"/>
    <xf numFmtId="0" fontId="227" fillId="0" borderId="0" xfId="0" applyFont="1" applyFill="1"/>
    <xf numFmtId="0" fontId="224" fillId="0" borderId="51" xfId="0" applyFont="1" applyBorder="1"/>
    <xf numFmtId="0" fontId="224" fillId="0" borderId="109" xfId="0" applyFont="1" applyBorder="1"/>
    <xf numFmtId="0" fontId="224" fillId="0" borderId="52" xfId="0" applyFont="1" applyBorder="1"/>
    <xf numFmtId="0" fontId="224" fillId="0" borderId="26" xfId="0" applyFont="1" applyBorder="1"/>
    <xf numFmtId="0" fontId="224" fillId="0" borderId="1" xfId="0" applyFont="1" applyBorder="1"/>
    <xf numFmtId="0" fontId="224" fillId="0" borderId="39" xfId="0" applyFont="1" applyBorder="1"/>
    <xf numFmtId="0" fontId="225" fillId="0" borderId="39" xfId="0" applyFont="1" applyBorder="1"/>
    <xf numFmtId="173" fontId="225" fillId="0" borderId="1" xfId="0" applyNumberFormat="1" applyFont="1" applyBorder="1"/>
    <xf numFmtId="173" fontId="225" fillId="0" borderId="1" xfId="301" applyNumberFormat="1" applyFont="1" applyBorder="1"/>
    <xf numFmtId="0" fontId="225" fillId="0" borderId="1" xfId="0" applyFont="1" applyBorder="1"/>
    <xf numFmtId="0" fontId="224" fillId="25" borderId="107" xfId="0" applyFont="1" applyFill="1" applyBorder="1"/>
    <xf numFmtId="43" fontId="225" fillId="25" borderId="60" xfId="301" applyFont="1" applyFill="1" applyBorder="1" applyAlignment="1">
      <alignment horizontal="center"/>
    </xf>
    <xf numFmtId="43" fontId="225" fillId="25" borderId="111" xfId="301" applyFont="1" applyFill="1" applyBorder="1" applyAlignment="1">
      <alignment horizontal="center"/>
    </xf>
    <xf numFmtId="0" fontId="224" fillId="0" borderId="27" xfId="0" applyFont="1" applyFill="1" applyBorder="1"/>
    <xf numFmtId="0" fontId="225" fillId="0" borderId="28" xfId="0" applyFont="1" applyFill="1" applyBorder="1"/>
    <xf numFmtId="0" fontId="225" fillId="0" borderId="29" xfId="0" applyFont="1" applyFill="1" applyBorder="1"/>
    <xf numFmtId="0" fontId="225" fillId="0" borderId="51" xfId="0" applyFont="1" applyBorder="1"/>
    <xf numFmtId="0" fontId="225" fillId="0" borderId="109" xfId="0" applyFont="1" applyBorder="1"/>
    <xf numFmtId="0" fontId="224" fillId="0" borderId="109" xfId="0" applyFont="1" applyFill="1" applyBorder="1" applyAlignment="1">
      <alignment horizontal="center"/>
    </xf>
    <xf numFmtId="0" fontId="224" fillId="0" borderId="52" xfId="0" applyFont="1" applyFill="1" applyBorder="1" applyAlignment="1">
      <alignment horizontal="center"/>
    </xf>
    <xf numFmtId="0" fontId="226" fillId="0" borderId="1" xfId="0" applyFont="1" applyFill="1" applyBorder="1" applyAlignment="1">
      <alignment horizontal="center"/>
    </xf>
    <xf numFmtId="43" fontId="225" fillId="0" borderId="1" xfId="0" applyNumberFormat="1" applyFont="1" applyBorder="1"/>
    <xf numFmtId="43" fontId="224" fillId="25" borderId="26" xfId="301" applyFont="1" applyFill="1" applyBorder="1"/>
    <xf numFmtId="43" fontId="225" fillId="25" borderId="1" xfId="301" applyFont="1" applyFill="1" applyBorder="1"/>
    <xf numFmtId="43" fontId="225" fillId="25" borderId="39" xfId="301" applyFont="1" applyFill="1" applyBorder="1"/>
    <xf numFmtId="0" fontId="225" fillId="0" borderId="0" xfId="0" applyFont="1" applyBorder="1"/>
    <xf numFmtId="0" fontId="225" fillId="0" borderId="51" xfId="0" applyFont="1" applyFill="1" applyBorder="1"/>
    <xf numFmtId="167" fontId="225" fillId="0" borderId="1" xfId="0" applyNumberFormat="1" applyFont="1" applyBorder="1"/>
    <xf numFmtId="0" fontId="227" fillId="0" borderId="28" xfId="0" applyFont="1" applyBorder="1"/>
    <xf numFmtId="0" fontId="224" fillId="0" borderId="28" xfId="0" applyFont="1" applyFill="1" applyBorder="1" applyAlignment="1">
      <alignment horizontal="center"/>
    </xf>
    <xf numFmtId="171" fontId="226" fillId="0" borderId="29" xfId="0" applyNumberFormat="1" applyFont="1" applyBorder="1"/>
    <xf numFmtId="0" fontId="229" fillId="0" borderId="0" xfId="0" applyFont="1" applyBorder="1"/>
    <xf numFmtId="0" fontId="227" fillId="0" borderId="0" xfId="0" applyFont="1" applyBorder="1"/>
    <xf numFmtId="0" fontId="224" fillId="0" borderId="0" xfId="0" applyFont="1" applyFill="1" applyBorder="1" applyAlignment="1">
      <alignment horizontal="center"/>
    </xf>
    <xf numFmtId="171" fontId="226" fillId="0" borderId="0" xfId="0" applyNumberFormat="1" applyFont="1" applyBorder="1"/>
    <xf numFmtId="0" fontId="224" fillId="0" borderId="1" xfId="0" applyFont="1" applyFill="1" applyBorder="1" applyAlignment="1">
      <alignment horizontal="center"/>
    </xf>
    <xf numFmtId="0" fontId="224" fillId="0" borderId="39" xfId="0" applyFont="1" applyFill="1" applyBorder="1" applyAlignment="1">
      <alignment horizontal="center"/>
    </xf>
    <xf numFmtId="0" fontId="224" fillId="0" borderId="26" xfId="0" applyFont="1" applyFill="1" applyBorder="1"/>
    <xf numFmtId="43" fontId="225" fillId="0" borderId="1" xfId="301" applyFont="1" applyBorder="1" applyAlignment="1">
      <alignment horizontal="center"/>
    </xf>
    <xf numFmtId="2" fontId="225" fillId="0" borderId="1" xfId="0" applyNumberFormat="1" applyFont="1" applyBorder="1" applyAlignment="1">
      <alignment horizontal="center"/>
    </xf>
    <xf numFmtId="0" fontId="225" fillId="0" borderId="1" xfId="0" applyFont="1" applyBorder="1" applyAlignment="1">
      <alignment horizontal="center"/>
    </xf>
    <xf numFmtId="0" fontId="225" fillId="38" borderId="27" xfId="0" applyFont="1" applyFill="1" applyBorder="1"/>
    <xf numFmtId="0" fontId="225" fillId="38" borderId="28" xfId="0" applyFont="1" applyFill="1" applyBorder="1"/>
    <xf numFmtId="171" fontId="224" fillId="38" borderId="28" xfId="0" applyNumberFormat="1" applyFont="1" applyFill="1" applyBorder="1" applyAlignment="1">
      <alignment horizontal="center"/>
    </xf>
    <xf numFmtId="171" fontId="224" fillId="38" borderId="29" xfId="0" applyNumberFormat="1" applyFont="1" applyFill="1" applyBorder="1" applyAlignment="1"/>
    <xf numFmtId="43" fontId="225" fillId="0" borderId="43" xfId="301" applyNumberFormat="1" applyFont="1" applyFill="1" applyBorder="1" applyAlignment="1">
      <alignment horizontal="center"/>
    </xf>
    <xf numFmtId="39" fontId="225" fillId="0" borderId="43" xfId="301" applyNumberFormat="1" applyFont="1" applyFill="1" applyBorder="1" applyAlignment="1">
      <alignment horizontal="center"/>
    </xf>
    <xf numFmtId="0" fontId="225" fillId="0" borderId="177" xfId="0" applyFont="1" applyFill="1" applyBorder="1" applyAlignment="1">
      <alignment horizontal="center"/>
    </xf>
    <xf numFmtId="39" fontId="225" fillId="0" borderId="36" xfId="301" applyNumberFormat="1" applyFont="1" applyFill="1" applyBorder="1" applyAlignment="1">
      <alignment horizontal="center"/>
    </xf>
    <xf numFmtId="0" fontId="225" fillId="0" borderId="171" xfId="0" applyFont="1" applyFill="1" applyBorder="1" applyAlignment="1">
      <alignment horizontal="center"/>
    </xf>
    <xf numFmtId="43" fontId="225" fillId="0" borderId="37" xfId="301" applyNumberFormat="1" applyFont="1" applyFill="1" applyBorder="1" applyAlignment="1">
      <alignment horizontal="center"/>
    </xf>
    <xf numFmtId="0" fontId="225" fillId="0" borderId="175" xfId="0" applyFont="1" applyFill="1" applyBorder="1" applyAlignment="1">
      <alignment horizontal="center"/>
    </xf>
    <xf numFmtId="43" fontId="225" fillId="0" borderId="171" xfId="301" applyFont="1" applyFill="1" applyBorder="1" applyAlignment="1">
      <alignment horizontal="center"/>
    </xf>
    <xf numFmtId="173" fontId="233" fillId="0" borderId="36" xfId="301" applyNumberFormat="1" applyFont="1" applyFill="1" applyBorder="1" applyAlignment="1">
      <alignment horizontal="center"/>
    </xf>
    <xf numFmtId="43" fontId="233" fillId="0" borderId="36" xfId="301" applyNumberFormat="1" applyFont="1" applyFill="1" applyBorder="1" applyAlignment="1">
      <alignment horizontal="center"/>
    </xf>
    <xf numFmtId="173" fontId="224" fillId="0" borderId="36" xfId="301" applyNumberFormat="1" applyFont="1" applyFill="1" applyBorder="1" applyAlignment="1">
      <alignment horizontal="center"/>
    </xf>
    <xf numFmtId="43" fontId="231" fillId="0" borderId="36" xfId="0" applyNumberFormat="1" applyFont="1" applyFill="1" applyBorder="1" applyAlignment="1">
      <alignment horizontal="center"/>
    </xf>
    <xf numFmtId="174" fontId="224" fillId="0" borderId="36" xfId="301" applyNumberFormat="1" applyFont="1" applyFill="1" applyBorder="1" applyAlignment="1">
      <alignment horizontal="center"/>
    </xf>
    <xf numFmtId="198" fontId="233" fillId="0" borderId="36" xfId="301" applyNumberFormat="1" applyFont="1" applyFill="1" applyBorder="1" applyAlignment="1">
      <alignment horizontal="center"/>
    </xf>
    <xf numFmtId="173" fontId="233" fillId="0" borderId="37" xfId="301" applyNumberFormat="1" applyFont="1" applyFill="1" applyBorder="1" applyAlignment="1">
      <alignment horizontal="center"/>
    </xf>
    <xf numFmtId="198" fontId="233" fillId="0" borderId="37" xfId="301" applyNumberFormat="1" applyFont="1" applyFill="1" applyBorder="1" applyAlignment="1">
      <alignment horizontal="center"/>
    </xf>
    <xf numFmtId="173" fontId="224" fillId="0" borderId="37" xfId="301" applyNumberFormat="1" applyFont="1" applyFill="1" applyBorder="1" applyAlignment="1">
      <alignment horizontal="center"/>
    </xf>
    <xf numFmtId="43" fontId="224" fillId="0" borderId="37" xfId="301" applyNumberFormat="1" applyFont="1" applyFill="1" applyBorder="1" applyAlignment="1">
      <alignment horizontal="center"/>
    </xf>
    <xf numFmtId="2" fontId="233" fillId="0" borderId="36" xfId="0" applyNumberFormat="1" applyFont="1" applyFill="1" applyBorder="1" applyAlignment="1">
      <alignment horizontal="center"/>
    </xf>
    <xf numFmtId="165" fontId="233" fillId="0" borderId="171" xfId="0" applyNumberFormat="1" applyFont="1" applyFill="1" applyBorder="1" applyAlignment="1">
      <alignment horizontal="center"/>
    </xf>
    <xf numFmtId="0" fontId="233" fillId="0" borderId="171" xfId="0" applyFont="1" applyFill="1" applyBorder="1" applyAlignment="1">
      <alignment horizontal="center"/>
    </xf>
    <xf numFmtId="2" fontId="225" fillId="0" borderId="36" xfId="0" applyNumberFormat="1" applyFont="1" applyFill="1" applyBorder="1" applyAlignment="1">
      <alignment horizontal="center"/>
    </xf>
    <xf numFmtId="43" fontId="225" fillId="0" borderId="171" xfId="0" applyNumberFormat="1" applyFont="1" applyFill="1" applyBorder="1" applyAlignment="1">
      <alignment horizontal="center"/>
    </xf>
    <xf numFmtId="0" fontId="231" fillId="0" borderId="36" xfId="0" applyFont="1" applyFill="1" applyBorder="1" applyAlignment="1">
      <alignment horizontal="center"/>
    </xf>
    <xf numFmtId="2" fontId="231" fillId="0" borderId="36" xfId="0" applyNumberFormat="1" applyFont="1" applyFill="1" applyBorder="1" applyAlignment="1">
      <alignment horizontal="center"/>
    </xf>
    <xf numFmtId="174" fontId="231" fillId="0" borderId="36" xfId="301" applyNumberFormat="1" applyFont="1" applyFill="1" applyBorder="1" applyAlignment="1">
      <alignment horizontal="center"/>
    </xf>
    <xf numFmtId="174" fontId="231" fillId="0" borderId="171" xfId="301" applyNumberFormat="1" applyFont="1" applyFill="1" applyBorder="1" applyAlignment="1">
      <alignment horizontal="center"/>
    </xf>
    <xf numFmtId="173" fontId="225" fillId="0" borderId="175" xfId="301" applyNumberFormat="1" applyFont="1" applyFill="1" applyBorder="1" applyAlignment="1">
      <alignment horizontal="center"/>
    </xf>
    <xf numFmtId="173" fontId="225" fillId="0" borderId="171" xfId="301" applyNumberFormat="1" applyFont="1" applyFill="1" applyBorder="1" applyAlignment="1">
      <alignment horizontal="center"/>
    </xf>
    <xf numFmtId="39" fontId="231" fillId="0" borderId="36" xfId="301" applyNumberFormat="1" applyFont="1" applyFill="1" applyBorder="1" applyAlignment="1">
      <alignment horizontal="center"/>
    </xf>
    <xf numFmtId="39" fontId="231" fillId="0" borderId="171" xfId="301" applyNumberFormat="1" applyFont="1" applyFill="1" applyBorder="1" applyAlignment="1">
      <alignment horizontal="center"/>
    </xf>
    <xf numFmtId="0" fontId="225" fillId="0" borderId="37" xfId="0" applyFont="1" applyBorder="1" applyAlignment="1">
      <alignment horizontal="center"/>
    </xf>
    <xf numFmtId="43" fontId="225" fillId="38" borderId="36" xfId="301" applyFont="1" applyFill="1" applyBorder="1" applyAlignment="1">
      <alignment horizontal="center"/>
    </xf>
    <xf numFmtId="37" fontId="6" fillId="0" borderId="55" xfId="301" applyNumberFormat="1" applyFont="1" applyBorder="1"/>
    <xf numFmtId="173" fontId="13" fillId="25" borderId="62" xfId="0" applyNumberFormat="1" applyFont="1" applyFill="1" applyBorder="1"/>
    <xf numFmtId="173" fontId="0" fillId="0" borderId="1" xfId="301" quotePrefix="1" applyNumberFormat="1" applyFont="1" applyFill="1" applyBorder="1"/>
    <xf numFmtId="173" fontId="0" fillId="0" borderId="0" xfId="301" applyNumberFormat="1" applyFont="1"/>
    <xf numFmtId="173" fontId="0" fillId="0" borderId="1" xfId="301" applyNumberFormat="1" applyFont="1" applyFill="1" applyBorder="1"/>
    <xf numFmtId="173" fontId="0" fillId="0" borderId="3" xfId="301" applyNumberFormat="1" applyFont="1" applyBorder="1"/>
    <xf numFmtId="173" fontId="0" fillId="0" borderId="55" xfId="301" applyNumberFormat="1" applyFont="1" applyBorder="1"/>
    <xf numFmtId="0" fontId="77" fillId="25" borderId="58" xfId="0" applyFont="1" applyFill="1" applyBorder="1"/>
    <xf numFmtId="165" fontId="23" fillId="0" borderId="103" xfId="0" applyNumberFormat="1" applyFont="1" applyBorder="1"/>
    <xf numFmtId="0" fontId="0" fillId="0" borderId="130" xfId="0" applyBorder="1"/>
    <xf numFmtId="173" fontId="0" fillId="0" borderId="103" xfId="0" applyNumberFormat="1" applyBorder="1"/>
    <xf numFmtId="173" fontId="23" fillId="0" borderId="103" xfId="0" applyNumberFormat="1" applyFont="1" applyBorder="1"/>
    <xf numFmtId="188" fontId="0" fillId="0" borderId="125" xfId="0" applyNumberFormat="1" applyBorder="1"/>
    <xf numFmtId="0" fontId="0" fillId="0" borderId="150" xfId="0" applyBorder="1"/>
    <xf numFmtId="173" fontId="13" fillId="0" borderId="45" xfId="566" applyNumberFormat="1" applyFill="1" applyBorder="1"/>
    <xf numFmtId="0" fontId="108" fillId="25" borderId="2" xfId="0" applyFont="1" applyFill="1" applyBorder="1" applyAlignment="1">
      <alignment horizontal="left" indent="2"/>
    </xf>
    <xf numFmtId="0" fontId="104" fillId="25" borderId="2" xfId="0" applyFont="1" applyFill="1" applyBorder="1" applyAlignment="1">
      <alignment horizontal="left" indent="1"/>
    </xf>
    <xf numFmtId="0" fontId="104" fillId="25" borderId="2" xfId="0" applyFont="1" applyFill="1" applyBorder="1"/>
    <xf numFmtId="0" fontId="0" fillId="0" borderId="0" xfId="0" quotePrefix="1"/>
    <xf numFmtId="0" fontId="15" fillId="25" borderId="246" xfId="0" applyFont="1" applyFill="1" applyBorder="1" applyAlignment="1">
      <alignment horizontal="left"/>
    </xf>
    <xf numFmtId="173" fontId="25" fillId="0" borderId="3" xfId="301" applyNumberFormat="1" applyFont="1" applyFill="1" applyBorder="1" applyProtection="1">
      <protection locked="0"/>
    </xf>
    <xf numFmtId="2" fontId="16" fillId="0" borderId="3" xfId="0" applyNumberFormat="1" applyFont="1" applyBorder="1"/>
    <xf numFmtId="173" fontId="25" fillId="0" borderId="3" xfId="301" applyNumberFormat="1" applyFont="1" applyBorder="1"/>
    <xf numFmtId="167" fontId="25" fillId="0" borderId="117" xfId="301" applyNumberFormat="1" applyFont="1" applyBorder="1"/>
    <xf numFmtId="0" fontId="15" fillId="25" borderId="49" xfId="0" applyFont="1" applyFill="1" applyBorder="1" applyAlignment="1">
      <alignment horizontal="left"/>
    </xf>
    <xf numFmtId="173" fontId="4" fillId="0" borderId="3" xfId="301" applyNumberFormat="1" applyFont="1" applyFill="1" applyBorder="1" applyProtection="1">
      <protection locked="0"/>
    </xf>
    <xf numFmtId="173" fontId="4" fillId="0" borderId="3" xfId="301" applyNumberFormat="1" applyFont="1" applyBorder="1"/>
    <xf numFmtId="169" fontId="4" fillId="0" borderId="117" xfId="301" applyNumberFormat="1" applyFont="1" applyBorder="1"/>
    <xf numFmtId="0" fontId="4" fillId="0" borderId="246" xfId="0" applyFont="1" applyBorder="1"/>
    <xf numFmtId="0" fontId="16" fillId="0" borderId="196" xfId="0" applyFont="1" applyBorder="1" applyAlignment="1">
      <alignment horizontal="left" vertical="top" wrapText="1" indent="2"/>
    </xf>
    <xf numFmtId="0" fontId="16" fillId="0" borderId="235" xfId="0" applyFont="1" applyFill="1" applyBorder="1" applyAlignment="1">
      <alignment horizontal="left" vertical="top" wrapText="1" indent="1"/>
    </xf>
    <xf numFmtId="0" fontId="16" fillId="0" borderId="196" xfId="0" applyFont="1" applyBorder="1" applyAlignment="1">
      <alignment horizontal="left" vertical="top" wrapText="1" indent="1"/>
    </xf>
    <xf numFmtId="0" fontId="15" fillId="0" borderId="254" xfId="0" applyFont="1" applyBorder="1" applyAlignment="1">
      <alignment horizontal="center"/>
    </xf>
    <xf numFmtId="0" fontId="15" fillId="0" borderId="255" xfId="0" applyFont="1" applyBorder="1" applyAlignment="1">
      <alignment horizontal="center"/>
    </xf>
    <xf numFmtId="0" fontId="16" fillId="0" borderId="105" xfId="0" applyFont="1" applyBorder="1"/>
    <xf numFmtId="0" fontId="16" fillId="0" borderId="105" xfId="0" applyFont="1" applyBorder="1" applyAlignment="1">
      <alignment horizontal="center" wrapText="1"/>
    </xf>
    <xf numFmtId="0" fontId="90" fillId="0" borderId="105" xfId="0" applyFont="1" applyBorder="1"/>
    <xf numFmtId="0" fontId="90" fillId="0" borderId="275" xfId="0" applyFont="1" applyBorder="1"/>
    <xf numFmtId="0" fontId="16" fillId="0" borderId="34" xfId="0" applyFont="1" applyBorder="1"/>
    <xf numFmtId="0" fontId="91" fillId="0" borderId="34" xfId="0" applyFont="1" applyBorder="1"/>
    <xf numFmtId="0" fontId="91" fillId="0" borderId="113" xfId="0" applyFont="1" applyBorder="1"/>
    <xf numFmtId="173" fontId="25" fillId="0" borderId="34" xfId="301" applyNumberFormat="1" applyFont="1" applyFill="1" applyBorder="1" applyProtection="1">
      <protection locked="0"/>
    </xf>
    <xf numFmtId="2" fontId="16" fillId="0" borderId="34" xfId="0" applyNumberFormat="1" applyFont="1" applyBorder="1"/>
    <xf numFmtId="173" fontId="25" fillId="0" borderId="34" xfId="301" applyNumberFormat="1" applyFont="1" applyBorder="1"/>
    <xf numFmtId="167" fontId="25" fillId="0" borderId="113" xfId="301" applyNumberFormat="1" applyFont="1" applyBorder="1"/>
    <xf numFmtId="173" fontId="25" fillId="0" borderId="62" xfId="301" applyNumberFormat="1" applyFont="1" applyFill="1" applyBorder="1" applyProtection="1">
      <protection locked="0"/>
    </xf>
    <xf numFmtId="2" fontId="16" fillId="0" borderId="62" xfId="0" applyNumberFormat="1" applyFont="1" applyBorder="1"/>
    <xf numFmtId="173" fontId="25" fillId="0" borderId="62" xfId="301" applyNumberFormat="1" applyFont="1" applyBorder="1"/>
    <xf numFmtId="167" fontId="25" fillId="0" borderId="115" xfId="301" applyNumberFormat="1" applyFont="1" applyBorder="1"/>
    <xf numFmtId="0" fontId="16" fillId="0" borderId="190" xfId="0" applyFont="1" applyBorder="1"/>
    <xf numFmtId="0" fontId="4" fillId="0" borderId="235" xfId="0" applyFont="1" applyFill="1" applyBorder="1" applyAlignment="1">
      <alignment vertical="top" wrapText="1"/>
    </xf>
    <xf numFmtId="0" fontId="4" fillId="0" borderId="196" xfId="0" applyFont="1" applyFill="1" applyBorder="1" applyAlignment="1">
      <alignment vertical="top" wrapText="1"/>
    </xf>
    <xf numFmtId="0" fontId="5" fillId="0" borderId="254" xfId="0" applyFont="1" applyBorder="1" applyAlignment="1">
      <alignment horizontal="center"/>
    </xf>
    <xf numFmtId="0" fontId="5" fillId="0" borderId="255" xfId="0" applyFont="1" applyBorder="1" applyAlignment="1">
      <alignment horizontal="center"/>
    </xf>
    <xf numFmtId="0" fontId="4" fillId="0" borderId="34" xfId="0" applyFont="1" applyBorder="1"/>
    <xf numFmtId="0" fontId="4" fillId="0" borderId="113" xfId="0" applyFont="1" applyBorder="1"/>
    <xf numFmtId="173" fontId="4" fillId="0" borderId="105" xfId="301" applyNumberFormat="1" applyFont="1" applyBorder="1" applyProtection="1">
      <protection locked="0"/>
    </xf>
    <xf numFmtId="173" fontId="4" fillId="0" borderId="105" xfId="301" applyNumberFormat="1" applyFont="1" applyBorder="1"/>
    <xf numFmtId="173" fontId="4" fillId="0" borderId="275" xfId="301" applyNumberFormat="1" applyFont="1" applyBorder="1"/>
    <xf numFmtId="0" fontId="0" fillId="0" borderId="190" xfId="0" applyBorder="1"/>
    <xf numFmtId="0" fontId="0" fillId="0" borderId="276" xfId="0" applyBorder="1"/>
    <xf numFmtId="0" fontId="4" fillId="0" borderId="1" xfId="0" applyFont="1" applyBorder="1"/>
    <xf numFmtId="0" fontId="205" fillId="0" borderId="0" xfId="0" applyFont="1"/>
    <xf numFmtId="173" fontId="7" fillId="0" borderId="0" xfId="0" applyNumberFormat="1" applyFont="1" applyFill="1"/>
    <xf numFmtId="0" fontId="13" fillId="0" borderId="0" xfId="0" quotePrefix="1" applyFont="1" applyFill="1"/>
    <xf numFmtId="170" fontId="13" fillId="0" borderId="0" xfId="0" applyNumberFormat="1" applyFont="1" applyFill="1"/>
    <xf numFmtId="0" fontId="23" fillId="0" borderId="61" xfId="0" quotePrefix="1" applyFont="1" applyBorder="1"/>
    <xf numFmtId="0" fontId="249" fillId="0" borderId="0" xfId="462" applyBorder="1" applyAlignment="1" applyProtection="1"/>
    <xf numFmtId="1" fontId="130" fillId="25" borderId="78" xfId="0" applyNumberFormat="1" applyFont="1" applyFill="1" applyBorder="1" applyAlignment="1">
      <alignment horizontal="center"/>
    </xf>
    <xf numFmtId="181" fontId="131" fillId="0" borderId="192" xfId="0" applyNumberFormat="1" applyFont="1" applyBorder="1"/>
    <xf numFmtId="43" fontId="7" fillId="0" borderId="62" xfId="0" applyNumberFormat="1" applyFont="1" applyBorder="1"/>
    <xf numFmtId="0" fontId="7" fillId="0" borderId="62" xfId="0" applyFont="1" applyBorder="1"/>
    <xf numFmtId="43" fontId="7" fillId="0" borderId="143" xfId="0" applyNumberFormat="1" applyFont="1" applyBorder="1"/>
    <xf numFmtId="181" fontId="130" fillId="36" borderId="164" xfId="0" applyNumberFormat="1" applyFont="1" applyFill="1" applyBorder="1" applyAlignment="1">
      <alignment horizontal="left" indent="2"/>
    </xf>
    <xf numFmtId="181" fontId="131" fillId="36" borderId="164" xfId="0" applyNumberFormat="1" applyFont="1" applyFill="1" applyBorder="1"/>
    <xf numFmtId="181" fontId="131" fillId="0" borderId="164" xfId="0" applyNumberFormat="1" applyFont="1" applyFill="1" applyBorder="1" applyAlignment="1">
      <alignment horizontal="right"/>
    </xf>
    <xf numFmtId="181" fontId="98" fillId="0" borderId="164" xfId="0" applyNumberFormat="1" applyFont="1" applyBorder="1"/>
    <xf numFmtId="43" fontId="131" fillId="0" borderId="164" xfId="0" applyNumberFormat="1" applyFont="1" applyFill="1" applyBorder="1" applyAlignment="1">
      <alignment horizontal="center"/>
    </xf>
    <xf numFmtId="0" fontId="2" fillId="0" borderId="0" xfId="0" quotePrefix="1" applyFont="1"/>
    <xf numFmtId="0" fontId="97" fillId="0" borderId="1" xfId="0" applyFont="1" applyBorder="1"/>
    <xf numFmtId="0" fontId="97" fillId="0" borderId="100" xfId="0" applyFont="1" applyBorder="1"/>
    <xf numFmtId="0" fontId="98" fillId="0" borderId="165" xfId="0" applyFont="1" applyBorder="1"/>
    <xf numFmtId="0" fontId="98" fillId="0" borderId="277" xfId="0" applyFont="1" applyBorder="1"/>
    <xf numFmtId="0" fontId="97" fillId="0" borderId="1" xfId="0" quotePrefix="1" applyFont="1" applyBorder="1" applyAlignment="1">
      <alignment horizontal="right"/>
    </xf>
    <xf numFmtId="0" fontId="145" fillId="34" borderId="212" xfId="562" applyFont="1" applyFill="1" applyBorder="1" applyAlignment="1">
      <alignment horizontal="left" wrapText="1"/>
    </xf>
    <xf numFmtId="0" fontId="98" fillId="38" borderId="212" xfId="0" applyFont="1" applyFill="1" applyBorder="1"/>
    <xf numFmtId="0" fontId="97" fillId="44" borderId="212" xfId="0" applyFont="1" applyFill="1" applyBorder="1"/>
    <xf numFmtId="0" fontId="97" fillId="42" borderId="212" xfId="0" applyFont="1" applyFill="1" applyBorder="1"/>
    <xf numFmtId="0" fontId="97" fillId="45" borderId="212" xfId="0" applyFont="1" applyFill="1" applyBorder="1"/>
    <xf numFmtId="0" fontId="97" fillId="46" borderId="217" xfId="0" applyFont="1" applyFill="1" applyBorder="1"/>
    <xf numFmtId="43" fontId="98" fillId="0" borderId="146" xfId="0" applyNumberFormat="1" applyFont="1" applyBorder="1"/>
    <xf numFmtId="0" fontId="98" fillId="0" borderId="25" xfId="0" applyFont="1" applyBorder="1"/>
    <xf numFmtId="0" fontId="98" fillId="0" borderId="273" xfId="0" applyFont="1" applyBorder="1"/>
    <xf numFmtId="0" fontId="97" fillId="0" borderId="278" xfId="0" applyFont="1" applyFill="1" applyBorder="1"/>
    <xf numFmtId="0" fontId="97" fillId="25" borderId="138" xfId="0" applyFont="1" applyFill="1" applyBorder="1"/>
    <xf numFmtId="0" fontId="97" fillId="41" borderId="99" xfId="0" applyFont="1" applyFill="1" applyBorder="1"/>
    <xf numFmtId="169" fontId="13" fillId="41" borderId="1" xfId="301" applyNumberFormat="1" applyFont="1" applyFill="1" applyBorder="1"/>
    <xf numFmtId="169" fontId="13" fillId="41" borderId="30" xfId="301" applyNumberFormat="1" applyFont="1" applyFill="1" applyBorder="1"/>
    <xf numFmtId="169" fontId="7" fillId="47" borderId="279" xfId="301" applyNumberFormat="1" applyFont="1" applyFill="1" applyBorder="1" applyAlignment="1" applyProtection="1"/>
    <xf numFmtId="169" fontId="13" fillId="41" borderId="40" xfId="301" applyNumberFormat="1" applyFont="1" applyFill="1" applyBorder="1"/>
    <xf numFmtId="169" fontId="13" fillId="41" borderId="100" xfId="301" applyNumberFormat="1" applyFont="1" applyFill="1" applyBorder="1"/>
    <xf numFmtId="169" fontId="13" fillId="0" borderId="1" xfId="301" applyNumberFormat="1" applyFont="1" applyBorder="1"/>
    <xf numFmtId="169" fontId="13" fillId="0" borderId="30" xfId="301" applyNumberFormat="1" applyFont="1" applyBorder="1"/>
    <xf numFmtId="169" fontId="13" fillId="0" borderId="34" xfId="301" applyNumberFormat="1" applyFont="1" applyFill="1" applyBorder="1" applyAlignment="1" applyProtection="1"/>
    <xf numFmtId="169" fontId="13" fillId="0" borderId="40" xfId="301" applyNumberFormat="1" applyFont="1" applyBorder="1"/>
    <xf numFmtId="169" fontId="13" fillId="0" borderId="100" xfId="301" applyNumberFormat="1" applyFont="1" applyBorder="1"/>
    <xf numFmtId="169" fontId="13" fillId="34" borderId="1" xfId="301" applyNumberFormat="1" applyFont="1" applyFill="1" applyBorder="1"/>
    <xf numFmtId="169" fontId="13" fillId="34" borderId="30" xfId="301" applyNumberFormat="1" applyFont="1" applyFill="1" applyBorder="1"/>
    <xf numFmtId="169" fontId="13" fillId="48" borderId="280" xfId="301" applyNumberFormat="1" applyFont="1" applyFill="1" applyBorder="1" applyAlignment="1" applyProtection="1"/>
    <xf numFmtId="169" fontId="13" fillId="34" borderId="40" xfId="301" applyNumberFormat="1" applyFont="1" applyFill="1" applyBorder="1"/>
    <xf numFmtId="169" fontId="13" fillId="34" borderId="100" xfId="301" applyNumberFormat="1" applyFont="1" applyFill="1" applyBorder="1"/>
    <xf numFmtId="169" fontId="13" fillId="0" borderId="1" xfId="301" applyNumberFormat="1" applyFont="1" applyFill="1" applyBorder="1"/>
    <xf numFmtId="169" fontId="13" fillId="0" borderId="1" xfId="0" applyNumberFormat="1" applyFont="1" applyBorder="1"/>
    <xf numFmtId="169" fontId="13" fillId="0" borderId="280" xfId="301" applyNumberFormat="1" applyFont="1" applyFill="1" applyBorder="1" applyAlignment="1" applyProtection="1"/>
    <xf numFmtId="169" fontId="13" fillId="0" borderId="100" xfId="0" applyNumberFormat="1" applyFont="1" applyBorder="1"/>
    <xf numFmtId="169" fontId="13" fillId="0" borderId="281" xfId="301" applyNumberFormat="1" applyFont="1" applyFill="1" applyBorder="1" applyAlignment="1" applyProtection="1"/>
    <xf numFmtId="169" fontId="13" fillId="0" borderId="282" xfId="301" applyNumberFormat="1" applyFont="1" applyFill="1" applyBorder="1" applyAlignment="1" applyProtection="1"/>
    <xf numFmtId="169" fontId="13" fillId="38" borderId="1" xfId="301" applyNumberFormat="1" applyFont="1" applyFill="1" applyBorder="1"/>
    <xf numFmtId="169" fontId="13" fillId="38" borderId="30" xfId="301" applyNumberFormat="1" applyFont="1" applyFill="1" applyBorder="1"/>
    <xf numFmtId="169" fontId="7" fillId="38" borderId="280" xfId="301" applyNumberFormat="1" applyFont="1" applyFill="1" applyBorder="1" applyAlignment="1" applyProtection="1"/>
    <xf numFmtId="169" fontId="13" fillId="38" borderId="40" xfId="301" applyNumberFormat="1" applyFont="1" applyFill="1" applyBorder="1"/>
    <xf numFmtId="169" fontId="13" fillId="38" borderId="100" xfId="301" applyNumberFormat="1" applyFont="1" applyFill="1" applyBorder="1"/>
    <xf numFmtId="169" fontId="13" fillId="42" borderId="1" xfId="301" applyNumberFormat="1" applyFont="1" applyFill="1" applyBorder="1"/>
    <xf numFmtId="169" fontId="13" fillId="42" borderId="30" xfId="301" applyNumberFormat="1" applyFont="1" applyFill="1" applyBorder="1"/>
    <xf numFmtId="169" fontId="7" fillId="0" borderId="280" xfId="301" applyNumberFormat="1" applyFont="1" applyFill="1" applyBorder="1" applyAlignment="1" applyProtection="1"/>
    <xf numFmtId="169" fontId="13" fillId="42" borderId="40" xfId="301" applyNumberFormat="1" applyFont="1" applyFill="1" applyBorder="1"/>
    <xf numFmtId="169" fontId="13" fillId="42" borderId="100" xfId="301" applyNumberFormat="1" applyFont="1" applyFill="1" applyBorder="1"/>
    <xf numFmtId="169" fontId="13" fillId="45" borderId="1" xfId="301" applyNumberFormat="1" applyFont="1" applyFill="1" applyBorder="1"/>
    <xf numFmtId="169" fontId="13" fillId="45" borderId="30" xfId="301" applyNumberFormat="1" applyFont="1" applyFill="1" applyBorder="1"/>
    <xf numFmtId="169" fontId="7" fillId="49" borderId="280" xfId="301" applyNumberFormat="1" applyFont="1" applyFill="1" applyBorder="1" applyAlignment="1" applyProtection="1"/>
    <xf numFmtId="169" fontId="13" fillId="45" borderId="40" xfId="301" applyNumberFormat="1" applyFont="1" applyFill="1" applyBorder="1"/>
    <xf numFmtId="169" fontId="13" fillId="45" borderId="100" xfId="301" applyNumberFormat="1" applyFont="1" applyFill="1" applyBorder="1"/>
    <xf numFmtId="169" fontId="13" fillId="0" borderId="1" xfId="301" applyNumberFormat="1" applyFont="1" applyFill="1" applyBorder="1" applyAlignment="1" applyProtection="1"/>
    <xf numFmtId="169" fontId="13" fillId="44" borderId="1" xfId="301" applyNumberFormat="1" applyFont="1" applyFill="1" applyBorder="1"/>
    <xf numFmtId="169" fontId="7" fillId="50" borderId="1" xfId="301" applyNumberFormat="1" applyFont="1" applyFill="1" applyBorder="1" applyAlignment="1" applyProtection="1"/>
    <xf numFmtId="169" fontId="13" fillId="44" borderId="40" xfId="301" applyNumberFormat="1" applyFont="1" applyFill="1" applyBorder="1"/>
    <xf numFmtId="169" fontId="13" fillId="44" borderId="100" xfId="301" applyNumberFormat="1" applyFont="1" applyFill="1" applyBorder="1"/>
    <xf numFmtId="169" fontId="13" fillId="0" borderId="40" xfId="301" applyNumberFormat="1" applyFont="1" applyFill="1" applyBorder="1"/>
    <xf numFmtId="169" fontId="13" fillId="0" borderId="100" xfId="301" applyNumberFormat="1" applyFont="1" applyFill="1" applyBorder="1"/>
    <xf numFmtId="169" fontId="13" fillId="46" borderId="1" xfId="301" applyNumberFormat="1" applyFont="1" applyFill="1" applyBorder="1"/>
    <xf numFmtId="169" fontId="13" fillId="46" borderId="30" xfId="301" applyNumberFormat="1" applyFont="1" applyFill="1" applyBorder="1"/>
    <xf numFmtId="169" fontId="7" fillId="51" borderId="283" xfId="301" applyNumberFormat="1" applyFont="1" applyFill="1" applyBorder="1" applyAlignment="1" applyProtection="1"/>
    <xf numFmtId="169" fontId="13" fillId="46" borderId="40" xfId="301" applyNumberFormat="1" applyFont="1" applyFill="1" applyBorder="1"/>
    <xf numFmtId="169" fontId="13" fillId="46" borderId="100" xfId="301" applyNumberFormat="1" applyFont="1" applyFill="1" applyBorder="1"/>
    <xf numFmtId="169" fontId="7" fillId="0" borderId="55" xfId="301" applyNumberFormat="1" applyFont="1" applyBorder="1"/>
    <xf numFmtId="169" fontId="7" fillId="0" borderId="56" xfId="301" applyNumberFormat="1" applyFont="1" applyBorder="1"/>
    <xf numFmtId="169" fontId="7" fillId="0" borderId="284" xfId="301" applyNumberFormat="1" applyFont="1" applyFill="1" applyBorder="1" applyAlignment="1" applyProtection="1"/>
    <xf numFmtId="169" fontId="7" fillId="0" borderId="142" xfId="301" applyNumberFormat="1" applyFont="1" applyBorder="1"/>
    <xf numFmtId="169" fontId="7" fillId="0" borderId="285" xfId="301" applyNumberFormat="1" applyFont="1" applyBorder="1"/>
    <xf numFmtId="186" fontId="13" fillId="0" borderId="40" xfId="0" applyNumberFormat="1" applyFont="1" applyBorder="1"/>
    <xf numFmtId="186" fontId="13" fillId="0" borderId="1" xfId="0" applyNumberFormat="1" applyFont="1" applyBorder="1"/>
    <xf numFmtId="198" fontId="13" fillId="44" borderId="30" xfId="301" applyNumberFormat="1" applyFont="1" applyFill="1" applyBorder="1"/>
    <xf numFmtId="198" fontId="13" fillId="0" borderId="30" xfId="301" applyNumberFormat="1" applyFont="1" applyFill="1" applyBorder="1"/>
    <xf numFmtId="186" fontId="13" fillId="44" borderId="1" xfId="301" applyNumberFormat="1" applyFont="1" applyFill="1" applyBorder="1"/>
    <xf numFmtId="186" fontId="13" fillId="0" borderId="1" xfId="301" applyNumberFormat="1" applyFont="1" applyBorder="1"/>
    <xf numFmtId="173" fontId="2" fillId="0" borderId="103" xfId="301" applyNumberFormat="1" applyFont="1" applyBorder="1"/>
    <xf numFmtId="173" fontId="13" fillId="0" borderId="103" xfId="301" applyNumberFormat="1" applyFont="1" applyBorder="1"/>
    <xf numFmtId="173" fontId="13" fillId="0" borderId="135" xfId="301" applyNumberFormat="1" applyFont="1" applyBorder="1"/>
    <xf numFmtId="173" fontId="13" fillId="25" borderId="143" xfId="0" applyNumberFormat="1" applyFont="1" applyFill="1" applyBorder="1"/>
    <xf numFmtId="173" fontId="2" fillId="0" borderId="149" xfId="301" applyNumberFormat="1" applyFont="1" applyBorder="1"/>
    <xf numFmtId="173" fontId="2" fillId="0" borderId="55" xfId="301" applyNumberFormat="1" applyFont="1" applyBorder="1"/>
    <xf numFmtId="10" fontId="0" fillId="0" borderId="0" xfId="0" applyNumberFormat="1"/>
    <xf numFmtId="0" fontId="0" fillId="0" borderId="35" xfId="0" applyBorder="1" applyAlignment="1">
      <alignment horizontal="center"/>
    </xf>
    <xf numFmtId="0" fontId="241" fillId="0" borderId="53" xfId="0" applyFont="1" applyBorder="1" applyAlignment="1">
      <alignment horizontal="center"/>
    </xf>
    <xf numFmtId="0" fontId="0" fillId="0" borderId="58" xfId="0" applyBorder="1" applyAlignment="1">
      <alignment horizontal="center"/>
    </xf>
    <xf numFmtId="0" fontId="0" fillId="25" borderId="2" xfId="0" applyFill="1" applyBorder="1" applyAlignment="1">
      <alignment horizontal="center"/>
    </xf>
    <xf numFmtId="0" fontId="0" fillId="0" borderId="103" xfId="0" applyBorder="1" applyAlignment="1">
      <alignment horizontal="center"/>
    </xf>
    <xf numFmtId="0" fontId="131" fillId="25" borderId="60" xfId="0" applyFont="1" applyFill="1" applyBorder="1"/>
    <xf numFmtId="0" fontId="131" fillId="0" borderId="1" xfId="0" applyFont="1" applyBorder="1" applyAlignment="1">
      <alignment horizontal="left" indent="1"/>
    </xf>
    <xf numFmtId="3" fontId="131" fillId="0" borderId="1" xfId="0" applyNumberFormat="1" applyFont="1" applyBorder="1" applyAlignment="1">
      <alignment horizontal="center"/>
    </xf>
    <xf numFmtId="164" fontId="6" fillId="0" borderId="0" xfId="567" applyNumberFormat="1" applyFont="1" applyFill="1" applyBorder="1" applyProtection="1">
      <protection locked="0"/>
    </xf>
    <xf numFmtId="164" fontId="6" fillId="0" borderId="81" xfId="567" applyNumberFormat="1" applyFont="1" applyFill="1" applyBorder="1" applyProtection="1">
      <protection locked="0"/>
    </xf>
    <xf numFmtId="43" fontId="6" fillId="0" borderId="85" xfId="301" applyFont="1" applyBorder="1"/>
    <xf numFmtId="183" fontId="98" fillId="0" borderId="1" xfId="0" applyNumberFormat="1" applyFont="1" applyBorder="1"/>
    <xf numFmtId="183" fontId="99" fillId="0" borderId="1" xfId="571" quotePrefix="1" applyNumberFormat="1" applyFont="1" applyFill="1" applyBorder="1" applyAlignment="1">
      <alignment horizontal="center"/>
    </xf>
    <xf numFmtId="0" fontId="65" fillId="0" borderId="0" xfId="571" applyFont="1" applyFill="1" applyBorder="1" applyAlignment="1">
      <alignment horizontal="center"/>
    </xf>
    <xf numFmtId="173" fontId="158" fillId="0" borderId="286" xfId="0" applyNumberFormat="1" applyFont="1" applyBorder="1" applyAlignment="1"/>
    <xf numFmtId="41" fontId="158" fillId="0" borderId="30" xfId="0" applyNumberFormat="1" applyFont="1" applyBorder="1"/>
    <xf numFmtId="41" fontId="98" fillId="0" borderId="30" xfId="0" applyNumberFormat="1" applyFont="1" applyBorder="1"/>
    <xf numFmtId="0" fontId="99" fillId="0" borderId="287" xfId="571" applyFont="1" applyFill="1" applyBorder="1"/>
    <xf numFmtId="0" fontId="23" fillId="0" borderId="288" xfId="568" applyFont="1" applyBorder="1" applyAlignment="1">
      <alignment horizontal="center" wrapText="1"/>
    </xf>
    <xf numFmtId="179" fontId="242" fillId="0" borderId="90" xfId="568" applyNumberFormat="1" applyFont="1" applyBorder="1"/>
    <xf numFmtId="0" fontId="23" fillId="0" borderId="289" xfId="568" applyFont="1" applyBorder="1" applyAlignment="1">
      <alignment horizontal="center" wrapText="1"/>
    </xf>
    <xf numFmtId="0" fontId="98" fillId="0" borderId="289" xfId="0" applyFont="1" applyBorder="1"/>
    <xf numFmtId="0" fontId="23" fillId="0" borderId="290" xfId="568" applyFont="1" applyBorder="1" applyAlignment="1">
      <alignment horizontal="center" wrapText="1"/>
    </xf>
    <xf numFmtId="193" fontId="6" fillId="36" borderId="207" xfId="567" applyNumberFormat="1" applyFont="1" applyFill="1" applyBorder="1" applyProtection="1">
      <protection locked="0"/>
    </xf>
    <xf numFmtId="204" fontId="6" fillId="36" borderId="207" xfId="567" applyNumberFormat="1" applyFont="1" applyFill="1" applyBorder="1" applyProtection="1">
      <protection locked="0"/>
    </xf>
    <xf numFmtId="172" fontId="98" fillId="0" borderId="207" xfId="0" applyNumberFormat="1" applyFont="1" applyBorder="1"/>
    <xf numFmtId="0" fontId="99" fillId="0" borderId="207" xfId="571" quotePrefix="1" applyFont="1" applyFill="1" applyBorder="1" applyAlignment="1">
      <alignment horizontal="center"/>
    </xf>
    <xf numFmtId="170" fontId="6" fillId="0" borderId="207" xfId="568" applyNumberFormat="1" applyFont="1" applyBorder="1"/>
    <xf numFmtId="43" fontId="6" fillId="0" borderId="291" xfId="301" applyFont="1" applyBorder="1"/>
    <xf numFmtId="164" fontId="6" fillId="36" borderId="207" xfId="567" applyNumberFormat="1" applyFont="1" applyFill="1" applyBorder="1" applyProtection="1">
      <protection locked="0"/>
    </xf>
    <xf numFmtId="0" fontId="0" fillId="0" borderId="136" xfId="0" applyFill="1" applyBorder="1"/>
    <xf numFmtId="192" fontId="242" fillId="0" borderId="90" xfId="568" applyNumberFormat="1" applyFont="1" applyBorder="1"/>
    <xf numFmtId="0" fontId="23" fillId="0" borderId="292" xfId="568" applyFont="1" applyBorder="1" applyAlignment="1">
      <alignment horizontal="center" wrapText="1"/>
    </xf>
    <xf numFmtId="0" fontId="23" fillId="0" borderId="97" xfId="568" applyFont="1" applyBorder="1" applyAlignment="1">
      <alignment horizontal="center" wrapText="1"/>
    </xf>
    <xf numFmtId="0" fontId="23" fillId="0" borderId="293" xfId="568" applyFont="1" applyBorder="1" applyAlignment="1">
      <alignment horizontal="center" wrapText="1"/>
    </xf>
    <xf numFmtId="0" fontId="23" fillId="0" borderId="0" xfId="0" applyFont="1" applyFill="1" applyBorder="1" applyAlignment="1">
      <alignment horizontal="center"/>
    </xf>
    <xf numFmtId="0" fontId="23" fillId="0" borderId="0" xfId="568" applyFont="1" applyFill="1" applyBorder="1" applyAlignment="1">
      <alignment horizontal="center" wrapText="1"/>
    </xf>
    <xf numFmtId="39" fontId="6" fillId="0" borderId="0" xfId="568" applyNumberFormat="1" applyFont="1" applyFill="1" applyBorder="1"/>
    <xf numFmtId="0" fontId="0" fillId="30" borderId="129" xfId="0" applyFill="1" applyBorder="1"/>
    <xf numFmtId="173" fontId="241" fillId="30" borderId="3" xfId="301" applyNumberFormat="1" applyFont="1" applyFill="1" applyBorder="1"/>
    <xf numFmtId="0" fontId="241" fillId="30" borderId="130" xfId="0" applyFont="1" applyFill="1" applyBorder="1" applyAlignment="1">
      <alignment horizontal="center"/>
    </xf>
    <xf numFmtId="0" fontId="241" fillId="25" borderId="61" xfId="0" applyFont="1" applyFill="1" applyBorder="1"/>
    <xf numFmtId="43" fontId="0" fillId="25" borderId="62" xfId="301" applyFont="1" applyFill="1" applyBorder="1"/>
    <xf numFmtId="0" fontId="0" fillId="25" borderId="143" xfId="0" applyFill="1" applyBorder="1" applyAlignment="1">
      <alignment horizontal="center"/>
    </xf>
    <xf numFmtId="0" fontId="1" fillId="52" borderId="207" xfId="570" applyFont="1" applyFill="1" applyBorder="1" applyAlignment="1">
      <alignment horizontal="center"/>
    </xf>
    <xf numFmtId="0" fontId="1" fillId="0" borderId="10" xfId="570" applyFont="1" applyFill="1" applyBorder="1" applyAlignment="1"/>
    <xf numFmtId="0" fontId="1" fillId="0" borderId="10" xfId="570" applyFont="1" applyFill="1" applyBorder="1" applyAlignment="1">
      <alignment horizontal="right"/>
    </xf>
    <xf numFmtId="0" fontId="206" fillId="0" borderId="0" xfId="570" applyAlignment="1"/>
    <xf numFmtId="0" fontId="1" fillId="0" borderId="0" xfId="570" applyFont="1" applyFill="1" applyBorder="1" applyAlignment="1"/>
    <xf numFmtId="0" fontId="2" fillId="0" borderId="103" xfId="0" applyFont="1" applyBorder="1"/>
    <xf numFmtId="43" fontId="242" fillId="0" borderId="55" xfId="301" applyFont="1" applyBorder="1"/>
    <xf numFmtId="168" fontId="0" fillId="0" borderId="103" xfId="301" applyNumberFormat="1" applyFont="1" applyBorder="1"/>
    <xf numFmtId="168" fontId="242" fillId="0" borderId="55" xfId="301" applyNumberFormat="1" applyFont="1" applyBorder="1"/>
    <xf numFmtId="168" fontId="242" fillId="0" borderId="135" xfId="301" applyNumberFormat="1" applyFont="1" applyBorder="1"/>
    <xf numFmtId="0" fontId="23" fillId="0" borderId="103" xfId="0" applyFont="1" applyBorder="1"/>
    <xf numFmtId="0" fontId="63" fillId="0" borderId="13" xfId="0" applyFont="1" applyBorder="1"/>
    <xf numFmtId="0" fontId="0" fillId="0" borderId="25" xfId="0" applyBorder="1"/>
    <xf numFmtId="0" fontId="0" fillId="0" borderId="41" xfId="0" applyBorder="1"/>
    <xf numFmtId="0" fontId="110" fillId="33" borderId="2" xfId="0" applyFont="1" applyFill="1" applyBorder="1"/>
    <xf numFmtId="173" fontId="110" fillId="33" borderId="103" xfId="301" applyNumberFormat="1" applyFont="1" applyFill="1" applyBorder="1" applyAlignment="1">
      <alignment horizontal="center"/>
    </xf>
    <xf numFmtId="43" fontId="6" fillId="0" borderId="103" xfId="301" applyFont="1" applyBorder="1"/>
    <xf numFmtId="0" fontId="2" fillId="0" borderId="63" xfId="0" applyFont="1" applyBorder="1"/>
    <xf numFmtId="173" fontId="2" fillId="0" borderId="135" xfId="301" applyNumberFormat="1" applyFont="1" applyBorder="1"/>
    <xf numFmtId="3" fontId="131" fillId="0" borderId="53" xfId="0" applyNumberFormat="1" applyFont="1" applyBorder="1" applyAlignment="1">
      <alignment horizontal="center"/>
    </xf>
    <xf numFmtId="0" fontId="131" fillId="0" borderId="53" xfId="0" applyFont="1" applyBorder="1"/>
    <xf numFmtId="0" fontId="131" fillId="0" borderId="58" xfId="0" applyFont="1" applyBorder="1"/>
    <xf numFmtId="3" fontId="131" fillId="0" borderId="55" xfId="0" applyNumberFormat="1" applyFont="1" applyBorder="1" applyAlignment="1">
      <alignment horizontal="center"/>
    </xf>
    <xf numFmtId="0" fontId="131" fillId="0" borderId="135" xfId="0" applyFont="1" applyBorder="1"/>
    <xf numFmtId="0" fontId="131" fillId="25" borderId="222" xfId="0" applyFont="1" applyFill="1" applyBorder="1"/>
    <xf numFmtId="0" fontId="131" fillId="0" borderId="148" xfId="0" applyFont="1" applyBorder="1" applyAlignment="1">
      <alignment horizontal="left" indent="1"/>
    </xf>
    <xf numFmtId="0" fontId="131" fillId="0" borderId="142" xfId="0" applyFont="1" applyBorder="1" applyAlignment="1">
      <alignment horizontal="left" indent="1"/>
    </xf>
    <xf numFmtId="0" fontId="246" fillId="0" borderId="91" xfId="571" applyFont="1" applyFill="1" applyBorder="1"/>
    <xf numFmtId="0" fontId="97" fillId="0" borderId="0" xfId="0" applyFont="1" applyBorder="1"/>
    <xf numFmtId="164" fontId="6" fillId="36" borderId="30" xfId="567" applyNumberFormat="1" applyFont="1" applyFill="1" applyBorder="1" applyAlignment="1" applyProtection="1">
      <alignment horizontal="right"/>
      <protection locked="0"/>
    </xf>
    <xf numFmtId="172" fontId="98" fillId="0" borderId="1" xfId="0" applyNumberFormat="1" applyFont="1" applyBorder="1"/>
    <xf numFmtId="0" fontId="99" fillId="0" borderId="1" xfId="571" quotePrefix="1" applyFont="1" applyFill="1" applyBorder="1" applyAlignment="1">
      <alignment horizontal="center"/>
    </xf>
    <xf numFmtId="170" fontId="6" fillId="0" borderId="1" xfId="568" applyNumberFormat="1" applyFont="1" applyBorder="1"/>
    <xf numFmtId="173" fontId="99" fillId="35" borderId="3" xfId="301" applyNumberFormat="1" applyFont="1" applyFill="1" applyBorder="1" applyProtection="1">
      <protection locked="0"/>
    </xf>
    <xf numFmtId="2" fontId="99" fillId="0" borderId="3" xfId="571" applyNumberFormat="1" applyFont="1" applyFill="1" applyBorder="1"/>
    <xf numFmtId="166" fontId="99" fillId="0" borderId="3" xfId="599" applyNumberFormat="1" applyFont="1" applyFill="1" applyBorder="1"/>
    <xf numFmtId="173" fontId="99" fillId="0" borderId="86" xfId="301" applyNumberFormat="1" applyFont="1" applyFill="1" applyBorder="1"/>
    <xf numFmtId="170" fontId="98" fillId="0" borderId="3" xfId="571" applyNumberFormat="1" applyFont="1" applyFill="1" applyBorder="1"/>
    <xf numFmtId="170" fontId="98" fillId="0" borderId="294" xfId="571" applyNumberFormat="1" applyFont="1" applyFill="1" applyBorder="1"/>
    <xf numFmtId="43" fontId="6" fillId="36" borderId="86" xfId="301" applyFont="1" applyFill="1" applyBorder="1" applyProtection="1">
      <protection locked="0"/>
    </xf>
    <xf numFmtId="164" fontId="6" fillId="36" borderId="151" xfId="567" applyNumberFormat="1" applyFont="1" applyFill="1" applyBorder="1" applyAlignment="1" applyProtection="1">
      <alignment horizontal="right"/>
      <protection locked="0"/>
    </xf>
    <xf numFmtId="0" fontId="99" fillId="0" borderId="295" xfId="571" applyFont="1" applyFill="1" applyBorder="1"/>
    <xf numFmtId="0" fontId="100" fillId="0" borderId="25" xfId="571" applyFont="1" applyFill="1" applyBorder="1" applyAlignment="1">
      <alignment horizontal="center"/>
    </xf>
    <xf numFmtId="0" fontId="99" fillId="0" borderId="25" xfId="571" applyFont="1" applyFill="1" applyBorder="1"/>
    <xf numFmtId="0" fontId="99" fillId="0" borderId="25" xfId="571" applyFont="1" applyBorder="1"/>
    <xf numFmtId="0" fontId="97" fillId="0" borderId="296" xfId="571" applyFont="1" applyFill="1" applyBorder="1" applyAlignment="1">
      <alignment horizontal="center"/>
    </xf>
    <xf numFmtId="0" fontId="97" fillId="0" borderId="25" xfId="571" applyFont="1" applyFill="1" applyBorder="1" applyAlignment="1">
      <alignment horizontal="center"/>
    </xf>
    <xf numFmtId="0" fontId="97" fillId="0" borderId="297" xfId="571" applyFont="1" applyFill="1" applyBorder="1" applyAlignment="1">
      <alignment horizontal="center"/>
    </xf>
    <xf numFmtId="0" fontId="99" fillId="0" borderId="296" xfId="571" applyFont="1" applyBorder="1"/>
    <xf numFmtId="0" fontId="98" fillId="0" borderId="297" xfId="0" applyFont="1" applyBorder="1"/>
    <xf numFmtId="0" fontId="98" fillId="0" borderId="296" xfId="0" applyFont="1" applyBorder="1"/>
    <xf numFmtId="0" fontId="100" fillId="0" borderId="298" xfId="571" applyFont="1" applyFill="1" applyBorder="1"/>
    <xf numFmtId="0" fontId="100" fillId="0" borderId="16" xfId="571" applyFont="1" applyFill="1" applyBorder="1" applyAlignment="1">
      <alignment horizontal="center"/>
    </xf>
    <xf numFmtId="0" fontId="99" fillId="0" borderId="16" xfId="571" applyFont="1" applyBorder="1"/>
    <xf numFmtId="0" fontId="99" fillId="0" borderId="16" xfId="571" applyFont="1" applyFill="1" applyBorder="1"/>
    <xf numFmtId="0" fontId="100" fillId="0" borderId="299" xfId="571" applyFont="1" applyFill="1" applyBorder="1" applyAlignment="1">
      <alignment horizontal="center"/>
    </xf>
    <xf numFmtId="0" fontId="97" fillId="0" borderId="83" xfId="571" applyFont="1" applyFill="1" applyBorder="1" applyAlignment="1">
      <alignment horizontal="center"/>
    </xf>
    <xf numFmtId="0" fontId="23" fillId="0" borderId="299" xfId="568" applyFont="1" applyBorder="1" applyAlignment="1">
      <alignment horizontal="center" wrapText="1"/>
    </xf>
    <xf numFmtId="0" fontId="97" fillId="0" borderId="1" xfId="0" applyFont="1" applyFill="1" applyBorder="1" applyAlignment="1">
      <alignment horizontal="center"/>
    </xf>
    <xf numFmtId="0" fontId="97" fillId="0" borderId="39" xfId="0" applyFont="1" applyFill="1" applyBorder="1" applyAlignment="1">
      <alignment horizontal="center"/>
    </xf>
    <xf numFmtId="0" fontId="225" fillId="0" borderId="27" xfId="0" applyFont="1" applyFill="1" applyBorder="1"/>
    <xf numFmtId="172" fontId="225" fillId="0" borderId="0" xfId="301" applyNumberFormat="1" applyFont="1" applyFill="1" applyBorder="1" applyAlignment="1">
      <alignment horizontal="center"/>
    </xf>
    <xf numFmtId="43" fontId="224" fillId="0" borderId="0" xfId="0" applyNumberFormat="1" applyFont="1" applyBorder="1"/>
    <xf numFmtId="0" fontId="99" fillId="0" borderId="26" xfId="571" applyFont="1" applyFill="1" applyBorder="1"/>
    <xf numFmtId="0" fontId="246" fillId="0" borderId="26" xfId="571" applyFont="1" applyFill="1" applyBorder="1"/>
    <xf numFmtId="0" fontId="99" fillId="0" borderId="26" xfId="572" applyFont="1" applyFill="1" applyBorder="1"/>
    <xf numFmtId="0" fontId="99" fillId="0" borderId="116" xfId="571" applyFont="1" applyFill="1" applyBorder="1"/>
    <xf numFmtId="0" fontId="224" fillId="0" borderId="300" xfId="0" applyFont="1" applyFill="1" applyBorder="1"/>
    <xf numFmtId="0" fontId="224" fillId="0" borderId="55" xfId="0" applyFont="1" applyFill="1" applyBorder="1" applyAlignment="1">
      <alignment horizontal="center"/>
    </xf>
    <xf numFmtId="0" fontId="224" fillId="0" borderId="301" xfId="0" applyFont="1" applyFill="1" applyBorder="1" applyAlignment="1">
      <alignment horizontal="center"/>
    </xf>
    <xf numFmtId="172" fontId="98" fillId="0" borderId="53" xfId="0" applyNumberFormat="1" applyFont="1" applyBorder="1"/>
    <xf numFmtId="0" fontId="99" fillId="0" borderId="53" xfId="571" quotePrefix="1" applyFont="1" applyFill="1" applyBorder="1" applyAlignment="1">
      <alignment horizontal="center"/>
    </xf>
    <xf numFmtId="170" fontId="6" fillId="0" borderId="53" xfId="568" applyNumberFormat="1" applyFont="1" applyBorder="1"/>
    <xf numFmtId="171" fontId="225" fillId="0" borderId="3" xfId="0" applyNumberFormat="1" applyFont="1" applyFill="1" applyBorder="1" applyAlignment="1">
      <alignment horizontal="center"/>
    </xf>
    <xf numFmtId="171" fontId="225" fillId="0" borderId="3" xfId="301" applyNumberFormat="1" applyFont="1" applyFill="1" applyBorder="1" applyAlignment="1">
      <alignment horizontal="center"/>
    </xf>
    <xf numFmtId="171" fontId="0" fillId="0" borderId="3" xfId="0" applyNumberFormat="1" applyBorder="1"/>
    <xf numFmtId="171" fontId="225" fillId="0" borderId="28" xfId="0" applyNumberFormat="1" applyFont="1" applyFill="1" applyBorder="1"/>
    <xf numFmtId="171" fontId="224" fillId="0" borderId="28" xfId="0" applyNumberFormat="1" applyFont="1" applyBorder="1"/>
    <xf numFmtId="171" fontId="0" fillId="0" borderId="28" xfId="0" applyNumberFormat="1" applyBorder="1"/>
    <xf numFmtId="171" fontId="224" fillId="25" borderId="29" xfId="0" applyNumberFormat="1" applyFont="1" applyFill="1" applyBorder="1" applyAlignment="1">
      <alignment horizontal="center"/>
    </xf>
    <xf numFmtId="171" fontId="225" fillId="0" borderId="3" xfId="0" applyNumberFormat="1" applyFont="1" applyBorder="1" applyAlignment="1">
      <alignment horizontal="center"/>
    </xf>
    <xf numFmtId="171" fontId="225" fillId="0" borderId="28" xfId="0" applyNumberFormat="1" applyFont="1" applyFill="1" applyBorder="1" applyAlignment="1">
      <alignment horizontal="center"/>
    </xf>
    <xf numFmtId="171" fontId="225" fillId="0" borderId="117" xfId="0" applyNumberFormat="1" applyFont="1" applyBorder="1" applyAlignment="1">
      <alignment horizontal="center"/>
    </xf>
    <xf numFmtId="171" fontId="98" fillId="0" borderId="3" xfId="0" applyNumberFormat="1" applyFont="1" applyBorder="1" applyAlignment="1">
      <alignment horizontal="center"/>
    </xf>
    <xf numFmtId="171" fontId="13" fillId="0" borderId="28" xfId="0" applyNumberFormat="1" applyFont="1" applyBorder="1" applyAlignment="1">
      <alignment horizontal="center"/>
    </xf>
    <xf numFmtId="171" fontId="98" fillId="0" borderId="28" xfId="0" applyNumberFormat="1" applyFont="1" applyFill="1" applyBorder="1" applyAlignment="1">
      <alignment horizontal="center"/>
    </xf>
    <xf numFmtId="43" fontId="0" fillId="0" borderId="0" xfId="301" applyFont="1"/>
    <xf numFmtId="0" fontId="0" fillId="0" borderId="94" xfId="0" applyFill="1" applyBorder="1"/>
    <xf numFmtId="0" fontId="98" fillId="0" borderId="94" xfId="0" applyFont="1" applyFill="1" applyBorder="1"/>
    <xf numFmtId="0" fontId="23" fillId="0" borderId="219" xfId="568" applyFont="1" applyBorder="1" applyAlignment="1">
      <alignment horizontal="center" wrapText="1"/>
    </xf>
    <xf numFmtId="173" fontId="2" fillId="0" borderId="60" xfId="301" applyNumberFormat="1" applyFont="1" applyBorder="1"/>
    <xf numFmtId="173" fontId="2" fillId="0" borderId="125" xfId="301" applyNumberFormat="1" applyFont="1" applyBorder="1"/>
    <xf numFmtId="39" fontId="6" fillId="0" borderId="91" xfId="568" applyNumberFormat="1" applyFont="1" applyBorder="1"/>
    <xf numFmtId="0" fontId="131" fillId="0" borderId="136" xfId="0" applyFont="1" applyFill="1" applyBorder="1"/>
    <xf numFmtId="0" fontId="98" fillId="0" borderId="25" xfId="0" applyFont="1" applyFill="1" applyBorder="1"/>
    <xf numFmtId="0" fontId="23" fillId="0" borderId="16" xfId="568" applyFont="1" applyFill="1" applyBorder="1" applyAlignment="1">
      <alignment horizontal="center" wrapText="1"/>
    </xf>
    <xf numFmtId="192" fontId="6" fillId="0" borderId="0" xfId="568" applyNumberFormat="1" applyFont="1" applyFill="1" applyBorder="1"/>
    <xf numFmtId="170" fontId="97" fillId="25" borderId="85" xfId="571" applyNumberFormat="1" applyFont="1" applyFill="1" applyBorder="1"/>
    <xf numFmtId="171" fontId="6" fillId="0" borderId="302" xfId="568" applyNumberFormat="1" applyFont="1" applyBorder="1"/>
    <xf numFmtId="171" fontId="6" fillId="0" borderId="85" xfId="568" applyNumberFormat="1" applyFont="1" applyBorder="1"/>
    <xf numFmtId="0" fontId="237" fillId="0" borderId="99" xfId="0" applyFont="1" applyBorder="1" applyAlignment="1">
      <alignment horizontal="center"/>
    </xf>
    <xf numFmtId="0" fontId="0" fillId="0" borderId="1" xfId="0" applyBorder="1" applyAlignment="1">
      <alignment horizontal="center"/>
    </xf>
    <xf numFmtId="0" fontId="0" fillId="0" borderId="100" xfId="0" applyBorder="1"/>
    <xf numFmtId="0" fontId="0" fillId="0" borderId="99" xfId="0" applyBorder="1"/>
    <xf numFmtId="0" fontId="238" fillId="0" borderId="100" xfId="0" applyFont="1" applyBorder="1" applyAlignment="1">
      <alignment horizontal="center" shrinkToFit="1"/>
    </xf>
    <xf numFmtId="0" fontId="0" fillId="0" borderId="99" xfId="0" applyBorder="1" applyAlignment="1">
      <alignment horizontal="center"/>
    </xf>
    <xf numFmtId="0" fontId="238" fillId="0" borderId="100" xfId="0" applyFont="1" applyBorder="1" applyAlignment="1">
      <alignment horizontal="center"/>
    </xf>
    <xf numFmtId="0" fontId="0" fillId="0" borderId="99" xfId="0" applyFont="1" applyBorder="1"/>
    <xf numFmtId="11" fontId="0" fillId="0" borderId="1" xfId="0" applyNumberFormat="1" applyBorder="1"/>
    <xf numFmtId="2" fontId="0" fillId="0" borderId="100" xfId="0" applyNumberFormat="1" applyBorder="1"/>
    <xf numFmtId="0" fontId="23" fillId="38" borderId="99" xfId="0" applyFont="1" applyFill="1" applyBorder="1"/>
    <xf numFmtId="11" fontId="23" fillId="38" borderId="1" xfId="0" applyNumberFormat="1" applyFont="1" applyFill="1" applyBorder="1"/>
    <xf numFmtId="2" fontId="238" fillId="38" borderId="100" xfId="0" applyNumberFormat="1" applyFont="1" applyFill="1" applyBorder="1"/>
    <xf numFmtId="0" fontId="2" fillId="0" borderId="99" xfId="0" applyFont="1" applyFill="1" applyBorder="1"/>
    <xf numFmtId="11" fontId="0" fillId="0" borderId="1" xfId="301" applyNumberFormat="1" applyFont="1" applyBorder="1"/>
    <xf numFmtId="11" fontId="0" fillId="0" borderId="100" xfId="301" applyNumberFormat="1" applyFont="1" applyFill="1" applyBorder="1"/>
    <xf numFmtId="0" fontId="247" fillId="0" borderId="99" xfId="0" applyFont="1" applyFill="1" applyBorder="1"/>
    <xf numFmtId="11" fontId="247" fillId="0" borderId="1" xfId="0" applyNumberFormat="1" applyFont="1" applyFill="1" applyBorder="1"/>
    <xf numFmtId="2" fontId="247" fillId="0" borderId="100" xfId="0" applyNumberFormat="1" applyFont="1" applyFill="1" applyBorder="1"/>
    <xf numFmtId="0" fontId="0" fillId="0" borderId="101" xfId="0" applyBorder="1"/>
    <xf numFmtId="0" fontId="0" fillId="0" borderId="102" xfId="0" applyBorder="1"/>
    <xf numFmtId="39" fontId="131" fillId="0" borderId="164" xfId="0" applyNumberFormat="1" applyFont="1" applyFill="1" applyBorder="1" applyAlignment="1">
      <alignment horizontal="center"/>
    </xf>
    <xf numFmtId="0" fontId="99" fillId="0" borderId="42" xfId="571" applyFont="1" applyFill="1" applyBorder="1"/>
    <xf numFmtId="0" fontId="248" fillId="0" borderId="42" xfId="571" applyFont="1" applyFill="1" applyBorder="1"/>
    <xf numFmtId="0" fontId="63" fillId="0" borderId="35" xfId="0" applyFont="1" applyBorder="1"/>
    <xf numFmtId="0" fontId="131" fillId="0" borderId="53" xfId="0" applyFont="1" applyFill="1" applyBorder="1"/>
    <xf numFmtId="0" fontId="142" fillId="35" borderId="2" xfId="571" applyFont="1" applyFill="1" applyBorder="1"/>
    <xf numFmtId="0" fontId="53" fillId="35" borderId="1" xfId="571" applyFont="1" applyFill="1" applyBorder="1"/>
    <xf numFmtId="0" fontId="58" fillId="35" borderId="1" xfId="571" applyFont="1" applyFill="1" applyBorder="1"/>
    <xf numFmtId="0" fontId="131" fillId="0" borderId="1" xfId="0" applyFont="1" applyFill="1" applyBorder="1"/>
    <xf numFmtId="0" fontId="60" fillId="0" borderId="2" xfId="571" applyFont="1" applyFill="1" applyBorder="1"/>
    <xf numFmtId="0" fontId="53" fillId="0" borderId="1" xfId="571" applyFont="1" applyFill="1" applyBorder="1"/>
    <xf numFmtId="0" fontId="60" fillId="0" borderId="1" xfId="571" applyFont="1" applyFill="1" applyBorder="1"/>
    <xf numFmtId="0" fontId="53" fillId="33" borderId="1" xfId="571" applyFont="1" applyFill="1" applyBorder="1"/>
    <xf numFmtId="0" fontId="65" fillId="33" borderId="1" xfId="571" applyFont="1" applyFill="1" applyBorder="1" applyAlignment="1">
      <alignment horizontal="center"/>
    </xf>
    <xf numFmtId="0" fontId="65" fillId="33" borderId="1" xfId="571" applyFont="1" applyFill="1" applyBorder="1" applyAlignment="1">
      <alignment horizontal="left" indent="4"/>
    </xf>
    <xf numFmtId="0" fontId="99" fillId="0" borderId="2" xfId="571" applyFont="1" applyFill="1" applyBorder="1"/>
    <xf numFmtId="0" fontId="100" fillId="0" borderId="1" xfId="571" applyFont="1" applyFill="1" applyBorder="1" applyAlignment="1">
      <alignment horizontal="center"/>
    </xf>
    <xf numFmtId="0" fontId="99" fillId="0" borderId="1" xfId="571" applyFont="1" applyFill="1" applyBorder="1"/>
    <xf numFmtId="0" fontId="99" fillId="0" borderId="1" xfId="571" applyFont="1" applyBorder="1"/>
    <xf numFmtId="0" fontId="97" fillId="0" borderId="1" xfId="571" applyFont="1" applyFill="1" applyBorder="1" applyAlignment="1">
      <alignment horizontal="center"/>
    </xf>
    <xf numFmtId="0" fontId="98" fillId="0" borderId="1" xfId="0" applyFont="1" applyFill="1" applyBorder="1"/>
    <xf numFmtId="0" fontId="100" fillId="0" borderId="2" xfId="571" applyFont="1" applyFill="1" applyBorder="1"/>
    <xf numFmtId="0" fontId="23" fillId="0" borderId="1" xfId="568" applyFont="1" applyBorder="1" applyAlignment="1">
      <alignment horizontal="center" wrapText="1"/>
    </xf>
    <xf numFmtId="0" fontId="23" fillId="0" borderId="1" xfId="568" applyFont="1" applyFill="1" applyBorder="1" applyAlignment="1">
      <alignment horizontal="center" wrapText="1"/>
    </xf>
    <xf numFmtId="182" fontId="98" fillId="0" borderId="1" xfId="0" applyNumberFormat="1" applyFont="1" applyBorder="1"/>
    <xf numFmtId="192" fontId="6" fillId="0" borderId="1" xfId="568" applyNumberFormat="1" applyFont="1" applyBorder="1"/>
    <xf numFmtId="173" fontId="98" fillId="0" borderId="1" xfId="0" applyNumberFormat="1" applyFont="1" applyBorder="1"/>
    <xf numFmtId="171" fontId="6" fillId="0" borderId="1" xfId="568" applyNumberFormat="1" applyFont="1" applyBorder="1"/>
    <xf numFmtId="0" fontId="99" fillId="0" borderId="2" xfId="571" applyFont="1" applyBorder="1"/>
    <xf numFmtId="0" fontId="99" fillId="0" borderId="1" xfId="571" applyFont="1" applyFill="1" applyBorder="1" applyAlignment="1">
      <alignment horizontal="left"/>
    </xf>
    <xf numFmtId="0" fontId="1" fillId="0" borderId="0" xfId="570" applyFont="1" applyFill="1" applyAlignment="1">
      <alignment horizontal="right"/>
    </xf>
    <xf numFmtId="0" fontId="206" fillId="0" borderId="10" xfId="570" applyBorder="1" applyAlignment="1"/>
    <xf numFmtId="0" fontId="47" fillId="0" borderId="10" xfId="570" applyNumberFormat="1" applyFont="1" applyFill="1" applyBorder="1" applyAlignment="1"/>
    <xf numFmtId="0" fontId="47" fillId="0" borderId="10" xfId="570" applyFont="1" applyFill="1" applyBorder="1" applyAlignment="1"/>
    <xf numFmtId="0" fontId="1" fillId="0" borderId="0" xfId="570" applyFont="1" applyFill="1" applyBorder="1" applyAlignment="1">
      <alignment horizontal="right"/>
    </xf>
    <xf numFmtId="0" fontId="47" fillId="0" borderId="0" xfId="570" applyFont="1" applyFill="1" applyBorder="1" applyAlignment="1"/>
    <xf numFmtId="0" fontId="206" fillId="0" borderId="0" xfId="570" applyBorder="1" applyAlignment="1"/>
    <xf numFmtId="0" fontId="250" fillId="0" borderId="0" xfId="0" applyFont="1" applyAlignment="1"/>
    <xf numFmtId="0" fontId="251" fillId="0" borderId="0" xfId="0" applyFont="1"/>
    <xf numFmtId="0" fontId="130" fillId="54" borderId="0" xfId="0" applyFont="1" applyFill="1" applyAlignment="1">
      <alignment horizontal="center"/>
    </xf>
    <xf numFmtId="0" fontId="249" fillId="0" borderId="0" xfId="462" applyAlignment="1" applyProtection="1"/>
    <xf numFmtId="173" fontId="252" fillId="0" borderId="1" xfId="301" applyNumberFormat="1" applyFont="1" applyFill="1" applyBorder="1"/>
    <xf numFmtId="0" fontId="252" fillId="0" borderId="2" xfId="0" applyFont="1" applyBorder="1" applyAlignment="1">
      <alignment horizontal="left" indent="1"/>
    </xf>
    <xf numFmtId="0" fontId="130" fillId="0" borderId="76" xfId="0" applyFont="1" applyBorder="1"/>
    <xf numFmtId="0" fontId="130" fillId="0" borderId="159" xfId="0" applyFont="1" applyBorder="1"/>
    <xf numFmtId="0" fontId="36" fillId="53" borderId="44" xfId="0" applyFont="1" applyFill="1" applyBorder="1"/>
    <xf numFmtId="0" fontId="36" fillId="53" borderId="38" xfId="0" applyFont="1" applyFill="1" applyBorder="1"/>
    <xf numFmtId="0" fontId="130" fillId="0" borderId="303" xfId="0" applyFont="1" applyBorder="1"/>
    <xf numFmtId="0" fontId="130" fillId="0" borderId="304" xfId="0" applyFont="1" applyBorder="1"/>
    <xf numFmtId="0" fontId="7" fillId="0" borderId="0" xfId="0" applyFont="1" applyFill="1" applyAlignment="1"/>
    <xf numFmtId="0" fontId="13" fillId="0" borderId="0" xfId="0" applyFont="1" applyFill="1" applyAlignment="1"/>
    <xf numFmtId="0" fontId="174" fillId="0" borderId="0" xfId="0" applyFont="1" applyFill="1" applyBorder="1" applyAlignment="1">
      <alignment horizontal="center"/>
    </xf>
    <xf numFmtId="0" fontId="174" fillId="0" borderId="218" xfId="0" applyFont="1" applyFill="1" applyBorder="1" applyAlignment="1">
      <alignment horizontal="center"/>
    </xf>
    <xf numFmtId="0" fontId="174" fillId="0" borderId="197" xfId="0" applyFont="1" applyFill="1" applyBorder="1" applyAlignment="1">
      <alignment horizontal="center"/>
    </xf>
    <xf numFmtId="0" fontId="173" fillId="0" borderId="197" xfId="0" applyFont="1" applyFill="1" applyBorder="1" applyAlignment="1"/>
    <xf numFmtId="0" fontId="173" fillId="0" borderId="181" xfId="0" applyFont="1" applyFill="1" applyBorder="1" applyAlignment="1"/>
    <xf numFmtId="0" fontId="0" fillId="0" borderId="0" xfId="0"/>
    <xf numFmtId="0" fontId="68" fillId="0" borderId="0" xfId="0" applyFont="1" applyAlignment="1"/>
    <xf numFmtId="0" fontId="0" fillId="0" borderId="0" xfId="0" applyAlignment="1"/>
    <xf numFmtId="0" fontId="235" fillId="25" borderId="96" xfId="0" applyFont="1" applyFill="1" applyBorder="1" applyAlignment="1">
      <alignment horizontal="center"/>
    </xf>
    <xf numFmtId="0" fontId="0" fillId="25" borderId="97" xfId="0" applyFill="1" applyBorder="1" applyAlignment="1">
      <alignment horizontal="center"/>
    </xf>
    <xf numFmtId="0" fontId="0" fillId="25" borderId="98" xfId="0" applyFill="1" applyBorder="1" applyAlignment="1">
      <alignment horizontal="center"/>
    </xf>
    <xf numFmtId="0" fontId="2" fillId="25" borderId="1" xfId="0" applyFont="1" applyFill="1" applyBorder="1" applyAlignment="1">
      <alignment horizontal="center"/>
    </xf>
    <xf numFmtId="0" fontId="0" fillId="25" borderId="1" xfId="0" applyFill="1" applyBorder="1" applyAlignment="1"/>
    <xf numFmtId="0" fontId="240" fillId="25" borderId="64" xfId="0" applyFont="1" applyFill="1" applyBorder="1" applyAlignment="1">
      <alignment horizontal="center"/>
    </xf>
    <xf numFmtId="0" fontId="240" fillId="25" borderId="0" xfId="0" applyFont="1" applyFill="1" applyBorder="1" applyAlignment="1">
      <alignment horizontal="center"/>
    </xf>
    <xf numFmtId="0" fontId="20" fillId="0" borderId="0" xfId="0" applyFont="1" applyAlignment="1">
      <alignment horizontal="left" wrapText="1"/>
    </xf>
    <xf numFmtId="0" fontId="23" fillId="25" borderId="44" xfId="0" applyFont="1" applyFill="1" applyBorder="1" applyAlignment="1"/>
    <xf numFmtId="0" fontId="0" fillId="0" borderId="38" xfId="0" applyBorder="1" applyAlignment="1"/>
    <xf numFmtId="0" fontId="0" fillId="0" borderId="46" xfId="0" applyBorder="1" applyAlignment="1"/>
    <xf numFmtId="0" fontId="131" fillId="0" borderId="16" xfId="0" applyFont="1" applyBorder="1" applyAlignment="1"/>
    <xf numFmtId="0" fontId="0" fillId="0" borderId="16" xfId="0" applyBorder="1" applyAlignment="1"/>
    <xf numFmtId="0" fontId="184" fillId="0" borderId="206" xfId="0" applyFont="1" applyFill="1" applyBorder="1" applyAlignment="1"/>
    <xf numFmtId="3" fontId="184" fillId="0" borderId="207" xfId="0" applyNumberFormat="1" applyFont="1" applyFill="1" applyBorder="1" applyAlignment="1"/>
    <xf numFmtId="0" fontId="184" fillId="38" borderId="204" xfId="0" applyFont="1" applyFill="1" applyBorder="1" applyAlignment="1"/>
    <xf numFmtId="0" fontId="216" fillId="0" borderId="212" xfId="0" applyFont="1" applyBorder="1" applyAlignment="1"/>
    <xf numFmtId="0" fontId="0" fillId="0" borderId="14" xfId="0" applyBorder="1" applyAlignment="1"/>
    <xf numFmtId="0" fontId="217" fillId="0" borderId="128" xfId="0" applyFont="1" applyFill="1" applyBorder="1" applyAlignment="1">
      <alignment horizontal="center" textRotation="90"/>
    </xf>
    <xf numFmtId="0" fontId="23" fillId="0" borderId="57" xfId="0" applyFont="1" applyFill="1" applyBorder="1" applyAlignment="1">
      <alignment horizontal="center" textRotation="90"/>
    </xf>
    <xf numFmtId="0" fontId="23" fillId="0" borderId="127" xfId="0" applyFont="1" applyFill="1" applyBorder="1" applyAlignment="1">
      <alignment horizontal="center" textRotation="90"/>
    </xf>
    <xf numFmtId="0" fontId="209" fillId="0" borderId="305" xfId="0" applyFont="1" applyFill="1" applyBorder="1" applyAlignment="1"/>
    <xf numFmtId="0" fontId="0" fillId="0" borderId="306" xfId="0" applyBorder="1" applyAlignment="1"/>
    <xf numFmtId="0" fontId="0" fillId="0" borderId="307" xfId="0" applyBorder="1" applyAlignment="1"/>
    <xf numFmtId="0" fontId="209" fillId="0" borderId="96" xfId="0" applyFont="1" applyBorder="1" applyAlignment="1"/>
    <xf numFmtId="0" fontId="209" fillId="0" borderId="286" xfId="0" applyFont="1" applyBorder="1" applyAlignment="1"/>
    <xf numFmtId="0" fontId="209" fillId="0" borderId="99" xfId="0" applyFont="1" applyBorder="1" applyAlignment="1"/>
    <xf numFmtId="0" fontId="209" fillId="0" borderId="30" xfId="0" applyFont="1" applyBorder="1" applyAlignment="1"/>
    <xf numFmtId="0" fontId="217" fillId="25" borderId="128" xfId="0" quotePrefix="1" applyFont="1" applyFill="1" applyBorder="1" applyAlignment="1">
      <alignment horizontal="center" textRotation="90"/>
    </xf>
    <xf numFmtId="0" fontId="0" fillId="0" borderId="57" xfId="0" applyBorder="1" applyAlignment="1">
      <alignment horizontal="center" textRotation="90"/>
    </xf>
    <xf numFmtId="0" fontId="0" fillId="0" borderId="127" xfId="0" applyBorder="1" applyAlignment="1">
      <alignment horizontal="center" textRotation="90"/>
    </xf>
    <xf numFmtId="0" fontId="209" fillId="0" borderId="212" xfId="0" applyFont="1" applyBorder="1" applyAlignment="1"/>
    <xf numFmtId="0" fontId="209" fillId="0" borderId="14" xfId="0" applyFont="1" applyBorder="1" applyAlignment="1"/>
    <xf numFmtId="0" fontId="216" fillId="0" borderId="14" xfId="0" applyFont="1" applyBorder="1" applyAlignment="1"/>
    <xf numFmtId="0" fontId="0" fillId="0" borderId="0" xfId="0" applyAlignment="1">
      <alignment wrapText="1"/>
    </xf>
    <xf numFmtId="0" fontId="7" fillId="0" borderId="38" xfId="0" applyFont="1" applyBorder="1" applyAlignment="1"/>
    <xf numFmtId="0" fontId="7" fillId="0" borderId="46" xfId="0" applyFont="1" applyBorder="1" applyAlignment="1"/>
    <xf numFmtId="0" fontId="4" fillId="0" borderId="34" xfId="0" applyFont="1" applyBorder="1" applyAlignment="1">
      <alignment horizontal="center" wrapText="1"/>
    </xf>
    <xf numFmtId="0" fontId="0" fillId="0" borderId="105" xfId="0" applyBorder="1" applyAlignment="1"/>
    <xf numFmtId="0" fontId="4" fillId="0" borderId="0" xfId="0" applyFont="1" applyAlignment="1">
      <alignment horizontal="left" wrapText="1"/>
    </xf>
    <xf numFmtId="0" fontId="114" fillId="25" borderId="138" xfId="574" applyFont="1" applyFill="1" applyBorder="1" applyAlignment="1">
      <alignment vertical="center"/>
    </xf>
    <xf numFmtId="0" fontId="54" fillId="25" borderId="136" xfId="0" applyFont="1" applyFill="1" applyBorder="1" applyAlignment="1"/>
    <xf numFmtId="0" fontId="161" fillId="0" borderId="1" xfId="565" applyFont="1" applyFill="1" applyBorder="1" applyAlignment="1" applyProtection="1">
      <alignment horizontal="right" wrapText="1"/>
    </xf>
    <xf numFmtId="0" fontId="4" fillId="0" borderId="0" xfId="0" applyFont="1" applyBorder="1" applyAlignment="1"/>
    <xf numFmtId="0" fontId="23" fillId="0" borderId="23" xfId="0" applyFont="1" applyBorder="1" applyAlignment="1">
      <alignment horizontal="center" vertical="top" wrapText="1"/>
    </xf>
    <xf numFmtId="0" fontId="23" fillId="30" borderId="23" xfId="0" applyFont="1" applyFill="1" applyBorder="1" applyAlignment="1">
      <alignment horizontal="center" vertical="top" wrapText="1"/>
    </xf>
    <xf numFmtId="9" fontId="23" fillId="0" borderId="23" xfId="599" applyFont="1" applyBorder="1" applyAlignment="1">
      <alignment horizontal="center"/>
    </xf>
    <xf numFmtId="9" fontId="23" fillId="0" borderId="23" xfId="599" applyFont="1" applyFill="1" applyBorder="1" applyAlignment="1">
      <alignment horizontal="center"/>
    </xf>
    <xf numFmtId="0" fontId="23" fillId="0" borderId="0" xfId="0" applyFont="1" applyBorder="1" applyAlignment="1">
      <alignment horizontal="center"/>
    </xf>
    <xf numFmtId="0" fontId="23" fillId="0" borderId="0" xfId="0" applyFont="1" applyBorder="1" applyAlignment="1">
      <alignment horizontal="center" vertical="top" wrapText="1"/>
    </xf>
    <xf numFmtId="0" fontId="23" fillId="0" borderId="23" xfId="0" applyFont="1" applyFill="1" applyBorder="1" applyAlignment="1">
      <alignment horizontal="center" vertical="top" wrapText="1"/>
    </xf>
  </cellXfs>
  <cellStyles count="662">
    <cellStyle name="20% - Accent1 2" xfId="1"/>
    <cellStyle name="20% - Accent1 2 2" xfId="2"/>
    <cellStyle name="20% - Accent1 2 3" xfId="3"/>
    <cellStyle name="20% - Accent1 2 4" xfId="4"/>
    <cellStyle name="20% - Accent1 3" xfId="5"/>
    <cellStyle name="20% - Accent1 3 2" xfId="6"/>
    <cellStyle name="20% - Accent1 3 2 2" xfId="7"/>
    <cellStyle name="20% - Accent1 3 2 2 2" xfId="8"/>
    <cellStyle name="20% - Accent1 3 3" xfId="9"/>
    <cellStyle name="20% - Accent1 4" xfId="10"/>
    <cellStyle name="20% - Accent1 4 2" xfId="11"/>
    <cellStyle name="20% - Accent2 2" xfId="12"/>
    <cellStyle name="20% - Accent2 2 2" xfId="13"/>
    <cellStyle name="20% - Accent2 2 3" xfId="14"/>
    <cellStyle name="20% - Accent2 2 4" xfId="15"/>
    <cellStyle name="20% - Accent2 3" xfId="16"/>
    <cellStyle name="20% - Accent2 3 2" xfId="17"/>
    <cellStyle name="20% - Accent2 3 2 2" xfId="18"/>
    <cellStyle name="20% - Accent2 3 2 2 2" xfId="19"/>
    <cellStyle name="20% - Accent2 3 3" xfId="20"/>
    <cellStyle name="20% - Accent2 4" xfId="21"/>
    <cellStyle name="20% - Accent2 4 2" xfId="22"/>
    <cellStyle name="20% - Accent3 2" xfId="23"/>
    <cellStyle name="20% - Accent3 2 2" xfId="24"/>
    <cellStyle name="20% - Accent3 2 3" xfId="25"/>
    <cellStyle name="20% - Accent3 2 4" xfId="26"/>
    <cellStyle name="20% - Accent3 3" xfId="27"/>
    <cellStyle name="20% - Accent3 3 2" xfId="28"/>
    <cellStyle name="20% - Accent3 3 2 2" xfId="29"/>
    <cellStyle name="20% - Accent3 3 2 2 2" xfId="30"/>
    <cellStyle name="20% - Accent3 3 3" xfId="31"/>
    <cellStyle name="20% - Accent3 4" xfId="32"/>
    <cellStyle name="20% - Accent3 4 2" xfId="33"/>
    <cellStyle name="20% - Accent4 2" xfId="34"/>
    <cellStyle name="20% - Accent4 2 2" xfId="35"/>
    <cellStyle name="20% - Accent4 2 3" xfId="36"/>
    <cellStyle name="20% - Accent4 2 4" xfId="37"/>
    <cellStyle name="20% - Accent4 3" xfId="38"/>
    <cellStyle name="20% - Accent4 3 2" xfId="39"/>
    <cellStyle name="20% - Accent4 3 2 2" xfId="40"/>
    <cellStyle name="20% - Accent4 3 2 2 2" xfId="41"/>
    <cellStyle name="20% - Accent4 3 3" xfId="42"/>
    <cellStyle name="20% - Accent4 4" xfId="43"/>
    <cellStyle name="20% - Accent4 4 2" xfId="44"/>
    <cellStyle name="20% - Accent5 2" xfId="45"/>
    <cellStyle name="20% - Accent5 2 2" xfId="46"/>
    <cellStyle name="20% - Accent5 2 3" xfId="47"/>
    <cellStyle name="20% - Accent5 2 4" xfId="48"/>
    <cellStyle name="20% - Accent5 3" xfId="49"/>
    <cellStyle name="20% - Accent5 3 2" xfId="50"/>
    <cellStyle name="20% - Accent5 3 2 2" xfId="51"/>
    <cellStyle name="20% - Accent5 3 2 2 2" xfId="52"/>
    <cellStyle name="20% - Accent5 3 3" xfId="53"/>
    <cellStyle name="20% - Accent5 4" xfId="54"/>
    <cellStyle name="20% - Accent5 4 2" xfId="55"/>
    <cellStyle name="20% - Accent6 2" xfId="56"/>
    <cellStyle name="20% - Accent6 2 2" xfId="57"/>
    <cellStyle name="20% - Accent6 2 3" xfId="58"/>
    <cellStyle name="20% - Accent6 2 4" xfId="59"/>
    <cellStyle name="20% - Accent6 3" xfId="60"/>
    <cellStyle name="20% - Accent6 3 2" xfId="61"/>
    <cellStyle name="20% - Accent6 3 2 2" xfId="62"/>
    <cellStyle name="20% - Accent6 3 2 2 2" xfId="63"/>
    <cellStyle name="20% - Accent6 3 3" xfId="64"/>
    <cellStyle name="20% - Accent6 4" xfId="65"/>
    <cellStyle name="20% - Accent6 4 2" xfId="66"/>
    <cellStyle name="2x indented GHG Textfiels" xfId="67"/>
    <cellStyle name="40% - Accent1 2" xfId="68"/>
    <cellStyle name="40% - Accent1 2 2" xfId="69"/>
    <cellStyle name="40% - Accent1 2 3" xfId="70"/>
    <cellStyle name="40% - Accent1 2 4" xfId="71"/>
    <cellStyle name="40% - Accent1 3" xfId="72"/>
    <cellStyle name="40% - Accent1 3 2" xfId="73"/>
    <cellStyle name="40% - Accent1 3 2 2" xfId="74"/>
    <cellStyle name="40% - Accent1 3 2 2 2" xfId="75"/>
    <cellStyle name="40% - Accent1 3 3" xfId="76"/>
    <cellStyle name="40% - Accent1 4" xfId="77"/>
    <cellStyle name="40% - Accent1 4 2" xfId="78"/>
    <cellStyle name="40% - Accent2 2" xfId="79"/>
    <cellStyle name="40% - Accent2 2 2" xfId="80"/>
    <cellStyle name="40% - Accent2 2 3" xfId="81"/>
    <cellStyle name="40% - Accent2 2 4" xfId="82"/>
    <cellStyle name="40% - Accent2 3" xfId="83"/>
    <cellStyle name="40% - Accent2 3 2" xfId="84"/>
    <cellStyle name="40% - Accent2 3 2 2" xfId="85"/>
    <cellStyle name="40% - Accent2 3 2 2 2" xfId="86"/>
    <cellStyle name="40% - Accent2 3 3" xfId="87"/>
    <cellStyle name="40% - Accent2 4" xfId="88"/>
    <cellStyle name="40% - Accent2 4 2" xfId="89"/>
    <cellStyle name="40% - Accent3 2" xfId="90"/>
    <cellStyle name="40% - Accent3 2 2" xfId="91"/>
    <cellStyle name="40% - Accent3 2 3" xfId="92"/>
    <cellStyle name="40% - Accent3 2 4" xfId="93"/>
    <cellStyle name="40% - Accent3 3" xfId="94"/>
    <cellStyle name="40% - Accent3 3 2" xfId="95"/>
    <cellStyle name="40% - Accent3 3 2 2" xfId="96"/>
    <cellStyle name="40% - Accent3 3 2 2 2" xfId="97"/>
    <cellStyle name="40% - Accent3 3 3" xfId="98"/>
    <cellStyle name="40% - Accent3 4" xfId="99"/>
    <cellStyle name="40% - Accent3 4 2" xfId="100"/>
    <cellStyle name="40% - Accent4 2" xfId="101"/>
    <cellStyle name="40% - Accent4 2 2" xfId="102"/>
    <cellStyle name="40% - Accent4 2 3" xfId="103"/>
    <cellStyle name="40% - Accent4 2 4" xfId="104"/>
    <cellStyle name="40% - Accent4 3" xfId="105"/>
    <cellStyle name="40% - Accent4 3 2" xfId="106"/>
    <cellStyle name="40% - Accent4 3 2 2" xfId="107"/>
    <cellStyle name="40% - Accent4 3 2 2 2" xfId="108"/>
    <cellStyle name="40% - Accent4 3 3" xfId="109"/>
    <cellStyle name="40% - Accent4 4" xfId="110"/>
    <cellStyle name="40% - Accent4 4 2" xfId="111"/>
    <cellStyle name="40% - Accent5 2" xfId="112"/>
    <cellStyle name="40% - Accent5 2 2" xfId="113"/>
    <cellStyle name="40% - Accent5 2 3" xfId="114"/>
    <cellStyle name="40% - Accent5 2 4" xfId="115"/>
    <cellStyle name="40% - Accent5 3" xfId="116"/>
    <cellStyle name="40% - Accent5 3 2" xfId="117"/>
    <cellStyle name="40% - Accent5 3 2 2" xfId="118"/>
    <cellStyle name="40% - Accent5 3 2 2 2" xfId="119"/>
    <cellStyle name="40% - Accent5 3 3" xfId="120"/>
    <cellStyle name="40% - Accent5 4" xfId="121"/>
    <cellStyle name="40% - Accent5 4 2" xfId="122"/>
    <cellStyle name="40% - Accent6 2" xfId="123"/>
    <cellStyle name="40% - Accent6 2 2" xfId="124"/>
    <cellStyle name="40% - Accent6 2 3" xfId="125"/>
    <cellStyle name="40% - Accent6 2 4" xfId="126"/>
    <cellStyle name="40% - Accent6 3" xfId="127"/>
    <cellStyle name="40% - Accent6 3 2" xfId="128"/>
    <cellStyle name="40% - Accent6 3 2 2" xfId="129"/>
    <cellStyle name="40% - Accent6 3 2 2 2" xfId="130"/>
    <cellStyle name="40% - Accent6 3 3" xfId="131"/>
    <cellStyle name="40% - Accent6 4" xfId="132"/>
    <cellStyle name="40% - Accent6 4 2" xfId="133"/>
    <cellStyle name="5x indented GHG Textfiels" xfId="134"/>
    <cellStyle name="60% - Accent1 2" xfId="135"/>
    <cellStyle name="60% - Accent1 2 2" xfId="136"/>
    <cellStyle name="60% - Accent1 2 3" xfId="137"/>
    <cellStyle name="60% - Accent1 2 4" xfId="138"/>
    <cellStyle name="60% - Accent1 3" xfId="139"/>
    <cellStyle name="60% - Accent1 3 2" xfId="140"/>
    <cellStyle name="60% - Accent1 3 2 2" xfId="141"/>
    <cellStyle name="60% - Accent1 3 2 2 2" xfId="142"/>
    <cellStyle name="60% - Accent1 3 3" xfId="143"/>
    <cellStyle name="60% - Accent1 4" xfId="144"/>
    <cellStyle name="60% - Accent1 4 2" xfId="145"/>
    <cellStyle name="60% - Accent2 2" xfId="146"/>
    <cellStyle name="60% - Accent2 2 2" xfId="147"/>
    <cellStyle name="60% - Accent2 2 3" xfId="148"/>
    <cellStyle name="60% - Accent2 2 4" xfId="149"/>
    <cellStyle name="60% - Accent2 3" xfId="150"/>
    <cellStyle name="60% - Accent2 3 2" xfId="151"/>
    <cellStyle name="60% - Accent2 3 2 2" xfId="152"/>
    <cellStyle name="60% - Accent2 3 2 2 2" xfId="153"/>
    <cellStyle name="60% - Accent2 3 3" xfId="154"/>
    <cellStyle name="60% - Accent2 4" xfId="155"/>
    <cellStyle name="60% - Accent2 4 2" xfId="156"/>
    <cellStyle name="60% - Accent3 2" xfId="157"/>
    <cellStyle name="60% - Accent3 2 2" xfId="158"/>
    <cellStyle name="60% - Accent3 2 3" xfId="159"/>
    <cellStyle name="60% - Accent3 2 4" xfId="160"/>
    <cellStyle name="60% - Accent3 3" xfId="161"/>
    <cellStyle name="60% - Accent3 3 2" xfId="162"/>
    <cellStyle name="60% - Accent3 3 2 2" xfId="163"/>
    <cellStyle name="60% - Accent3 3 2 2 2" xfId="164"/>
    <cellStyle name="60% - Accent3 3 3" xfId="165"/>
    <cellStyle name="60% - Accent3 4" xfId="166"/>
    <cellStyle name="60% - Accent3 4 2" xfId="167"/>
    <cellStyle name="60% - Accent4 2" xfId="168"/>
    <cellStyle name="60% - Accent4 2 2" xfId="169"/>
    <cellStyle name="60% - Accent4 2 3" xfId="170"/>
    <cellStyle name="60% - Accent4 2 4" xfId="171"/>
    <cellStyle name="60% - Accent4 3" xfId="172"/>
    <cellStyle name="60% - Accent4 3 2" xfId="173"/>
    <cellStyle name="60% - Accent4 3 2 2" xfId="174"/>
    <cellStyle name="60% - Accent4 3 2 2 2" xfId="175"/>
    <cellStyle name="60% - Accent4 3 3" xfId="176"/>
    <cellStyle name="60% - Accent4 4" xfId="177"/>
    <cellStyle name="60% - Accent4 4 2" xfId="178"/>
    <cellStyle name="60% - Accent5 2" xfId="179"/>
    <cellStyle name="60% - Accent5 2 2" xfId="180"/>
    <cellStyle name="60% - Accent5 2 3" xfId="181"/>
    <cellStyle name="60% - Accent5 2 4" xfId="182"/>
    <cellStyle name="60% - Accent5 3" xfId="183"/>
    <cellStyle name="60% - Accent5 3 2" xfId="184"/>
    <cellStyle name="60% - Accent5 3 2 2" xfId="185"/>
    <cellStyle name="60% - Accent5 3 2 2 2" xfId="186"/>
    <cellStyle name="60% - Accent5 3 3" xfId="187"/>
    <cellStyle name="60% - Accent5 4" xfId="188"/>
    <cellStyle name="60% - Accent5 4 2" xfId="189"/>
    <cellStyle name="60% - Accent6 2" xfId="190"/>
    <cellStyle name="60% - Accent6 2 2" xfId="191"/>
    <cellStyle name="60% - Accent6 2 3" xfId="192"/>
    <cellStyle name="60% - Accent6 2 4" xfId="193"/>
    <cellStyle name="60% - Accent6 3" xfId="194"/>
    <cellStyle name="60% - Accent6 3 2" xfId="195"/>
    <cellStyle name="60% - Accent6 3 2 2" xfId="196"/>
    <cellStyle name="60% - Accent6 3 2 2 2" xfId="197"/>
    <cellStyle name="60% - Accent6 3 3" xfId="198"/>
    <cellStyle name="60% - Accent6 4" xfId="199"/>
    <cellStyle name="60% - Accent6 4 2" xfId="200"/>
    <cellStyle name="Accent1 2" xfId="201"/>
    <cellStyle name="Accent1 2 2" xfId="202"/>
    <cellStyle name="Accent1 2 3" xfId="203"/>
    <cellStyle name="Accent1 2 4" xfId="204"/>
    <cellStyle name="Accent1 3" xfId="205"/>
    <cellStyle name="Accent1 3 2" xfId="206"/>
    <cellStyle name="Accent1 3 2 2" xfId="207"/>
    <cellStyle name="Accent1 3 2 2 2" xfId="208"/>
    <cellStyle name="Accent1 3 3" xfId="209"/>
    <cellStyle name="Accent1 4" xfId="210"/>
    <cellStyle name="Accent1 4 2" xfId="211"/>
    <cellStyle name="Accent2 2" xfId="212"/>
    <cellStyle name="Accent2 2 2" xfId="213"/>
    <cellStyle name="Accent2 2 3" xfId="214"/>
    <cellStyle name="Accent2 2 4" xfId="215"/>
    <cellStyle name="Accent2 3" xfId="216"/>
    <cellStyle name="Accent2 3 2" xfId="217"/>
    <cellStyle name="Accent2 3 2 2" xfId="218"/>
    <cellStyle name="Accent2 3 2 2 2" xfId="219"/>
    <cellStyle name="Accent2 3 3" xfId="220"/>
    <cellStyle name="Accent2 4" xfId="221"/>
    <cellStyle name="Accent2 4 2" xfId="222"/>
    <cellStyle name="Accent3 2" xfId="223"/>
    <cellStyle name="Accent3 2 2" xfId="224"/>
    <cellStyle name="Accent3 2 3" xfId="225"/>
    <cellStyle name="Accent3 2 4" xfId="226"/>
    <cellStyle name="Accent3 3" xfId="227"/>
    <cellStyle name="Accent3 3 2" xfId="228"/>
    <cellStyle name="Accent3 3 2 2" xfId="229"/>
    <cellStyle name="Accent3 3 2 2 2" xfId="230"/>
    <cellStyle name="Accent3 3 3" xfId="231"/>
    <cellStyle name="Accent3 4" xfId="232"/>
    <cellStyle name="Accent3 4 2" xfId="233"/>
    <cellStyle name="Accent4 2" xfId="234"/>
    <cellStyle name="Accent4 2 2" xfId="235"/>
    <cellStyle name="Accent4 2 3" xfId="236"/>
    <cellStyle name="Accent4 2 4" xfId="237"/>
    <cellStyle name="Accent4 3" xfId="238"/>
    <cellStyle name="Accent4 3 2" xfId="239"/>
    <cellStyle name="Accent4 3 2 2" xfId="240"/>
    <cellStyle name="Accent4 3 2 2 2" xfId="241"/>
    <cellStyle name="Accent4 3 3" xfId="242"/>
    <cellStyle name="Accent4 4" xfId="243"/>
    <cellStyle name="Accent4 4 2" xfId="244"/>
    <cellStyle name="Accent5 2" xfId="245"/>
    <cellStyle name="Accent5 2 2" xfId="246"/>
    <cellStyle name="Accent5 2 3" xfId="247"/>
    <cellStyle name="Accent5 2 4" xfId="248"/>
    <cellStyle name="Accent5 3" xfId="249"/>
    <cellStyle name="Accent5 3 2" xfId="250"/>
    <cellStyle name="Accent5 3 2 2" xfId="251"/>
    <cellStyle name="Accent5 3 2 2 2" xfId="252"/>
    <cellStyle name="Accent5 3 3" xfId="253"/>
    <cellStyle name="Accent5 4" xfId="254"/>
    <cellStyle name="Accent5 4 2" xfId="255"/>
    <cellStyle name="Accent6 2" xfId="256"/>
    <cellStyle name="Accent6 2 2" xfId="257"/>
    <cellStyle name="Accent6 2 3" xfId="258"/>
    <cellStyle name="Accent6 2 4" xfId="259"/>
    <cellStyle name="Accent6 3" xfId="260"/>
    <cellStyle name="Accent6 3 2" xfId="261"/>
    <cellStyle name="Accent6 3 2 2" xfId="262"/>
    <cellStyle name="Accent6 3 2 2 2" xfId="263"/>
    <cellStyle name="Accent6 3 3" xfId="264"/>
    <cellStyle name="Accent6 4" xfId="265"/>
    <cellStyle name="Accent6 4 2" xfId="266"/>
    <cellStyle name="Bad 2" xfId="267"/>
    <cellStyle name="Bad 2 2" xfId="268"/>
    <cellStyle name="Bad 2 3" xfId="269"/>
    <cellStyle name="Bad 2 4" xfId="270"/>
    <cellStyle name="Bad 3" xfId="271"/>
    <cellStyle name="Bad 3 2" xfId="272"/>
    <cellStyle name="Bad 3 2 2" xfId="273"/>
    <cellStyle name="Bad 3 2 2 2" xfId="274"/>
    <cellStyle name="Bad 3 3" xfId="275"/>
    <cellStyle name="Bad 4" xfId="276"/>
    <cellStyle name="Bad 4 2" xfId="277"/>
    <cellStyle name="Bold GHG Numbers (0.00)" xfId="278"/>
    <cellStyle name="Calculation 2" xfId="279"/>
    <cellStyle name="Calculation 2 2" xfId="280"/>
    <cellStyle name="Calculation 2 3" xfId="281"/>
    <cellStyle name="Calculation 2 4" xfId="282"/>
    <cellStyle name="Calculation 3" xfId="283"/>
    <cellStyle name="Calculation 3 2" xfId="284"/>
    <cellStyle name="Calculation 3 2 2" xfId="285"/>
    <cellStyle name="Calculation 3 2 2 2" xfId="286"/>
    <cellStyle name="Calculation 3 3" xfId="287"/>
    <cellStyle name="Calculation 4" xfId="288"/>
    <cellStyle name="Calculation 4 2" xfId="289"/>
    <cellStyle name="Check Cell 2" xfId="290"/>
    <cellStyle name="Check Cell 2 2" xfId="291"/>
    <cellStyle name="Check Cell 2 3" xfId="292"/>
    <cellStyle name="Check Cell 2 4" xfId="293"/>
    <cellStyle name="Check Cell 3" xfId="294"/>
    <cellStyle name="Check Cell 3 2" xfId="295"/>
    <cellStyle name="Check Cell 3 2 2" xfId="296"/>
    <cellStyle name="Check Cell 3 2 2 2" xfId="297"/>
    <cellStyle name="Check Cell 3 3" xfId="298"/>
    <cellStyle name="Check Cell 4" xfId="299"/>
    <cellStyle name="Check Cell 4 2" xfId="300"/>
    <cellStyle name="Comma" xfId="301" builtinId="3"/>
    <cellStyle name="Comma 10" xfId="302"/>
    <cellStyle name="Comma 11" xfId="303"/>
    <cellStyle name="Comma 2" xfId="304"/>
    <cellStyle name="Comma 2 2" xfId="305"/>
    <cellStyle name="Comma 2 3" xfId="306"/>
    <cellStyle name="Comma 2 4" xfId="307"/>
    <cellStyle name="Comma 3" xfId="308"/>
    <cellStyle name="Comma 4" xfId="309"/>
    <cellStyle name="Comma 5" xfId="310"/>
    <cellStyle name="Comma 6" xfId="311"/>
    <cellStyle name="Comma 7" xfId="312"/>
    <cellStyle name="Comma 8" xfId="313"/>
    <cellStyle name="Comma 9" xfId="314"/>
    <cellStyle name="Comma0" xfId="315"/>
    <cellStyle name="Comma0 10" xfId="316"/>
    <cellStyle name="Comma0 10 2" xfId="317"/>
    <cellStyle name="Comma0 10 3" xfId="318"/>
    <cellStyle name="Comma0 10 4" xfId="319"/>
    <cellStyle name="Comma0 11" xfId="320"/>
    <cellStyle name="Comma0 12" xfId="321"/>
    <cellStyle name="Comma0 13" xfId="322"/>
    <cellStyle name="Comma0 2" xfId="323"/>
    <cellStyle name="Comma0 3" xfId="324"/>
    <cellStyle name="Comma0 4" xfId="325"/>
    <cellStyle name="Comma0 5" xfId="326"/>
    <cellStyle name="Comma0 6" xfId="327"/>
    <cellStyle name="Comma0 7" xfId="328"/>
    <cellStyle name="Comma0 8" xfId="329"/>
    <cellStyle name="Comma0 9" xfId="330"/>
    <cellStyle name="Comma0 9 2" xfId="331"/>
    <cellStyle name="Comma0 9 3" xfId="332"/>
    <cellStyle name="Comma0 9 4" xfId="333"/>
    <cellStyle name="Currency0" xfId="334"/>
    <cellStyle name="Currency0 10" xfId="335"/>
    <cellStyle name="Currency0 10 2" xfId="336"/>
    <cellStyle name="Currency0 10 3" xfId="337"/>
    <cellStyle name="Currency0 10 4" xfId="338"/>
    <cellStyle name="Currency0 11" xfId="339"/>
    <cellStyle name="Currency0 12" xfId="340"/>
    <cellStyle name="Currency0 13" xfId="341"/>
    <cellStyle name="Currency0 2" xfId="342"/>
    <cellStyle name="Currency0 3" xfId="343"/>
    <cellStyle name="Currency0 4" xfId="344"/>
    <cellStyle name="Currency0 5" xfId="345"/>
    <cellStyle name="Currency0 6" xfId="346"/>
    <cellStyle name="Currency0 7" xfId="347"/>
    <cellStyle name="Currency0 8" xfId="348"/>
    <cellStyle name="Currency0 9" xfId="349"/>
    <cellStyle name="Currency0 9 2" xfId="350"/>
    <cellStyle name="Currency0 9 3" xfId="351"/>
    <cellStyle name="Currency0 9 4" xfId="352"/>
    <cellStyle name="Data Field" xfId="353"/>
    <cellStyle name="Data Field 2" xfId="354"/>
    <cellStyle name="Data Field_IA_NaturalGasIndustry_FuelCombustion_CO2" xfId="355"/>
    <cellStyle name="Data Name" xfId="356"/>
    <cellStyle name="Data Name 10" xfId="357"/>
    <cellStyle name="Data Name 10 2" xfId="358"/>
    <cellStyle name="Data Name 10 3" xfId="359"/>
    <cellStyle name="Data Name 10 4" xfId="360"/>
    <cellStyle name="Data Name 11" xfId="361"/>
    <cellStyle name="Data Name 12" xfId="362"/>
    <cellStyle name="Data Name 13" xfId="363"/>
    <cellStyle name="Data Name 2" xfId="364"/>
    <cellStyle name="Data Name 3" xfId="365"/>
    <cellStyle name="Data Name 4" xfId="366"/>
    <cellStyle name="Data Name 5" xfId="367"/>
    <cellStyle name="Data Name 6" xfId="368"/>
    <cellStyle name="Data Name 7" xfId="369"/>
    <cellStyle name="Data Name 8" xfId="370"/>
    <cellStyle name="Data Name 9" xfId="371"/>
    <cellStyle name="Data Name 9 2" xfId="372"/>
    <cellStyle name="Data Name 9 3" xfId="373"/>
    <cellStyle name="Data Name 9 4" xfId="374"/>
    <cellStyle name="Data Name_IA_NaturalGasIndustry_FuelCombustion_CO2" xfId="375"/>
    <cellStyle name="Euro" xfId="376"/>
    <cellStyle name="Euro 10" xfId="377"/>
    <cellStyle name="Euro 10 2" xfId="378"/>
    <cellStyle name="Euro 10 3" xfId="379"/>
    <cellStyle name="Euro 10 4" xfId="380"/>
    <cellStyle name="Euro 11" xfId="381"/>
    <cellStyle name="Euro 12" xfId="382"/>
    <cellStyle name="Euro 13" xfId="383"/>
    <cellStyle name="Euro 2" xfId="384"/>
    <cellStyle name="Euro 3" xfId="385"/>
    <cellStyle name="Euro 4" xfId="386"/>
    <cellStyle name="Euro 5" xfId="387"/>
    <cellStyle name="Euro 6" xfId="388"/>
    <cellStyle name="Euro 7" xfId="389"/>
    <cellStyle name="Euro 8" xfId="390"/>
    <cellStyle name="Euro 9" xfId="391"/>
    <cellStyle name="Euro 9 2" xfId="392"/>
    <cellStyle name="Euro 9 3" xfId="393"/>
    <cellStyle name="Euro 9 4" xfId="394"/>
    <cellStyle name="Explanatory Text 2" xfId="395"/>
    <cellStyle name="Explanatory Text 2 2" xfId="396"/>
    <cellStyle name="Explanatory Text 2 3" xfId="397"/>
    <cellStyle name="Explanatory Text 2 4" xfId="398"/>
    <cellStyle name="Explanatory Text 3" xfId="399"/>
    <cellStyle name="Explanatory Text 3 2" xfId="400"/>
    <cellStyle name="Explanatory Text 3 2 2" xfId="401"/>
    <cellStyle name="Explanatory Text 3 2 2 2" xfId="402"/>
    <cellStyle name="Explanatory Text 3 3" xfId="403"/>
    <cellStyle name="Explanatory Text 4" xfId="404"/>
    <cellStyle name="Explanatory Text 4 2" xfId="405"/>
    <cellStyle name="Good 2" xfId="406"/>
    <cellStyle name="Good 2 2" xfId="407"/>
    <cellStyle name="Good 2 3" xfId="408"/>
    <cellStyle name="Good 2 4" xfId="409"/>
    <cellStyle name="Good 3" xfId="410"/>
    <cellStyle name="Good 3 2" xfId="411"/>
    <cellStyle name="Good 3 2 2" xfId="412"/>
    <cellStyle name="Good 3 2 2 2" xfId="413"/>
    <cellStyle name="Good 3 3" xfId="414"/>
    <cellStyle name="Good 4" xfId="415"/>
    <cellStyle name="Good 4 2" xfId="416"/>
    <cellStyle name="Heading 1 2" xfId="417"/>
    <cellStyle name="Heading 1 2 2" xfId="418"/>
    <cellStyle name="Heading 1 2 3" xfId="419"/>
    <cellStyle name="Heading 1 2 4" xfId="420"/>
    <cellStyle name="Heading 1 3" xfId="421"/>
    <cellStyle name="Heading 1 3 2" xfId="422"/>
    <cellStyle name="Heading 1 3 2 2" xfId="423"/>
    <cellStyle name="Heading 1 3 2 2 2" xfId="424"/>
    <cellStyle name="Heading 1 3 3" xfId="425"/>
    <cellStyle name="Heading 1 4" xfId="426"/>
    <cellStyle name="Heading 1 4 2" xfId="427"/>
    <cellStyle name="Heading 2 2" xfId="428"/>
    <cellStyle name="Heading 2 2 2" xfId="429"/>
    <cellStyle name="Heading 2 2 3" xfId="430"/>
    <cellStyle name="Heading 2 2 4" xfId="431"/>
    <cellStyle name="Heading 2 3" xfId="432"/>
    <cellStyle name="Heading 2 3 2" xfId="433"/>
    <cellStyle name="Heading 2 3 2 2" xfId="434"/>
    <cellStyle name="Heading 2 3 2 2 2" xfId="435"/>
    <cellStyle name="Heading 2 3 3" xfId="436"/>
    <cellStyle name="Heading 2 4" xfId="437"/>
    <cellStyle name="Heading 2 4 2" xfId="438"/>
    <cellStyle name="Heading 3 2" xfId="439"/>
    <cellStyle name="Heading 3 2 2" xfId="440"/>
    <cellStyle name="Heading 3 2 3" xfId="441"/>
    <cellStyle name="Heading 3 2 4" xfId="442"/>
    <cellStyle name="Heading 3 3" xfId="443"/>
    <cellStyle name="Heading 3 3 2" xfId="444"/>
    <cellStyle name="Heading 3 3 2 2" xfId="445"/>
    <cellStyle name="Heading 3 3 2 2 2" xfId="446"/>
    <cellStyle name="Heading 3 3 3" xfId="447"/>
    <cellStyle name="Heading 3 4" xfId="448"/>
    <cellStyle name="Heading 3 4 2" xfId="449"/>
    <cellStyle name="Heading 4 2" xfId="450"/>
    <cellStyle name="Heading 4 2 2" xfId="451"/>
    <cellStyle name="Heading 4 2 3" xfId="452"/>
    <cellStyle name="Heading 4 2 4" xfId="453"/>
    <cellStyle name="Heading 4 3" xfId="454"/>
    <cellStyle name="Heading 4 3 2" xfId="455"/>
    <cellStyle name="Heading 4 3 2 2" xfId="456"/>
    <cellStyle name="Heading 4 3 2 2 2" xfId="457"/>
    <cellStyle name="Heading 4 3 3" xfId="458"/>
    <cellStyle name="Heading 4 4" xfId="459"/>
    <cellStyle name="Heading 4 4 2" xfId="460"/>
    <cellStyle name="Headline" xfId="461"/>
    <cellStyle name="Hyperlink" xfId="462" builtinId="8"/>
    <cellStyle name="Hyperlink 2" xfId="463"/>
    <cellStyle name="Input 2" xfId="464"/>
    <cellStyle name="Input 2 2" xfId="465"/>
    <cellStyle name="Input 2 3" xfId="466"/>
    <cellStyle name="Input 2 4" xfId="467"/>
    <cellStyle name="Input 3" xfId="468"/>
    <cellStyle name="Input 3 2" xfId="469"/>
    <cellStyle name="Input 3 2 2" xfId="470"/>
    <cellStyle name="Input 3 2 2 2" xfId="471"/>
    <cellStyle name="Input 3 3" xfId="472"/>
    <cellStyle name="Input 4" xfId="473"/>
    <cellStyle name="Input 4 2" xfId="474"/>
    <cellStyle name="Linked Cell 2" xfId="475"/>
    <cellStyle name="Linked Cell 2 2" xfId="476"/>
    <cellStyle name="Linked Cell 2 3" xfId="477"/>
    <cellStyle name="Linked Cell 2 4" xfId="478"/>
    <cellStyle name="Linked Cell 3" xfId="479"/>
    <cellStyle name="Linked Cell 3 2" xfId="480"/>
    <cellStyle name="Linked Cell 3 2 2" xfId="481"/>
    <cellStyle name="Linked Cell 3 2 2 2" xfId="482"/>
    <cellStyle name="Linked Cell 3 3" xfId="483"/>
    <cellStyle name="Linked Cell 4" xfId="484"/>
    <cellStyle name="Linked Cell 4 2" xfId="485"/>
    <cellStyle name="Neutral 2" xfId="486"/>
    <cellStyle name="Neutral 2 2" xfId="487"/>
    <cellStyle name="Neutral 2 3" xfId="488"/>
    <cellStyle name="Neutral 2 4" xfId="489"/>
    <cellStyle name="Neutral 3" xfId="490"/>
    <cellStyle name="Neutral 3 2" xfId="491"/>
    <cellStyle name="Neutral 3 2 2" xfId="492"/>
    <cellStyle name="Neutral 3 2 2 2" xfId="493"/>
    <cellStyle name="Neutral 3 3" xfId="494"/>
    <cellStyle name="Neutral 4" xfId="495"/>
    <cellStyle name="Neutral 4 2" xfId="496"/>
    <cellStyle name="Normal" xfId="0" builtinId="0"/>
    <cellStyle name="Normal 10" xfId="497"/>
    <cellStyle name="Normal 10 2" xfId="498"/>
    <cellStyle name="Normal 10 3" xfId="499"/>
    <cellStyle name="Normal 10 4" xfId="500"/>
    <cellStyle name="Normal 10 5" xfId="501"/>
    <cellStyle name="Normal 10 6" xfId="502"/>
    <cellStyle name="Normal 11" xfId="503"/>
    <cellStyle name="Normal 12" xfId="504"/>
    <cellStyle name="Normal 13" xfId="505"/>
    <cellStyle name="Normal 14" xfId="506"/>
    <cellStyle name="Normal 15" xfId="507"/>
    <cellStyle name="Normal 16" xfId="508"/>
    <cellStyle name="Normal 17" xfId="509"/>
    <cellStyle name="Normal 17 2" xfId="510"/>
    <cellStyle name="Normal 18" xfId="511"/>
    <cellStyle name="Normal 2" xfId="512"/>
    <cellStyle name="Normal 2 2" xfId="513"/>
    <cellStyle name="Normal 2 3" xfId="514"/>
    <cellStyle name="Normal 2 4" xfId="515"/>
    <cellStyle name="Normal 2 5" xfId="516"/>
    <cellStyle name="Normal 2 6" xfId="517"/>
    <cellStyle name="Normal 2 6 2" xfId="518"/>
    <cellStyle name="Normal 2 6 2 2" xfId="519"/>
    <cellStyle name="Normal 2 6 2 2 2" xfId="520"/>
    <cellStyle name="Normal 2 6 3" xfId="521"/>
    <cellStyle name="Normal 2 7" xfId="522"/>
    <cellStyle name="Normal 2 7 2" xfId="523"/>
    <cellStyle name="Normal 2_IA_NaturalGasIndustry_FuelCombustion_CO2" xfId="524"/>
    <cellStyle name="Normal 3" xfId="525"/>
    <cellStyle name="Normal 3 2" xfId="526"/>
    <cellStyle name="Normal 3 3" xfId="527"/>
    <cellStyle name="Normal 3 4" xfId="528"/>
    <cellStyle name="Normal 3 5" xfId="529"/>
    <cellStyle name="Normal 3 6" xfId="530"/>
    <cellStyle name="Normal 4" xfId="531"/>
    <cellStyle name="Normal 4 2" xfId="532"/>
    <cellStyle name="Normal 4 3" xfId="533"/>
    <cellStyle name="Normal 4 4" xfId="534"/>
    <cellStyle name="Normal 5" xfId="535"/>
    <cellStyle name="Normal 5 2" xfId="536"/>
    <cellStyle name="Normal 5 3" xfId="537"/>
    <cellStyle name="Normal 5 4" xfId="538"/>
    <cellStyle name="Normal 6" xfId="539"/>
    <cellStyle name="Normal 6 2" xfId="540"/>
    <cellStyle name="Normal 6 3" xfId="541"/>
    <cellStyle name="Normal 6 4" xfId="542"/>
    <cellStyle name="Normal 7" xfId="543"/>
    <cellStyle name="Normal 7 2" xfId="544"/>
    <cellStyle name="Normal 7 3" xfId="545"/>
    <cellStyle name="Normal 7 4" xfId="546"/>
    <cellStyle name="Normal 7 5" xfId="547"/>
    <cellStyle name="Normal 7 6" xfId="548"/>
    <cellStyle name="Normal 7 7" xfId="549"/>
    <cellStyle name="Normal 8" xfId="550"/>
    <cellStyle name="Normal 9" xfId="551"/>
    <cellStyle name="Normal 9 2" xfId="552"/>
    <cellStyle name="Normal 9 3" xfId="553"/>
    <cellStyle name="Normal 9 4" xfId="554"/>
    <cellStyle name="Normal 9 5" xfId="555"/>
    <cellStyle name="Normal 9 6" xfId="556"/>
    <cellStyle name="Normal GHG Numbers (0.00)" xfId="557"/>
    <cellStyle name="Normal GHG Textfiels Bold" xfId="558"/>
    <cellStyle name="Normal GHG whole table" xfId="559"/>
    <cellStyle name="Normal GHG-Shade" xfId="560"/>
    <cellStyle name="Normal_agtool additions" xfId="561"/>
    <cellStyle name="Normal_Book1" xfId="562"/>
    <cellStyle name="Normal_C_2" xfId="563"/>
    <cellStyle name="Normal_Coal Module_7.23" xfId="564"/>
    <cellStyle name="Normal_E_2" xfId="565"/>
    <cellStyle name="Normal_IA_NaturalGasIndustry_FuelCombustion_CO2" xfId="566"/>
    <cellStyle name="Normal_Non-highway" xfId="567"/>
    <cellStyle name="Normal_othergasolineuse" xfId="568"/>
    <cellStyle name="Normal_POULPOPS_rev" xfId="569"/>
    <cellStyle name="Normal_Sheet1" xfId="570"/>
    <cellStyle name="Normal_Sheet18" xfId="571"/>
    <cellStyle name="Normal_Sheet19" xfId="572"/>
    <cellStyle name="Normal_State Template" xfId="573"/>
    <cellStyle name="Normal_State Transportation Module 02.13.02" xfId="574"/>
    <cellStyle name="Normal_USDA" xfId="575"/>
    <cellStyle name="Note 2" xfId="576"/>
    <cellStyle name="Note 2 2" xfId="577"/>
    <cellStyle name="Note 2 3" xfId="578"/>
    <cellStyle name="Note 2 4" xfId="579"/>
    <cellStyle name="Note 3" xfId="580"/>
    <cellStyle name="Note 3 2" xfId="581"/>
    <cellStyle name="Note 3 2 2" xfId="582"/>
    <cellStyle name="Note 3 2 2 2" xfId="583"/>
    <cellStyle name="Note 3 3" xfId="584"/>
    <cellStyle name="Note 4" xfId="585"/>
    <cellStyle name="Note 4 2" xfId="586"/>
    <cellStyle name="Output 2" xfId="587"/>
    <cellStyle name="Output 2 2" xfId="588"/>
    <cellStyle name="Output 2 3" xfId="589"/>
    <cellStyle name="Output 2 4" xfId="590"/>
    <cellStyle name="Output 3" xfId="591"/>
    <cellStyle name="Output 3 2" xfId="592"/>
    <cellStyle name="Output 3 2 2" xfId="593"/>
    <cellStyle name="Output 3 2 2 2" xfId="594"/>
    <cellStyle name="Output 3 3" xfId="595"/>
    <cellStyle name="Output 4" xfId="596"/>
    <cellStyle name="Output 4 2" xfId="597"/>
    <cellStyle name="Pattern" xfId="598"/>
    <cellStyle name="Percent" xfId="599" builtinId="5"/>
    <cellStyle name="Percent 2" xfId="600"/>
    <cellStyle name="Style 35" xfId="601"/>
    <cellStyle name="Style 35 10" xfId="602"/>
    <cellStyle name="Style 35 11" xfId="603"/>
    <cellStyle name="Style 35 12" xfId="604"/>
    <cellStyle name="Style 35 13" xfId="605"/>
    <cellStyle name="Style 35 2" xfId="606"/>
    <cellStyle name="Style 35 3" xfId="607"/>
    <cellStyle name="Style 35 4" xfId="608"/>
    <cellStyle name="Style 35 5" xfId="609"/>
    <cellStyle name="Style 35 6" xfId="610"/>
    <cellStyle name="Style 35 7" xfId="611"/>
    <cellStyle name="Style 35 8" xfId="612"/>
    <cellStyle name="Style 35 9" xfId="613"/>
    <cellStyle name="Style 35_AR_Transportation_CO2" xfId="614"/>
    <cellStyle name="Style 36" xfId="615"/>
    <cellStyle name="Style 36 10" xfId="616"/>
    <cellStyle name="Style 36 11" xfId="617"/>
    <cellStyle name="Style 36 12" xfId="618"/>
    <cellStyle name="Style 36 13" xfId="619"/>
    <cellStyle name="Style 36 2" xfId="620"/>
    <cellStyle name="Style 36 3" xfId="621"/>
    <cellStyle name="Style 36 4" xfId="622"/>
    <cellStyle name="Style 36 5" xfId="623"/>
    <cellStyle name="Style 36 6" xfId="624"/>
    <cellStyle name="Style 36 7" xfId="625"/>
    <cellStyle name="Style 36 8" xfId="626"/>
    <cellStyle name="Style 36 9" xfId="627"/>
    <cellStyle name="Style 36_AR_Transportation_CO2" xfId="628"/>
    <cellStyle name="Title 2" xfId="629"/>
    <cellStyle name="Title 2 2" xfId="630"/>
    <cellStyle name="Title 2 3" xfId="631"/>
    <cellStyle name="Title 2 4" xfId="632"/>
    <cellStyle name="Title 3" xfId="633"/>
    <cellStyle name="Title 3 2" xfId="634"/>
    <cellStyle name="Title 3 2 2" xfId="635"/>
    <cellStyle name="Title 3 2 2 2" xfId="636"/>
    <cellStyle name="Title 3 3" xfId="637"/>
    <cellStyle name="Title 4" xfId="638"/>
    <cellStyle name="Title 4 2" xfId="639"/>
    <cellStyle name="Total 2" xfId="640"/>
    <cellStyle name="Total 2 2" xfId="641"/>
    <cellStyle name="Total 2 3" xfId="642"/>
    <cellStyle name="Total 2 4" xfId="643"/>
    <cellStyle name="Total 3" xfId="644"/>
    <cellStyle name="Total 3 2" xfId="645"/>
    <cellStyle name="Total 3 2 2" xfId="646"/>
    <cellStyle name="Total 3 2 2 2" xfId="647"/>
    <cellStyle name="Total 3 3" xfId="648"/>
    <cellStyle name="Total 4" xfId="649"/>
    <cellStyle name="Total 4 2" xfId="650"/>
    <cellStyle name="Warning Text 2" xfId="651"/>
    <cellStyle name="Warning Text 2 2" xfId="652"/>
    <cellStyle name="Warning Text 2 3" xfId="653"/>
    <cellStyle name="Warning Text 2 4" xfId="654"/>
    <cellStyle name="Warning Text 3" xfId="655"/>
    <cellStyle name="Warning Text 3 2" xfId="656"/>
    <cellStyle name="Warning Text 3 2 2" xfId="657"/>
    <cellStyle name="Warning Text 3 2 2 2" xfId="658"/>
    <cellStyle name="Warning Text 3 3" xfId="659"/>
    <cellStyle name="Warning Text 4" xfId="660"/>
    <cellStyle name="Warning Text 4 2" xfId="661"/>
  </cellStyles>
  <dxfs count="2">
    <dxf>
      <font>
        <condense val="0"/>
        <extend val="0"/>
        <color auto="1"/>
      </font>
      <fill>
        <patternFill>
          <bgColor indexed="43"/>
        </patternFill>
      </fill>
      <border>
        <left style="thin">
          <color indexed="64"/>
        </left>
        <right style="thin">
          <color indexed="64"/>
        </right>
        <top style="thin">
          <color indexed="64"/>
        </top>
        <bottom style="thin">
          <color indexed="64"/>
        </bottom>
      </border>
    </dxf>
    <dxf>
      <font>
        <condense val="0"/>
        <extend val="0"/>
        <color indexed="9"/>
      </font>
      <border>
        <left/>
        <right/>
        <top/>
        <bottom/>
      </border>
    </dxf>
  </dxfs>
  <tableStyles count="0" defaultTableStyle="TableStyleMedium9" defaultPivotStyle="PivotStyleLight16"/>
  <colors>
    <mruColors>
      <color rgb="FFFFFFCC"/>
    </mruColors>
  </colors>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4.xml"/><Relationship Id="rId39" Type="http://schemas.openxmlformats.org/officeDocument/2006/relationships/externalLink" Target="externalLinks/externalLink17.xml"/><Relationship Id="rId21" Type="http://schemas.openxmlformats.org/officeDocument/2006/relationships/worksheet" Target="worksheets/sheet21.xml"/><Relationship Id="rId34" Type="http://schemas.openxmlformats.org/officeDocument/2006/relationships/externalLink" Target="externalLinks/externalLink12.xml"/><Relationship Id="rId42"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7.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2.xml"/><Relationship Id="rId32" Type="http://schemas.openxmlformats.org/officeDocument/2006/relationships/externalLink" Target="externalLinks/externalLink10.xml"/><Relationship Id="rId37" Type="http://schemas.openxmlformats.org/officeDocument/2006/relationships/externalLink" Target="externalLinks/externalLink15.xml"/><Relationship Id="rId40" Type="http://schemas.openxmlformats.org/officeDocument/2006/relationships/theme" Target="theme/theme1.xml"/><Relationship Id="rId45"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28" Type="http://schemas.openxmlformats.org/officeDocument/2006/relationships/externalLink" Target="externalLinks/externalLink6.xml"/><Relationship Id="rId36" Type="http://schemas.openxmlformats.org/officeDocument/2006/relationships/externalLink" Target="externalLinks/externalLink14.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9.xml"/><Relationship Id="rId44"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5.xml"/><Relationship Id="rId30" Type="http://schemas.openxmlformats.org/officeDocument/2006/relationships/externalLink" Target="externalLinks/externalLink8.xml"/><Relationship Id="rId35" Type="http://schemas.openxmlformats.org/officeDocument/2006/relationships/externalLink" Target="externalLinks/externalLink13.xml"/><Relationship Id="rId43"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3.xml"/><Relationship Id="rId33" Type="http://schemas.openxmlformats.org/officeDocument/2006/relationships/externalLink" Target="externalLinks/externalLink11.xml"/><Relationship Id="rId38" Type="http://schemas.openxmlformats.org/officeDocument/2006/relationships/externalLink" Target="externalLinks/externalLink16.xml"/><Relationship Id="rId46" Type="http://schemas.openxmlformats.org/officeDocument/2006/relationships/customXml" Target="../customXml/item3.xml"/><Relationship Id="rId20" Type="http://schemas.openxmlformats.org/officeDocument/2006/relationships/worksheet" Target="worksheets/sheet20.xml"/><Relationship Id="rId41"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900" b="1" i="0" u="none" strike="noStrike" baseline="0">
                <a:solidFill>
                  <a:srgbClr val="000000"/>
                </a:solidFill>
                <a:latin typeface="Calibri"/>
                <a:ea typeface="Calibri"/>
                <a:cs typeface="Calibri"/>
              </a:defRPr>
            </a:pPr>
            <a:r>
              <a:rPr lang="en-US"/>
              <a:t>MD Gross Electricity Generation</a:t>
            </a:r>
          </a:p>
        </c:rich>
      </c:tx>
      <c:layout>
        <c:manualLayout>
          <c:xMode val="edge"/>
          <c:yMode val="edge"/>
          <c:x val="0.36995186358677346"/>
          <c:y val="3.1941031941031942E-2"/>
        </c:manualLayout>
      </c:layout>
      <c:spPr>
        <a:noFill/>
        <a:ln w="25400">
          <a:noFill/>
        </a:ln>
      </c:spPr>
    </c:title>
    <c:view3D>
      <c:hPercent val="46"/>
      <c:rotY val="30"/>
      <c:depthPercent val="100"/>
      <c:rAngAx val="1"/>
    </c:view3D>
    <c:floor>
      <c:spPr>
        <a:solidFill>
          <a:srgbClr val="C0C0C0"/>
        </a:solidFill>
        <a:ln w="3175">
          <a:solidFill>
            <a:srgbClr val="000000"/>
          </a:solidFill>
          <a:prstDash val="solid"/>
        </a:ln>
      </c:spPr>
    </c:floor>
    <c:sideWall>
      <c:spPr>
        <a:solidFill>
          <a:srgbClr val="C0C0C0"/>
        </a:solidFill>
        <a:ln w="12700">
          <a:solidFill>
            <a:srgbClr val="808080"/>
          </a:solidFill>
          <a:prstDash val="solid"/>
        </a:ln>
      </c:spPr>
    </c:sideWall>
    <c:backWall>
      <c:spPr>
        <a:solidFill>
          <a:srgbClr val="C0C0C0"/>
        </a:solidFill>
        <a:ln w="12700">
          <a:solidFill>
            <a:srgbClr val="808080"/>
          </a:solidFill>
          <a:prstDash val="solid"/>
        </a:ln>
      </c:spPr>
    </c:backWall>
    <c:plotArea>
      <c:layout>
        <c:manualLayout>
          <c:layoutTarget val="inner"/>
          <c:xMode val="edge"/>
          <c:yMode val="edge"/>
          <c:x val="0.1211632619737467"/>
          <c:y val="0.29975429975430062"/>
          <c:w val="0.85298936429517658"/>
          <c:h val="0.51597051597051602"/>
        </c:manualLayout>
      </c:layout>
      <c:area3DChart>
        <c:grouping val="stacked"/>
        <c:ser>
          <c:idx val="0"/>
          <c:order val="0"/>
          <c:tx>
            <c:strRef>
              <c:f>'Imported Electricity'!$B$17</c:f>
              <c:strCache>
                <c:ptCount val="1"/>
                <c:pt idx="0">
                  <c:v>Coal</c:v>
                </c:pt>
              </c:strCache>
            </c:strRef>
          </c:tx>
          <c:spPr>
            <a:solidFill>
              <a:srgbClr val="9999FF"/>
            </a:solidFill>
            <a:ln w="12700">
              <a:solidFill>
                <a:srgbClr val="000000"/>
              </a:solidFill>
              <a:prstDash val="solid"/>
            </a:ln>
          </c:spPr>
          <c:cat>
            <c:numRef>
              <c:f>'Imported Electricity'!$C$16:$W$16</c:f>
              <c:numCache>
                <c:formatCode>General</c:formatCode>
                <c:ptCount val="21"/>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numCache>
            </c:numRef>
          </c:cat>
          <c:val>
            <c:numRef>
              <c:f>'Imported Electricity'!$C$17:$W$17</c:f>
              <c:numCache>
                <c:formatCode>#,##0</c:formatCode>
                <c:ptCount val="21"/>
                <c:pt idx="0">
                  <c:v>25624758</c:v>
                </c:pt>
                <c:pt idx="1">
                  <c:v>27595256</c:v>
                </c:pt>
                <c:pt idx="2">
                  <c:v>27992005</c:v>
                </c:pt>
                <c:pt idx="3">
                  <c:v>27620925</c:v>
                </c:pt>
                <c:pt idx="4">
                  <c:v>29294727</c:v>
                </c:pt>
                <c:pt idx="5">
                  <c:v>29687655</c:v>
                </c:pt>
                <c:pt idx="6">
                  <c:v>29451065</c:v>
                </c:pt>
                <c:pt idx="7">
                  <c:v>28379409</c:v>
                </c:pt>
                <c:pt idx="8">
                  <c:v>28712053</c:v>
                </c:pt>
                <c:pt idx="9">
                  <c:v>29939086</c:v>
                </c:pt>
                <c:pt idx="10">
                  <c:v>29195458</c:v>
                </c:pt>
                <c:pt idx="11">
                  <c:v>29302792</c:v>
                </c:pt>
                <c:pt idx="12">
                  <c:v>29408022</c:v>
                </c:pt>
                <c:pt idx="13">
                  <c:v>29699186</c:v>
                </c:pt>
                <c:pt idx="14">
                  <c:v>27218239</c:v>
                </c:pt>
                <c:pt idx="15" formatCode="_(* #,##0_);_(* \(#,##0\);_(* &quot;-&quot;??_);_(@_)">
                  <c:v>24162345</c:v>
                </c:pt>
                <c:pt idx="16" formatCode="_(* #,##0_);_(* \(#,##0\);_(* &quot;-&quot;??_);_(@_)">
                  <c:v>23668204</c:v>
                </c:pt>
                <c:pt idx="17" formatCode="_(* #,##0_);_(* \(#,##0\);_(* &quot;-&quot;??_);_(@_)">
                  <c:v>21186919</c:v>
                </c:pt>
                <c:pt idx="18" formatCode="_(* #,##0_);_(* \(#,##0\);_(* &quot;-&quot;??_);_(@_)">
                  <c:v>16184773</c:v>
                </c:pt>
                <c:pt idx="19" formatCode="_(* #,##0_);_(* \(#,##0\);_(* &quot;-&quot;??_);_(@_)">
                  <c:v>15538469</c:v>
                </c:pt>
                <c:pt idx="20" formatCode="_(* #,##0_);_(* \(#,##0\);_(* &quot;-&quot;??_);_(@_)">
                  <c:v>17603291</c:v>
                </c:pt>
              </c:numCache>
            </c:numRef>
          </c:val>
        </c:ser>
        <c:ser>
          <c:idx val="1"/>
          <c:order val="1"/>
          <c:tx>
            <c:strRef>
              <c:f>'Imported Electricity'!$B$18</c:f>
              <c:strCache>
                <c:ptCount val="1"/>
                <c:pt idx="0">
                  <c:v>Petroleum</c:v>
                </c:pt>
              </c:strCache>
            </c:strRef>
          </c:tx>
          <c:spPr>
            <a:solidFill>
              <a:srgbClr val="993366"/>
            </a:solidFill>
            <a:ln w="12700">
              <a:solidFill>
                <a:srgbClr val="000000"/>
              </a:solidFill>
              <a:prstDash val="solid"/>
            </a:ln>
          </c:spPr>
          <c:cat>
            <c:numRef>
              <c:f>'Imported Electricity'!$C$16:$W$16</c:f>
              <c:numCache>
                <c:formatCode>General</c:formatCode>
                <c:ptCount val="21"/>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numCache>
            </c:numRef>
          </c:cat>
          <c:val>
            <c:numRef>
              <c:f>'Imported Electricity'!$C$18:$W$18</c:f>
              <c:numCache>
                <c:formatCode>#,##0</c:formatCode>
                <c:ptCount val="21"/>
                <c:pt idx="0">
                  <c:v>4275226</c:v>
                </c:pt>
                <c:pt idx="1">
                  <c:v>1479469</c:v>
                </c:pt>
                <c:pt idx="2">
                  <c:v>1472027</c:v>
                </c:pt>
                <c:pt idx="3">
                  <c:v>1565010</c:v>
                </c:pt>
                <c:pt idx="4">
                  <c:v>3454350</c:v>
                </c:pt>
                <c:pt idx="5">
                  <c:v>4290788</c:v>
                </c:pt>
                <c:pt idx="6">
                  <c:v>2388595</c:v>
                </c:pt>
                <c:pt idx="7">
                  <c:v>3021639</c:v>
                </c:pt>
                <c:pt idx="8">
                  <c:v>2282432</c:v>
                </c:pt>
                <c:pt idx="9">
                  <c:v>3572183</c:v>
                </c:pt>
                <c:pt idx="10">
                  <c:v>3296842</c:v>
                </c:pt>
                <c:pt idx="11">
                  <c:v>3805569</c:v>
                </c:pt>
                <c:pt idx="12">
                  <c:v>580726</c:v>
                </c:pt>
                <c:pt idx="13">
                  <c:v>984831</c:v>
                </c:pt>
                <c:pt idx="14">
                  <c:v>405840</c:v>
                </c:pt>
                <c:pt idx="15" formatCode="_(* #,##0_);_(* \(#,##0\);_(* &quot;-&quot;??_);_(@_)">
                  <c:v>329901</c:v>
                </c:pt>
                <c:pt idx="16" formatCode="_(* #,##0_);_(* \(#,##0\);_(* &quot;-&quot;??_);_(@_)">
                  <c:v>322438</c:v>
                </c:pt>
                <c:pt idx="17" formatCode="_(* #,##0_);_(* \(#,##0\);_(* &quot;-&quot;??_);_(@_)">
                  <c:v>219804</c:v>
                </c:pt>
                <c:pt idx="18" formatCode="_(* #,##0_);_(* \(#,##0\);_(* &quot;-&quot;??_);_(@_)">
                  <c:v>137305</c:v>
                </c:pt>
                <c:pt idx="19" formatCode="_(* #,##0_);_(* \(#,##0\);_(* &quot;-&quot;??_);_(@_)">
                  <c:v>189553</c:v>
                </c:pt>
                <c:pt idx="20" formatCode="_(* #,##0_);_(* \(#,##0\);_(* &quot;-&quot;??_);_(@_)">
                  <c:v>463456</c:v>
                </c:pt>
              </c:numCache>
            </c:numRef>
          </c:val>
        </c:ser>
        <c:ser>
          <c:idx val="2"/>
          <c:order val="2"/>
          <c:tx>
            <c:strRef>
              <c:f>'Imported Electricity'!$B$19</c:f>
              <c:strCache>
                <c:ptCount val="1"/>
                <c:pt idx="0">
                  <c:v>Natural Gas</c:v>
                </c:pt>
              </c:strCache>
            </c:strRef>
          </c:tx>
          <c:spPr>
            <a:solidFill>
              <a:srgbClr val="FFFFCC"/>
            </a:solidFill>
            <a:ln w="12700">
              <a:solidFill>
                <a:srgbClr val="000000"/>
              </a:solidFill>
              <a:prstDash val="solid"/>
            </a:ln>
          </c:spPr>
          <c:cat>
            <c:numRef>
              <c:f>'Imported Electricity'!$C$16:$W$16</c:f>
              <c:numCache>
                <c:formatCode>General</c:formatCode>
                <c:ptCount val="21"/>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numCache>
            </c:numRef>
          </c:cat>
          <c:val>
            <c:numRef>
              <c:f>'Imported Electricity'!$C$19:$W$19</c:f>
              <c:numCache>
                <c:formatCode>#,##0</c:formatCode>
                <c:ptCount val="21"/>
                <c:pt idx="0">
                  <c:v>1172042</c:v>
                </c:pt>
                <c:pt idx="1">
                  <c:v>1548884</c:v>
                </c:pt>
                <c:pt idx="2">
                  <c:v>987627</c:v>
                </c:pt>
                <c:pt idx="3">
                  <c:v>1412585</c:v>
                </c:pt>
                <c:pt idx="4">
                  <c:v>1990596</c:v>
                </c:pt>
                <c:pt idx="5">
                  <c:v>2125193</c:v>
                </c:pt>
                <c:pt idx="6">
                  <c:v>2852876</c:v>
                </c:pt>
                <c:pt idx="7">
                  <c:v>1760812</c:v>
                </c:pt>
                <c:pt idx="8">
                  <c:v>2214431</c:v>
                </c:pt>
                <c:pt idx="9">
                  <c:v>1195642</c:v>
                </c:pt>
                <c:pt idx="10">
                  <c:v>1183301</c:v>
                </c:pt>
                <c:pt idx="11">
                  <c:v>1886986</c:v>
                </c:pt>
                <c:pt idx="12">
                  <c:v>1770206</c:v>
                </c:pt>
                <c:pt idx="13">
                  <c:v>2240927</c:v>
                </c:pt>
                <c:pt idx="14">
                  <c:v>1848147</c:v>
                </c:pt>
                <c:pt idx="15" formatCode="_(* #,##0_);_(* \(#,##0\);_(* &quot;-&quot;??_);_(@_)">
                  <c:v>1767844</c:v>
                </c:pt>
                <c:pt idx="16" formatCode="_(* #,##0_);_(* \(#,##0\);_(* &quot;-&quot;??_);_(@_)">
                  <c:v>2896978</c:v>
                </c:pt>
                <c:pt idx="17" formatCode="_(* #,##0_);_(* \(#,##0\);_(* &quot;-&quot;??_);_(@_)">
                  <c:v>2236976</c:v>
                </c:pt>
                <c:pt idx="18" formatCode="_(* #,##0_);_(* \(#,##0\);_(* &quot;-&quot;??_);_(@_)">
                  <c:v>4944895</c:v>
                </c:pt>
                <c:pt idx="19" formatCode="_(* #,##0_);_(* \(#,##0\);_(* &quot;-&quot;??_);_(@_)">
                  <c:v>2887589</c:v>
                </c:pt>
                <c:pt idx="20" formatCode="_(* #,##0_);_(* \(#,##0\);_(* &quot;-&quot;??_);_(@_)">
                  <c:v>2505890</c:v>
                </c:pt>
              </c:numCache>
            </c:numRef>
          </c:val>
        </c:ser>
        <c:ser>
          <c:idx val="3"/>
          <c:order val="3"/>
          <c:tx>
            <c:strRef>
              <c:f>'Imported Electricity'!$B$20</c:f>
              <c:strCache>
                <c:ptCount val="1"/>
                <c:pt idx="0">
                  <c:v>Other Gases</c:v>
                </c:pt>
              </c:strCache>
            </c:strRef>
          </c:tx>
          <c:spPr>
            <a:solidFill>
              <a:srgbClr val="CCFFFF"/>
            </a:solidFill>
            <a:ln w="12700">
              <a:solidFill>
                <a:srgbClr val="000000"/>
              </a:solidFill>
              <a:prstDash val="solid"/>
            </a:ln>
          </c:spPr>
          <c:cat>
            <c:numRef>
              <c:f>'Imported Electricity'!$C$16:$W$16</c:f>
              <c:numCache>
                <c:formatCode>General</c:formatCode>
                <c:ptCount val="21"/>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numCache>
            </c:numRef>
          </c:cat>
          <c:val>
            <c:numRef>
              <c:f>'Imported Electricity'!$C$20:$W$20</c:f>
              <c:numCache>
                <c:formatCode>#,##0</c:formatCode>
                <c:ptCount val="21"/>
                <c:pt idx="0">
                  <c:v>501762</c:v>
                </c:pt>
                <c:pt idx="1">
                  <c:v>685721</c:v>
                </c:pt>
                <c:pt idx="2">
                  <c:v>539335</c:v>
                </c:pt>
                <c:pt idx="3">
                  <c:v>564036</c:v>
                </c:pt>
                <c:pt idx="4">
                  <c:v>82316</c:v>
                </c:pt>
                <c:pt idx="5">
                  <c:v>59891</c:v>
                </c:pt>
                <c:pt idx="6">
                  <c:v>74572</c:v>
                </c:pt>
                <c:pt idx="7">
                  <c:v>439980</c:v>
                </c:pt>
                <c:pt idx="8">
                  <c:v>504513</c:v>
                </c:pt>
                <c:pt idx="9">
                  <c:v>325355</c:v>
                </c:pt>
                <c:pt idx="10">
                  <c:v>411565</c:v>
                </c:pt>
                <c:pt idx="11">
                  <c:v>342466</c:v>
                </c:pt>
                <c:pt idx="12">
                  <c:v>332444</c:v>
                </c:pt>
                <c:pt idx="13">
                  <c:v>377560</c:v>
                </c:pt>
                <c:pt idx="14">
                  <c:v>337823</c:v>
                </c:pt>
                <c:pt idx="15" formatCode="_(* #,##0_);_(* \(#,##0\);_(* &quot;-&quot;??_);_(@_)">
                  <c:v>269182</c:v>
                </c:pt>
                <c:pt idx="16" formatCode="_(* #,##0_);_(* \(#,##0\);_(* &quot;-&quot;??_);_(@_)">
                  <c:v>214727</c:v>
                </c:pt>
                <c:pt idx="17" formatCode="_(* #,##0_);_(* \(#,##0\);_(* &quot;-&quot;??_);_(@_)">
                  <c:v>154641</c:v>
                </c:pt>
                <c:pt idx="18" formatCode="_(* #,##0_);_(* \(#,##0\);_(* &quot;-&quot;??_);_(@_)">
                  <c:v>112314</c:v>
                </c:pt>
                <c:pt idx="19" formatCode="_(* #,##0_);_(* \(#,##0\);_(* &quot;-&quot;??_);_(@_)">
                  <c:v>0</c:v>
                </c:pt>
                <c:pt idx="20" formatCode="_(* #,##0_);_(* \(#,##0\);_(* &quot;-&quot;??_);_(@_)">
                  <c:v>0</c:v>
                </c:pt>
              </c:numCache>
            </c:numRef>
          </c:val>
        </c:ser>
        <c:ser>
          <c:idx val="4"/>
          <c:order val="4"/>
          <c:tx>
            <c:strRef>
              <c:f>'Imported Electricity'!$B$21</c:f>
              <c:strCache>
                <c:ptCount val="1"/>
                <c:pt idx="0">
                  <c:v>Nuclear</c:v>
                </c:pt>
              </c:strCache>
            </c:strRef>
          </c:tx>
          <c:spPr>
            <a:solidFill>
              <a:srgbClr val="660066"/>
            </a:solidFill>
            <a:ln w="12700">
              <a:solidFill>
                <a:srgbClr val="000000"/>
              </a:solidFill>
              <a:prstDash val="solid"/>
            </a:ln>
          </c:spPr>
          <c:cat>
            <c:numRef>
              <c:f>'Imported Electricity'!$C$16:$W$16</c:f>
              <c:numCache>
                <c:formatCode>General</c:formatCode>
                <c:ptCount val="21"/>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numCache>
            </c:numRef>
          </c:cat>
          <c:val>
            <c:numRef>
              <c:f>'Imported Electricity'!$C$21:$W$21</c:f>
              <c:numCache>
                <c:formatCode>#,##0</c:formatCode>
                <c:ptCount val="21"/>
                <c:pt idx="0">
                  <c:v>11235408</c:v>
                </c:pt>
                <c:pt idx="1">
                  <c:v>12937971</c:v>
                </c:pt>
                <c:pt idx="2">
                  <c:v>12092768</c:v>
                </c:pt>
                <c:pt idx="3">
                  <c:v>13212967</c:v>
                </c:pt>
                <c:pt idx="4">
                  <c:v>13330598</c:v>
                </c:pt>
                <c:pt idx="5">
                  <c:v>13312335</c:v>
                </c:pt>
                <c:pt idx="6">
                  <c:v>13827243</c:v>
                </c:pt>
                <c:pt idx="7">
                  <c:v>13656267</c:v>
                </c:pt>
                <c:pt idx="8">
                  <c:v>12128005</c:v>
                </c:pt>
                <c:pt idx="9">
                  <c:v>13690713</c:v>
                </c:pt>
                <c:pt idx="10">
                  <c:v>14580260</c:v>
                </c:pt>
                <c:pt idx="11">
                  <c:v>14703221</c:v>
                </c:pt>
                <c:pt idx="12">
                  <c:v>13830411</c:v>
                </c:pt>
                <c:pt idx="13">
                  <c:v>14353192</c:v>
                </c:pt>
                <c:pt idx="14">
                  <c:v>14678695</c:v>
                </c:pt>
                <c:pt idx="15" formatCode="_(* #,##0_);_(* \(#,##0\);_(* &quot;-&quot;??_);_(@_)">
                  <c:v>14550119</c:v>
                </c:pt>
                <c:pt idx="16" formatCode="_(* #,##0_);_(* \(#,##0\);_(* &quot;-&quot;??_);_(@_)">
                  <c:v>13993948</c:v>
                </c:pt>
                <c:pt idx="17" formatCode="_(* #,##0_);_(* \(#,##0\);_(* &quot;-&quot;??_);_(@_)">
                  <c:v>14397437</c:v>
                </c:pt>
                <c:pt idx="18" formatCode="_(* #,##0_);_(* \(#,##0\);_(* &quot;-&quot;??_);_(@_)">
                  <c:v>13579266</c:v>
                </c:pt>
                <c:pt idx="19" formatCode="_(* #,##0_);_(* \(#,##0\);_(* &quot;-&quot;??_);_(@_)">
                  <c:v>14264305</c:v>
                </c:pt>
                <c:pt idx="20" formatCode="_(* #,##0_);_(* \(#,##0\);_(* &quot;-&quot;??_);_(@_)">
                  <c:v>14343334</c:v>
                </c:pt>
              </c:numCache>
            </c:numRef>
          </c:val>
        </c:ser>
        <c:ser>
          <c:idx val="5"/>
          <c:order val="5"/>
          <c:tx>
            <c:strRef>
              <c:f>'Imported Electricity'!$B$22</c:f>
              <c:strCache>
                <c:ptCount val="1"/>
                <c:pt idx="0">
                  <c:v>Hydroelectric Conventional</c:v>
                </c:pt>
              </c:strCache>
            </c:strRef>
          </c:tx>
          <c:spPr>
            <a:solidFill>
              <a:srgbClr val="FF8080"/>
            </a:solidFill>
            <a:ln w="12700">
              <a:solidFill>
                <a:srgbClr val="000000"/>
              </a:solidFill>
              <a:prstDash val="solid"/>
            </a:ln>
          </c:spPr>
          <c:cat>
            <c:numRef>
              <c:f>'Imported Electricity'!$C$16:$W$16</c:f>
              <c:numCache>
                <c:formatCode>General</c:formatCode>
                <c:ptCount val="21"/>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numCache>
            </c:numRef>
          </c:cat>
          <c:val>
            <c:numRef>
              <c:f>'Imported Electricity'!$C$22:$W$22</c:f>
              <c:numCache>
                <c:formatCode>#,##0</c:formatCode>
                <c:ptCount val="21"/>
                <c:pt idx="0">
                  <c:v>2009536</c:v>
                </c:pt>
                <c:pt idx="1">
                  <c:v>1442006</c:v>
                </c:pt>
                <c:pt idx="2">
                  <c:v>2457463</c:v>
                </c:pt>
                <c:pt idx="3">
                  <c:v>1588375</c:v>
                </c:pt>
                <c:pt idx="4">
                  <c:v>1739737</c:v>
                </c:pt>
                <c:pt idx="5">
                  <c:v>1424197</c:v>
                </c:pt>
                <c:pt idx="6">
                  <c:v>1732619</c:v>
                </c:pt>
                <c:pt idx="7">
                  <c:v>1183518</c:v>
                </c:pt>
                <c:pt idx="8">
                  <c:v>1660989</c:v>
                </c:pt>
                <c:pt idx="9">
                  <c:v>2646984</c:v>
                </c:pt>
                <c:pt idx="10">
                  <c:v>2507521</c:v>
                </c:pt>
                <c:pt idx="11">
                  <c:v>1703639</c:v>
                </c:pt>
                <c:pt idx="12">
                  <c:v>2104275</c:v>
                </c:pt>
                <c:pt idx="13">
                  <c:v>1652216</c:v>
                </c:pt>
                <c:pt idx="14">
                  <c:v>1974078</c:v>
                </c:pt>
                <c:pt idx="15" formatCode="_(* #,##0_);_(* \(#,##0\);_(* &quot;-&quot;??_);_(@_)">
                  <c:v>1888769</c:v>
                </c:pt>
                <c:pt idx="16" formatCode="_(* #,##0_);_(* \(#,##0\);_(* &quot;-&quot;??_);_(@_)">
                  <c:v>1667397</c:v>
                </c:pt>
                <c:pt idx="17" formatCode="_(* #,##0_);_(* \(#,##0\);_(* &quot;-&quot;??_);_(@_)">
                  <c:v>2540908</c:v>
                </c:pt>
                <c:pt idx="18" formatCode="_(* #,##0_);_(* \(#,##0\);_(* &quot;-&quot;??_);_(@_)">
                  <c:v>1656539</c:v>
                </c:pt>
                <c:pt idx="19" formatCode="_(* #,##0_);_(* \(#,##0\);_(* &quot;-&quot;??_);_(@_)">
                  <c:v>1727020</c:v>
                </c:pt>
                <c:pt idx="20" formatCode="_(* #,##0_);_(* \(#,##0\);_(* &quot;-&quot;??_);_(@_)">
                  <c:v>1615523</c:v>
                </c:pt>
              </c:numCache>
            </c:numRef>
          </c:val>
        </c:ser>
        <c:ser>
          <c:idx val="6"/>
          <c:order val="6"/>
          <c:tx>
            <c:strRef>
              <c:f>'Imported Electricity'!$B$23</c:f>
              <c:strCache>
                <c:ptCount val="1"/>
                <c:pt idx="0">
                  <c:v>Wind</c:v>
                </c:pt>
              </c:strCache>
            </c:strRef>
          </c:tx>
          <c:spPr>
            <a:solidFill>
              <a:srgbClr val="0066CC"/>
            </a:solidFill>
            <a:ln w="12700">
              <a:solidFill>
                <a:srgbClr val="000000"/>
              </a:solidFill>
              <a:prstDash val="solid"/>
            </a:ln>
          </c:spPr>
          <c:cat>
            <c:numRef>
              <c:f>'Imported Electricity'!$C$16:$W$16</c:f>
              <c:numCache>
                <c:formatCode>General</c:formatCode>
                <c:ptCount val="21"/>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numCache>
            </c:numRef>
          </c:cat>
          <c:val>
            <c:numRef>
              <c:f>'Imported Electricity'!$C$23:$W$23</c:f>
              <c:numCache>
                <c:formatCode>#,##0</c:formatCode>
                <c:ptCount val="21"/>
                <c:pt idx="16" formatCode="_(* #,##0_);_(* \(#,##0\);_(* &quot;-&quot;??_);_(@_)">
                  <c:v>1494</c:v>
                </c:pt>
                <c:pt idx="17" formatCode="_(* #,##0_);_(* \(#,##0\);_(* &quot;-&quot;??_);_(@_)">
                  <c:v>319254</c:v>
                </c:pt>
                <c:pt idx="18" formatCode="_(* #,##0_);_(* \(#,##0\);_(* &quot;-&quot;??_);_(@_)">
                  <c:v>321687</c:v>
                </c:pt>
                <c:pt idx="19" formatCode="_(* #,##0_);_(* \(#,##0\);_(* &quot;-&quot;??_);_(@_)">
                  <c:v>321670</c:v>
                </c:pt>
                <c:pt idx="20" formatCode="_(* #,##0_);_(* \(#,##0\);_(* &quot;-&quot;??_);_(@_)">
                  <c:v>323612</c:v>
                </c:pt>
              </c:numCache>
            </c:numRef>
          </c:val>
        </c:ser>
        <c:ser>
          <c:idx val="7"/>
          <c:order val="7"/>
          <c:tx>
            <c:strRef>
              <c:f>'Imported Electricity'!$B$24</c:f>
              <c:strCache>
                <c:ptCount val="1"/>
                <c:pt idx="0">
                  <c:v>Solar Thermal and Photovoltaic</c:v>
                </c:pt>
              </c:strCache>
            </c:strRef>
          </c:tx>
          <c:spPr>
            <a:solidFill>
              <a:srgbClr val="CCCCFF"/>
            </a:solidFill>
            <a:ln w="12700">
              <a:solidFill>
                <a:srgbClr val="000000"/>
              </a:solidFill>
              <a:prstDash val="solid"/>
            </a:ln>
          </c:spPr>
          <c:cat>
            <c:numRef>
              <c:f>'Imported Electricity'!$C$16:$W$16</c:f>
              <c:numCache>
                <c:formatCode>General</c:formatCode>
                <c:ptCount val="21"/>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numCache>
            </c:numRef>
          </c:cat>
          <c:val>
            <c:numRef>
              <c:f>'Imported Electricity'!$C$24:$W$24</c:f>
              <c:numCache>
                <c:formatCode>#,##0</c:formatCode>
                <c:ptCount val="21"/>
                <c:pt idx="16" formatCode="_(* #,##0_);_(* \(#,##0\);_(* &quot;-&quot;??_);_(@_)">
                  <c:v>80</c:v>
                </c:pt>
                <c:pt idx="17" formatCode="_(* #,##0_);_(* \(#,##0\);_(* &quot;-&quot;??_);_(@_)">
                  <c:v>2070</c:v>
                </c:pt>
                <c:pt idx="18" formatCode="_(* #,##0_);_(* \(#,##0\);_(* &quot;-&quot;??_);_(@_)">
                  <c:v>22473</c:v>
                </c:pt>
                <c:pt idx="19" formatCode="_(* #,##0_);_(* \(#,##0\);_(* &quot;-&quot;??_);_(@_)">
                  <c:v>63485</c:v>
                </c:pt>
                <c:pt idx="20" formatCode="_(* #,##0_);_(* \(#,##0\);_(* &quot;-&quot;??_);_(@_)">
                  <c:v>98118</c:v>
                </c:pt>
              </c:numCache>
            </c:numRef>
          </c:val>
        </c:ser>
        <c:ser>
          <c:idx val="8"/>
          <c:order val="8"/>
          <c:tx>
            <c:strRef>
              <c:f>'Imported Electricity'!$B$25</c:f>
              <c:strCache>
                <c:ptCount val="1"/>
                <c:pt idx="0">
                  <c:v>Wood and Wood Derived Fuels</c:v>
                </c:pt>
              </c:strCache>
            </c:strRef>
          </c:tx>
          <c:spPr>
            <a:solidFill>
              <a:srgbClr val="000080"/>
            </a:solidFill>
            <a:ln w="12700">
              <a:solidFill>
                <a:srgbClr val="000000"/>
              </a:solidFill>
              <a:prstDash val="solid"/>
            </a:ln>
          </c:spPr>
          <c:cat>
            <c:numRef>
              <c:f>'Imported Electricity'!$C$16:$W$16</c:f>
              <c:numCache>
                <c:formatCode>General</c:formatCode>
                <c:ptCount val="21"/>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numCache>
            </c:numRef>
          </c:cat>
          <c:val>
            <c:numRef>
              <c:f>'Imported Electricity'!$C$25:$W$25</c:f>
              <c:numCache>
                <c:formatCode>#,##0</c:formatCode>
                <c:ptCount val="21"/>
                <c:pt idx="0">
                  <c:v>168822</c:v>
                </c:pt>
                <c:pt idx="1">
                  <c:v>175144</c:v>
                </c:pt>
                <c:pt idx="2">
                  <c:v>167554</c:v>
                </c:pt>
                <c:pt idx="3">
                  <c:v>155906</c:v>
                </c:pt>
                <c:pt idx="4">
                  <c:v>155647</c:v>
                </c:pt>
                <c:pt idx="5">
                  <c:v>171088</c:v>
                </c:pt>
                <c:pt idx="6">
                  <c:v>179580</c:v>
                </c:pt>
                <c:pt idx="7">
                  <c:v>11939</c:v>
                </c:pt>
                <c:pt idx="8">
                  <c:v>182904</c:v>
                </c:pt>
                <c:pt idx="9">
                  <c:v>225240</c:v>
                </c:pt>
                <c:pt idx="10">
                  <c:v>192384</c:v>
                </c:pt>
                <c:pt idx="11">
                  <c:v>205985</c:v>
                </c:pt>
                <c:pt idx="12">
                  <c:v>218066</c:v>
                </c:pt>
                <c:pt idx="13">
                  <c:v>203097</c:v>
                </c:pt>
                <c:pt idx="14">
                  <c:v>197704</c:v>
                </c:pt>
                <c:pt idx="15" formatCode="_(* #,##0_);_(* \(#,##0\);_(* &quot;-&quot;??_);_(@_)">
                  <c:v>175058</c:v>
                </c:pt>
                <c:pt idx="16" formatCode="_(* #,##0_);_(* \(#,##0\);_(* &quot;-&quot;??_);_(@_)">
                  <c:v>164688</c:v>
                </c:pt>
                <c:pt idx="17" formatCode="_(* #,##0_);_(* \(#,##0\);_(* &quot;-&quot;??_);_(@_)">
                  <c:v>167437</c:v>
                </c:pt>
                <c:pt idx="18" formatCode="_(* #,##0_);_(* \(#,##0\);_(* &quot;-&quot;??_);_(@_)">
                  <c:v>158953</c:v>
                </c:pt>
                <c:pt idx="19" formatCode="_(* #,##0_);_(* \(#,##0\);_(* &quot;-&quot;??_);_(@_)">
                  <c:v>142789</c:v>
                </c:pt>
                <c:pt idx="20" formatCode="_(* #,##0_);_(* \(#,##0\);_(* &quot;-&quot;??_);_(@_)">
                  <c:v>150426</c:v>
                </c:pt>
              </c:numCache>
            </c:numRef>
          </c:val>
        </c:ser>
        <c:ser>
          <c:idx val="9"/>
          <c:order val="9"/>
          <c:tx>
            <c:strRef>
              <c:f>'Imported Electricity'!$B$26</c:f>
              <c:strCache>
                <c:ptCount val="1"/>
                <c:pt idx="0">
                  <c:v>Other Biomass</c:v>
                </c:pt>
              </c:strCache>
            </c:strRef>
          </c:tx>
          <c:spPr>
            <a:solidFill>
              <a:srgbClr val="FF00FF"/>
            </a:solidFill>
            <a:ln w="12700">
              <a:solidFill>
                <a:srgbClr val="000000"/>
              </a:solidFill>
              <a:prstDash val="solid"/>
            </a:ln>
          </c:spPr>
          <c:cat>
            <c:numRef>
              <c:f>'Imported Electricity'!$C$16:$W$16</c:f>
              <c:numCache>
                <c:formatCode>General</c:formatCode>
                <c:ptCount val="21"/>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numCache>
            </c:numRef>
          </c:cat>
          <c:val>
            <c:numRef>
              <c:f>'Imported Electricity'!$C$26:$W$26</c:f>
              <c:numCache>
                <c:formatCode>#,##0</c:formatCode>
                <c:ptCount val="21"/>
                <c:pt idx="0">
                  <c:v>352064</c:v>
                </c:pt>
                <c:pt idx="1">
                  <c:v>501192</c:v>
                </c:pt>
                <c:pt idx="2">
                  <c:v>565838</c:v>
                </c:pt>
                <c:pt idx="3">
                  <c:v>587592</c:v>
                </c:pt>
                <c:pt idx="4">
                  <c:v>605046</c:v>
                </c:pt>
                <c:pt idx="5">
                  <c:v>614474</c:v>
                </c:pt>
                <c:pt idx="6">
                  <c:v>638830</c:v>
                </c:pt>
                <c:pt idx="7">
                  <c:v>361076</c:v>
                </c:pt>
                <c:pt idx="8">
                  <c:v>338727</c:v>
                </c:pt>
                <c:pt idx="9">
                  <c:v>370811</c:v>
                </c:pt>
                <c:pt idx="10">
                  <c:v>396824</c:v>
                </c:pt>
                <c:pt idx="11">
                  <c:v>417380</c:v>
                </c:pt>
                <c:pt idx="12">
                  <c:v>408095</c:v>
                </c:pt>
                <c:pt idx="13">
                  <c:v>400364</c:v>
                </c:pt>
                <c:pt idx="14">
                  <c:v>414781</c:v>
                </c:pt>
                <c:pt idx="15" formatCode="_(* #,##0_);_(* \(#,##0\);_(* &quot;-&quot;??_);_(@_)">
                  <c:v>375721</c:v>
                </c:pt>
                <c:pt idx="16" formatCode="_(* #,##0_);_(* \(#,##0\);_(* &quot;-&quot;??_);_(@_)">
                  <c:v>407402</c:v>
                </c:pt>
                <c:pt idx="17" formatCode="_(* #,##0_);_(* \(#,##0\);_(* &quot;-&quot;??_);_(@_)">
                  <c:v>420114</c:v>
                </c:pt>
                <c:pt idx="18" formatCode="_(* #,##0_);_(* \(#,##0\);_(* &quot;-&quot;??_);_(@_)">
                  <c:v>395039</c:v>
                </c:pt>
                <c:pt idx="19" formatCode="_(* #,##0_);_(* \(#,##0\);_(* &quot;-&quot;??_);_(@_)">
                  <c:v>413220</c:v>
                </c:pt>
                <c:pt idx="20" formatCode="_(* #,##0_);_(* \(#,##0\);_(* &quot;-&quot;??_);_(@_)">
                  <c:v>416719</c:v>
                </c:pt>
              </c:numCache>
            </c:numRef>
          </c:val>
        </c:ser>
        <c:ser>
          <c:idx val="10"/>
          <c:order val="10"/>
          <c:tx>
            <c:strRef>
              <c:f>'Imported Electricity'!$B$27</c:f>
              <c:strCache>
                <c:ptCount val="1"/>
                <c:pt idx="0">
                  <c:v>Other</c:v>
                </c:pt>
              </c:strCache>
            </c:strRef>
          </c:tx>
          <c:spPr>
            <a:solidFill>
              <a:srgbClr val="FFFF00"/>
            </a:solidFill>
            <a:ln w="12700">
              <a:solidFill>
                <a:srgbClr val="000000"/>
              </a:solidFill>
              <a:prstDash val="solid"/>
            </a:ln>
          </c:spPr>
          <c:cat>
            <c:numRef>
              <c:f>'Imported Electricity'!$C$16:$W$16</c:f>
              <c:numCache>
                <c:formatCode>General</c:formatCode>
                <c:ptCount val="21"/>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numCache>
            </c:numRef>
          </c:cat>
          <c:val>
            <c:numRef>
              <c:f>'Imported Electricity'!$C$27:$W$27</c:f>
              <c:numCache>
                <c:formatCode>General</c:formatCode>
                <c:ptCount val="21"/>
                <c:pt idx="7" formatCode="#,##0">
                  <c:v>247700</c:v>
                </c:pt>
                <c:pt idx="8" formatCode="#,##0">
                  <c:v>255034</c:v>
                </c:pt>
                <c:pt idx="9" formatCode="#,##0">
                  <c:v>278224</c:v>
                </c:pt>
                <c:pt idx="10" formatCode="#,##0">
                  <c:v>288616</c:v>
                </c:pt>
                <c:pt idx="11" formatCode="#,##0">
                  <c:v>293561</c:v>
                </c:pt>
                <c:pt idx="12" formatCode="#,##0">
                  <c:v>304635</c:v>
                </c:pt>
                <c:pt idx="13" formatCode="#,##0">
                  <c:v>286550</c:v>
                </c:pt>
                <c:pt idx="14" formatCode="#,##0">
                  <c:v>285645</c:v>
                </c:pt>
                <c:pt idx="15" formatCode="_(* #,##0_);_(* \(#,##0\);_(* &quot;-&quot;??_);_(@_)">
                  <c:v>255893</c:v>
                </c:pt>
                <c:pt idx="16" formatCode="_(* #,##0_);_(* \(#,##0\);_(* &quot;-&quot;??_);_(@_)">
                  <c:v>269907</c:v>
                </c:pt>
                <c:pt idx="17" formatCode="_(* #,##0_);_(* \(#,##0\);_(* &quot;-&quot;??_);_(@_)">
                  <c:v>267727</c:v>
                </c:pt>
                <c:pt idx="18" formatCode="_(* #,##0_);_(* \(#,##0\);_(* &quot;-&quot;??_);_(@_)">
                  <c:v>296499</c:v>
                </c:pt>
                <c:pt idx="19" formatCode="_(* #,##0_);_(* \(#,##0\);_(* &quot;-&quot;??_);_(@_)">
                  <c:v>302712</c:v>
                </c:pt>
                <c:pt idx="20" formatCode="_(* #,##0_);_(* \(#,##0\);_(* &quot;-&quot;??_);_(@_)">
                  <c:v>313284</c:v>
                </c:pt>
              </c:numCache>
            </c:numRef>
          </c:val>
        </c:ser>
        <c:gapDepth val="20"/>
        <c:axId val="236745856"/>
        <c:axId val="236747776"/>
        <c:axId val="0"/>
      </c:area3DChart>
      <c:catAx>
        <c:axId val="236745856"/>
        <c:scaling>
          <c:orientation val="minMax"/>
        </c:scaling>
        <c:axPos val="b"/>
        <c:title>
          <c:tx>
            <c:rich>
              <a:bodyPr rot="-5400000" vert="horz"/>
              <a:lstStyle/>
              <a:p>
                <a:pPr algn="ctr">
                  <a:defRPr sz="1000" b="1" i="0" u="none" strike="noStrike" baseline="0">
                    <a:solidFill>
                      <a:srgbClr val="000000"/>
                    </a:solidFill>
                    <a:latin typeface="Calibri"/>
                    <a:ea typeface="Calibri"/>
                    <a:cs typeface="Calibri"/>
                  </a:defRPr>
                </a:pPr>
                <a:r>
                  <a:rPr lang="en-US"/>
                  <a:t>MWh</a:t>
                </a:r>
              </a:p>
            </c:rich>
          </c:tx>
          <c:layout>
            <c:manualLayout>
              <c:xMode val="edge"/>
              <c:yMode val="edge"/>
              <c:x val="3.2310164416698914E-2"/>
              <c:y val="0.5479115479115475"/>
            </c:manualLayout>
          </c:layout>
          <c:spPr>
            <a:noFill/>
            <a:ln w="25400">
              <a:noFill/>
            </a:ln>
          </c:spPr>
        </c:title>
        <c:numFmt formatCode="General" sourceLinked="1"/>
        <c:tickLblPos val="low"/>
        <c:spPr>
          <a:ln w="3175">
            <a:solidFill>
              <a:srgbClr val="000000"/>
            </a:solidFill>
            <a:prstDash val="solid"/>
          </a:ln>
        </c:spPr>
        <c:txPr>
          <a:bodyPr rot="0" vert="horz"/>
          <a:lstStyle/>
          <a:p>
            <a:pPr>
              <a:defRPr sz="800" b="0" i="0" u="none" strike="noStrike" baseline="0">
                <a:solidFill>
                  <a:srgbClr val="000000"/>
                </a:solidFill>
                <a:latin typeface="Calibri"/>
                <a:ea typeface="Calibri"/>
                <a:cs typeface="Calibri"/>
              </a:defRPr>
            </a:pPr>
            <a:endParaRPr lang="en-US"/>
          </a:p>
        </c:txPr>
        <c:crossAx val="236747776"/>
        <c:crosses val="autoZero"/>
        <c:auto val="1"/>
        <c:lblAlgn val="ctr"/>
        <c:lblOffset val="100"/>
        <c:tickLblSkip val="2"/>
        <c:tickMarkSkip val="1"/>
      </c:catAx>
      <c:valAx>
        <c:axId val="236747776"/>
        <c:scaling>
          <c:orientation val="minMax"/>
        </c:scaling>
        <c:axPos val="l"/>
        <c:majorGridlines>
          <c:spPr>
            <a:ln w="3175">
              <a:solidFill>
                <a:srgbClr val="000000"/>
              </a:solidFill>
              <a:prstDash val="solid"/>
            </a:ln>
          </c:spPr>
        </c:majorGridlines>
        <c:numFmt formatCode="#,##0" sourceLinked="1"/>
        <c:tickLblPos val="nextTo"/>
        <c:spPr>
          <a:ln w="3175">
            <a:solidFill>
              <a:srgbClr val="000000"/>
            </a:solidFill>
            <a:prstDash val="solid"/>
          </a:ln>
        </c:spPr>
        <c:txPr>
          <a:bodyPr rot="0" vert="horz"/>
          <a:lstStyle/>
          <a:p>
            <a:pPr>
              <a:defRPr sz="800" b="0" i="0" u="none" strike="noStrike" baseline="0">
                <a:solidFill>
                  <a:srgbClr val="000000"/>
                </a:solidFill>
                <a:latin typeface="Calibri"/>
                <a:ea typeface="Calibri"/>
                <a:cs typeface="Calibri"/>
              </a:defRPr>
            </a:pPr>
            <a:endParaRPr lang="en-US"/>
          </a:p>
        </c:txPr>
        <c:crossAx val="236745856"/>
        <c:crosses val="autoZero"/>
        <c:crossBetween val="midCat"/>
      </c:valAx>
      <c:spPr>
        <a:noFill/>
        <a:ln w="25400">
          <a:noFill/>
        </a:ln>
      </c:spPr>
    </c:plotArea>
    <c:legend>
      <c:legendPos val="t"/>
      <c:layout>
        <c:manualLayout>
          <c:xMode val="edge"/>
          <c:yMode val="edge"/>
          <c:x val="2.4232588456323499E-2"/>
          <c:y val="0.12285012285012289"/>
          <c:w val="0.9547664111707157"/>
          <c:h val="0.14742014742014775"/>
        </c:manualLayout>
      </c:layout>
      <c:spPr>
        <a:solidFill>
          <a:srgbClr val="FFFFFF"/>
        </a:solidFill>
        <a:ln w="3175">
          <a:solidFill>
            <a:srgbClr val="000000"/>
          </a:solidFill>
          <a:prstDash val="solid"/>
        </a:ln>
      </c:spPr>
      <c:txPr>
        <a:bodyPr/>
        <a:lstStyle/>
        <a:p>
          <a:pPr>
            <a:defRPr sz="630" b="0" i="0" u="none" strike="noStrike" baseline="0">
              <a:solidFill>
                <a:srgbClr val="000000"/>
              </a:solidFill>
              <a:latin typeface="Calibri"/>
              <a:ea typeface="Calibri"/>
              <a:cs typeface="Calibri"/>
            </a:defRPr>
          </a:pPr>
          <a:endParaRPr lang="en-US"/>
        </a:p>
      </c:txPr>
    </c:legend>
    <c:plotVisOnly val="1"/>
    <c:dispBlanksAs val="zero"/>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000000000000167" r="0.75000000000000167" t="1" header="0.5" footer="0.5"/>
    <c:pageSetup/>
  </c:printSettings>
</c:chartSpace>
</file>

<file path=xl/drawings/_rels/drawing4.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oneCellAnchor>
    <xdr:from>
      <xdr:col>7</xdr:col>
      <xdr:colOff>381000</xdr:colOff>
      <xdr:row>15</xdr:row>
      <xdr:rowOff>19050</xdr:rowOff>
    </xdr:from>
    <xdr:ext cx="184731" cy="264560"/>
    <xdr:sp macro="" textlink="">
      <xdr:nvSpPr>
        <xdr:cNvPr id="3" name="TextBox 2"/>
        <xdr:cNvSpPr txBox="1"/>
      </xdr:nvSpPr>
      <xdr:spPr>
        <a:xfrm>
          <a:off x="8867775" y="339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oneCellAnchor>
    <xdr:from>
      <xdr:col>1</xdr:col>
      <xdr:colOff>965433</xdr:colOff>
      <xdr:row>10</xdr:row>
      <xdr:rowOff>45402</xdr:rowOff>
    </xdr:from>
    <xdr:ext cx="3607694" cy="1695187"/>
    <xdr:sp macro="" textlink="">
      <xdr:nvSpPr>
        <xdr:cNvPr id="4" name="Rectangle 3"/>
        <xdr:cNvSpPr/>
      </xdr:nvSpPr>
      <xdr:spPr>
        <a:xfrm rot="19201739">
          <a:off x="1422633" y="2350452"/>
          <a:ext cx="3607694" cy="1695187"/>
        </a:xfrm>
        <a:prstGeom prst="rect">
          <a:avLst/>
        </a:prstGeom>
        <a:noFill/>
      </xdr:spPr>
      <xdr:txBody>
        <a:bodyPr wrap="square" lIns="91440" tIns="45720" rIns="91440" bIns="45720">
          <a:noAutofit/>
        </a:bodyPr>
        <a:lstStyle/>
        <a:p>
          <a:pPr algn="ctr"/>
          <a:r>
            <a:rPr lang="en-US" sz="9600" b="1" cap="none" spc="50">
              <a:ln w="13500">
                <a:solidFill>
                  <a:schemeClr val="accent1">
                    <a:shade val="2500"/>
                    <a:alpha val="6500"/>
                  </a:schemeClr>
                </a:solidFill>
                <a:prstDash val="solid"/>
              </a:ln>
              <a:solidFill>
                <a:schemeClr val="accent1">
                  <a:tint val="3000"/>
                  <a:alpha val="95000"/>
                </a:schemeClr>
              </a:solidFill>
              <a:effectLst>
                <a:innerShdw blurRad="50900" dist="38500" dir="13500000">
                  <a:srgbClr val="000000">
                    <a:alpha val="60000"/>
                  </a:srgbClr>
                </a:innerShdw>
              </a:effectLst>
            </a:rPr>
            <a:t>FINAL</a:t>
          </a:r>
        </a:p>
      </xdr:txBody>
    </xdr:sp>
    <xdr:clientData/>
  </xdr:oneCellAnchor>
  <xdr:oneCellAnchor>
    <xdr:from>
      <xdr:col>1</xdr:col>
      <xdr:colOff>857250</xdr:colOff>
      <xdr:row>50</xdr:row>
      <xdr:rowOff>47625</xdr:rowOff>
    </xdr:from>
    <xdr:ext cx="3607694" cy="1695187"/>
    <xdr:sp macro="" textlink="">
      <xdr:nvSpPr>
        <xdr:cNvPr id="5" name="Rectangle 4"/>
        <xdr:cNvSpPr/>
      </xdr:nvSpPr>
      <xdr:spPr>
        <a:xfrm rot="19201739">
          <a:off x="1314450" y="11001375"/>
          <a:ext cx="3607694" cy="1695187"/>
        </a:xfrm>
        <a:prstGeom prst="rect">
          <a:avLst/>
        </a:prstGeom>
        <a:noFill/>
      </xdr:spPr>
      <xdr:txBody>
        <a:bodyPr wrap="square" lIns="91440" tIns="45720" rIns="91440" bIns="45720">
          <a:noAutofit/>
        </a:bodyPr>
        <a:lstStyle/>
        <a:p>
          <a:pPr algn="ctr"/>
          <a:r>
            <a:rPr lang="en-US" sz="9600" b="1" cap="none" spc="50">
              <a:ln w="13500">
                <a:solidFill>
                  <a:schemeClr val="accent1">
                    <a:shade val="2500"/>
                    <a:alpha val="6500"/>
                  </a:schemeClr>
                </a:solidFill>
                <a:prstDash val="solid"/>
              </a:ln>
              <a:solidFill>
                <a:schemeClr val="accent1">
                  <a:tint val="3000"/>
                  <a:alpha val="95000"/>
                </a:schemeClr>
              </a:solidFill>
              <a:effectLst>
                <a:innerShdw blurRad="50900" dist="38500" dir="13500000">
                  <a:srgbClr val="000000">
                    <a:alpha val="60000"/>
                  </a:srgbClr>
                </a:innerShdw>
              </a:effectLst>
            </a:rPr>
            <a:t>FINAL</a:t>
          </a:r>
        </a:p>
      </xdr:txBody>
    </xdr:sp>
    <xdr:clientData/>
  </xdr:oneCellAnchor>
  <xdr:oneCellAnchor>
    <xdr:from>
      <xdr:col>1</xdr:col>
      <xdr:colOff>942975</xdr:colOff>
      <xdr:row>91</xdr:row>
      <xdr:rowOff>47625</xdr:rowOff>
    </xdr:from>
    <xdr:ext cx="3607694" cy="1695187"/>
    <xdr:sp macro="" textlink="">
      <xdr:nvSpPr>
        <xdr:cNvPr id="6" name="Rectangle 5"/>
        <xdr:cNvSpPr/>
      </xdr:nvSpPr>
      <xdr:spPr>
        <a:xfrm rot="19201739">
          <a:off x="1400175" y="19916775"/>
          <a:ext cx="3607694" cy="1695187"/>
        </a:xfrm>
        <a:prstGeom prst="rect">
          <a:avLst/>
        </a:prstGeom>
        <a:noFill/>
      </xdr:spPr>
      <xdr:txBody>
        <a:bodyPr wrap="square" lIns="91440" tIns="45720" rIns="91440" bIns="45720">
          <a:noAutofit/>
        </a:bodyPr>
        <a:lstStyle/>
        <a:p>
          <a:pPr algn="ctr"/>
          <a:r>
            <a:rPr lang="en-US" sz="9600" b="1" cap="none" spc="50">
              <a:ln w="13500">
                <a:solidFill>
                  <a:schemeClr val="accent1">
                    <a:shade val="2500"/>
                    <a:alpha val="6500"/>
                  </a:schemeClr>
                </a:solidFill>
                <a:prstDash val="solid"/>
              </a:ln>
              <a:solidFill>
                <a:schemeClr val="accent1">
                  <a:tint val="3000"/>
                  <a:alpha val="95000"/>
                </a:schemeClr>
              </a:solidFill>
              <a:effectLst>
                <a:innerShdw blurRad="50900" dist="38500" dir="13500000">
                  <a:srgbClr val="000000">
                    <a:alpha val="60000"/>
                  </a:srgbClr>
                </a:innerShdw>
              </a:effectLst>
            </a:rPr>
            <a:t>FINAL</a:t>
          </a:r>
        </a:p>
      </xdr:txBody>
    </xdr:sp>
    <xdr:clientData/>
  </xdr:oneCellAnchor>
  <xdr:oneCellAnchor>
    <xdr:from>
      <xdr:col>1</xdr:col>
      <xdr:colOff>800101</xdr:colOff>
      <xdr:row>142</xdr:row>
      <xdr:rowOff>171450</xdr:rowOff>
    </xdr:from>
    <xdr:ext cx="3607694" cy="1695187"/>
    <xdr:sp macro="" textlink="">
      <xdr:nvSpPr>
        <xdr:cNvPr id="7" name="Rectangle 6"/>
        <xdr:cNvSpPr/>
      </xdr:nvSpPr>
      <xdr:spPr>
        <a:xfrm rot="19201739">
          <a:off x="1257301" y="31165800"/>
          <a:ext cx="3607694" cy="1695187"/>
        </a:xfrm>
        <a:prstGeom prst="rect">
          <a:avLst/>
        </a:prstGeom>
        <a:noFill/>
      </xdr:spPr>
      <xdr:txBody>
        <a:bodyPr wrap="square" lIns="91440" tIns="45720" rIns="91440" bIns="45720">
          <a:noAutofit/>
        </a:bodyPr>
        <a:lstStyle/>
        <a:p>
          <a:pPr algn="ctr"/>
          <a:r>
            <a:rPr lang="en-US" sz="9600" b="1" cap="none" spc="50">
              <a:ln w="13500">
                <a:solidFill>
                  <a:schemeClr val="accent1">
                    <a:shade val="2500"/>
                    <a:alpha val="6500"/>
                  </a:schemeClr>
                </a:solidFill>
                <a:prstDash val="solid"/>
              </a:ln>
              <a:solidFill>
                <a:schemeClr val="accent1">
                  <a:tint val="3000"/>
                  <a:alpha val="95000"/>
                </a:schemeClr>
              </a:solidFill>
              <a:effectLst>
                <a:innerShdw blurRad="50900" dist="38500" dir="13500000">
                  <a:srgbClr val="000000">
                    <a:alpha val="60000"/>
                  </a:srgbClr>
                </a:innerShdw>
              </a:effectLst>
            </a:rPr>
            <a:t>FINAL</a:t>
          </a:r>
        </a:p>
      </xdr:txBody>
    </xdr:sp>
    <xdr:clientData/>
  </xdr:oneCellAnchor>
  <xdr:oneCellAnchor>
    <xdr:from>
      <xdr:col>1</xdr:col>
      <xdr:colOff>1047750</xdr:colOff>
      <xdr:row>176</xdr:row>
      <xdr:rowOff>76199</xdr:rowOff>
    </xdr:from>
    <xdr:ext cx="3607694" cy="1695187"/>
    <xdr:sp macro="" textlink="">
      <xdr:nvSpPr>
        <xdr:cNvPr id="8" name="Rectangle 7"/>
        <xdr:cNvSpPr/>
      </xdr:nvSpPr>
      <xdr:spPr>
        <a:xfrm rot="19430449">
          <a:off x="1504950" y="38204774"/>
          <a:ext cx="3607694" cy="1695187"/>
        </a:xfrm>
        <a:prstGeom prst="rect">
          <a:avLst/>
        </a:prstGeom>
        <a:noFill/>
      </xdr:spPr>
      <xdr:txBody>
        <a:bodyPr wrap="square" lIns="91440" tIns="45720" rIns="91440" bIns="45720">
          <a:noAutofit/>
        </a:bodyPr>
        <a:lstStyle/>
        <a:p>
          <a:pPr algn="ctr"/>
          <a:r>
            <a:rPr lang="en-US" sz="9600" b="1" cap="none" spc="50">
              <a:ln w="13500">
                <a:solidFill>
                  <a:schemeClr val="accent1">
                    <a:shade val="2500"/>
                    <a:alpha val="6500"/>
                  </a:schemeClr>
                </a:solidFill>
                <a:prstDash val="solid"/>
              </a:ln>
              <a:solidFill>
                <a:schemeClr val="accent1">
                  <a:tint val="3000"/>
                  <a:alpha val="95000"/>
                </a:schemeClr>
              </a:solidFill>
              <a:effectLst>
                <a:innerShdw blurRad="50900" dist="38500" dir="13500000">
                  <a:srgbClr val="000000">
                    <a:alpha val="60000"/>
                  </a:srgbClr>
                </a:innerShdw>
              </a:effectLst>
            </a:rPr>
            <a:t>FINAL</a:t>
          </a: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171450</xdr:colOff>
      <xdr:row>1</xdr:row>
      <xdr:rowOff>104775</xdr:rowOff>
    </xdr:from>
    <xdr:to>
      <xdr:col>8</xdr:col>
      <xdr:colOff>1009650</xdr:colOff>
      <xdr:row>1</xdr:row>
      <xdr:rowOff>866775</xdr:rowOff>
    </xdr:to>
    <xdr:sp macro="" textlink="">
      <xdr:nvSpPr>
        <xdr:cNvPr id="1834002" name="Text Box 79"/>
        <xdr:cNvSpPr txBox="1">
          <a:spLocks noChangeArrowheads="1"/>
        </xdr:cNvSpPr>
      </xdr:nvSpPr>
      <xdr:spPr bwMode="auto">
        <a:xfrm>
          <a:off x="704850" y="561975"/>
          <a:ext cx="8553450" cy="762000"/>
        </a:xfrm>
        <a:prstGeom prst="rect">
          <a:avLst/>
        </a:prstGeom>
        <a:solidFill>
          <a:srgbClr val="C0C0C0"/>
        </a:solidFill>
        <a:ln w="3175">
          <a:solidFill>
            <a:srgbClr val="000000"/>
          </a:solidFill>
          <a:miter lim="800000"/>
          <a:headEnd/>
          <a:tailEnd/>
        </a:ln>
      </xdr:spPr>
      <xdr:txBody>
        <a:bodyPr vertOverflow="clip" wrap="square" lIns="27432" tIns="22860" rIns="0" bIns="0" anchor="t" upright="1"/>
        <a:lstStyle/>
        <a:p>
          <a:pPr algn="l" rtl="0">
            <a:defRPr sz="1000"/>
          </a:pPr>
          <a:r>
            <a:rPr lang="en-US" sz="800" b="0" i="0" u="none" strike="noStrike" baseline="0">
              <a:solidFill>
                <a:srgbClr val="000000"/>
              </a:solidFill>
              <a:latin typeface="Arial"/>
              <a:cs typeface="Arial"/>
            </a:rPr>
            <a:t>CO</a:t>
          </a:r>
          <a:r>
            <a:rPr lang="en-US" sz="800" b="0" i="0" u="none" strike="noStrike" baseline="-25000">
              <a:solidFill>
                <a:srgbClr val="000000"/>
              </a:solidFill>
              <a:latin typeface="Arial"/>
              <a:cs typeface="Arial"/>
            </a:rPr>
            <a:t>2</a:t>
          </a:r>
          <a:r>
            <a:rPr lang="en-US" sz="800" b="0" i="0" u="none" strike="noStrike" baseline="0">
              <a:solidFill>
                <a:srgbClr val="000000"/>
              </a:solidFill>
              <a:latin typeface="Arial"/>
              <a:cs typeface="Arial"/>
            </a:rPr>
            <a:t> emissions from fossil fuel combustion in the industrial sector are calculated by first subtracting non-energy consumption multiplied by carbon storage factors from the energy consumption for each fuel type.  The resulting combustible consumption for each fuel is then multiplied by a carbon content coefficient and by the percentage of carbon oxidized during combustion ("combustion efficiency").  The resulting fuel emissions, in pounds of carbon, are then converted to short tons of carbon and million metric tons of carbon equivalent (MMTCE), then to million metric tons of carbon dioxide equivalent (MMTCO</a:t>
          </a:r>
          <a:r>
            <a:rPr lang="en-US" sz="800" b="0" i="0" u="none" strike="noStrike" baseline="-25000">
              <a:solidFill>
                <a:srgbClr val="000000"/>
              </a:solidFill>
              <a:latin typeface="Arial"/>
              <a:cs typeface="Arial"/>
            </a:rPr>
            <a:t>2</a:t>
          </a:r>
          <a:r>
            <a:rPr lang="en-US" sz="800" b="0" i="0" u="none" strike="noStrike" baseline="0">
              <a:solidFill>
                <a:srgbClr val="000000"/>
              </a:solidFill>
              <a:latin typeface="Arial"/>
              <a:cs typeface="Arial"/>
            </a:rPr>
            <a:t>E), and summed.  For further detail on this method, refer to CO</a:t>
          </a:r>
          <a:r>
            <a:rPr lang="en-US" sz="800" b="0" i="0" u="none" strike="noStrike" baseline="-25000">
              <a:solidFill>
                <a:srgbClr val="000000"/>
              </a:solidFill>
              <a:latin typeface="Arial"/>
              <a:cs typeface="Arial"/>
            </a:rPr>
            <a:t>2</a:t>
          </a:r>
          <a:r>
            <a:rPr lang="en-US" sz="800" b="0" i="0" u="none" strike="noStrike" baseline="0">
              <a:solidFill>
                <a:srgbClr val="000000"/>
              </a:solidFill>
              <a:latin typeface="Arial"/>
              <a:cs typeface="Arial"/>
            </a:rPr>
            <a:t>FFC Chapter in the User's Guide.</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219075</xdr:colOff>
      <xdr:row>1</xdr:row>
      <xdr:rowOff>38100</xdr:rowOff>
    </xdr:from>
    <xdr:to>
      <xdr:col>15</xdr:col>
      <xdr:colOff>171450</xdr:colOff>
      <xdr:row>1</xdr:row>
      <xdr:rowOff>2676525</xdr:rowOff>
    </xdr:to>
    <xdr:sp macro="" textlink="">
      <xdr:nvSpPr>
        <xdr:cNvPr id="1849358" name="Text Box 79"/>
        <xdr:cNvSpPr txBox="1">
          <a:spLocks noChangeArrowheads="1"/>
        </xdr:cNvSpPr>
      </xdr:nvSpPr>
      <xdr:spPr bwMode="auto">
        <a:xfrm>
          <a:off x="219075" y="457200"/>
          <a:ext cx="9915525" cy="2638425"/>
        </a:xfrm>
        <a:prstGeom prst="rect">
          <a:avLst/>
        </a:prstGeom>
        <a:solidFill>
          <a:srgbClr val="C0C0C0"/>
        </a:solidFill>
        <a:ln w="3175">
          <a:solidFill>
            <a:srgbClr val="000000"/>
          </a:solidFill>
          <a:miter lim="800000"/>
          <a:headEnd/>
          <a:tailEnd/>
        </a:ln>
      </xdr:spPr>
      <xdr:txBody>
        <a:bodyPr vertOverflow="clip" wrap="square" lIns="27432" tIns="22860" rIns="0" bIns="0" anchor="t" upright="1"/>
        <a:lstStyle/>
        <a:p>
          <a:pPr algn="l" rtl="0">
            <a:defRPr sz="1000"/>
          </a:pPr>
          <a:r>
            <a:rPr lang="en-US" sz="800" b="1" i="0" u="none" strike="noStrike" baseline="0">
              <a:solidFill>
                <a:srgbClr val="000000"/>
              </a:solidFill>
              <a:latin typeface="Arial"/>
              <a:cs typeface="Arial"/>
            </a:rPr>
            <a:t>Limestone</a:t>
          </a:r>
          <a:endParaRPr lang="en-US" sz="800" b="0" i="0" u="none" strike="noStrike" baseline="0">
            <a:solidFill>
              <a:srgbClr val="000000"/>
            </a:solidFill>
            <a:latin typeface="Arial"/>
            <a:cs typeface="Arial"/>
          </a:endParaRPr>
        </a:p>
        <a:p>
          <a:pPr algn="l" rtl="0">
            <a:defRPr sz="1000"/>
          </a:pPr>
          <a:r>
            <a:rPr lang="en-US" sz="800" b="0" i="0" u="none" strike="noStrike" baseline="0">
              <a:solidFill>
                <a:srgbClr val="000000"/>
              </a:solidFill>
              <a:latin typeface="Arial"/>
              <a:cs typeface="Arial"/>
            </a:rPr>
            <a:t>Emissions from limestone and dolomite use result from industrial consumption.  The quantities of limestone consumed for industrial purposes, dolomite consumed for industrial purposes, and magnesium produced from dolomite are multiplied by their respective emission factors.  Industrial uses include the consumption of limestone and dolomite for flux stone production, glass manufacturing, flue gas desulfurization (FGD), Mg production through the thermic reduction of dolomite, chemical stone manufacturing, mine dusting or acid water treatment, acid neutralization, and sugar refining. </a:t>
          </a:r>
        </a:p>
        <a:p>
          <a:pPr algn="l" rtl="0">
            <a:defRPr sz="1000"/>
          </a:pPr>
          <a:endParaRPr lang="en-US" sz="800" b="0" i="0" u="none" strike="noStrike" baseline="0">
            <a:solidFill>
              <a:srgbClr val="000000"/>
            </a:solidFill>
            <a:latin typeface="Arial"/>
            <a:cs typeface="Arial"/>
          </a:endParaRPr>
        </a:p>
        <a:p>
          <a:pPr algn="l" rtl="0">
            <a:defRPr sz="1000"/>
          </a:pPr>
          <a:r>
            <a:rPr lang="en-US" sz="800" b="1" i="0" u="none" strike="noStrike" baseline="0">
              <a:solidFill>
                <a:srgbClr val="000000"/>
              </a:solidFill>
              <a:latin typeface="Arial"/>
              <a:cs typeface="Arial"/>
            </a:rPr>
            <a:t>Soda Ash</a:t>
          </a:r>
          <a:endParaRPr lang="en-US" sz="800" b="0" i="0" u="none" strike="noStrike" baseline="0">
            <a:solidFill>
              <a:srgbClr val="000000"/>
            </a:solidFill>
            <a:latin typeface="Arial"/>
            <a:cs typeface="Arial"/>
          </a:endParaRPr>
        </a:p>
        <a:p>
          <a:pPr algn="l" rtl="0">
            <a:defRPr sz="1000"/>
          </a:pPr>
          <a:r>
            <a:rPr lang="en-US" sz="800" b="0" i="0" u="none" strike="noStrike" baseline="0">
              <a:solidFill>
                <a:srgbClr val="000000"/>
              </a:solidFill>
              <a:latin typeface="Arial"/>
              <a:cs typeface="Arial"/>
            </a:rPr>
            <a:t>Emissions from soda ash manufacture and consumption are calculated by multiplying the quantity of soda ash manufactured and the quantity of soda ash consumed by their respective emission factors.  Maryland does not manufacture soda ash. </a:t>
          </a:r>
        </a:p>
        <a:p>
          <a:pPr algn="l" rtl="0">
            <a:defRPr sz="1000"/>
          </a:pPr>
          <a:endParaRPr lang="en-US" sz="800" b="0" i="0" u="none" strike="noStrike" baseline="0">
            <a:solidFill>
              <a:srgbClr val="000000"/>
            </a:solidFill>
            <a:latin typeface="Arial"/>
            <a:cs typeface="Arial"/>
          </a:endParaRPr>
        </a:p>
        <a:p>
          <a:pPr algn="l" rtl="0">
            <a:defRPr sz="1000"/>
          </a:pPr>
          <a:r>
            <a:rPr lang="en-US" sz="800" b="1" i="0" u="none" strike="noStrike" baseline="0">
              <a:solidFill>
                <a:srgbClr val="000000"/>
              </a:solidFill>
              <a:latin typeface="Arial"/>
              <a:cs typeface="Arial"/>
            </a:rPr>
            <a:t>Electric Power Transmission and Distribution</a:t>
          </a:r>
          <a:endParaRPr lang="en-US" sz="800" b="0" i="0" u="none" strike="noStrike" baseline="0">
            <a:solidFill>
              <a:srgbClr val="000000"/>
            </a:solidFill>
            <a:latin typeface="Arial"/>
            <a:cs typeface="Arial"/>
          </a:endParaRPr>
        </a:p>
        <a:p>
          <a:pPr algn="l" rtl="0">
            <a:defRPr sz="1000"/>
          </a:pPr>
          <a:r>
            <a:rPr lang="en-US" sz="800" b="0" i="0" u="none" strike="noStrike" baseline="0">
              <a:solidFill>
                <a:srgbClr val="000000"/>
              </a:solidFill>
              <a:latin typeface="Arial"/>
              <a:cs typeface="Arial"/>
            </a:rPr>
            <a:t>Emissions from electric power transmission and distribution are calculated by multiplying the quantity of SF6 consumed by an emission factor.  </a:t>
          </a:r>
        </a:p>
        <a:p>
          <a:pPr algn="l" rtl="0">
            <a:defRPr sz="1000"/>
          </a:pPr>
          <a:endParaRPr lang="en-US" sz="800" b="0" i="0" u="none" strike="noStrike" baseline="0">
            <a:solidFill>
              <a:srgbClr val="000000"/>
            </a:solidFill>
            <a:latin typeface="Arial"/>
            <a:cs typeface="Arial"/>
          </a:endParaRPr>
        </a:p>
        <a:p>
          <a:pPr algn="l" rtl="0">
            <a:defRPr sz="1000"/>
          </a:pPr>
          <a:r>
            <a:rPr lang="en-US" sz="800" b="1" i="0" u="none" strike="noStrike" baseline="0">
              <a:solidFill>
                <a:srgbClr val="000000"/>
              </a:solidFill>
              <a:latin typeface="Arial"/>
              <a:cs typeface="Arial"/>
            </a:rPr>
            <a:t>ODS</a:t>
          </a:r>
          <a:endParaRPr lang="en-US" sz="800" b="0" i="0" u="none" strike="noStrike" baseline="0">
            <a:solidFill>
              <a:srgbClr val="000000"/>
            </a:solidFill>
            <a:latin typeface="Arial"/>
            <a:cs typeface="Arial"/>
          </a:endParaRPr>
        </a:p>
        <a:p>
          <a:pPr algn="l" rtl="0">
            <a:defRPr sz="1000"/>
          </a:pPr>
          <a:r>
            <a:rPr lang="en-US" sz="800" b="0" i="0" u="none" strike="noStrike" baseline="0">
              <a:solidFill>
                <a:srgbClr val="000000"/>
              </a:solidFill>
              <a:latin typeface="Arial"/>
              <a:cs typeface="Arial"/>
            </a:rPr>
            <a:t>Emissions of HFCs, PFCs, and SF6 from ODS substitute production are estimated by apportioning national emissions to each state based on population.  State population data was provided by the U.S. Census Bureau (http://www.census.gov).  </a:t>
          </a:r>
        </a:p>
        <a:p>
          <a:pPr algn="l" rtl="0">
            <a:defRPr sz="1000"/>
          </a:pPr>
          <a:endParaRPr lang="en-US" sz="800" b="0" i="0" u="none" strike="noStrike" baseline="0">
            <a:solidFill>
              <a:srgbClr val="000000"/>
            </a:solidFill>
            <a:latin typeface="Arial"/>
            <a:cs typeface="Arial"/>
          </a:endParaRPr>
        </a:p>
        <a:p>
          <a:pPr algn="l" rtl="0">
            <a:defRPr sz="1000"/>
          </a:pPr>
          <a:r>
            <a:rPr lang="en-US" sz="800" b="0" i="0" u="none" strike="noStrike" baseline="0">
              <a:solidFill>
                <a:srgbClr val="000000"/>
              </a:solidFill>
              <a:latin typeface="Arial"/>
              <a:cs typeface="Arial"/>
            </a:rPr>
            <a:t>All emissions are then converted from metric tons of carbon equivalents (MTCE) to metric tons of carbon dioxide equivalents (MTCO2E).  Additional information on these calculations is available in the EPA SIT tool Industrial Processes Chapter of the User's Guide.  </a:t>
          </a:r>
        </a:p>
        <a:p>
          <a:pPr algn="l" rtl="0">
            <a:defRPr sz="1000"/>
          </a:pPr>
          <a:endParaRPr lang="en-US" sz="800" b="0" i="0" u="none" strike="noStrike" baseline="0">
            <a:solidFill>
              <a:srgbClr val="000000"/>
            </a:solidFill>
            <a:latin typeface="Arial"/>
            <a:cs typeface="Arial"/>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381000</xdr:colOff>
      <xdr:row>1</xdr:row>
      <xdr:rowOff>28575</xdr:rowOff>
    </xdr:from>
    <xdr:to>
      <xdr:col>9</xdr:col>
      <xdr:colOff>466725</xdr:colOff>
      <xdr:row>1</xdr:row>
      <xdr:rowOff>952500</xdr:rowOff>
    </xdr:to>
    <xdr:sp macro="" textlink="">
      <xdr:nvSpPr>
        <xdr:cNvPr id="1835021" name="Text Box 79"/>
        <xdr:cNvSpPr txBox="1">
          <a:spLocks noChangeArrowheads="1"/>
        </xdr:cNvSpPr>
      </xdr:nvSpPr>
      <xdr:spPr bwMode="auto">
        <a:xfrm>
          <a:off x="171450" y="447675"/>
          <a:ext cx="9801225" cy="923925"/>
        </a:xfrm>
        <a:prstGeom prst="rect">
          <a:avLst/>
        </a:prstGeom>
        <a:solidFill>
          <a:srgbClr val="C0C0C0"/>
        </a:solidFill>
        <a:ln w="3175">
          <a:solidFill>
            <a:srgbClr val="000000"/>
          </a:solidFill>
          <a:miter lim="800000"/>
          <a:headEnd/>
          <a:tailEnd/>
        </a:ln>
      </xdr:spPr>
      <xdr:txBody>
        <a:bodyPr vertOverflow="clip" wrap="square" lIns="27432" tIns="22860" rIns="0" bIns="0" anchor="t" upright="1"/>
        <a:lstStyle/>
        <a:p>
          <a:pPr algn="l" rtl="0">
            <a:defRPr sz="1000"/>
          </a:pPr>
          <a:r>
            <a:rPr lang="en-US" sz="800" b="0" i="0" u="none" strike="noStrike" baseline="0">
              <a:solidFill>
                <a:srgbClr val="000000"/>
              </a:solidFill>
              <a:latin typeface="Arial"/>
              <a:cs typeface="Arial"/>
            </a:rPr>
            <a:t>Emissions from cement production consist of CO2 emissions produced from the following processes that follow the EPA Mandatory Greenhouse Gases Reporting  Methodolgy.</a:t>
          </a:r>
        </a:p>
        <a:p>
          <a:pPr algn="l" rtl="0">
            <a:defRPr sz="1000"/>
          </a:pPr>
          <a:r>
            <a:rPr lang="en-US" sz="800" b="0" i="0" u="none" strike="noStrike" baseline="0">
              <a:solidFill>
                <a:srgbClr val="000000"/>
              </a:solidFill>
              <a:latin typeface="Arial"/>
              <a:cs typeface="Arial"/>
            </a:rPr>
            <a:t>        - Raw materials converted to Clinker;</a:t>
          </a:r>
        </a:p>
        <a:p>
          <a:pPr algn="l" rtl="0">
            <a:defRPr sz="1000"/>
          </a:pPr>
          <a:r>
            <a:rPr lang="en-US" sz="800" b="0" i="0" u="none" strike="noStrike" baseline="0">
              <a:solidFill>
                <a:srgbClr val="000000"/>
              </a:solidFill>
              <a:latin typeface="Arial"/>
              <a:cs typeface="Arial"/>
            </a:rPr>
            <a:t>        - Calcinations of Clinker Kiln Dust (CKD) leaving the Kiln system;</a:t>
          </a:r>
        </a:p>
        <a:p>
          <a:pPr algn="l" rtl="0">
            <a:defRPr sz="1000"/>
          </a:pPr>
          <a:r>
            <a:rPr lang="en-US" sz="800" b="0" i="0" u="none" strike="noStrike" baseline="0">
              <a:solidFill>
                <a:srgbClr val="000000"/>
              </a:solidFill>
              <a:latin typeface="Arial"/>
              <a:cs typeface="Arial"/>
            </a:rPr>
            <a:t>        - Organic carbon content of Raw Meal.</a:t>
          </a:r>
        </a:p>
        <a:p>
          <a:pPr algn="l" rtl="0">
            <a:defRPr sz="1000"/>
          </a:pPr>
          <a:endParaRPr lang="en-US" sz="800" b="0" i="0" u="none" strike="noStrike" baseline="0">
            <a:solidFill>
              <a:srgbClr val="000000"/>
            </a:solidFill>
            <a:latin typeface="Arial"/>
            <a:cs typeface="Arial"/>
          </a:endParaRPr>
        </a:p>
        <a:p>
          <a:pPr algn="l" rtl="0">
            <a:defRPr sz="1000"/>
          </a:pPr>
          <a:r>
            <a:rPr lang="en-US" sz="800" b="0" i="0" u="none" strike="noStrike" baseline="0">
              <a:solidFill>
                <a:srgbClr val="000000"/>
              </a:solidFill>
              <a:latin typeface="Arial"/>
              <a:cs typeface="Arial"/>
            </a:rPr>
            <a:t>(Emissions from masonry cement are accounted for in the Lime Production estimates). </a:t>
          </a:r>
        </a:p>
        <a:p>
          <a:pPr algn="l" rtl="0">
            <a:defRPr sz="1000"/>
          </a:pPr>
          <a:endParaRPr lang="en-US" sz="800" b="0" i="0" u="none" strike="noStrike" baseline="0">
            <a:solidFill>
              <a:srgbClr val="000000"/>
            </a:solidFill>
            <a:latin typeface="Arial"/>
            <a:cs typeface="Arial"/>
          </a:endParaRP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589642</xdr:colOff>
      <xdr:row>3</xdr:row>
      <xdr:rowOff>28575</xdr:rowOff>
    </xdr:from>
    <xdr:to>
      <xdr:col>12</xdr:col>
      <xdr:colOff>589641</xdr:colOff>
      <xdr:row>10</xdr:row>
      <xdr:rowOff>38100</xdr:rowOff>
    </xdr:to>
    <xdr:sp macro="" textlink="" fLocksText="0">
      <xdr:nvSpPr>
        <xdr:cNvPr id="2" name="Text Box 79"/>
        <xdr:cNvSpPr txBox="1">
          <a:spLocks noChangeArrowheads="1"/>
        </xdr:cNvSpPr>
      </xdr:nvSpPr>
      <xdr:spPr bwMode="auto">
        <a:xfrm>
          <a:off x="865867" y="409575"/>
          <a:ext cx="11925299" cy="1343025"/>
        </a:xfrm>
        <a:prstGeom prst="rect">
          <a:avLst/>
        </a:prstGeom>
        <a:solidFill>
          <a:srgbClr val="C0C0C0"/>
        </a:solidFill>
        <a:ln w="3240" cap="sq">
          <a:solidFill>
            <a:srgbClr val="000000"/>
          </a:solidFill>
          <a:miter lim="800000"/>
          <a:headEnd/>
          <a:tailEnd/>
        </a:ln>
        <a:effectLst/>
      </xdr:spPr>
      <xdr:txBody>
        <a:bodyPr vertOverflow="clip" wrap="square" lIns="27360" tIns="22680" rIns="0" bIns="0" anchor="t" upright="1"/>
        <a:lstStyle/>
        <a:p>
          <a:pPr algn="l" rtl="0">
            <a:defRPr sz="1000"/>
          </a:pPr>
          <a:r>
            <a:rPr lang="en-US" sz="800" b="0" i="0" u="none" strike="noStrike" baseline="0">
              <a:solidFill>
                <a:srgbClr val="000000"/>
              </a:solidFill>
              <a:latin typeface="Arial"/>
              <a:cs typeface="Arial"/>
            </a:rPr>
            <a:t>Estimation of carbon dioxide (CO2) emission from Landfill gas flaring / conversion to energy generation was based on the amount of CH4 collected by the collection system from the total amount of CH4 generated from the Landfill and the control devices efficiency. CO2 emission estimate was based on the stoichiometric combustion reactionequation (1) below. </a:t>
          </a:r>
        </a:p>
        <a:p>
          <a:pPr algn="l" rtl="0">
            <a:defRPr sz="1000"/>
          </a:pPr>
          <a:endParaRPr lang="en-US" sz="800" b="0" i="0" u="none" strike="noStrike" baseline="0">
            <a:solidFill>
              <a:srgbClr val="000000"/>
            </a:solidFill>
            <a:latin typeface="Arial"/>
            <a:cs typeface="Arial"/>
          </a:endParaRPr>
        </a:p>
        <a:p>
          <a:pPr algn="l" rtl="0">
            <a:defRPr sz="1000"/>
          </a:pPr>
          <a:r>
            <a:rPr lang="en-US" sz="800" b="0" i="0" u="none" strike="noStrike" baseline="0">
              <a:solidFill>
                <a:srgbClr val="000000"/>
              </a:solidFill>
              <a:latin typeface="Arial"/>
              <a:cs typeface="Arial"/>
            </a:rPr>
            <a:t>        CH</a:t>
          </a:r>
          <a:r>
            <a:rPr lang="en-US" sz="800" b="0" i="0" u="none" strike="noStrike" baseline="-25000">
              <a:solidFill>
                <a:srgbClr val="000000"/>
              </a:solidFill>
              <a:latin typeface="Arial"/>
              <a:cs typeface="Arial"/>
            </a:rPr>
            <a:t>4</a:t>
          </a:r>
          <a:r>
            <a:rPr lang="en-US" sz="800" b="0" i="0" u="none" strike="noStrike" baseline="0">
              <a:solidFill>
                <a:srgbClr val="000000"/>
              </a:solidFill>
              <a:latin typeface="Arial"/>
              <a:cs typeface="Arial"/>
            </a:rPr>
            <a:t> + 2O</a:t>
          </a:r>
          <a:r>
            <a:rPr lang="en-US" sz="800" b="0" i="0" u="none" strike="noStrike" baseline="-25000">
              <a:solidFill>
                <a:srgbClr val="000000"/>
              </a:solidFill>
              <a:latin typeface="Arial"/>
              <a:cs typeface="Arial"/>
            </a:rPr>
            <a:t>2</a:t>
          </a:r>
          <a:r>
            <a:rPr lang="en-US" sz="800" b="0" i="0" u="none" strike="noStrike" baseline="0">
              <a:solidFill>
                <a:srgbClr val="000000"/>
              </a:solidFill>
              <a:latin typeface="Arial"/>
              <a:cs typeface="Arial"/>
            </a:rPr>
            <a:t> → CO</a:t>
          </a:r>
          <a:r>
            <a:rPr lang="en-US" sz="800" b="0" i="0" u="none" strike="noStrike" baseline="-25000">
              <a:solidFill>
                <a:srgbClr val="000000"/>
              </a:solidFill>
              <a:latin typeface="Arial"/>
              <a:cs typeface="Arial"/>
            </a:rPr>
            <a:t>2</a:t>
          </a:r>
          <a:r>
            <a:rPr lang="en-US" sz="800" b="0" i="0" u="none" strike="noStrike" baseline="0">
              <a:solidFill>
                <a:srgbClr val="000000"/>
              </a:solidFill>
              <a:latin typeface="Arial"/>
              <a:cs typeface="Arial"/>
            </a:rPr>
            <a:t> + 2H</a:t>
          </a:r>
          <a:r>
            <a:rPr lang="en-US" sz="800" b="0" i="0" u="none" strike="noStrike" baseline="-25000">
              <a:solidFill>
                <a:srgbClr val="000000"/>
              </a:solidFill>
              <a:latin typeface="Arial"/>
              <a:cs typeface="Arial"/>
            </a:rPr>
            <a:t>2</a:t>
          </a:r>
          <a:r>
            <a:rPr lang="en-US" sz="800" b="0" i="0" u="none" strike="noStrike" baseline="0">
              <a:solidFill>
                <a:srgbClr val="000000"/>
              </a:solidFill>
              <a:latin typeface="Arial"/>
              <a:cs typeface="Arial"/>
            </a:rPr>
            <a:t>O (Equation 1)</a:t>
          </a:r>
        </a:p>
        <a:p>
          <a:pPr algn="l" rtl="0">
            <a:defRPr sz="1000"/>
          </a:pPr>
          <a:endParaRPr lang="en-US" sz="800" b="0" i="0" u="none" strike="noStrike" baseline="0">
            <a:solidFill>
              <a:srgbClr val="000000"/>
            </a:solidFill>
            <a:latin typeface="Arial"/>
            <a:cs typeface="Arial"/>
          </a:endParaRPr>
        </a:p>
        <a:p>
          <a:pPr algn="l" rtl="0">
            <a:defRPr sz="1000"/>
          </a:pPr>
          <a:r>
            <a:rPr lang="en-US" sz="800" b="0" i="0" u="none" strike="noStrike" baseline="0">
              <a:solidFill>
                <a:srgbClr val="000000"/>
              </a:solidFill>
              <a:latin typeface="Arial"/>
              <a:cs typeface="Arial"/>
            </a:rPr>
            <a:t>    1 Kmol CH</a:t>
          </a:r>
          <a:r>
            <a:rPr lang="en-US" sz="800" b="0" i="0" u="none" strike="noStrike" baseline="-25000">
              <a:solidFill>
                <a:srgbClr val="000000"/>
              </a:solidFill>
              <a:latin typeface="Arial"/>
              <a:cs typeface="Arial"/>
            </a:rPr>
            <a:t>4</a:t>
          </a:r>
          <a:r>
            <a:rPr lang="en-US" sz="800" b="0" i="0" u="none" strike="noStrike" baseline="0">
              <a:solidFill>
                <a:srgbClr val="000000"/>
              </a:solidFill>
              <a:latin typeface="Arial"/>
              <a:cs typeface="Arial"/>
            </a:rPr>
            <a:t> =&gt; 1 Kmol CO</a:t>
          </a:r>
          <a:r>
            <a:rPr lang="en-US" sz="800" b="0" i="0" u="none" strike="noStrike" baseline="-25000">
              <a:solidFill>
                <a:srgbClr val="000000"/>
              </a:solidFill>
              <a:latin typeface="Arial"/>
              <a:cs typeface="Arial"/>
            </a:rPr>
            <a:t>2</a:t>
          </a:r>
        </a:p>
        <a:p>
          <a:pPr algn="l" rtl="0">
            <a:defRPr sz="1000"/>
          </a:pPr>
          <a:r>
            <a:rPr lang="en-US" sz="800" b="0" i="0" u="none" strike="noStrike" baseline="0">
              <a:solidFill>
                <a:srgbClr val="000000"/>
              </a:solidFill>
              <a:latin typeface="Arial"/>
              <a:cs typeface="Arial"/>
            </a:rPr>
            <a:t>     16 g CH</a:t>
          </a:r>
          <a:r>
            <a:rPr lang="en-US" sz="800" b="0" i="0" u="none" strike="noStrike" baseline="-25000">
              <a:solidFill>
                <a:srgbClr val="000000"/>
              </a:solidFill>
              <a:latin typeface="Arial"/>
              <a:cs typeface="Arial"/>
            </a:rPr>
            <a:t>4</a:t>
          </a:r>
          <a:r>
            <a:rPr lang="en-US" sz="800" b="0" i="0" u="none" strike="noStrike" baseline="0">
              <a:solidFill>
                <a:srgbClr val="000000"/>
              </a:solidFill>
              <a:latin typeface="Arial"/>
              <a:cs typeface="Arial"/>
            </a:rPr>
            <a:t>     =&gt;  44 g CO</a:t>
          </a:r>
          <a:r>
            <a:rPr lang="en-US" sz="800" b="0" i="0" u="none" strike="noStrike" baseline="-25000">
              <a:solidFill>
                <a:srgbClr val="000000"/>
              </a:solidFill>
              <a:latin typeface="Arial"/>
              <a:cs typeface="Arial"/>
            </a:rPr>
            <a:t>2</a:t>
          </a:r>
        </a:p>
        <a:p>
          <a:pPr algn="l" rtl="0">
            <a:defRPr sz="1000"/>
          </a:pPr>
          <a:r>
            <a:rPr lang="en-US" sz="800" b="0" i="0" u="none" strike="noStrike" baseline="0">
              <a:solidFill>
                <a:srgbClr val="000000"/>
              </a:solidFill>
              <a:latin typeface="Arial"/>
              <a:cs typeface="Arial"/>
            </a:rPr>
            <a:t>      1 g CH</a:t>
          </a:r>
          <a:r>
            <a:rPr lang="en-US" sz="800" b="0" i="0" u="none" strike="noStrike" baseline="-25000">
              <a:solidFill>
                <a:srgbClr val="000000"/>
              </a:solidFill>
              <a:latin typeface="Arial"/>
              <a:cs typeface="Arial"/>
            </a:rPr>
            <a:t>4</a:t>
          </a:r>
          <a:r>
            <a:rPr lang="en-US" sz="800" b="0" i="0" u="none" strike="noStrike" baseline="0">
              <a:solidFill>
                <a:srgbClr val="000000"/>
              </a:solidFill>
              <a:latin typeface="Arial"/>
              <a:cs typeface="Arial"/>
            </a:rPr>
            <a:t>      =&gt;   2.75 g CO</a:t>
          </a:r>
          <a:r>
            <a:rPr lang="en-US" sz="800" b="0" i="0" u="none" strike="noStrike" baseline="-25000">
              <a:solidFill>
                <a:srgbClr val="000000"/>
              </a:solidFill>
              <a:latin typeface="Arial"/>
              <a:cs typeface="Arial"/>
            </a:rPr>
            <a:t>2</a:t>
          </a:r>
          <a:r>
            <a:rPr lang="en-US" sz="800" b="0" i="0" u="none" strike="noStrike" baseline="0">
              <a:solidFill>
                <a:srgbClr val="000000"/>
              </a:solidFill>
              <a:latin typeface="Arial"/>
              <a:cs typeface="Arial"/>
            </a:rPr>
            <a:t>   </a:t>
          </a:r>
        </a:p>
        <a:p>
          <a:pPr algn="l" rtl="0">
            <a:defRPr sz="1000"/>
          </a:pPr>
          <a:endParaRPr lang="en-US" sz="800" b="0" i="0" u="none" strike="noStrike" baseline="0">
            <a:solidFill>
              <a:srgbClr val="000000"/>
            </a:solidFill>
            <a:latin typeface="Arial"/>
            <a:cs typeface="Arial"/>
          </a:endParaRP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504825</xdr:colOff>
      <xdr:row>1</xdr:row>
      <xdr:rowOff>38100</xdr:rowOff>
    </xdr:from>
    <xdr:to>
      <xdr:col>9</xdr:col>
      <xdr:colOff>180975</xdr:colOff>
      <xdr:row>1</xdr:row>
      <xdr:rowOff>657225</xdr:rowOff>
    </xdr:to>
    <xdr:sp macro="" textlink="">
      <xdr:nvSpPr>
        <xdr:cNvPr id="1838085" name="Text Box 79"/>
        <xdr:cNvSpPr txBox="1">
          <a:spLocks noChangeArrowheads="1"/>
        </xdr:cNvSpPr>
      </xdr:nvSpPr>
      <xdr:spPr bwMode="auto">
        <a:xfrm>
          <a:off x="504825" y="457200"/>
          <a:ext cx="9039225" cy="619125"/>
        </a:xfrm>
        <a:prstGeom prst="rect">
          <a:avLst/>
        </a:prstGeom>
        <a:solidFill>
          <a:srgbClr val="C0C0C0"/>
        </a:solidFill>
        <a:ln w="3175">
          <a:solidFill>
            <a:srgbClr val="000000"/>
          </a:solidFill>
          <a:miter lim="800000"/>
          <a:headEnd/>
          <a:tailEnd/>
        </a:ln>
      </xdr:spPr>
      <xdr:txBody>
        <a:bodyPr vertOverflow="clip" wrap="square" lIns="27432" tIns="22860" rIns="0" bIns="0" anchor="t" upright="1"/>
        <a:lstStyle/>
        <a:p>
          <a:pPr algn="l" rtl="0">
            <a:defRPr sz="1000"/>
          </a:pPr>
          <a:r>
            <a:rPr lang="en-US" sz="800" b="0" i="0" u="none" strike="noStrike" baseline="0">
              <a:solidFill>
                <a:srgbClr val="000000"/>
              </a:solidFill>
              <a:latin typeface="Arial"/>
              <a:cs typeface="Arial"/>
            </a:rPr>
            <a:t>Carbon dioxide (CO2) emission from Municipal Solid Waste (MSW) combustion in incinerators was estimated from the CO2 Emissions CEM reading at the Incinerators plant (except for harford County),while CH4 and N2O emissions were estimated by  by multiplying the tonnages of MSW combusted in Maryland in 2011 by the default EPA Municipal Solid Waste heat value and an updated CO2 emission factor from the Mandatory Greenhouse Gas Reporting Rule.  All material burned was included in the analysis.</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523875</xdr:colOff>
      <xdr:row>1</xdr:row>
      <xdr:rowOff>19050</xdr:rowOff>
    </xdr:from>
    <xdr:to>
      <xdr:col>10</xdr:col>
      <xdr:colOff>9525</xdr:colOff>
      <xdr:row>1</xdr:row>
      <xdr:rowOff>1028700</xdr:rowOff>
    </xdr:to>
    <xdr:sp macro="" textlink="">
      <xdr:nvSpPr>
        <xdr:cNvPr id="1850369" name="Text Box 79"/>
        <xdr:cNvSpPr txBox="1">
          <a:spLocks noChangeArrowheads="1"/>
        </xdr:cNvSpPr>
      </xdr:nvSpPr>
      <xdr:spPr bwMode="auto">
        <a:xfrm>
          <a:off x="523875" y="438150"/>
          <a:ext cx="6819900" cy="1009650"/>
        </a:xfrm>
        <a:prstGeom prst="rect">
          <a:avLst/>
        </a:prstGeom>
        <a:solidFill>
          <a:srgbClr val="C0C0C0"/>
        </a:solidFill>
        <a:ln w="3175">
          <a:solidFill>
            <a:srgbClr val="000000"/>
          </a:solidFill>
          <a:miter lim="800000"/>
          <a:headEnd/>
          <a:tailEnd/>
        </a:ln>
      </xdr:spPr>
      <xdr:txBody>
        <a:bodyPr vertOverflow="clip" wrap="square" lIns="27432" tIns="22860" rIns="0" bIns="0" anchor="t" upright="1"/>
        <a:lstStyle/>
        <a:p>
          <a:pPr algn="l" rtl="0">
            <a:defRPr sz="1000"/>
          </a:pPr>
          <a:r>
            <a:rPr lang="en-US" sz="800" b="0" i="0" u="none" strike="noStrike" baseline="0">
              <a:solidFill>
                <a:srgbClr val="000000"/>
              </a:solidFill>
              <a:latin typeface="Arial"/>
              <a:cs typeface="Arial"/>
            </a:rPr>
            <a:t>The method used to calculate emissions is presented in a study/survey conducted by the Mid-Atlantic/Northeast Visibility Union (MANE-VU), titled “Open Burning in Residential Areas Emissions Inventory Development Report.” User's Guide.  The purpose of the survey was to obtain data for developing activity estimates and control information (e.g., bans on burning) that would form the basis of an improved open burning emission inventory for Mid-Atlantic/Northeast Visibility Union (MANE-VU) states.</a:t>
          </a:r>
        </a:p>
        <a:p>
          <a:pPr algn="l" rtl="0">
            <a:defRPr sz="1000"/>
          </a:pPr>
          <a:endParaRPr lang="en-US" sz="800" b="0" i="0" u="none" strike="noStrike" baseline="0">
            <a:solidFill>
              <a:srgbClr val="000000"/>
            </a:solidFill>
            <a:latin typeface="Arial"/>
            <a:cs typeface="Arial"/>
          </a:endParaRPr>
        </a:p>
        <a:p>
          <a:pPr algn="l" rtl="0">
            <a:defRPr sz="1000"/>
          </a:pPr>
          <a:r>
            <a:rPr lang="en-US" sz="800" b="0" i="0" u="none" strike="noStrike" baseline="0">
              <a:solidFill>
                <a:srgbClr val="000000"/>
              </a:solidFill>
              <a:latin typeface="Arial"/>
              <a:cs typeface="Arial"/>
            </a:rPr>
            <a:t>Emission factors in lbs/ton total mass were taken from AP-42 Table 2.5-1, Emission Factors for Open Burning of Municipal Refuse and from a 1997 EPA research paper on open burning.</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1</xdr:col>
      <xdr:colOff>0</xdr:colOff>
      <xdr:row>1</xdr:row>
      <xdr:rowOff>66675</xdr:rowOff>
    </xdr:from>
    <xdr:to>
      <xdr:col>10</xdr:col>
      <xdr:colOff>19050</xdr:colOff>
      <xdr:row>1</xdr:row>
      <xdr:rowOff>2114550</xdr:rowOff>
    </xdr:to>
    <xdr:sp macro="" textlink="">
      <xdr:nvSpPr>
        <xdr:cNvPr id="1842180" name="Text Box 79"/>
        <xdr:cNvSpPr txBox="1">
          <a:spLocks noChangeArrowheads="1"/>
        </xdr:cNvSpPr>
      </xdr:nvSpPr>
      <xdr:spPr bwMode="auto">
        <a:xfrm>
          <a:off x="209550" y="485775"/>
          <a:ext cx="10125075" cy="2047875"/>
        </a:xfrm>
        <a:prstGeom prst="rect">
          <a:avLst/>
        </a:prstGeom>
        <a:solidFill>
          <a:srgbClr val="C0C0C0"/>
        </a:solidFill>
        <a:ln w="3175">
          <a:solidFill>
            <a:srgbClr val="000000"/>
          </a:solidFill>
          <a:miter lim="800000"/>
          <a:headEnd/>
          <a:tailEnd/>
        </a:ln>
      </xdr:spPr>
      <xdr:txBody>
        <a:bodyPr vertOverflow="clip" wrap="square" lIns="27432" tIns="22860" rIns="0" bIns="0" anchor="t" upright="1"/>
        <a:lstStyle/>
        <a:p>
          <a:pPr algn="l" rtl="0">
            <a:defRPr sz="1000"/>
          </a:pPr>
          <a:r>
            <a:rPr lang="en-US" sz="800" b="0" i="0" u="none" strike="noStrike" baseline="0">
              <a:solidFill>
                <a:srgbClr val="000000"/>
              </a:solidFill>
              <a:latin typeface="Arial"/>
              <a:cs typeface="Arial"/>
            </a:rPr>
            <a:t>Emissions from Natural Gas Production are calculated as the sum of emissions from the three categories of production sites: onshore wells, offshore shallow water platforms, and offshore deepwater platforms.  The number of gas production sites (wells or platforms) is multiplied by a site-specific emission factor. </a:t>
          </a:r>
        </a:p>
        <a:p>
          <a:pPr algn="l" rtl="0">
            <a:defRPr sz="1000"/>
          </a:pPr>
          <a:endParaRPr lang="en-US" sz="800" b="0" i="0" u="none" strike="noStrike" baseline="0">
            <a:solidFill>
              <a:srgbClr val="000000"/>
            </a:solidFill>
            <a:latin typeface="Arial"/>
            <a:cs typeface="Arial"/>
          </a:endParaRPr>
        </a:p>
        <a:p>
          <a:pPr algn="l" rtl="0">
            <a:defRPr sz="1000"/>
          </a:pPr>
          <a:r>
            <a:rPr lang="en-US" sz="800" b="0" i="0" u="none" strike="noStrike" baseline="0">
              <a:solidFill>
                <a:srgbClr val="000000"/>
              </a:solidFill>
              <a:latin typeface="Arial"/>
              <a:cs typeface="Arial"/>
            </a:rPr>
            <a:t>Emissions from Natural Gas Transmission are calculated as the sum of methane emissions from the pipelines that transport gas, the gas processing stations, the transmission compressor stations, and gas storage compressor facilities.  Emissions from each source are calculated as the product of the activity factor (e.g., miles of pipeline or number of stations) and the source-specific emission factor.</a:t>
          </a:r>
        </a:p>
        <a:p>
          <a:pPr algn="l" rtl="0">
            <a:defRPr sz="1000"/>
          </a:pPr>
          <a:endParaRPr lang="en-US" sz="800" b="0" i="0" u="none" strike="noStrike" baseline="0">
            <a:solidFill>
              <a:srgbClr val="000000"/>
            </a:solidFill>
            <a:latin typeface="Arial"/>
            <a:cs typeface="Arial"/>
          </a:endParaRPr>
        </a:p>
        <a:p>
          <a:pPr algn="l" rtl="0">
            <a:defRPr sz="1000"/>
          </a:pPr>
          <a:r>
            <a:rPr lang="en-US" sz="800" b="0" i="0" u="none" strike="noStrike" baseline="0">
              <a:solidFill>
                <a:srgbClr val="000000"/>
              </a:solidFill>
              <a:latin typeface="Arial"/>
              <a:cs typeface="Arial"/>
            </a:rPr>
            <a:t>Emissions from Natural Gas Distribution are calculated as the sum of emissions from distribution pipelines and end services.  The activity factor for each type of pipeline (e.g., miles of plastic distribution pipeline) is multiplied by the corresponding emission factor.  The number of services is multiplied by a general emission factor and type-specific emission factors.  </a:t>
          </a:r>
        </a:p>
        <a:p>
          <a:pPr algn="l" rtl="0">
            <a:defRPr sz="1000"/>
          </a:pPr>
          <a:endParaRPr lang="en-US" sz="800" b="0" i="0" u="none" strike="noStrike" baseline="0">
            <a:solidFill>
              <a:srgbClr val="000000"/>
            </a:solidFill>
            <a:latin typeface="Arial"/>
            <a:cs typeface="Arial"/>
          </a:endParaRPr>
        </a:p>
        <a:p>
          <a:pPr algn="l" rtl="0">
            <a:defRPr sz="1000"/>
          </a:pPr>
          <a:r>
            <a:rPr lang="en-US" sz="800" b="0" i="0" u="none" strike="noStrike" baseline="0">
              <a:solidFill>
                <a:srgbClr val="000000"/>
              </a:solidFill>
              <a:latin typeface="Arial"/>
              <a:cs typeface="Arial"/>
            </a:rPr>
            <a:t>Emissions from Natural Gas Venting and Flaring are calculated as the percent of emissions flared (20% is vented with the remaining 80% flared).  The amount of gas that is vented or flared is multiplied by a national emission factor. This total of potential emissions is then multiplied by the percentage of gas flared and converted to million metric tons of carbon equivalent.  </a:t>
          </a:r>
        </a:p>
        <a:p>
          <a:pPr algn="l" rtl="0">
            <a:defRPr sz="1000"/>
          </a:pPr>
          <a:endParaRPr lang="en-US" sz="800" b="0" i="0" u="none" strike="noStrike" baseline="0">
            <a:solidFill>
              <a:srgbClr val="000000"/>
            </a:solidFill>
            <a:latin typeface="Arial"/>
            <a:cs typeface="Arial"/>
          </a:endParaRPr>
        </a:p>
        <a:p>
          <a:pPr algn="l" rtl="0">
            <a:defRPr sz="1000"/>
          </a:pPr>
          <a:r>
            <a:rPr lang="en-US" sz="800" b="0" i="0" u="none" strike="noStrike" baseline="0">
              <a:solidFill>
                <a:srgbClr val="000000"/>
              </a:solidFill>
              <a:latin typeface="Arial"/>
              <a:cs typeface="Arial"/>
            </a:rPr>
            <a:t>Source emissions are converted to metric tons of CO2 equivalent and metric tons of carbon equivalent, and then summed across all sources.  For further details, refer to the Methane Emissions from Natural Gas and Oil Systems Chapter of the EPA SIT User's Guide.</a:t>
          </a:r>
        </a:p>
        <a:p>
          <a:pPr algn="l" rtl="0">
            <a:defRPr sz="1000"/>
          </a:pPr>
          <a:endParaRPr lang="en-US" sz="800" b="0" i="0" u="none" strike="noStrike" baseline="0">
            <a:solidFill>
              <a:srgbClr val="000000"/>
            </a:solidFill>
            <a:latin typeface="Arial"/>
            <a:cs typeface="Arial"/>
          </a:endParaRPr>
        </a:p>
        <a:p>
          <a:pPr algn="l" rtl="0">
            <a:defRPr sz="1000"/>
          </a:pPr>
          <a:r>
            <a:rPr lang="en-US" sz="800" b="0" i="0" u="none" strike="noStrike" baseline="0">
              <a:solidFill>
                <a:srgbClr val="000000"/>
              </a:solidFill>
              <a:latin typeface="Arial"/>
              <a:cs typeface="Arial"/>
            </a:rPr>
            <a:t>Source emissions are converted to metric tons of CO2 equivalent and metric tons of carbon equivalent, and then summed across all sources.  For further details, refer to the Methane Emissions from Natural Gas and Oil Systems Chapter of the User's Guide.</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1</xdr:col>
      <xdr:colOff>0</xdr:colOff>
      <xdr:row>1</xdr:row>
      <xdr:rowOff>47625</xdr:rowOff>
    </xdr:from>
    <xdr:to>
      <xdr:col>15</xdr:col>
      <xdr:colOff>285750</xdr:colOff>
      <xdr:row>1</xdr:row>
      <xdr:rowOff>2514600</xdr:rowOff>
    </xdr:to>
    <xdr:sp macro="" textlink="">
      <xdr:nvSpPr>
        <xdr:cNvPr id="1846273" name="Text Box 79"/>
        <xdr:cNvSpPr txBox="1">
          <a:spLocks noChangeArrowheads="1"/>
        </xdr:cNvSpPr>
      </xdr:nvSpPr>
      <xdr:spPr bwMode="auto">
        <a:xfrm>
          <a:off x="266700" y="466725"/>
          <a:ext cx="9477375" cy="2466975"/>
        </a:xfrm>
        <a:prstGeom prst="rect">
          <a:avLst/>
        </a:prstGeom>
        <a:solidFill>
          <a:srgbClr val="C0C0C0"/>
        </a:solidFill>
        <a:ln w="3175">
          <a:solidFill>
            <a:srgbClr val="000000"/>
          </a:solidFill>
          <a:miter lim="800000"/>
          <a:headEnd/>
          <a:tailEnd/>
        </a:ln>
      </xdr:spPr>
      <xdr:txBody>
        <a:bodyPr vertOverflow="clip" wrap="square" lIns="27432" tIns="22860" rIns="0" bIns="0" anchor="t" upright="1"/>
        <a:lstStyle/>
        <a:p>
          <a:pPr algn="l" rtl="0">
            <a:defRPr sz="1000"/>
          </a:pPr>
          <a:r>
            <a:rPr lang="en-US" sz="800" b="0" i="0" u="none" strike="noStrike" baseline="0">
              <a:solidFill>
                <a:srgbClr val="000000"/>
              </a:solidFill>
              <a:latin typeface="Arial"/>
              <a:cs typeface="Arial"/>
            </a:rPr>
            <a:t>Emissions from Coal Mining are calculated by summing the emissions from underground mines, surface mines, and post-mining activities.</a:t>
          </a:r>
        </a:p>
        <a:p>
          <a:pPr algn="l" rtl="0">
            <a:defRPr sz="1000"/>
          </a:pPr>
          <a:r>
            <a:rPr lang="en-US" sz="800" b="0" i="0" u="none" strike="noStrike" baseline="0">
              <a:solidFill>
                <a:srgbClr val="000000"/>
              </a:solidFill>
              <a:latin typeface="Arial"/>
              <a:cs typeface="Arial"/>
            </a:rPr>
            <a:t>- Underground mine emissions are comprised of two parts: methane emitted from ventilation systems and methane emitted from degasification systems. Emissions from degasification systems are equal to the difference between methane removed through degasification and methane used for energy purposes. </a:t>
          </a:r>
        </a:p>
        <a:p>
          <a:pPr algn="l" rtl="0">
            <a:defRPr sz="1000"/>
          </a:pPr>
          <a:r>
            <a:rPr lang="en-US" sz="800" b="0" i="0" u="none" strike="noStrike" baseline="0">
              <a:solidFill>
                <a:srgbClr val="000000"/>
              </a:solidFill>
              <a:latin typeface="Arial"/>
              <a:cs typeface="Arial"/>
            </a:rPr>
            <a:t>- Surface mine emissions are the product of surface coal mine production and a basin-specific EF.  </a:t>
          </a:r>
        </a:p>
        <a:p>
          <a:pPr algn="l" rtl="0">
            <a:defRPr sz="1000"/>
          </a:pPr>
          <a:r>
            <a:rPr lang="en-US" sz="800" b="0" i="0" u="none" strike="noStrike" baseline="0">
              <a:solidFill>
                <a:srgbClr val="000000"/>
              </a:solidFill>
              <a:latin typeface="Arial"/>
              <a:cs typeface="Arial"/>
            </a:rPr>
            <a:t>- Emissions from post-mining activities, such as transportation and coal handling, are equal to the sum of post-mining emissions from underground and surface mines; the emissions are each calculated as the product of coal production times a basin and mine-type specific EF.  </a:t>
          </a:r>
        </a:p>
        <a:p>
          <a:pPr algn="l" rtl="0">
            <a:defRPr sz="1000"/>
          </a:pPr>
          <a:r>
            <a:rPr lang="en-US" sz="800" b="0" i="0" u="none" strike="noStrike" baseline="0">
              <a:solidFill>
                <a:srgbClr val="000000"/>
              </a:solidFill>
              <a:latin typeface="Arial"/>
              <a:cs typeface="Arial"/>
            </a:rPr>
            <a:t>- Total emissions from coal mining are the sum of emissions from underground mines, surface mines, and post-mining activities at both types of mines.</a:t>
          </a:r>
        </a:p>
        <a:p>
          <a:pPr algn="l" rtl="0">
            <a:defRPr sz="1000"/>
          </a:pPr>
          <a:endParaRPr lang="en-US" sz="800" b="0" i="0" u="none" strike="noStrike" baseline="0">
            <a:solidFill>
              <a:srgbClr val="000000"/>
            </a:solidFill>
            <a:latin typeface="Arial"/>
            <a:cs typeface="Arial"/>
          </a:endParaRPr>
        </a:p>
        <a:p>
          <a:pPr algn="l" rtl="0">
            <a:defRPr sz="1000"/>
          </a:pPr>
          <a:r>
            <a:rPr lang="en-US" sz="800" b="0" i="0" u="none" strike="noStrike" baseline="0">
              <a:solidFill>
                <a:srgbClr val="000000"/>
              </a:solidFill>
              <a:latin typeface="Arial"/>
              <a:cs typeface="Arial"/>
            </a:rPr>
            <a:t>Emissions from Abandoned Coal Mines are calculated by summing the emissions from mines that are vented, sealed, or flooded.</a:t>
          </a:r>
        </a:p>
        <a:p>
          <a:pPr algn="l" rtl="0">
            <a:defRPr sz="1000"/>
          </a:pPr>
          <a:r>
            <a:rPr lang="en-US" sz="800" b="0" i="0" u="none" strike="noStrike" baseline="0">
              <a:solidFill>
                <a:srgbClr val="000000"/>
              </a:solidFill>
              <a:latin typeface="Arial"/>
              <a:cs typeface="Arial"/>
            </a:rPr>
            <a:t>- Different coal seams vary in the amount of gas present initially and the way the methane is adsorbed to the coal (i.e. some coals release methane more readily than others).</a:t>
          </a:r>
        </a:p>
        <a:p>
          <a:pPr algn="l" rtl="0">
            <a:defRPr sz="1000"/>
          </a:pPr>
          <a:r>
            <a:rPr lang="en-US" sz="800" b="0" i="0" u="none" strike="noStrike" baseline="0">
              <a:solidFill>
                <a:srgbClr val="000000"/>
              </a:solidFill>
              <a:latin typeface="Arial"/>
              <a:cs typeface="Arial"/>
            </a:rPr>
            <a:t>- A vented mine is one that can release methane to the atmosphere freely.  The emissions of vented mines will depend on time since abandonment and coal characteristics.</a:t>
          </a:r>
        </a:p>
        <a:p>
          <a:pPr algn="l" rtl="0">
            <a:defRPr sz="1000"/>
          </a:pPr>
          <a:r>
            <a:rPr lang="en-US" sz="800" b="0" i="0" u="none" strike="noStrike" baseline="0">
              <a:solidFill>
                <a:srgbClr val="000000"/>
              </a:solidFill>
              <a:latin typeface="Arial"/>
              <a:cs typeface="Arial"/>
            </a:rPr>
            <a:t>- A sealed mine has been sealed to prevent the escape of methane.  However given the nature of the rock used to seal mines, such sealing is never 100 percent effective.  The effect of a seal is to slow the methane emissions to spread them out over a longer period of time.</a:t>
          </a:r>
        </a:p>
        <a:p>
          <a:pPr algn="l" rtl="0">
            <a:defRPr sz="1000"/>
          </a:pPr>
          <a:r>
            <a:rPr lang="en-US" sz="800" b="0" i="0" u="none" strike="noStrike" baseline="0">
              <a:solidFill>
                <a:srgbClr val="000000"/>
              </a:solidFill>
              <a:latin typeface="Arial"/>
              <a:cs typeface="Arial"/>
            </a:rPr>
            <a:t>- After a mine is abandoned and in a flood prone area, the mine will fill up with water.  A completely flooded mine releases little to no methane to the atmosphere.  Therefore, most emissions will occur in the first few years following abandonment.</a:t>
          </a:r>
        </a:p>
        <a:p>
          <a:pPr algn="l" rtl="0">
            <a:defRPr sz="1000"/>
          </a:pPr>
          <a:endParaRPr lang="en-US" sz="800" b="0" i="0" u="none" strike="noStrike" baseline="0">
            <a:solidFill>
              <a:srgbClr val="000000"/>
            </a:solidFill>
            <a:latin typeface="Arial"/>
            <a:cs typeface="Arial"/>
          </a:endParaRPr>
        </a:p>
        <a:p>
          <a:pPr algn="l" rtl="0">
            <a:defRPr sz="1000"/>
          </a:pPr>
          <a:r>
            <a:rPr lang="en-US" sz="800" b="0" i="0" u="none" strike="noStrike" baseline="0">
              <a:solidFill>
                <a:srgbClr val="000000"/>
              </a:solidFill>
              <a:latin typeface="Arial"/>
              <a:cs typeface="Arial"/>
            </a:rPr>
            <a:t>For more information, please refer to the Coal Mining chapter of the EPA SIT User's Guide.</a:t>
          </a:r>
        </a:p>
        <a:p>
          <a:pPr algn="l" rtl="0">
            <a:defRPr sz="1000"/>
          </a:pPr>
          <a:endParaRPr lang="en-US" sz="800" b="0" i="0" u="none" strike="noStrike" baseline="0">
            <a:solidFill>
              <a:srgbClr val="000000"/>
            </a:solidFill>
            <a:latin typeface="Arial"/>
            <a:cs typeface="Arial"/>
          </a:endParaRP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1</xdr:col>
      <xdr:colOff>9525</xdr:colOff>
      <xdr:row>1</xdr:row>
      <xdr:rowOff>57150</xdr:rowOff>
    </xdr:from>
    <xdr:to>
      <xdr:col>15</xdr:col>
      <xdr:colOff>381000</xdr:colOff>
      <xdr:row>1</xdr:row>
      <xdr:rowOff>3038475</xdr:rowOff>
    </xdr:to>
    <xdr:sp macro="" textlink="">
      <xdr:nvSpPr>
        <xdr:cNvPr id="1847307" name="Text Box 79"/>
        <xdr:cNvSpPr txBox="1">
          <a:spLocks noChangeArrowheads="1"/>
        </xdr:cNvSpPr>
      </xdr:nvSpPr>
      <xdr:spPr bwMode="auto">
        <a:xfrm>
          <a:off x="228600" y="476250"/>
          <a:ext cx="10125075" cy="2981325"/>
        </a:xfrm>
        <a:prstGeom prst="rect">
          <a:avLst/>
        </a:prstGeom>
        <a:solidFill>
          <a:srgbClr val="C0C0C0"/>
        </a:solidFill>
        <a:ln w="3175">
          <a:solidFill>
            <a:srgbClr val="000000"/>
          </a:solidFill>
          <a:miter lim="800000"/>
          <a:headEnd/>
          <a:tailEnd/>
        </a:ln>
      </xdr:spPr>
      <xdr:txBody>
        <a:bodyPr vertOverflow="clip" wrap="square" lIns="27432" tIns="22860" rIns="0" bIns="0" anchor="t" upright="1"/>
        <a:lstStyle/>
        <a:p>
          <a:pPr algn="l" rtl="0">
            <a:defRPr sz="1000"/>
          </a:pPr>
          <a:r>
            <a:rPr lang="en-US" sz="800" b="0" i="0" u="none" strike="noStrike" baseline="0">
              <a:solidFill>
                <a:srgbClr val="000000"/>
              </a:solidFill>
              <a:latin typeface="Arial"/>
              <a:cs typeface="Arial"/>
            </a:rPr>
            <a:t>To calculate methane emissions from municipal wastewater treatment, the total annual BOD5 production in metric tons is multiplied by the fraction that is treated anaerobically and by the CH4 produced per metric ton of BOD5, converted to million metric tons carbon equivalent (MMTCE), and converted to million metric tons carbon dioxide equivalent (MMTCO2E).  .</a:t>
          </a:r>
        </a:p>
        <a:p>
          <a:pPr algn="l" rtl="0">
            <a:defRPr sz="1000"/>
          </a:pPr>
          <a:endParaRPr lang="en-US" sz="800" b="0" i="0" u="none" strike="noStrike" baseline="0">
            <a:solidFill>
              <a:srgbClr val="000000"/>
            </a:solidFill>
            <a:latin typeface="Arial"/>
            <a:cs typeface="Arial"/>
          </a:endParaRPr>
        </a:p>
        <a:p>
          <a:pPr algn="l" rtl="0">
            <a:defRPr sz="1000"/>
          </a:pPr>
          <a:r>
            <a:rPr lang="en-US" sz="800" b="0" i="0" u="none" strike="noStrike" baseline="0">
              <a:solidFill>
                <a:srgbClr val="000000"/>
              </a:solidFill>
              <a:latin typeface="Arial"/>
              <a:cs typeface="Arial"/>
            </a:rPr>
            <a:t>Municipal wastewater treatment direct N2O emissions are calculated by multiplying total population served by an N2O emission factor per person per year, converted to million metric tons carbon equivalent (MMTCE), and converted to million metric tons carbon dioxide equivalent (MMTCO2E).  </a:t>
          </a:r>
        </a:p>
        <a:p>
          <a:pPr algn="l" rtl="0">
            <a:defRPr sz="1000"/>
          </a:pPr>
          <a:endParaRPr lang="en-US" sz="800" b="0" i="0" u="none" strike="noStrike" baseline="0">
            <a:solidFill>
              <a:srgbClr val="000000"/>
            </a:solidFill>
            <a:latin typeface="Arial"/>
            <a:cs typeface="Arial"/>
          </a:endParaRPr>
        </a:p>
        <a:p>
          <a:pPr algn="l" rtl="0">
            <a:defRPr sz="1000"/>
          </a:pPr>
          <a:r>
            <a:rPr lang="en-US" sz="800" b="0" i="0" u="none" strike="noStrike" baseline="0">
              <a:solidFill>
                <a:srgbClr val="000000"/>
              </a:solidFill>
              <a:latin typeface="Arial"/>
              <a:cs typeface="Arial"/>
            </a:rPr>
            <a:t>Municipal wastewater N2O emissions from biosolids are calculated by multiplying the total annual protein consumption by the nitrogen content of protein and fraction of nitrogen not consumed, an N2O emission factor per metric ton of nitrogen treated, subtracting direct emissions, converted to million metric tons carbon equivalent (MMTCE), and converted to million metric tons carbon dioxide equivalent (MMTCO2E).   Direct and biosolids N2O emissions are then added to produce an estimate of total municipal wastewater treatment N2O emissions.  </a:t>
          </a:r>
        </a:p>
        <a:p>
          <a:pPr algn="l" rtl="0">
            <a:defRPr sz="1000"/>
          </a:pPr>
          <a:endParaRPr lang="en-US" sz="800" b="0" i="0" u="none" strike="noStrike" baseline="0">
            <a:solidFill>
              <a:srgbClr val="000000"/>
            </a:solidFill>
            <a:latin typeface="Arial"/>
            <a:cs typeface="Arial"/>
          </a:endParaRPr>
        </a:p>
        <a:p>
          <a:pPr algn="l" rtl="0">
            <a:defRPr sz="1000"/>
          </a:pPr>
          <a:r>
            <a:rPr lang="en-US" sz="800" b="0" i="0" u="none" strike="noStrike" baseline="0">
              <a:solidFill>
                <a:srgbClr val="000000"/>
              </a:solidFill>
              <a:latin typeface="Arial"/>
              <a:cs typeface="Arial"/>
            </a:rPr>
            <a:t>Emissions from treatment of industrial wastewater from fruit and vegetables is based annual metric tons produced and factored by the volume of wastewater produced per unit production, the average organic matter content of wastewater from those processes, a CH4 emission factor, the percent treated anaerobically, converted to million metric tons carbon equivalent (MMTCE), and converted to million metric tons carbon dioxide equivalent (MMTCO2E).  </a:t>
          </a:r>
        </a:p>
        <a:p>
          <a:pPr algn="l" rtl="0">
            <a:defRPr sz="1000"/>
          </a:pPr>
          <a:endParaRPr lang="en-US" sz="800" b="0" i="0" u="none" strike="noStrike" baseline="0">
            <a:solidFill>
              <a:srgbClr val="000000"/>
            </a:solidFill>
            <a:latin typeface="Arial"/>
            <a:cs typeface="Arial"/>
          </a:endParaRPr>
        </a:p>
        <a:p>
          <a:pPr algn="l" rtl="0">
            <a:defRPr sz="1000"/>
          </a:pPr>
          <a:r>
            <a:rPr lang="en-US" sz="800" b="0" i="0" u="none" strike="noStrike" baseline="0">
              <a:solidFill>
                <a:srgbClr val="000000"/>
              </a:solidFill>
              <a:latin typeface="Arial"/>
              <a:cs typeface="Arial"/>
            </a:rPr>
            <a:t>Emissions from treatment of industrial wastewater from red meat is based annual metric tons produced and factored by the volume of wastewater produced per unit production, the average organic matter content of wastewater from those processes, a CH4 emission factor, the percent treated anaerobically, converted to million metric tons carbon equivalent (MMTCE), and converted to million metric tons carbon dioxide equivalent (MMTCO2E).  </a:t>
          </a:r>
        </a:p>
        <a:p>
          <a:pPr algn="l" rtl="0">
            <a:defRPr sz="1000"/>
          </a:pPr>
          <a:endParaRPr lang="en-US" sz="800" b="0" i="0" u="none" strike="noStrike" baseline="0">
            <a:solidFill>
              <a:srgbClr val="000000"/>
            </a:solidFill>
            <a:latin typeface="Arial"/>
            <a:cs typeface="Arial"/>
          </a:endParaRPr>
        </a:p>
        <a:p>
          <a:pPr algn="l" rtl="0">
            <a:defRPr sz="1000"/>
          </a:pPr>
          <a:r>
            <a:rPr lang="en-US" sz="800" b="0" i="0" u="none" strike="noStrike" baseline="0">
              <a:solidFill>
                <a:srgbClr val="000000"/>
              </a:solidFill>
              <a:latin typeface="Arial"/>
              <a:cs typeface="Arial"/>
            </a:rPr>
            <a:t>Emissions from treatment of industrial wastewater from poultry is based annual metric tons produced and factored by the volume of wastewater produced per unit production, the average organic matter content of wastewater from those processes, a CH4 emission factor, the percent treated anaerobically, converted to million metric tons carbon equivalent (MMTCE), and converted to million metric tons carbon dioxide equivalent (MMTCO2E).  </a:t>
          </a:r>
        </a:p>
        <a:p>
          <a:pPr algn="l" rtl="0">
            <a:defRPr sz="1000"/>
          </a:pPr>
          <a:endParaRPr lang="en-US" sz="800" b="0" i="0" u="none" strike="noStrike" baseline="0">
            <a:solidFill>
              <a:srgbClr val="000000"/>
            </a:solidFill>
            <a:latin typeface="Arial"/>
            <a:cs typeface="Arial"/>
          </a:endParaRPr>
        </a:p>
        <a:p>
          <a:pPr algn="l" rtl="0">
            <a:defRPr sz="1000"/>
          </a:pPr>
          <a:r>
            <a:rPr lang="en-US" sz="800" b="0" i="0" u="none" strike="noStrike" baseline="0">
              <a:solidFill>
                <a:srgbClr val="000000"/>
              </a:solidFill>
              <a:latin typeface="Arial"/>
              <a:cs typeface="Arial"/>
            </a:rPr>
            <a:t>Emissions from treatment of industrial wastewater from pulp and paper production is based annual metric tons produced and factored by the volume of wastewater produced per unit production, the average organic matter content of wastewater from those processes, a CH4 emission factor, the percent treated anaerobically, converted to million metric tons carbon equivalent (MMTCE), and converted to million metric tons carbon dioxide equivalent (MMTCO2E).  </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24</xdr:col>
      <xdr:colOff>295275</xdr:colOff>
      <xdr:row>0</xdr:row>
      <xdr:rowOff>238125</xdr:rowOff>
    </xdr:from>
    <xdr:to>
      <xdr:col>42</xdr:col>
      <xdr:colOff>428625</xdr:colOff>
      <xdr:row>42</xdr:row>
      <xdr:rowOff>19050</xdr:rowOff>
    </xdr:to>
    <xdr:sp macro="" textlink="">
      <xdr:nvSpPr>
        <xdr:cNvPr id="1848393" name="Text Box 79"/>
        <xdr:cNvSpPr txBox="1">
          <a:spLocks noChangeArrowheads="1"/>
        </xdr:cNvSpPr>
      </xdr:nvSpPr>
      <xdr:spPr bwMode="auto">
        <a:xfrm>
          <a:off x="13115925" y="238125"/>
          <a:ext cx="9477375" cy="10191750"/>
        </a:xfrm>
        <a:prstGeom prst="rect">
          <a:avLst/>
        </a:prstGeom>
        <a:solidFill>
          <a:srgbClr val="C0C0C0"/>
        </a:solidFill>
        <a:ln w="3175">
          <a:solidFill>
            <a:srgbClr val="000000"/>
          </a:solidFill>
          <a:miter lim="800000"/>
          <a:headEnd/>
          <a:tailEnd/>
        </a:ln>
      </xdr:spPr>
      <xdr:txBody>
        <a:bodyPr vertOverflow="clip" wrap="square" lIns="27432" tIns="22860" rIns="0" bIns="0" anchor="t" upright="1"/>
        <a:lstStyle/>
        <a:p>
          <a:pPr algn="l" rtl="0">
            <a:defRPr sz="1000"/>
          </a:pPr>
          <a:r>
            <a:rPr lang="en-US" sz="800" b="0" i="0" u="none" strike="noStrike" baseline="0">
              <a:solidFill>
                <a:srgbClr val="000000"/>
              </a:solidFill>
              <a:latin typeface="Arial"/>
              <a:cs typeface="Arial"/>
            </a:rPr>
            <a:t>Emissions from the Agricultural Sector are calculated by summing the emissions from the following sources:</a:t>
          </a:r>
        </a:p>
        <a:p>
          <a:pPr algn="l" rtl="0">
            <a:defRPr sz="1000"/>
          </a:pPr>
          <a:r>
            <a:rPr lang="en-US" sz="800" b="0" i="0" u="none" strike="noStrike" baseline="0">
              <a:solidFill>
                <a:srgbClr val="000000"/>
              </a:solidFill>
              <a:latin typeface="Arial"/>
              <a:cs typeface="Arial"/>
            </a:rPr>
            <a:t>        • Enteric Fermentation</a:t>
          </a:r>
        </a:p>
        <a:p>
          <a:pPr algn="l" rtl="0">
            <a:defRPr sz="1000"/>
          </a:pPr>
          <a:r>
            <a:rPr lang="en-US" sz="800" b="0" i="0" u="none" strike="noStrike" baseline="0">
              <a:solidFill>
                <a:srgbClr val="000000"/>
              </a:solidFill>
              <a:latin typeface="Arial"/>
              <a:cs typeface="Arial"/>
            </a:rPr>
            <a:t>        • Manure Management</a:t>
          </a:r>
        </a:p>
        <a:p>
          <a:pPr algn="l" rtl="0">
            <a:defRPr sz="1000"/>
          </a:pPr>
          <a:r>
            <a:rPr lang="en-US" sz="800" b="0" i="0" u="none" strike="noStrike" baseline="0">
              <a:solidFill>
                <a:srgbClr val="000000"/>
              </a:solidFill>
              <a:latin typeface="Arial"/>
              <a:cs typeface="Arial"/>
            </a:rPr>
            <a:t>        • Plant Residues</a:t>
          </a:r>
        </a:p>
        <a:p>
          <a:pPr algn="l" rtl="0">
            <a:defRPr sz="1000"/>
          </a:pPr>
          <a:r>
            <a:rPr lang="en-US" sz="800" b="0" i="0" u="none" strike="noStrike" baseline="0">
              <a:solidFill>
                <a:srgbClr val="000000"/>
              </a:solidFill>
              <a:latin typeface="Arial"/>
              <a:cs typeface="Arial"/>
            </a:rPr>
            <a:t>        • Fertilizers</a:t>
          </a:r>
        </a:p>
        <a:p>
          <a:pPr algn="l" rtl="0">
            <a:defRPr sz="1000"/>
          </a:pPr>
          <a:r>
            <a:rPr lang="en-US" sz="800" b="0" i="0" u="none" strike="noStrike" baseline="0">
              <a:solidFill>
                <a:srgbClr val="000000"/>
              </a:solidFill>
              <a:latin typeface="Arial"/>
              <a:cs typeface="Arial"/>
            </a:rPr>
            <a:t>        • Animals</a:t>
          </a:r>
        </a:p>
        <a:p>
          <a:pPr algn="l" rtl="0">
            <a:defRPr sz="1000"/>
          </a:pPr>
          <a:r>
            <a:rPr lang="en-US" sz="800" b="0" i="0" u="none" strike="noStrike" baseline="0">
              <a:solidFill>
                <a:srgbClr val="000000"/>
              </a:solidFill>
              <a:latin typeface="Arial"/>
              <a:cs typeface="Arial"/>
            </a:rPr>
            <a:t>        • Rice Cultivation</a:t>
          </a:r>
        </a:p>
        <a:p>
          <a:pPr algn="l" rtl="0">
            <a:defRPr sz="1000"/>
          </a:pPr>
          <a:r>
            <a:rPr lang="en-US" sz="800" b="0" i="0" u="none" strike="noStrike" baseline="0">
              <a:solidFill>
                <a:srgbClr val="000000"/>
              </a:solidFill>
              <a:latin typeface="Arial"/>
              <a:cs typeface="Arial"/>
            </a:rPr>
            <a:t>        • Agricultural Residue Burning</a:t>
          </a:r>
        </a:p>
        <a:p>
          <a:pPr algn="l" rtl="0">
            <a:defRPr sz="1000"/>
          </a:pPr>
          <a:endParaRPr lang="en-US" sz="800" b="0" i="0" u="none" strike="noStrike" baseline="0">
            <a:solidFill>
              <a:srgbClr val="000000"/>
            </a:solidFill>
            <a:latin typeface="Arial"/>
            <a:cs typeface="Arial"/>
          </a:endParaRPr>
        </a:p>
        <a:p>
          <a:pPr algn="l" rtl="0">
            <a:defRPr sz="1000"/>
          </a:pPr>
          <a:r>
            <a:rPr lang="en-US" sz="800" b="0" i="0" u="none" strike="noStrike" baseline="0">
              <a:solidFill>
                <a:srgbClr val="000000"/>
              </a:solidFill>
              <a:latin typeface="Arial"/>
              <a:cs typeface="Arial"/>
            </a:rPr>
            <a:t>Emissions from Enteric Fermentation are calculated by multiplying each animal population by an animal- and region-specific emission factor.  Those resulting values, in kg CH4, are then converted to million metric tons (MMTCH4), MMT carbon equivalent (MMTCE), MMT carbon dioxide  equivalent (MMTCO2E), and then summed across animal types within a given year.  </a:t>
          </a:r>
        </a:p>
        <a:p>
          <a:pPr algn="l" rtl="0">
            <a:defRPr sz="1000"/>
          </a:pPr>
          <a:endParaRPr lang="en-US" sz="800" b="0" i="0" u="none" strike="noStrike" baseline="0">
            <a:solidFill>
              <a:srgbClr val="000000"/>
            </a:solidFill>
            <a:latin typeface="Arial"/>
            <a:cs typeface="Arial"/>
          </a:endParaRPr>
        </a:p>
        <a:p>
          <a:pPr algn="l" rtl="0">
            <a:defRPr sz="1000"/>
          </a:pPr>
          <a:r>
            <a:rPr lang="en-US" sz="800" b="0" i="0" u="none" strike="noStrike" baseline="0">
              <a:solidFill>
                <a:srgbClr val="000000"/>
              </a:solidFill>
              <a:latin typeface="Arial"/>
              <a:cs typeface="Arial"/>
            </a:rPr>
            <a:t>Methane emissions from Manure Management are calculated by multiplying each animal population by the typical animal mass (TAM) and the average volatile solids (VS) produced per kilogram (kg) of animal mass per year to estimate the amount of VS produced.  For each animal, this VS total is muliplied by the maximum potential emissions factor and by the methane conversion factor (MCF) of the manure system by the percentage manure managed in that system.  This yields methane emissions in cubic meters which are then converted to MMTCE, MMT carbon dioxide  equivalent (MMTCO2E), and then summed.  </a:t>
          </a:r>
        </a:p>
        <a:p>
          <a:pPr algn="l" rtl="0">
            <a:defRPr sz="1000"/>
          </a:pPr>
          <a:endParaRPr lang="en-US" sz="800" b="0" i="0" u="none" strike="noStrike" baseline="0">
            <a:solidFill>
              <a:srgbClr val="000000"/>
            </a:solidFill>
            <a:latin typeface="Arial"/>
            <a:cs typeface="Arial"/>
          </a:endParaRPr>
        </a:p>
        <a:p>
          <a:pPr algn="l" rtl="0">
            <a:defRPr sz="1000"/>
          </a:pPr>
          <a:r>
            <a:rPr lang="en-US" sz="800" b="0" i="0" u="none" strike="noStrike" baseline="0">
              <a:solidFill>
                <a:srgbClr val="000000"/>
              </a:solidFill>
              <a:latin typeface="Arial"/>
              <a:cs typeface="Arial"/>
            </a:rPr>
            <a:t>N2O emissions from Manure Management are calculated by multiplying each animal population by the typical animal mass (TAM) by the amount of nitrogen produced per kilogram of animal mass per year.  This value is then multiplied by a non-volatization factor and the proportion of waste processed in liquid and solid management systems to give two totals of unvolatized N.  Each of these are multiplied by an emission factor specific to the management system to give two totals of nitrogen emissions.  These totals are then summed and converted to N2O.  This amount is then converted to MMTCE, MMT carbon dioxide equivalent (MMTCO2E), and then summed.  </a:t>
          </a:r>
        </a:p>
        <a:p>
          <a:pPr algn="l" rtl="0">
            <a:defRPr sz="1000"/>
          </a:pPr>
          <a:endParaRPr lang="en-US" sz="800" b="0" i="0" u="none" strike="noStrike" baseline="0">
            <a:solidFill>
              <a:srgbClr val="000000"/>
            </a:solidFill>
            <a:latin typeface="Arial"/>
            <a:cs typeface="Arial"/>
          </a:endParaRPr>
        </a:p>
        <a:p>
          <a:pPr algn="l" rtl="0">
            <a:defRPr sz="1000"/>
          </a:pPr>
          <a:r>
            <a:rPr lang="en-US" sz="800" b="0" i="0" u="none" strike="noStrike" baseline="0">
              <a:solidFill>
                <a:srgbClr val="000000"/>
              </a:solidFill>
              <a:latin typeface="Arial"/>
              <a:cs typeface="Arial"/>
            </a:rPr>
            <a:t>Emissions from Plant Residues are calculated by first converting the crop production to metric tons.  This value is multiplied by the ratio of plant residue to crop mass, the fraction of dry matter in the residue, the fraction of residue applied, and the N content of the residue.  These values are summed to yield total N returned to soils, multiplied by an emission factor (EF), and converted to N2O.  For Legumes, the crop production is multiplied by the residue to crop mass ratio, the dry matter fraction, and the N content of above-ground biomass.  These values are then summed to yield total N-fixed by crops, multiplied by an EF, and converted to N2O.  Emissions from histosols are calculated by converting acres cultivated into hectares, multiplying by an EF, and then converting to N2O.  This amount is also converted to MMTCE, MMT carbon dioxide equivalent (MMTCO2E).  </a:t>
          </a:r>
        </a:p>
        <a:p>
          <a:pPr algn="l" rtl="0">
            <a:defRPr sz="1000"/>
          </a:pPr>
          <a:r>
            <a:rPr lang="en-US" sz="800" b="0" i="0" u="none" strike="noStrike" baseline="0">
              <a:solidFill>
                <a:srgbClr val="000000"/>
              </a:solidFill>
              <a:latin typeface="Arial"/>
              <a:cs typeface="Arial"/>
            </a:rPr>
            <a:t>Emissions of N2O from Fertilizers are calculated by first adjusting synthetic and organic fertilizer use data (in kg N) to calendar year.  The amount of N in synthetic fertilizer is multiplied by a synthetic volatilization rate to estimate volatilized N.  According to the IPCC Good Practice Guidance, the manure portion of organic fertilizers is subtracted from the total of organic fertilizers. Then, the amount of N in non-manure organic fertilizer is multiplied by the fraction N in other organics and by an organic volatilization rate to estimate organic volatilized N.  Unvolatilized N for synthetic and organic fertilizer is calculated using the remaining fraction of the volatilization rates.  These categories are summed, multiplied by an EF, and converted to metric tons of N2O emitted.  This amount is also converted to MMTCE, MMT carbon dioxide equivalent (MMTCO2E).  </a:t>
          </a:r>
        </a:p>
        <a:p>
          <a:pPr algn="l" rtl="0">
            <a:defRPr sz="1000"/>
          </a:pPr>
          <a:endParaRPr lang="en-US" sz="800" b="0" i="0" u="none" strike="noStrike" baseline="0">
            <a:solidFill>
              <a:srgbClr val="000000"/>
            </a:solidFill>
            <a:latin typeface="Arial"/>
            <a:cs typeface="Arial"/>
          </a:endParaRPr>
        </a:p>
        <a:p>
          <a:pPr algn="l" rtl="0">
            <a:defRPr sz="1000"/>
          </a:pPr>
          <a:r>
            <a:rPr lang="en-US" sz="800" b="0" i="0" u="none" strike="noStrike" baseline="0">
              <a:solidFill>
                <a:srgbClr val="000000"/>
              </a:solidFill>
              <a:latin typeface="Arial"/>
              <a:cs typeface="Arial"/>
            </a:rPr>
            <a:t>Emissions from Animals are calculated by multiplying each animal population by the typical animal mass (TAM) by the amount of K-Nitrogen (K-N) produced per kilogram of animal mass per year for total K-N excreted.  Indirect emissions are estimated by multiplying K-N by a volatization rate and EF to give emissions of N.  Direct emissions from pasture, range, and paddock are calculated by multiplying K-N by the percent of manure in pastures and an EF for that system.  Direct emissions from manure applied to soils are calculated by multiplying K-N for daily spread and managed systems by the percent of manure in these systems and an EF for each system, excluding a small percent of managed manure used as feed.  These totals are then summed and converted to N2O.  Unvolatized N from fertilizers, calculated on the previous worksheet, and K-N from manure are multiplied by a leaching EF to give emissions from leaching and runoff.  The emissions summary for each year converts the total direct and indirect estimates for livestock and runoff/leaching to MTN2O, MMTCE, and then MMT carbon dioxide equivalent (MMTCO2E).  </a:t>
          </a:r>
        </a:p>
        <a:p>
          <a:pPr algn="l" rtl="0">
            <a:defRPr sz="1000"/>
          </a:pPr>
          <a:endParaRPr lang="en-US" sz="800" b="0" i="0" u="none" strike="noStrike" baseline="0">
            <a:solidFill>
              <a:srgbClr val="000000"/>
            </a:solidFill>
            <a:latin typeface="Arial"/>
            <a:cs typeface="Arial"/>
          </a:endParaRPr>
        </a:p>
        <a:p>
          <a:pPr algn="l" rtl="0">
            <a:defRPr sz="1000"/>
          </a:pPr>
          <a:r>
            <a:rPr lang="en-US" sz="800" b="0" i="0" u="none" strike="noStrike" baseline="0">
              <a:solidFill>
                <a:srgbClr val="000000"/>
              </a:solidFill>
              <a:latin typeface="Arial"/>
              <a:cs typeface="Arial"/>
            </a:rPr>
            <a:t>Emissions from Rice Cultivation are calculated using the area harvested.  There is no rice cultivation in Maryland.  </a:t>
          </a:r>
        </a:p>
        <a:p>
          <a:pPr algn="l" rtl="0">
            <a:defRPr sz="1000"/>
          </a:pPr>
          <a:endParaRPr lang="en-US" sz="800" b="0" i="0" u="none" strike="noStrike" baseline="0">
            <a:solidFill>
              <a:srgbClr val="000000"/>
            </a:solidFill>
            <a:latin typeface="Arial"/>
            <a:cs typeface="Arial"/>
          </a:endParaRPr>
        </a:p>
        <a:p>
          <a:pPr algn="l" rtl="0">
            <a:defRPr sz="1000"/>
          </a:pPr>
          <a:r>
            <a:rPr lang="en-US" sz="800" b="0" i="0" u="none" strike="noStrike" baseline="0">
              <a:solidFill>
                <a:srgbClr val="000000"/>
              </a:solidFill>
              <a:latin typeface="Arial"/>
              <a:cs typeface="Arial"/>
            </a:rPr>
            <a:t>Emissions from Agricultural Residue Burning are calculated by multiplying the amount of crop produced by a series of factors to calculate the amount of crop residue produced and burned, the resultant dry matter, and the carbon/nitrogen content of this dry matter.  From these, the amount of carbon and nitrogen released can be determined, and thus methane and nitrous oxide emissions quantified.  Those resulting values, in metric tons of gas, are converted to million metric tons carbon equivalent (MMTCE), then to million metric tons carbon dioxide equivalent MMTCO2E, and then summed.  Note that default emission factors are available through 2007.</a:t>
          </a:r>
        </a:p>
        <a:p>
          <a:pPr algn="l" rtl="0">
            <a:defRPr sz="1000"/>
          </a:pPr>
          <a:endParaRPr lang="en-US" sz="800" b="0" i="0" u="none" strike="noStrike" baseline="0">
            <a:solidFill>
              <a:srgbClr val="000000"/>
            </a:solidFill>
            <a:latin typeface="Arial"/>
            <a:cs typeface="Arial"/>
          </a:endParaRPr>
        </a:p>
      </xdr:txBody>
    </xdr:sp>
    <xdr:clientData/>
  </xdr:twoCellAnchor>
  <xdr:twoCellAnchor>
    <xdr:from>
      <xdr:col>1</xdr:col>
      <xdr:colOff>19050</xdr:colOff>
      <xdr:row>1</xdr:row>
      <xdr:rowOff>76200</xdr:rowOff>
    </xdr:from>
    <xdr:to>
      <xdr:col>19</xdr:col>
      <xdr:colOff>171450</xdr:colOff>
      <xdr:row>1</xdr:row>
      <xdr:rowOff>4476750</xdr:rowOff>
    </xdr:to>
    <xdr:sp macro="" textlink="">
      <xdr:nvSpPr>
        <xdr:cNvPr id="1848394" name="Text Box 79"/>
        <xdr:cNvSpPr txBox="1">
          <a:spLocks noChangeArrowheads="1"/>
        </xdr:cNvSpPr>
      </xdr:nvSpPr>
      <xdr:spPr bwMode="auto">
        <a:xfrm>
          <a:off x="361950" y="495300"/>
          <a:ext cx="10572750" cy="4400550"/>
        </a:xfrm>
        <a:prstGeom prst="rect">
          <a:avLst/>
        </a:prstGeom>
        <a:solidFill>
          <a:srgbClr val="C0C0C0"/>
        </a:solidFill>
        <a:ln w="3175">
          <a:solidFill>
            <a:srgbClr val="000000"/>
          </a:solidFill>
          <a:miter lim="800000"/>
          <a:headEnd/>
          <a:tailEnd/>
        </a:ln>
      </xdr:spPr>
      <xdr:txBody>
        <a:bodyPr vertOverflow="clip" wrap="square" lIns="27432" tIns="22860" rIns="0" bIns="0" anchor="t" upright="1"/>
        <a:lstStyle/>
        <a:p>
          <a:pPr algn="l" rtl="0">
            <a:defRPr sz="1000"/>
          </a:pPr>
          <a:r>
            <a:rPr lang="en-US" sz="800" b="1" i="0" u="none" strike="noStrike" baseline="0">
              <a:solidFill>
                <a:srgbClr val="000000"/>
              </a:solidFill>
              <a:latin typeface="Arial"/>
              <a:cs typeface="Arial"/>
            </a:rPr>
            <a:t>Enteric Fermentation</a:t>
          </a:r>
          <a:endParaRPr lang="en-US" sz="800" b="0" i="0" u="none" strike="noStrike" baseline="0">
            <a:solidFill>
              <a:srgbClr val="000000"/>
            </a:solidFill>
            <a:latin typeface="Arial"/>
            <a:cs typeface="Arial"/>
          </a:endParaRPr>
        </a:p>
        <a:p>
          <a:pPr algn="l" rtl="0">
            <a:defRPr sz="1000"/>
          </a:pPr>
          <a:r>
            <a:rPr lang="en-US" sz="800" b="0" i="0" u="none" strike="noStrike" baseline="0">
              <a:solidFill>
                <a:srgbClr val="000000"/>
              </a:solidFill>
              <a:latin typeface="Arial"/>
              <a:cs typeface="Arial"/>
            </a:rPr>
            <a:t>Emissions from Enteric Fermentation are calculated by multiplying each animal population by an animal- and region-specific emission factor.  Those resulting values, in kg CH4, are then converted to million metric tons (MMTCH4), MMT carbon equivalent (MMTCE), MMT carbon dioxide  equivalent (MMTCO2E), and then summed across animal types within a given year.  </a:t>
          </a:r>
        </a:p>
        <a:p>
          <a:pPr algn="l" rtl="0">
            <a:defRPr sz="1000"/>
          </a:pPr>
          <a:endParaRPr lang="en-US" sz="800" b="0" i="0" u="none" strike="noStrike" baseline="0">
            <a:solidFill>
              <a:srgbClr val="000000"/>
            </a:solidFill>
            <a:latin typeface="Arial"/>
            <a:cs typeface="Arial"/>
          </a:endParaRPr>
        </a:p>
        <a:p>
          <a:pPr algn="l" rtl="0">
            <a:defRPr sz="1000"/>
          </a:pPr>
          <a:r>
            <a:rPr lang="en-US" sz="800" b="1" i="0" u="none" strike="noStrike" baseline="0">
              <a:solidFill>
                <a:srgbClr val="000000"/>
              </a:solidFill>
              <a:latin typeface="Arial"/>
              <a:cs typeface="Arial"/>
            </a:rPr>
            <a:t>Manure Management</a:t>
          </a:r>
          <a:endParaRPr lang="en-US" sz="800" b="0" i="0" u="none" strike="noStrike" baseline="0">
            <a:solidFill>
              <a:srgbClr val="000000"/>
            </a:solidFill>
            <a:latin typeface="Arial"/>
            <a:cs typeface="Arial"/>
          </a:endParaRPr>
        </a:p>
        <a:p>
          <a:pPr algn="l" rtl="0">
            <a:defRPr sz="1000"/>
          </a:pPr>
          <a:r>
            <a:rPr lang="en-US" sz="800" b="0" i="0" u="none" strike="noStrike" baseline="0">
              <a:solidFill>
                <a:srgbClr val="000000"/>
              </a:solidFill>
              <a:latin typeface="Arial"/>
              <a:cs typeface="Arial"/>
            </a:rPr>
            <a:t>Methane emissions from Manure Management are calculated by multiplying each animal population by the typical animal mass (TAM) and the average volatile solids (VS) produced per kilogram (kg) of animal mass per year to estimate the amount of VS produced.  For each animal, this VS total is muliplied by the maximum potential emissions factor and by the methane conversion factor (MCF) of the manure system by the percentage manure managed in that system.  This yields methane emissions in cubic meters which are then converted to MMTCE, MMT carbon dioxide equivalent (MMTCO2E), and then summed.  </a:t>
          </a:r>
        </a:p>
        <a:p>
          <a:pPr algn="l" rtl="0">
            <a:defRPr sz="1000"/>
          </a:pPr>
          <a:endParaRPr lang="en-US" sz="800" b="0" i="0" u="none" strike="noStrike" baseline="0">
            <a:solidFill>
              <a:srgbClr val="000000"/>
            </a:solidFill>
            <a:latin typeface="Arial"/>
            <a:cs typeface="Arial"/>
          </a:endParaRPr>
        </a:p>
        <a:p>
          <a:pPr algn="l" rtl="0">
            <a:defRPr sz="1000"/>
          </a:pPr>
          <a:r>
            <a:rPr lang="en-US" sz="800" b="0" i="0" u="none" strike="noStrike" baseline="0">
              <a:solidFill>
                <a:srgbClr val="000000"/>
              </a:solidFill>
              <a:latin typeface="Arial"/>
              <a:cs typeface="Arial"/>
            </a:rPr>
            <a:t>N2O emissions from Manure Management are calculated by multiplying each animal population by the typical animal mass (TAM) by the amount of Kjejdahl nitrogen produced per kilogram of animal mass per year.  This value is then multiplied by a non-volatization factor and the proportion of waste processed in liquid and solid management systems to give two totals of unvolatized N.  Each of these are multiplied by an emission factor specific to the management system to give two totals of nitrogen emissions.  These totals are then summed and converted to N2O.  This amount is then converted to MMTCE, MMT carbon dioxide equivalent (MMTCO2E), and then summed.  </a:t>
          </a:r>
        </a:p>
        <a:p>
          <a:pPr algn="l" rtl="0">
            <a:defRPr sz="1000"/>
          </a:pPr>
          <a:endParaRPr lang="en-US" sz="800" b="0" i="0" u="none" strike="noStrike" baseline="0">
            <a:solidFill>
              <a:srgbClr val="000000"/>
            </a:solidFill>
            <a:latin typeface="Arial"/>
            <a:cs typeface="Arial"/>
          </a:endParaRPr>
        </a:p>
        <a:p>
          <a:pPr algn="l" rtl="0">
            <a:defRPr sz="1000"/>
          </a:pPr>
          <a:r>
            <a:rPr lang="en-US" sz="800" b="1" i="0" u="none" strike="noStrike" baseline="0">
              <a:solidFill>
                <a:srgbClr val="000000"/>
              </a:solidFill>
              <a:latin typeface="Arial"/>
              <a:cs typeface="Arial"/>
            </a:rPr>
            <a:t>Ag Soils – Plant: Residues &amp; Legumes</a:t>
          </a:r>
          <a:endParaRPr lang="en-US" sz="800" b="0" i="0" u="none" strike="noStrike" baseline="0">
            <a:solidFill>
              <a:srgbClr val="000000"/>
            </a:solidFill>
            <a:latin typeface="Arial"/>
            <a:cs typeface="Arial"/>
          </a:endParaRPr>
        </a:p>
        <a:p>
          <a:pPr algn="l" rtl="0">
            <a:defRPr sz="1000"/>
          </a:pPr>
          <a:r>
            <a:rPr lang="en-US" sz="800" b="0" i="0" u="none" strike="noStrike" baseline="0">
              <a:solidFill>
                <a:srgbClr val="000000"/>
              </a:solidFill>
              <a:latin typeface="Arial"/>
              <a:cs typeface="Arial"/>
            </a:rPr>
            <a:t>Emissions from Plant Residues are calculated by first converting the crop production to metric tons.  This value is multiplied by the ratio of plant residue to crop mass, the fraction of dry matter in the residue, the fraction of residue applied, and the N content of the residue.  These values are summed to yield total N returned to soils, multiplied by an emission factor (EF), and converted to N2O.  For Legumes, the crop production is multiplied by the residue to crop mass ratio, the dry matter fraction, and the N content of above-ground biomass.  These values are then summed to yield total N-fixed by crops, multiplied by an EF, and converted to N2O.  Emissions from histosols are calculated by converting acres cultivated into hectares, multiplying by an EF, and then converting to N2O.  This amount is also converted to MMTCE, MMT carbon dioxide equivalent (MMTCO2E).  </a:t>
          </a:r>
        </a:p>
        <a:p>
          <a:pPr algn="l" rtl="0">
            <a:defRPr sz="1000"/>
          </a:pPr>
          <a:endParaRPr lang="en-US" sz="800" b="0" i="0" u="none" strike="noStrike" baseline="0">
            <a:solidFill>
              <a:srgbClr val="000000"/>
            </a:solidFill>
            <a:latin typeface="Arial"/>
            <a:cs typeface="Arial"/>
          </a:endParaRPr>
        </a:p>
        <a:p>
          <a:pPr algn="l" rtl="0">
            <a:defRPr sz="1000"/>
          </a:pPr>
          <a:r>
            <a:rPr lang="en-US" sz="800" b="1" i="0" u="none" strike="noStrike" baseline="0">
              <a:solidFill>
                <a:srgbClr val="000000"/>
              </a:solidFill>
              <a:latin typeface="Arial"/>
              <a:cs typeface="Arial"/>
            </a:rPr>
            <a:t>Ag Soils – Plant: Fertilizers</a:t>
          </a:r>
          <a:endParaRPr lang="en-US" sz="800" b="0" i="0" u="none" strike="noStrike" baseline="0">
            <a:solidFill>
              <a:srgbClr val="000000"/>
            </a:solidFill>
            <a:latin typeface="Arial"/>
            <a:cs typeface="Arial"/>
          </a:endParaRPr>
        </a:p>
        <a:p>
          <a:pPr algn="l" rtl="0">
            <a:defRPr sz="1000"/>
          </a:pPr>
          <a:r>
            <a:rPr lang="en-US" sz="800" b="0" i="0" u="none" strike="noStrike" baseline="0">
              <a:solidFill>
                <a:srgbClr val="000000"/>
              </a:solidFill>
              <a:latin typeface="Arial"/>
              <a:cs typeface="Arial"/>
            </a:rPr>
            <a:t>Emissions of N2O from Fertilizers are calculated by first adjusting synthetic and organic fertilizer use data (in kg N) to calendar year.  The amount of N in synthetic fertilizer is multiplied by a synthetic volatilization rate to estimate volatilized N.  According to the IPCC Good Practice Guidance, the manure portion of organic fertilizers is subtracted from the total of organic fertilizers. Then, the amount of N in non-manure organic fertilizer is multiplied by the fraction N in other organics and by an organic volatilization rate to estimate organic volatilized N.  Unvolatilized N for synthetic and organic fertilizer is calculated using the remaining fraction of the volatilization rates.  These categories are summed, multiplied by an EF, and converted to metric tons of N2O emitted.  </a:t>
          </a:r>
        </a:p>
        <a:p>
          <a:pPr algn="l" rtl="0">
            <a:defRPr sz="1000"/>
          </a:pPr>
          <a:endParaRPr lang="en-US" sz="800" b="0" i="0" u="none" strike="noStrike" baseline="0">
            <a:solidFill>
              <a:srgbClr val="000000"/>
            </a:solidFill>
            <a:latin typeface="Arial"/>
            <a:cs typeface="Arial"/>
          </a:endParaRPr>
        </a:p>
        <a:p>
          <a:pPr algn="l" rtl="0">
            <a:defRPr sz="1000"/>
          </a:pPr>
          <a:r>
            <a:rPr lang="en-US" sz="800" b="1" i="0" u="none" strike="noStrike" baseline="0">
              <a:solidFill>
                <a:srgbClr val="000000"/>
              </a:solidFill>
              <a:latin typeface="Arial"/>
              <a:cs typeface="Arial"/>
            </a:rPr>
            <a:t>Ag Soils – Animals</a:t>
          </a:r>
          <a:endParaRPr lang="en-US" sz="800" b="0" i="0" u="none" strike="noStrike" baseline="0">
            <a:solidFill>
              <a:srgbClr val="000000"/>
            </a:solidFill>
            <a:latin typeface="Arial"/>
            <a:cs typeface="Arial"/>
          </a:endParaRPr>
        </a:p>
        <a:p>
          <a:pPr algn="l" rtl="0">
            <a:defRPr sz="1000"/>
          </a:pPr>
          <a:r>
            <a:rPr lang="en-US" sz="800" b="0" i="0" u="none" strike="noStrike" baseline="0">
              <a:solidFill>
                <a:srgbClr val="000000"/>
              </a:solidFill>
              <a:latin typeface="Arial"/>
              <a:cs typeface="Arial"/>
            </a:rPr>
            <a:t>Emissions from Animals are calculated by multiplying each animal population by the typical animal mass (TAM) by the amount of K-Nitrogen (K-N) produced per kilogram of animal mass per year for total K-N excreted.  Indirect emissions are estimated by multiplying K-N by a volatization rate and EF to give emissions of N.  Direct emissions from pasture, range, and paddock are calculated by multiplying K-N by the percent of manure in pastures and an EF for that system.  Direct emissions from manure applied to soils are calculated by multiplying K-N for daily spread and managed systems by the percent of manure in these systems and an EF for each system, excluding a small percent of managed manure used as feed.  These totals are then summed and converted to N2O.  Unvolatized N from fertilizers, calculated on the previous worksheet, and K-N from manure are multiplied by a leaching EF to give emissions from leaching and runoff.  The emissions summary for each year converts the total direct and indirect estimates for livestock and runoff/leaching to MTN2O, MMTCE, and then MMT carbon dioxide equivalent (MMTCO2E</a:t>
          </a:r>
        </a:p>
        <a:p>
          <a:pPr algn="l" rtl="0">
            <a:defRPr sz="1000"/>
          </a:pPr>
          <a:endParaRPr lang="en-US" sz="800" b="0" i="0" u="none" strike="noStrike" baseline="0">
            <a:solidFill>
              <a:srgbClr val="000000"/>
            </a:solidFill>
            <a:latin typeface="Arial"/>
            <a:cs typeface="Arial"/>
          </a:endParaRPr>
        </a:p>
        <a:p>
          <a:pPr algn="l" rtl="0">
            <a:defRPr sz="1000"/>
          </a:pPr>
          <a:r>
            <a:rPr lang="en-US" sz="800" b="1" i="0" u="none" strike="noStrike" baseline="0">
              <a:solidFill>
                <a:srgbClr val="000000"/>
              </a:solidFill>
              <a:latin typeface="Arial"/>
              <a:cs typeface="Arial"/>
            </a:rPr>
            <a:t>Ag Residue Burning</a:t>
          </a:r>
          <a:endParaRPr lang="en-US" sz="800" b="0" i="0" u="none" strike="noStrike" baseline="0">
            <a:solidFill>
              <a:srgbClr val="000000"/>
            </a:solidFill>
            <a:latin typeface="Arial"/>
            <a:cs typeface="Arial"/>
          </a:endParaRPr>
        </a:p>
        <a:p>
          <a:pPr algn="l" rtl="0">
            <a:defRPr sz="1000"/>
          </a:pPr>
          <a:r>
            <a:rPr lang="en-US" sz="800" b="0" i="0" u="none" strike="noStrike" baseline="0">
              <a:solidFill>
                <a:srgbClr val="000000"/>
              </a:solidFill>
              <a:latin typeface="Arial"/>
              <a:cs typeface="Arial"/>
            </a:rPr>
            <a:t>Emissions from Agricultural Residue Burning are calculated by multiplying the amount of crop produced by a series of factors to calculate the amount of crop residue produced and burned, the resultant dry matter, and the carbon/nitrogen content of this dry matter.  From these, the amount of carbon and nitrogen released can be determined, and thus methane and nitrous oxide emissions quantified.  Those resulting values, in metric tons of gas, are converted to million metric tons carbon equivalent (MMTCE), then to million metric tons carbon dioxide equivalent MMTCO2E, and then summed.</a:t>
          </a:r>
        </a:p>
        <a:p>
          <a:pPr algn="l" rtl="0">
            <a:defRPr sz="1000"/>
          </a:pPr>
          <a:endParaRPr lang="en-US" sz="800" b="0" i="0" u="none" strike="noStrike" baseline="0">
            <a:solidFill>
              <a:srgbClr val="000000"/>
            </a:solidFill>
            <a:latin typeface="Arial"/>
            <a:cs typeface="Arial"/>
          </a:endParaRPr>
        </a:p>
      </xdr:txBody>
    </xdr:sp>
    <xdr:clientData/>
  </xdr:twoCellAnchor>
</xdr:wsDr>
</file>

<file path=xl/drawings/drawing2.xml><?xml version="1.0" encoding="utf-8"?>
<xdr:wsDr xmlns:xdr="http://schemas.openxmlformats.org/drawingml/2006/spreadsheetDrawing" xmlns:a="http://schemas.openxmlformats.org/drawingml/2006/main">
  <xdr:oneCellAnchor>
    <xdr:from>
      <xdr:col>1</xdr:col>
      <xdr:colOff>1066800</xdr:colOff>
      <xdr:row>140</xdr:row>
      <xdr:rowOff>95250</xdr:rowOff>
    </xdr:from>
    <xdr:ext cx="3607694" cy="1695187"/>
    <xdr:sp macro="" textlink="">
      <xdr:nvSpPr>
        <xdr:cNvPr id="7" name="Rectangle 6"/>
        <xdr:cNvSpPr/>
      </xdr:nvSpPr>
      <xdr:spPr>
        <a:xfrm rot="19201739">
          <a:off x="1276350" y="23126700"/>
          <a:ext cx="3607694" cy="1695187"/>
        </a:xfrm>
        <a:prstGeom prst="rect">
          <a:avLst/>
        </a:prstGeom>
        <a:noFill/>
      </xdr:spPr>
      <xdr:txBody>
        <a:bodyPr wrap="square" lIns="91440" tIns="45720" rIns="91440" bIns="45720">
          <a:noAutofit/>
        </a:bodyPr>
        <a:lstStyle/>
        <a:p>
          <a:pPr algn="ctr"/>
          <a:r>
            <a:rPr lang="en-US" sz="9600" b="1" cap="none" spc="50">
              <a:ln w="13500">
                <a:solidFill>
                  <a:schemeClr val="accent1">
                    <a:shade val="2500"/>
                    <a:alpha val="6500"/>
                  </a:schemeClr>
                </a:solidFill>
                <a:prstDash val="solid"/>
              </a:ln>
              <a:solidFill>
                <a:schemeClr val="accent1">
                  <a:tint val="3000"/>
                  <a:alpha val="95000"/>
                </a:schemeClr>
              </a:solidFill>
              <a:effectLst>
                <a:innerShdw blurRad="50900" dist="38500" dir="13500000">
                  <a:srgbClr val="000000">
                    <a:alpha val="60000"/>
                  </a:srgbClr>
                </a:innerShdw>
              </a:effectLst>
            </a:rPr>
            <a:t>FINAL</a:t>
          </a:r>
        </a:p>
      </xdr:txBody>
    </xdr:sp>
    <xdr:clientData/>
  </xdr:oneCellAnchor>
  <xdr:oneCellAnchor>
    <xdr:from>
      <xdr:col>2</xdr:col>
      <xdr:colOff>628650</xdr:colOff>
      <xdr:row>24</xdr:row>
      <xdr:rowOff>114300</xdr:rowOff>
    </xdr:from>
    <xdr:ext cx="3607694" cy="1695187"/>
    <xdr:sp macro="" textlink="">
      <xdr:nvSpPr>
        <xdr:cNvPr id="3" name="Rectangle 2"/>
        <xdr:cNvSpPr/>
      </xdr:nvSpPr>
      <xdr:spPr>
        <a:xfrm rot="19201739">
          <a:off x="1933575" y="4181475"/>
          <a:ext cx="3607694" cy="1695187"/>
        </a:xfrm>
        <a:prstGeom prst="rect">
          <a:avLst/>
        </a:prstGeom>
        <a:noFill/>
      </xdr:spPr>
      <xdr:txBody>
        <a:bodyPr wrap="square" lIns="91440" tIns="45720" rIns="91440" bIns="45720">
          <a:noAutofit/>
        </a:bodyPr>
        <a:lstStyle/>
        <a:p>
          <a:pPr algn="ctr"/>
          <a:r>
            <a:rPr lang="en-US" sz="9600" b="1" cap="none" spc="50">
              <a:ln w="13500">
                <a:solidFill>
                  <a:schemeClr val="accent1">
                    <a:shade val="2500"/>
                    <a:alpha val="6500"/>
                  </a:schemeClr>
                </a:solidFill>
                <a:prstDash val="solid"/>
              </a:ln>
              <a:solidFill>
                <a:schemeClr val="accent1">
                  <a:tint val="3000"/>
                  <a:alpha val="95000"/>
                </a:schemeClr>
              </a:solidFill>
              <a:effectLst>
                <a:innerShdw blurRad="50900" dist="38500" dir="13500000">
                  <a:srgbClr val="000000">
                    <a:alpha val="60000"/>
                  </a:srgbClr>
                </a:innerShdw>
              </a:effectLst>
            </a:rPr>
            <a:t>FINAL</a:t>
          </a:r>
        </a:p>
      </xdr:txBody>
    </xdr:sp>
    <xdr:clientData/>
  </xdr:oneCellAnchor>
  <xdr:twoCellAnchor>
    <xdr:from>
      <xdr:col>1</xdr:col>
      <xdr:colOff>0</xdr:colOff>
      <xdr:row>3</xdr:row>
      <xdr:rowOff>152399</xdr:rowOff>
    </xdr:from>
    <xdr:to>
      <xdr:col>8</xdr:col>
      <xdr:colOff>933450</xdr:colOff>
      <xdr:row>13</xdr:row>
      <xdr:rowOff>104774</xdr:rowOff>
    </xdr:to>
    <xdr:sp macro="" textlink="">
      <xdr:nvSpPr>
        <xdr:cNvPr id="4" name="Text Box 67"/>
        <xdr:cNvSpPr txBox="1">
          <a:spLocks noChangeArrowheads="1"/>
        </xdr:cNvSpPr>
      </xdr:nvSpPr>
      <xdr:spPr bwMode="auto">
        <a:xfrm>
          <a:off x="209550" y="923924"/>
          <a:ext cx="11277600" cy="1571625"/>
        </a:xfrm>
        <a:prstGeom prst="rect">
          <a:avLst/>
        </a:prstGeom>
        <a:solidFill>
          <a:srgbClr val="C0C0C0"/>
        </a:solidFill>
        <a:ln w="317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CO</a:t>
          </a:r>
          <a:r>
            <a:rPr lang="en-US" sz="1000" b="0" i="0" u="none" strike="noStrike" baseline="-25000">
              <a:solidFill>
                <a:srgbClr val="000000"/>
              </a:solidFill>
              <a:latin typeface="Arial"/>
              <a:cs typeface="Arial"/>
            </a:rPr>
            <a:t>2</a:t>
          </a:r>
          <a:r>
            <a:rPr lang="en-US" sz="1000" b="0" i="0" u="none" strike="noStrike" baseline="0">
              <a:solidFill>
                <a:srgbClr val="000000"/>
              </a:solidFill>
              <a:latin typeface="Arial"/>
              <a:cs typeface="Arial"/>
            </a:rPr>
            <a:t> emissions from fossil fuel combustion in the base unit electric power generation sector were collected from the Regional Greenhouse Gas Initiative (RGGI) Program.  RGGI piggybacks on the EPA Clean Air Markets Division (CAMD) program.  Facilities report emissions directly to CAMD.  Facility CO</a:t>
          </a:r>
          <a:r>
            <a:rPr lang="en-US" sz="1000" b="0" i="0" u="none" strike="noStrike" baseline="-25000">
              <a:solidFill>
                <a:srgbClr val="000000"/>
              </a:solidFill>
              <a:latin typeface="Arial"/>
              <a:cs typeface="Arial"/>
            </a:rPr>
            <a:t>2</a:t>
          </a:r>
          <a:r>
            <a:rPr lang="en-US" sz="1000" b="0" i="0" u="none" strike="noStrike" baseline="0">
              <a:solidFill>
                <a:srgbClr val="000000"/>
              </a:solidFill>
              <a:latin typeface="Arial"/>
              <a:cs typeface="Arial"/>
            </a:rPr>
            <a:t> emissions are reported directly from continuous emissions monitors (CEM) or are calculated by the facility and sent to RGGI/CAMD.  </a:t>
          </a:r>
          <a:r>
            <a:rPr lang="en-US" sz="1000" b="0" i="0" baseline="0">
              <a:latin typeface="+mn-lt"/>
              <a:ea typeface="+mn-ea"/>
              <a:cs typeface="+mn-cs"/>
            </a:rPr>
            <a:t>CH</a:t>
          </a:r>
          <a:r>
            <a:rPr lang="en-US" sz="1000" b="0" i="0" baseline="-25000">
              <a:latin typeface="+mn-lt"/>
              <a:ea typeface="+mn-ea"/>
              <a:cs typeface="+mn-cs"/>
            </a:rPr>
            <a:t>4 </a:t>
          </a:r>
          <a:r>
            <a:rPr lang="en-US" sz="1000" b="0" i="0" baseline="0">
              <a:latin typeface="+mn-lt"/>
              <a:ea typeface="+mn-ea"/>
              <a:cs typeface="+mn-cs"/>
            </a:rPr>
            <a:t>and N</a:t>
          </a:r>
          <a:r>
            <a:rPr lang="en-US" sz="1000" b="0" i="0" baseline="-25000">
              <a:latin typeface="+mn-lt"/>
              <a:ea typeface="+mn-ea"/>
              <a:cs typeface="+mn-cs"/>
            </a:rPr>
            <a:t>2</a:t>
          </a:r>
          <a:r>
            <a:rPr lang="en-US" sz="1000" b="0" i="0" baseline="0">
              <a:latin typeface="+mn-lt"/>
              <a:ea typeface="+mn-ea"/>
              <a:cs typeface="+mn-cs"/>
            </a:rPr>
            <a:t>O </a:t>
          </a:r>
          <a:r>
            <a:rPr lang="en-US" sz="1000" b="0" i="0" u="none" strike="noStrike" baseline="0">
              <a:solidFill>
                <a:srgbClr val="000000"/>
              </a:solidFill>
              <a:latin typeface="Arial"/>
              <a:cs typeface="Arial"/>
            </a:rPr>
            <a:t>emissions from stationary combustion in the electric power sector are calculated using the IPCC Tier 1 approach.  Consumption of each fuel is multiplied by a fuel-specific CH</a:t>
          </a:r>
          <a:r>
            <a:rPr lang="en-US" sz="1000" b="0" i="0" u="none" strike="noStrike" baseline="-25000">
              <a:solidFill>
                <a:srgbClr val="000000"/>
              </a:solidFill>
              <a:latin typeface="Arial"/>
              <a:cs typeface="Arial"/>
            </a:rPr>
            <a:t>4 </a:t>
          </a:r>
          <a:r>
            <a:rPr lang="en-US" sz="1000" b="0" i="0" u="none" strike="noStrike" baseline="0">
              <a:solidFill>
                <a:srgbClr val="000000"/>
              </a:solidFill>
              <a:latin typeface="Arial"/>
              <a:cs typeface="Arial"/>
            </a:rPr>
            <a:t>or N</a:t>
          </a:r>
          <a:r>
            <a:rPr lang="en-US" sz="1000" b="0" i="0" u="none" strike="noStrike" baseline="-25000">
              <a:solidFill>
                <a:srgbClr val="000000"/>
              </a:solidFill>
              <a:latin typeface="Arial"/>
              <a:cs typeface="Arial"/>
            </a:rPr>
            <a:t>2</a:t>
          </a:r>
          <a:r>
            <a:rPr lang="en-US" sz="1000" b="0" i="0" u="none" strike="noStrike" baseline="0">
              <a:solidFill>
                <a:srgbClr val="000000"/>
              </a:solidFill>
              <a:latin typeface="Arial"/>
              <a:cs typeface="Arial"/>
            </a:rPr>
            <a:t>O emission factor.  The resulting fuel emission values, in metric tons </a:t>
          </a:r>
          <a:r>
            <a:rPr lang="en-US" sz="1000" b="0" i="0" baseline="0">
              <a:latin typeface="+mn-lt"/>
              <a:ea typeface="+mn-ea"/>
              <a:cs typeface="+mn-cs"/>
            </a:rPr>
            <a:t>CH</a:t>
          </a:r>
          <a:r>
            <a:rPr lang="en-US" sz="1000" b="0" i="0" baseline="-25000">
              <a:latin typeface="+mn-lt"/>
              <a:ea typeface="+mn-ea"/>
              <a:cs typeface="+mn-cs"/>
            </a:rPr>
            <a:t>4 </a:t>
          </a:r>
          <a:r>
            <a:rPr lang="en-US" sz="1000" b="0" i="0" baseline="0">
              <a:latin typeface="+mn-lt"/>
              <a:ea typeface="+mn-ea"/>
              <a:cs typeface="+mn-cs"/>
            </a:rPr>
            <a:t>and N</a:t>
          </a:r>
          <a:r>
            <a:rPr lang="en-US" sz="1000" b="0" i="0" baseline="-25000">
              <a:latin typeface="+mn-lt"/>
              <a:ea typeface="+mn-ea"/>
              <a:cs typeface="+mn-cs"/>
            </a:rPr>
            <a:t>2</a:t>
          </a:r>
          <a:r>
            <a:rPr lang="en-US" sz="1000" b="0" i="0" baseline="0">
              <a:latin typeface="+mn-lt"/>
              <a:ea typeface="+mn-ea"/>
              <a:cs typeface="+mn-cs"/>
            </a:rPr>
            <a:t>O </a:t>
          </a:r>
          <a:r>
            <a:rPr lang="en-US" sz="1000" b="0" i="0" u="none" strike="noStrike" baseline="0">
              <a:solidFill>
                <a:srgbClr val="000000"/>
              </a:solidFill>
              <a:latin typeface="Arial"/>
              <a:cs typeface="Arial"/>
            </a:rPr>
            <a:t>, are then multiplied by the global warming potential, converted to million metric tons of carbon equivalent (MMTCE), then to million metric tons of carbon dioxide equivalent and summed.  For further detail on this method, please refer to the Stationary Chapter in the User's Guide.  </a:t>
          </a:r>
        </a:p>
        <a:p>
          <a:pPr algn="l" rtl="0">
            <a:defRPr sz="1000"/>
          </a:pPr>
          <a:endParaRPr lang="en-US" sz="1000" b="0" i="0" u="none" strike="noStrike" baseline="0">
            <a:solidFill>
              <a:srgbClr val="000000"/>
            </a:solidFill>
            <a:latin typeface="Arial"/>
            <a:cs typeface="Arial"/>
          </a:endParaRPr>
        </a:p>
        <a:p>
          <a:pPr algn="l" rtl="0">
            <a:defRPr sz="1000"/>
          </a:pPr>
          <a:r>
            <a:rPr lang="en-US" sz="1000">
              <a:latin typeface="Arial" pitchFamily="34" charset="0"/>
              <a:ea typeface="+mn-ea"/>
              <a:cs typeface="Arial" pitchFamily="34" charset="0"/>
            </a:rPr>
            <a:t>Note that this worksheet estimates the direct emissions associated with the electric power sector.  Direct emissions result from the combustion of fossil fuels at the electricity generating station whereas indirect emissions occur at the point of use (e.g. residential electricity consumption.  Because electricity consumption within a state does not correspond to electricity generated in that same state, emissions from electricity consumption (indirect emissions) are not likely to be the same as emissions from generation (direct emissions).  Please refer to the electricity generation module to estimate indirect emissions from electricity consumption.</a:t>
          </a:r>
          <a:endParaRPr lang="en-US" sz="1000" b="0" i="0" u="none" strike="noStrike" baseline="0">
            <a:solidFill>
              <a:srgbClr val="000000"/>
            </a:solidFill>
            <a:latin typeface="Arial" pitchFamily="34" charset="0"/>
            <a:cs typeface="Arial" pitchFamily="34" charset="0"/>
          </a:endParaRPr>
        </a:p>
      </xdr:txBody>
    </xdr:sp>
    <xdr:clientData/>
  </xdr:twoCellAnchor>
  <xdr:oneCellAnchor>
    <xdr:from>
      <xdr:col>2</xdr:col>
      <xdr:colOff>161926</xdr:colOff>
      <xdr:row>62</xdr:row>
      <xdr:rowOff>85725</xdr:rowOff>
    </xdr:from>
    <xdr:ext cx="3607694" cy="1695187"/>
    <xdr:sp macro="" textlink="">
      <xdr:nvSpPr>
        <xdr:cNvPr id="5" name="Rectangle 4"/>
        <xdr:cNvSpPr/>
      </xdr:nvSpPr>
      <xdr:spPr>
        <a:xfrm rot="19201739">
          <a:off x="1466851" y="10344150"/>
          <a:ext cx="3607694" cy="1695187"/>
        </a:xfrm>
        <a:prstGeom prst="rect">
          <a:avLst/>
        </a:prstGeom>
        <a:noFill/>
      </xdr:spPr>
      <xdr:txBody>
        <a:bodyPr wrap="square" lIns="91440" tIns="45720" rIns="91440" bIns="45720">
          <a:noAutofit/>
        </a:bodyPr>
        <a:lstStyle/>
        <a:p>
          <a:pPr algn="ctr"/>
          <a:r>
            <a:rPr lang="en-US" sz="9600" b="1" cap="none" spc="50">
              <a:ln w="13500">
                <a:solidFill>
                  <a:schemeClr val="accent1">
                    <a:shade val="2500"/>
                    <a:alpha val="6500"/>
                  </a:schemeClr>
                </a:solidFill>
                <a:prstDash val="solid"/>
              </a:ln>
              <a:solidFill>
                <a:schemeClr val="accent1">
                  <a:tint val="3000"/>
                  <a:alpha val="95000"/>
                </a:schemeClr>
              </a:solidFill>
              <a:effectLst>
                <a:innerShdw blurRad="50900" dist="38500" dir="13500000">
                  <a:srgbClr val="000000">
                    <a:alpha val="60000"/>
                  </a:srgbClr>
                </a:innerShdw>
              </a:effectLst>
            </a:rPr>
            <a:t>FINAL</a:t>
          </a:r>
        </a:p>
      </xdr:txBody>
    </xdr:sp>
    <xdr:clientData/>
  </xdr:oneCellAnchor>
  <xdr:oneCellAnchor>
    <xdr:from>
      <xdr:col>2</xdr:col>
      <xdr:colOff>314324</xdr:colOff>
      <xdr:row>96</xdr:row>
      <xdr:rowOff>123823</xdr:rowOff>
    </xdr:from>
    <xdr:ext cx="3607694" cy="1695187"/>
    <xdr:sp macro="" textlink="">
      <xdr:nvSpPr>
        <xdr:cNvPr id="6" name="Rectangle 5"/>
        <xdr:cNvSpPr/>
      </xdr:nvSpPr>
      <xdr:spPr>
        <a:xfrm rot="19201739">
          <a:off x="1619249" y="15992473"/>
          <a:ext cx="3607694" cy="1695187"/>
        </a:xfrm>
        <a:prstGeom prst="rect">
          <a:avLst/>
        </a:prstGeom>
        <a:noFill/>
      </xdr:spPr>
      <xdr:txBody>
        <a:bodyPr wrap="square" lIns="91440" tIns="45720" rIns="91440" bIns="45720">
          <a:noAutofit/>
        </a:bodyPr>
        <a:lstStyle/>
        <a:p>
          <a:pPr algn="ctr"/>
          <a:r>
            <a:rPr lang="en-US" sz="9600" b="1" cap="none" spc="50">
              <a:ln w="13500">
                <a:solidFill>
                  <a:schemeClr val="accent1">
                    <a:shade val="2500"/>
                    <a:alpha val="6500"/>
                  </a:schemeClr>
                </a:solidFill>
                <a:prstDash val="solid"/>
              </a:ln>
              <a:solidFill>
                <a:schemeClr val="accent1">
                  <a:tint val="3000"/>
                  <a:alpha val="95000"/>
                </a:schemeClr>
              </a:solidFill>
              <a:effectLst>
                <a:innerShdw blurRad="50900" dist="38500" dir="13500000">
                  <a:srgbClr val="000000">
                    <a:alpha val="60000"/>
                  </a:srgbClr>
                </a:innerShdw>
              </a:effectLst>
            </a:rPr>
            <a:t>FINAL</a:t>
          </a:r>
        </a:p>
      </xdr:txBody>
    </xdr:sp>
    <xdr:clientData/>
  </xdr:oneCellAnchor>
  <xdr:oneCellAnchor>
    <xdr:from>
      <xdr:col>2</xdr:col>
      <xdr:colOff>438148</xdr:colOff>
      <xdr:row>189</xdr:row>
      <xdr:rowOff>76199</xdr:rowOff>
    </xdr:from>
    <xdr:ext cx="3607694" cy="1695187"/>
    <xdr:sp macro="" textlink="">
      <xdr:nvSpPr>
        <xdr:cNvPr id="8" name="Rectangle 7"/>
        <xdr:cNvSpPr/>
      </xdr:nvSpPr>
      <xdr:spPr>
        <a:xfrm rot="19201739">
          <a:off x="1743073" y="31099124"/>
          <a:ext cx="3607694" cy="1695187"/>
        </a:xfrm>
        <a:prstGeom prst="rect">
          <a:avLst/>
        </a:prstGeom>
        <a:noFill/>
      </xdr:spPr>
      <xdr:txBody>
        <a:bodyPr wrap="square" lIns="91440" tIns="45720" rIns="91440" bIns="45720">
          <a:noAutofit/>
        </a:bodyPr>
        <a:lstStyle/>
        <a:p>
          <a:pPr algn="ctr"/>
          <a:r>
            <a:rPr lang="en-US" sz="9600" b="1" cap="none" spc="50">
              <a:ln w="13500">
                <a:solidFill>
                  <a:schemeClr val="accent1">
                    <a:shade val="2500"/>
                    <a:alpha val="6500"/>
                  </a:schemeClr>
                </a:solidFill>
                <a:prstDash val="solid"/>
              </a:ln>
              <a:solidFill>
                <a:schemeClr val="accent1">
                  <a:tint val="3000"/>
                  <a:alpha val="95000"/>
                </a:schemeClr>
              </a:solidFill>
              <a:effectLst>
                <a:innerShdw blurRad="50900" dist="38500" dir="13500000">
                  <a:srgbClr val="000000">
                    <a:alpha val="60000"/>
                  </a:srgbClr>
                </a:innerShdw>
              </a:effectLst>
            </a:rPr>
            <a:t>FINAL</a:t>
          </a:r>
        </a:p>
      </xdr:txBody>
    </xdr:sp>
    <xdr:clientData/>
  </xdr:oneCellAnchor>
  <xdr:oneCellAnchor>
    <xdr:from>
      <xdr:col>2</xdr:col>
      <xdr:colOff>323849</xdr:colOff>
      <xdr:row>227</xdr:row>
      <xdr:rowOff>9526</xdr:rowOff>
    </xdr:from>
    <xdr:ext cx="3607694" cy="1695187"/>
    <xdr:sp macro="" textlink="">
      <xdr:nvSpPr>
        <xdr:cNvPr id="9" name="Rectangle 8"/>
        <xdr:cNvSpPr/>
      </xdr:nvSpPr>
      <xdr:spPr>
        <a:xfrm rot="19201739">
          <a:off x="1628774" y="37214176"/>
          <a:ext cx="3607694" cy="1695187"/>
        </a:xfrm>
        <a:prstGeom prst="rect">
          <a:avLst/>
        </a:prstGeom>
        <a:noFill/>
      </xdr:spPr>
      <xdr:txBody>
        <a:bodyPr wrap="square" lIns="91440" tIns="45720" rIns="91440" bIns="45720">
          <a:noAutofit/>
        </a:bodyPr>
        <a:lstStyle/>
        <a:p>
          <a:pPr algn="ctr"/>
          <a:r>
            <a:rPr lang="en-US" sz="9600" b="1" cap="none" spc="50">
              <a:ln w="13500">
                <a:solidFill>
                  <a:schemeClr val="accent1">
                    <a:shade val="2500"/>
                    <a:alpha val="6500"/>
                  </a:schemeClr>
                </a:solidFill>
                <a:prstDash val="solid"/>
              </a:ln>
              <a:solidFill>
                <a:schemeClr val="accent1">
                  <a:tint val="3000"/>
                  <a:alpha val="95000"/>
                </a:schemeClr>
              </a:solidFill>
              <a:effectLst>
                <a:innerShdw blurRad="50900" dist="38500" dir="13500000">
                  <a:srgbClr val="000000">
                    <a:alpha val="60000"/>
                  </a:srgbClr>
                </a:innerShdw>
              </a:effectLst>
            </a:rPr>
            <a:t>FINAL</a:t>
          </a:r>
        </a:p>
      </xdr:txBody>
    </xdr:sp>
    <xdr:clientData/>
  </xdr:oneCellAnchor>
  <xdr:oneCellAnchor>
    <xdr:from>
      <xdr:col>2</xdr:col>
      <xdr:colOff>238126</xdr:colOff>
      <xdr:row>280</xdr:row>
      <xdr:rowOff>95250</xdr:rowOff>
    </xdr:from>
    <xdr:ext cx="3607694" cy="1695187"/>
    <xdr:sp macro="" textlink="">
      <xdr:nvSpPr>
        <xdr:cNvPr id="10" name="Rectangle 9"/>
        <xdr:cNvSpPr/>
      </xdr:nvSpPr>
      <xdr:spPr>
        <a:xfrm rot="19201739">
          <a:off x="1543051" y="46005750"/>
          <a:ext cx="3607694" cy="1695187"/>
        </a:xfrm>
        <a:prstGeom prst="rect">
          <a:avLst/>
        </a:prstGeom>
        <a:noFill/>
      </xdr:spPr>
      <xdr:txBody>
        <a:bodyPr wrap="square" lIns="91440" tIns="45720" rIns="91440" bIns="45720">
          <a:noAutofit/>
        </a:bodyPr>
        <a:lstStyle/>
        <a:p>
          <a:pPr algn="ctr"/>
          <a:r>
            <a:rPr lang="en-US" sz="9600" b="1" cap="none" spc="50">
              <a:ln w="13500">
                <a:solidFill>
                  <a:schemeClr val="accent1">
                    <a:shade val="2500"/>
                    <a:alpha val="6500"/>
                  </a:schemeClr>
                </a:solidFill>
                <a:prstDash val="solid"/>
              </a:ln>
              <a:solidFill>
                <a:schemeClr val="accent1">
                  <a:tint val="3000"/>
                  <a:alpha val="95000"/>
                </a:schemeClr>
              </a:solidFill>
              <a:effectLst>
                <a:innerShdw blurRad="50900" dist="38500" dir="13500000">
                  <a:srgbClr val="000000">
                    <a:alpha val="60000"/>
                  </a:srgbClr>
                </a:innerShdw>
              </a:effectLst>
            </a:rPr>
            <a:t>FINAL</a:t>
          </a:r>
        </a:p>
      </xdr:txBody>
    </xdr:sp>
    <xdr:clientData/>
  </xdr:oneCellAnchor>
  <xdr:oneCellAnchor>
    <xdr:from>
      <xdr:col>2</xdr:col>
      <xdr:colOff>247651</xdr:colOff>
      <xdr:row>333</xdr:row>
      <xdr:rowOff>28576</xdr:rowOff>
    </xdr:from>
    <xdr:ext cx="3607694" cy="1695187"/>
    <xdr:sp macro="" textlink="">
      <xdr:nvSpPr>
        <xdr:cNvPr id="11" name="Rectangle 10"/>
        <xdr:cNvSpPr/>
      </xdr:nvSpPr>
      <xdr:spPr>
        <a:xfrm rot="19201739">
          <a:off x="1552576" y="54635401"/>
          <a:ext cx="3607694" cy="1695187"/>
        </a:xfrm>
        <a:prstGeom prst="rect">
          <a:avLst/>
        </a:prstGeom>
        <a:noFill/>
      </xdr:spPr>
      <xdr:txBody>
        <a:bodyPr wrap="square" lIns="91440" tIns="45720" rIns="91440" bIns="45720">
          <a:noAutofit/>
        </a:bodyPr>
        <a:lstStyle/>
        <a:p>
          <a:pPr algn="ctr"/>
          <a:r>
            <a:rPr lang="en-US" sz="9600" b="1" cap="none" spc="50">
              <a:ln w="13500">
                <a:solidFill>
                  <a:schemeClr val="accent1">
                    <a:shade val="2500"/>
                    <a:alpha val="6500"/>
                  </a:schemeClr>
                </a:solidFill>
                <a:prstDash val="solid"/>
              </a:ln>
              <a:solidFill>
                <a:schemeClr val="accent1">
                  <a:tint val="3000"/>
                  <a:alpha val="95000"/>
                </a:schemeClr>
              </a:solidFill>
              <a:effectLst>
                <a:innerShdw blurRad="50900" dist="38500" dir="13500000">
                  <a:srgbClr val="000000">
                    <a:alpha val="60000"/>
                  </a:srgbClr>
                </a:innerShdw>
              </a:effectLst>
            </a:rPr>
            <a:t>FINAL</a:t>
          </a:r>
        </a:p>
      </xdr:txBody>
    </xdr:sp>
    <xdr:clientData/>
  </xdr:oneCellAnchor>
  <xdr:oneCellAnchor>
    <xdr:from>
      <xdr:col>2</xdr:col>
      <xdr:colOff>561975</xdr:colOff>
      <xdr:row>377</xdr:row>
      <xdr:rowOff>95250</xdr:rowOff>
    </xdr:from>
    <xdr:ext cx="3607694" cy="1695187"/>
    <xdr:sp macro="" textlink="">
      <xdr:nvSpPr>
        <xdr:cNvPr id="12" name="Rectangle 11"/>
        <xdr:cNvSpPr/>
      </xdr:nvSpPr>
      <xdr:spPr>
        <a:xfrm rot="19201739">
          <a:off x="1866900" y="61883925"/>
          <a:ext cx="3607694" cy="1695187"/>
        </a:xfrm>
        <a:prstGeom prst="rect">
          <a:avLst/>
        </a:prstGeom>
        <a:noFill/>
      </xdr:spPr>
      <xdr:txBody>
        <a:bodyPr wrap="square" lIns="91440" tIns="45720" rIns="91440" bIns="45720">
          <a:noAutofit/>
        </a:bodyPr>
        <a:lstStyle/>
        <a:p>
          <a:pPr algn="ctr"/>
          <a:r>
            <a:rPr lang="en-US" sz="9600" b="1" cap="none" spc="50">
              <a:ln w="13500">
                <a:solidFill>
                  <a:schemeClr val="accent1">
                    <a:shade val="2500"/>
                    <a:alpha val="6500"/>
                  </a:schemeClr>
                </a:solidFill>
                <a:prstDash val="solid"/>
              </a:ln>
              <a:solidFill>
                <a:schemeClr val="accent1">
                  <a:tint val="3000"/>
                  <a:alpha val="95000"/>
                </a:schemeClr>
              </a:solidFill>
              <a:effectLst>
                <a:innerShdw blurRad="50900" dist="38500" dir="13500000">
                  <a:srgbClr val="000000">
                    <a:alpha val="60000"/>
                  </a:srgbClr>
                </a:innerShdw>
              </a:effectLst>
            </a:rPr>
            <a:t>FINAL</a:t>
          </a:r>
        </a:p>
      </xdr:txBody>
    </xdr:sp>
    <xdr:clientData/>
  </xdr:oneCellAnchor>
  <xdr:oneCellAnchor>
    <xdr:from>
      <xdr:col>2</xdr:col>
      <xdr:colOff>247650</xdr:colOff>
      <xdr:row>400</xdr:row>
      <xdr:rowOff>114300</xdr:rowOff>
    </xdr:from>
    <xdr:ext cx="3607694" cy="1695187"/>
    <xdr:sp macro="" textlink="">
      <xdr:nvSpPr>
        <xdr:cNvPr id="13" name="Rectangle 12"/>
        <xdr:cNvSpPr/>
      </xdr:nvSpPr>
      <xdr:spPr>
        <a:xfrm rot="19201739">
          <a:off x="1552575" y="65646300"/>
          <a:ext cx="3607694" cy="1695187"/>
        </a:xfrm>
        <a:prstGeom prst="rect">
          <a:avLst/>
        </a:prstGeom>
        <a:noFill/>
      </xdr:spPr>
      <xdr:txBody>
        <a:bodyPr wrap="square" lIns="91440" tIns="45720" rIns="91440" bIns="45720">
          <a:noAutofit/>
        </a:bodyPr>
        <a:lstStyle/>
        <a:p>
          <a:pPr algn="ctr"/>
          <a:r>
            <a:rPr lang="en-US" sz="9600" b="1" cap="none" spc="50">
              <a:ln w="13500">
                <a:solidFill>
                  <a:schemeClr val="accent1">
                    <a:shade val="2500"/>
                    <a:alpha val="6500"/>
                  </a:schemeClr>
                </a:solidFill>
                <a:prstDash val="solid"/>
              </a:ln>
              <a:solidFill>
                <a:schemeClr val="accent1">
                  <a:tint val="3000"/>
                  <a:alpha val="95000"/>
                </a:schemeClr>
              </a:solidFill>
              <a:effectLst>
                <a:innerShdw blurRad="50900" dist="38500" dir="13500000">
                  <a:srgbClr val="000000">
                    <a:alpha val="60000"/>
                  </a:srgbClr>
                </a:innerShdw>
              </a:effectLst>
            </a:rPr>
            <a:t>FINAL</a:t>
          </a:r>
        </a:p>
      </xdr:txBody>
    </xdr:sp>
    <xdr:clientData/>
  </xdr:oneCellAnchor>
  <xdr:oneCellAnchor>
    <xdr:from>
      <xdr:col>2</xdr:col>
      <xdr:colOff>142875</xdr:colOff>
      <xdr:row>427</xdr:row>
      <xdr:rowOff>114300</xdr:rowOff>
    </xdr:from>
    <xdr:ext cx="3607694" cy="1695187"/>
    <xdr:sp macro="" textlink="">
      <xdr:nvSpPr>
        <xdr:cNvPr id="14" name="Rectangle 13"/>
        <xdr:cNvSpPr/>
      </xdr:nvSpPr>
      <xdr:spPr>
        <a:xfrm rot="19201739">
          <a:off x="1447800" y="70084950"/>
          <a:ext cx="3607694" cy="1695187"/>
        </a:xfrm>
        <a:prstGeom prst="rect">
          <a:avLst/>
        </a:prstGeom>
        <a:noFill/>
      </xdr:spPr>
      <xdr:txBody>
        <a:bodyPr wrap="square" lIns="91440" tIns="45720" rIns="91440" bIns="45720">
          <a:noAutofit/>
        </a:bodyPr>
        <a:lstStyle/>
        <a:p>
          <a:pPr algn="ctr"/>
          <a:r>
            <a:rPr lang="en-US" sz="9600" b="1" cap="none" spc="50">
              <a:ln w="13500">
                <a:solidFill>
                  <a:schemeClr val="accent1">
                    <a:shade val="2500"/>
                    <a:alpha val="6500"/>
                  </a:schemeClr>
                </a:solidFill>
                <a:prstDash val="solid"/>
              </a:ln>
              <a:solidFill>
                <a:schemeClr val="accent1">
                  <a:tint val="3000"/>
                  <a:alpha val="95000"/>
                </a:schemeClr>
              </a:solidFill>
              <a:effectLst>
                <a:innerShdw blurRad="50900" dist="38500" dir="13500000">
                  <a:srgbClr val="000000">
                    <a:alpha val="60000"/>
                  </a:srgbClr>
                </a:innerShdw>
              </a:effectLst>
            </a:rPr>
            <a:t>FINAL</a:t>
          </a:r>
        </a:p>
      </xdr:txBody>
    </xdr:sp>
    <xdr:clientData/>
  </xdr:oneCellAnchor>
  <xdr:oneCellAnchor>
    <xdr:from>
      <xdr:col>2</xdr:col>
      <xdr:colOff>809626</xdr:colOff>
      <xdr:row>465</xdr:row>
      <xdr:rowOff>123825</xdr:rowOff>
    </xdr:from>
    <xdr:ext cx="3607694" cy="1695187"/>
    <xdr:sp macro="" textlink="">
      <xdr:nvSpPr>
        <xdr:cNvPr id="15" name="Rectangle 14"/>
        <xdr:cNvSpPr/>
      </xdr:nvSpPr>
      <xdr:spPr>
        <a:xfrm rot="19201739">
          <a:off x="2114551" y="76438125"/>
          <a:ext cx="3607694" cy="1695187"/>
        </a:xfrm>
        <a:prstGeom prst="rect">
          <a:avLst/>
        </a:prstGeom>
        <a:noFill/>
      </xdr:spPr>
      <xdr:txBody>
        <a:bodyPr wrap="square" lIns="91440" tIns="45720" rIns="91440" bIns="45720">
          <a:noAutofit/>
        </a:bodyPr>
        <a:lstStyle/>
        <a:p>
          <a:pPr algn="ctr"/>
          <a:r>
            <a:rPr lang="en-US" sz="9600" b="1" cap="none" spc="50">
              <a:ln w="13500">
                <a:solidFill>
                  <a:schemeClr val="accent1">
                    <a:shade val="2500"/>
                    <a:alpha val="6500"/>
                  </a:schemeClr>
                </a:solidFill>
                <a:prstDash val="solid"/>
              </a:ln>
              <a:solidFill>
                <a:schemeClr val="accent1">
                  <a:tint val="3000"/>
                  <a:alpha val="95000"/>
                </a:schemeClr>
              </a:solidFill>
              <a:effectLst>
                <a:innerShdw blurRad="50900" dist="38500" dir="13500000">
                  <a:srgbClr val="000000">
                    <a:alpha val="60000"/>
                  </a:srgbClr>
                </a:innerShdw>
              </a:effectLst>
            </a:rPr>
            <a:t>FINAL</a:t>
          </a:r>
        </a:p>
      </xdr:txBody>
    </xdr:sp>
    <xdr:clientData/>
  </xdr:oneCellAnchor>
</xdr:wsDr>
</file>

<file path=xl/drawings/drawing20.xml><?xml version="1.0" encoding="utf-8"?>
<xdr:wsDr xmlns:xdr="http://schemas.openxmlformats.org/drawingml/2006/spreadsheetDrawing" xmlns:a="http://schemas.openxmlformats.org/drawingml/2006/main">
  <xdr:twoCellAnchor>
    <xdr:from>
      <xdr:col>1</xdr:col>
      <xdr:colOff>19050</xdr:colOff>
      <xdr:row>1</xdr:row>
      <xdr:rowOff>38101</xdr:rowOff>
    </xdr:from>
    <xdr:to>
      <xdr:col>15</xdr:col>
      <xdr:colOff>333375</xdr:colOff>
      <xdr:row>1</xdr:row>
      <xdr:rowOff>2676945</xdr:rowOff>
    </xdr:to>
    <xdr:sp macro="" textlink="">
      <xdr:nvSpPr>
        <xdr:cNvPr id="1851393" name="Text Box 79"/>
        <xdr:cNvSpPr txBox="1">
          <a:spLocks noChangeArrowheads="1"/>
        </xdr:cNvSpPr>
      </xdr:nvSpPr>
      <xdr:spPr bwMode="auto">
        <a:xfrm>
          <a:off x="238858" y="456782"/>
          <a:ext cx="13555121" cy="2638844"/>
        </a:xfrm>
        <a:prstGeom prst="rect">
          <a:avLst/>
        </a:prstGeom>
        <a:solidFill>
          <a:srgbClr val="C0C0C0"/>
        </a:solidFill>
        <a:ln w="3175">
          <a:solidFill>
            <a:srgbClr val="000000"/>
          </a:solidFill>
          <a:miter lim="800000"/>
          <a:headEnd/>
          <a:tailEnd/>
        </a:ln>
      </xdr:spPr>
      <xdr:txBody>
        <a:bodyPr vertOverflow="clip" wrap="square" lIns="27432" tIns="22860" rIns="0" bIns="0" anchor="t" upright="1"/>
        <a:lstStyle/>
        <a:p>
          <a:pPr algn="l" rtl="0">
            <a:defRPr sz="1000"/>
          </a:pPr>
          <a:r>
            <a:rPr lang="en-US" sz="800" b="0" i="0" u="none" strike="noStrike" baseline="0">
              <a:solidFill>
                <a:srgbClr val="000000"/>
              </a:solidFill>
              <a:latin typeface="Arial"/>
              <a:cs typeface="Arial"/>
            </a:rPr>
            <a:t>To calculate GHG emissions from land use, land-use change, and forestry, the data listed beloware required inputs.  Additional information on these calculations is available in the Land Use, Land Use Change and Forestry Chapter of the EPA State Inventory Tool User's Guide.  </a:t>
          </a:r>
        </a:p>
        <a:p>
          <a:pPr algn="l" rtl="0">
            <a:defRPr sz="1000"/>
          </a:pPr>
          <a:endParaRPr lang="en-US" sz="800" b="0" i="0" u="none" strike="noStrike" baseline="0">
            <a:solidFill>
              <a:srgbClr val="000000"/>
            </a:solidFill>
            <a:latin typeface="Arial"/>
            <a:cs typeface="Arial"/>
          </a:endParaRPr>
        </a:p>
        <a:p>
          <a:pPr algn="l" rtl="0">
            <a:defRPr sz="1000"/>
          </a:pPr>
          <a:r>
            <a:rPr lang="en-US" sz="800" b="1" i="0" u="none" strike="noStrike" baseline="0">
              <a:solidFill>
                <a:srgbClr val="000000"/>
              </a:solidFill>
              <a:latin typeface="Arial"/>
              <a:cs typeface="Arial"/>
            </a:rPr>
            <a:t>Forestry Worksheets                     Input Data Required </a:t>
          </a:r>
          <a:endParaRPr lang="en-US" sz="800" b="0" i="0" u="none" strike="noStrike" baseline="0">
            <a:solidFill>
              <a:srgbClr val="000000"/>
            </a:solidFill>
            <a:latin typeface="Arial"/>
            <a:cs typeface="Arial"/>
          </a:endParaRPr>
        </a:p>
        <a:p>
          <a:pPr algn="l" rtl="0">
            <a:defRPr sz="1000"/>
          </a:pPr>
          <a:r>
            <a:rPr lang="en-US" sz="800" b="0" i="0" u="none" strike="noStrike" baseline="0">
              <a:solidFill>
                <a:srgbClr val="000000"/>
              </a:solidFill>
              <a:latin typeface="Arial"/>
              <a:cs typeface="Arial"/>
            </a:rPr>
            <a:t>Forest Carbon Flux                       Carbon emitted from or sequestered in aboveground biomass, belowground biomass, dead wood, litter, soil organic carbon, wood products and landfills (million metric tons)</a:t>
          </a:r>
        </a:p>
        <a:p>
          <a:pPr algn="l" rtl="0">
            <a:defRPr sz="1000"/>
          </a:pPr>
          <a:endParaRPr lang="en-US" sz="800" b="0" i="0" u="none" strike="noStrike" baseline="0">
            <a:solidFill>
              <a:srgbClr val="000000"/>
            </a:solidFill>
            <a:latin typeface="Arial"/>
            <a:cs typeface="Arial"/>
          </a:endParaRPr>
        </a:p>
        <a:p>
          <a:pPr algn="l" rtl="0">
            <a:defRPr sz="1000"/>
          </a:pPr>
          <a:r>
            <a:rPr lang="en-US" sz="800" b="0" i="0" u="none" strike="noStrike" baseline="0">
              <a:solidFill>
                <a:srgbClr val="000000"/>
              </a:solidFill>
              <a:latin typeface="Arial"/>
              <a:cs typeface="Arial"/>
            </a:rPr>
            <a:t>Liming of Agricultural Soils            Emission factors for CO</a:t>
          </a:r>
          <a:r>
            <a:rPr lang="en-US" sz="800" b="0" i="0" u="none" strike="noStrike" baseline="-25000">
              <a:solidFill>
                <a:srgbClr val="000000"/>
              </a:solidFill>
              <a:latin typeface="Arial"/>
              <a:cs typeface="Arial"/>
            </a:rPr>
            <a:t>2</a:t>
          </a:r>
          <a:r>
            <a:rPr lang="en-US" sz="800" b="0" i="0" u="none" strike="noStrike" baseline="0">
              <a:solidFill>
                <a:srgbClr val="000000"/>
              </a:solidFill>
              <a:latin typeface="Arial"/>
              <a:cs typeface="Arial"/>
            </a:rPr>
            <a:t> emitted from use of crushed limestone and dolomite (ton C/ton limestone) </a:t>
          </a:r>
        </a:p>
        <a:p>
          <a:pPr algn="l" rtl="0">
            <a:defRPr sz="1000"/>
          </a:pPr>
          <a:r>
            <a:rPr lang="en-US" sz="800" b="0" i="0" u="none" strike="noStrike" baseline="0">
              <a:solidFill>
                <a:srgbClr val="000000"/>
              </a:solidFill>
              <a:latin typeface="Arial"/>
              <a:cs typeface="Arial"/>
            </a:rPr>
            <a:t>                                                      Total limestone and dolomite applied to soils (metric tons)</a:t>
          </a:r>
        </a:p>
        <a:p>
          <a:pPr algn="l" rtl="0">
            <a:defRPr sz="1000"/>
          </a:pPr>
          <a:endParaRPr lang="en-US" sz="800" b="0" i="0" u="none" strike="noStrike" baseline="0">
            <a:solidFill>
              <a:srgbClr val="000000"/>
            </a:solidFill>
            <a:latin typeface="Arial"/>
            <a:cs typeface="Arial"/>
          </a:endParaRPr>
        </a:p>
        <a:p>
          <a:pPr algn="l" rtl="0">
            <a:defRPr sz="1000"/>
          </a:pPr>
          <a:r>
            <a:rPr lang="en-US" sz="800" b="0" i="0" u="none" strike="noStrike" baseline="0">
              <a:solidFill>
                <a:srgbClr val="000000"/>
              </a:solidFill>
              <a:latin typeface="Arial"/>
              <a:cs typeface="Arial"/>
            </a:rPr>
            <a:t>Urea Fertilization                           Emission factors for CO</a:t>
          </a:r>
          <a:r>
            <a:rPr lang="en-US" sz="800" b="0" i="0" u="none" strike="noStrike" baseline="-25000">
              <a:solidFill>
                <a:srgbClr val="000000"/>
              </a:solidFill>
              <a:latin typeface="Arial"/>
              <a:cs typeface="Arial"/>
            </a:rPr>
            <a:t>2</a:t>
          </a:r>
          <a:r>
            <a:rPr lang="en-US" sz="800" b="0" i="0" u="none" strike="noStrike" baseline="0">
              <a:solidFill>
                <a:srgbClr val="000000"/>
              </a:solidFill>
              <a:latin typeface="Arial"/>
              <a:cs typeface="Arial"/>
            </a:rPr>
            <a:t> emitted from the use of urea as a fertilizer (tons C/ ton urea)</a:t>
          </a:r>
        </a:p>
        <a:p>
          <a:pPr algn="l" rtl="0">
            <a:defRPr sz="1000"/>
          </a:pPr>
          <a:r>
            <a:rPr lang="en-US" sz="800" b="0" i="0" u="none" strike="noStrike" baseline="0">
              <a:solidFill>
                <a:srgbClr val="000000"/>
              </a:solidFill>
              <a:latin typeface="Arial"/>
              <a:cs typeface="Arial"/>
            </a:rPr>
            <a:t>                                                     Total urea applied to soils (metric tons)</a:t>
          </a:r>
        </a:p>
        <a:p>
          <a:pPr algn="l" rtl="0">
            <a:defRPr sz="1000"/>
          </a:pPr>
          <a:endParaRPr lang="en-US" sz="800" b="0" i="0" u="none" strike="noStrike" baseline="0">
            <a:solidFill>
              <a:srgbClr val="000000"/>
            </a:solidFill>
            <a:latin typeface="Arial"/>
            <a:cs typeface="Arial"/>
          </a:endParaRPr>
        </a:p>
        <a:p>
          <a:pPr algn="l" rtl="0">
            <a:defRPr sz="1000"/>
          </a:pPr>
          <a:r>
            <a:rPr lang="en-US" sz="800" b="0" i="0" u="none" strike="noStrike" baseline="0">
              <a:solidFill>
                <a:srgbClr val="000000"/>
              </a:solidFill>
              <a:latin typeface="Arial"/>
              <a:cs typeface="Arial"/>
            </a:rPr>
            <a:t>Urban Trees                                  Carbon sequestration factor for urban trees (metric ton C/hectare/year)</a:t>
          </a:r>
        </a:p>
        <a:p>
          <a:pPr algn="l" rtl="0">
            <a:defRPr sz="1000"/>
          </a:pPr>
          <a:r>
            <a:rPr lang="en-US" sz="800" b="0" i="0" u="none" strike="noStrike" baseline="0">
              <a:solidFill>
                <a:srgbClr val="000000"/>
              </a:solidFill>
              <a:latin typeface="Arial"/>
              <a:cs typeface="Arial"/>
            </a:rPr>
            <a:t>                                                      Total urban area (square kilometers)</a:t>
          </a:r>
        </a:p>
        <a:p>
          <a:pPr algn="l" rtl="0">
            <a:defRPr sz="1000"/>
          </a:pPr>
          <a:r>
            <a:rPr lang="en-US" sz="800" b="0" i="0" u="none" strike="noStrike" baseline="0">
              <a:solidFill>
                <a:srgbClr val="000000"/>
              </a:solidFill>
              <a:latin typeface="Arial"/>
              <a:cs typeface="Arial"/>
            </a:rPr>
            <a:t>                                                      Urban area tree cover (percent)</a:t>
          </a:r>
        </a:p>
        <a:p>
          <a:pPr algn="l" rtl="0">
            <a:defRPr sz="1000"/>
          </a:pPr>
          <a:endParaRPr lang="en-US" sz="800" b="0" i="0" u="none" strike="noStrike" baseline="0">
            <a:solidFill>
              <a:srgbClr val="000000"/>
            </a:solidFill>
            <a:latin typeface="Arial"/>
            <a:cs typeface="Arial"/>
          </a:endParaRPr>
        </a:p>
        <a:p>
          <a:pPr algn="l" rtl="0">
            <a:defRPr sz="1000"/>
          </a:pPr>
          <a:r>
            <a:rPr lang="en-US" sz="800" b="0" i="0" u="none" strike="noStrike" baseline="0">
              <a:solidFill>
                <a:srgbClr val="000000"/>
              </a:solidFill>
              <a:latin typeface="Arial"/>
              <a:cs typeface="Arial"/>
            </a:rPr>
            <a:t>N</a:t>
          </a:r>
          <a:r>
            <a:rPr lang="en-US" sz="800" b="0" i="0" u="none" strike="noStrike" baseline="-25000">
              <a:solidFill>
                <a:srgbClr val="000000"/>
              </a:solidFill>
              <a:latin typeface="Arial"/>
              <a:cs typeface="Arial"/>
            </a:rPr>
            <a:t>2</a:t>
          </a:r>
          <a:r>
            <a:rPr lang="en-US" sz="800" b="0" i="0" u="none" strike="noStrike" baseline="0">
              <a:solidFill>
                <a:srgbClr val="000000"/>
              </a:solidFill>
              <a:latin typeface="Arial"/>
              <a:cs typeface="Arial"/>
            </a:rPr>
            <a:t>O from Settlement Soils            Direct N</a:t>
          </a:r>
          <a:r>
            <a:rPr lang="en-US" sz="800" b="0" i="0" u="none" strike="noStrike" baseline="-25000">
              <a:solidFill>
                <a:srgbClr val="000000"/>
              </a:solidFill>
              <a:latin typeface="Arial"/>
              <a:cs typeface="Arial"/>
            </a:rPr>
            <a:t>2</a:t>
          </a:r>
          <a:r>
            <a:rPr lang="en-US" sz="800" b="0" i="0" u="none" strike="noStrike" baseline="0">
              <a:solidFill>
                <a:srgbClr val="000000"/>
              </a:solidFill>
              <a:latin typeface="Arial"/>
              <a:cs typeface="Arial"/>
            </a:rPr>
            <a:t>O emission factor for managed soils (percent)</a:t>
          </a:r>
        </a:p>
        <a:p>
          <a:pPr algn="l" rtl="0">
            <a:defRPr sz="1000"/>
          </a:pPr>
          <a:r>
            <a:rPr lang="en-US" sz="800" b="0" i="0" u="none" strike="noStrike" baseline="0">
              <a:solidFill>
                <a:srgbClr val="000000"/>
              </a:solidFill>
              <a:latin typeface="Arial"/>
              <a:cs typeface="Arial"/>
            </a:rPr>
            <a:t>                                                     Total synthetic fertilizer applied to settlements (metric tons nitrogen)</a:t>
          </a:r>
        </a:p>
        <a:p>
          <a:pPr algn="l" rtl="0">
            <a:defRPr sz="1000"/>
          </a:pPr>
          <a:endParaRPr lang="en-US" sz="800" b="0" i="0" u="none" strike="noStrike" baseline="0">
            <a:solidFill>
              <a:srgbClr val="000000"/>
            </a:solidFill>
            <a:latin typeface="Arial"/>
            <a:cs typeface="Arial"/>
          </a:endParaRPr>
        </a:p>
        <a:p>
          <a:pPr algn="l" rtl="0">
            <a:defRPr sz="1000"/>
          </a:pPr>
          <a:r>
            <a:rPr lang="en-US" sz="800" b="0" i="0" u="none" strike="noStrike" baseline="0">
              <a:solidFill>
                <a:srgbClr val="000000"/>
              </a:solidFill>
              <a:latin typeface="Arial"/>
              <a:cs typeface="Arial"/>
            </a:rPr>
            <a:t>Non-CO</a:t>
          </a:r>
          <a:r>
            <a:rPr lang="en-US" sz="800" b="0" i="0" u="none" strike="noStrike" baseline="-25000">
              <a:solidFill>
                <a:srgbClr val="000000"/>
              </a:solidFill>
              <a:latin typeface="Arial"/>
              <a:cs typeface="Arial"/>
            </a:rPr>
            <a:t>2</a:t>
          </a:r>
          <a:r>
            <a:rPr lang="en-US" sz="800" b="0" i="0" u="none" strike="noStrike" baseline="0">
              <a:solidFill>
                <a:srgbClr val="000000"/>
              </a:solidFill>
              <a:latin typeface="Arial"/>
              <a:cs typeface="Arial"/>
            </a:rPr>
            <a:t> Emissions                      Emission factors for CH</a:t>
          </a:r>
          <a:r>
            <a:rPr lang="en-US" sz="800" b="0" i="0" u="none" strike="noStrike" baseline="-25000">
              <a:solidFill>
                <a:srgbClr val="000000"/>
              </a:solidFill>
              <a:latin typeface="Arial"/>
              <a:cs typeface="Arial"/>
            </a:rPr>
            <a:t>4</a:t>
          </a:r>
          <a:r>
            <a:rPr lang="en-US" sz="800" b="0" i="0" u="none" strike="noStrike" baseline="0">
              <a:solidFill>
                <a:srgbClr val="000000"/>
              </a:solidFill>
              <a:latin typeface="Arial"/>
              <a:cs typeface="Arial"/>
            </a:rPr>
            <a:t> and N</a:t>
          </a:r>
          <a:r>
            <a:rPr lang="en-US" sz="800" b="0" i="0" u="none" strike="noStrike" baseline="-25000">
              <a:solidFill>
                <a:srgbClr val="000000"/>
              </a:solidFill>
              <a:latin typeface="Arial"/>
              <a:cs typeface="Arial"/>
            </a:rPr>
            <a:t>2</a:t>
          </a:r>
          <a:r>
            <a:rPr lang="en-US" sz="800" b="0" i="0" u="none" strike="noStrike" baseline="0">
              <a:solidFill>
                <a:srgbClr val="000000"/>
              </a:solidFill>
              <a:latin typeface="Arial"/>
              <a:cs typeface="Arial"/>
            </a:rPr>
            <a:t>O emitted from burning forest and savanna (grams of gas/kilogram of</a:t>
          </a:r>
        </a:p>
        <a:p>
          <a:pPr algn="l" rtl="0">
            <a:defRPr sz="1000"/>
          </a:pPr>
          <a:r>
            <a:rPr lang="en-US" sz="800" b="0" i="0" u="none" strike="noStrike" baseline="0">
              <a:solidFill>
                <a:srgbClr val="000000"/>
              </a:solidFill>
              <a:latin typeface="Arial"/>
              <a:cs typeface="Arial"/>
            </a:rPr>
            <a:t>from Forest Fires                          dry matter combusted) </a:t>
          </a:r>
        </a:p>
        <a:p>
          <a:pPr algn="l" rtl="0">
            <a:defRPr sz="1000"/>
          </a:pPr>
          <a:r>
            <a:rPr lang="en-US" sz="800" b="0" i="0" u="none" strike="noStrike" baseline="0">
              <a:solidFill>
                <a:srgbClr val="000000"/>
              </a:solidFill>
              <a:latin typeface="Arial"/>
              <a:cs typeface="Arial"/>
            </a:rPr>
            <a:t>                                                     Combustion efficiency of different vegetation types (percent)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0</xdr:colOff>
      <xdr:row>2</xdr:row>
      <xdr:rowOff>0</xdr:rowOff>
    </xdr:from>
    <xdr:to>
      <xdr:col>10</xdr:col>
      <xdr:colOff>781050</xdr:colOff>
      <xdr:row>2</xdr:row>
      <xdr:rowOff>1781175</xdr:rowOff>
    </xdr:to>
    <xdr:sp macro="" textlink="">
      <xdr:nvSpPr>
        <xdr:cNvPr id="2" name="Text Box 67"/>
        <xdr:cNvSpPr txBox="1">
          <a:spLocks noChangeArrowheads="1"/>
        </xdr:cNvSpPr>
      </xdr:nvSpPr>
      <xdr:spPr bwMode="auto">
        <a:xfrm>
          <a:off x="533400" y="428625"/>
          <a:ext cx="9525000" cy="1781175"/>
        </a:xfrm>
        <a:prstGeom prst="rect">
          <a:avLst/>
        </a:prstGeom>
        <a:solidFill>
          <a:srgbClr val="C0C0C0"/>
        </a:solidFill>
        <a:ln w="3175">
          <a:solidFill>
            <a:srgbClr val="000000"/>
          </a:solidFill>
          <a:miter lim="800000"/>
          <a:headEnd/>
          <a:tailEnd/>
        </a:ln>
      </xdr:spPr>
      <xdr:txBody>
        <a:bodyPr vertOverflow="clip" wrap="square" lIns="27432" tIns="22860" rIns="0" bIns="0" anchor="t" upright="1"/>
        <a:lstStyle/>
        <a:p>
          <a:r>
            <a:rPr lang="en-US" sz="1000">
              <a:latin typeface="Arial" pitchFamily="34" charset="0"/>
              <a:ea typeface="+mn-ea"/>
              <a:cs typeface="Arial" pitchFamily="34" charset="0"/>
            </a:rPr>
            <a:t>CO</a:t>
          </a:r>
          <a:r>
            <a:rPr lang="en-US" sz="1000" baseline="-25000">
              <a:latin typeface="Arial" pitchFamily="34" charset="0"/>
              <a:ea typeface="+mn-ea"/>
              <a:cs typeface="Arial" pitchFamily="34" charset="0"/>
            </a:rPr>
            <a:t>2</a:t>
          </a:r>
          <a:r>
            <a:rPr lang="en-US" sz="1000">
              <a:latin typeface="Arial" pitchFamily="34" charset="0"/>
              <a:ea typeface="+mn-ea"/>
              <a:cs typeface="Arial" pitchFamily="34" charset="0"/>
            </a:rPr>
            <a:t> emissions from fossil fuel combustion in the pulp and paper electric power generation sector were collected from the Regional Greenhouse Gas Initiative (RGGI) Program.  RGGI piggybacks on the EPA Clean Air Markets Division (CAMD) program.  Facilities report emissions directly to CAMD.  Facility CO</a:t>
          </a:r>
          <a:r>
            <a:rPr lang="en-US" sz="1000" baseline="-25000">
              <a:latin typeface="Arial" pitchFamily="34" charset="0"/>
              <a:ea typeface="+mn-ea"/>
              <a:cs typeface="Arial" pitchFamily="34" charset="0"/>
            </a:rPr>
            <a:t>2</a:t>
          </a:r>
          <a:r>
            <a:rPr lang="en-US" sz="1000">
              <a:latin typeface="Arial" pitchFamily="34" charset="0"/>
              <a:ea typeface="+mn-ea"/>
              <a:cs typeface="Arial" pitchFamily="34" charset="0"/>
            </a:rPr>
            <a:t> emissions are reported directly from continuous emissions monitors (CEM) or are calculated by the facility and sent to RGGI/CAMD.  CH</a:t>
          </a:r>
          <a:r>
            <a:rPr lang="en-US" sz="1000" baseline="-25000">
              <a:latin typeface="Arial" pitchFamily="34" charset="0"/>
              <a:ea typeface="+mn-ea"/>
              <a:cs typeface="Arial" pitchFamily="34" charset="0"/>
            </a:rPr>
            <a:t>4 </a:t>
          </a:r>
          <a:r>
            <a:rPr lang="en-US" sz="1000">
              <a:latin typeface="Arial" pitchFamily="34" charset="0"/>
              <a:ea typeface="+mn-ea"/>
              <a:cs typeface="Arial" pitchFamily="34" charset="0"/>
            </a:rPr>
            <a:t>and N</a:t>
          </a:r>
          <a:r>
            <a:rPr lang="en-US" sz="1000" baseline="-25000">
              <a:latin typeface="Arial" pitchFamily="34" charset="0"/>
              <a:ea typeface="+mn-ea"/>
              <a:cs typeface="Arial" pitchFamily="34" charset="0"/>
            </a:rPr>
            <a:t>2</a:t>
          </a:r>
          <a:r>
            <a:rPr lang="en-US" sz="1000">
              <a:latin typeface="Arial" pitchFamily="34" charset="0"/>
              <a:ea typeface="+mn-ea"/>
              <a:cs typeface="Arial" pitchFamily="34" charset="0"/>
            </a:rPr>
            <a:t>O emissions from stationary combustion in the electric power sector are calculated using the IPCC Tier 1 approach.  Consumption of each fuel is multiplied by a fuel-specific CH</a:t>
          </a:r>
          <a:r>
            <a:rPr lang="en-US" sz="1000" baseline="-25000">
              <a:latin typeface="Arial" pitchFamily="34" charset="0"/>
              <a:ea typeface="+mn-ea"/>
              <a:cs typeface="Arial" pitchFamily="34" charset="0"/>
            </a:rPr>
            <a:t>4 </a:t>
          </a:r>
          <a:r>
            <a:rPr lang="en-US" sz="1000">
              <a:latin typeface="Arial" pitchFamily="34" charset="0"/>
              <a:ea typeface="+mn-ea"/>
              <a:cs typeface="Arial" pitchFamily="34" charset="0"/>
            </a:rPr>
            <a:t>or N</a:t>
          </a:r>
          <a:r>
            <a:rPr lang="en-US" sz="1000" baseline="-25000">
              <a:latin typeface="Arial" pitchFamily="34" charset="0"/>
              <a:ea typeface="+mn-ea"/>
              <a:cs typeface="Arial" pitchFamily="34" charset="0"/>
            </a:rPr>
            <a:t>2</a:t>
          </a:r>
          <a:r>
            <a:rPr lang="en-US" sz="1000">
              <a:latin typeface="Arial" pitchFamily="34" charset="0"/>
              <a:ea typeface="+mn-ea"/>
              <a:cs typeface="Arial" pitchFamily="34" charset="0"/>
            </a:rPr>
            <a:t>O emission factor.  The resulting fuel emission values, in metric tons CH</a:t>
          </a:r>
          <a:r>
            <a:rPr lang="en-US" sz="1000" baseline="-25000">
              <a:latin typeface="Arial" pitchFamily="34" charset="0"/>
              <a:ea typeface="+mn-ea"/>
              <a:cs typeface="Arial" pitchFamily="34" charset="0"/>
            </a:rPr>
            <a:t>4 </a:t>
          </a:r>
          <a:r>
            <a:rPr lang="en-US" sz="1000">
              <a:latin typeface="Arial" pitchFamily="34" charset="0"/>
              <a:ea typeface="+mn-ea"/>
              <a:cs typeface="Arial" pitchFamily="34" charset="0"/>
            </a:rPr>
            <a:t>and N</a:t>
          </a:r>
          <a:r>
            <a:rPr lang="en-US" sz="1000" baseline="-25000">
              <a:latin typeface="Arial" pitchFamily="34" charset="0"/>
              <a:ea typeface="+mn-ea"/>
              <a:cs typeface="Arial" pitchFamily="34" charset="0"/>
            </a:rPr>
            <a:t>2</a:t>
          </a:r>
          <a:r>
            <a:rPr lang="en-US" sz="1000">
              <a:latin typeface="Arial" pitchFamily="34" charset="0"/>
              <a:ea typeface="+mn-ea"/>
              <a:cs typeface="Arial" pitchFamily="34" charset="0"/>
            </a:rPr>
            <a:t>O , are then multiplied by the global warming potential, converted to million metric tons of carbon equivalent (MMTCE), then to million metric tons of carbon dioxide equivalent and summed.  For further detail on this method, please refer to the Stationary Chapter in the User's Guide.  </a:t>
          </a:r>
        </a:p>
        <a:p>
          <a:endParaRPr lang="en-US" sz="1000">
            <a:latin typeface="Arial" pitchFamily="34" charset="0"/>
            <a:ea typeface="+mn-ea"/>
            <a:cs typeface="Arial" pitchFamily="34" charset="0"/>
          </a:endParaRPr>
        </a:p>
        <a:p>
          <a:r>
            <a:rPr lang="en-US" sz="1000">
              <a:latin typeface="Arial" pitchFamily="34" charset="0"/>
              <a:ea typeface="+mn-ea"/>
              <a:cs typeface="Arial" pitchFamily="34" charset="0"/>
            </a:rPr>
            <a:t>Note that this worksheet estimates the direct emissions associated with the electric power sector.  Direct emissions result from the combustion of fossil fuels at the electricity generating station whereas indirect emissions occur at the point of use (e.g. residential electricity consumption.  Because electricity consumption within a state does not correspond to electricity generated in that same state, emissions from electricity consumption (indirect emissions) are not likely to be the same as emissions from generation (direct emissions).  Please refer to the electricity generation module to estimate indirect emissions from electricity consumption.</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142875</xdr:colOff>
      <xdr:row>1</xdr:row>
      <xdr:rowOff>76200</xdr:rowOff>
    </xdr:from>
    <xdr:to>
      <xdr:col>8</xdr:col>
      <xdr:colOff>619125</xdr:colOff>
      <xdr:row>1</xdr:row>
      <xdr:rowOff>904875</xdr:rowOff>
    </xdr:to>
    <xdr:sp macro="" textlink="">
      <xdr:nvSpPr>
        <xdr:cNvPr id="1844225" name="Text Box 67"/>
        <xdr:cNvSpPr txBox="1">
          <a:spLocks noChangeArrowheads="1"/>
        </xdr:cNvSpPr>
      </xdr:nvSpPr>
      <xdr:spPr bwMode="auto">
        <a:xfrm>
          <a:off x="142875" y="495300"/>
          <a:ext cx="10058400" cy="828675"/>
        </a:xfrm>
        <a:prstGeom prst="rect">
          <a:avLst/>
        </a:prstGeom>
        <a:solidFill>
          <a:srgbClr val="C0C0C0"/>
        </a:solidFill>
        <a:ln w="3175">
          <a:solidFill>
            <a:srgbClr val="000000"/>
          </a:solidFill>
          <a:miter lim="800000"/>
          <a:headEnd/>
          <a:tailEnd/>
        </a:ln>
      </xdr:spPr>
      <xdr:txBody>
        <a:bodyPr vertOverflow="clip" wrap="square" lIns="27432" tIns="22860" rIns="0" bIns="0" anchor="t" upright="1"/>
        <a:lstStyle/>
        <a:p>
          <a:pPr algn="l" rtl="0">
            <a:defRPr sz="1000"/>
          </a:pPr>
          <a:r>
            <a:rPr lang="en-US" sz="800" b="0" i="0" u="none" strike="noStrike" baseline="0">
              <a:solidFill>
                <a:srgbClr val="000000"/>
              </a:solidFill>
              <a:latin typeface="Arial"/>
              <a:cs typeface="Arial"/>
            </a:rPr>
            <a:t>Maryland is a net importer of electricity, meaning that the State consumes more electricity than is produced in the State. For this analysis, it was assumed that all power generated in Maryland was consumed in Maryland, and that remaining electricity demand was met by imported power.  The electricity imported to meet Maryland demand was assume to come from the PJM Interconnection.</a:t>
          </a:r>
        </a:p>
        <a:p>
          <a:pPr algn="l" rtl="0">
            <a:defRPr sz="1000"/>
          </a:pPr>
          <a:endParaRPr lang="en-US" sz="800" b="0" i="0" u="none" strike="noStrike" baseline="0">
            <a:solidFill>
              <a:srgbClr val="000000"/>
            </a:solidFill>
            <a:latin typeface="Arial"/>
            <a:cs typeface="Arial"/>
          </a:endParaRPr>
        </a:p>
        <a:p>
          <a:pPr algn="l" rtl="0">
            <a:defRPr sz="1000"/>
          </a:pPr>
          <a:r>
            <a:rPr lang="en-US" sz="800" b="0" i="0" u="none" strike="noStrike" baseline="0">
              <a:solidFill>
                <a:srgbClr val="000000"/>
              </a:solidFill>
              <a:latin typeface="Arial"/>
              <a:cs typeface="Arial"/>
            </a:rPr>
            <a:t>The fuel mix within the PJM region required to generate the electricity was obtained and CO2 emission rates per fuel type were calculated.  These emission rates were applied to the amount of electricity Maryland imported to meet demand. </a:t>
          </a:r>
        </a:p>
        <a:p>
          <a:pPr algn="l" rtl="0">
            <a:defRPr sz="1000"/>
          </a:pPr>
          <a:endParaRPr lang="en-US" sz="800" b="0" i="0" u="none" strike="noStrike" baseline="0">
            <a:solidFill>
              <a:srgbClr val="000000"/>
            </a:solidFill>
            <a:latin typeface="Arial"/>
            <a:cs typeface="Arial"/>
          </a:endParaRPr>
        </a:p>
        <a:p>
          <a:pPr algn="l" rtl="0">
            <a:defRPr sz="1000"/>
          </a:pPr>
          <a:endParaRPr lang="en-US" sz="800" b="0" i="0" u="none" strike="noStrike" baseline="0">
            <a:solidFill>
              <a:srgbClr val="000000"/>
            </a:solidFill>
            <a:latin typeface="Arial"/>
            <a:cs typeface="Arial"/>
          </a:endParaRPr>
        </a:p>
      </xdr:txBody>
    </xdr:sp>
    <xdr:clientData/>
  </xdr:twoCellAnchor>
  <xdr:twoCellAnchor>
    <xdr:from>
      <xdr:col>1</xdr:col>
      <xdr:colOff>590550</xdr:colOff>
      <xdr:row>94</xdr:row>
      <xdr:rowOff>0</xdr:rowOff>
    </xdr:from>
    <xdr:to>
      <xdr:col>6</xdr:col>
      <xdr:colOff>276225</xdr:colOff>
      <xdr:row>121</xdr:row>
      <xdr:rowOff>19050</xdr:rowOff>
    </xdr:to>
    <xdr:graphicFrame macro="">
      <xdr:nvGraphicFramePr>
        <xdr:cNvPr id="1844909"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238125</xdr:colOff>
      <xdr:row>1</xdr:row>
      <xdr:rowOff>152400</xdr:rowOff>
    </xdr:from>
    <xdr:to>
      <xdr:col>10</xdr:col>
      <xdr:colOff>923925</xdr:colOff>
      <xdr:row>1</xdr:row>
      <xdr:rowOff>838200</xdr:rowOff>
    </xdr:to>
    <xdr:sp macro="" textlink="">
      <xdr:nvSpPr>
        <xdr:cNvPr id="2" name="Text Box 105"/>
        <xdr:cNvSpPr txBox="1">
          <a:spLocks noChangeArrowheads="1"/>
        </xdr:cNvSpPr>
      </xdr:nvSpPr>
      <xdr:spPr bwMode="auto">
        <a:xfrm>
          <a:off x="238125" y="571500"/>
          <a:ext cx="11229975" cy="685800"/>
        </a:xfrm>
        <a:prstGeom prst="rect">
          <a:avLst/>
        </a:prstGeom>
        <a:solidFill>
          <a:srgbClr val="C0C0C0"/>
        </a:solidFill>
        <a:ln w="3175">
          <a:solidFill>
            <a:srgbClr val="000000"/>
          </a:solidFill>
          <a:miter lim="800000"/>
          <a:headEnd/>
          <a:tailEnd/>
        </a:ln>
      </xdr:spPr>
      <xdr:txBody>
        <a:bodyPr vertOverflow="clip" wrap="square" lIns="27432" tIns="22860" rIns="0" bIns="0" anchor="t" upright="1"/>
        <a:lstStyle/>
        <a:p>
          <a:pPr algn="l" rtl="0">
            <a:defRPr sz="1000"/>
          </a:pPr>
          <a:r>
            <a:rPr lang="en-US" sz="800" b="0" i="0" u="none" strike="noStrike" baseline="0">
              <a:solidFill>
                <a:srgbClr val="000000"/>
              </a:solidFill>
              <a:latin typeface="Arial"/>
              <a:cs typeface="Arial"/>
            </a:rPr>
            <a:t>GHG emissions from fossil fuel combustion in the transportation sector are calculated by multiplying energy consumption (in the transportation sector) by carbon content coefficients for each fuel.  These quantities are then multiplied by fuel-specific percentages of carbon oxidized during combustion ("combustion efficiency").  The non-energy consumption of lubricants multiplied by its carbon storage factor must be subtracted from its energy consumption before carrying out the above calculations.  The resulting fuel emissions, in pounds of carbon, are then converted to short tons of carbon and million metric tons of carbon equivalent (MMTCE), then to million metric tons of carbon dioxide equivalent (MMTCO2E), and summed.   For further detail on this method, refer to EPA SIT User's Guide.</a:t>
          </a:r>
        </a:p>
      </xdr:txBody>
    </xdr:sp>
    <xdr:clientData/>
  </xdr:twoCellAnchor>
  <xdr:twoCellAnchor>
    <xdr:from>
      <xdr:col>0</xdr:col>
      <xdr:colOff>238125</xdr:colOff>
      <xdr:row>1</xdr:row>
      <xdr:rowOff>152399</xdr:rowOff>
    </xdr:from>
    <xdr:to>
      <xdr:col>10</xdr:col>
      <xdr:colOff>923925</xdr:colOff>
      <xdr:row>1</xdr:row>
      <xdr:rowOff>895350</xdr:rowOff>
    </xdr:to>
    <xdr:sp macro="" textlink="">
      <xdr:nvSpPr>
        <xdr:cNvPr id="3" name="Text Box 105"/>
        <xdr:cNvSpPr txBox="1">
          <a:spLocks noChangeArrowheads="1"/>
        </xdr:cNvSpPr>
      </xdr:nvSpPr>
      <xdr:spPr bwMode="auto">
        <a:xfrm>
          <a:off x="238125" y="571499"/>
          <a:ext cx="10448925" cy="742951"/>
        </a:xfrm>
        <a:prstGeom prst="rect">
          <a:avLst/>
        </a:prstGeom>
        <a:solidFill>
          <a:srgbClr val="C0C0C0"/>
        </a:solidFill>
        <a:ln w="3175">
          <a:solidFill>
            <a:srgbClr val="000000"/>
          </a:solidFill>
          <a:miter lim="800000"/>
          <a:headEnd/>
          <a:tailEnd/>
        </a:ln>
      </xdr:spPr>
      <xdr:txBody>
        <a:bodyPr vertOverflow="clip" wrap="square" lIns="27432" tIns="22860" rIns="0" bIns="0" anchor="t" upright="1"/>
        <a:lstStyle/>
        <a:p>
          <a:pPr algn="l" rtl="0">
            <a:defRPr sz="1000"/>
          </a:pPr>
          <a:r>
            <a:rPr lang="en-US" sz="800" b="0" i="0" u="none" strike="noStrike" baseline="0">
              <a:solidFill>
                <a:srgbClr val="000000"/>
              </a:solidFill>
              <a:latin typeface="Arial"/>
              <a:cs typeface="Arial"/>
            </a:rPr>
            <a:t>GHG emissions from fossil fuel combustion in the onroad transportation sector are calculated  within the EPA MOVES model.  MOVES is the U.S. EPA Motor Vehicle Emission Simulator.  It is used to create emission factors or emission inventories for both onroad motor vehicles and nonroad equipment.   In the modeling process, the user specifies vehicle types, time perioeds, geographical areas, pollutants, vehicle operating characteristics, and road types to be modeled.  The model than performs a series of calculations, which have bee ccarefully developed to accurately reflect vehiclae operating processes, such as running, starts, or hoteling , and provide estimates of total emissions or emission rates per vehicle or unit of activity.  The resulting fuel emissions, in grams, are then converted to million metric tons of carbon dioxide equivalent (MMTCO</a:t>
          </a:r>
          <a:r>
            <a:rPr lang="en-US" sz="800" b="0" i="0" u="none" strike="noStrike" baseline="-25000">
              <a:solidFill>
                <a:srgbClr val="000000"/>
              </a:solidFill>
              <a:latin typeface="Arial"/>
              <a:cs typeface="Arial"/>
            </a:rPr>
            <a:t>2</a:t>
          </a:r>
          <a:r>
            <a:rPr lang="en-US" sz="800" b="0" i="0" u="none" strike="noStrike" baseline="0">
              <a:solidFill>
                <a:srgbClr val="000000"/>
              </a:solidFill>
              <a:latin typeface="Arial"/>
              <a:cs typeface="Arial"/>
            </a:rPr>
            <a:t>E), and summed.   For further detail on this method, refer to EPA MOVES User's Guide.</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238125</xdr:colOff>
      <xdr:row>1</xdr:row>
      <xdr:rowOff>152400</xdr:rowOff>
    </xdr:from>
    <xdr:to>
      <xdr:col>10</xdr:col>
      <xdr:colOff>923925</xdr:colOff>
      <xdr:row>1</xdr:row>
      <xdr:rowOff>838200</xdr:rowOff>
    </xdr:to>
    <xdr:sp macro="" textlink="">
      <xdr:nvSpPr>
        <xdr:cNvPr id="2" name="Text Box 105"/>
        <xdr:cNvSpPr txBox="1">
          <a:spLocks noChangeArrowheads="1"/>
        </xdr:cNvSpPr>
      </xdr:nvSpPr>
      <xdr:spPr bwMode="auto">
        <a:xfrm>
          <a:off x="238125" y="571500"/>
          <a:ext cx="10448925" cy="685800"/>
        </a:xfrm>
        <a:prstGeom prst="rect">
          <a:avLst/>
        </a:prstGeom>
        <a:solidFill>
          <a:srgbClr val="C0C0C0"/>
        </a:solidFill>
        <a:ln w="3175">
          <a:solidFill>
            <a:srgbClr val="000000"/>
          </a:solidFill>
          <a:miter lim="800000"/>
          <a:headEnd/>
          <a:tailEnd/>
        </a:ln>
      </xdr:spPr>
      <xdr:txBody>
        <a:bodyPr vertOverflow="clip" wrap="square" lIns="27432" tIns="22860" rIns="0" bIns="0" anchor="t" upright="1"/>
        <a:lstStyle/>
        <a:p>
          <a:pPr algn="l" rtl="0">
            <a:defRPr sz="1000"/>
          </a:pPr>
          <a:r>
            <a:rPr lang="en-US" sz="800" b="0" i="0" u="none" strike="noStrike" baseline="0">
              <a:solidFill>
                <a:srgbClr val="000000"/>
              </a:solidFill>
              <a:latin typeface="Arial"/>
              <a:cs typeface="Arial"/>
            </a:rPr>
            <a:t>GHG emissions from fossil fuel combustion in the transportation sector are calculated by multiplying energy consumption (in the transportation sector) by carbon content coefficients for each fuel.  These quantities are then multiplied by fuel-specific percentages of carbon oxidized during combustion ("combustion efficiency").  The non-energy consumption of lubricants multiplied by its carbon storage factor must be subtracted from its energy consumption before carrying out the above calculations.  The resulting fuel emissions, in pounds of carbon, are then converted to short tons of carbon and million metric tons of carbon equivalent (MMTCE), then to million metric tons of carbon dioxide equivalent (MMTCO2E), and summed.   For further detail on this method, refer to EPA SIT User's Guide.</a:t>
          </a:r>
        </a:p>
      </xdr:txBody>
    </xdr:sp>
    <xdr:clientData/>
  </xdr:twoCellAnchor>
  <xdr:twoCellAnchor>
    <xdr:from>
      <xdr:col>1</xdr:col>
      <xdr:colOff>0</xdr:colOff>
      <xdr:row>1</xdr:row>
      <xdr:rowOff>152400</xdr:rowOff>
    </xdr:from>
    <xdr:to>
      <xdr:col>10</xdr:col>
      <xdr:colOff>923925</xdr:colOff>
      <xdr:row>1</xdr:row>
      <xdr:rowOff>923926</xdr:rowOff>
    </xdr:to>
    <xdr:sp macro="" textlink="">
      <xdr:nvSpPr>
        <xdr:cNvPr id="3" name="Text Box 105"/>
        <xdr:cNvSpPr txBox="1">
          <a:spLocks noChangeArrowheads="1"/>
        </xdr:cNvSpPr>
      </xdr:nvSpPr>
      <xdr:spPr bwMode="auto">
        <a:xfrm>
          <a:off x="180975" y="571500"/>
          <a:ext cx="10410825" cy="771526"/>
        </a:xfrm>
        <a:prstGeom prst="rect">
          <a:avLst/>
        </a:prstGeom>
        <a:solidFill>
          <a:srgbClr val="C0C0C0"/>
        </a:solidFill>
        <a:ln w="3175">
          <a:solidFill>
            <a:srgbClr val="000000"/>
          </a:solidFill>
          <a:miter lim="800000"/>
          <a:headEnd/>
          <a:tailEnd/>
        </a:ln>
      </xdr:spPr>
      <xdr:txBody>
        <a:bodyPr vertOverflow="clip" wrap="square" lIns="27432" tIns="22860" rIns="0" bIns="0" anchor="t" upright="1"/>
        <a:lstStyle/>
        <a:p>
          <a:pPr rtl="0"/>
          <a:r>
            <a:rPr lang="en-US" sz="800" b="0" i="0" baseline="0">
              <a:latin typeface="Arial" pitchFamily="34" charset="0"/>
              <a:ea typeface="+mn-ea"/>
              <a:cs typeface="Arial" pitchFamily="34" charset="0"/>
            </a:rPr>
            <a:t>GHG emissions from fossil fuel combustion in the nonroad transportation sector are calculated  within the EPA MOVES model.  MOVES is the U.S. EPA Motor Vehicle Emission Simulator.  It is used to create emission factors or emission inventories for both onroad motor vehicles and nonroad equipment.   In the modeling process, the user specifies vehicle types, time perioeds, geographical areas, pollutants, vehicle operating characteristics, and road types to be modeled.  The model than performs a series of calculations, which have bee ccarefully developed to accurately reflect vehiclae operating processes, such as running, starts, or hoteling , and provide estimates of total emissions or emission rates per vehicle or unit of activity.  The resulting fuel emissions, in grams, are then converted to million metric tons of carbon dioxide equivalent (MMTCO</a:t>
          </a:r>
          <a:r>
            <a:rPr lang="en-US" sz="800" b="0" i="0" baseline="-25000">
              <a:latin typeface="Arial" pitchFamily="34" charset="0"/>
              <a:ea typeface="+mn-ea"/>
              <a:cs typeface="Arial" pitchFamily="34" charset="0"/>
            </a:rPr>
            <a:t>2</a:t>
          </a:r>
          <a:r>
            <a:rPr lang="en-US" sz="800" b="0" i="0" baseline="0">
              <a:latin typeface="Arial" pitchFamily="34" charset="0"/>
              <a:ea typeface="+mn-ea"/>
              <a:cs typeface="Arial" pitchFamily="34" charset="0"/>
            </a:rPr>
            <a:t>E), and summed.   For further detail on this method, refer to EPA MOVES User's Guide.</a:t>
          </a:r>
          <a:endParaRPr lang="en-US" sz="800">
            <a:latin typeface="Arial" pitchFamily="34" charset="0"/>
            <a:cs typeface="Arial" pitchFamily="34" charset="0"/>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238125</xdr:colOff>
      <xdr:row>1</xdr:row>
      <xdr:rowOff>152400</xdr:rowOff>
    </xdr:from>
    <xdr:to>
      <xdr:col>10</xdr:col>
      <xdr:colOff>923925</xdr:colOff>
      <xdr:row>1</xdr:row>
      <xdr:rowOff>838200</xdr:rowOff>
    </xdr:to>
    <xdr:sp macro="" textlink="">
      <xdr:nvSpPr>
        <xdr:cNvPr id="2" name="Text Box 105"/>
        <xdr:cNvSpPr txBox="1">
          <a:spLocks noChangeArrowheads="1"/>
        </xdr:cNvSpPr>
      </xdr:nvSpPr>
      <xdr:spPr bwMode="auto">
        <a:xfrm>
          <a:off x="238125" y="571500"/>
          <a:ext cx="11001375" cy="685800"/>
        </a:xfrm>
        <a:prstGeom prst="rect">
          <a:avLst/>
        </a:prstGeom>
        <a:solidFill>
          <a:srgbClr val="C0C0C0"/>
        </a:solidFill>
        <a:ln w="3175">
          <a:solidFill>
            <a:srgbClr val="000000"/>
          </a:solidFill>
          <a:miter lim="800000"/>
          <a:headEnd/>
          <a:tailEnd/>
        </a:ln>
      </xdr:spPr>
      <xdr:txBody>
        <a:bodyPr vertOverflow="clip" wrap="square" lIns="27432" tIns="22860" rIns="0" bIns="0" anchor="t" upright="1"/>
        <a:lstStyle/>
        <a:p>
          <a:pPr algn="l" rtl="0">
            <a:defRPr sz="1000"/>
          </a:pPr>
          <a:r>
            <a:rPr lang="en-US" sz="800" b="0" i="0" u="none" strike="noStrike" baseline="0">
              <a:solidFill>
                <a:srgbClr val="000000"/>
              </a:solidFill>
              <a:latin typeface="Arial"/>
              <a:cs typeface="Arial"/>
            </a:rPr>
            <a:t>GHG emissions from fossil fuel combustion in the transportation sector are calculated by multiplying energy consumption (in the transportation sector) by carbon content coefficients for each fuel.  These quantities are then multiplied by fuel-specific percentages of carbon oxidized during combustion ("combustion efficiency").  The non-energy consumption of lubricants multiplied by its carbon storage factor must be subtracted from its energy consumption before carrying out the above calculations.  The resulting fuel emissions, in pounds of carbon, are then converted to short tons of carbon and million metric tons of carbon equivalent (MMTCE), then to million metric tons of carbon dioxide equivalent (MMTCO2E), and summed.   For further detail on this method, refer to EPA SIT User's Guide.</a:t>
          </a:r>
        </a:p>
      </xdr:txBody>
    </xdr:sp>
    <xdr:clientData/>
  </xdr:twoCellAnchor>
  <xdr:twoCellAnchor>
    <xdr:from>
      <xdr:col>0</xdr:col>
      <xdr:colOff>238125</xdr:colOff>
      <xdr:row>1</xdr:row>
      <xdr:rowOff>152400</xdr:rowOff>
    </xdr:from>
    <xdr:to>
      <xdr:col>10</xdr:col>
      <xdr:colOff>923925</xdr:colOff>
      <xdr:row>1</xdr:row>
      <xdr:rowOff>838200</xdr:rowOff>
    </xdr:to>
    <xdr:sp macro="" textlink="">
      <xdr:nvSpPr>
        <xdr:cNvPr id="3" name="Text Box 105"/>
        <xdr:cNvSpPr txBox="1">
          <a:spLocks noChangeArrowheads="1"/>
        </xdr:cNvSpPr>
      </xdr:nvSpPr>
      <xdr:spPr bwMode="auto">
        <a:xfrm>
          <a:off x="238125" y="571500"/>
          <a:ext cx="11001375" cy="685800"/>
        </a:xfrm>
        <a:prstGeom prst="rect">
          <a:avLst/>
        </a:prstGeom>
        <a:solidFill>
          <a:srgbClr val="C0C0C0"/>
        </a:solidFill>
        <a:ln w="3175">
          <a:solidFill>
            <a:srgbClr val="000000"/>
          </a:solidFill>
          <a:miter lim="800000"/>
          <a:headEnd/>
          <a:tailEnd/>
        </a:ln>
      </xdr:spPr>
      <xdr:txBody>
        <a:bodyPr vertOverflow="clip" wrap="square" lIns="27432" tIns="22860" rIns="0" bIns="0" anchor="t" upright="1"/>
        <a:lstStyle/>
        <a:p>
          <a:pPr algn="l" rtl="0">
            <a:defRPr sz="1000"/>
          </a:pPr>
          <a:r>
            <a:rPr lang="en-US" sz="800" b="0" i="0" u="none" strike="noStrike" baseline="0">
              <a:solidFill>
                <a:srgbClr val="000000"/>
              </a:solidFill>
              <a:latin typeface="Arial"/>
              <a:cs typeface="Arial"/>
            </a:rPr>
            <a:t>GHG emissions from fossil fuel combustion in the transportation sector are calculated by multiplying energy consumption (in the transportation sector) by carbon content coefficients for each fuel.  These quantities are then multiplied by fuel-specific percentages of carbon oxidized during combustion ("combustion efficiency").  The non-energy consumption of lubricants multiplied by its carbon storage factor must be subtracted from its energy consumption before carrying out the above calculations.  The resulting fuel emissions, in pounds of carbon, are then converted to short tons of carbon and million metric tons of carbon equivalent (MMTCE), then to million metric tons of carbon dioxide equivalent (MMTCO</a:t>
          </a:r>
          <a:r>
            <a:rPr lang="en-US" sz="800" b="0" i="0" u="none" strike="noStrike" baseline="-25000">
              <a:solidFill>
                <a:srgbClr val="000000"/>
              </a:solidFill>
              <a:latin typeface="Arial"/>
              <a:cs typeface="Arial"/>
            </a:rPr>
            <a:t>2</a:t>
          </a:r>
          <a:r>
            <a:rPr lang="en-US" sz="800" b="0" i="0" u="none" strike="noStrike" baseline="0">
              <a:solidFill>
                <a:srgbClr val="000000"/>
              </a:solidFill>
              <a:latin typeface="Arial"/>
              <a:cs typeface="Arial"/>
            </a:rPr>
            <a:t>E), and summed.   For further detail on this method, refer to EPA SIT User's Guide.</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466725</xdr:colOff>
      <xdr:row>1</xdr:row>
      <xdr:rowOff>66675</xdr:rowOff>
    </xdr:from>
    <xdr:to>
      <xdr:col>11</xdr:col>
      <xdr:colOff>428625</xdr:colOff>
      <xdr:row>1</xdr:row>
      <xdr:rowOff>1485900</xdr:rowOff>
    </xdr:to>
    <xdr:sp macro="" textlink="">
      <xdr:nvSpPr>
        <xdr:cNvPr id="1831943" name="Text Box 79"/>
        <xdr:cNvSpPr txBox="1">
          <a:spLocks noChangeArrowheads="1"/>
        </xdr:cNvSpPr>
      </xdr:nvSpPr>
      <xdr:spPr bwMode="auto">
        <a:xfrm>
          <a:off x="466725" y="485775"/>
          <a:ext cx="8467725" cy="1419225"/>
        </a:xfrm>
        <a:prstGeom prst="rect">
          <a:avLst/>
        </a:prstGeom>
        <a:solidFill>
          <a:srgbClr val="C0C0C0"/>
        </a:solidFill>
        <a:ln w="3175">
          <a:solidFill>
            <a:srgbClr val="000000"/>
          </a:solidFill>
          <a:miter lim="800000"/>
          <a:headEnd/>
          <a:tailEnd/>
        </a:ln>
      </xdr:spPr>
      <xdr:txBody>
        <a:bodyPr vertOverflow="clip" wrap="square" lIns="27432" tIns="22860" rIns="0" bIns="0" anchor="t" upright="1"/>
        <a:lstStyle/>
        <a:p>
          <a:pPr algn="l" rtl="0">
            <a:defRPr sz="1000"/>
          </a:pPr>
          <a:r>
            <a:rPr lang="en-US" sz="800" b="0" i="0" u="none" strike="noStrike" baseline="0">
              <a:solidFill>
                <a:srgbClr val="000000"/>
              </a:solidFill>
              <a:latin typeface="Arial"/>
              <a:cs typeface="Arial"/>
            </a:rPr>
            <a:t>CO</a:t>
          </a:r>
          <a:r>
            <a:rPr lang="en-US" sz="800" b="0" i="0" u="none" strike="noStrike" baseline="-25000">
              <a:solidFill>
                <a:srgbClr val="000000"/>
              </a:solidFill>
              <a:latin typeface="Arial"/>
              <a:cs typeface="Arial"/>
            </a:rPr>
            <a:t>2</a:t>
          </a:r>
          <a:r>
            <a:rPr lang="en-US" sz="800" b="0" i="0" u="none" strike="noStrike" baseline="0">
              <a:solidFill>
                <a:srgbClr val="000000"/>
              </a:solidFill>
              <a:latin typeface="Arial"/>
              <a:cs typeface="Arial"/>
            </a:rPr>
            <a:t> emissions from fossil fuel combustion in the residential sector are calculated by multiplying energy consumption (in the residential sector) by carbon content coefficients for each fuel.  These quantities are then multiplied by fuel-specific percentages of carbon oxidized during combustion ("combustion efficiency").  The resulting fuel emission values, in pounds of carbon, are then converted to short tons of carbon and million metric tons of carbon equivalent (MMTCE), then to million metric tons of carbon dioxide equivalent (MMTCO</a:t>
          </a:r>
          <a:r>
            <a:rPr lang="en-US" sz="800" b="0" i="0" u="none" strike="noStrike" baseline="-25000">
              <a:solidFill>
                <a:srgbClr val="000000"/>
              </a:solidFill>
              <a:latin typeface="Arial"/>
              <a:cs typeface="Arial"/>
            </a:rPr>
            <a:t>2</a:t>
          </a:r>
          <a:r>
            <a:rPr lang="en-US" sz="800" b="0" i="0" u="none" strike="noStrike" baseline="0">
              <a:solidFill>
                <a:srgbClr val="000000"/>
              </a:solidFill>
              <a:latin typeface="Arial"/>
              <a:cs typeface="Arial"/>
            </a:rPr>
            <a:t>E), and summed.     For further detail on this method, refer to the CO</a:t>
          </a:r>
          <a:r>
            <a:rPr lang="en-US" sz="800" b="0" i="0" u="none" strike="noStrike" baseline="-25000">
              <a:solidFill>
                <a:srgbClr val="000000"/>
              </a:solidFill>
              <a:latin typeface="Arial"/>
              <a:cs typeface="Arial"/>
            </a:rPr>
            <a:t>2</a:t>
          </a:r>
          <a:r>
            <a:rPr lang="en-US" sz="800" b="0" i="0" u="none" strike="noStrike" baseline="0">
              <a:solidFill>
                <a:srgbClr val="000000"/>
              </a:solidFill>
              <a:latin typeface="Arial"/>
              <a:cs typeface="Arial"/>
            </a:rPr>
            <a:t>FFC Chapter in the User's Guide.</a:t>
          </a:r>
        </a:p>
        <a:p>
          <a:pPr algn="l" rtl="0">
            <a:defRPr sz="1000"/>
          </a:pPr>
          <a:endParaRPr lang="en-US" sz="800" b="0" i="0" u="none" strike="noStrike" baseline="0">
            <a:solidFill>
              <a:srgbClr val="000000"/>
            </a:solidFill>
            <a:latin typeface="Arial"/>
            <a:cs typeface="Arial"/>
          </a:endParaRPr>
        </a:p>
        <a:p>
          <a:pPr algn="l" rtl="0">
            <a:defRPr sz="1000"/>
          </a:pPr>
          <a:r>
            <a:rPr lang="en-US" sz="800" b="0" i="0" u="none" strike="noStrike" baseline="0">
              <a:solidFill>
                <a:srgbClr val="000000"/>
              </a:solidFill>
              <a:latin typeface="Arial"/>
              <a:cs typeface="Arial"/>
            </a:rPr>
            <a:t>According to the methods developed by the International Panel on Climate Change, CO</a:t>
          </a:r>
          <a:r>
            <a:rPr lang="en-US" sz="800" b="0" i="0" u="none" strike="noStrike" baseline="-25000">
              <a:solidFill>
                <a:srgbClr val="000000"/>
              </a:solidFill>
              <a:latin typeface="Arial"/>
              <a:cs typeface="Arial"/>
            </a:rPr>
            <a:t>2</a:t>
          </a:r>
          <a:r>
            <a:rPr lang="en-US" sz="800" b="0" i="0" u="none" strike="noStrike" baseline="0">
              <a:solidFill>
                <a:srgbClr val="000000"/>
              </a:solidFill>
              <a:latin typeface="Arial"/>
              <a:cs typeface="Arial"/>
            </a:rPr>
            <a:t> emissions from the combustion of biogenic sources (e.g., fuel wood) are not counted in greenhouse gas inventories, provided that those sources are harvested on a sustainable basis. The carbon in wood fuel was originally removed from the atmosphere by photosynthesis, and under natural conditions, it would cycle back to the atmosphere eventually as CO</a:t>
          </a:r>
          <a:r>
            <a:rPr lang="en-US" sz="800" b="0" i="0" u="none" strike="noStrike" baseline="-25000">
              <a:solidFill>
                <a:srgbClr val="000000"/>
              </a:solidFill>
              <a:latin typeface="Arial"/>
              <a:cs typeface="Arial"/>
            </a:rPr>
            <a:t>2</a:t>
          </a:r>
          <a:r>
            <a:rPr lang="en-US" sz="800" b="0" i="0" u="none" strike="noStrike" baseline="0">
              <a:solidFill>
                <a:srgbClr val="000000"/>
              </a:solidFill>
              <a:latin typeface="Arial"/>
              <a:cs typeface="Arial"/>
            </a:rPr>
            <a:t> due to degradation processes. For processes with CO</a:t>
          </a:r>
          <a:r>
            <a:rPr lang="en-US" sz="800" b="0" i="0" u="none" strike="noStrike" baseline="-25000">
              <a:solidFill>
                <a:srgbClr val="000000"/>
              </a:solidFill>
              <a:latin typeface="Arial"/>
              <a:cs typeface="Arial"/>
            </a:rPr>
            <a:t>2</a:t>
          </a:r>
          <a:r>
            <a:rPr lang="en-US" sz="800" b="0" i="0" u="none" strike="noStrike" baseline="0">
              <a:solidFill>
                <a:srgbClr val="000000"/>
              </a:solidFill>
              <a:latin typeface="Arial"/>
              <a:cs typeface="Arial"/>
            </a:rPr>
            <a:t> emissions, if the emissions are from biogenic materials and the materials are grown on a sustainable basis, then those emissions are considered to close the loop in the natural carbon cycle. </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495300</xdr:colOff>
      <xdr:row>1</xdr:row>
      <xdr:rowOff>47625</xdr:rowOff>
    </xdr:from>
    <xdr:to>
      <xdr:col>8</xdr:col>
      <xdr:colOff>504825</xdr:colOff>
      <xdr:row>1</xdr:row>
      <xdr:rowOff>800100</xdr:rowOff>
    </xdr:to>
    <xdr:sp macro="" textlink="">
      <xdr:nvSpPr>
        <xdr:cNvPr id="1832970" name="Text Box 78"/>
        <xdr:cNvSpPr txBox="1">
          <a:spLocks noChangeArrowheads="1"/>
        </xdr:cNvSpPr>
      </xdr:nvSpPr>
      <xdr:spPr bwMode="auto">
        <a:xfrm>
          <a:off x="495300" y="466725"/>
          <a:ext cx="7705725" cy="752475"/>
        </a:xfrm>
        <a:prstGeom prst="rect">
          <a:avLst/>
        </a:prstGeom>
        <a:solidFill>
          <a:srgbClr val="C0C0C0"/>
        </a:solidFill>
        <a:ln w="3175">
          <a:solidFill>
            <a:srgbClr val="000000"/>
          </a:solidFill>
          <a:miter lim="800000"/>
          <a:headEnd/>
          <a:tailEnd/>
        </a:ln>
      </xdr:spPr>
      <xdr:txBody>
        <a:bodyPr vertOverflow="clip" wrap="square" lIns="27432" tIns="22860" rIns="0" bIns="0" anchor="t" upright="1"/>
        <a:lstStyle/>
        <a:p>
          <a:pPr algn="l" rtl="0">
            <a:defRPr sz="1000"/>
          </a:pPr>
          <a:r>
            <a:rPr lang="en-US" sz="800" b="0" i="0" u="none" strike="noStrike" baseline="0">
              <a:solidFill>
                <a:srgbClr val="000000"/>
              </a:solidFill>
              <a:latin typeface="Arial"/>
              <a:cs typeface="Arial"/>
            </a:rPr>
            <a:t>CO</a:t>
          </a:r>
          <a:r>
            <a:rPr lang="en-US" sz="800" b="0" i="0" u="none" strike="noStrike" baseline="-25000">
              <a:solidFill>
                <a:srgbClr val="000000"/>
              </a:solidFill>
              <a:latin typeface="Arial"/>
              <a:cs typeface="Arial"/>
            </a:rPr>
            <a:t>2</a:t>
          </a:r>
          <a:r>
            <a:rPr lang="en-US" sz="800" b="0" i="0" u="none" strike="noStrike" baseline="0">
              <a:solidFill>
                <a:srgbClr val="000000"/>
              </a:solidFill>
              <a:latin typeface="Arial"/>
              <a:cs typeface="Arial"/>
            </a:rPr>
            <a:t> emissions from fossil fuel combustion in the commercial sector are calculated by multiplying energy consumption (in the commercial sector) by carbon content coefficients for each fuel.  These quantities are then multiplied by fuel-specific percentages of carbon oxidized during combustion ("combustion efficiency").  The resulting fuel emissions, in pounds of carbon, are then converted to short tons of carbon and million metric tons of carbon equivalent (MMTCE), then to million metric tons of carbon dioxide equivalent (MMTCO</a:t>
          </a:r>
          <a:r>
            <a:rPr lang="en-US" sz="800" b="0" i="0" u="none" strike="noStrike" baseline="-25000">
              <a:solidFill>
                <a:srgbClr val="000000"/>
              </a:solidFill>
              <a:latin typeface="Arial"/>
              <a:cs typeface="Arial"/>
            </a:rPr>
            <a:t>2</a:t>
          </a:r>
          <a:r>
            <a:rPr lang="en-US" sz="800" b="0" i="0" u="none" strike="noStrike" baseline="0">
              <a:solidFill>
                <a:srgbClr val="000000"/>
              </a:solidFill>
              <a:latin typeface="Arial"/>
              <a:cs typeface="Arial"/>
            </a:rPr>
            <a:t>E), and summed.   For further detail on this method, refer to CO</a:t>
          </a:r>
          <a:r>
            <a:rPr lang="en-US" sz="800" b="0" i="0" u="none" strike="noStrike" baseline="-25000">
              <a:solidFill>
                <a:srgbClr val="000000"/>
              </a:solidFill>
              <a:latin typeface="Arial"/>
              <a:cs typeface="Arial"/>
            </a:rPr>
            <a:t>2</a:t>
          </a:r>
          <a:r>
            <a:rPr lang="en-US" sz="800" b="0" i="0" u="none" strike="noStrike" baseline="0">
              <a:solidFill>
                <a:srgbClr val="000000"/>
              </a:solidFill>
              <a:latin typeface="Arial"/>
              <a:cs typeface="Arial"/>
            </a:rPr>
            <a:t>FFC Chapter in the User's Guide.</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L:\Documents%20and%20Settings\AMohammed\My%20Documents\CSS-\MD_AgProjections.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L:\DOCUME~1\Andy\LOCALS~1\Temp\MD_Mobile_Combustion_Module.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L:\MDE%20-%20WORK\Emission%20Inventory\Greenhouse%20Gas\2011\2011%20GHG%20Emissions\2011%20SIT%20specific\2012%20Modules\CO2FFC%20Module.xls%202010%20updated.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L:\Documents%20and%20Settings\AMohammed\My%20Documents\CSS-\MD_IP_Module.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L:\DOCUME~1\Andy\LOCALS~1\Temp\MD_Waste_Summary.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L:\MDE%20-%20WORK\Emission%20Inventory\Greenhouse%20Gas\2010%20SIT%20Tool\SIT%20Modules\Wastewater%20Module.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L:\Documents%20and%20Settings\AMohammed\My%20Documents\CSS-\MD_Natural_Gas_and_Oil_Module.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L:\Documents%20and%20Settings\AMohammed\My%20Documents\CSS-\MD_Stationary_Combustion_Module.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L:\DOCUME~1\AMOHAM~1\LOCALS~1\Temp\Temporary%20Directory%201%20for%20SIT%202010%20new.zip\SIT%20Modules\Solid%20Waste%20Module.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L:\MDE%20-%20WORK\Emission%20Inventory\Greenhouse%20Gas\2010%20SIT%20Tool\SIT%20Modules\IP%20Module.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L:\DOCUME~1\rthunell\LOCALS~1\Temp\XPGrpWise\2006\Sept%202010%20SIT%20Runs\IP%20Module.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L:\Documents%20and%20Settings\AMohammed\My%20Documents\CSS-\MD_CO2FFC_Module.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L:\MDE%20-%20WORK\Emission%20Inventory\Greenhouse%20Gas\2010%20SIT%20Tool\SIT%20Modules\Coal%20Module.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L:\MDE%20-%20WORK\Emission%20Inventory\Greenhouse%20Gas\2010%20SIT%20Tool\SIT%20Modules\Ag%20Module.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L:\DOCUME~1\Andy\LOCALS~1\Temp\MD_CO2FFC_Module.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L:\AQPlanning%20and%20Monitoring\Planning%20Division\Inventories\2006%20Emission%20Inventory\2010%20Version\2010%20SIT%20Release\Ag%20Module.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L:\DOCUME~1\Andy\LOCALS~1\Temp\MD_Natural_Gas_and_Oil_Module.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Enteric Fermentation"/>
      <sheetName val="Manure Mgmt"/>
      <sheetName val="Livestock Growth Factors"/>
      <sheetName val="MD Projected Animal Pop"/>
    </sheetNames>
    <sheetDataSet>
      <sheetData sheetId="0">
        <row r="12">
          <cell r="B12">
            <v>0</v>
          </cell>
        </row>
      </sheetData>
      <sheetData sheetId="1">
        <row r="5">
          <cell r="D5">
            <v>9.305286463300031E-4</v>
          </cell>
        </row>
        <row r="8">
          <cell r="D8">
            <v>1.8851453859971456E-4</v>
          </cell>
        </row>
      </sheetData>
      <sheetData sheetId="2">
        <row r="1">
          <cell r="D1" t="str">
            <v>2015-2020</v>
          </cell>
        </row>
      </sheetData>
      <sheetData sheetId="3">
        <row r="9">
          <cell r="C9">
            <v>4.0039999999999996</v>
          </cell>
          <cell r="D9">
            <v>3.9649999999999999</v>
          </cell>
          <cell r="E9">
            <v>4.915</v>
          </cell>
          <cell r="F9">
            <v>4.9870000000000001</v>
          </cell>
          <cell r="G9">
            <v>5.016</v>
          </cell>
          <cell r="H9">
            <v>5.0170000000000003</v>
          </cell>
          <cell r="I9">
            <v>4.9459999999999997</v>
          </cell>
          <cell r="J9">
            <v>4.923</v>
          </cell>
          <cell r="K9">
            <v>4.9109999999999996</v>
          </cell>
          <cell r="L9">
            <v>3.8319999999999999</v>
          </cell>
          <cell r="M9">
            <v>3.847</v>
          </cell>
          <cell r="N9">
            <v>3.8719999999999999</v>
          </cell>
          <cell r="O9">
            <v>3.8679999999999999</v>
          </cell>
          <cell r="P9">
            <v>4</v>
          </cell>
          <cell r="Q9">
            <v>3.8924886225386381</v>
          </cell>
        </row>
        <row r="10">
          <cell r="C10">
            <v>76.406999999999996</v>
          </cell>
          <cell r="D10">
            <v>74.974000000000004</v>
          </cell>
          <cell r="E10">
            <v>73.491</v>
          </cell>
          <cell r="F10">
            <v>68.781000000000006</v>
          </cell>
          <cell r="G10">
            <v>82.341999999999999</v>
          </cell>
          <cell r="H10">
            <v>65.384</v>
          </cell>
          <cell r="I10">
            <v>62.869</v>
          </cell>
          <cell r="J10">
            <v>66.203999999999994</v>
          </cell>
          <cell r="K10">
            <v>63.573</v>
          </cell>
          <cell r="L10">
            <v>55.92</v>
          </cell>
          <cell r="M10">
            <v>62.317999999999998</v>
          </cell>
          <cell r="N10">
            <v>64.465000000000003</v>
          </cell>
          <cell r="O10">
            <v>57.311</v>
          </cell>
          <cell r="P10">
            <v>42</v>
          </cell>
          <cell r="Q10">
            <v>60.935000000000002</v>
          </cell>
        </row>
        <row r="11">
          <cell r="C11">
            <v>53.717264558822635</v>
          </cell>
          <cell r="D11">
            <v>54.730649441933174</v>
          </cell>
          <cell r="E11">
            <v>65.472301730261435</v>
          </cell>
          <cell r="F11">
            <v>64.922096124891254</v>
          </cell>
          <cell r="G11">
            <v>69.891855141899896</v>
          </cell>
          <cell r="H11">
            <v>64.345471379184403</v>
          </cell>
          <cell r="I11">
            <v>52.258129485546128</v>
          </cell>
          <cell r="J11">
            <v>49.372362402242878</v>
          </cell>
          <cell r="K11">
            <v>49.290076562055553</v>
          </cell>
          <cell r="L11">
            <v>41.228965003723012</v>
          </cell>
          <cell r="M11">
            <v>37.277958093549955</v>
          </cell>
          <cell r="N11">
            <v>41.381308154537528</v>
          </cell>
          <cell r="O11">
            <v>41.383295485897413</v>
          </cell>
          <cell r="P11">
            <v>42.344256009348385</v>
          </cell>
          <cell r="Q11">
            <v>43.349195209537172</v>
          </cell>
        </row>
        <row r="12">
          <cell r="C12">
            <v>22.018999999999998</v>
          </cell>
          <cell r="D12">
            <v>15.032999999999999</v>
          </cell>
          <cell r="E12">
            <v>14.038</v>
          </cell>
          <cell r="F12">
            <v>8.907</v>
          </cell>
          <cell r="G12">
            <v>10.172000000000001</v>
          </cell>
          <cell r="H12">
            <v>7.6059999999999999</v>
          </cell>
          <cell r="I12">
            <v>12.167999999999999</v>
          </cell>
          <cell r="J12">
            <v>7.6909999999999998</v>
          </cell>
          <cell r="K12">
            <v>4.4290000000000003</v>
          </cell>
          <cell r="L12">
            <v>8.1539999999999999</v>
          </cell>
          <cell r="M12">
            <v>9.4480000000000004</v>
          </cell>
          <cell r="N12">
            <v>8.4139999999999997</v>
          </cell>
          <cell r="O12">
            <v>12.412000000000001</v>
          </cell>
          <cell r="P12">
            <v>20</v>
          </cell>
          <cell r="Q12">
            <v>9.7379999999999995</v>
          </cell>
        </row>
        <row r="13">
          <cell r="C13">
            <v>18.559999999999999</v>
          </cell>
          <cell r="D13">
            <v>18.777999999999999</v>
          </cell>
          <cell r="E13">
            <v>21.126000000000001</v>
          </cell>
          <cell r="F13">
            <v>21.004000000000001</v>
          </cell>
          <cell r="G13">
            <v>20.521000000000001</v>
          </cell>
          <cell r="H13">
            <v>19.145</v>
          </cell>
          <cell r="I13">
            <v>21.190999999999999</v>
          </cell>
          <cell r="J13">
            <v>18.373999999999999</v>
          </cell>
          <cell r="K13">
            <v>15.714</v>
          </cell>
          <cell r="L13">
            <v>13.613</v>
          </cell>
          <cell r="M13">
            <v>12.465</v>
          </cell>
          <cell r="N13">
            <v>16.821000000000002</v>
          </cell>
          <cell r="O13">
            <v>14.648</v>
          </cell>
          <cell r="P13">
            <v>14.926</v>
          </cell>
          <cell r="Q13">
            <v>16.885999999999999</v>
          </cell>
        </row>
        <row r="14">
          <cell r="C14">
            <v>175</v>
          </cell>
          <cell r="D14">
            <v>180</v>
          </cell>
          <cell r="E14">
            <v>170</v>
          </cell>
          <cell r="F14">
            <v>120</v>
          </cell>
          <cell r="G14">
            <v>80</v>
          </cell>
          <cell r="H14">
            <v>75</v>
          </cell>
          <cell r="I14">
            <v>85</v>
          </cell>
          <cell r="J14">
            <v>65</v>
          </cell>
          <cell r="K14">
            <v>55</v>
          </cell>
          <cell r="L14">
            <v>58</v>
          </cell>
          <cell r="M14">
            <v>52</v>
          </cell>
          <cell r="N14">
            <v>35</v>
          </cell>
          <cell r="O14">
            <v>35</v>
          </cell>
          <cell r="P14">
            <v>26</v>
          </cell>
          <cell r="Q14">
            <v>35</v>
          </cell>
          <cell r="R14">
            <v>35</v>
          </cell>
          <cell r="S14">
            <v>35</v>
          </cell>
          <cell r="T14">
            <v>35</v>
          </cell>
          <cell r="X14">
            <v>35</v>
          </cell>
          <cell r="Y14">
            <v>35</v>
          </cell>
          <cell r="Z14">
            <v>35</v>
          </cell>
          <cell r="AA14">
            <v>35</v>
          </cell>
          <cell r="AB14">
            <v>35</v>
          </cell>
          <cell r="AC14">
            <v>35</v>
          </cell>
          <cell r="AD14">
            <v>35</v>
          </cell>
          <cell r="AE14">
            <v>35</v>
          </cell>
          <cell r="AF14">
            <v>35</v>
          </cell>
        </row>
        <row r="15">
          <cell r="C15">
            <v>30</v>
          </cell>
          <cell r="D15">
            <v>30</v>
          </cell>
          <cell r="E15">
            <v>29</v>
          </cell>
          <cell r="F15">
            <v>17</v>
          </cell>
          <cell r="G15">
            <v>13</v>
          </cell>
          <cell r="H15">
            <v>12</v>
          </cell>
          <cell r="I15">
            <v>11</v>
          </cell>
          <cell r="J15">
            <v>7</v>
          </cell>
          <cell r="K15">
            <v>6</v>
          </cell>
          <cell r="L15">
            <v>7</v>
          </cell>
          <cell r="M15">
            <v>7</v>
          </cell>
          <cell r="N15">
            <v>6</v>
          </cell>
          <cell r="O15">
            <v>6</v>
          </cell>
          <cell r="P15">
            <v>4</v>
          </cell>
          <cell r="Q15">
            <v>5</v>
          </cell>
        </row>
        <row r="16">
          <cell r="C16">
            <v>64</v>
          </cell>
          <cell r="D16">
            <v>66</v>
          </cell>
          <cell r="E16">
            <v>62</v>
          </cell>
          <cell r="F16">
            <v>44</v>
          </cell>
          <cell r="G16">
            <v>28</v>
          </cell>
          <cell r="H16">
            <v>27</v>
          </cell>
          <cell r="I16">
            <v>33</v>
          </cell>
          <cell r="J16">
            <v>14</v>
          </cell>
          <cell r="K16">
            <v>13</v>
          </cell>
          <cell r="L16">
            <v>11</v>
          </cell>
          <cell r="M16">
            <v>14</v>
          </cell>
          <cell r="N16">
            <v>8</v>
          </cell>
          <cell r="O16">
            <v>9</v>
          </cell>
          <cell r="P16">
            <v>7</v>
          </cell>
          <cell r="Q16">
            <v>12</v>
          </cell>
        </row>
        <row r="17">
          <cell r="C17">
            <v>34</v>
          </cell>
          <cell r="D17">
            <v>35</v>
          </cell>
          <cell r="E17">
            <v>34</v>
          </cell>
          <cell r="F17">
            <v>24</v>
          </cell>
          <cell r="G17">
            <v>16</v>
          </cell>
          <cell r="H17">
            <v>14</v>
          </cell>
          <cell r="I17">
            <v>17</v>
          </cell>
          <cell r="J17">
            <v>11</v>
          </cell>
          <cell r="K17">
            <v>12</v>
          </cell>
          <cell r="L17">
            <v>11</v>
          </cell>
          <cell r="M17">
            <v>7</v>
          </cell>
          <cell r="N17">
            <v>5</v>
          </cell>
          <cell r="O17">
            <v>6</v>
          </cell>
          <cell r="P17">
            <v>5</v>
          </cell>
          <cell r="Q17">
            <v>3</v>
          </cell>
        </row>
        <row r="18">
          <cell r="C18">
            <v>26</v>
          </cell>
          <cell r="D18">
            <v>27</v>
          </cell>
          <cell r="E18">
            <v>25</v>
          </cell>
          <cell r="F18">
            <v>19</v>
          </cell>
          <cell r="G18">
            <v>13</v>
          </cell>
          <cell r="H18">
            <v>12</v>
          </cell>
          <cell r="I18">
            <v>13</v>
          </cell>
          <cell r="J18">
            <v>12</v>
          </cell>
          <cell r="K18">
            <v>11</v>
          </cell>
          <cell r="L18">
            <v>13</v>
          </cell>
          <cell r="M18">
            <v>12</v>
          </cell>
          <cell r="N18">
            <v>7</v>
          </cell>
          <cell r="O18">
            <v>7</v>
          </cell>
          <cell r="P18">
            <v>5</v>
          </cell>
          <cell r="Q18">
            <v>7</v>
          </cell>
        </row>
        <row r="19">
          <cell r="C19">
            <v>21</v>
          </cell>
          <cell r="D19">
            <v>22</v>
          </cell>
          <cell r="E19">
            <v>20</v>
          </cell>
          <cell r="F19">
            <v>16</v>
          </cell>
          <cell r="G19">
            <v>10</v>
          </cell>
          <cell r="H19">
            <v>10</v>
          </cell>
          <cell r="I19">
            <v>11</v>
          </cell>
          <cell r="J19">
            <v>21</v>
          </cell>
          <cell r="K19">
            <v>13</v>
          </cell>
          <cell r="L19">
            <v>16</v>
          </cell>
          <cell r="M19">
            <v>12</v>
          </cell>
          <cell r="N19">
            <v>9</v>
          </cell>
          <cell r="O19">
            <v>7</v>
          </cell>
          <cell r="P19">
            <v>5</v>
          </cell>
          <cell r="Q19">
            <v>8</v>
          </cell>
        </row>
        <row r="21">
          <cell r="C21">
            <v>4668</v>
          </cell>
          <cell r="D21">
            <v>4717</v>
          </cell>
          <cell r="E21">
            <v>4810</v>
          </cell>
          <cell r="F21">
            <v>4351</v>
          </cell>
          <cell r="G21">
            <v>4450</v>
          </cell>
          <cell r="H21">
            <v>4389</v>
          </cell>
          <cell r="I21">
            <v>4115</v>
          </cell>
          <cell r="J21">
            <v>4603</v>
          </cell>
          <cell r="K21">
            <v>4768</v>
          </cell>
          <cell r="L21">
            <v>4631</v>
          </cell>
          <cell r="M21">
            <v>4424</v>
          </cell>
          <cell r="N21">
            <v>4420</v>
          </cell>
          <cell r="O21">
            <v>3769</v>
          </cell>
          <cell r="P21">
            <v>4641</v>
          </cell>
          <cell r="Q21">
            <v>4187</v>
          </cell>
          <cell r="R21">
            <v>4343.2750000000015</v>
          </cell>
          <cell r="S21">
            <v>4333.4838235294119</v>
          </cell>
          <cell r="T21">
            <v>4323.6926470588223</v>
          </cell>
          <cell r="X21">
            <v>4284.5279411764714</v>
          </cell>
          <cell r="Y21">
            <v>4274.7367647058818</v>
          </cell>
          <cell r="Z21">
            <v>4264.9455882352959</v>
          </cell>
          <cell r="AA21">
            <v>4255.1544117647063</v>
          </cell>
          <cell r="AB21">
            <v>4245.3632352941167</v>
          </cell>
          <cell r="AC21">
            <v>4235.5720588235308</v>
          </cell>
          <cell r="AD21">
            <v>4225.7808823529413</v>
          </cell>
          <cell r="AE21">
            <v>4215.9897058823517</v>
          </cell>
          <cell r="AF21">
            <v>4206.1985294117658</v>
          </cell>
        </row>
        <row r="22">
          <cell r="C22">
            <v>3625</v>
          </cell>
          <cell r="D22">
            <v>3631</v>
          </cell>
          <cell r="E22">
            <v>3635</v>
          </cell>
          <cell r="F22">
            <v>3360</v>
          </cell>
          <cell r="G22">
            <v>3449</v>
          </cell>
          <cell r="H22">
            <v>3518</v>
          </cell>
          <cell r="I22">
            <v>3162</v>
          </cell>
          <cell r="J22">
            <v>3648</v>
          </cell>
          <cell r="K22">
            <v>3504</v>
          </cell>
          <cell r="L22">
            <v>3490</v>
          </cell>
          <cell r="M22">
            <v>3476</v>
          </cell>
          <cell r="N22">
            <v>3488</v>
          </cell>
          <cell r="O22">
            <v>2929</v>
          </cell>
          <cell r="P22">
            <v>3230</v>
          </cell>
          <cell r="Q22">
            <v>2957</v>
          </cell>
        </row>
        <row r="23">
          <cell r="C23">
            <v>946</v>
          </cell>
          <cell r="D23">
            <v>1002</v>
          </cell>
          <cell r="E23">
            <v>1097</v>
          </cell>
          <cell r="F23">
            <v>917</v>
          </cell>
          <cell r="G23">
            <v>950</v>
          </cell>
          <cell r="H23">
            <v>829</v>
          </cell>
          <cell r="I23">
            <v>911</v>
          </cell>
          <cell r="J23">
            <v>917</v>
          </cell>
          <cell r="K23">
            <v>1188</v>
          </cell>
          <cell r="L23">
            <v>1069</v>
          </cell>
          <cell r="M23">
            <v>875</v>
          </cell>
          <cell r="N23">
            <v>884</v>
          </cell>
          <cell r="O23">
            <v>810</v>
          </cell>
          <cell r="P23">
            <v>1381</v>
          </cell>
          <cell r="Q23">
            <v>1210</v>
          </cell>
        </row>
        <row r="24">
          <cell r="C24">
            <v>97</v>
          </cell>
          <cell r="D24">
            <v>84</v>
          </cell>
          <cell r="E24">
            <v>78</v>
          </cell>
          <cell r="F24">
            <v>74</v>
          </cell>
          <cell r="G24">
            <v>51</v>
          </cell>
          <cell r="H24">
            <v>42</v>
          </cell>
          <cell r="I24">
            <v>42</v>
          </cell>
          <cell r="J24">
            <v>38</v>
          </cell>
          <cell r="K24">
            <v>76</v>
          </cell>
          <cell r="L24">
            <v>72</v>
          </cell>
          <cell r="M24">
            <v>73</v>
          </cell>
          <cell r="N24">
            <v>48</v>
          </cell>
          <cell r="O24">
            <v>30</v>
          </cell>
          <cell r="P24">
            <v>30</v>
          </cell>
          <cell r="Q24">
            <v>20</v>
          </cell>
        </row>
        <row r="25">
          <cell r="C25">
            <v>48872.726999999999</v>
          </cell>
          <cell r="D25">
            <v>51000</v>
          </cell>
          <cell r="E25">
            <v>53818.181999999993</v>
          </cell>
          <cell r="F25">
            <v>51818.182000000001</v>
          </cell>
          <cell r="G25">
            <v>53763.635999999999</v>
          </cell>
          <cell r="H25">
            <v>53600</v>
          </cell>
          <cell r="I25">
            <v>53690.909000000007</v>
          </cell>
          <cell r="J25">
            <v>52890.909</v>
          </cell>
          <cell r="K25">
            <v>53527.273000000008</v>
          </cell>
          <cell r="L25">
            <v>51509.091</v>
          </cell>
          <cell r="M25">
            <v>52327.273000000001</v>
          </cell>
          <cell r="N25">
            <v>53254.545000000006</v>
          </cell>
          <cell r="O25">
            <v>53163.635999999999</v>
          </cell>
          <cell r="P25">
            <v>51745.455000000009</v>
          </cell>
          <cell r="Q25">
            <v>46545.455000000002</v>
          </cell>
          <cell r="R25">
            <v>52132.727475003478</v>
          </cell>
          <cell r="S25">
            <v>52164.652633827413</v>
          </cell>
          <cell r="T25">
            <v>52196.577792651355</v>
          </cell>
          <cell r="X25">
            <v>52324.278427947109</v>
          </cell>
          <cell r="Y25">
            <v>52356.203586771051</v>
          </cell>
          <cell r="Z25">
            <v>52388.128745594986</v>
          </cell>
          <cell r="AA25">
            <v>52420.053904418928</v>
          </cell>
          <cell r="AB25">
            <v>52451.979063242863</v>
          </cell>
          <cell r="AC25">
            <v>52483.904222066805</v>
          </cell>
          <cell r="AD25">
            <v>52515.82938089074</v>
          </cell>
          <cell r="AE25">
            <v>52547.754539714682</v>
          </cell>
          <cell r="AF25">
            <v>52579.679698538625</v>
          </cell>
        </row>
        <row r="26">
          <cell r="C26">
            <v>48.648648650000005</v>
          </cell>
          <cell r="D26">
            <v>49.342105259999997</v>
          </cell>
          <cell r="E26">
            <v>61.53846154</v>
          </cell>
          <cell r="F26">
            <v>52.5</v>
          </cell>
          <cell r="G26">
            <v>95.12195122</v>
          </cell>
          <cell r="H26">
            <v>128.57142859999999</v>
          </cell>
          <cell r="I26">
            <v>258.1395349</v>
          </cell>
          <cell r="J26">
            <v>1.02272727272727</v>
          </cell>
          <cell r="K26">
            <v>200</v>
          </cell>
          <cell r="L26">
            <v>143.47800000000001</v>
          </cell>
          <cell r="M26">
            <v>146.809</v>
          </cell>
          <cell r="N26">
            <v>135.93799999999999</v>
          </cell>
          <cell r="O26">
            <v>153.06100000000001</v>
          </cell>
          <cell r="P26">
            <v>250</v>
          </cell>
          <cell r="Q26">
            <v>266.66699999999997</v>
          </cell>
          <cell r="R26">
            <v>234.78805450272921</v>
          </cell>
          <cell r="S26">
            <v>247.43465510031092</v>
          </cell>
          <cell r="T26">
            <v>260.08125569788899</v>
          </cell>
          <cell r="X26">
            <v>310.66765808821219</v>
          </cell>
          <cell r="Y26">
            <v>323.3142586857939</v>
          </cell>
          <cell r="Z26">
            <v>335.96085928337197</v>
          </cell>
          <cell r="AA26">
            <v>348.60745988095368</v>
          </cell>
          <cell r="AB26">
            <v>361.25406047853539</v>
          </cell>
          <cell r="AC26">
            <v>373.90066107611347</v>
          </cell>
          <cell r="AD26">
            <v>386.54726167369517</v>
          </cell>
          <cell r="AE26">
            <v>399.19386227127688</v>
          </cell>
          <cell r="AF26">
            <v>411.84046286885496</v>
          </cell>
        </row>
        <row r="28">
          <cell r="C28">
            <v>26</v>
          </cell>
          <cell r="D28">
            <v>28</v>
          </cell>
          <cell r="E28">
            <v>26</v>
          </cell>
          <cell r="F28">
            <v>29</v>
          </cell>
          <cell r="G28">
            <v>25</v>
          </cell>
          <cell r="H28">
            <v>25</v>
          </cell>
          <cell r="I28">
            <v>23</v>
          </cell>
          <cell r="J28">
            <v>22</v>
          </cell>
          <cell r="K28">
            <v>9.8000000000000007</v>
          </cell>
          <cell r="L28">
            <v>10</v>
          </cell>
          <cell r="M28">
            <v>9.8666666666666671</v>
          </cell>
          <cell r="N28">
            <v>9.7333333333333325</v>
          </cell>
          <cell r="O28">
            <v>12</v>
          </cell>
          <cell r="P28">
            <v>25</v>
          </cell>
          <cell r="Q28">
            <v>23</v>
          </cell>
          <cell r="R28">
            <v>13.99272727272978</v>
          </cell>
          <cell r="S28">
            <v>13.379393939397005</v>
          </cell>
          <cell r="T28">
            <v>12.766060606064002</v>
          </cell>
          <cell r="X28">
            <v>10.312727272732218</v>
          </cell>
          <cell r="Y28">
            <v>9.6993939393994424</v>
          </cell>
          <cell r="Z28">
            <v>9.0860606060664395</v>
          </cell>
          <cell r="AA28">
            <v>8.4727272727334366</v>
          </cell>
          <cell r="AB28">
            <v>7.8593939394006611</v>
          </cell>
          <cell r="AC28">
            <v>7.2460606060676582</v>
          </cell>
          <cell r="AD28">
            <v>6.6327272727346553</v>
          </cell>
          <cell r="AE28">
            <v>6.0193939394018798</v>
          </cell>
          <cell r="AF28">
            <v>5.406060606068877</v>
          </cell>
        </row>
        <row r="29">
          <cell r="C29">
            <v>0</v>
          </cell>
          <cell r="D29">
            <v>0</v>
          </cell>
          <cell r="E29">
            <v>0</v>
          </cell>
          <cell r="F29">
            <v>0</v>
          </cell>
          <cell r="G29">
            <v>0</v>
          </cell>
          <cell r="H29">
            <v>0</v>
          </cell>
          <cell r="I29">
            <v>0</v>
          </cell>
          <cell r="J29">
            <v>0</v>
          </cell>
          <cell r="K29">
            <v>7.2154316034622319</v>
          </cell>
          <cell r="L29">
            <v>7.3626853096553377</v>
          </cell>
          <cell r="M29">
            <v>7.2645161721932672</v>
          </cell>
          <cell r="N29">
            <v>7.1663470347311948</v>
          </cell>
          <cell r="O29">
            <v>0</v>
          </cell>
          <cell r="P29">
            <v>0</v>
          </cell>
          <cell r="Q29">
            <v>0</v>
          </cell>
        </row>
        <row r="30">
          <cell r="C30">
            <v>26</v>
          </cell>
          <cell r="D30">
            <v>28</v>
          </cell>
          <cell r="E30">
            <v>26</v>
          </cell>
          <cell r="F30">
            <v>29</v>
          </cell>
          <cell r="G30">
            <v>25</v>
          </cell>
          <cell r="H30">
            <v>25</v>
          </cell>
          <cell r="I30">
            <v>23</v>
          </cell>
          <cell r="J30">
            <v>22</v>
          </cell>
          <cell r="K30">
            <v>2.5845683965377688</v>
          </cell>
          <cell r="L30">
            <v>2.6373146903446623</v>
          </cell>
          <cell r="M30">
            <v>2.6021504944734</v>
          </cell>
          <cell r="N30">
            <v>2.5669862986021377</v>
          </cell>
          <cell r="O30">
            <v>12</v>
          </cell>
          <cell r="P30">
            <v>25</v>
          </cell>
          <cell r="Q30">
            <v>23</v>
          </cell>
        </row>
        <row r="31">
          <cell r="C31">
            <v>5.1509999999999998</v>
          </cell>
          <cell r="D31">
            <v>5.1509999999999998</v>
          </cell>
          <cell r="E31">
            <v>5.1829999999999998</v>
          </cell>
          <cell r="F31">
            <v>5.2149999999999999</v>
          </cell>
          <cell r="G31">
            <v>5.2469999999999999</v>
          </cell>
          <cell r="H31">
            <v>5.2789999999999999</v>
          </cell>
          <cell r="I31">
            <v>5.3109999999999999</v>
          </cell>
          <cell r="J31">
            <v>5.3109999999999999</v>
          </cell>
          <cell r="K31">
            <v>5.3109999999999999</v>
          </cell>
          <cell r="L31">
            <v>5.3109999999999999</v>
          </cell>
          <cell r="M31">
            <v>5.3109999999999999</v>
          </cell>
          <cell r="N31">
            <v>5.3109999999999999</v>
          </cell>
          <cell r="O31">
            <v>5.3109999999999999</v>
          </cell>
          <cell r="P31">
            <v>9.6010000000000009</v>
          </cell>
          <cell r="Q31">
            <v>9.6010000000000009</v>
          </cell>
          <cell r="R31">
            <v>7.4047500000004334</v>
          </cell>
          <cell r="S31">
            <v>7.5938676470593123</v>
          </cell>
          <cell r="T31">
            <v>7.7829852941181912</v>
          </cell>
          <cell r="X31">
            <v>8.5394558823537068</v>
          </cell>
          <cell r="Y31">
            <v>8.7285735294125288</v>
          </cell>
          <cell r="Z31">
            <v>8.9176911764714077</v>
          </cell>
          <cell r="AA31">
            <v>9.1068088235302866</v>
          </cell>
          <cell r="AB31">
            <v>9.2959264705891655</v>
          </cell>
          <cell r="AC31">
            <v>9.4850441176480444</v>
          </cell>
          <cell r="AD31">
            <v>9.6741617647069233</v>
          </cell>
          <cell r="AE31">
            <v>9.8632794117658023</v>
          </cell>
          <cell r="AF31">
            <v>10.052397058824681</v>
          </cell>
        </row>
        <row r="32">
          <cell r="C32">
            <v>60.695928868954134</v>
          </cell>
          <cell r="D32">
            <v>60.945853281943947</v>
          </cell>
          <cell r="E32">
            <v>61.052963744653866</v>
          </cell>
          <cell r="F32">
            <v>60.814940494187383</v>
          </cell>
          <cell r="G32">
            <v>47.766650041178046</v>
          </cell>
          <cell r="H32">
            <v>47.952874797673857</v>
          </cell>
          <cell r="I32">
            <v>48.139099554169682</v>
          </cell>
          <cell r="J32">
            <v>48.762952488430685</v>
          </cell>
          <cell r="K32">
            <v>48.139099554169682</v>
          </cell>
          <cell r="L32">
            <v>48.79088620190506</v>
          </cell>
          <cell r="M32">
            <v>49.349560471392529</v>
          </cell>
          <cell r="N32">
            <v>49.349560471392529</v>
          </cell>
          <cell r="O32">
            <v>49.201000000000001</v>
          </cell>
          <cell r="P32">
            <v>37.74</v>
          </cell>
          <cell r="Q32">
            <v>37.74</v>
          </cell>
          <cell r="R32">
            <v>39.22664848166778</v>
          </cell>
          <cell r="S32">
            <v>37.835898576563977</v>
          </cell>
          <cell r="T32">
            <v>36.445148671460629</v>
          </cell>
          <cell r="X32">
            <v>30.882149051045872</v>
          </cell>
          <cell r="Y32">
            <v>29.491399145942069</v>
          </cell>
          <cell r="Z32">
            <v>28.10064924083872</v>
          </cell>
          <cell r="AA32">
            <v>26.709899335734917</v>
          </cell>
          <cell r="AB32">
            <v>25.319149430631114</v>
          </cell>
          <cell r="AC32">
            <v>23.928399525527766</v>
          </cell>
          <cell r="AD32">
            <v>22.537649620423963</v>
          </cell>
          <cell r="AE32">
            <v>21.14689971532016</v>
          </cell>
          <cell r="AF32">
            <v>19.756149810216812</v>
          </cell>
        </row>
        <row r="39">
          <cell r="C39">
            <v>2006</v>
          </cell>
          <cell r="D39">
            <v>2007</v>
          </cell>
          <cell r="E39">
            <v>2008</v>
          </cell>
          <cell r="F39">
            <v>2009</v>
          </cell>
          <cell r="G39">
            <v>2010</v>
          </cell>
          <cell r="H39">
            <v>2011</v>
          </cell>
          <cell r="I39">
            <v>2012</v>
          </cell>
          <cell r="J39">
            <v>2013</v>
          </cell>
          <cell r="K39">
            <v>2014</v>
          </cell>
          <cell r="L39">
            <v>2015</v>
          </cell>
          <cell r="M39">
            <v>2016</v>
          </cell>
          <cell r="N39">
            <v>2017</v>
          </cell>
          <cell r="O39">
            <v>2018</v>
          </cell>
          <cell r="P39">
            <v>2019</v>
          </cell>
          <cell r="Q39">
            <v>2020</v>
          </cell>
        </row>
        <row r="40">
          <cell r="C40">
            <v>71</v>
          </cell>
          <cell r="D40">
            <v>70</v>
          </cell>
          <cell r="E40">
            <v>69</v>
          </cell>
          <cell r="F40">
            <v>68</v>
          </cell>
          <cell r="G40">
            <v>67</v>
          </cell>
          <cell r="H40">
            <v>67</v>
          </cell>
          <cell r="I40">
            <v>66</v>
          </cell>
          <cell r="J40">
            <v>66</v>
          </cell>
          <cell r="K40">
            <v>66</v>
          </cell>
          <cell r="L40">
            <v>66</v>
          </cell>
          <cell r="M40">
            <v>65.801798221594765</v>
          </cell>
          <cell r="N40">
            <v>65.60419165447685</v>
          </cell>
          <cell r="O40">
            <v>65.407178511192683</v>
          </cell>
          <cell r="P40">
            <v>65.210757009656518</v>
          </cell>
          <cell r="Q40">
            <v>65.014925373134318</v>
          </cell>
        </row>
      </sheetData>
    </sheetDataSet>
  </externalBook>
</externalLink>
</file>

<file path=xl/externalLinks/externalLink10.xml><?xml version="1.0" encoding="utf-8"?>
<externalLink xmlns="http://schemas.openxmlformats.org/spreadsheetml/2006/main">
  <externalBook xmlns:r="http://schemas.openxmlformats.org/officeDocument/2006/relationships" r:id="rId1">
    <sheetNames>
      <sheetName val="Lookups"/>
      <sheetName val="Control"/>
      <sheetName val="Highway1"/>
      <sheetName val="Highway2"/>
      <sheetName val="Highway3"/>
      <sheetName val="Highway"/>
      <sheetName val="Emissions"/>
      <sheetName val="Summary"/>
      <sheetName val="Tracker"/>
      <sheetName val="Uncertainty"/>
      <sheetName val="Aviation"/>
      <sheetName val="Boats"/>
      <sheetName val="Locomotives"/>
      <sheetName val="Other"/>
      <sheetName val="AFV"/>
      <sheetName val="Aviation Activity"/>
      <sheetName val="Boat Activity"/>
      <sheetName val="Locomotive Activity"/>
      <sheetName val="Farm Activity"/>
      <sheetName val="Construction Activity"/>
      <sheetName val="Other Activity"/>
      <sheetName val="AFVActivity"/>
      <sheetName val="VMT Correction"/>
      <sheetName val="Non_HW_Calcs"/>
      <sheetName val="AFV Calcs"/>
      <sheetName val="VMT"/>
      <sheetName val="LDGV"/>
      <sheetName val="LDGT"/>
      <sheetName val="HDGV"/>
      <sheetName val="LDDV"/>
      <sheetName val="LDDT"/>
      <sheetName val="HDDV"/>
      <sheetName val="MC"/>
      <sheetName val="Notes"/>
      <sheetName val="Data Sources"/>
    </sheetNames>
    <sheetDataSet>
      <sheetData sheetId="0">
        <row r="27">
          <cell r="B27">
            <v>1000000000000</v>
          </cell>
        </row>
        <row r="28">
          <cell r="B28">
            <v>0.27272727272727271</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11.xml><?xml version="1.0" encoding="utf-8"?>
<externalLink xmlns="http://schemas.openxmlformats.org/spreadsheetml/2006/main">
  <externalBook xmlns:r="http://schemas.openxmlformats.org/officeDocument/2006/relationships" r:id="rId1">
    <sheetNames>
      <sheetName val="Control"/>
      <sheetName val="Default State Energy Data Table"/>
      <sheetName val="Residential"/>
      <sheetName val="Commercial"/>
      <sheetName val="Transportation"/>
      <sheetName val="Electric Power"/>
      <sheetName val="Bunker Fuels"/>
      <sheetName val="Industrial"/>
      <sheetName val="Summary-MMTCO2E"/>
      <sheetName val="Summary-MMTCE"/>
      <sheetName val="Tracker"/>
      <sheetName val="Uncertainty"/>
      <sheetName val="FF Consumption"/>
      <sheetName val="Coal CC"/>
      <sheetName val="Non-Energy Consump."/>
      <sheetName val="Variable CC's"/>
      <sheetName val="Code Key"/>
      <sheetName val="SNG"/>
      <sheetName val="Ethanol"/>
      <sheetName val="Data Sources"/>
      <sheetName val="List Data"/>
      <sheetName val="Notes"/>
    </sheetNames>
    <sheetDataSet>
      <sheetData sheetId="0">
        <row r="22">
          <cell r="D22">
            <v>43.39</v>
          </cell>
        </row>
      </sheetData>
      <sheetData sheetId="1">
        <row r="6">
          <cell r="A6" t="str">
            <v>MD Commercial Coal</v>
          </cell>
          <cell r="C6" t="str">
            <v>Commercial Coal</v>
          </cell>
          <cell r="D6">
            <v>962.57587000000001</v>
          </cell>
          <cell r="E6">
            <v>866.70636000000002</v>
          </cell>
          <cell r="F6">
            <v>274.11129</v>
          </cell>
          <cell r="G6">
            <v>306.92153000000002</v>
          </cell>
          <cell r="H6">
            <v>772.84767999999997</v>
          </cell>
          <cell r="I6">
            <v>6417.8804799999998</v>
          </cell>
          <cell r="J6">
            <v>905.11501999999996</v>
          </cell>
          <cell r="K6">
            <v>1230.8022100000001</v>
          </cell>
          <cell r="L6">
            <v>1193.95749</v>
          </cell>
          <cell r="M6">
            <v>1026.00404</v>
          </cell>
          <cell r="N6">
            <v>1864.4667400000001</v>
          </cell>
          <cell r="O6">
            <v>1676.1022</v>
          </cell>
          <cell r="P6">
            <v>67.436160000000001</v>
          </cell>
          <cell r="Q6">
            <v>122.07692</v>
          </cell>
          <cell r="R6">
            <v>1249.31627</v>
          </cell>
          <cell r="S6">
            <v>717.70361000000003</v>
          </cell>
          <cell r="T6">
            <v>951.31425000000002</v>
          </cell>
          <cell r="U6">
            <v>808.85798</v>
          </cell>
          <cell r="V6">
            <v>809.87643000000003</v>
          </cell>
          <cell r="W6">
            <v>626.71929999999998</v>
          </cell>
          <cell r="X6">
            <v>419.61752999999999</v>
          </cell>
          <cell r="Y6">
            <v>0</v>
          </cell>
          <cell r="Z6">
            <v>0</v>
          </cell>
          <cell r="AA6">
            <v>0</v>
          </cell>
          <cell r="AB6">
            <v>0</v>
          </cell>
          <cell r="AC6">
            <v>0</v>
          </cell>
          <cell r="AD6">
            <v>0</v>
          </cell>
          <cell r="AE6">
            <v>0</v>
          </cell>
          <cell r="AF6">
            <v>0</v>
          </cell>
          <cell r="AG6">
            <v>0</v>
          </cell>
          <cell r="AH6">
            <v>0</v>
          </cell>
        </row>
        <row r="7">
          <cell r="A7" t="str">
            <v>MD Commercial Distillate Fuel</v>
          </cell>
          <cell r="C7" t="str">
            <v>Commercial Distillate Fuel</v>
          </cell>
          <cell r="D7">
            <v>14499.3079</v>
          </cell>
          <cell r="E7">
            <v>15489.628549999999</v>
          </cell>
          <cell r="F7">
            <v>17441.78125</v>
          </cell>
          <cell r="G7">
            <v>16703.857550000001</v>
          </cell>
          <cell r="H7">
            <v>19845.043089999999</v>
          </cell>
          <cell r="I7">
            <v>18042.305199999999</v>
          </cell>
          <cell r="J7">
            <v>19046.007450000001</v>
          </cell>
          <cell r="K7">
            <v>14450.74021</v>
          </cell>
          <cell r="L7">
            <v>14883.715899999999</v>
          </cell>
          <cell r="M7">
            <v>12885.171039999999</v>
          </cell>
          <cell r="N7">
            <v>15038.08556</v>
          </cell>
          <cell r="O7">
            <v>14637.984490000001</v>
          </cell>
          <cell r="P7">
            <v>14554.888059999999</v>
          </cell>
          <cell r="Q7">
            <v>13001.27412</v>
          </cell>
          <cell r="R7">
            <v>12280.3434</v>
          </cell>
          <cell r="S7">
            <v>10395.59924</v>
          </cell>
          <cell r="T7">
            <v>10493.920109999999</v>
          </cell>
          <cell r="U7">
            <v>6922.8491700000004</v>
          </cell>
          <cell r="V7">
            <v>7089.0687500000004</v>
          </cell>
          <cell r="W7">
            <v>9663.7058699999998</v>
          </cell>
          <cell r="X7">
            <v>13730.400030000001</v>
          </cell>
          <cell r="Y7">
            <v>0</v>
          </cell>
          <cell r="Z7">
            <v>0</v>
          </cell>
          <cell r="AA7">
            <v>0</v>
          </cell>
          <cell r="AB7">
            <v>0</v>
          </cell>
          <cell r="AC7">
            <v>0</v>
          </cell>
          <cell r="AD7">
            <v>0</v>
          </cell>
          <cell r="AE7">
            <v>0</v>
          </cell>
          <cell r="AF7">
            <v>0</v>
          </cell>
          <cell r="AG7">
            <v>0</v>
          </cell>
          <cell r="AH7">
            <v>0</v>
          </cell>
        </row>
        <row r="8">
          <cell r="A8" t="str">
            <v>MD Commercial Kerosene</v>
          </cell>
          <cell r="C8" t="str">
            <v>Commercial Kerosene</v>
          </cell>
          <cell r="D8">
            <v>269.59789999999998</v>
          </cell>
          <cell r="E8">
            <v>295.87687</v>
          </cell>
          <cell r="F8">
            <v>238.48043000000001</v>
          </cell>
          <cell r="G8">
            <v>483.60007999999999</v>
          </cell>
          <cell r="H8">
            <v>1205.74676</v>
          </cell>
          <cell r="I8">
            <v>1188.8942199999999</v>
          </cell>
          <cell r="J8">
            <v>853.69635000000005</v>
          </cell>
          <cell r="K8">
            <v>1286.67354</v>
          </cell>
          <cell r="L8">
            <v>1777.27692</v>
          </cell>
          <cell r="M8">
            <v>1442.0903900000001</v>
          </cell>
          <cell r="N8">
            <v>2055.5677799999999</v>
          </cell>
          <cell r="O8">
            <v>1966.0009399999999</v>
          </cell>
          <cell r="P8">
            <v>971.20528000000002</v>
          </cell>
          <cell r="Q8">
            <v>1107.9666500000001</v>
          </cell>
          <cell r="R8">
            <v>714.54678000000001</v>
          </cell>
          <cell r="S8">
            <v>714.43110999999999</v>
          </cell>
          <cell r="T8">
            <v>353.45787999999999</v>
          </cell>
          <cell r="U8">
            <v>232.32326</v>
          </cell>
          <cell r="V8">
            <v>66.409880000000001</v>
          </cell>
          <cell r="W8">
            <v>179.93892</v>
          </cell>
          <cell r="X8">
            <v>161.69672</v>
          </cell>
          <cell r="Y8">
            <v>0</v>
          </cell>
          <cell r="Z8">
            <v>0</v>
          </cell>
          <cell r="AA8">
            <v>0</v>
          </cell>
          <cell r="AB8">
            <v>0</v>
          </cell>
          <cell r="AC8">
            <v>0</v>
          </cell>
          <cell r="AD8">
            <v>0</v>
          </cell>
          <cell r="AE8">
            <v>0</v>
          </cell>
          <cell r="AF8">
            <v>0</v>
          </cell>
          <cell r="AG8">
            <v>0</v>
          </cell>
          <cell r="AH8">
            <v>0</v>
          </cell>
        </row>
        <row r="9">
          <cell r="A9" t="str">
            <v>MD Commercial LPG</v>
          </cell>
          <cell r="C9" t="str">
            <v>Commercial LPG</v>
          </cell>
          <cell r="D9">
            <v>1537.3173200000001</v>
          </cell>
          <cell r="E9">
            <v>1716.1521700000001</v>
          </cell>
          <cell r="F9">
            <v>1928.62925</v>
          </cell>
          <cell r="G9">
            <v>1983.17644</v>
          </cell>
          <cell r="H9">
            <v>2021.87355</v>
          </cell>
          <cell r="I9">
            <v>2326.5953800000002</v>
          </cell>
          <cell r="J9">
            <v>2616.7522199999999</v>
          </cell>
          <cell r="K9">
            <v>2809.7627499999999</v>
          </cell>
          <cell r="L9">
            <v>2562.4685599999998</v>
          </cell>
          <cell r="M9">
            <v>2346.4884099999999</v>
          </cell>
          <cell r="N9">
            <v>1901.1842799999999</v>
          </cell>
          <cell r="O9">
            <v>2286.64167</v>
          </cell>
          <cell r="P9">
            <v>2381.6280499999998</v>
          </cell>
          <cell r="Q9">
            <v>3340.7656099999999</v>
          </cell>
          <cell r="R9">
            <v>2906.3991000000001</v>
          </cell>
          <cell r="S9">
            <v>2781.8138399999998</v>
          </cell>
          <cell r="T9">
            <v>2919.9973</v>
          </cell>
          <cell r="U9">
            <v>2255.7278099999999</v>
          </cell>
          <cell r="V9">
            <v>3226.8591999999999</v>
          </cell>
          <cell r="W9">
            <v>3037.3613300000002</v>
          </cell>
          <cell r="X9">
            <v>3342.3665299999998</v>
          </cell>
          <cell r="Y9">
            <v>0</v>
          </cell>
          <cell r="Z9">
            <v>0</v>
          </cell>
          <cell r="AA9">
            <v>0</v>
          </cell>
          <cell r="AB9">
            <v>0</v>
          </cell>
          <cell r="AC9">
            <v>0</v>
          </cell>
          <cell r="AD9">
            <v>0</v>
          </cell>
          <cell r="AE9">
            <v>0</v>
          </cell>
          <cell r="AF9">
            <v>0</v>
          </cell>
          <cell r="AG9">
            <v>0</v>
          </cell>
          <cell r="AH9">
            <v>0</v>
          </cell>
        </row>
        <row r="10">
          <cell r="A10" t="str">
            <v>MD Commercial Motor Gasoline</v>
          </cell>
          <cell r="C10" t="str">
            <v>Commercial Motor Gasoline</v>
          </cell>
          <cell r="D10">
            <v>1215.2105799999999</v>
          </cell>
          <cell r="E10">
            <v>621.65299000000005</v>
          </cell>
          <cell r="F10">
            <v>541.65044</v>
          </cell>
          <cell r="G10">
            <v>163.52500000000001</v>
          </cell>
          <cell r="H10">
            <v>163.55329</v>
          </cell>
          <cell r="I10">
            <v>165.66361000000001</v>
          </cell>
          <cell r="J10">
            <v>165.33389</v>
          </cell>
          <cell r="K10">
            <v>163.21978000000001</v>
          </cell>
          <cell r="L10">
            <v>164.04000000000002</v>
          </cell>
          <cell r="M10">
            <v>163.63309999999998</v>
          </cell>
          <cell r="N10">
            <v>604.60554999999999</v>
          </cell>
          <cell r="O10">
            <v>171.34799999999998</v>
          </cell>
          <cell r="P10">
            <v>170.38331000000002</v>
          </cell>
          <cell r="Q10">
            <v>171.29096999999999</v>
          </cell>
          <cell r="R10">
            <v>172.83356000000001</v>
          </cell>
          <cell r="S10">
            <v>172.51647</v>
          </cell>
          <cell r="T10">
            <v>170.8648</v>
          </cell>
          <cell r="U10">
            <v>169.79559</v>
          </cell>
          <cell r="V10">
            <v>170.96665999999999</v>
          </cell>
          <cell r="W10">
            <v>169.56</v>
          </cell>
          <cell r="X10">
            <v>167.89625000000001</v>
          </cell>
          <cell r="Y10">
            <v>0</v>
          </cell>
          <cell r="Z10">
            <v>0</v>
          </cell>
          <cell r="AA10">
            <v>0</v>
          </cell>
          <cell r="AB10">
            <v>0</v>
          </cell>
          <cell r="AC10">
            <v>0</v>
          </cell>
          <cell r="AD10">
            <v>0</v>
          </cell>
          <cell r="AE10">
            <v>0</v>
          </cell>
          <cell r="AF10">
            <v>0</v>
          </cell>
          <cell r="AG10">
            <v>0</v>
          </cell>
          <cell r="AH10">
            <v>0</v>
          </cell>
        </row>
        <row r="11">
          <cell r="A11" t="str">
            <v>MD Commercial Natural Gas</v>
          </cell>
          <cell r="C11" t="str">
            <v>Commercial Natural Gas</v>
          </cell>
          <cell r="D11">
            <v>24705.352579999999</v>
          </cell>
          <cell r="E11">
            <v>39069.659529999997</v>
          </cell>
          <cell r="F11">
            <v>43606.537830000001</v>
          </cell>
          <cell r="G11">
            <v>44834.495329999998</v>
          </cell>
          <cell r="H11">
            <v>45467.959580000002</v>
          </cell>
          <cell r="I11">
            <v>48048.818249999997</v>
          </cell>
          <cell r="J11">
            <v>47169.310080000003</v>
          </cell>
          <cell r="K11">
            <v>51483.871169999999</v>
          </cell>
          <cell r="L11">
            <v>59480.143600000003</v>
          </cell>
          <cell r="M11">
            <v>60056.218200000003</v>
          </cell>
          <cell r="N11">
            <v>57498.036489999999</v>
          </cell>
          <cell r="O11">
            <v>62040.576050000003</v>
          </cell>
          <cell r="P11">
            <v>66321.077069999999</v>
          </cell>
          <cell r="Q11">
            <v>73239.318669999993</v>
          </cell>
          <cell r="R11">
            <v>72776.316900000005</v>
          </cell>
          <cell r="S11">
            <v>73060.237949999995</v>
          </cell>
          <cell r="T11">
            <v>65183.66001</v>
          </cell>
          <cell r="U11">
            <v>73483.734719999993</v>
          </cell>
          <cell r="V11">
            <v>73059.861820000006</v>
          </cell>
          <cell r="W11">
            <v>71599.680909999995</v>
          </cell>
          <cell r="X11">
            <v>69295.892349999995</v>
          </cell>
          <cell r="Y11">
            <v>0</v>
          </cell>
          <cell r="Z11">
            <v>0</v>
          </cell>
          <cell r="AA11">
            <v>0</v>
          </cell>
          <cell r="AB11">
            <v>0</v>
          </cell>
          <cell r="AC11">
            <v>0</v>
          </cell>
          <cell r="AD11">
            <v>0</v>
          </cell>
          <cell r="AE11">
            <v>0</v>
          </cell>
          <cell r="AF11">
            <v>0</v>
          </cell>
          <cell r="AG11">
            <v>0</v>
          </cell>
          <cell r="AH11">
            <v>0</v>
          </cell>
        </row>
        <row r="12">
          <cell r="A12" t="str">
            <v>MD Commercial Residual Fuel</v>
          </cell>
          <cell r="C12" t="str">
            <v>Commercial Residual Fuel</v>
          </cell>
          <cell r="D12">
            <v>3446.0290599999998</v>
          </cell>
          <cell r="E12">
            <v>834.39139999999998</v>
          </cell>
          <cell r="F12">
            <v>2972.47442</v>
          </cell>
          <cell r="G12">
            <v>1200.3826899999999</v>
          </cell>
          <cell r="H12">
            <v>1345.9355499999999</v>
          </cell>
          <cell r="I12">
            <v>748.47684000000004</v>
          </cell>
          <cell r="J12">
            <v>676.08298000000002</v>
          </cell>
          <cell r="K12">
            <v>313.36577</v>
          </cell>
          <cell r="L12">
            <v>264.18180999999998</v>
          </cell>
          <cell r="M12">
            <v>327.79896000000002</v>
          </cell>
          <cell r="N12">
            <v>546.34645999999998</v>
          </cell>
          <cell r="O12">
            <v>212.60245</v>
          </cell>
          <cell r="P12">
            <v>397.50626</v>
          </cell>
          <cell r="Q12">
            <v>1759.5425600000001</v>
          </cell>
          <cell r="R12">
            <v>544.98954000000003</v>
          </cell>
          <cell r="S12">
            <v>616.23740999999995</v>
          </cell>
          <cell r="T12">
            <v>301.52722</v>
          </cell>
          <cell r="U12">
            <v>114.38844</v>
          </cell>
          <cell r="V12">
            <v>73.232860000000002</v>
          </cell>
          <cell r="W12">
            <v>18.78172</v>
          </cell>
          <cell r="X12">
            <v>38.202080000000002</v>
          </cell>
          <cell r="Y12">
            <v>0</v>
          </cell>
          <cell r="Z12">
            <v>0</v>
          </cell>
          <cell r="AA12">
            <v>0</v>
          </cell>
          <cell r="AB12">
            <v>0</v>
          </cell>
          <cell r="AC12">
            <v>0</v>
          </cell>
          <cell r="AD12">
            <v>0</v>
          </cell>
          <cell r="AE12">
            <v>0</v>
          </cell>
          <cell r="AF12">
            <v>0</v>
          </cell>
          <cell r="AG12">
            <v>0</v>
          </cell>
          <cell r="AH12">
            <v>0</v>
          </cell>
        </row>
        <row r="13">
          <cell r="A13" t="str">
            <v>MD Commercial Wood</v>
          </cell>
          <cell r="C13" t="str">
            <v>Commercial Wood</v>
          </cell>
          <cell r="D13">
            <v>1384.26701</v>
          </cell>
          <cell r="E13">
            <v>895.98902999999996</v>
          </cell>
          <cell r="F13">
            <v>1471.0344</v>
          </cell>
          <cell r="G13">
            <v>2165.4924599999999</v>
          </cell>
          <cell r="H13">
            <v>2101.7585800000002</v>
          </cell>
          <cell r="I13">
            <v>2119.75108</v>
          </cell>
          <cell r="J13">
            <v>2204.23117</v>
          </cell>
          <cell r="K13">
            <v>2028.0030999999999</v>
          </cell>
          <cell r="L13">
            <v>1792.4700399999999</v>
          </cell>
          <cell r="M13">
            <v>1808.3184100000001</v>
          </cell>
          <cell r="N13">
            <v>2041.8077499999999</v>
          </cell>
          <cell r="O13">
            <v>1548.67913</v>
          </cell>
          <cell r="P13">
            <v>1394.33186</v>
          </cell>
          <cell r="Q13">
            <v>1455.29982</v>
          </cell>
          <cell r="R13">
            <v>1662.3498300000001</v>
          </cell>
          <cell r="S13">
            <v>1567.93625</v>
          </cell>
          <cell r="T13">
            <v>1660.4653699999999</v>
          </cell>
          <cell r="U13">
            <v>1719.1486299999999</v>
          </cell>
          <cell r="V13">
            <v>1873.3381999999999</v>
          </cell>
          <cell r="W13">
            <v>1797.66461</v>
          </cell>
          <cell r="X13">
            <v>1698.32438</v>
          </cell>
          <cell r="Y13">
            <v>0</v>
          </cell>
          <cell r="Z13">
            <v>0</v>
          </cell>
          <cell r="AA13">
            <v>0</v>
          </cell>
          <cell r="AB13">
            <v>0</v>
          </cell>
          <cell r="AC13">
            <v>0</v>
          </cell>
          <cell r="AD13">
            <v>0</v>
          </cell>
          <cell r="AE13">
            <v>0</v>
          </cell>
          <cell r="AF13">
            <v>0</v>
          </cell>
          <cell r="AG13">
            <v>0</v>
          </cell>
          <cell r="AH13">
            <v>0</v>
          </cell>
        </row>
        <row r="14">
          <cell r="A14" t="str">
            <v>MD Commercial Other</v>
          </cell>
          <cell r="C14" t="str">
            <v>Commercial Other</v>
          </cell>
        </row>
        <row r="15">
          <cell r="A15" t="str">
            <v>MD Electric Power Coal</v>
          </cell>
          <cell r="C15" t="str">
            <v>Electric Power Coal</v>
          </cell>
          <cell r="D15">
            <v>227901.99991000001</v>
          </cell>
          <cell r="E15">
            <v>220903.00270000001</v>
          </cell>
          <cell r="F15">
            <v>229355.96877000001</v>
          </cell>
          <cell r="G15">
            <v>242865.95955999999</v>
          </cell>
          <cell r="H15">
            <v>249201.02961999999</v>
          </cell>
          <cell r="I15">
            <v>262938.97788999998</v>
          </cell>
          <cell r="J15">
            <v>271710.96139999997</v>
          </cell>
          <cell r="K15">
            <v>269025.00338000001</v>
          </cell>
          <cell r="L15">
            <v>283308.03697999998</v>
          </cell>
          <cell r="M15">
            <v>284088.02948000003</v>
          </cell>
          <cell r="N15">
            <v>289747.02270999999</v>
          </cell>
          <cell r="O15">
            <v>283345.00916000002</v>
          </cell>
          <cell r="P15">
            <v>291705.99352999998</v>
          </cell>
          <cell r="Q15">
            <v>297613.01543000003</v>
          </cell>
          <cell r="R15">
            <v>291314.87640000001</v>
          </cell>
          <cell r="S15">
            <v>295545.52770999999</v>
          </cell>
          <cell r="T15">
            <v>293180.84454999998</v>
          </cell>
          <cell r="U15">
            <v>297199.78973999998</v>
          </cell>
          <cell r="V15">
            <v>279847.17216000002</v>
          </cell>
          <cell r="W15">
            <v>243998.48116</v>
          </cell>
          <cell r="X15">
            <v>242943.92767999999</v>
          </cell>
          <cell r="Y15">
            <v>0</v>
          </cell>
          <cell r="Z15">
            <v>0</v>
          </cell>
          <cell r="AA15">
            <v>0</v>
          </cell>
          <cell r="AB15">
            <v>0</v>
          </cell>
          <cell r="AC15">
            <v>0</v>
          </cell>
          <cell r="AD15">
            <v>0</v>
          </cell>
          <cell r="AE15">
            <v>0</v>
          </cell>
          <cell r="AF15">
            <v>0</v>
          </cell>
          <cell r="AG15">
            <v>0</v>
          </cell>
          <cell r="AH15">
            <v>0</v>
          </cell>
        </row>
        <row r="16">
          <cell r="A16" t="str">
            <v>MD Electric Power Distillate Fuel</v>
          </cell>
          <cell r="C16" t="str">
            <v>Electric Power Distillate Fuel</v>
          </cell>
          <cell r="D16">
            <v>3483.5538799999999</v>
          </cell>
          <cell r="E16">
            <v>3216.9203299999999</v>
          </cell>
          <cell r="F16">
            <v>2666.0792000000001</v>
          </cell>
          <cell r="G16">
            <v>3451.26008</v>
          </cell>
          <cell r="H16">
            <v>6058.8096800000003</v>
          </cell>
          <cell r="I16">
            <v>3927.69848</v>
          </cell>
          <cell r="J16">
            <v>4614.1688999999997</v>
          </cell>
          <cell r="K16">
            <v>3784.7529800000002</v>
          </cell>
          <cell r="L16">
            <v>4042.4043799999999</v>
          </cell>
          <cell r="M16">
            <v>3115.3090299999999</v>
          </cell>
          <cell r="N16">
            <v>3390.36553</v>
          </cell>
          <cell r="O16">
            <v>5683.8486000000003</v>
          </cell>
          <cell r="P16">
            <v>4132.4355800000003</v>
          </cell>
          <cell r="Q16">
            <v>6720.6228799999999</v>
          </cell>
          <cell r="R16">
            <v>6625.8736600000002</v>
          </cell>
          <cell r="S16">
            <v>6968.1392400000004</v>
          </cell>
          <cell r="T16">
            <v>2617.5342300000002</v>
          </cell>
          <cell r="U16">
            <v>4449.8631299999997</v>
          </cell>
          <cell r="V16">
            <v>2971.5130800000002</v>
          </cell>
          <cell r="W16">
            <v>2042.3731499999999</v>
          </cell>
          <cell r="X16">
            <v>2979.5166300000001</v>
          </cell>
          <cell r="Y16">
            <v>0</v>
          </cell>
          <cell r="Z16">
            <v>0</v>
          </cell>
          <cell r="AA16">
            <v>0</v>
          </cell>
          <cell r="AB16">
            <v>0</v>
          </cell>
          <cell r="AC16">
            <v>0</v>
          </cell>
          <cell r="AD16">
            <v>0</v>
          </cell>
          <cell r="AE16">
            <v>0</v>
          </cell>
          <cell r="AF16">
            <v>0</v>
          </cell>
          <cell r="AG16">
            <v>0</v>
          </cell>
          <cell r="AH16">
            <v>0</v>
          </cell>
        </row>
        <row r="17">
          <cell r="A17" t="str">
            <v>MD Electric Power Natural Gas</v>
          </cell>
          <cell r="C17" t="str">
            <v>Electric Power Natural Gas</v>
          </cell>
          <cell r="D17">
            <v>21650.931949999998</v>
          </cell>
          <cell r="E17">
            <v>22087.91388</v>
          </cell>
          <cell r="F17">
            <v>15799.99201</v>
          </cell>
          <cell r="G17">
            <v>10454.954009999999</v>
          </cell>
          <cell r="H17">
            <v>15822.96306</v>
          </cell>
          <cell r="I17">
            <v>19537.064679999999</v>
          </cell>
          <cell r="J17">
            <v>12306.0106</v>
          </cell>
          <cell r="K17">
            <v>16095.92801</v>
          </cell>
          <cell r="L17">
            <v>22347.069920000002</v>
          </cell>
          <cell r="M17">
            <v>23685.100289999998</v>
          </cell>
          <cell r="N17">
            <v>30119.135429999998</v>
          </cell>
          <cell r="O17">
            <v>18097.053820000001</v>
          </cell>
          <cell r="P17">
            <v>23220.94541</v>
          </cell>
          <cell r="Q17">
            <v>11409.26136</v>
          </cell>
          <cell r="R17">
            <v>12532.009770000001</v>
          </cell>
          <cell r="S17">
            <v>21472.049749999998</v>
          </cell>
          <cell r="T17">
            <v>22845.937679999999</v>
          </cell>
          <cell r="U17">
            <v>24109.780139999999</v>
          </cell>
          <cell r="V17">
            <v>20537.277450000001</v>
          </cell>
          <cell r="W17">
            <v>18904.007140000002</v>
          </cell>
          <cell r="X17">
            <v>31776.195159999999</v>
          </cell>
          <cell r="Y17">
            <v>0</v>
          </cell>
          <cell r="Z17">
            <v>0</v>
          </cell>
          <cell r="AA17">
            <v>0</v>
          </cell>
          <cell r="AB17">
            <v>0</v>
          </cell>
          <cell r="AC17">
            <v>0</v>
          </cell>
          <cell r="AD17">
            <v>0</v>
          </cell>
          <cell r="AE17">
            <v>0</v>
          </cell>
          <cell r="AF17">
            <v>0</v>
          </cell>
          <cell r="AG17">
            <v>0</v>
          </cell>
          <cell r="AH17">
            <v>0</v>
          </cell>
        </row>
        <row r="18">
          <cell r="A18" t="str">
            <v>MD Electric Power Petroleum Coke</v>
          </cell>
          <cell r="C18" t="str">
            <v>Electric Power Petroleum Coke</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row>
        <row r="19">
          <cell r="A19" t="str">
            <v>MD Electric Power Residual Fuel</v>
          </cell>
          <cell r="C19" t="str">
            <v>Electric Power Residual Fuel</v>
          </cell>
          <cell r="D19">
            <v>43665.390299999999</v>
          </cell>
          <cell r="E19">
            <v>47250.65264</v>
          </cell>
          <cell r="F19">
            <v>31917.024290000001</v>
          </cell>
          <cell r="G19">
            <v>48464.823230000002</v>
          </cell>
          <cell r="H19">
            <v>44371.778760000001</v>
          </cell>
          <cell r="I19">
            <v>14375.87306</v>
          </cell>
          <cell r="J19">
            <v>14415.83952</v>
          </cell>
          <cell r="K19">
            <v>16345.961090000001</v>
          </cell>
          <cell r="L19">
            <v>36170.292959999999</v>
          </cell>
          <cell r="M19">
            <v>46915.40466</v>
          </cell>
          <cell r="N19">
            <v>23472.388760000002</v>
          </cell>
          <cell r="O19">
            <v>28855.393599999999</v>
          </cell>
          <cell r="P19">
            <v>21385.46312</v>
          </cell>
          <cell r="Q19">
            <v>31572.565849999999</v>
          </cell>
          <cell r="R19">
            <v>28393.764469999998</v>
          </cell>
          <cell r="S19">
            <v>33495.765500000001</v>
          </cell>
          <cell r="T19">
            <v>3735.9617899999998</v>
          </cell>
          <cell r="U19">
            <v>6566.5451700000003</v>
          </cell>
          <cell r="V19">
            <v>1908.6388999999999</v>
          </cell>
          <cell r="W19">
            <v>1758.3984599999999</v>
          </cell>
          <cell r="X19">
            <v>872.48470999999995</v>
          </cell>
          <cell r="Y19">
            <v>0</v>
          </cell>
          <cell r="Z19">
            <v>0</v>
          </cell>
          <cell r="AA19">
            <v>0</v>
          </cell>
          <cell r="AB19">
            <v>0</v>
          </cell>
          <cell r="AC19">
            <v>0</v>
          </cell>
          <cell r="AD19">
            <v>0</v>
          </cell>
          <cell r="AE19">
            <v>0</v>
          </cell>
          <cell r="AF19">
            <v>0</v>
          </cell>
          <cell r="AG19">
            <v>0</v>
          </cell>
          <cell r="AH19">
            <v>0</v>
          </cell>
        </row>
        <row r="20">
          <cell r="A20" t="str">
            <v>MD Electric Power Wood</v>
          </cell>
          <cell r="C20" t="str">
            <v>Electric Power Wood</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row>
        <row r="21">
          <cell r="A21" t="str">
            <v>MD Electric Power Other</v>
          </cell>
          <cell r="C21" t="str">
            <v>Electric Power Other</v>
          </cell>
        </row>
        <row r="22">
          <cell r="A22" t="str">
            <v>MD Industrial Asphalt and Road Oil</v>
          </cell>
          <cell r="C22" t="str">
            <v>Industrial Asphalt and Road Oil</v>
          </cell>
          <cell r="D22">
            <v>33233.434730000001</v>
          </cell>
          <cell r="E22">
            <v>24572.874879999999</v>
          </cell>
          <cell r="F22">
            <v>23288.49984</v>
          </cell>
          <cell r="G22">
            <v>31085.509709999998</v>
          </cell>
          <cell r="H22">
            <v>28949.856049999999</v>
          </cell>
          <cell r="I22">
            <v>28109.149239999999</v>
          </cell>
          <cell r="J22">
            <v>23953.182100000002</v>
          </cell>
          <cell r="K22">
            <v>37284.585780000001</v>
          </cell>
          <cell r="L22">
            <v>31053.1338</v>
          </cell>
          <cell r="M22">
            <v>29029.51194</v>
          </cell>
          <cell r="N22">
            <v>31194.664219999999</v>
          </cell>
          <cell r="O22">
            <v>28631.337869999999</v>
          </cell>
          <cell r="P22">
            <v>30264.568289999999</v>
          </cell>
          <cell r="Q22">
            <v>22929.134819999999</v>
          </cell>
          <cell r="R22">
            <v>21005.167239999999</v>
          </cell>
          <cell r="S22">
            <v>19765.367869999998</v>
          </cell>
          <cell r="T22">
            <v>19576.189249999999</v>
          </cell>
          <cell r="U22">
            <v>28066.493030000001</v>
          </cell>
          <cell r="V22">
            <v>25417.083170000002</v>
          </cell>
          <cell r="W22">
            <v>21928.790669999998</v>
          </cell>
          <cell r="X22">
            <v>22046.461619999998</v>
          </cell>
          <cell r="Y22">
            <v>0</v>
          </cell>
          <cell r="Z22">
            <v>0</v>
          </cell>
          <cell r="AA22">
            <v>0</v>
          </cell>
          <cell r="AB22">
            <v>0</v>
          </cell>
          <cell r="AC22">
            <v>0</v>
          </cell>
          <cell r="AD22">
            <v>0</v>
          </cell>
          <cell r="AE22">
            <v>0</v>
          </cell>
          <cell r="AF22">
            <v>0</v>
          </cell>
          <cell r="AG22">
            <v>0</v>
          </cell>
          <cell r="AH22">
            <v>0</v>
          </cell>
        </row>
        <row r="23">
          <cell r="A23" t="str">
            <v>MD Industrial Aviation Gasoline Blending Components</v>
          </cell>
          <cell r="C23" t="str">
            <v>Industrial Aviation Gasoline Blending Components</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row>
        <row r="24">
          <cell r="A24" t="str">
            <v>MD Industrial Coal</v>
          </cell>
          <cell r="C24" t="str">
            <v>Industrial Coal</v>
          </cell>
          <cell r="D24">
            <v>57377.24136</v>
          </cell>
          <cell r="E24">
            <v>52801.410559999997</v>
          </cell>
          <cell r="F24">
            <v>17802.26816</v>
          </cell>
          <cell r="G24">
            <v>18490.151829999999</v>
          </cell>
          <cell r="H24">
            <v>18752.12904</v>
          </cell>
          <cell r="I24">
            <v>19245.996800000001</v>
          </cell>
          <cell r="J24">
            <v>19736.807830000002</v>
          </cell>
          <cell r="K24">
            <v>19278.044190000001</v>
          </cell>
          <cell r="L24">
            <v>19246.184219999999</v>
          </cell>
          <cell r="M24">
            <v>19932.547610000001</v>
          </cell>
          <cell r="N24">
            <v>20319.753580000001</v>
          </cell>
          <cell r="O24">
            <v>33622.633470000001</v>
          </cell>
          <cell r="P24">
            <v>34051.12371</v>
          </cell>
          <cell r="Q24">
            <v>31837.155709999999</v>
          </cell>
          <cell r="R24">
            <v>34535.970860000001</v>
          </cell>
          <cell r="S24">
            <v>32977.960099999997</v>
          </cell>
          <cell r="T24">
            <v>30431.223549999999</v>
          </cell>
          <cell r="U24">
            <v>29880.435229999999</v>
          </cell>
          <cell r="V24">
            <v>28546.537759999999</v>
          </cell>
          <cell r="W24">
            <v>22156.88711</v>
          </cell>
          <cell r="X24">
            <v>22648.912120000001</v>
          </cell>
          <cell r="Y24">
            <v>0</v>
          </cell>
          <cell r="Z24">
            <v>0</v>
          </cell>
          <cell r="AA24">
            <v>0</v>
          </cell>
          <cell r="AB24">
            <v>0</v>
          </cell>
          <cell r="AC24">
            <v>0</v>
          </cell>
          <cell r="AD24">
            <v>0</v>
          </cell>
          <cell r="AE24">
            <v>0</v>
          </cell>
          <cell r="AF24">
            <v>0</v>
          </cell>
          <cell r="AG24">
            <v>0</v>
          </cell>
          <cell r="AH24">
            <v>0</v>
          </cell>
        </row>
        <row r="25">
          <cell r="A25" t="str">
            <v>MD Industrial Coking Coal</v>
          </cell>
          <cell r="C25" t="str">
            <v>Industrial Coking Coal</v>
          </cell>
          <cell r="D25">
            <v>33634</v>
          </cell>
          <cell r="E25">
            <v>26639.200000000001</v>
          </cell>
          <cell r="F25">
            <v>0</v>
          </cell>
          <cell r="G25">
            <v>26.8</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row>
        <row r="26">
          <cell r="A26" t="str">
            <v>MD Industrial Crude Oil</v>
          </cell>
          <cell r="C26" t="str">
            <v>Industrial Crude Oil</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row>
        <row r="27">
          <cell r="A27" t="str">
            <v>MD Industrial Distillate Fuel</v>
          </cell>
          <cell r="C27" t="str">
            <v>Industrial Distillate Fuel</v>
          </cell>
          <cell r="D27">
            <v>11993.98984</v>
          </cell>
          <cell r="E27">
            <v>10489.95673</v>
          </cell>
          <cell r="F27">
            <v>9535.6141800000005</v>
          </cell>
          <cell r="G27">
            <v>11101.80255</v>
          </cell>
          <cell r="H27">
            <v>10996.05422</v>
          </cell>
          <cell r="I27">
            <v>10120.55812</v>
          </cell>
          <cell r="J27">
            <v>11983.99315</v>
          </cell>
          <cell r="K27">
            <v>9964.9647999999997</v>
          </cell>
          <cell r="L27">
            <v>15859.149950000001</v>
          </cell>
          <cell r="M27">
            <v>13783.02151</v>
          </cell>
          <cell r="N27">
            <v>12287.645039999999</v>
          </cell>
          <cell r="O27">
            <v>13594.77032</v>
          </cell>
          <cell r="P27">
            <v>10291.92554</v>
          </cell>
          <cell r="Q27">
            <v>11569.438330000001</v>
          </cell>
          <cell r="R27">
            <v>11983.38654</v>
          </cell>
          <cell r="S27">
            <v>12011.543830000001</v>
          </cell>
          <cell r="T27">
            <v>12446.073039999999</v>
          </cell>
          <cell r="U27">
            <v>8981.1846800000003</v>
          </cell>
          <cell r="V27">
            <v>9972.7982599999996</v>
          </cell>
          <cell r="W27">
            <v>7107.5844999999999</v>
          </cell>
          <cell r="X27">
            <v>6425.3842599999998</v>
          </cell>
          <cell r="Y27">
            <v>0</v>
          </cell>
          <cell r="Z27">
            <v>0</v>
          </cell>
          <cell r="AA27">
            <v>0</v>
          </cell>
          <cell r="AB27">
            <v>0</v>
          </cell>
          <cell r="AC27">
            <v>0</v>
          </cell>
          <cell r="AD27">
            <v>0</v>
          </cell>
          <cell r="AE27">
            <v>0</v>
          </cell>
          <cell r="AF27">
            <v>0</v>
          </cell>
          <cell r="AG27">
            <v>0</v>
          </cell>
          <cell r="AH27">
            <v>0</v>
          </cell>
        </row>
        <row r="28">
          <cell r="A28" t="str">
            <v>MD Industrial Feedstocks, Naphtha less than 401 F</v>
          </cell>
          <cell r="C28" t="str">
            <v>Industrial Feedstocks, Naphtha less than 401 F</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row>
        <row r="29">
          <cell r="A29" t="str">
            <v>MD Industrial Feedstocks, Other Oils greater than 401 F</v>
          </cell>
          <cell r="C29" t="str">
            <v>Industrial Feedstocks, Other Oils greater than 401 F</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row>
        <row r="30">
          <cell r="A30" t="str">
            <v>MD Industrial Kerosene</v>
          </cell>
          <cell r="C30" t="str">
            <v>Industrial Kerosene</v>
          </cell>
          <cell r="D30">
            <v>189.54203000000001</v>
          </cell>
          <cell r="E30">
            <v>158.6369</v>
          </cell>
          <cell r="F30">
            <v>109.77154</v>
          </cell>
          <cell r="G30">
            <v>153.80850000000001</v>
          </cell>
          <cell r="H30">
            <v>376.10356999999999</v>
          </cell>
          <cell r="I30">
            <v>324.64078000000001</v>
          </cell>
          <cell r="J30">
            <v>330.07916</v>
          </cell>
          <cell r="K30">
            <v>231.98731000000001</v>
          </cell>
          <cell r="L30">
            <v>641.28817000000004</v>
          </cell>
          <cell r="M30">
            <v>205.25621000000001</v>
          </cell>
          <cell r="N30">
            <v>169.26814999999999</v>
          </cell>
          <cell r="O30">
            <v>420.67572999999999</v>
          </cell>
          <cell r="P30">
            <v>254.84348</v>
          </cell>
          <cell r="Q30">
            <v>146.82068000000001</v>
          </cell>
          <cell r="R30">
            <v>215.79453000000001</v>
          </cell>
          <cell r="S30">
            <v>404.70582999999999</v>
          </cell>
          <cell r="T30">
            <v>172.24553</v>
          </cell>
          <cell r="U30">
            <v>44.830820000000003</v>
          </cell>
          <cell r="V30">
            <v>28.339169999999999</v>
          </cell>
          <cell r="W30">
            <v>20.702760000000001</v>
          </cell>
          <cell r="X30">
            <v>19.288830000000001</v>
          </cell>
          <cell r="Y30">
            <v>0</v>
          </cell>
          <cell r="Z30">
            <v>0</v>
          </cell>
          <cell r="AA30">
            <v>0</v>
          </cell>
          <cell r="AB30">
            <v>0</v>
          </cell>
          <cell r="AC30">
            <v>0</v>
          </cell>
          <cell r="AD30">
            <v>0</v>
          </cell>
          <cell r="AE30">
            <v>0</v>
          </cell>
          <cell r="AF30">
            <v>0</v>
          </cell>
          <cell r="AG30">
            <v>0</v>
          </cell>
          <cell r="AH30">
            <v>0</v>
          </cell>
        </row>
        <row r="31">
          <cell r="A31" t="str">
            <v>MD Industrial LPG</v>
          </cell>
          <cell r="C31" t="str">
            <v>Industrial LPG</v>
          </cell>
          <cell r="D31">
            <v>2256.3242100000002</v>
          </cell>
          <cell r="E31">
            <v>1942.98946</v>
          </cell>
          <cell r="F31">
            <v>3313.8131899999998</v>
          </cell>
          <cell r="G31">
            <v>2525.1043300000001</v>
          </cell>
          <cell r="H31">
            <v>3781.1200899999999</v>
          </cell>
          <cell r="I31">
            <v>2504.0730800000001</v>
          </cell>
          <cell r="J31">
            <v>2723.9260300000001</v>
          </cell>
          <cell r="K31">
            <v>1472.6948600000001</v>
          </cell>
          <cell r="L31">
            <v>936.05517999999995</v>
          </cell>
          <cell r="M31">
            <v>625.24811999999997</v>
          </cell>
          <cell r="N31">
            <v>2643.8776400000002</v>
          </cell>
          <cell r="O31">
            <v>2243.5981400000001</v>
          </cell>
          <cell r="P31">
            <v>1317.4277300000001</v>
          </cell>
          <cell r="Q31">
            <v>2506.7094400000001</v>
          </cell>
          <cell r="R31">
            <v>1619.14285</v>
          </cell>
          <cell r="S31">
            <v>2797.85878</v>
          </cell>
          <cell r="T31">
            <v>3186.4293499999999</v>
          </cell>
          <cell r="U31">
            <v>2281.8047200000001</v>
          </cell>
          <cell r="V31">
            <v>1458.4278200000001</v>
          </cell>
          <cell r="W31">
            <v>1454.91005</v>
          </cell>
          <cell r="X31">
            <v>1617.2959599999999</v>
          </cell>
          <cell r="Y31">
            <v>0</v>
          </cell>
          <cell r="Z31">
            <v>0</v>
          </cell>
          <cell r="AA31">
            <v>0</v>
          </cell>
          <cell r="AB31">
            <v>0</v>
          </cell>
          <cell r="AC31">
            <v>0</v>
          </cell>
          <cell r="AD31">
            <v>0</v>
          </cell>
          <cell r="AE31">
            <v>0</v>
          </cell>
          <cell r="AF31">
            <v>0</v>
          </cell>
          <cell r="AG31">
            <v>0</v>
          </cell>
          <cell r="AH31">
            <v>0</v>
          </cell>
        </row>
        <row r="32">
          <cell r="A32" t="str">
            <v>MD Industrial Lubricants</v>
          </cell>
          <cell r="C32" t="str">
            <v>Industrial Lubricants</v>
          </cell>
          <cell r="D32">
            <v>2571.84942</v>
          </cell>
          <cell r="E32">
            <v>2300.8157299999998</v>
          </cell>
          <cell r="F32">
            <v>2345.7584099999999</v>
          </cell>
          <cell r="G32">
            <v>2388.59175</v>
          </cell>
          <cell r="H32">
            <v>2496.5574799999999</v>
          </cell>
          <cell r="I32">
            <v>2453.6811499999999</v>
          </cell>
          <cell r="J32">
            <v>2381.2734799999998</v>
          </cell>
          <cell r="K32">
            <v>2515.5419000000002</v>
          </cell>
          <cell r="L32">
            <v>2633.4088099999999</v>
          </cell>
          <cell r="M32">
            <v>2660.9599199999998</v>
          </cell>
          <cell r="N32">
            <v>2621.0539199999998</v>
          </cell>
          <cell r="O32">
            <v>2401.4632499999998</v>
          </cell>
          <cell r="P32">
            <v>2373.0512199999998</v>
          </cell>
          <cell r="Q32">
            <v>2193.8831700000001</v>
          </cell>
          <cell r="R32">
            <v>2222.5965799999999</v>
          </cell>
          <cell r="S32">
            <v>2211.01649</v>
          </cell>
          <cell r="T32">
            <v>2154.1493500000001</v>
          </cell>
          <cell r="U32">
            <v>2224.5337399999999</v>
          </cell>
          <cell r="V32">
            <v>2065.2110400000001</v>
          </cell>
          <cell r="W32">
            <v>1856.7699700000001</v>
          </cell>
          <cell r="X32">
            <v>2063.01557</v>
          </cell>
          <cell r="Y32">
            <v>0</v>
          </cell>
          <cell r="Z32">
            <v>0</v>
          </cell>
          <cell r="AA32">
            <v>0</v>
          </cell>
          <cell r="AB32">
            <v>0</v>
          </cell>
          <cell r="AC32">
            <v>0</v>
          </cell>
          <cell r="AD32">
            <v>0</v>
          </cell>
          <cell r="AE32">
            <v>0</v>
          </cell>
          <cell r="AF32">
            <v>0</v>
          </cell>
          <cell r="AG32">
            <v>0</v>
          </cell>
          <cell r="AH32">
            <v>0</v>
          </cell>
        </row>
        <row r="33">
          <cell r="A33" t="str">
            <v>MD Industrial Misc. Petro Products</v>
          </cell>
          <cell r="C33" t="str">
            <v>Industrial Misc. Petro Products</v>
          </cell>
          <cell r="D33">
            <v>495.67160000000001</v>
          </cell>
          <cell r="E33">
            <v>954.57209999999998</v>
          </cell>
          <cell r="F33">
            <v>625.82055000000003</v>
          </cell>
          <cell r="G33">
            <v>592.39802999999995</v>
          </cell>
          <cell r="H33">
            <v>662.03435999999999</v>
          </cell>
          <cell r="I33">
            <v>607.44177999999999</v>
          </cell>
          <cell r="J33">
            <v>568.71388999999999</v>
          </cell>
          <cell r="K33">
            <v>624.39688000000001</v>
          </cell>
          <cell r="L33">
            <v>760.05</v>
          </cell>
          <cell r="M33">
            <v>714.84461999999996</v>
          </cell>
          <cell r="N33">
            <v>761.45686000000001</v>
          </cell>
          <cell r="O33">
            <v>367.97187000000002</v>
          </cell>
          <cell r="P33">
            <v>395.29097000000002</v>
          </cell>
          <cell r="Q33">
            <v>371.06229999999999</v>
          </cell>
          <cell r="R33">
            <v>334.13024000000001</v>
          </cell>
          <cell r="S33">
            <v>332.26915000000002</v>
          </cell>
          <cell r="T33">
            <v>413.76159999999999</v>
          </cell>
          <cell r="U33">
            <v>405.98707999999999</v>
          </cell>
          <cell r="V33">
            <v>432.00805000000003</v>
          </cell>
          <cell r="W33">
            <v>461.80169000000001</v>
          </cell>
          <cell r="X33">
            <v>482.71012000000002</v>
          </cell>
          <cell r="Y33">
            <v>0</v>
          </cell>
          <cell r="Z33">
            <v>0</v>
          </cell>
          <cell r="AA33">
            <v>0</v>
          </cell>
          <cell r="AB33">
            <v>0</v>
          </cell>
          <cell r="AC33">
            <v>0</v>
          </cell>
          <cell r="AD33">
            <v>0</v>
          </cell>
          <cell r="AE33">
            <v>0</v>
          </cell>
          <cell r="AF33">
            <v>0</v>
          </cell>
          <cell r="AG33">
            <v>0</v>
          </cell>
          <cell r="AH33">
            <v>0</v>
          </cell>
        </row>
        <row r="34">
          <cell r="A34" t="str">
            <v>MD Industrial Motor Gasoline</v>
          </cell>
          <cell r="C34" t="str">
            <v>Industrial Motor Gasoline</v>
          </cell>
          <cell r="D34">
            <v>1558.66895</v>
          </cell>
          <cell r="E34">
            <v>1498.02727</v>
          </cell>
          <cell r="F34">
            <v>1446.35304</v>
          </cell>
          <cell r="G34">
            <v>1522.04015</v>
          </cell>
          <cell r="H34">
            <v>1536.2237500000001</v>
          </cell>
          <cell r="I34">
            <v>1710.25126</v>
          </cell>
          <cell r="J34">
            <v>1787.30385</v>
          </cell>
          <cell r="K34">
            <v>1891.7758900000001</v>
          </cell>
          <cell r="L34">
            <v>1529.48234</v>
          </cell>
          <cell r="M34">
            <v>1238.41319</v>
          </cell>
          <cell r="N34">
            <v>1305.3788400000001</v>
          </cell>
          <cell r="O34">
            <v>4102.1648000000005</v>
          </cell>
          <cell r="P34">
            <v>4435.3174399999998</v>
          </cell>
          <cell r="Q34">
            <v>4926.3570600000003</v>
          </cell>
          <cell r="R34">
            <v>5405.4590600000001</v>
          </cell>
          <cell r="S34">
            <v>5017.9894599999998</v>
          </cell>
          <cell r="T34">
            <v>5172.7202799999995</v>
          </cell>
          <cell r="U34">
            <v>5152.4712399999999</v>
          </cell>
          <cell r="V34">
            <v>4405.6795599999996</v>
          </cell>
          <cell r="W34">
            <v>4203.2527200000004</v>
          </cell>
          <cell r="X34">
            <v>5021.7202700000007</v>
          </cell>
          <cell r="Y34">
            <v>0</v>
          </cell>
          <cell r="Z34">
            <v>0</v>
          </cell>
          <cell r="AA34">
            <v>0</v>
          </cell>
          <cell r="AB34">
            <v>0</v>
          </cell>
          <cell r="AC34">
            <v>0</v>
          </cell>
          <cell r="AD34">
            <v>0</v>
          </cell>
          <cell r="AE34">
            <v>0</v>
          </cell>
          <cell r="AF34">
            <v>0</v>
          </cell>
          <cell r="AG34">
            <v>0</v>
          </cell>
          <cell r="AH34">
            <v>0</v>
          </cell>
        </row>
        <row r="35">
          <cell r="A35" t="str">
            <v>MD Industrial Motor Gasoline Blending Components</v>
          </cell>
          <cell r="C35" t="str">
            <v>Industrial Motor Gasoline Blending Components</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row>
        <row r="36">
          <cell r="A36" t="str">
            <v>MD Industrial Natural Gas</v>
          </cell>
          <cell r="C36" t="str">
            <v>Industrial Natural Gas</v>
          </cell>
          <cell r="D36">
            <v>63531.292800000003</v>
          </cell>
          <cell r="E36">
            <v>48328.75</v>
          </cell>
          <cell r="F36">
            <v>51057.965199999999</v>
          </cell>
          <cell r="G36">
            <v>50185.466990000001</v>
          </cell>
          <cell r="H36">
            <v>49131.363100000002</v>
          </cell>
          <cell r="I36">
            <v>50190.790800000002</v>
          </cell>
          <cell r="J36">
            <v>51473.57359</v>
          </cell>
          <cell r="K36">
            <v>68184.653229999996</v>
          </cell>
          <cell r="L36">
            <v>39950.384389999999</v>
          </cell>
          <cell r="M36">
            <v>38464.919690000002</v>
          </cell>
          <cell r="N36">
            <v>41384.117019999998</v>
          </cell>
          <cell r="O36">
            <v>28438.527290000002</v>
          </cell>
          <cell r="P36">
            <v>28169.75605</v>
          </cell>
          <cell r="Q36">
            <v>22658.891869999999</v>
          </cell>
          <cell r="R36">
            <v>24219.037400000001</v>
          </cell>
          <cell r="S36">
            <v>24911.486110000002</v>
          </cell>
          <cell r="T36">
            <v>23863.07893</v>
          </cell>
          <cell r="U36">
            <v>21170.72811</v>
          </cell>
          <cell r="V36">
            <v>21948.775860000002</v>
          </cell>
          <cell r="W36">
            <v>24784.704140000002</v>
          </cell>
          <cell r="X36">
            <v>23701.441620000001</v>
          </cell>
          <cell r="Y36">
            <v>0</v>
          </cell>
          <cell r="Z36">
            <v>0</v>
          </cell>
          <cell r="AA36">
            <v>0</v>
          </cell>
          <cell r="AB36">
            <v>0</v>
          </cell>
          <cell r="AC36">
            <v>0</v>
          </cell>
          <cell r="AD36">
            <v>0</v>
          </cell>
          <cell r="AE36">
            <v>0</v>
          </cell>
          <cell r="AF36">
            <v>0</v>
          </cell>
          <cell r="AG36">
            <v>0</v>
          </cell>
          <cell r="AH36">
            <v>0</v>
          </cell>
        </row>
        <row r="37">
          <cell r="A37" t="str">
            <v>MD Industrial Pentanes Plus</v>
          </cell>
          <cell r="C37" t="str">
            <v>Industrial Pentanes Plus</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row>
        <row r="38">
          <cell r="A38" t="str">
            <v>MD Industrial Petroleum Coke</v>
          </cell>
          <cell r="C38" t="str">
            <v>Industrial Petroleum Coke</v>
          </cell>
          <cell r="D38">
            <v>7486.9752099999996</v>
          </cell>
          <cell r="E38">
            <v>6547.4632499999998</v>
          </cell>
          <cell r="F38">
            <v>9479.4615200000007</v>
          </cell>
          <cell r="G38">
            <v>6842.7023799999997</v>
          </cell>
          <cell r="H38">
            <v>8469.2476200000001</v>
          </cell>
          <cell r="I38">
            <v>8012.3154199999999</v>
          </cell>
          <cell r="J38">
            <v>8441.2978899999998</v>
          </cell>
          <cell r="K38">
            <v>5878.0831799999996</v>
          </cell>
          <cell r="L38">
            <v>12302.783149999999</v>
          </cell>
          <cell r="M38">
            <v>13692.457</v>
          </cell>
          <cell r="N38">
            <v>9337.2746399999996</v>
          </cell>
          <cell r="O38">
            <v>19222.85008</v>
          </cell>
          <cell r="P38">
            <v>18809.726930000001</v>
          </cell>
          <cell r="Q38">
            <v>17981.869699999999</v>
          </cell>
          <cell r="R38">
            <v>26475.95421</v>
          </cell>
          <cell r="S38">
            <v>22082.687699999999</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row>
        <row r="39">
          <cell r="A39" t="str">
            <v>MD Industrial Residual Fuel</v>
          </cell>
          <cell r="C39" t="str">
            <v>Industrial Residual Fuel</v>
          </cell>
          <cell r="D39">
            <v>7692.4383500000004</v>
          </cell>
          <cell r="E39">
            <v>4856.18084</v>
          </cell>
          <cell r="F39">
            <v>6671.0891099999999</v>
          </cell>
          <cell r="G39">
            <v>7719.5119400000003</v>
          </cell>
          <cell r="H39">
            <v>7753.9435100000001</v>
          </cell>
          <cell r="I39">
            <v>4579.8430500000004</v>
          </cell>
          <cell r="J39">
            <v>8558.5003300000008</v>
          </cell>
          <cell r="K39">
            <v>5273.0445900000004</v>
          </cell>
          <cell r="L39">
            <v>3999.6090300000001</v>
          </cell>
          <cell r="M39">
            <v>3724.7357900000002</v>
          </cell>
          <cell r="N39">
            <v>3440.1688199999999</v>
          </cell>
          <cell r="O39">
            <v>3392.5002800000002</v>
          </cell>
          <cell r="P39">
            <v>2594.3786500000001</v>
          </cell>
          <cell r="Q39">
            <v>3727.18363</v>
          </cell>
          <cell r="R39">
            <v>4521.5460199999998</v>
          </cell>
          <cell r="S39">
            <v>5322.4043300000003</v>
          </cell>
          <cell r="T39">
            <v>4766.90751</v>
          </cell>
          <cell r="U39">
            <v>4111.4349499999998</v>
          </cell>
          <cell r="V39">
            <v>3348.3004099999998</v>
          </cell>
          <cell r="W39">
            <v>2115.5650599999999</v>
          </cell>
          <cell r="X39">
            <v>1373.2873300000001</v>
          </cell>
          <cell r="Y39">
            <v>0</v>
          </cell>
          <cell r="Z39">
            <v>0</v>
          </cell>
          <cell r="AA39">
            <v>0</v>
          </cell>
          <cell r="AB39">
            <v>0</v>
          </cell>
          <cell r="AC39">
            <v>0</v>
          </cell>
          <cell r="AD39">
            <v>0</v>
          </cell>
          <cell r="AE39">
            <v>0</v>
          </cell>
          <cell r="AF39">
            <v>0</v>
          </cell>
          <cell r="AG39">
            <v>0</v>
          </cell>
          <cell r="AH39">
            <v>0</v>
          </cell>
        </row>
        <row r="40">
          <cell r="A40" t="str">
            <v>MD Industrial Special Naphthas</v>
          </cell>
          <cell r="C40" t="str">
            <v>Industrial Special Naphthas</v>
          </cell>
          <cell r="D40">
            <v>3849.3220900000001</v>
          </cell>
          <cell r="E40">
            <v>2443.4615100000001</v>
          </cell>
          <cell r="F40">
            <v>2903.8512799999999</v>
          </cell>
          <cell r="G40">
            <v>2904.28854</v>
          </cell>
          <cell r="H40">
            <v>2250.7944600000001</v>
          </cell>
          <cell r="I40">
            <v>1966.7489800000001</v>
          </cell>
          <cell r="J40">
            <v>2719.8142600000001</v>
          </cell>
          <cell r="K40">
            <v>2636.7109700000001</v>
          </cell>
          <cell r="L40">
            <v>3914.08923</v>
          </cell>
          <cell r="M40">
            <v>5305.0164800000002</v>
          </cell>
          <cell r="N40">
            <v>3552.9536199999998</v>
          </cell>
          <cell r="O40">
            <v>2838.39093</v>
          </cell>
          <cell r="P40">
            <v>3702.8514100000002</v>
          </cell>
          <cell r="Q40">
            <v>2910.50837</v>
          </cell>
          <cell r="R40">
            <v>1845.63732</v>
          </cell>
          <cell r="S40">
            <v>2260.6922399999999</v>
          </cell>
          <cell r="T40">
            <v>1656.5207</v>
          </cell>
          <cell r="U40">
            <v>1845.4047800000001</v>
          </cell>
          <cell r="V40">
            <v>2007.3585800000001</v>
          </cell>
          <cell r="W40">
            <v>1091.85411</v>
          </cell>
          <cell r="X40">
            <v>617.28602999999998</v>
          </cell>
          <cell r="Y40">
            <v>0</v>
          </cell>
          <cell r="Z40">
            <v>0</v>
          </cell>
          <cell r="AA40">
            <v>0</v>
          </cell>
          <cell r="AB40">
            <v>0</v>
          </cell>
          <cell r="AC40">
            <v>0</v>
          </cell>
          <cell r="AD40">
            <v>0</v>
          </cell>
          <cell r="AE40">
            <v>0</v>
          </cell>
          <cell r="AF40">
            <v>0</v>
          </cell>
          <cell r="AG40">
            <v>0</v>
          </cell>
          <cell r="AH40">
            <v>0</v>
          </cell>
        </row>
        <row r="41">
          <cell r="A41" t="str">
            <v>MD Industrial Still Gas</v>
          </cell>
          <cell r="C41" t="str">
            <v>Industrial Still Gas</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row>
        <row r="42">
          <cell r="A42" t="str">
            <v>MD Industrial Unfinished Oils</v>
          </cell>
          <cell r="C42" t="str">
            <v>Industrial Unfinished Oils</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row>
        <row r="43">
          <cell r="A43" t="str">
            <v>MD Industrial Waxes</v>
          </cell>
          <cell r="C43" t="str">
            <v>Industrial Waxes</v>
          </cell>
          <cell r="D43">
            <v>3537.9691400000002</v>
          </cell>
          <cell r="E43">
            <v>414.94826</v>
          </cell>
          <cell r="F43">
            <v>440.13037000000003</v>
          </cell>
          <cell r="G43">
            <v>472.83438999999998</v>
          </cell>
          <cell r="H43">
            <v>479.44058000000001</v>
          </cell>
          <cell r="I43">
            <v>479.50596999999999</v>
          </cell>
          <cell r="J43">
            <v>507.49633999999998</v>
          </cell>
          <cell r="K43">
            <v>456.16347000000002</v>
          </cell>
          <cell r="L43">
            <v>441.84341000000001</v>
          </cell>
          <cell r="M43">
            <v>390.39510000000001</v>
          </cell>
          <cell r="N43">
            <v>345.00975</v>
          </cell>
          <cell r="O43">
            <v>346.43630000000002</v>
          </cell>
          <cell r="P43">
            <v>306.68822999999998</v>
          </cell>
          <cell r="Q43">
            <v>295.91987</v>
          </cell>
          <cell r="R43">
            <v>293.22778</v>
          </cell>
          <cell r="S43">
            <v>299.03426999999999</v>
          </cell>
          <cell r="T43">
            <v>184.23459</v>
          </cell>
          <cell r="U43">
            <v>154.23114000000001</v>
          </cell>
          <cell r="V43">
            <v>134.87911</v>
          </cell>
          <cell r="W43">
            <v>86.108819999999994</v>
          </cell>
          <cell r="X43">
            <v>120.36502</v>
          </cell>
          <cell r="Y43">
            <v>0</v>
          </cell>
          <cell r="Z43">
            <v>0</v>
          </cell>
          <cell r="AA43">
            <v>0</v>
          </cell>
          <cell r="AB43">
            <v>0</v>
          </cell>
          <cell r="AC43">
            <v>0</v>
          </cell>
          <cell r="AD43">
            <v>0</v>
          </cell>
          <cell r="AE43">
            <v>0</v>
          </cell>
          <cell r="AF43">
            <v>0</v>
          </cell>
          <cell r="AG43">
            <v>0</v>
          </cell>
          <cell r="AH43">
            <v>0</v>
          </cell>
        </row>
        <row r="44">
          <cell r="A44" t="str">
            <v>MD Industrial Wood</v>
          </cell>
          <cell r="C44" t="str">
            <v>Industrial Wood</v>
          </cell>
          <cell r="D44">
            <v>9631.6854299999995</v>
          </cell>
          <cell r="E44">
            <v>10112.909460000001</v>
          </cell>
          <cell r="F44">
            <v>9764.7757399999991</v>
          </cell>
          <cell r="G44">
            <v>9904.3936699999995</v>
          </cell>
          <cell r="H44">
            <v>10125.099329999999</v>
          </cell>
          <cell r="I44">
            <v>11012.92704</v>
          </cell>
          <cell r="J44">
            <v>12016.62398</v>
          </cell>
          <cell r="K44">
            <v>11605.34845</v>
          </cell>
          <cell r="L44">
            <v>10882.7037</v>
          </cell>
          <cell r="M44">
            <v>11523.848019999999</v>
          </cell>
          <cell r="N44">
            <v>11146.18147</v>
          </cell>
          <cell r="O44">
            <v>5559.6417499999998</v>
          </cell>
          <cell r="P44">
            <v>5649.59148</v>
          </cell>
          <cell r="Q44">
            <v>11367.4791</v>
          </cell>
          <cell r="R44">
            <v>11478.60014</v>
          </cell>
          <cell r="S44">
            <v>11593.70081</v>
          </cell>
          <cell r="T44">
            <v>9731.4758600000005</v>
          </cell>
          <cell r="U44">
            <v>9249.8470099999995</v>
          </cell>
          <cell r="V44">
            <v>9058.7178100000001</v>
          </cell>
          <cell r="W44">
            <v>8601.5462800000005</v>
          </cell>
          <cell r="X44">
            <v>8903.5489400000006</v>
          </cell>
          <cell r="Y44">
            <v>0</v>
          </cell>
          <cell r="Z44">
            <v>0</v>
          </cell>
          <cell r="AA44">
            <v>0</v>
          </cell>
          <cell r="AB44">
            <v>0</v>
          </cell>
          <cell r="AC44">
            <v>0</v>
          </cell>
          <cell r="AD44">
            <v>0</v>
          </cell>
          <cell r="AE44">
            <v>0</v>
          </cell>
          <cell r="AF44">
            <v>0</v>
          </cell>
          <cell r="AG44">
            <v>0</v>
          </cell>
          <cell r="AH44">
            <v>0</v>
          </cell>
        </row>
        <row r="45">
          <cell r="A45" t="str">
            <v>MD Industrial Other Coal</v>
          </cell>
          <cell r="C45" t="str">
            <v>Industrial Other Coal</v>
          </cell>
          <cell r="D45">
            <v>23743.24136</v>
          </cell>
          <cell r="E45">
            <v>26162.21056</v>
          </cell>
          <cell r="F45">
            <v>17802.26816</v>
          </cell>
          <cell r="G45">
            <v>18463.35183</v>
          </cell>
          <cell r="H45">
            <v>18752.12904</v>
          </cell>
          <cell r="I45">
            <v>19245.996800000001</v>
          </cell>
          <cell r="J45">
            <v>19736.807830000002</v>
          </cell>
          <cell r="K45">
            <v>19278.044190000001</v>
          </cell>
          <cell r="L45">
            <v>19246.184219999999</v>
          </cell>
          <cell r="M45">
            <v>19932.547610000001</v>
          </cell>
          <cell r="N45">
            <v>20319.753580000001</v>
          </cell>
          <cell r="O45">
            <v>33622.633470000001</v>
          </cell>
          <cell r="P45">
            <v>34051.12371</v>
          </cell>
          <cell r="Q45">
            <v>31837.155709999999</v>
          </cell>
          <cell r="R45">
            <v>34535.970860000001</v>
          </cell>
          <cell r="S45">
            <v>32977.960099999997</v>
          </cell>
          <cell r="T45">
            <v>30431.223549999999</v>
          </cell>
          <cell r="U45">
            <v>29880.435229999999</v>
          </cell>
          <cell r="V45">
            <v>28546.537759999999</v>
          </cell>
          <cell r="W45">
            <v>22156.88711</v>
          </cell>
          <cell r="X45">
            <v>22648.912120000001</v>
          </cell>
          <cell r="Y45">
            <v>0</v>
          </cell>
          <cell r="Z45">
            <v>0</v>
          </cell>
          <cell r="AA45">
            <v>0</v>
          </cell>
          <cell r="AB45">
            <v>0</v>
          </cell>
          <cell r="AC45">
            <v>0</v>
          </cell>
          <cell r="AD45">
            <v>0</v>
          </cell>
          <cell r="AE45">
            <v>0</v>
          </cell>
          <cell r="AF45">
            <v>0</v>
          </cell>
          <cell r="AG45">
            <v>0</v>
          </cell>
          <cell r="AH45">
            <v>0</v>
          </cell>
        </row>
        <row r="46">
          <cell r="A46" t="str">
            <v>MD Industrial Other</v>
          </cell>
          <cell r="C46" t="str">
            <v>Industrial Other</v>
          </cell>
        </row>
        <row r="47">
          <cell r="A47" t="str">
            <v>MD Residential Coal</v>
          </cell>
          <cell r="C47" t="str">
            <v>Residential Coal</v>
          </cell>
          <cell r="D47">
            <v>240.64397</v>
          </cell>
          <cell r="E47">
            <v>190.25262000000001</v>
          </cell>
          <cell r="F47">
            <v>60.170769999999997</v>
          </cell>
          <cell r="G47">
            <v>67.373019999999997</v>
          </cell>
          <cell r="H47">
            <v>136.38488000000001</v>
          </cell>
          <cell r="I47">
            <v>958.99364000000003</v>
          </cell>
          <cell r="J47">
            <v>123.42471</v>
          </cell>
          <cell r="K47">
            <v>152.12175999999999</v>
          </cell>
          <cell r="L47">
            <v>147.56771000000001</v>
          </cell>
          <cell r="M47">
            <v>139.90964</v>
          </cell>
          <cell r="N47">
            <v>230.43976000000001</v>
          </cell>
          <cell r="O47">
            <v>207.15872999999999</v>
          </cell>
          <cell r="P47">
            <v>9.1957799999999992</v>
          </cell>
          <cell r="Q47">
            <v>18.241489999999999</v>
          </cell>
          <cell r="R47">
            <v>138.81281000000001</v>
          </cell>
          <cell r="S47">
            <v>62.409089999999999</v>
          </cell>
          <cell r="T47">
            <v>94.086020000000005</v>
          </cell>
          <cell r="U47">
            <v>89.873109999999997</v>
          </cell>
          <cell r="V47">
            <v>89.98639</v>
          </cell>
          <cell r="W47">
            <v>77.459599999999995</v>
          </cell>
          <cell r="X47">
            <v>51.862780000000001</v>
          </cell>
          <cell r="Y47">
            <v>0</v>
          </cell>
          <cell r="Z47">
            <v>0</v>
          </cell>
          <cell r="AA47">
            <v>0</v>
          </cell>
          <cell r="AB47">
            <v>0</v>
          </cell>
          <cell r="AC47">
            <v>0</v>
          </cell>
          <cell r="AD47">
            <v>0</v>
          </cell>
          <cell r="AE47">
            <v>0</v>
          </cell>
          <cell r="AF47">
            <v>0</v>
          </cell>
          <cell r="AG47">
            <v>0</v>
          </cell>
          <cell r="AH47">
            <v>0</v>
          </cell>
        </row>
        <row r="48">
          <cell r="A48" t="str">
            <v>MD Residential Distillate Fuel</v>
          </cell>
          <cell r="C48" t="str">
            <v>Residential Distillate Fuel</v>
          </cell>
          <cell r="D48">
            <v>29649.087479999998</v>
          </cell>
          <cell r="E48">
            <v>28189.628959999998</v>
          </cell>
          <cell r="F48">
            <v>30190.834620000001</v>
          </cell>
          <cell r="G48">
            <v>32493.804810000001</v>
          </cell>
          <cell r="H48">
            <v>32299.935359999999</v>
          </cell>
          <cell r="I48">
            <v>28674.345850000002</v>
          </cell>
          <cell r="J48">
            <v>33851.374129999997</v>
          </cell>
          <cell r="K48">
            <v>29216.361799999999</v>
          </cell>
          <cell r="L48">
            <v>25128.42772</v>
          </cell>
          <cell r="M48">
            <v>27190.664290000001</v>
          </cell>
          <cell r="N48">
            <v>28341.447100000001</v>
          </cell>
          <cell r="O48">
            <v>27945.976839999999</v>
          </cell>
          <cell r="P48">
            <v>25630.678899999999</v>
          </cell>
          <cell r="Q48">
            <v>23992.756649999999</v>
          </cell>
          <cell r="R48">
            <v>23868.058430000001</v>
          </cell>
          <cell r="S48">
            <v>23861.273349999999</v>
          </cell>
          <cell r="T48">
            <v>19718.99265</v>
          </cell>
          <cell r="U48">
            <v>19519.793730000001</v>
          </cell>
          <cell r="V48">
            <v>17837.03371</v>
          </cell>
          <cell r="W48">
            <v>19696.983240000001</v>
          </cell>
          <cell r="X48">
            <v>20558.54017</v>
          </cell>
          <cell r="Y48">
            <v>0</v>
          </cell>
          <cell r="Z48">
            <v>0</v>
          </cell>
          <cell r="AA48">
            <v>0</v>
          </cell>
          <cell r="AB48">
            <v>0</v>
          </cell>
          <cell r="AC48">
            <v>0</v>
          </cell>
          <cell r="AD48">
            <v>0</v>
          </cell>
          <cell r="AE48">
            <v>0</v>
          </cell>
          <cell r="AF48">
            <v>0</v>
          </cell>
          <cell r="AG48">
            <v>0</v>
          </cell>
          <cell r="AH48">
            <v>0</v>
          </cell>
        </row>
        <row r="49">
          <cell r="A49" t="str">
            <v>MD Residential Kerosene</v>
          </cell>
          <cell r="C49" t="str">
            <v>Residential Kerosene</v>
          </cell>
          <cell r="D49">
            <v>2181.0834399999999</v>
          </cell>
          <cell r="E49">
            <v>2245.5455499999998</v>
          </cell>
          <cell r="F49">
            <v>1793.3596500000001</v>
          </cell>
          <cell r="G49">
            <v>2886.4646600000001</v>
          </cell>
          <cell r="H49">
            <v>2226.5214599999999</v>
          </cell>
          <cell r="I49">
            <v>3030.7764200000001</v>
          </cell>
          <cell r="J49">
            <v>3364.8235100000002</v>
          </cell>
          <cell r="K49">
            <v>3386.5176099999999</v>
          </cell>
          <cell r="L49">
            <v>4080.5350800000001</v>
          </cell>
          <cell r="M49">
            <v>2967.74116</v>
          </cell>
          <cell r="N49">
            <v>2864.77198</v>
          </cell>
          <cell r="O49">
            <v>2667.7822299999998</v>
          </cell>
          <cell r="P49">
            <v>1728.4333300000001</v>
          </cell>
          <cell r="Q49">
            <v>2292.0527099999999</v>
          </cell>
          <cell r="R49">
            <v>3118.5859599999999</v>
          </cell>
          <cell r="S49">
            <v>3499.4479099999999</v>
          </cell>
          <cell r="T49">
            <v>2477.4286499999998</v>
          </cell>
          <cell r="U49">
            <v>1275.5916400000001</v>
          </cell>
          <cell r="V49">
            <v>586.94780000000003</v>
          </cell>
          <cell r="W49">
            <v>662.64882</v>
          </cell>
          <cell r="X49">
            <v>829.33025999999995</v>
          </cell>
          <cell r="Y49">
            <v>0</v>
          </cell>
          <cell r="Z49">
            <v>0</v>
          </cell>
          <cell r="AA49">
            <v>0</v>
          </cell>
          <cell r="AB49">
            <v>0</v>
          </cell>
          <cell r="AC49">
            <v>0</v>
          </cell>
          <cell r="AD49">
            <v>0</v>
          </cell>
          <cell r="AE49">
            <v>0</v>
          </cell>
          <cell r="AF49">
            <v>0</v>
          </cell>
          <cell r="AG49">
            <v>0</v>
          </cell>
          <cell r="AH49">
            <v>0</v>
          </cell>
        </row>
        <row r="50">
          <cell r="A50" t="str">
            <v>MD Residential LPG</v>
          </cell>
          <cell r="C50" t="str">
            <v>Residential LPG</v>
          </cell>
          <cell r="D50">
            <v>3374.2395799999999</v>
          </cell>
          <cell r="E50">
            <v>3766.76208</v>
          </cell>
          <cell r="F50">
            <v>4233.1255099999998</v>
          </cell>
          <cell r="G50">
            <v>4352.85052</v>
          </cell>
          <cell r="H50">
            <v>4437.7863100000004</v>
          </cell>
          <cell r="I50">
            <v>5106.6166499999999</v>
          </cell>
          <cell r="J50">
            <v>5743.4785000000002</v>
          </cell>
          <cell r="K50">
            <v>6167.11499</v>
          </cell>
          <cell r="L50">
            <v>5624.3319199999996</v>
          </cell>
          <cell r="M50">
            <v>5150.2797300000002</v>
          </cell>
          <cell r="N50">
            <v>4172.8869199999999</v>
          </cell>
          <cell r="O50">
            <v>5018.9227799999999</v>
          </cell>
          <cell r="P50">
            <v>5227.4073099999996</v>
          </cell>
          <cell r="Q50">
            <v>7264.8395200000004</v>
          </cell>
          <cell r="R50">
            <v>6233.2207799999996</v>
          </cell>
          <cell r="S50">
            <v>6250.0492700000004</v>
          </cell>
          <cell r="T50">
            <v>5399.08331</v>
          </cell>
          <cell r="U50">
            <v>5976.8553700000002</v>
          </cell>
          <cell r="V50">
            <v>7115.6382599999997</v>
          </cell>
          <cell r="W50">
            <v>7545.7792200000004</v>
          </cell>
          <cell r="X50">
            <v>7761.84123</v>
          </cell>
          <cell r="Y50">
            <v>0</v>
          </cell>
          <cell r="Z50">
            <v>0</v>
          </cell>
          <cell r="AA50">
            <v>0</v>
          </cell>
          <cell r="AB50">
            <v>0</v>
          </cell>
          <cell r="AC50">
            <v>0</v>
          </cell>
          <cell r="AD50">
            <v>0</v>
          </cell>
          <cell r="AE50">
            <v>0</v>
          </cell>
          <cell r="AF50">
            <v>0</v>
          </cell>
          <cell r="AG50">
            <v>0</v>
          </cell>
          <cell r="AH50">
            <v>0</v>
          </cell>
        </row>
        <row r="51">
          <cell r="A51" t="str">
            <v>MD Residential Natural Gas</v>
          </cell>
          <cell r="C51" t="str">
            <v>Residential Natural Gas</v>
          </cell>
          <cell r="D51">
            <v>68234.330050000004</v>
          </cell>
          <cell r="E51">
            <v>70966.378280000004</v>
          </cell>
          <cell r="F51">
            <v>77143.910919999995</v>
          </cell>
          <cell r="G51">
            <v>78984.51053</v>
          </cell>
          <cell r="H51">
            <v>79002.390270000004</v>
          </cell>
          <cell r="I51">
            <v>78470.411569999997</v>
          </cell>
          <cell r="J51">
            <v>88009.010569999999</v>
          </cell>
          <cell r="K51">
            <v>80117.791830000002</v>
          </cell>
          <cell r="L51">
            <v>70560.896859999993</v>
          </cell>
          <cell r="M51">
            <v>77364.626459999999</v>
          </cell>
          <cell r="N51">
            <v>86845.02231</v>
          </cell>
          <cell r="O51">
            <v>73337.61606</v>
          </cell>
          <cell r="P51">
            <v>83029.875050000002</v>
          </cell>
          <cell r="Q51">
            <v>94116.380699999994</v>
          </cell>
          <cell r="R51">
            <v>89558.094039999996</v>
          </cell>
          <cell r="S51">
            <v>89880.001910000006</v>
          </cell>
          <cell r="T51">
            <v>73973.263739999995</v>
          </cell>
          <cell r="U51">
            <v>86556.768259999997</v>
          </cell>
          <cell r="V51">
            <v>84233.991599999994</v>
          </cell>
          <cell r="W51">
            <v>85667.067110000004</v>
          </cell>
          <cell r="X51">
            <v>85990.299100000004</v>
          </cell>
          <cell r="Y51">
            <v>0</v>
          </cell>
          <cell r="Z51">
            <v>0</v>
          </cell>
          <cell r="AA51">
            <v>0</v>
          </cell>
          <cell r="AB51">
            <v>0</v>
          </cell>
          <cell r="AC51">
            <v>0</v>
          </cell>
          <cell r="AD51">
            <v>0</v>
          </cell>
          <cell r="AE51">
            <v>0</v>
          </cell>
          <cell r="AF51">
            <v>0</v>
          </cell>
          <cell r="AG51">
            <v>0</v>
          </cell>
          <cell r="AH51">
            <v>0</v>
          </cell>
        </row>
        <row r="52">
          <cell r="A52" t="str">
            <v>MD Residential Wood</v>
          </cell>
          <cell r="C52" t="str">
            <v>Residential Wood</v>
          </cell>
          <cell r="D52">
            <v>7853.0889999999999</v>
          </cell>
          <cell r="E52">
            <v>8232.7124000000003</v>
          </cell>
          <cell r="F52">
            <v>8637.5998</v>
          </cell>
          <cell r="G52">
            <v>12388.0828</v>
          </cell>
          <cell r="H52">
            <v>11758.829400000001</v>
          </cell>
          <cell r="I52">
            <v>11758.829400000001</v>
          </cell>
          <cell r="J52">
            <v>12211.092000000001</v>
          </cell>
          <cell r="K52">
            <v>9151.6725999999999</v>
          </cell>
          <cell r="L52">
            <v>8132.5397999999996</v>
          </cell>
          <cell r="M52">
            <v>8346.5540000000001</v>
          </cell>
          <cell r="N52">
            <v>8988.5966000000008</v>
          </cell>
          <cell r="O52">
            <v>5800.7676000000001</v>
          </cell>
          <cell r="P52">
            <v>5888.1459999999997</v>
          </cell>
          <cell r="Q52">
            <v>6198.0483999999997</v>
          </cell>
          <cell r="R52">
            <v>6352.9996000000001</v>
          </cell>
          <cell r="S52">
            <v>4578.259</v>
          </cell>
          <cell r="T52">
            <v>4060.4717999999998</v>
          </cell>
          <cell r="U52">
            <v>4381.0353999999998</v>
          </cell>
          <cell r="V52">
            <v>4808.4535999999998</v>
          </cell>
          <cell r="W52">
            <v>4594.7446</v>
          </cell>
          <cell r="X52">
            <v>4487.8900000000003</v>
          </cell>
          <cell r="Y52">
            <v>0</v>
          </cell>
          <cell r="Z52">
            <v>0</v>
          </cell>
          <cell r="AA52">
            <v>0</v>
          </cell>
          <cell r="AB52">
            <v>0</v>
          </cell>
          <cell r="AC52">
            <v>0</v>
          </cell>
          <cell r="AD52">
            <v>0</v>
          </cell>
          <cell r="AE52">
            <v>0</v>
          </cell>
          <cell r="AF52">
            <v>0</v>
          </cell>
          <cell r="AG52">
            <v>0</v>
          </cell>
          <cell r="AH52">
            <v>0</v>
          </cell>
        </row>
        <row r="53">
          <cell r="A53" t="str">
            <v>MD Residential Other</v>
          </cell>
          <cell r="C53" t="str">
            <v>Residential Other</v>
          </cell>
        </row>
        <row r="54">
          <cell r="A54" t="str">
            <v>MD Transportation Aviation Gasoline</v>
          </cell>
          <cell r="C54" t="str">
            <v>Transportation Aviation Gasoline</v>
          </cell>
          <cell r="D54">
            <v>375.33541000000002</v>
          </cell>
          <cell r="E54">
            <v>379.39530999999999</v>
          </cell>
          <cell r="F54">
            <v>484.56736000000001</v>
          </cell>
          <cell r="G54">
            <v>513.00300000000004</v>
          </cell>
          <cell r="H54">
            <v>357.15499</v>
          </cell>
          <cell r="I54">
            <v>240.34517</v>
          </cell>
          <cell r="J54">
            <v>176.82548</v>
          </cell>
          <cell r="K54">
            <v>218.78273999999999</v>
          </cell>
          <cell r="L54">
            <v>281.26128</v>
          </cell>
          <cell r="M54">
            <v>196.25023999999999</v>
          </cell>
          <cell r="N54">
            <v>203.83662000000001</v>
          </cell>
          <cell r="O54">
            <v>528.73947999999996</v>
          </cell>
          <cell r="P54">
            <v>504.18157000000002</v>
          </cell>
          <cell r="Q54">
            <v>441.88385</v>
          </cell>
          <cell r="R54">
            <v>415.29048</v>
          </cell>
          <cell r="S54">
            <v>621.95731999999998</v>
          </cell>
          <cell r="T54">
            <v>544.44442000000004</v>
          </cell>
          <cell r="U54">
            <v>538.43012999999996</v>
          </cell>
          <cell r="V54">
            <v>405.68074999999999</v>
          </cell>
          <cell r="W54">
            <v>394.09120000000001</v>
          </cell>
          <cell r="X54">
            <v>216.91332</v>
          </cell>
          <cell r="Y54">
            <v>0</v>
          </cell>
          <cell r="Z54">
            <v>0</v>
          </cell>
          <cell r="AA54">
            <v>0</v>
          </cell>
          <cell r="AB54">
            <v>0</v>
          </cell>
          <cell r="AC54">
            <v>0</v>
          </cell>
          <cell r="AD54">
            <v>0</v>
          </cell>
          <cell r="AE54">
            <v>0</v>
          </cell>
          <cell r="AF54">
            <v>0</v>
          </cell>
          <cell r="AG54">
            <v>0</v>
          </cell>
          <cell r="AH54">
            <v>0</v>
          </cell>
        </row>
        <row r="55">
          <cell r="A55" t="str">
            <v>MD Transportation Distillate Fuel</v>
          </cell>
          <cell r="C55" t="str">
            <v>Transportation Distillate Fuel</v>
          </cell>
          <cell r="D55">
            <v>47129.08481</v>
          </cell>
          <cell r="E55">
            <v>51226.404900000001</v>
          </cell>
          <cell r="F55">
            <v>54880.816850000003</v>
          </cell>
          <cell r="G55">
            <v>53662.042439999997</v>
          </cell>
          <cell r="H55">
            <v>49554.27562</v>
          </cell>
          <cell r="I55">
            <v>50933.942770000001</v>
          </cell>
          <cell r="J55">
            <v>56734.303659999998</v>
          </cell>
          <cell r="K55">
            <v>56671.546799999996</v>
          </cell>
          <cell r="L55">
            <v>60415.999459999999</v>
          </cell>
          <cell r="M55">
            <v>69667.576730000001</v>
          </cell>
          <cell r="N55">
            <v>71345.426389999993</v>
          </cell>
          <cell r="O55">
            <v>72890.454169999997</v>
          </cell>
          <cell r="P55">
            <v>70505.829880000005</v>
          </cell>
          <cell r="Q55">
            <v>71856.469599999997</v>
          </cell>
          <cell r="R55">
            <v>78229.168260000006</v>
          </cell>
          <cell r="S55">
            <v>84520.01384</v>
          </cell>
          <cell r="T55">
            <v>86411.507719999994</v>
          </cell>
          <cell r="U55">
            <v>86521.199810000006</v>
          </cell>
          <cell r="V55">
            <v>79059.999599999996</v>
          </cell>
          <cell r="W55">
            <v>76354.889049999998</v>
          </cell>
          <cell r="X55">
            <v>80357.741450000001</v>
          </cell>
          <cell r="Y55">
            <v>0</v>
          </cell>
          <cell r="Z55">
            <v>0</v>
          </cell>
          <cell r="AA55">
            <v>0</v>
          </cell>
          <cell r="AB55">
            <v>0</v>
          </cell>
          <cell r="AC55">
            <v>0</v>
          </cell>
          <cell r="AD55">
            <v>0</v>
          </cell>
          <cell r="AE55">
            <v>0</v>
          </cell>
          <cell r="AF55">
            <v>0</v>
          </cell>
          <cell r="AG55">
            <v>0</v>
          </cell>
          <cell r="AH55">
            <v>0</v>
          </cell>
        </row>
        <row r="56">
          <cell r="A56" t="str">
            <v>MD Transportation Ethanol</v>
          </cell>
          <cell r="C56" t="str">
            <v>Transportation Ethanol</v>
          </cell>
          <cell r="D56">
            <v>0</v>
          </cell>
          <cell r="E56">
            <v>0</v>
          </cell>
          <cell r="F56">
            <v>0</v>
          </cell>
          <cell r="G56">
            <v>0</v>
          </cell>
          <cell r="H56">
            <v>0</v>
          </cell>
          <cell r="I56">
            <v>270.42379</v>
          </cell>
          <cell r="J56">
            <v>228.03501</v>
          </cell>
          <cell r="K56">
            <v>259.88189999999997</v>
          </cell>
          <cell r="L56">
            <v>214.6593</v>
          </cell>
          <cell r="M56">
            <v>218.31347</v>
          </cell>
          <cell r="N56">
            <v>243.18382</v>
          </cell>
          <cell r="O56">
            <v>25.81305</v>
          </cell>
          <cell r="P56">
            <v>3091.23731</v>
          </cell>
          <cell r="Q56">
            <v>19.790489999999998</v>
          </cell>
          <cell r="R56">
            <v>24.589449999999999</v>
          </cell>
          <cell r="S56">
            <v>4940.4853199999998</v>
          </cell>
          <cell r="T56">
            <v>13869.38911</v>
          </cell>
          <cell r="U56">
            <v>17349.908879999999</v>
          </cell>
          <cell r="V56">
            <v>15572.815339999999</v>
          </cell>
          <cell r="W56">
            <v>18405.734120000001</v>
          </cell>
          <cell r="X56">
            <v>19791.539150000001</v>
          </cell>
          <cell r="Y56">
            <v>0</v>
          </cell>
          <cell r="Z56">
            <v>0</v>
          </cell>
          <cell r="AA56">
            <v>0</v>
          </cell>
          <cell r="AB56">
            <v>0</v>
          </cell>
          <cell r="AC56">
            <v>0</v>
          </cell>
          <cell r="AD56">
            <v>0</v>
          </cell>
          <cell r="AE56">
            <v>0</v>
          </cell>
          <cell r="AF56">
            <v>0</v>
          </cell>
          <cell r="AG56">
            <v>0</v>
          </cell>
          <cell r="AH56">
            <v>0</v>
          </cell>
        </row>
        <row r="57">
          <cell r="A57" t="str">
            <v>MD Transportation Jet Fuel, Kerosene</v>
          </cell>
          <cell r="C57" t="str">
            <v>Transportation Jet Fuel, Kerosene</v>
          </cell>
          <cell r="D57">
            <v>14705.96732</v>
          </cell>
          <cell r="E57">
            <v>13427.213519999999</v>
          </cell>
          <cell r="F57">
            <v>12857.38278</v>
          </cell>
          <cell r="G57">
            <v>13259.128129999999</v>
          </cell>
          <cell r="H57">
            <v>17254.027330000001</v>
          </cell>
          <cell r="I57">
            <v>19422.52348</v>
          </cell>
          <cell r="J57">
            <v>22089.74467</v>
          </cell>
          <cell r="K57">
            <v>23231.159609999999</v>
          </cell>
          <cell r="L57">
            <v>22246.542389999999</v>
          </cell>
          <cell r="M57">
            <v>22326.454290000001</v>
          </cell>
          <cell r="N57">
            <v>23291.798269999999</v>
          </cell>
          <cell r="O57">
            <v>16605.724289999998</v>
          </cell>
          <cell r="P57">
            <v>9738.5982000000004</v>
          </cell>
          <cell r="Q57">
            <v>13284.66167</v>
          </cell>
          <cell r="R57">
            <v>17801.20609</v>
          </cell>
          <cell r="S57">
            <v>24733.950410000001</v>
          </cell>
          <cell r="T57">
            <v>23496.60151</v>
          </cell>
          <cell r="U57">
            <v>19969.900799999999</v>
          </cell>
          <cell r="V57">
            <v>21748.75892</v>
          </cell>
          <cell r="W57">
            <v>18957.02334</v>
          </cell>
          <cell r="X57">
            <v>16725.410909999999</v>
          </cell>
          <cell r="Y57">
            <v>0</v>
          </cell>
          <cell r="Z57">
            <v>0</v>
          </cell>
          <cell r="AA57">
            <v>0</v>
          </cell>
          <cell r="AB57">
            <v>0</v>
          </cell>
          <cell r="AC57">
            <v>0</v>
          </cell>
          <cell r="AD57">
            <v>0</v>
          </cell>
          <cell r="AE57">
            <v>0</v>
          </cell>
          <cell r="AF57">
            <v>0</v>
          </cell>
          <cell r="AG57">
            <v>0</v>
          </cell>
          <cell r="AH57">
            <v>0</v>
          </cell>
        </row>
        <row r="58">
          <cell r="A58" t="str">
            <v>MD Transportation Jet Fuel, Naphtha</v>
          </cell>
          <cell r="C58" t="str">
            <v>Transportation Jet Fuel, Naphtha</v>
          </cell>
          <cell r="D58">
            <v>5587.2743</v>
          </cell>
          <cell r="E58">
            <v>4955.4020799999998</v>
          </cell>
          <cell r="F58">
            <v>4246.7896000000001</v>
          </cell>
          <cell r="G58">
            <v>3543.3494099999998</v>
          </cell>
          <cell r="H58">
            <v>993.77822000000003</v>
          </cell>
          <cell r="I58">
            <v>24.120100000000001</v>
          </cell>
          <cell r="J58">
            <v>6.0327299999999999</v>
          </cell>
          <cell r="K58">
            <v>2.0643500000000001</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row>
        <row r="59">
          <cell r="A59" t="str">
            <v>MD Transportation LPG</v>
          </cell>
          <cell r="C59" t="str">
            <v>Transportation LPG</v>
          </cell>
          <cell r="D59">
            <v>197.74822</v>
          </cell>
          <cell r="E59">
            <v>162.1163</v>
          </cell>
          <cell r="F59">
            <v>388.04293000000001</v>
          </cell>
          <cell r="G59">
            <v>439.41131000000001</v>
          </cell>
          <cell r="H59">
            <v>370.95542999999998</v>
          </cell>
          <cell r="I59">
            <v>184.80233000000001</v>
          </cell>
          <cell r="J59">
            <v>186.96714</v>
          </cell>
          <cell r="K59">
            <v>391.86293999999998</v>
          </cell>
          <cell r="L59">
            <v>48.447949999999999</v>
          </cell>
          <cell r="M59">
            <v>47.576830000000001</v>
          </cell>
          <cell r="N59">
            <v>290.70792</v>
          </cell>
          <cell r="O59">
            <v>26.571819999999999</v>
          </cell>
          <cell r="P59">
            <v>44.886569999999999</v>
          </cell>
          <cell r="Q59">
            <v>113.40927000000001</v>
          </cell>
          <cell r="R59">
            <v>130.46213</v>
          </cell>
          <cell r="S59">
            <v>176.36474000000001</v>
          </cell>
          <cell r="T59">
            <v>167.33929000000001</v>
          </cell>
          <cell r="U59">
            <v>156.27945</v>
          </cell>
          <cell r="V59">
            <v>290.80774000000002</v>
          </cell>
          <cell r="W59">
            <v>216.03896</v>
          </cell>
          <cell r="X59">
            <v>308.03598</v>
          </cell>
          <cell r="Y59">
            <v>0</v>
          </cell>
          <cell r="Z59">
            <v>0</v>
          </cell>
          <cell r="AA59">
            <v>0</v>
          </cell>
          <cell r="AB59">
            <v>0</v>
          </cell>
          <cell r="AC59">
            <v>0</v>
          </cell>
          <cell r="AD59">
            <v>0</v>
          </cell>
          <cell r="AE59">
            <v>0</v>
          </cell>
          <cell r="AF59">
            <v>0</v>
          </cell>
          <cell r="AG59">
            <v>0</v>
          </cell>
          <cell r="AH59">
            <v>0</v>
          </cell>
        </row>
        <row r="60">
          <cell r="A60" t="str">
            <v>MD Transportation Lubricants</v>
          </cell>
          <cell r="C60" t="str">
            <v>Transportation Lubricants</v>
          </cell>
          <cell r="D60">
            <v>1926.10366</v>
          </cell>
          <cell r="E60">
            <v>1723.12175</v>
          </cell>
          <cell r="F60">
            <v>1756.7801400000001</v>
          </cell>
          <cell r="G60">
            <v>1788.85877</v>
          </cell>
          <cell r="H60">
            <v>1869.7162599999999</v>
          </cell>
          <cell r="I60">
            <v>1837.60536</v>
          </cell>
          <cell r="J60">
            <v>1783.3780099999999</v>
          </cell>
          <cell r="K60">
            <v>1883.9340099999999</v>
          </cell>
          <cell r="L60">
            <v>1972.2066299999999</v>
          </cell>
          <cell r="M60">
            <v>1992.84007</v>
          </cell>
          <cell r="N60">
            <v>1962.95381</v>
          </cell>
          <cell r="O60">
            <v>1798.49848</v>
          </cell>
          <cell r="P60">
            <v>1777.2201600000001</v>
          </cell>
          <cell r="Q60">
            <v>1643.0380399999999</v>
          </cell>
          <cell r="R60">
            <v>1664.54198</v>
          </cell>
          <cell r="S60">
            <v>1655.8694499999999</v>
          </cell>
          <cell r="T60">
            <v>1613.2806599999999</v>
          </cell>
          <cell r="U60">
            <v>1665.99279</v>
          </cell>
          <cell r="V60">
            <v>1546.67319</v>
          </cell>
          <cell r="W60">
            <v>1390.56798</v>
          </cell>
          <cell r="X60">
            <v>1545.0289700000001</v>
          </cell>
          <cell r="Y60">
            <v>0</v>
          </cell>
          <cell r="Z60">
            <v>0</v>
          </cell>
          <cell r="AA60">
            <v>0</v>
          </cell>
          <cell r="AB60">
            <v>0</v>
          </cell>
          <cell r="AC60">
            <v>0</v>
          </cell>
          <cell r="AD60">
            <v>0</v>
          </cell>
          <cell r="AE60">
            <v>0</v>
          </cell>
          <cell r="AF60">
            <v>0</v>
          </cell>
          <cell r="AG60">
            <v>0</v>
          </cell>
          <cell r="AH60">
            <v>0</v>
          </cell>
        </row>
        <row r="61">
          <cell r="A61" t="str">
            <v>MD Transportation Motor Gasoline</v>
          </cell>
          <cell r="C61" t="str">
            <v>Transportation Motor Gasoline</v>
          </cell>
          <cell r="D61">
            <v>246295.91011</v>
          </cell>
          <cell r="E61">
            <v>252379.90372</v>
          </cell>
          <cell r="F61">
            <v>255638.99462000001</v>
          </cell>
          <cell r="G61">
            <v>258874.83484</v>
          </cell>
          <cell r="H61">
            <v>263456.6078</v>
          </cell>
          <cell r="I61">
            <v>266296.39801</v>
          </cell>
          <cell r="J61">
            <v>268007.13185000001</v>
          </cell>
          <cell r="K61">
            <v>277069.21393000003</v>
          </cell>
          <cell r="L61">
            <v>282588.03565999999</v>
          </cell>
          <cell r="M61">
            <v>294813.35496999999</v>
          </cell>
          <cell r="N61">
            <v>295634.44856000005</v>
          </cell>
          <cell r="O61">
            <v>304459.52645</v>
          </cell>
          <cell r="P61">
            <v>307056.28594000003</v>
          </cell>
          <cell r="Q61">
            <v>317237.19576999999</v>
          </cell>
          <cell r="R61">
            <v>326144.45539999998</v>
          </cell>
          <cell r="S61">
            <v>326630.26040000003</v>
          </cell>
          <cell r="T61">
            <v>323237.94066000002</v>
          </cell>
          <cell r="U61">
            <v>322870.78856999998</v>
          </cell>
          <cell r="V61">
            <v>319722.75407000002</v>
          </cell>
          <cell r="W61">
            <v>337885.63417000003</v>
          </cell>
          <cell r="X61">
            <v>309555.05889999995</v>
          </cell>
          <cell r="Y61">
            <v>0</v>
          </cell>
          <cell r="Z61">
            <v>0</v>
          </cell>
          <cell r="AA61">
            <v>0</v>
          </cell>
          <cell r="AB61">
            <v>0</v>
          </cell>
          <cell r="AC61">
            <v>0</v>
          </cell>
          <cell r="AD61">
            <v>0</v>
          </cell>
          <cell r="AE61">
            <v>0</v>
          </cell>
          <cell r="AF61">
            <v>0</v>
          </cell>
          <cell r="AG61">
            <v>0</v>
          </cell>
          <cell r="AH61">
            <v>0</v>
          </cell>
        </row>
        <row r="62">
          <cell r="A62" t="str">
            <v>MD Transportation Natural Gas</v>
          </cell>
          <cell r="C62" t="str">
            <v>Transportation Natural Gas</v>
          </cell>
          <cell r="D62">
            <v>2468.3616000000002</v>
          </cell>
          <cell r="E62">
            <v>2581.9749999999999</v>
          </cell>
          <cell r="F62">
            <v>2484.0952900000002</v>
          </cell>
          <cell r="G62">
            <v>2533.5281500000001</v>
          </cell>
          <cell r="H62">
            <v>2590.0953599999998</v>
          </cell>
          <cell r="I62">
            <v>2953.9855499999999</v>
          </cell>
          <cell r="J62">
            <v>2775.8977599999998</v>
          </cell>
          <cell r="K62">
            <v>3310.6727000000001</v>
          </cell>
          <cell r="L62">
            <v>3201.7087700000002</v>
          </cell>
          <cell r="M62">
            <v>3469.2578199999998</v>
          </cell>
          <cell r="N62">
            <v>3514.15852</v>
          </cell>
          <cell r="O62">
            <v>3061.5269400000002</v>
          </cell>
          <cell r="P62">
            <v>2797.3560400000001</v>
          </cell>
          <cell r="Q62">
            <v>3087.3133400000002</v>
          </cell>
          <cell r="R62">
            <v>2843.0700900000002</v>
          </cell>
          <cell r="S62">
            <v>2905.8454000000002</v>
          </cell>
          <cell r="T62">
            <v>3355.3583600000002</v>
          </cell>
          <cell r="U62">
            <v>3373.3217</v>
          </cell>
          <cell r="V62">
            <v>3543.4722999999999</v>
          </cell>
          <cell r="W62">
            <v>2824.87203</v>
          </cell>
          <cell r="X62">
            <v>3083.4646200000002</v>
          </cell>
          <cell r="Y62">
            <v>0</v>
          </cell>
          <cell r="Z62">
            <v>0</v>
          </cell>
          <cell r="AA62">
            <v>0</v>
          </cell>
          <cell r="AB62">
            <v>0</v>
          </cell>
          <cell r="AC62">
            <v>0</v>
          </cell>
          <cell r="AD62">
            <v>0</v>
          </cell>
          <cell r="AE62">
            <v>0</v>
          </cell>
          <cell r="AF62">
            <v>0</v>
          </cell>
          <cell r="AG62">
            <v>0</v>
          </cell>
          <cell r="AH62">
            <v>0</v>
          </cell>
        </row>
        <row r="63">
          <cell r="A63" t="str">
            <v>MD Transportation Residual Fuel</v>
          </cell>
          <cell r="C63" t="str">
            <v>Transportation Residual Fuel</v>
          </cell>
          <cell r="D63">
            <v>11473.223690000001</v>
          </cell>
          <cell r="E63">
            <v>8580.5411700000004</v>
          </cell>
          <cell r="F63">
            <v>10142.795599999999</v>
          </cell>
          <cell r="G63">
            <v>8011.8262500000001</v>
          </cell>
          <cell r="H63">
            <v>6121.6059400000004</v>
          </cell>
          <cell r="I63">
            <v>5854.0822099999996</v>
          </cell>
          <cell r="J63">
            <v>4749.6657299999997</v>
          </cell>
          <cell r="K63">
            <v>4550.7454299999999</v>
          </cell>
          <cell r="L63">
            <v>7173.8476099999998</v>
          </cell>
          <cell r="M63">
            <v>6143.0194000000001</v>
          </cell>
          <cell r="N63">
            <v>4945.5445099999997</v>
          </cell>
          <cell r="O63">
            <v>3851.1458600000001</v>
          </cell>
          <cell r="P63">
            <v>4363.5527099999999</v>
          </cell>
          <cell r="Q63">
            <v>2541.90508</v>
          </cell>
          <cell r="R63">
            <v>7826.7143999999998</v>
          </cell>
          <cell r="S63">
            <v>7292.6821</v>
          </cell>
          <cell r="T63">
            <v>7679.4170299999996</v>
          </cell>
          <cell r="U63">
            <v>4591.6702100000002</v>
          </cell>
          <cell r="V63">
            <v>4933.4321600000003</v>
          </cell>
          <cell r="W63">
            <v>2766.5539899999999</v>
          </cell>
          <cell r="X63">
            <v>5484.8663200000001</v>
          </cell>
          <cell r="Y63">
            <v>0</v>
          </cell>
          <cell r="Z63">
            <v>0</v>
          </cell>
          <cell r="AA63">
            <v>0</v>
          </cell>
          <cell r="AB63">
            <v>0</v>
          </cell>
          <cell r="AC63">
            <v>0</v>
          </cell>
          <cell r="AD63">
            <v>0</v>
          </cell>
          <cell r="AE63">
            <v>0</v>
          </cell>
          <cell r="AF63">
            <v>0</v>
          </cell>
          <cell r="AG63">
            <v>0</v>
          </cell>
          <cell r="AH63">
            <v>0</v>
          </cell>
        </row>
        <row r="64">
          <cell r="A64" t="str">
            <v>MD Transportation Other</v>
          </cell>
          <cell r="C64" t="str">
            <v>Transportation Other</v>
          </cell>
        </row>
        <row r="65">
          <cell r="A65" t="str">
            <v>MD Bunker Fuels Distillate Fuel</v>
          </cell>
          <cell r="C65" t="str">
            <v>Bunker Fuels Distillate Fuel</v>
          </cell>
          <cell r="D65">
            <v>0</v>
          </cell>
          <cell r="E65">
            <v>4.2140943600000007</v>
          </cell>
          <cell r="F65">
            <v>4.7644198979999999</v>
          </cell>
          <cell r="G65">
            <v>6.4329892200000005</v>
          </cell>
          <cell r="H65">
            <v>5.0568549779999996</v>
          </cell>
          <cell r="I65">
            <v>6.0888245879999996</v>
          </cell>
          <cell r="J65">
            <v>7.43990961</v>
          </cell>
          <cell r="K65">
            <v>8.7190509419999991</v>
          </cell>
          <cell r="L65">
            <v>6.9196431359999995</v>
          </cell>
          <cell r="M65">
            <v>3.7087409099999999</v>
          </cell>
          <cell r="N65">
            <v>1.6512678839999999</v>
          </cell>
          <cell r="O65">
            <v>0.24099679799999998</v>
          </cell>
          <cell r="P65">
            <v>0</v>
          </cell>
          <cell r="Q65">
            <v>0.51461583600000005</v>
          </cell>
          <cell r="R65">
            <v>0.83396426400000001</v>
          </cell>
          <cell r="S65">
            <v>0</v>
          </cell>
          <cell r="T65">
            <v>3.4633750619999999</v>
          </cell>
          <cell r="U65">
            <v>2.8063281959999999</v>
          </cell>
          <cell r="V65">
            <v>2.5607293320000002</v>
          </cell>
          <cell r="W65">
            <v>11.353063806</v>
          </cell>
          <cell r="X65">
            <v>18.226103741999999</v>
          </cell>
          <cell r="Y65">
            <v>0</v>
          </cell>
          <cell r="Z65">
            <v>0</v>
          </cell>
          <cell r="AA65">
            <v>0</v>
          </cell>
          <cell r="AB65">
            <v>0</v>
          </cell>
          <cell r="AC65">
            <v>0</v>
          </cell>
          <cell r="AD65">
            <v>0</v>
          </cell>
          <cell r="AE65">
            <v>0</v>
          </cell>
          <cell r="AF65">
            <v>0</v>
          </cell>
          <cell r="AG65">
            <v>0</v>
          </cell>
          <cell r="AH65">
            <v>0</v>
          </cell>
        </row>
        <row r="66">
          <cell r="A66" t="str">
            <v>MD Bunker Fuels Residual Fuel</v>
          </cell>
          <cell r="C66" t="str">
            <v>Bunker Fuels Residual Fuel</v>
          </cell>
          <cell r="D66">
            <v>0</v>
          </cell>
          <cell r="E66">
            <v>38.172502997999999</v>
          </cell>
          <cell r="F66">
            <v>33.143526108000003</v>
          </cell>
          <cell r="G66">
            <v>19.214671643999999</v>
          </cell>
          <cell r="H66">
            <v>24.745823172000005</v>
          </cell>
          <cell r="I66">
            <v>28.124106066</v>
          </cell>
          <cell r="J66">
            <v>27.523973736000002</v>
          </cell>
          <cell r="K66">
            <v>63.016283862000009</v>
          </cell>
          <cell r="L66">
            <v>56.038778837999999</v>
          </cell>
          <cell r="M66">
            <v>32.762635416000002</v>
          </cell>
          <cell r="N66">
            <v>23.403966264000001</v>
          </cell>
          <cell r="O66">
            <v>7.4539013220000001</v>
          </cell>
          <cell r="P66">
            <v>0</v>
          </cell>
          <cell r="Q66">
            <v>0.96241231800000004</v>
          </cell>
          <cell r="R66">
            <v>1.117711098</v>
          </cell>
          <cell r="S66">
            <v>0</v>
          </cell>
          <cell r="T66">
            <v>0.76888614600000016</v>
          </cell>
          <cell r="U66">
            <v>0.20572372800000002</v>
          </cell>
          <cell r="V66">
            <v>2.2005899999999998E-2</v>
          </cell>
          <cell r="W66">
            <v>6.9161400000000003E-3</v>
          </cell>
          <cell r="X66">
            <v>5.7844080000000006E-2</v>
          </cell>
          <cell r="Y66">
            <v>0</v>
          </cell>
          <cell r="Z66">
            <v>0</v>
          </cell>
          <cell r="AA66">
            <v>0</v>
          </cell>
          <cell r="AB66">
            <v>0</v>
          </cell>
          <cell r="AC66">
            <v>0</v>
          </cell>
          <cell r="AD66">
            <v>0</v>
          </cell>
          <cell r="AE66">
            <v>0</v>
          </cell>
          <cell r="AF66">
            <v>0</v>
          </cell>
          <cell r="AG66">
            <v>0</v>
          </cell>
          <cell r="AH66">
            <v>0</v>
          </cell>
        </row>
        <row r="67">
          <cell r="A67" t="str">
            <v>MD Bunker Fuels Jet Fuel, Kerosene</v>
          </cell>
          <cell r="C67" t="str">
            <v>Bunker Fuels Jet Fuel, Kerosene</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row>
      </sheetData>
      <sheetData sheetId="2"/>
      <sheetData sheetId="3"/>
      <sheetData sheetId="4"/>
      <sheetData sheetId="5"/>
      <sheetData sheetId="6"/>
      <sheetData sheetId="7"/>
      <sheetData sheetId="8"/>
      <sheetData sheetId="9"/>
      <sheetData sheetId="10"/>
      <sheetData sheetId="11"/>
      <sheetData sheetId="12"/>
      <sheetData sheetId="13"/>
      <sheetData sheetId="14">
        <row r="63">
          <cell r="A63" t="str">
            <v>Industrial Sector</v>
          </cell>
        </row>
        <row r="64">
          <cell r="A64" t="str">
            <v>Coking Coal</v>
          </cell>
          <cell r="B64">
            <v>0</v>
          </cell>
          <cell r="C64">
            <v>0</v>
          </cell>
          <cell r="D64">
            <v>0</v>
          </cell>
          <cell r="E64">
            <v>1</v>
          </cell>
          <cell r="F64">
            <v>1</v>
          </cell>
          <cell r="G64">
            <v>1</v>
          </cell>
          <cell r="H64">
            <v>1</v>
          </cell>
          <cell r="I64">
            <v>0</v>
          </cell>
          <cell r="J64">
            <v>1</v>
          </cell>
          <cell r="K64">
            <v>1</v>
          </cell>
          <cell r="L64">
            <v>1</v>
          </cell>
          <cell r="M64">
            <v>1</v>
          </cell>
          <cell r="N64">
            <v>1</v>
          </cell>
          <cell r="O64">
            <v>1</v>
          </cell>
          <cell r="P64">
            <v>1</v>
          </cell>
          <cell r="Q64">
            <v>1</v>
          </cell>
          <cell r="R64">
            <v>1</v>
          </cell>
          <cell r="S64">
            <v>1</v>
          </cell>
          <cell r="T64">
            <v>1</v>
          </cell>
          <cell r="U64">
            <v>1</v>
          </cell>
          <cell r="V64">
            <v>1</v>
          </cell>
        </row>
        <row r="65">
          <cell r="A65" t="str">
            <v>Other Coal</v>
          </cell>
          <cell r="B65">
            <v>4.982292725225242E-3</v>
          </cell>
          <cell r="C65">
            <v>5.2717916963045848E-3</v>
          </cell>
          <cell r="D65">
            <v>6.1001266988702568E-3</v>
          </cell>
          <cell r="E65">
            <v>6.2526098796064104E-3</v>
          </cell>
          <cell r="F65">
            <v>6.8008296910005515E-3</v>
          </cell>
          <cell r="G65">
            <v>7.3428488318609915E-3</v>
          </cell>
          <cell r="H65">
            <v>7.800006887885738E-3</v>
          </cell>
          <cell r="I65">
            <v>7.5964275894458378E-3</v>
          </cell>
          <cell r="J65">
            <v>7.0400433856277738E-3</v>
          </cell>
          <cell r="K65">
            <v>8.0215540808911152E-3</v>
          </cell>
          <cell r="L65">
            <v>9.0991208621943234E-3</v>
          </cell>
          <cell r="M65">
            <v>8.246099290488057E-3</v>
          </cell>
          <cell r="N65">
            <v>9.5913984514642472E-3</v>
          </cell>
          <cell r="O65">
            <v>9.4444334436061678E-3</v>
          </cell>
          <cell r="P65">
            <v>9.346274254511568E-3</v>
          </cell>
          <cell r="Q65">
            <v>9.671780325519486E-3</v>
          </cell>
          <cell r="R65">
            <v>9.9165073163107065E-3</v>
          </cell>
          <cell r="S65">
            <v>1.041948363806813E-2</v>
          </cell>
          <cell r="T65">
            <v>1.0865965176989078E-2</v>
          </cell>
          <cell r="U65">
            <v>1.3342891944305954E-2</v>
          </cell>
          <cell r="V65">
            <v>1.0068939588109451E-2</v>
          </cell>
        </row>
        <row r="66">
          <cell r="A66" t="str">
            <v>Natural Gas</v>
          </cell>
          <cell r="B66">
            <v>3.2866751634411315E-2</v>
          </cell>
          <cell r="C66">
            <v>3.3941225898863253E-2</v>
          </cell>
          <cell r="D66">
            <v>3.4558124914442899E-2</v>
          </cell>
          <cell r="E66">
            <v>3.4603334241561583E-2</v>
          </cell>
          <cell r="F66">
            <v>3.8105201354466045E-2</v>
          </cell>
          <cell r="G66">
            <v>3.6860987015549032E-2</v>
          </cell>
          <cell r="H66">
            <v>3.5963969462675952E-2</v>
          </cell>
          <cell r="I66">
            <v>3.8200985245727445E-2</v>
          </cell>
          <cell r="J66">
            <v>4.4117475182689492E-2</v>
          </cell>
          <cell r="K66">
            <v>4.7427050963820987E-2</v>
          </cell>
          <cell r="L66">
            <v>4.6304696554998519E-2</v>
          </cell>
          <cell r="M66">
            <v>4.8284185445506937E-2</v>
          </cell>
          <cell r="N66">
            <v>4.3272465107646707E-2</v>
          </cell>
          <cell r="O66">
            <v>4.3336964496473167E-2</v>
          </cell>
          <cell r="P66">
            <v>4.391166820286127E-2</v>
          </cell>
          <cell r="Q66">
            <v>5.1325045195656283E-2</v>
          </cell>
          <cell r="R66">
            <v>3.0215420735007322E-2</v>
          </cell>
          <cell r="S66">
            <v>2.8753400694293142E-2</v>
          </cell>
          <cell r="T66">
            <v>2.9144762919512689E-2</v>
          </cell>
          <cell r="U66">
            <v>2.998986349048597E-2</v>
          </cell>
          <cell r="V66">
            <v>2.9042706189653978E-2</v>
          </cell>
        </row>
        <row r="67">
          <cell r="A67" t="str">
            <v>Asphalt and Road Oil</v>
          </cell>
          <cell r="B67">
            <v>1</v>
          </cell>
          <cell r="C67">
            <v>1</v>
          </cell>
          <cell r="D67">
            <v>1</v>
          </cell>
          <cell r="E67">
            <v>1</v>
          </cell>
          <cell r="F67">
            <v>1</v>
          </cell>
          <cell r="G67">
            <v>1</v>
          </cell>
          <cell r="H67">
            <v>1</v>
          </cell>
          <cell r="I67">
            <v>1</v>
          </cell>
          <cell r="J67">
            <v>1</v>
          </cell>
          <cell r="K67">
            <v>1</v>
          </cell>
          <cell r="L67">
            <v>1</v>
          </cell>
          <cell r="M67">
            <v>1</v>
          </cell>
          <cell r="N67">
            <v>1</v>
          </cell>
          <cell r="O67">
            <v>1</v>
          </cell>
          <cell r="P67">
            <v>1</v>
          </cell>
          <cell r="Q67">
            <v>1</v>
          </cell>
          <cell r="R67">
            <v>1</v>
          </cell>
          <cell r="S67">
            <v>1</v>
          </cell>
          <cell r="T67">
            <v>1</v>
          </cell>
          <cell r="U67">
            <v>1</v>
          </cell>
          <cell r="V67">
            <v>1</v>
          </cell>
        </row>
        <row r="68">
          <cell r="A68" t="str">
            <v>LPG</v>
          </cell>
          <cell r="B68">
            <v>0.73891001607558771</v>
          </cell>
          <cell r="C68">
            <v>0.76181919197357428</v>
          </cell>
          <cell r="D68">
            <v>0.75891632619118998</v>
          </cell>
          <cell r="E68">
            <v>0.75326262691010604</v>
          </cell>
          <cell r="F68">
            <v>0.78494245692019071</v>
          </cell>
          <cell r="G68">
            <v>0.76705465040504528</v>
          </cell>
          <cell r="H68">
            <v>0.7833383022651369</v>
          </cell>
          <cell r="I68">
            <v>0.775889778267015</v>
          </cell>
          <cell r="J68">
            <v>0.81338610169764758</v>
          </cell>
          <cell r="K68">
            <v>0.85472349471497788</v>
          </cell>
          <cell r="L68">
            <v>0.8097384476898597</v>
          </cell>
          <cell r="M68">
            <v>0.84792797989577495</v>
          </cell>
          <cell r="N68">
            <v>0.82569760781864776</v>
          </cell>
          <cell r="O68">
            <v>0.82269257292109366</v>
          </cell>
          <cell r="P68">
            <v>0.78725537983560012</v>
          </cell>
          <cell r="Q68">
            <v>0.83018109629681569</v>
          </cell>
          <cell r="R68">
            <v>0.83388967256418167</v>
          </cell>
          <cell r="S68">
            <v>0.80884558232306147</v>
          </cell>
          <cell r="T68">
            <v>0.88255161693914219</v>
          </cell>
          <cell r="U68">
            <v>0.87322230655210564</v>
          </cell>
          <cell r="V68">
            <v>0.85665679125113336</v>
          </cell>
        </row>
        <row r="69">
          <cell r="A69" t="str">
            <v>Lubricants</v>
          </cell>
          <cell r="B69">
            <v>1</v>
          </cell>
          <cell r="C69">
            <v>1</v>
          </cell>
          <cell r="D69">
            <v>1</v>
          </cell>
          <cell r="E69">
            <v>1</v>
          </cell>
          <cell r="F69">
            <v>1</v>
          </cell>
          <cell r="G69">
            <v>1</v>
          </cell>
          <cell r="H69">
            <v>1</v>
          </cell>
          <cell r="I69">
            <v>1</v>
          </cell>
          <cell r="J69">
            <v>1</v>
          </cell>
          <cell r="K69">
            <v>1</v>
          </cell>
          <cell r="L69">
            <v>1</v>
          </cell>
          <cell r="M69">
            <v>1</v>
          </cell>
          <cell r="N69">
            <v>1</v>
          </cell>
          <cell r="O69">
            <v>1</v>
          </cell>
          <cell r="P69">
            <v>1</v>
          </cell>
          <cell r="Q69">
            <v>1</v>
          </cell>
          <cell r="R69">
            <v>1</v>
          </cell>
          <cell r="S69">
            <v>1</v>
          </cell>
          <cell r="T69">
            <v>1</v>
          </cell>
          <cell r="U69">
            <v>1</v>
          </cell>
          <cell r="V69">
            <v>1</v>
          </cell>
        </row>
        <row r="70">
          <cell r="A70" t="str">
            <v>Pentanes Plus</v>
          </cell>
          <cell r="B70">
            <v>0.33913940795918363</v>
          </cell>
          <cell r="C70">
            <v>0.42184919171037882</v>
          </cell>
          <cell r="D70">
            <v>0.43360155780209619</v>
          </cell>
          <cell r="E70">
            <v>0.40730258009482845</v>
          </cell>
          <cell r="F70">
            <v>0.41442583733745375</v>
          </cell>
          <cell r="G70">
            <v>0.48887482830960699</v>
          </cell>
          <cell r="H70">
            <v>0.50476034903403166</v>
          </cell>
          <cell r="I70">
            <v>0.48243506112520762</v>
          </cell>
          <cell r="J70">
            <v>0.50658811232097667</v>
          </cell>
          <cell r="K70">
            <v>0.54517936794687183</v>
          </cell>
          <cell r="L70">
            <v>0.61618984788627007</v>
          </cell>
          <cell r="M70">
            <v>0.56285454301584936</v>
          </cell>
          <cell r="N70">
            <v>0.52809569186970062</v>
          </cell>
          <cell r="O70">
            <v>0.53588029389537339</v>
          </cell>
          <cell r="P70">
            <v>0.5321541319104427</v>
          </cell>
          <cell r="Q70">
            <v>0.53588347459841157</v>
          </cell>
          <cell r="R70">
            <v>0.5303920364736463</v>
          </cell>
          <cell r="S70">
            <v>0.51064901717061739</v>
          </cell>
          <cell r="T70">
            <v>0.42388600243710522</v>
          </cell>
          <cell r="U70">
            <v>0.54945248890625242</v>
          </cell>
          <cell r="V70">
            <v>0.48229839621743414</v>
          </cell>
        </row>
        <row r="71">
          <cell r="A71" t="str">
            <v>Feedstocks, Naphtha less than 401 F</v>
          </cell>
          <cell r="B71">
            <v>0.93800732175211499</v>
          </cell>
          <cell r="C71">
            <v>0.93493939805202364</v>
          </cell>
          <cell r="D71">
            <v>0.94218645706964055</v>
          </cell>
          <cell r="E71">
            <v>0.93065737954992056</v>
          </cell>
          <cell r="F71">
            <v>0.94587989515943505</v>
          </cell>
          <cell r="G71">
            <v>0.9519423860061913</v>
          </cell>
          <cell r="H71">
            <v>0.95257233493750426</v>
          </cell>
          <cell r="I71">
            <v>0.94737324466202255</v>
          </cell>
          <cell r="J71">
            <v>0.96637812600804551</v>
          </cell>
          <cell r="K71">
            <v>0.96919657046225782</v>
          </cell>
          <cell r="L71">
            <v>0.96917462142377231</v>
          </cell>
          <cell r="M71">
            <v>0.99251922511749002</v>
          </cell>
          <cell r="N71">
            <v>0.97062741205230196</v>
          </cell>
          <cell r="O71">
            <v>0.94099888511357344</v>
          </cell>
          <cell r="P71">
            <v>0.92472749148591449</v>
          </cell>
          <cell r="Q71">
            <v>0.97405342464749345</v>
          </cell>
          <cell r="R71">
            <v>0.98319181473804507</v>
          </cell>
          <cell r="S71">
            <v>0.96460983758682273</v>
          </cell>
          <cell r="T71">
            <v>0.97912672553248137</v>
          </cell>
          <cell r="U71">
            <v>0.9564014902777177</v>
          </cell>
          <cell r="V71">
            <v>0.96402561768033712</v>
          </cell>
        </row>
        <row r="72">
          <cell r="A72" t="str">
            <v>Feedstocks, Other Oils greater than 401 F</v>
          </cell>
          <cell r="B72">
            <v>0.87817919067256334</v>
          </cell>
          <cell r="C72">
            <v>0.89832327729843242</v>
          </cell>
          <cell r="D72">
            <v>0.82629261525199638</v>
          </cell>
          <cell r="E72">
            <v>0.79023845945294457</v>
          </cell>
          <cell r="F72">
            <v>0.76548997458065371</v>
          </cell>
          <cell r="G72">
            <v>0.74883154053761369</v>
          </cell>
          <cell r="H72">
            <v>0.71745018979742836</v>
          </cell>
          <cell r="I72">
            <v>0.74500296236710351</v>
          </cell>
          <cell r="J72">
            <v>0.75377866852454622</v>
          </cell>
          <cell r="K72">
            <v>0.78735169185943099</v>
          </cell>
          <cell r="L72">
            <v>0.74053122777234226</v>
          </cell>
          <cell r="M72">
            <v>0.76504020742840495</v>
          </cell>
          <cell r="N72">
            <v>0.69129789999497449</v>
          </cell>
          <cell r="O72">
            <v>0.69259273891260109</v>
          </cell>
          <cell r="P72">
            <v>0.68187153101513542</v>
          </cell>
          <cell r="Q72">
            <v>0.70681931323245384</v>
          </cell>
          <cell r="R72">
            <v>0.72545101823813429</v>
          </cell>
          <cell r="S72">
            <v>0.89923730630043741</v>
          </cell>
          <cell r="T72">
            <v>0.92486448121595244</v>
          </cell>
          <cell r="U72">
            <v>0.92523182848983021</v>
          </cell>
          <cell r="V72">
            <v>0.89439360065754492</v>
          </cell>
        </row>
        <row r="73">
          <cell r="A73" t="str">
            <v>Still Gas</v>
          </cell>
          <cell r="B73">
            <v>1.4460810067811103E-2</v>
          </cell>
          <cell r="C73">
            <v>1.5433902256766959E-2</v>
          </cell>
          <cell r="D73">
            <v>7.8034693426218219E-3</v>
          </cell>
          <cell r="E73">
            <v>1.9883881162642839E-2</v>
          </cell>
          <cell r="F73">
            <v>1.8185199311382644E-2</v>
          </cell>
          <cell r="G73">
            <v>2.8312538272900874E-2</v>
          </cell>
          <cell r="H73">
            <v>0</v>
          </cell>
          <cell r="I73">
            <v>1.4544692011914558E-3</v>
          </cell>
          <cell r="J73">
            <v>0</v>
          </cell>
          <cell r="K73">
            <v>1.1168957359162847E-2</v>
          </cell>
          <cell r="L73">
            <v>8.6941437242351281E-3</v>
          </cell>
          <cell r="M73">
            <v>2.4412522518040231E-2</v>
          </cell>
          <cell r="N73">
            <v>3.9555285667941045E-2</v>
          </cell>
          <cell r="O73">
            <v>3.8414222166677676E-2</v>
          </cell>
          <cell r="P73">
            <v>4.0653656151407425E-2</v>
          </cell>
          <cell r="Q73">
            <v>4.5199868544450489E-2</v>
          </cell>
          <cell r="R73">
            <v>3.6829887250717355E-2</v>
          </cell>
          <cell r="S73">
            <v>2.8961473773558233E-2</v>
          </cell>
          <cell r="T73">
            <v>3.2193429912262837E-2</v>
          </cell>
          <cell r="U73">
            <v>9.2007109190401712E-2</v>
          </cell>
          <cell r="V73">
            <v>0.10040052202871166</v>
          </cell>
        </row>
        <row r="74">
          <cell r="A74" t="str">
            <v>Petroleum Coke</v>
          </cell>
          <cell r="B74">
            <v>3.8020085902772165E-2</v>
          </cell>
          <cell r="C74">
            <v>1.5772922075099574E-2</v>
          </cell>
          <cell r="D74">
            <v>9.9858233076787289E-2</v>
          </cell>
          <cell r="E74">
            <v>3.6922432843493259E-2</v>
          </cell>
          <cell r="F74">
            <v>7.089587723485534E-2</v>
          </cell>
          <cell r="G74">
            <v>5.7663607498383541E-2</v>
          </cell>
          <cell r="H74">
            <v>4.3156475507594737E-2</v>
          </cell>
          <cell r="I74">
            <v>1.8656678534647136E-4</v>
          </cell>
          <cell r="J74">
            <v>6.5223608589617496E-2</v>
          </cell>
          <cell r="K74">
            <v>0.12880682987940384</v>
          </cell>
          <cell r="L74">
            <v>9.3727983172247533E-3</v>
          </cell>
          <cell r="M74">
            <v>0.11243031864659964</v>
          </cell>
          <cell r="N74">
            <v>7.7880001051231162E-2</v>
          </cell>
          <cell r="O74">
            <v>4.9041470113619784E-2</v>
          </cell>
          <cell r="P74">
            <v>0.14533039402086034</v>
          </cell>
          <cell r="Q74">
            <v>0.11830507420989149</v>
          </cell>
          <cell r="R74">
            <v>0.14372435873900896</v>
          </cell>
          <cell r="S74">
            <v>0.13007144829811509</v>
          </cell>
          <cell r="T74">
            <v>0.16981276535676554</v>
          </cell>
          <cell r="U74">
            <v>0.1402977867074762</v>
          </cell>
          <cell r="V74">
            <v>1.5912791612634287E-3</v>
          </cell>
        </row>
        <row r="75">
          <cell r="A75" t="str">
            <v>Special Naphthas</v>
          </cell>
          <cell r="B75">
            <v>0.94173472344272724</v>
          </cell>
          <cell r="C75">
            <v>0.93885126320363788</v>
          </cell>
          <cell r="D75">
            <v>0.94566258205325915</v>
          </cell>
          <cell r="E75">
            <v>0.93482670741253682</v>
          </cell>
          <cell r="F75">
            <v>0.94913394670197693</v>
          </cell>
          <cell r="G75">
            <v>0.95483192129826311</v>
          </cell>
          <cell r="H75">
            <v>0.95542399361611219</v>
          </cell>
          <cell r="I75">
            <v>0.95053750635166656</v>
          </cell>
          <cell r="J75">
            <v>0.96839969102993495</v>
          </cell>
          <cell r="K75">
            <v>0.97104867233268388</v>
          </cell>
          <cell r="L75">
            <v>0.97102804301267942</v>
          </cell>
          <cell r="M75">
            <v>0.99296901779837177</v>
          </cell>
          <cell r="N75">
            <v>0.97239348245074686</v>
          </cell>
          <cell r="O75">
            <v>0.94454641462175648</v>
          </cell>
          <cell r="P75">
            <v>0.92925336266008984</v>
          </cell>
          <cell r="Q75">
            <v>0.97561350095921229</v>
          </cell>
          <cell r="R75">
            <v>0.98420243179690192</v>
          </cell>
          <cell r="S75">
            <v>0.96673772357171972</v>
          </cell>
          <cell r="T75">
            <v>0.9803817621067642</v>
          </cell>
          <cell r="U75">
            <v>0.95902291531435191</v>
          </cell>
          <cell r="V75">
            <v>0.9661886307532821</v>
          </cell>
        </row>
        <row r="76">
          <cell r="A76" t="str">
            <v>Distillate Fuel</v>
          </cell>
          <cell r="B76">
            <v>6.3718418165765282E-3</v>
          </cell>
          <cell r="C76">
            <v>6.6956219568408398E-3</v>
          </cell>
          <cell r="D76">
            <v>6.8400884350325666E-3</v>
          </cell>
          <cell r="E76">
            <v>7.1046361923168388E-3</v>
          </cell>
          <cell r="F76">
            <v>6.9654445775609074E-3</v>
          </cell>
          <cell r="G76">
            <v>7.0215986084613234E-3</v>
          </cell>
          <cell r="H76">
            <v>6.4817945826651392E-3</v>
          </cell>
          <cell r="I76">
            <v>6.4319574413366949E-3</v>
          </cell>
          <cell r="J76">
            <v>1.1207009336528507E-2</v>
          </cell>
          <cell r="K76">
            <v>1.1707980935934304E-2</v>
          </cell>
          <cell r="L76">
            <v>1.1473314790068323E-2</v>
          </cell>
          <cell r="M76">
            <v>9.7619925619725854E-3</v>
          </cell>
          <cell r="N76">
            <v>1.0989831475497218E-2</v>
          </cell>
          <cell r="O76">
            <v>1.0916825996017111E-2</v>
          </cell>
          <cell r="P76">
            <v>1.0119817827010951E-2</v>
          </cell>
          <cell r="Q76">
            <v>1.0214209812904711E-2</v>
          </cell>
          <cell r="R76">
            <v>1.4360998932851888E-2</v>
          </cell>
          <cell r="S76">
            <v>1.4526185427413015E-2</v>
          </cell>
          <cell r="T76">
            <v>1.4378166829962773E-2</v>
          </cell>
          <cell r="U76">
            <v>1.6138016648356644E-2</v>
          </cell>
          <cell r="V76">
            <v>1.4891559818251188E-2</v>
          </cell>
        </row>
        <row r="77">
          <cell r="A77" t="str">
            <v>Residual Fuel</v>
          </cell>
          <cell r="B77">
            <v>0</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row>
        <row r="78">
          <cell r="A78" t="str">
            <v>Waxes</v>
          </cell>
          <cell r="B78">
            <v>1</v>
          </cell>
          <cell r="C78">
            <v>1</v>
          </cell>
          <cell r="D78">
            <v>1</v>
          </cell>
          <cell r="E78">
            <v>1</v>
          </cell>
          <cell r="F78">
            <v>1</v>
          </cell>
          <cell r="G78">
            <v>1</v>
          </cell>
          <cell r="H78">
            <v>1</v>
          </cell>
          <cell r="I78">
            <v>1</v>
          </cell>
          <cell r="J78">
            <v>1</v>
          </cell>
          <cell r="K78">
            <v>1</v>
          </cell>
          <cell r="L78">
            <v>1</v>
          </cell>
          <cell r="M78">
            <v>1</v>
          </cell>
          <cell r="N78">
            <v>1</v>
          </cell>
          <cell r="O78">
            <v>1</v>
          </cell>
          <cell r="P78">
            <v>1</v>
          </cell>
          <cell r="Q78">
            <v>1</v>
          </cell>
          <cell r="R78">
            <v>1</v>
          </cell>
          <cell r="S78">
            <v>1</v>
          </cell>
          <cell r="T78">
            <v>1</v>
          </cell>
          <cell r="U78">
            <v>1</v>
          </cell>
          <cell r="V78">
            <v>1</v>
          </cell>
        </row>
        <row r="79">
          <cell r="A79" t="str">
            <v>Misc. Petro Products</v>
          </cell>
          <cell r="B79">
            <v>1</v>
          </cell>
          <cell r="C79">
            <v>1</v>
          </cell>
          <cell r="D79">
            <v>1</v>
          </cell>
          <cell r="E79">
            <v>1</v>
          </cell>
          <cell r="F79">
            <v>1</v>
          </cell>
          <cell r="G79">
            <v>1</v>
          </cell>
          <cell r="H79">
            <v>1</v>
          </cell>
          <cell r="I79">
            <v>1</v>
          </cell>
          <cell r="J79">
            <v>1</v>
          </cell>
          <cell r="K79">
            <v>1</v>
          </cell>
          <cell r="L79">
            <v>1</v>
          </cell>
          <cell r="M79">
            <v>1</v>
          </cell>
          <cell r="N79">
            <v>1</v>
          </cell>
          <cell r="O79">
            <v>1</v>
          </cell>
          <cell r="P79">
            <v>1</v>
          </cell>
          <cell r="Q79">
            <v>1</v>
          </cell>
          <cell r="R79">
            <v>1</v>
          </cell>
          <cell r="S79">
            <v>1</v>
          </cell>
          <cell r="T79">
            <v>1</v>
          </cell>
          <cell r="U79">
            <v>1</v>
          </cell>
          <cell r="V79">
            <v>1</v>
          </cell>
        </row>
        <row r="80">
          <cell r="A80" t="str">
            <v>Other Coal</v>
          </cell>
          <cell r="B80">
            <v>4.982292725225242E-3</v>
          </cell>
          <cell r="C80">
            <v>5.2717916963045848E-3</v>
          </cell>
          <cell r="D80">
            <v>6.1001266988702568E-3</v>
          </cell>
          <cell r="E80">
            <v>6.2526098796064104E-3</v>
          </cell>
          <cell r="F80">
            <v>6.8008296910005515E-3</v>
          </cell>
          <cell r="G80">
            <v>7.3428488318609915E-3</v>
          </cell>
          <cell r="H80">
            <v>7.800006887885738E-3</v>
          </cell>
          <cell r="I80">
            <v>7.5964275894458378E-3</v>
          </cell>
          <cell r="J80">
            <v>7.0400433856277738E-3</v>
          </cell>
          <cell r="K80">
            <v>8.0215540808911152E-3</v>
          </cell>
          <cell r="L80">
            <v>9.0991208621943234E-3</v>
          </cell>
          <cell r="M80">
            <v>8.246099290488057E-3</v>
          </cell>
          <cell r="N80">
            <v>9.5913984514642472E-3</v>
          </cell>
          <cell r="O80">
            <v>9.4444334436061678E-3</v>
          </cell>
          <cell r="P80">
            <v>9.346274254511568E-3</v>
          </cell>
          <cell r="Q80">
            <v>9.671780325519486E-3</v>
          </cell>
          <cell r="R80">
            <v>9.9165073163107065E-3</v>
          </cell>
          <cell r="S80">
            <v>1.041948363806813E-2</v>
          </cell>
          <cell r="T80">
            <v>1.0865965176989078E-2</v>
          </cell>
          <cell r="U80">
            <v>1.3342891944305954E-2</v>
          </cell>
          <cell r="V80">
            <v>1.0068939588109451E-2</v>
          </cell>
        </row>
        <row r="81">
          <cell r="A81" t="str">
            <v>Aviation Gasoline Blending Components</v>
          </cell>
          <cell r="B81">
            <v>0</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row>
        <row r="82">
          <cell r="A82" t="str">
            <v>Crude Oil</v>
          </cell>
          <cell r="B82">
            <v>0</v>
          </cell>
          <cell r="C82">
            <v>0</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row>
        <row r="83">
          <cell r="A83" t="str">
            <v>Kerosene</v>
          </cell>
          <cell r="B83">
            <v>0</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row>
        <row r="84">
          <cell r="A84" t="str">
            <v>Motor Gasoline</v>
          </cell>
          <cell r="B84">
            <v>0</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row>
        <row r="85">
          <cell r="A85" t="str">
            <v>Motor Gasoline Blending Components</v>
          </cell>
          <cell r="B85">
            <v>0</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row>
        <row r="86">
          <cell r="A86" t="str">
            <v>Unfinished Oils</v>
          </cell>
          <cell r="B86">
            <v>0</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row>
        <row r="87">
          <cell r="A87" t="str">
            <v>Transportation</v>
          </cell>
          <cell r="B87">
            <v>1990</v>
          </cell>
          <cell r="C87">
            <v>1991</v>
          </cell>
          <cell r="D87">
            <v>1992</v>
          </cell>
          <cell r="E87">
            <v>1993</v>
          </cell>
          <cell r="F87">
            <v>1994</v>
          </cell>
          <cell r="G87">
            <v>1995</v>
          </cell>
          <cell r="H87">
            <v>1996</v>
          </cell>
          <cell r="I87">
            <v>1997</v>
          </cell>
          <cell r="J87">
            <v>1998</v>
          </cell>
          <cell r="K87">
            <v>1999</v>
          </cell>
          <cell r="L87">
            <v>2000</v>
          </cell>
          <cell r="M87">
            <v>2001</v>
          </cell>
          <cell r="N87">
            <v>2002</v>
          </cell>
          <cell r="O87">
            <v>2003</v>
          </cell>
          <cell r="P87">
            <v>2004</v>
          </cell>
          <cell r="Q87">
            <v>2005</v>
          </cell>
          <cell r="R87">
            <v>2006</v>
          </cell>
          <cell r="S87">
            <v>2007</v>
          </cell>
          <cell r="T87">
            <v>2008</v>
          </cell>
          <cell r="U87">
            <v>2009</v>
          </cell>
          <cell r="V87">
            <v>2010</v>
          </cell>
          <cell r="W87">
            <v>2011</v>
          </cell>
          <cell r="X87">
            <v>2012</v>
          </cell>
          <cell r="Y87">
            <v>2013</v>
          </cell>
          <cell r="Z87">
            <v>2014</v>
          </cell>
          <cell r="AA87">
            <v>2015</v>
          </cell>
          <cell r="AB87">
            <v>2016</v>
          </cell>
          <cell r="AC87">
            <v>2017</v>
          </cell>
          <cell r="AD87">
            <v>2018</v>
          </cell>
          <cell r="AE87">
            <v>2019</v>
          </cell>
          <cell r="AF87">
            <v>2020</v>
          </cell>
        </row>
        <row r="88">
          <cell r="A88" t="str">
            <v>Lubricants</v>
          </cell>
          <cell r="B88">
            <v>1</v>
          </cell>
          <cell r="C88">
            <v>1</v>
          </cell>
          <cell r="D88">
            <v>1</v>
          </cell>
          <cell r="E88">
            <v>1</v>
          </cell>
          <cell r="F88">
            <v>1</v>
          </cell>
          <cell r="G88">
            <v>1</v>
          </cell>
          <cell r="H88">
            <v>1</v>
          </cell>
          <cell r="I88">
            <v>1</v>
          </cell>
          <cell r="J88">
            <v>1</v>
          </cell>
          <cell r="K88">
            <v>1</v>
          </cell>
          <cell r="L88">
            <v>1</v>
          </cell>
          <cell r="M88">
            <v>1</v>
          </cell>
          <cell r="N88">
            <v>1</v>
          </cell>
          <cell r="O88">
            <v>1</v>
          </cell>
          <cell r="P88">
            <v>1</v>
          </cell>
          <cell r="Q88">
            <v>1</v>
          </cell>
          <cell r="R88">
            <v>1</v>
          </cell>
          <cell r="S88">
            <v>1</v>
          </cell>
          <cell r="T88">
            <v>1</v>
          </cell>
          <cell r="U88">
            <v>1</v>
          </cell>
          <cell r="V88">
            <v>1</v>
          </cell>
        </row>
      </sheetData>
      <sheetData sheetId="15"/>
      <sheetData sheetId="16"/>
      <sheetData sheetId="17"/>
      <sheetData sheetId="18"/>
      <sheetData sheetId="19"/>
      <sheetData sheetId="20"/>
      <sheetData sheetId="21"/>
    </sheetDataSet>
  </externalBook>
</externalLink>
</file>

<file path=xl/externalLinks/externalLink12.xml><?xml version="1.0" encoding="utf-8"?>
<externalLink xmlns="http://schemas.openxmlformats.org/spreadsheetml/2006/main">
  <externalBook xmlns:r="http://schemas.openxmlformats.org/officeDocument/2006/relationships" r:id="rId1">
    <sheetNames>
      <sheetName val="Control"/>
      <sheetName val="Cement"/>
      <sheetName val="Lime"/>
      <sheetName val="Limestone"/>
      <sheetName val="Soda Ash"/>
      <sheetName val="Iron &amp; Steel"/>
      <sheetName val="Ammonia &amp; Urea"/>
      <sheetName val="Nitric"/>
      <sheetName val="Adipic"/>
      <sheetName val="Aluminum"/>
      <sheetName val="HCFC-22"/>
      <sheetName val="ODS"/>
      <sheetName val="Semiconductor"/>
      <sheetName val="Electric Power"/>
      <sheetName val="Magnesium"/>
      <sheetName val="Summary, MTCE"/>
      <sheetName val="Summary, MTCO2E"/>
      <sheetName val="Tracker"/>
      <sheetName val="Uncertainty"/>
      <sheetName val="Data Sources"/>
      <sheetName val="Data"/>
      <sheetName val="EF"/>
      <sheetName val="ODS subs method"/>
      <sheetName val="List Data"/>
      <sheetName val="Lime Proportion Data"/>
      <sheetName val="Soda Ash Method"/>
      <sheetName val="Industrial Limestone Ratios"/>
      <sheetName val="semiconductors method"/>
      <sheetName val="Electric Power method"/>
      <sheetName val="Iron &amp; Steel Data"/>
      <sheetName val="Ammonia Defaults"/>
      <sheetName val="state population"/>
      <sheetName val="Notes"/>
    </sheetNames>
    <sheetDataSet>
      <sheetData sheetId="0">
        <row r="13">
          <cell r="D13">
            <v>0.50700000000000001</v>
          </cell>
        </row>
        <row r="14">
          <cell r="D14">
            <v>0.02</v>
          </cell>
        </row>
        <row r="15">
          <cell r="D15">
            <v>2.24E-2</v>
          </cell>
        </row>
        <row r="17">
          <cell r="D17">
            <v>0.75</v>
          </cell>
        </row>
        <row r="18">
          <cell r="D18">
            <v>0.87</v>
          </cell>
        </row>
        <row r="20">
          <cell r="D20">
            <v>0.44</v>
          </cell>
        </row>
        <row r="21">
          <cell r="D21">
            <v>0.48400000000000004</v>
          </cell>
        </row>
        <row r="22">
          <cell r="D22">
            <v>1.7966666666666669</v>
          </cell>
        </row>
        <row r="24">
          <cell r="D24">
            <v>9.74E-2</v>
          </cell>
        </row>
        <row r="25">
          <cell r="D25">
            <v>0.41499999999999998</v>
          </cell>
        </row>
        <row r="32">
          <cell r="D32">
            <v>1.2</v>
          </cell>
        </row>
        <row r="36">
          <cell r="D36">
            <v>8.0000000000000002E-3</v>
          </cell>
        </row>
        <row r="37">
          <cell r="D37">
            <v>0.3</v>
          </cell>
        </row>
        <row r="40">
          <cell r="D40" t="str">
            <v>Variable by year</v>
          </cell>
        </row>
        <row r="41">
          <cell r="D41">
            <v>0.02</v>
          </cell>
        </row>
        <row r="44">
          <cell r="D44">
            <v>1</v>
          </cell>
        </row>
        <row r="46">
          <cell r="D46" t="str">
            <v>Variable by year</v>
          </cell>
        </row>
        <row r="48">
          <cell r="D48" t="str">
            <v>Variable by year</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13.xml><?xml version="1.0" encoding="utf-8"?>
<externalLink xmlns="http://schemas.openxmlformats.org/spreadsheetml/2006/main">
  <externalBook xmlns:r="http://schemas.openxmlformats.org/officeDocument/2006/relationships" r:id="rId1">
    <sheetNames>
      <sheetName val="Waste Mgmt. Emissions"/>
      <sheetName val="REFUSE IN PLACE"/>
      <sheetName val="CONTROLLED LANDFILLS"/>
    </sheetNames>
    <sheetDataSet>
      <sheetData sheetId="0"/>
      <sheetData sheetId="1"/>
      <sheetData sheetId="2"/>
    </sheetDataSet>
  </externalBook>
</externalLink>
</file>

<file path=xl/externalLinks/externalLink14.xml><?xml version="1.0" encoding="utf-8"?>
<externalLink xmlns="http://schemas.openxmlformats.org/spreadsheetml/2006/main">
  <externalBook xmlns:r="http://schemas.openxmlformats.org/officeDocument/2006/relationships" r:id="rId1">
    <sheetNames>
      <sheetName val="Control"/>
      <sheetName val="Municipal WW, CH4"/>
      <sheetName val="Municipal WW, N2O, direct"/>
      <sheetName val="Municipal WW, N2O, effluent"/>
      <sheetName val="Ind WW Fruit"/>
      <sheetName val="Ind WW Meat"/>
      <sheetName val="Ind WW Poultry"/>
      <sheetName val="Ind WW P&amp;P"/>
      <sheetName val="Summary"/>
      <sheetName val="Tracker"/>
      <sheetName val="Uncertainty"/>
      <sheetName val="Population"/>
      <sheetName val="Vegetable Data"/>
      <sheetName val="Red Meat Data"/>
      <sheetName val="Data Sources"/>
      <sheetName val="Lookups"/>
      <sheetName val="Not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7">
          <cell r="B7" t="str">
            <v>AL</v>
          </cell>
          <cell r="C7">
            <v>94757.040000000008</v>
          </cell>
          <cell r="D7">
            <v>86864.400000000009</v>
          </cell>
          <cell r="E7">
            <v>17917.2</v>
          </cell>
          <cell r="F7">
            <v>18325.440000000002</v>
          </cell>
          <cell r="G7">
            <v>18234.72</v>
          </cell>
          <cell r="H7">
            <v>51846.48</v>
          </cell>
          <cell r="I7">
            <v>62596.80000000001</v>
          </cell>
          <cell r="J7">
            <v>60419.519999999997</v>
          </cell>
          <cell r="K7">
            <v>69718.320000000007</v>
          </cell>
          <cell r="L7">
            <v>42366.240000000005</v>
          </cell>
          <cell r="M7">
            <v>19141.920000000002</v>
          </cell>
          <cell r="N7">
            <v>20684.160000000003</v>
          </cell>
          <cell r="O7">
            <v>22634.639999999999</v>
          </cell>
          <cell r="P7">
            <v>18370.800000000003</v>
          </cell>
          <cell r="Q7">
            <v>15286.320000000003</v>
          </cell>
          <cell r="R7">
            <v>14061.6</v>
          </cell>
          <cell r="S7">
            <v>13880.160000000002</v>
          </cell>
          <cell r="T7">
            <v>12519.360000000002</v>
          </cell>
          <cell r="U7">
            <v>0</v>
          </cell>
        </row>
        <row r="8">
          <cell r="B8" t="str">
            <v>AK</v>
          </cell>
          <cell r="C8">
            <v>0</v>
          </cell>
          <cell r="D8">
            <v>0</v>
          </cell>
          <cell r="E8">
            <v>0</v>
          </cell>
          <cell r="F8">
            <v>0</v>
          </cell>
          <cell r="G8">
            <v>0</v>
          </cell>
          <cell r="H8">
            <v>0</v>
          </cell>
          <cell r="I8">
            <v>0</v>
          </cell>
          <cell r="J8">
            <v>0</v>
          </cell>
          <cell r="K8">
            <v>0</v>
          </cell>
          <cell r="L8">
            <v>181.44000000000003</v>
          </cell>
          <cell r="M8">
            <v>272.16000000000003</v>
          </cell>
          <cell r="N8">
            <v>226.8</v>
          </cell>
          <cell r="O8">
            <v>272.16000000000003</v>
          </cell>
          <cell r="P8">
            <v>226.8</v>
          </cell>
          <cell r="Q8">
            <v>226.8</v>
          </cell>
          <cell r="R8">
            <v>317.52</v>
          </cell>
          <cell r="S8">
            <v>317.52</v>
          </cell>
          <cell r="T8">
            <v>226.8</v>
          </cell>
          <cell r="U8">
            <v>0</v>
          </cell>
        </row>
        <row r="9">
          <cell r="B9" t="str">
            <v>AZ</v>
          </cell>
          <cell r="C9">
            <v>102649.68000000001</v>
          </cell>
          <cell r="D9">
            <v>108274.32</v>
          </cell>
          <cell r="E9">
            <v>108546.48000000001</v>
          </cell>
          <cell r="F9">
            <v>112855.68000000001</v>
          </cell>
          <cell r="G9">
            <v>123197.76000000002</v>
          </cell>
          <cell r="H9">
            <v>141750.00000000003</v>
          </cell>
          <cell r="I9">
            <v>152364.24000000002</v>
          </cell>
          <cell r="J9">
            <v>145923.12000000002</v>
          </cell>
          <cell r="K9">
            <v>149189.04</v>
          </cell>
          <cell r="L9">
            <v>162660.96000000002</v>
          </cell>
          <cell r="M9">
            <v>177040.08000000002</v>
          </cell>
          <cell r="N9">
            <v>189287.28000000003</v>
          </cell>
          <cell r="O9">
            <v>203666.40000000002</v>
          </cell>
          <cell r="P9">
            <v>192643.92</v>
          </cell>
          <cell r="Q9">
            <v>160529.04</v>
          </cell>
          <cell r="R9">
            <v>163522.80000000002</v>
          </cell>
          <cell r="S9">
            <v>175316.40000000002</v>
          </cell>
          <cell r="T9">
            <v>184116.24000000002</v>
          </cell>
          <cell r="U9">
            <v>0</v>
          </cell>
        </row>
        <row r="10">
          <cell r="B10" t="str">
            <v>AR</v>
          </cell>
          <cell r="C10">
            <v>30391.200000000004</v>
          </cell>
          <cell r="D10">
            <v>32976.720000000001</v>
          </cell>
          <cell r="E10">
            <v>32568.480000000003</v>
          </cell>
          <cell r="F10">
            <v>29892.240000000005</v>
          </cell>
          <cell r="G10">
            <v>31389.120000000006</v>
          </cell>
          <cell r="H10">
            <v>35471.520000000004</v>
          </cell>
          <cell r="I10">
            <v>34972.559999999998</v>
          </cell>
          <cell r="J10">
            <v>31842.720000000005</v>
          </cell>
          <cell r="K10">
            <v>31026.240000000005</v>
          </cell>
          <cell r="L10">
            <v>31661.279999999999</v>
          </cell>
          <cell r="M10">
            <v>25310.880000000001</v>
          </cell>
          <cell r="N10">
            <v>26898.480000000003</v>
          </cell>
          <cell r="O10">
            <v>30300.48</v>
          </cell>
          <cell r="P10">
            <v>29756.16</v>
          </cell>
          <cell r="Q10">
            <v>27397.440000000002</v>
          </cell>
          <cell r="R10">
            <v>25764.48</v>
          </cell>
          <cell r="S10">
            <v>24630.48</v>
          </cell>
          <cell r="T10">
            <v>26399.520000000004</v>
          </cell>
          <cell r="U10">
            <v>0</v>
          </cell>
        </row>
        <row r="11">
          <cell r="B11" t="str">
            <v>CA</v>
          </cell>
          <cell r="C11">
            <v>509846.4</v>
          </cell>
          <cell r="D11">
            <v>485215.9200000001</v>
          </cell>
          <cell r="E11">
            <v>430375.68000000005</v>
          </cell>
          <cell r="F11">
            <v>413274.96</v>
          </cell>
          <cell r="G11">
            <v>434412.72000000003</v>
          </cell>
          <cell r="H11">
            <v>473104.80000000005</v>
          </cell>
          <cell r="I11">
            <v>477187.2</v>
          </cell>
          <cell r="J11">
            <v>470020.32000000007</v>
          </cell>
          <cell r="K11">
            <v>473195.52000000002</v>
          </cell>
          <cell r="L11">
            <v>480952.08</v>
          </cell>
          <cell r="M11">
            <v>487302.48000000004</v>
          </cell>
          <cell r="N11">
            <v>513429.84000000014</v>
          </cell>
          <cell r="O11">
            <v>613720.80000000005</v>
          </cell>
          <cell r="P11">
            <v>647650.08000000007</v>
          </cell>
          <cell r="Q11">
            <v>648149.04</v>
          </cell>
          <cell r="R11">
            <v>666383.76</v>
          </cell>
          <cell r="S11">
            <v>729207.36</v>
          </cell>
          <cell r="T11">
            <v>758600.64000000013</v>
          </cell>
          <cell r="U11">
            <v>0</v>
          </cell>
        </row>
        <row r="12">
          <cell r="B12" t="str">
            <v>CO</v>
          </cell>
          <cell r="C12">
            <v>720997.2</v>
          </cell>
          <cell r="D12">
            <v>795523.68</v>
          </cell>
          <cell r="E12">
            <v>878577.8400000002</v>
          </cell>
          <cell r="F12">
            <v>861522.4800000001</v>
          </cell>
          <cell r="G12">
            <v>885744.72000000009</v>
          </cell>
          <cell r="H12">
            <v>917269.92</v>
          </cell>
          <cell r="I12">
            <v>921034.8</v>
          </cell>
          <cell r="J12">
            <v>919311.12000000011</v>
          </cell>
          <cell r="K12">
            <v>887014.8</v>
          </cell>
          <cell r="L12">
            <v>969751.44000000018</v>
          </cell>
          <cell r="M12">
            <v>975421.44000000006</v>
          </cell>
          <cell r="N12">
            <v>969887.52</v>
          </cell>
          <cell r="O12">
            <v>991070.64000000013</v>
          </cell>
          <cell r="P12">
            <v>898989.8400000002</v>
          </cell>
          <cell r="Q12">
            <v>894998.16</v>
          </cell>
          <cell r="R12">
            <v>798971.04</v>
          </cell>
          <cell r="S12">
            <v>829452.96</v>
          </cell>
          <cell r="T12">
            <v>856079.28</v>
          </cell>
          <cell r="U12">
            <v>0</v>
          </cell>
        </row>
        <row r="13">
          <cell r="B13" t="str">
            <v>DE</v>
          </cell>
          <cell r="C13">
            <v>17214.120000000003</v>
          </cell>
          <cell r="D13">
            <v>17599.68</v>
          </cell>
          <cell r="E13">
            <v>18779.04</v>
          </cell>
          <cell r="F13">
            <v>18166.68</v>
          </cell>
          <cell r="G13">
            <v>17667.72</v>
          </cell>
          <cell r="H13">
            <v>17010</v>
          </cell>
          <cell r="I13">
            <v>17282.16</v>
          </cell>
          <cell r="J13">
            <v>16080.120000000003</v>
          </cell>
          <cell r="K13">
            <v>17327.520000000004</v>
          </cell>
          <cell r="L13">
            <v>15785.279999999999</v>
          </cell>
          <cell r="M13">
            <v>9911.1600000000017</v>
          </cell>
          <cell r="N13">
            <v>7643.1600000000017</v>
          </cell>
          <cell r="O13">
            <v>8006.0400000000009</v>
          </cell>
          <cell r="P13">
            <v>7393.68</v>
          </cell>
          <cell r="Q13">
            <v>7507.0800000000008</v>
          </cell>
          <cell r="R13">
            <v>8573.0400000000009</v>
          </cell>
          <cell r="S13">
            <v>8935.92</v>
          </cell>
          <cell r="T13">
            <v>8595.7200000000012</v>
          </cell>
          <cell r="U13">
            <v>0</v>
          </cell>
        </row>
        <row r="14">
          <cell r="B14" t="str">
            <v>MD</v>
          </cell>
          <cell r="C14">
            <v>17214.120000000003</v>
          </cell>
          <cell r="D14">
            <v>17599.68</v>
          </cell>
          <cell r="E14">
            <v>18779.04</v>
          </cell>
          <cell r="F14">
            <v>18166.68</v>
          </cell>
          <cell r="G14">
            <v>17667.72</v>
          </cell>
          <cell r="H14">
            <v>17010</v>
          </cell>
          <cell r="I14">
            <v>17282.16</v>
          </cell>
          <cell r="J14">
            <v>16080.120000000003</v>
          </cell>
          <cell r="K14">
            <v>17327.520000000004</v>
          </cell>
          <cell r="L14">
            <v>15785.279999999999</v>
          </cell>
          <cell r="M14">
            <v>9911.1600000000017</v>
          </cell>
          <cell r="N14">
            <v>7643.1600000000017</v>
          </cell>
          <cell r="O14">
            <v>8006.0400000000009</v>
          </cell>
          <cell r="P14">
            <v>7393.68</v>
          </cell>
          <cell r="Q14">
            <v>7507.0800000000008</v>
          </cell>
          <cell r="R14">
            <v>8573.0400000000009</v>
          </cell>
          <cell r="S14">
            <v>8935.92</v>
          </cell>
          <cell r="T14">
            <v>8595.7200000000012</v>
          </cell>
          <cell r="U14">
            <v>0</v>
          </cell>
        </row>
        <row r="15">
          <cell r="B15" t="str">
            <v>FL</v>
          </cell>
          <cell r="C15">
            <v>44543.520000000004</v>
          </cell>
          <cell r="D15">
            <v>22543.920000000002</v>
          </cell>
          <cell r="E15">
            <v>18234.72</v>
          </cell>
          <cell r="F15">
            <v>18416.16</v>
          </cell>
          <cell r="G15">
            <v>19459.440000000002</v>
          </cell>
          <cell r="H15">
            <v>20412.000000000004</v>
          </cell>
          <cell r="I15">
            <v>22453.200000000004</v>
          </cell>
          <cell r="J15">
            <v>21092.400000000001</v>
          </cell>
          <cell r="K15">
            <v>20230.560000000001</v>
          </cell>
          <cell r="L15">
            <v>21273.840000000004</v>
          </cell>
          <cell r="M15">
            <v>25356.240000000002</v>
          </cell>
          <cell r="N15">
            <v>28622.160000000003</v>
          </cell>
          <cell r="O15">
            <v>31162.320000000003</v>
          </cell>
          <cell r="P15">
            <v>30209.759999999998</v>
          </cell>
          <cell r="Q15">
            <v>24993.360000000004</v>
          </cell>
          <cell r="R15">
            <v>24494.400000000001</v>
          </cell>
          <cell r="S15">
            <v>30255.120000000003</v>
          </cell>
          <cell r="T15">
            <v>39327.12000000001</v>
          </cell>
          <cell r="U15">
            <v>0</v>
          </cell>
        </row>
        <row r="16">
          <cell r="B16" t="str">
            <v>GA</v>
          </cell>
          <cell r="C16">
            <v>179716.32</v>
          </cell>
          <cell r="D16">
            <v>194957.28</v>
          </cell>
          <cell r="E16">
            <v>202305.60000000003</v>
          </cell>
          <cell r="F16">
            <v>194186.16000000003</v>
          </cell>
          <cell r="G16">
            <v>205480.80000000002</v>
          </cell>
          <cell r="H16">
            <v>207295.2</v>
          </cell>
          <cell r="I16">
            <v>158034.23999999999</v>
          </cell>
          <cell r="J16">
            <v>133766.63999999998</v>
          </cell>
          <cell r="K16">
            <v>127416.24000000002</v>
          </cell>
          <cell r="L16">
            <v>137077.92000000001</v>
          </cell>
          <cell r="M16">
            <v>148780.80000000002</v>
          </cell>
          <cell r="N16">
            <v>148327.20000000001</v>
          </cell>
          <cell r="O16">
            <v>116393.76000000002</v>
          </cell>
          <cell r="P16">
            <v>112447.44</v>
          </cell>
          <cell r="Q16">
            <v>72258.48000000001</v>
          </cell>
          <cell r="R16">
            <v>61372.080000000009</v>
          </cell>
          <cell r="S16">
            <v>67087.440000000017</v>
          </cell>
          <cell r="T16">
            <v>74118.240000000005</v>
          </cell>
          <cell r="U16">
            <v>0</v>
          </cell>
        </row>
        <row r="17">
          <cell r="B17" t="str">
            <v>HI</v>
          </cell>
          <cell r="C17">
            <v>17554.320000000003</v>
          </cell>
          <cell r="D17">
            <v>15603.84</v>
          </cell>
          <cell r="E17">
            <v>13154.400000000001</v>
          </cell>
          <cell r="F17">
            <v>7892.6399999999994</v>
          </cell>
          <cell r="G17">
            <v>7212.2400000000007</v>
          </cell>
          <cell r="H17">
            <v>6577.2000000000007</v>
          </cell>
          <cell r="I17">
            <v>7076.1600000000008</v>
          </cell>
          <cell r="J17">
            <v>7529.760000000002</v>
          </cell>
          <cell r="K17">
            <v>6940.0800000000008</v>
          </cell>
          <cell r="L17">
            <v>6577.2000000000007</v>
          </cell>
          <cell r="M17">
            <v>6486.4800000000014</v>
          </cell>
          <cell r="N17">
            <v>5579.2800000000007</v>
          </cell>
          <cell r="O17">
            <v>5307.12</v>
          </cell>
          <cell r="P17">
            <v>4853.5200000000004</v>
          </cell>
          <cell r="Q17">
            <v>4762.8</v>
          </cell>
          <cell r="R17">
            <v>4173.12</v>
          </cell>
          <cell r="S17">
            <v>4581.3600000000006</v>
          </cell>
          <cell r="T17">
            <v>4536</v>
          </cell>
          <cell r="U17">
            <v>0</v>
          </cell>
        </row>
        <row r="18">
          <cell r="B18" t="str">
            <v>ID</v>
          </cell>
          <cell r="C18">
            <v>210198.24000000002</v>
          </cell>
          <cell r="D18">
            <v>200491.2</v>
          </cell>
          <cell r="E18">
            <v>215822.88000000003</v>
          </cell>
          <cell r="F18">
            <v>207385.92</v>
          </cell>
          <cell r="G18">
            <v>227162.88</v>
          </cell>
          <cell r="H18">
            <v>236325.60000000003</v>
          </cell>
          <cell r="I18">
            <v>247983.12000000002</v>
          </cell>
          <cell r="J18">
            <v>246531.6</v>
          </cell>
          <cell r="K18">
            <v>248436.72000000003</v>
          </cell>
          <cell r="L18">
            <v>263768.40000000002</v>
          </cell>
          <cell r="M18">
            <v>266716.80000000005</v>
          </cell>
          <cell r="N18">
            <v>291392.64000000001</v>
          </cell>
          <cell r="O18">
            <v>283726.8</v>
          </cell>
          <cell r="P18">
            <v>259822.08000000002</v>
          </cell>
          <cell r="Q18">
            <v>203666.40000000002</v>
          </cell>
          <cell r="R18">
            <v>141840.72</v>
          </cell>
          <cell r="S18">
            <v>102241.44000000002</v>
          </cell>
          <cell r="T18">
            <v>81194.399999999994</v>
          </cell>
          <cell r="U18">
            <v>0</v>
          </cell>
        </row>
        <row r="19">
          <cell r="B19" t="str">
            <v>IL</v>
          </cell>
          <cell r="C19">
            <v>1121027.0400000003</v>
          </cell>
          <cell r="D19">
            <v>1072128.9600000002</v>
          </cell>
          <cell r="E19">
            <v>1082198.8800000001</v>
          </cell>
          <cell r="F19">
            <v>1023140.16</v>
          </cell>
          <cell r="G19">
            <v>1168201.44</v>
          </cell>
          <cell r="H19">
            <v>1183124.8800000004</v>
          </cell>
          <cell r="I19">
            <v>1102384.0800000003</v>
          </cell>
          <cell r="J19">
            <v>1085782.32</v>
          </cell>
          <cell r="K19">
            <v>1166069.52</v>
          </cell>
          <cell r="L19">
            <v>1182126.96</v>
          </cell>
          <cell r="M19">
            <v>1216192.32</v>
          </cell>
          <cell r="N19">
            <v>1201450.32</v>
          </cell>
          <cell r="O19">
            <v>1190926.8000000003</v>
          </cell>
          <cell r="P19">
            <v>1131686.6400000001</v>
          </cell>
          <cell r="Q19">
            <v>1200769.92</v>
          </cell>
          <cell r="R19">
            <v>1213788.2400000002</v>
          </cell>
          <cell r="S19">
            <v>1241684.6400000001</v>
          </cell>
          <cell r="T19">
            <v>1297976.4000000001</v>
          </cell>
          <cell r="U19">
            <v>0</v>
          </cell>
        </row>
        <row r="20">
          <cell r="B20" t="str">
            <v>IN</v>
          </cell>
          <cell r="C20">
            <v>327680.64000000001</v>
          </cell>
          <cell r="D20">
            <v>330084.72000000003</v>
          </cell>
          <cell r="E20">
            <v>405563.76000000007</v>
          </cell>
          <cell r="F20">
            <v>367642.80000000005</v>
          </cell>
          <cell r="G20">
            <v>333758.88</v>
          </cell>
          <cell r="H20">
            <v>321919.92000000004</v>
          </cell>
          <cell r="I20">
            <v>370591.2</v>
          </cell>
          <cell r="J20">
            <v>440490.96</v>
          </cell>
          <cell r="K20">
            <v>557519.76</v>
          </cell>
          <cell r="L20">
            <v>552666.24000000011</v>
          </cell>
          <cell r="M20">
            <v>574302.96000000008</v>
          </cell>
          <cell r="N20">
            <v>597527.28</v>
          </cell>
          <cell r="O20">
            <v>627419.52000000014</v>
          </cell>
          <cell r="P20">
            <v>644248.07999999996</v>
          </cell>
          <cell r="Q20">
            <v>652322.16</v>
          </cell>
          <cell r="R20">
            <v>651777.84000000008</v>
          </cell>
          <cell r="S20">
            <v>680626.8</v>
          </cell>
          <cell r="T20">
            <v>709566.48</v>
          </cell>
          <cell r="U20">
            <v>0</v>
          </cell>
        </row>
        <row r="21">
          <cell r="B21" t="str">
            <v>IA</v>
          </cell>
          <cell r="C21">
            <v>2790093.6</v>
          </cell>
          <cell r="D21">
            <v>2908800.72</v>
          </cell>
          <cell r="E21">
            <v>3059441.2800000003</v>
          </cell>
          <cell r="F21">
            <v>3013400.8800000004</v>
          </cell>
          <cell r="G21">
            <v>3244328.64</v>
          </cell>
          <cell r="H21">
            <v>3151295.2800000003</v>
          </cell>
          <cell r="I21">
            <v>2628748.08</v>
          </cell>
          <cell r="J21">
            <v>2445221.52</v>
          </cell>
          <cell r="K21">
            <v>2804427.3600000003</v>
          </cell>
          <cell r="L21">
            <v>2860265.52</v>
          </cell>
          <cell r="M21">
            <v>2697559.2</v>
          </cell>
          <cell r="N21">
            <v>2710622.8800000004</v>
          </cell>
          <cell r="O21">
            <v>2823523.92</v>
          </cell>
          <cell r="P21">
            <v>2913109.92</v>
          </cell>
          <cell r="Q21">
            <v>2981875.68</v>
          </cell>
          <cell r="R21">
            <v>2940053.7600000007</v>
          </cell>
          <cell r="S21">
            <v>2966407.92</v>
          </cell>
          <cell r="T21">
            <v>2992807.44</v>
          </cell>
          <cell r="U21">
            <v>0</v>
          </cell>
        </row>
        <row r="22">
          <cell r="B22" t="str">
            <v>KS</v>
          </cell>
          <cell r="C22">
            <v>2096221.6800000002</v>
          </cell>
          <cell r="D22">
            <v>2030857.92</v>
          </cell>
          <cell r="E22">
            <v>2045010.2399999998</v>
          </cell>
          <cell r="F22">
            <v>2063018.1600000004</v>
          </cell>
          <cell r="G22">
            <v>2382216.4800000004</v>
          </cell>
          <cell r="H22">
            <v>2438961.8400000003</v>
          </cell>
          <cell r="I22">
            <v>2373189.8400000003</v>
          </cell>
          <cell r="J22">
            <v>2469489.12</v>
          </cell>
          <cell r="K22">
            <v>2604798</v>
          </cell>
          <cell r="L22">
            <v>2811367.44</v>
          </cell>
          <cell r="M22">
            <v>2875824</v>
          </cell>
          <cell r="N22">
            <v>2549322.7200000002</v>
          </cell>
          <cell r="O22">
            <v>2668664.8800000004</v>
          </cell>
          <cell r="P22">
            <v>2597676.4800000004</v>
          </cell>
          <cell r="Q22">
            <v>2541203.2800000003</v>
          </cell>
          <cell r="R22">
            <v>2636005.6800000002</v>
          </cell>
          <cell r="S22">
            <v>2782609.2000000007</v>
          </cell>
          <cell r="T22">
            <v>2823523.92</v>
          </cell>
          <cell r="U22">
            <v>0</v>
          </cell>
        </row>
        <row r="23">
          <cell r="B23" t="str">
            <v>KY</v>
          </cell>
          <cell r="C23">
            <v>255104.63999999998</v>
          </cell>
          <cell r="D23">
            <v>264902.40000000002</v>
          </cell>
          <cell r="E23">
            <v>254016.00000000003</v>
          </cell>
          <cell r="F23">
            <v>246849.12000000002</v>
          </cell>
          <cell r="G23">
            <v>263949.83999999997</v>
          </cell>
          <cell r="H23">
            <v>281232.00000000006</v>
          </cell>
          <cell r="I23">
            <v>232515.36000000004</v>
          </cell>
          <cell r="J23">
            <v>203484.96000000002</v>
          </cell>
          <cell r="K23">
            <v>232787.52000000005</v>
          </cell>
          <cell r="L23">
            <v>215913.60000000001</v>
          </cell>
          <cell r="M23">
            <v>198268.56000000003</v>
          </cell>
          <cell r="N23">
            <v>195365.52000000002</v>
          </cell>
          <cell r="O23">
            <v>203212.80000000002</v>
          </cell>
          <cell r="P23">
            <v>213509.52000000002</v>
          </cell>
          <cell r="Q23">
            <v>227253.60000000003</v>
          </cell>
          <cell r="R23">
            <v>214189.92</v>
          </cell>
          <cell r="S23">
            <v>226391.76000000004</v>
          </cell>
          <cell r="T23">
            <v>255376.80000000002</v>
          </cell>
          <cell r="U23">
            <v>0</v>
          </cell>
        </row>
        <row r="24">
          <cell r="B24" t="str">
            <v>LA</v>
          </cell>
          <cell r="C24">
            <v>16783.2</v>
          </cell>
          <cell r="D24">
            <v>14424.480000000001</v>
          </cell>
          <cell r="E24">
            <v>13426.560000000003</v>
          </cell>
          <cell r="F24">
            <v>12247.2</v>
          </cell>
          <cell r="G24">
            <v>11702.880000000001</v>
          </cell>
          <cell r="H24">
            <v>11702.880000000001</v>
          </cell>
          <cell r="I24">
            <v>12791.52</v>
          </cell>
          <cell r="J24">
            <v>10886.400000000001</v>
          </cell>
          <cell r="K24">
            <v>9797.76</v>
          </cell>
          <cell r="L24">
            <v>8663.760000000002</v>
          </cell>
          <cell r="M24">
            <v>7847.2800000000016</v>
          </cell>
          <cell r="N24">
            <v>7756.5600000000013</v>
          </cell>
          <cell r="O24">
            <v>7529.760000000002</v>
          </cell>
          <cell r="P24">
            <v>6849.3600000000006</v>
          </cell>
          <cell r="Q24">
            <v>5987.52</v>
          </cell>
          <cell r="R24">
            <v>5488.56</v>
          </cell>
          <cell r="S24">
            <v>4037.0400000000004</v>
          </cell>
          <cell r="T24">
            <v>3402</v>
          </cell>
          <cell r="U24">
            <v>0</v>
          </cell>
        </row>
        <row r="25">
          <cell r="B25" t="str">
            <v>MI</v>
          </cell>
          <cell r="C25">
            <v>451967.04000000004</v>
          </cell>
          <cell r="D25">
            <v>423889.2</v>
          </cell>
          <cell r="E25">
            <v>409782.24000000005</v>
          </cell>
          <cell r="F25">
            <v>397897.9200000001</v>
          </cell>
          <cell r="G25">
            <v>452738.16000000003</v>
          </cell>
          <cell r="H25">
            <v>474737.76</v>
          </cell>
          <cell r="I25">
            <v>466164.72000000003</v>
          </cell>
          <cell r="J25">
            <v>435773.52000000008</v>
          </cell>
          <cell r="K25">
            <v>280007.28000000003</v>
          </cell>
          <cell r="L25">
            <v>159803.28000000003</v>
          </cell>
          <cell r="M25">
            <v>162207.36000000002</v>
          </cell>
          <cell r="N25">
            <v>175180.32</v>
          </cell>
          <cell r="O25">
            <v>190829.52</v>
          </cell>
          <cell r="P25">
            <v>182029.68000000002</v>
          </cell>
          <cell r="Q25">
            <v>173184.48000000004</v>
          </cell>
          <cell r="R25">
            <v>177720.48</v>
          </cell>
          <cell r="S25">
            <v>206614.80000000002</v>
          </cell>
          <cell r="T25">
            <v>224758.80000000002</v>
          </cell>
          <cell r="U25">
            <v>0</v>
          </cell>
        </row>
        <row r="26">
          <cell r="B26" t="str">
            <v>MN</v>
          </cell>
          <cell r="C26">
            <v>777924.00000000012</v>
          </cell>
          <cell r="D26">
            <v>948659.04000000015</v>
          </cell>
          <cell r="E26">
            <v>1020191.7600000001</v>
          </cell>
          <cell r="F26">
            <v>1015746.4800000002</v>
          </cell>
          <cell r="G26">
            <v>937364.40000000014</v>
          </cell>
          <cell r="H26">
            <v>926840.88000000012</v>
          </cell>
          <cell r="I26">
            <v>931921.20000000007</v>
          </cell>
          <cell r="J26">
            <v>938453.04</v>
          </cell>
          <cell r="K26">
            <v>895224.96000000008</v>
          </cell>
          <cell r="L26">
            <v>936048.96000000008</v>
          </cell>
          <cell r="M26">
            <v>918131.76000000013</v>
          </cell>
          <cell r="N26">
            <v>969706.08000000019</v>
          </cell>
          <cell r="O26">
            <v>1031985.36</v>
          </cell>
          <cell r="P26">
            <v>1053077.76</v>
          </cell>
          <cell r="Q26">
            <v>1040785.2000000002</v>
          </cell>
          <cell r="R26">
            <v>1038970.8000000002</v>
          </cell>
          <cell r="S26">
            <v>1083106.08</v>
          </cell>
          <cell r="T26">
            <v>1107645.8400000003</v>
          </cell>
          <cell r="U26">
            <v>0</v>
          </cell>
        </row>
        <row r="27">
          <cell r="B27" t="str">
            <v>MS</v>
          </cell>
          <cell r="C27">
            <v>179943.12000000002</v>
          </cell>
          <cell r="D27">
            <v>168603.12</v>
          </cell>
          <cell r="E27">
            <v>161436.24000000002</v>
          </cell>
          <cell r="F27">
            <v>140117.04</v>
          </cell>
          <cell r="G27">
            <v>144970.56000000003</v>
          </cell>
          <cell r="H27">
            <v>137985.12000000002</v>
          </cell>
          <cell r="I27">
            <v>125102.88000000003</v>
          </cell>
          <cell r="J27">
            <v>132133.68</v>
          </cell>
          <cell r="K27">
            <v>133993.44</v>
          </cell>
          <cell r="L27">
            <v>133857.36000000002</v>
          </cell>
          <cell r="M27">
            <v>126735.83999999998</v>
          </cell>
          <cell r="N27">
            <v>132224.40000000002</v>
          </cell>
          <cell r="O27">
            <v>133766.63999999998</v>
          </cell>
          <cell r="P27">
            <v>136170.72</v>
          </cell>
          <cell r="Q27">
            <v>135308.88000000003</v>
          </cell>
          <cell r="R27">
            <v>131770.80000000002</v>
          </cell>
          <cell r="S27">
            <v>131589.36000000002</v>
          </cell>
          <cell r="T27">
            <v>35698.320000000007</v>
          </cell>
          <cell r="U27">
            <v>0</v>
          </cell>
        </row>
        <row r="28">
          <cell r="B28" t="str">
            <v>MO</v>
          </cell>
          <cell r="C28">
            <v>307223.27999999997</v>
          </cell>
          <cell r="D28">
            <v>234420.47999999998</v>
          </cell>
          <cell r="E28">
            <v>264811.68</v>
          </cell>
          <cell r="F28">
            <v>307676.88</v>
          </cell>
          <cell r="G28">
            <v>200037.6</v>
          </cell>
          <cell r="H28">
            <v>288126.72000000003</v>
          </cell>
          <cell r="I28">
            <v>329495.04000000004</v>
          </cell>
          <cell r="J28">
            <v>334212.48000000004</v>
          </cell>
          <cell r="K28">
            <v>361519.2</v>
          </cell>
          <cell r="L28">
            <v>368187.12000000005</v>
          </cell>
          <cell r="M28">
            <v>356983.20000000007</v>
          </cell>
          <cell r="N28">
            <v>288671.03999999998</v>
          </cell>
          <cell r="O28">
            <v>197951.04</v>
          </cell>
          <cell r="P28">
            <v>202895.28</v>
          </cell>
          <cell r="Q28">
            <v>204800.40000000002</v>
          </cell>
          <cell r="R28">
            <v>219769.2</v>
          </cell>
          <cell r="S28">
            <v>430103.52000000008</v>
          </cell>
          <cell r="T28">
            <v>680490.72000000009</v>
          </cell>
          <cell r="U28">
            <v>0</v>
          </cell>
        </row>
        <row r="29">
          <cell r="B29" t="str">
            <v>MT</v>
          </cell>
          <cell r="C29">
            <v>9344.16</v>
          </cell>
          <cell r="D29">
            <v>7484.4000000000005</v>
          </cell>
          <cell r="E29">
            <v>7801.92</v>
          </cell>
          <cell r="F29">
            <v>7847.2800000000016</v>
          </cell>
          <cell r="G29">
            <v>9026.6400000000012</v>
          </cell>
          <cell r="H29">
            <v>8074.0800000000008</v>
          </cell>
          <cell r="I29">
            <v>8210.1600000000017</v>
          </cell>
          <cell r="J29">
            <v>6940.0800000000008</v>
          </cell>
          <cell r="K29">
            <v>8799.84</v>
          </cell>
          <cell r="L29">
            <v>10069.920000000002</v>
          </cell>
          <cell r="M29">
            <v>9752.4000000000015</v>
          </cell>
          <cell r="N29">
            <v>7439.04</v>
          </cell>
          <cell r="O29">
            <v>7620.4800000000005</v>
          </cell>
          <cell r="P29">
            <v>7257.6</v>
          </cell>
          <cell r="Q29">
            <v>7030.8</v>
          </cell>
          <cell r="R29">
            <v>7892.6399999999994</v>
          </cell>
          <cell r="S29">
            <v>7348.3200000000006</v>
          </cell>
          <cell r="T29">
            <v>7348.3200000000006</v>
          </cell>
          <cell r="U29">
            <v>0</v>
          </cell>
        </row>
        <row r="30">
          <cell r="B30" t="str">
            <v>NE</v>
          </cell>
          <cell r="C30">
            <v>2289863.52</v>
          </cell>
          <cell r="D30">
            <v>2493030.9600000004</v>
          </cell>
          <cell r="E30">
            <v>2626842.9600000004</v>
          </cell>
          <cell r="F30">
            <v>2592278.64</v>
          </cell>
          <cell r="G30">
            <v>2663992.8000000003</v>
          </cell>
          <cell r="H30">
            <v>2724140.1600000006</v>
          </cell>
          <cell r="I30">
            <v>2868475.6800000006</v>
          </cell>
          <cell r="J30">
            <v>2940915.6</v>
          </cell>
          <cell r="K30">
            <v>3043701.3600000003</v>
          </cell>
          <cell r="L30">
            <v>3110879.52</v>
          </cell>
          <cell r="M30">
            <v>3222964.0800000005</v>
          </cell>
          <cell r="N30">
            <v>3248274.9600000004</v>
          </cell>
          <cell r="O30">
            <v>3446861.04</v>
          </cell>
          <cell r="P30">
            <v>3286422.72</v>
          </cell>
          <cell r="Q30">
            <v>3084480</v>
          </cell>
          <cell r="R30">
            <v>3196746</v>
          </cell>
          <cell r="S30">
            <v>3278076.48</v>
          </cell>
          <cell r="T30">
            <v>3275082.72</v>
          </cell>
          <cell r="U30">
            <v>0</v>
          </cell>
        </row>
        <row r="31">
          <cell r="B31" t="str">
            <v>NV</v>
          </cell>
          <cell r="C31">
            <v>544.32000000000005</v>
          </cell>
          <cell r="D31">
            <v>635.04</v>
          </cell>
          <cell r="E31">
            <v>544.32000000000005</v>
          </cell>
          <cell r="F31">
            <v>544.32000000000005</v>
          </cell>
          <cell r="G31">
            <v>544.32000000000005</v>
          </cell>
          <cell r="H31">
            <v>544.32000000000005</v>
          </cell>
          <cell r="I31">
            <v>589.68000000000006</v>
          </cell>
          <cell r="J31">
            <v>498.96000000000009</v>
          </cell>
          <cell r="K31">
            <v>408.24</v>
          </cell>
          <cell r="L31">
            <v>408.24</v>
          </cell>
          <cell r="M31">
            <v>408.24</v>
          </cell>
          <cell r="N31">
            <v>408.24</v>
          </cell>
          <cell r="O31">
            <v>408.24</v>
          </cell>
          <cell r="P31">
            <v>408.24</v>
          </cell>
          <cell r="Q31">
            <v>453.6</v>
          </cell>
          <cell r="R31">
            <v>498.96000000000009</v>
          </cell>
          <cell r="S31">
            <v>362.88000000000005</v>
          </cell>
          <cell r="T31">
            <v>453.6</v>
          </cell>
          <cell r="U31">
            <v>0</v>
          </cell>
        </row>
        <row r="32">
          <cell r="B32" t="str">
            <v>NJ</v>
          </cell>
          <cell r="C32">
            <v>13199.760000000002</v>
          </cell>
          <cell r="D32">
            <v>14288.400000000001</v>
          </cell>
          <cell r="E32">
            <v>14696.640000000001</v>
          </cell>
          <cell r="F32">
            <v>13925.52</v>
          </cell>
          <cell r="G32">
            <v>13834.800000000001</v>
          </cell>
          <cell r="H32">
            <v>16193.520000000002</v>
          </cell>
          <cell r="I32">
            <v>19459.440000000002</v>
          </cell>
          <cell r="J32">
            <v>23178.960000000003</v>
          </cell>
          <cell r="K32">
            <v>24811.920000000006</v>
          </cell>
          <cell r="L32">
            <v>24766.560000000005</v>
          </cell>
          <cell r="M32">
            <v>25673.760000000002</v>
          </cell>
          <cell r="N32">
            <v>27079.920000000006</v>
          </cell>
          <cell r="O32">
            <v>27397.440000000002</v>
          </cell>
          <cell r="P32">
            <v>24358.320000000003</v>
          </cell>
          <cell r="Q32">
            <v>22543.920000000002</v>
          </cell>
          <cell r="R32">
            <v>22271.760000000002</v>
          </cell>
          <cell r="S32">
            <v>23541.84</v>
          </cell>
          <cell r="T32">
            <v>23904.720000000005</v>
          </cell>
          <cell r="U32">
            <v>0</v>
          </cell>
        </row>
        <row r="33">
          <cell r="B33" t="str">
            <v>NM</v>
          </cell>
          <cell r="C33">
            <v>40461.120000000003</v>
          </cell>
          <cell r="D33">
            <v>38011.68</v>
          </cell>
          <cell r="E33">
            <v>26127.360000000001</v>
          </cell>
          <cell r="F33">
            <v>13562.640000000001</v>
          </cell>
          <cell r="G33">
            <v>12700.800000000001</v>
          </cell>
          <cell r="H33">
            <v>9117.36</v>
          </cell>
          <cell r="I33">
            <v>9162.7200000000012</v>
          </cell>
          <cell r="J33">
            <v>6214.3200000000006</v>
          </cell>
          <cell r="K33">
            <v>5397.8400000000011</v>
          </cell>
          <cell r="L33">
            <v>6078.2400000000007</v>
          </cell>
          <cell r="M33">
            <v>4490.6400000000003</v>
          </cell>
          <cell r="N33">
            <v>4490.6400000000003</v>
          </cell>
          <cell r="O33">
            <v>4853.5200000000004</v>
          </cell>
          <cell r="P33">
            <v>5624.6400000000012</v>
          </cell>
          <cell r="Q33">
            <v>3583.4400000000005</v>
          </cell>
          <cell r="R33">
            <v>3039.1200000000003</v>
          </cell>
          <cell r="S33">
            <v>2766.96</v>
          </cell>
          <cell r="T33">
            <v>2222.6400000000003</v>
          </cell>
          <cell r="U33">
            <v>0</v>
          </cell>
        </row>
        <row r="34">
          <cell r="B34" t="str">
            <v>NY</v>
          </cell>
          <cell r="C34">
            <v>39463.200000000004</v>
          </cell>
          <cell r="D34">
            <v>41504.400000000001</v>
          </cell>
          <cell r="E34">
            <v>46675.44</v>
          </cell>
          <cell r="F34">
            <v>37195.200000000004</v>
          </cell>
          <cell r="G34">
            <v>41368.320000000007</v>
          </cell>
          <cell r="H34">
            <v>45405.36</v>
          </cell>
          <cell r="I34">
            <v>50803.200000000004</v>
          </cell>
          <cell r="J34">
            <v>42366.240000000005</v>
          </cell>
          <cell r="K34">
            <v>30300.48</v>
          </cell>
          <cell r="L34">
            <v>23950.080000000002</v>
          </cell>
          <cell r="M34">
            <v>22770.720000000005</v>
          </cell>
          <cell r="N34">
            <v>18552.240000000002</v>
          </cell>
          <cell r="O34">
            <v>20412.000000000004</v>
          </cell>
          <cell r="P34">
            <v>20457.36</v>
          </cell>
          <cell r="Q34">
            <v>17327.520000000004</v>
          </cell>
          <cell r="R34">
            <v>17871.84</v>
          </cell>
          <cell r="S34">
            <v>15921.360000000002</v>
          </cell>
          <cell r="T34">
            <v>15240.960000000001</v>
          </cell>
          <cell r="U34">
            <v>0</v>
          </cell>
        </row>
        <row r="35">
          <cell r="B35" t="str">
            <v>NC</v>
          </cell>
          <cell r="C35">
            <v>243492.48000000001</v>
          </cell>
          <cell r="D35">
            <v>273157.92000000004</v>
          </cell>
          <cell r="E35">
            <v>343919.52</v>
          </cell>
          <cell r="F35">
            <v>509075.28</v>
          </cell>
          <cell r="G35">
            <v>568043.28</v>
          </cell>
          <cell r="H35">
            <v>665884.80000000005</v>
          </cell>
          <cell r="I35">
            <v>786587.76</v>
          </cell>
          <cell r="J35">
            <v>823284</v>
          </cell>
          <cell r="K35">
            <v>844194.96000000008</v>
          </cell>
          <cell r="L35">
            <v>873542.88</v>
          </cell>
          <cell r="M35">
            <v>878396.4</v>
          </cell>
          <cell r="N35">
            <v>898989.8400000002</v>
          </cell>
          <cell r="O35">
            <v>935504.64000000013</v>
          </cell>
          <cell r="P35">
            <v>997965.36</v>
          </cell>
          <cell r="Q35">
            <v>983404.8</v>
          </cell>
          <cell r="R35">
            <v>1014884.6400000002</v>
          </cell>
          <cell r="S35">
            <v>1039878.0000000001</v>
          </cell>
          <cell r="T35">
            <v>1058702.4000000001</v>
          </cell>
          <cell r="U35">
            <v>0</v>
          </cell>
        </row>
        <row r="36">
          <cell r="B36" t="str">
            <v>ND</v>
          </cell>
          <cell r="C36">
            <v>55974.240000000005</v>
          </cell>
          <cell r="D36">
            <v>57743.28</v>
          </cell>
          <cell r="E36">
            <v>58242.240000000005</v>
          </cell>
          <cell r="F36">
            <v>55157.760000000002</v>
          </cell>
          <cell r="G36">
            <v>51302.159999999996</v>
          </cell>
          <cell r="H36">
            <v>49034.16</v>
          </cell>
          <cell r="I36">
            <v>56427.840000000004</v>
          </cell>
          <cell r="J36">
            <v>49397.040000000008</v>
          </cell>
          <cell r="K36">
            <v>48535.200000000004</v>
          </cell>
          <cell r="L36">
            <v>13698.720000000001</v>
          </cell>
          <cell r="M36">
            <v>12610.080000000002</v>
          </cell>
          <cell r="N36">
            <v>15739.920000000002</v>
          </cell>
          <cell r="O36">
            <v>16238.880000000001</v>
          </cell>
          <cell r="P36">
            <v>14515.2</v>
          </cell>
          <cell r="Q36">
            <v>14787.36</v>
          </cell>
          <cell r="R36">
            <v>15377.039999999999</v>
          </cell>
          <cell r="S36">
            <v>14923.44</v>
          </cell>
          <cell r="T36">
            <v>13517.28</v>
          </cell>
          <cell r="U36">
            <v>0</v>
          </cell>
        </row>
        <row r="37">
          <cell r="B37" t="str">
            <v>OH</v>
          </cell>
          <cell r="C37">
            <v>283091.76</v>
          </cell>
          <cell r="D37">
            <v>291891.60000000003</v>
          </cell>
          <cell r="E37">
            <v>304184.16000000003</v>
          </cell>
          <cell r="F37">
            <v>280415.52</v>
          </cell>
          <cell r="G37">
            <v>181530.72</v>
          </cell>
          <cell r="H37">
            <v>159485.76000000004</v>
          </cell>
          <cell r="I37">
            <v>147918.96000000002</v>
          </cell>
          <cell r="J37">
            <v>141387.12</v>
          </cell>
          <cell r="K37">
            <v>154405.44</v>
          </cell>
          <cell r="L37">
            <v>152681.76000000004</v>
          </cell>
          <cell r="M37">
            <v>143020.08000000002</v>
          </cell>
          <cell r="N37">
            <v>134719.20000000001</v>
          </cell>
          <cell r="O37">
            <v>142158.24</v>
          </cell>
          <cell r="P37">
            <v>146784.96000000002</v>
          </cell>
          <cell r="Q37">
            <v>144607.68000000002</v>
          </cell>
          <cell r="R37">
            <v>131725.44</v>
          </cell>
          <cell r="S37">
            <v>131045.04000000001</v>
          </cell>
          <cell r="T37">
            <v>131226.48000000001</v>
          </cell>
          <cell r="U37">
            <v>0</v>
          </cell>
        </row>
        <row r="38">
          <cell r="B38" t="str">
            <v>OK</v>
          </cell>
          <cell r="C38">
            <v>27714.960000000003</v>
          </cell>
          <cell r="D38">
            <v>26444.880000000001</v>
          </cell>
          <cell r="E38">
            <v>29211.840000000007</v>
          </cell>
          <cell r="F38">
            <v>25401.600000000002</v>
          </cell>
          <cell r="G38">
            <v>25129.440000000002</v>
          </cell>
          <cell r="H38">
            <v>23859.360000000004</v>
          </cell>
          <cell r="I38">
            <v>144562.32</v>
          </cell>
          <cell r="J38">
            <v>305091.36000000004</v>
          </cell>
          <cell r="K38">
            <v>376578.72000000003</v>
          </cell>
          <cell r="L38">
            <v>416949.12000000005</v>
          </cell>
          <cell r="M38">
            <v>431555.04</v>
          </cell>
          <cell r="N38">
            <v>437769.36000000004</v>
          </cell>
          <cell r="O38">
            <v>441352.80000000005</v>
          </cell>
          <cell r="P38">
            <v>446886.72000000009</v>
          </cell>
          <cell r="Q38">
            <v>473331.60000000003</v>
          </cell>
          <cell r="R38">
            <v>484535.52000000008</v>
          </cell>
          <cell r="S38">
            <v>476280.00000000006</v>
          </cell>
          <cell r="T38">
            <v>469929.60000000003</v>
          </cell>
          <cell r="U38">
            <v>0</v>
          </cell>
        </row>
        <row r="39">
          <cell r="B39" t="str">
            <v>OR</v>
          </cell>
          <cell r="C39">
            <v>27669.600000000002</v>
          </cell>
          <cell r="D39">
            <v>21546.000000000004</v>
          </cell>
          <cell r="E39">
            <v>21137.760000000002</v>
          </cell>
          <cell r="F39">
            <v>22044.960000000003</v>
          </cell>
          <cell r="G39">
            <v>15513.120000000003</v>
          </cell>
          <cell r="H39">
            <v>16873.920000000006</v>
          </cell>
          <cell r="I39">
            <v>18189.36</v>
          </cell>
          <cell r="J39">
            <v>18688.32</v>
          </cell>
          <cell r="K39">
            <v>18779.04</v>
          </cell>
          <cell r="L39">
            <v>19550.160000000003</v>
          </cell>
          <cell r="M39">
            <v>20412.000000000004</v>
          </cell>
          <cell r="N39">
            <v>20321.28</v>
          </cell>
          <cell r="O39">
            <v>19686.240000000002</v>
          </cell>
          <cell r="P39">
            <v>19504.800000000003</v>
          </cell>
          <cell r="Q39">
            <v>18915.120000000003</v>
          </cell>
          <cell r="R39">
            <v>19822.320000000003</v>
          </cell>
          <cell r="S39">
            <v>22997.520000000004</v>
          </cell>
          <cell r="T39">
            <v>25673.760000000002</v>
          </cell>
          <cell r="U39">
            <v>0</v>
          </cell>
        </row>
        <row r="40">
          <cell r="B40" t="str">
            <v>PA</v>
          </cell>
          <cell r="C40">
            <v>450606.24000000005</v>
          </cell>
          <cell r="D40">
            <v>471290.40000000008</v>
          </cell>
          <cell r="E40">
            <v>486712.80000000005</v>
          </cell>
          <cell r="F40">
            <v>492201.36</v>
          </cell>
          <cell r="G40">
            <v>500411.52000000014</v>
          </cell>
          <cell r="H40">
            <v>514155.60000000003</v>
          </cell>
          <cell r="I40">
            <v>526811.04000000015</v>
          </cell>
          <cell r="J40">
            <v>509755.68000000005</v>
          </cell>
          <cell r="K40">
            <v>512568</v>
          </cell>
          <cell r="L40">
            <v>541553.04</v>
          </cell>
          <cell r="M40">
            <v>537470.64000000013</v>
          </cell>
          <cell r="N40">
            <v>529850.15999999992</v>
          </cell>
          <cell r="O40">
            <v>568179.36</v>
          </cell>
          <cell r="P40">
            <v>573259.68000000005</v>
          </cell>
          <cell r="Q40">
            <v>529215.12</v>
          </cell>
          <cell r="R40">
            <v>524679.12000000011</v>
          </cell>
          <cell r="S40">
            <v>554571.36</v>
          </cell>
          <cell r="T40">
            <v>584372.88</v>
          </cell>
          <cell r="U40">
            <v>0</v>
          </cell>
        </row>
        <row r="41">
          <cell r="B41" t="str">
            <v>SC</v>
          </cell>
          <cell r="C41">
            <v>78699.600000000006</v>
          </cell>
          <cell r="D41">
            <v>76340.880000000019</v>
          </cell>
          <cell r="E41">
            <v>81103.680000000008</v>
          </cell>
          <cell r="F41">
            <v>81149.040000000008</v>
          </cell>
          <cell r="G41">
            <v>77429.52</v>
          </cell>
          <cell r="H41">
            <v>74481.119999999995</v>
          </cell>
          <cell r="I41">
            <v>72530.640000000014</v>
          </cell>
          <cell r="J41">
            <v>74798.640000000014</v>
          </cell>
          <cell r="K41">
            <v>81920.160000000003</v>
          </cell>
          <cell r="L41">
            <v>100381.68000000001</v>
          </cell>
          <cell r="M41">
            <v>99202.319999999992</v>
          </cell>
          <cell r="N41">
            <v>105053.76000000001</v>
          </cell>
          <cell r="O41">
            <v>111948.48000000001</v>
          </cell>
          <cell r="P41">
            <v>110587.68000000001</v>
          </cell>
          <cell r="Q41">
            <v>111812.40000000001</v>
          </cell>
          <cell r="R41">
            <v>109589.76000000001</v>
          </cell>
          <cell r="S41">
            <v>112538.16000000002</v>
          </cell>
          <cell r="T41">
            <v>115350.48000000003</v>
          </cell>
          <cell r="U41">
            <v>0</v>
          </cell>
        </row>
        <row r="42">
          <cell r="B42" t="str">
            <v>SD</v>
          </cell>
          <cell r="C42">
            <v>562146.48</v>
          </cell>
          <cell r="D42">
            <v>571672.08000000007</v>
          </cell>
          <cell r="E42">
            <v>571082.40000000014</v>
          </cell>
          <cell r="F42">
            <v>524180.16000000003</v>
          </cell>
          <cell r="G42">
            <v>564641.28000000003</v>
          </cell>
          <cell r="H42">
            <v>579836.88</v>
          </cell>
          <cell r="I42">
            <v>543684.96</v>
          </cell>
          <cell r="J42">
            <v>504947.52000000008</v>
          </cell>
          <cell r="K42">
            <v>467616.24000000005</v>
          </cell>
          <cell r="L42">
            <v>452057.76</v>
          </cell>
          <cell r="M42">
            <v>441534.24000000005</v>
          </cell>
          <cell r="N42">
            <v>460494.72000000009</v>
          </cell>
          <cell r="O42">
            <v>425839.68</v>
          </cell>
          <cell r="P42">
            <v>445888.80000000005</v>
          </cell>
          <cell r="Q42">
            <v>446977.44</v>
          </cell>
          <cell r="R42">
            <v>454915.44</v>
          </cell>
          <cell r="S42">
            <v>429786.00000000006</v>
          </cell>
          <cell r="T42">
            <v>465892.56</v>
          </cell>
          <cell r="U42">
            <v>0</v>
          </cell>
        </row>
        <row r="43">
          <cell r="B43" t="str">
            <v>TN</v>
          </cell>
          <cell r="C43">
            <v>107684.64000000001</v>
          </cell>
          <cell r="D43">
            <v>77656.320000000007</v>
          </cell>
          <cell r="E43">
            <v>87227.280000000013</v>
          </cell>
          <cell r="F43">
            <v>97569.36</v>
          </cell>
          <cell r="G43">
            <v>104872.32000000001</v>
          </cell>
          <cell r="H43">
            <v>89903.52</v>
          </cell>
          <cell r="I43">
            <v>91808.640000000014</v>
          </cell>
          <cell r="J43">
            <v>95392.080000000016</v>
          </cell>
          <cell r="K43">
            <v>102060.00000000001</v>
          </cell>
          <cell r="L43">
            <v>105552.72</v>
          </cell>
          <cell r="M43">
            <v>106097.04000000002</v>
          </cell>
          <cell r="N43">
            <v>102921.84000000001</v>
          </cell>
          <cell r="O43">
            <v>103239.36</v>
          </cell>
          <cell r="P43">
            <v>105643.44</v>
          </cell>
          <cell r="Q43">
            <v>100744.56000000001</v>
          </cell>
          <cell r="R43">
            <v>97796.160000000003</v>
          </cell>
          <cell r="S43">
            <v>95709.6</v>
          </cell>
          <cell r="T43">
            <v>98748.72</v>
          </cell>
          <cell r="U43">
            <v>0</v>
          </cell>
        </row>
        <row r="44">
          <cell r="B44" t="str">
            <v>TX</v>
          </cell>
          <cell r="C44">
            <v>1760194.8</v>
          </cell>
          <cell r="D44">
            <v>1781876.8800000001</v>
          </cell>
          <cell r="E44">
            <v>1805055.8400000003</v>
          </cell>
          <cell r="F44">
            <v>1881941.04</v>
          </cell>
          <cell r="G44">
            <v>1966446.72</v>
          </cell>
          <cell r="H44">
            <v>2034577.4400000002</v>
          </cell>
          <cell r="I44">
            <v>2102436</v>
          </cell>
          <cell r="J44">
            <v>2088283.6800000004</v>
          </cell>
          <cell r="K44">
            <v>2205448.56</v>
          </cell>
          <cell r="L44">
            <v>2227402.8000000003</v>
          </cell>
          <cell r="M44">
            <v>2197238.4000000004</v>
          </cell>
          <cell r="N44">
            <v>2168570.8800000004</v>
          </cell>
          <cell r="O44">
            <v>2213568</v>
          </cell>
          <cell r="P44">
            <v>2197056.9600000004</v>
          </cell>
          <cell r="Q44">
            <v>2090597.04</v>
          </cell>
          <cell r="R44">
            <v>2125977.84</v>
          </cell>
          <cell r="S44">
            <v>2234841.84</v>
          </cell>
          <cell r="T44">
            <v>2121124.3200000003</v>
          </cell>
          <cell r="U44">
            <v>0</v>
          </cell>
        </row>
        <row r="45">
          <cell r="B45" t="str">
            <v>US</v>
          </cell>
          <cell r="C45">
            <v>17511726.960000001</v>
          </cell>
          <cell r="D45">
            <v>17872520.400000002</v>
          </cell>
          <cell r="E45">
            <v>18505065.600000001</v>
          </cell>
          <cell r="F45">
            <v>18401780.880000003</v>
          </cell>
          <cell r="G45">
            <v>19289657.52</v>
          </cell>
          <cell r="H45">
            <v>19739674.080000006</v>
          </cell>
          <cell r="I45">
            <v>19567215.360000003</v>
          </cell>
          <cell r="J45">
            <v>19599420.960000001</v>
          </cell>
          <cell r="K45">
            <v>20472374.16</v>
          </cell>
          <cell r="L45">
            <v>20924704.080000002</v>
          </cell>
          <cell r="M45">
            <v>20934275.040000003</v>
          </cell>
          <cell r="N45">
            <v>20713371.84</v>
          </cell>
          <cell r="O45">
            <v>21395813.040000003</v>
          </cell>
          <cell r="P45">
            <v>21126873.600000001</v>
          </cell>
          <cell r="Q45">
            <v>20601604.800000001</v>
          </cell>
          <cell r="R45">
            <v>20734282.800000001</v>
          </cell>
          <cell r="S45">
            <v>21562964.640000004</v>
          </cell>
          <cell r="T45">
            <v>22082971.680000003</v>
          </cell>
          <cell r="U45">
            <v>0</v>
          </cell>
        </row>
        <row r="46">
          <cell r="B46" t="str">
            <v>UT</v>
          </cell>
          <cell r="C46">
            <v>178582.32</v>
          </cell>
          <cell r="D46">
            <v>182301.84</v>
          </cell>
          <cell r="E46">
            <v>190920.24000000002</v>
          </cell>
          <cell r="F46">
            <v>197814.96000000005</v>
          </cell>
          <cell r="G46">
            <v>210515.76000000004</v>
          </cell>
          <cell r="H46">
            <v>192281.04</v>
          </cell>
          <cell r="I46">
            <v>188561.52000000002</v>
          </cell>
          <cell r="J46">
            <v>184978.08000000002</v>
          </cell>
          <cell r="K46">
            <v>208429.2</v>
          </cell>
          <cell r="L46">
            <v>224486.64</v>
          </cell>
          <cell r="M46">
            <v>225529.92</v>
          </cell>
          <cell r="N46">
            <v>236507.04</v>
          </cell>
          <cell r="O46">
            <v>230746.32</v>
          </cell>
          <cell r="P46">
            <v>208746.72000000003</v>
          </cell>
          <cell r="Q46">
            <v>186021.36000000002</v>
          </cell>
          <cell r="R46">
            <v>209245.68000000002</v>
          </cell>
          <cell r="S46">
            <v>227707.20000000004</v>
          </cell>
          <cell r="T46">
            <v>215641.44000000003</v>
          </cell>
          <cell r="U46">
            <v>0</v>
          </cell>
        </row>
        <row r="47">
          <cell r="B47" t="str">
            <v>VA</v>
          </cell>
          <cell r="C47">
            <v>370182.96000000008</v>
          </cell>
          <cell r="D47">
            <v>383745.60000000003</v>
          </cell>
          <cell r="E47">
            <v>387283.68</v>
          </cell>
          <cell r="F47">
            <v>322600.32000000007</v>
          </cell>
          <cell r="G47">
            <v>381205.44</v>
          </cell>
          <cell r="H47">
            <v>399757.68</v>
          </cell>
          <cell r="I47">
            <v>371861.28</v>
          </cell>
          <cell r="J47">
            <v>351721.44</v>
          </cell>
          <cell r="K47">
            <v>351131.76</v>
          </cell>
          <cell r="L47">
            <v>334983.60000000003</v>
          </cell>
          <cell r="M47">
            <v>327635.28000000003</v>
          </cell>
          <cell r="N47">
            <v>348682.32000000007</v>
          </cell>
          <cell r="O47">
            <v>366236.64</v>
          </cell>
          <cell r="P47">
            <v>341832.96000000002</v>
          </cell>
          <cell r="Q47">
            <v>344191.68</v>
          </cell>
          <cell r="R47">
            <v>298468.80000000005</v>
          </cell>
          <cell r="S47">
            <v>186248.16000000003</v>
          </cell>
          <cell r="T47">
            <v>217546.56000000003</v>
          </cell>
          <cell r="U47">
            <v>0</v>
          </cell>
        </row>
        <row r="48">
          <cell r="B48" t="str">
            <v>WA</v>
          </cell>
          <cell r="C48">
            <v>275516.64</v>
          </cell>
          <cell r="D48">
            <v>272658.96000000002</v>
          </cell>
          <cell r="E48">
            <v>279825.83999999997</v>
          </cell>
          <cell r="F48">
            <v>273974.40000000002</v>
          </cell>
          <cell r="G48">
            <v>294749.28000000003</v>
          </cell>
          <cell r="H48">
            <v>308357.28000000003</v>
          </cell>
          <cell r="I48">
            <v>333622.80000000005</v>
          </cell>
          <cell r="J48">
            <v>313528.32000000001</v>
          </cell>
          <cell r="K48">
            <v>317973.60000000003</v>
          </cell>
          <cell r="L48">
            <v>298242</v>
          </cell>
          <cell r="M48">
            <v>314798.40000000002</v>
          </cell>
          <cell r="N48">
            <v>304365.60000000003</v>
          </cell>
          <cell r="O48">
            <v>293887.44</v>
          </cell>
          <cell r="P48">
            <v>271207.44</v>
          </cell>
          <cell r="Q48">
            <v>221220.72</v>
          </cell>
          <cell r="R48">
            <v>280324.80000000005</v>
          </cell>
          <cell r="S48">
            <v>343239.12000000005</v>
          </cell>
          <cell r="T48">
            <v>399893.76000000007</v>
          </cell>
          <cell r="U48">
            <v>0</v>
          </cell>
        </row>
        <row r="49">
          <cell r="B49" t="str">
            <v>WV</v>
          </cell>
          <cell r="C49">
            <v>7257.6</v>
          </cell>
          <cell r="D49">
            <v>7847.2800000000016</v>
          </cell>
          <cell r="E49">
            <v>8119.4400000000005</v>
          </cell>
          <cell r="F49">
            <v>7756.5600000000013</v>
          </cell>
          <cell r="G49">
            <v>8663.760000000002</v>
          </cell>
          <cell r="H49">
            <v>8346.24</v>
          </cell>
          <cell r="I49">
            <v>9162.7200000000012</v>
          </cell>
          <cell r="J49">
            <v>6078.2400000000007</v>
          </cell>
          <cell r="K49">
            <v>4263.84</v>
          </cell>
          <cell r="L49">
            <v>4445.2800000000007</v>
          </cell>
          <cell r="M49">
            <v>3810.2400000000002</v>
          </cell>
          <cell r="N49">
            <v>3447.36</v>
          </cell>
          <cell r="O49">
            <v>3492.7200000000003</v>
          </cell>
          <cell r="P49">
            <v>3220.56</v>
          </cell>
          <cell r="Q49">
            <v>3175.2000000000003</v>
          </cell>
          <cell r="R49">
            <v>2812.3200000000006</v>
          </cell>
          <cell r="S49">
            <v>2676.2400000000002</v>
          </cell>
          <cell r="T49">
            <v>3039.1200000000003</v>
          </cell>
          <cell r="U49">
            <v>0</v>
          </cell>
        </row>
        <row r="50">
          <cell r="B50" t="str">
            <v>WI</v>
          </cell>
          <cell r="C50">
            <v>396491.76</v>
          </cell>
          <cell r="D50">
            <v>383881.68</v>
          </cell>
          <cell r="E50">
            <v>435138.48</v>
          </cell>
          <cell r="F50">
            <v>456321.60000000003</v>
          </cell>
          <cell r="G50">
            <v>450334.08</v>
          </cell>
          <cell r="H50">
            <v>461084.40000000008</v>
          </cell>
          <cell r="I50">
            <v>506671.2</v>
          </cell>
          <cell r="J50">
            <v>531210.96</v>
          </cell>
          <cell r="K50">
            <v>557565.12</v>
          </cell>
          <cell r="L50">
            <v>593399.52</v>
          </cell>
          <cell r="M50">
            <v>611498.16</v>
          </cell>
          <cell r="N50">
            <v>591358.32000000007</v>
          </cell>
          <cell r="O50">
            <v>614628.00000000012</v>
          </cell>
          <cell r="P50">
            <v>596620.07999999996</v>
          </cell>
          <cell r="Q50">
            <v>556521.84000000008</v>
          </cell>
          <cell r="R50">
            <v>559606.32000000007</v>
          </cell>
          <cell r="S50">
            <v>605782.80000000005</v>
          </cell>
          <cell r="T50">
            <v>643839.84000000008</v>
          </cell>
          <cell r="U50">
            <v>0</v>
          </cell>
        </row>
        <row r="51">
          <cell r="B51" t="str">
            <v>WY</v>
          </cell>
          <cell r="C51">
            <v>2041.2</v>
          </cell>
          <cell r="D51">
            <v>1814.4</v>
          </cell>
          <cell r="E51">
            <v>1905.1200000000001</v>
          </cell>
          <cell r="F51">
            <v>2086.56</v>
          </cell>
          <cell r="G51">
            <v>2222.6400000000003</v>
          </cell>
          <cell r="H51">
            <v>2540.16</v>
          </cell>
          <cell r="I51">
            <v>2494.8000000000002</v>
          </cell>
          <cell r="J51">
            <v>2268</v>
          </cell>
          <cell r="K51">
            <v>2449.44</v>
          </cell>
          <cell r="L51">
            <v>2540.16</v>
          </cell>
          <cell r="M51">
            <v>2268</v>
          </cell>
          <cell r="N51">
            <v>2086.56</v>
          </cell>
          <cell r="O51">
            <v>2585.5200000000004</v>
          </cell>
          <cell r="P51">
            <v>2993.76</v>
          </cell>
          <cell r="Q51">
            <v>3129.8400000000006</v>
          </cell>
          <cell r="R51">
            <v>2948.4000000000005</v>
          </cell>
          <cell r="S51">
            <v>2812.3200000000006</v>
          </cell>
          <cell r="T51">
            <v>2766.96</v>
          </cell>
          <cell r="U51">
            <v>0</v>
          </cell>
        </row>
      </sheetData>
      <sheetData sheetId="14"/>
      <sheetData sheetId="15"/>
      <sheetData sheetId="16"/>
    </sheetDataSet>
  </externalBook>
</externalLink>
</file>

<file path=xl/externalLinks/externalLink15.xml><?xml version="1.0" encoding="utf-8"?>
<externalLink xmlns="http://schemas.openxmlformats.org/spreadsheetml/2006/main">
  <externalBook xmlns:r="http://schemas.openxmlformats.org/officeDocument/2006/relationships" r:id="rId1">
    <sheetNames>
      <sheetName val="Control"/>
      <sheetName val="Natural Gas - Production"/>
      <sheetName val="Natural Gas - Transmission"/>
      <sheetName val="Natural Gas - Distribution"/>
      <sheetName val="Natural Gas - Venting_Flaring"/>
      <sheetName val="Petroleum Systems"/>
      <sheetName val="Summary"/>
      <sheetName val="Tracker"/>
      <sheetName val="Uncertainty"/>
      <sheetName val="Gas Data Sources"/>
      <sheetName val="Oil Data Sources"/>
      <sheetName val="Emission Factors"/>
      <sheetName val="Production Data"/>
      <sheetName val="Number of Wells"/>
      <sheetName val="Data"/>
      <sheetName val="ListData"/>
      <sheetName val="Not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2">
          <cell r="E2">
            <v>1</v>
          </cell>
        </row>
        <row r="3">
          <cell r="H3">
            <v>1</v>
          </cell>
          <cell r="I3">
            <v>2.7801668220797371</v>
          </cell>
        </row>
        <row r="4">
          <cell r="H4">
            <v>2</v>
          </cell>
          <cell r="I4">
            <v>2.7820946386247414</v>
          </cell>
        </row>
        <row r="5">
          <cell r="H5">
            <v>3</v>
          </cell>
          <cell r="I5">
            <v>3.7137318090564362</v>
          </cell>
        </row>
      </sheetData>
      <sheetData sheetId="16"/>
    </sheetDataSet>
  </externalBook>
</externalLink>
</file>

<file path=xl/externalLinks/externalLink16.xml><?xml version="1.0" encoding="utf-8"?>
<externalLink xmlns="http://schemas.openxmlformats.org/spreadsheetml/2006/main">
  <externalBook xmlns:r="http://schemas.openxmlformats.org/officeDocument/2006/relationships" r:id="rId1">
    <sheetNames>
      <sheetName val="Control"/>
      <sheetName val="Residential N2O"/>
      <sheetName val="Residential CH4"/>
      <sheetName val="Commercial N2O"/>
      <sheetName val="Commercial CH4"/>
      <sheetName val="Electric Power N2O"/>
      <sheetName val="Electric Power CH4"/>
      <sheetName val="Industrial N2O"/>
      <sheetName val="Industrial CH4"/>
      <sheetName val="Summary N2O"/>
      <sheetName val="Summary CH4"/>
      <sheetName val="Total Summary"/>
      <sheetName val="Tracker"/>
      <sheetName val="Uncertainty"/>
      <sheetName val="Constants"/>
      <sheetName val="SED Btu 1990-2005"/>
      <sheetName val="FF Consumption"/>
      <sheetName val="Non-Energy Consump."/>
      <sheetName val="synthetic NG"/>
      <sheetName val="Emission Factors"/>
      <sheetName val="Code Key"/>
      <sheetName val="Documentation"/>
      <sheetName val="Data Sources"/>
      <sheetName val="Not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2">
          <cell r="G2" t="str">
            <v>Maryland</v>
          </cell>
        </row>
      </sheetData>
      <sheetData sheetId="15"/>
      <sheetData sheetId="16"/>
      <sheetData sheetId="17"/>
      <sheetData sheetId="18"/>
      <sheetData sheetId="19"/>
      <sheetData sheetId="20"/>
      <sheetData sheetId="21"/>
      <sheetData sheetId="22"/>
      <sheetData sheetId="23"/>
    </sheetDataSet>
  </externalBook>
</externalLink>
</file>

<file path=xl/externalLinks/externalLink17.xml><?xml version="1.0" encoding="utf-8"?>
<externalLink xmlns="http://schemas.openxmlformats.org/spreadsheetml/2006/main">
  <externalBook xmlns:r="http://schemas.openxmlformats.org/officeDocument/2006/relationships" r:id="rId1">
    <sheetNames>
      <sheetName val="Control"/>
      <sheetName val="Results"/>
      <sheetName val="Tracker"/>
      <sheetName val="Uncertainty"/>
      <sheetName val="Flaring"/>
      <sheetName val="LFGTE"/>
      <sheetName val="State Population"/>
      <sheetName val="State Disposal"/>
      <sheetName val="FOD Calcs"/>
      <sheetName val="State MSW Combusted"/>
      <sheetName val="CO2_Plastics"/>
      <sheetName val="CO2_Syn. Rubber"/>
      <sheetName val="CO2_Syn. Fibers"/>
      <sheetName val="N2O_MSW"/>
      <sheetName val="State WIP"/>
      <sheetName val="MSW Landfilled"/>
      <sheetName val="MSW Discarded"/>
      <sheetName val="MSW Combusted"/>
      <sheetName val="MSW Generated"/>
      <sheetName val="MSW Flared"/>
      <sheetName val="Default LFGTE"/>
      <sheetName val="Population"/>
      <sheetName val="Lookups"/>
      <sheetName val="Data Sources"/>
      <sheetName val="Notes"/>
    </sheetNames>
    <sheetDataSet>
      <sheetData sheetId="0" refreshError="1">
        <row r="76">
          <cell r="G76">
            <v>0.98</v>
          </cell>
        </row>
      </sheetData>
      <sheetData sheetId="1"/>
      <sheetData sheetId="2"/>
      <sheetData sheetId="3"/>
      <sheetData sheetId="4"/>
      <sheetData sheetId="5"/>
      <sheetData sheetId="6"/>
      <sheetData sheetId="7"/>
      <sheetData sheetId="8"/>
      <sheetData sheetId="9" refreshError="1"/>
      <sheetData sheetId="10"/>
      <sheetData sheetId="11"/>
      <sheetData sheetId="12"/>
      <sheetData sheetId="13"/>
      <sheetData sheetId="14"/>
      <sheetData sheetId="15"/>
      <sheetData sheetId="16" refreshError="1"/>
      <sheetData sheetId="17"/>
      <sheetData sheetId="18"/>
      <sheetData sheetId="19"/>
      <sheetData sheetId="20"/>
      <sheetData sheetId="21"/>
      <sheetData sheetId="22" refreshError="1"/>
      <sheetData sheetId="23"/>
      <sheetData sheetId="24"/>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Control"/>
      <sheetName val="Cement"/>
      <sheetName val="Lime"/>
      <sheetName val="Limestone"/>
      <sheetName val="Soda Ash"/>
      <sheetName val="Iron &amp; Steel"/>
      <sheetName val="Ammonia &amp; Urea"/>
      <sheetName val="Nitric"/>
      <sheetName val="Adipic"/>
      <sheetName val="Aluminum"/>
      <sheetName val="HCFC-22"/>
      <sheetName val="ODS"/>
      <sheetName val="Semiconductor"/>
      <sheetName val="Electric Power"/>
      <sheetName val="Magnesium"/>
      <sheetName val="Summary, MTCE"/>
      <sheetName val="Summary, MTCO2E"/>
      <sheetName val="Tracker"/>
      <sheetName val="Uncertainty"/>
      <sheetName val="Data Sources"/>
      <sheetName val="Data"/>
      <sheetName val="EF"/>
      <sheetName val="ODS subs method"/>
      <sheetName val="List Data"/>
      <sheetName val="Lime Proportion Data"/>
      <sheetName val="Soda Ash Method"/>
      <sheetName val="Industrial Limestone Ratios"/>
      <sheetName val="semiconductors method"/>
      <sheetName val="Electric Power method"/>
      <sheetName val="Iron &amp; Steel Data"/>
      <sheetName val="Ammonia Defaults"/>
      <sheetName val="state population"/>
      <sheetName val="Not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2">
          <cell r="E2">
            <v>1990</v>
          </cell>
          <cell r="F2">
            <v>1991</v>
          </cell>
          <cell r="G2">
            <v>1992</v>
          </cell>
          <cell r="H2">
            <v>1993</v>
          </cell>
          <cell r="I2">
            <v>1994</v>
          </cell>
          <cell r="J2">
            <v>1995</v>
          </cell>
          <cell r="K2">
            <v>1996</v>
          </cell>
          <cell r="L2">
            <v>1997</v>
          </cell>
          <cell r="M2">
            <v>1998</v>
          </cell>
          <cell r="N2">
            <v>1999</v>
          </cell>
          <cell r="O2">
            <v>2000</v>
          </cell>
          <cell r="P2">
            <v>2001</v>
          </cell>
          <cell r="Q2">
            <v>2002</v>
          </cell>
          <cell r="R2">
            <v>2003</v>
          </cell>
          <cell r="S2">
            <v>2004</v>
          </cell>
          <cell r="T2">
            <v>2005</v>
          </cell>
          <cell r="U2">
            <v>2006</v>
          </cell>
          <cell r="V2">
            <v>2007</v>
          </cell>
          <cell r="W2">
            <v>2008</v>
          </cell>
          <cell r="X2">
            <v>2009</v>
          </cell>
          <cell r="Y2">
            <v>2010</v>
          </cell>
          <cell r="Z2">
            <v>2011</v>
          </cell>
          <cell r="AA2">
            <v>2012</v>
          </cell>
          <cell r="AB2">
            <v>2013</v>
          </cell>
          <cell r="AC2">
            <v>2014</v>
          </cell>
          <cell r="AD2">
            <v>2015</v>
          </cell>
          <cell r="AE2">
            <v>2016</v>
          </cell>
          <cell r="AF2">
            <v>2017</v>
          </cell>
          <cell r="AG2">
            <v>2018</v>
          </cell>
          <cell r="AH2">
            <v>2019</v>
          </cell>
          <cell r="AI2">
            <v>2020</v>
          </cell>
        </row>
        <row r="3">
          <cell r="D3" t="str">
            <v>Year</v>
          </cell>
          <cell r="E3">
            <v>2</v>
          </cell>
          <cell r="F3">
            <v>3</v>
          </cell>
          <cell r="G3">
            <v>4</v>
          </cell>
          <cell r="H3">
            <v>5</v>
          </cell>
          <cell r="I3">
            <v>6</v>
          </cell>
          <cell r="J3">
            <v>7</v>
          </cell>
          <cell r="K3">
            <v>8</v>
          </cell>
          <cell r="L3">
            <v>9</v>
          </cell>
          <cell r="M3">
            <v>10</v>
          </cell>
          <cell r="N3">
            <v>11</v>
          </cell>
          <cell r="O3">
            <v>12</v>
          </cell>
          <cell r="P3">
            <v>13</v>
          </cell>
          <cell r="Q3">
            <v>14</v>
          </cell>
          <cell r="R3">
            <v>15</v>
          </cell>
          <cell r="S3">
            <v>16</v>
          </cell>
          <cell r="T3">
            <v>17</v>
          </cell>
          <cell r="U3">
            <v>18</v>
          </cell>
          <cell r="V3">
            <v>19</v>
          </cell>
          <cell r="W3">
            <v>20</v>
          </cell>
          <cell r="X3">
            <v>21</v>
          </cell>
          <cell r="Y3">
            <v>22</v>
          </cell>
          <cell r="Z3">
            <v>23</v>
          </cell>
          <cell r="AA3">
            <v>24</v>
          </cell>
          <cell r="AB3">
            <v>25</v>
          </cell>
          <cell r="AC3">
            <v>26</v>
          </cell>
          <cell r="AD3">
            <v>27</v>
          </cell>
          <cell r="AE3">
            <v>28</v>
          </cell>
          <cell r="AF3">
            <v>29</v>
          </cell>
          <cell r="AG3">
            <v>30</v>
          </cell>
          <cell r="AH3">
            <v>31</v>
          </cell>
          <cell r="AI3">
            <v>32</v>
          </cell>
        </row>
        <row r="4">
          <cell r="D4" t="str">
            <v>AL Cement Cl</v>
          </cell>
          <cell r="E4">
            <v>3213281.3208745345</v>
          </cell>
          <cell r="F4">
            <v>3148870.5434092348</v>
          </cell>
          <cell r="G4">
            <v>2968338.9276966341</v>
          </cell>
          <cell r="H4">
            <v>3567000</v>
          </cell>
          <cell r="I4">
            <v>3816000</v>
          </cell>
          <cell r="J4">
            <v>3683000</v>
          </cell>
          <cell r="K4">
            <v>3886000</v>
          </cell>
          <cell r="L4">
            <v>4007000</v>
          </cell>
          <cell r="M4">
            <v>4180000</v>
          </cell>
          <cell r="N4">
            <v>3990000</v>
          </cell>
          <cell r="O4">
            <v>4150870</v>
          </cell>
          <cell r="P4">
            <v>4150000</v>
          </cell>
          <cell r="Q4">
            <v>4397000</v>
          </cell>
          <cell r="R4">
            <v>4590000</v>
          </cell>
          <cell r="S4">
            <v>5047994.5237440001</v>
          </cell>
          <cell r="T4">
            <v>4884000</v>
          </cell>
          <cell r="U4">
            <v>5185749.7801649999</v>
          </cell>
          <cell r="V4">
            <v>4898054.2011150001</v>
          </cell>
        </row>
        <row r="5">
          <cell r="D5" t="str">
            <v>AK Cement Cl</v>
          </cell>
          <cell r="E5">
            <v>0</v>
          </cell>
          <cell r="F5">
            <v>267924.64241434576</v>
          </cell>
          <cell r="G5">
            <v>335359.40004233574</v>
          </cell>
          <cell r="H5">
            <v>372500</v>
          </cell>
          <cell r="I5">
            <v>413000</v>
          </cell>
          <cell r="J5">
            <v>400000</v>
          </cell>
          <cell r="K5">
            <v>62000</v>
          </cell>
          <cell r="L5">
            <v>0</v>
          </cell>
          <cell r="M5">
            <v>0</v>
          </cell>
          <cell r="N5">
            <v>0</v>
          </cell>
          <cell r="O5">
            <v>0</v>
          </cell>
          <cell r="P5">
            <v>0</v>
          </cell>
          <cell r="Q5">
            <v>0</v>
          </cell>
          <cell r="R5">
            <v>0</v>
          </cell>
          <cell r="S5">
            <v>2536422.053936</v>
          </cell>
          <cell r="T5">
            <v>0</v>
          </cell>
          <cell r="U5">
            <v>0</v>
          </cell>
          <cell r="V5">
            <v>0</v>
          </cell>
        </row>
        <row r="6">
          <cell r="D6" t="str">
            <v>AZ Cement Cl</v>
          </cell>
          <cell r="E6">
            <v>557319.54398379149</v>
          </cell>
          <cell r="F6">
            <v>953460.94529619883</v>
          </cell>
          <cell r="G6">
            <v>545526.02134929993</v>
          </cell>
          <cell r="H6">
            <v>788500</v>
          </cell>
          <cell r="I6">
            <v>940000</v>
          </cell>
          <cell r="J6">
            <v>987000</v>
          </cell>
          <cell r="K6">
            <v>1055000</v>
          </cell>
          <cell r="L6">
            <v>1085000</v>
          </cell>
          <cell r="M6">
            <v>1092000</v>
          </cell>
          <cell r="N6">
            <v>1113000</v>
          </cell>
          <cell r="O6">
            <v>1094173</v>
          </cell>
          <cell r="P6">
            <v>1100500</v>
          </cell>
          <cell r="Q6">
            <v>1073500</v>
          </cell>
          <cell r="R6">
            <v>1277000</v>
          </cell>
          <cell r="S6">
            <v>1282890.6248639999</v>
          </cell>
          <cell r="T6">
            <v>1302000</v>
          </cell>
          <cell r="U6">
            <v>1313621.5701075001</v>
          </cell>
          <cell r="V6">
            <v>1249832.8568325001</v>
          </cell>
        </row>
        <row r="7">
          <cell r="D7" t="str">
            <v>AR Cement Cl</v>
          </cell>
          <cell r="E7">
            <v>591036.9227977863</v>
          </cell>
          <cell r="F7">
            <v>564274.69835797872</v>
          </cell>
          <cell r="G7">
            <v>593758.5049442075</v>
          </cell>
          <cell r="H7">
            <v>1177000</v>
          </cell>
          <cell r="I7">
            <v>1186000</v>
          </cell>
          <cell r="J7">
            <v>1250000</v>
          </cell>
          <cell r="K7">
            <v>1253000</v>
          </cell>
          <cell r="L7">
            <v>1262000</v>
          </cell>
          <cell r="M7">
            <v>1251000</v>
          </cell>
          <cell r="N7">
            <v>1231000</v>
          </cell>
          <cell r="O7">
            <v>1259479</v>
          </cell>
          <cell r="P7">
            <v>1261000</v>
          </cell>
          <cell r="Q7">
            <v>1265500</v>
          </cell>
          <cell r="R7">
            <v>1244500</v>
          </cell>
          <cell r="S7">
            <v>1268211.026968</v>
          </cell>
          <cell r="T7">
            <v>1314000</v>
          </cell>
          <cell r="U7">
            <v>1287414.3562350001</v>
          </cell>
          <cell r="V7">
            <v>1231749.4846350001</v>
          </cell>
        </row>
        <row r="8">
          <cell r="D8" t="str">
            <v>CA Cement Cl</v>
          </cell>
          <cell r="E8">
            <v>8874172.1854304634</v>
          </cell>
          <cell r="F8">
            <v>8178354.3499954641</v>
          </cell>
          <cell r="G8">
            <v>7819105.5066678757</v>
          </cell>
          <cell r="H8">
            <v>8024000</v>
          </cell>
          <cell r="I8">
            <v>9123000</v>
          </cell>
          <cell r="J8">
            <v>9227000</v>
          </cell>
          <cell r="K8">
            <v>9543000</v>
          </cell>
          <cell r="L8">
            <v>9824000</v>
          </cell>
          <cell r="M8">
            <v>9964000</v>
          </cell>
          <cell r="N8">
            <v>10645000</v>
          </cell>
          <cell r="O8">
            <v>10621222</v>
          </cell>
          <cell r="P8">
            <v>10148000</v>
          </cell>
          <cell r="Q8">
            <v>11187000</v>
          </cell>
          <cell r="R8">
            <v>11283000</v>
          </cell>
          <cell r="S8">
            <v>11592857.162432002</v>
          </cell>
          <cell r="T8">
            <v>11466000</v>
          </cell>
          <cell r="U8">
            <v>11169862.276470002</v>
          </cell>
          <cell r="V8">
            <v>10878756.589004999</v>
          </cell>
        </row>
        <row r="9">
          <cell r="D9" t="str">
            <v>CO Cement Cl</v>
          </cell>
          <cell r="E9">
            <v>613867.97302609694</v>
          </cell>
          <cell r="F9">
            <v>647509.75233602466</v>
          </cell>
          <cell r="G9">
            <v>694457.0443617889</v>
          </cell>
          <cell r="H9">
            <v>848500</v>
          </cell>
          <cell r="I9">
            <v>849000</v>
          </cell>
          <cell r="J9">
            <v>920000</v>
          </cell>
          <cell r="K9">
            <v>914000</v>
          </cell>
          <cell r="L9">
            <v>982000</v>
          </cell>
          <cell r="M9">
            <v>979000</v>
          </cell>
          <cell r="N9">
            <v>998000</v>
          </cell>
          <cell r="O9">
            <v>1070888</v>
          </cell>
          <cell r="P9">
            <v>896500</v>
          </cell>
          <cell r="Q9">
            <v>958000</v>
          </cell>
          <cell r="R9">
            <v>1175000</v>
          </cell>
          <cell r="S9">
            <v>1242896.51104</v>
          </cell>
          <cell r="T9">
            <v>1204500</v>
          </cell>
          <cell r="U9">
            <v>1246704.42936</v>
          </cell>
          <cell r="V9">
            <v>1097126.4057825</v>
          </cell>
        </row>
        <row r="10">
          <cell r="D10" t="str">
            <v>CT Cement Cl</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row>
        <row r="11">
          <cell r="D11" t="str">
            <v>DC Cement Cl</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row>
        <row r="12">
          <cell r="D12" t="str">
            <v>DE Cement Cl</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row>
        <row r="13">
          <cell r="D13" t="str">
            <v>FL Cement Cl</v>
          </cell>
          <cell r="E13">
            <v>2302458.4958722671</v>
          </cell>
          <cell r="F13">
            <v>2300644.107774653</v>
          </cell>
          <cell r="G13">
            <v>2488433.27587771</v>
          </cell>
          <cell r="H13">
            <v>3052000</v>
          </cell>
          <cell r="I13">
            <v>2826000</v>
          </cell>
          <cell r="J13">
            <v>2787000</v>
          </cell>
          <cell r="K13">
            <v>2957000</v>
          </cell>
          <cell r="L13">
            <v>2874000</v>
          </cell>
          <cell r="M13">
            <v>2952000</v>
          </cell>
          <cell r="N13">
            <v>2990000</v>
          </cell>
          <cell r="O13">
            <v>3471985</v>
          </cell>
          <cell r="P13">
            <v>3589000</v>
          </cell>
          <cell r="Q13">
            <v>3677000</v>
          </cell>
          <cell r="R13">
            <v>3868000</v>
          </cell>
          <cell r="S13">
            <v>4757710.1586880004</v>
          </cell>
          <cell r="T13">
            <v>5285000</v>
          </cell>
          <cell r="U13">
            <v>5629612.7210400002</v>
          </cell>
          <cell r="V13">
            <v>5229118.6662750002</v>
          </cell>
        </row>
        <row r="14">
          <cell r="D14" t="str">
            <v>GA Cement Cl</v>
          </cell>
          <cell r="E14">
            <v>946656.98993014602</v>
          </cell>
          <cell r="F14">
            <v>839608.09217091533</v>
          </cell>
          <cell r="G14">
            <v>859112.7642202666</v>
          </cell>
          <cell r="H14">
            <v>1569500</v>
          </cell>
          <cell r="I14">
            <v>1596000</v>
          </cell>
          <cell r="J14">
            <v>1625000</v>
          </cell>
          <cell r="K14">
            <v>810000</v>
          </cell>
          <cell r="L14">
            <v>816000</v>
          </cell>
          <cell r="M14">
            <v>867000</v>
          </cell>
          <cell r="N14">
            <v>895000</v>
          </cell>
          <cell r="O14">
            <v>981393</v>
          </cell>
          <cell r="P14">
            <v>956333.33333333337</v>
          </cell>
          <cell r="Q14">
            <v>882333.33333333337</v>
          </cell>
          <cell r="R14">
            <v>807333.33333333337</v>
          </cell>
          <cell r="S14">
            <v>806968.29070399993</v>
          </cell>
          <cell r="T14">
            <v>748333.33333333337</v>
          </cell>
          <cell r="U14">
            <v>821270.64936499996</v>
          </cell>
          <cell r="V14">
            <v>778551.91250500001</v>
          </cell>
        </row>
        <row r="15">
          <cell r="D15" t="str">
            <v>HI Cement Cl</v>
          </cell>
          <cell r="E15">
            <v>195046.72049351357</v>
          </cell>
          <cell r="F15">
            <v>201397.07883516283</v>
          </cell>
          <cell r="G15">
            <v>195046.72049351357</v>
          </cell>
          <cell r="H15">
            <v>372500</v>
          </cell>
          <cell r="I15">
            <v>413000</v>
          </cell>
          <cell r="J15">
            <v>400000</v>
          </cell>
          <cell r="K15">
            <v>62000</v>
          </cell>
          <cell r="L15">
            <v>0</v>
          </cell>
          <cell r="M15">
            <v>0</v>
          </cell>
          <cell r="N15">
            <v>0</v>
          </cell>
          <cell r="O15">
            <v>0</v>
          </cell>
          <cell r="P15">
            <v>0</v>
          </cell>
          <cell r="Q15">
            <v>0</v>
          </cell>
          <cell r="R15">
            <v>0</v>
          </cell>
          <cell r="S15">
            <v>0</v>
          </cell>
          <cell r="T15">
            <v>0</v>
          </cell>
          <cell r="U15">
            <v>0</v>
          </cell>
          <cell r="V15">
            <v>0</v>
          </cell>
        </row>
        <row r="16">
          <cell r="D16" t="str">
            <v>ID Cement Cl</v>
          </cell>
          <cell r="E16">
            <v>506516.67725059722</v>
          </cell>
          <cell r="F16">
            <v>591188.12180592085</v>
          </cell>
          <cell r="G16">
            <v>520426.98599897174</v>
          </cell>
          <cell r="H16">
            <v>485250</v>
          </cell>
          <cell r="I16">
            <v>517000</v>
          </cell>
          <cell r="J16">
            <v>522000</v>
          </cell>
          <cell r="K16">
            <v>519000</v>
          </cell>
          <cell r="L16">
            <v>556000</v>
          </cell>
          <cell r="M16">
            <v>626000</v>
          </cell>
          <cell r="N16">
            <v>663000</v>
          </cell>
          <cell r="O16">
            <v>694030</v>
          </cell>
          <cell r="P16">
            <v>673750</v>
          </cell>
          <cell r="Q16">
            <v>667500</v>
          </cell>
          <cell r="R16">
            <v>689750</v>
          </cell>
          <cell r="S16">
            <v>694260.65772799996</v>
          </cell>
          <cell r="T16">
            <v>699250</v>
          </cell>
          <cell r="U16">
            <v>700119.34336125001</v>
          </cell>
          <cell r="V16">
            <v>680502.82851374999</v>
          </cell>
        </row>
        <row r="17">
          <cell r="D17" t="str">
            <v>IL Cement Cl</v>
          </cell>
          <cell r="E17">
            <v>2229882.9719677037</v>
          </cell>
          <cell r="F17">
            <v>2305180.0780186881</v>
          </cell>
          <cell r="G17">
            <v>2414043.363875533</v>
          </cell>
          <cell r="H17">
            <v>2279000</v>
          </cell>
          <cell r="I17">
            <v>2332000</v>
          </cell>
          <cell r="J17">
            <v>2345000</v>
          </cell>
          <cell r="K17">
            <v>2557000</v>
          </cell>
          <cell r="L17">
            <v>2412000</v>
          </cell>
          <cell r="M17">
            <v>2474000</v>
          </cell>
          <cell r="N17">
            <v>2561000</v>
          </cell>
          <cell r="O17">
            <v>2524895</v>
          </cell>
          <cell r="P17">
            <v>2497000</v>
          </cell>
          <cell r="Q17">
            <v>2550000</v>
          </cell>
          <cell r="R17">
            <v>2572000</v>
          </cell>
          <cell r="S17">
            <v>2654179.0730559998</v>
          </cell>
          <cell r="T17">
            <v>2721000</v>
          </cell>
          <cell r="U17">
            <v>2575204.28706</v>
          </cell>
          <cell r="V17">
            <v>2868979.8199800001</v>
          </cell>
        </row>
        <row r="18">
          <cell r="D18" t="str">
            <v>IN Cement Cl</v>
          </cell>
          <cell r="E18">
            <v>2299736.9137258455</v>
          </cell>
          <cell r="F18">
            <v>2220811.0314796334</v>
          </cell>
          <cell r="G18">
            <v>2184523.2695273515</v>
          </cell>
          <cell r="H18">
            <v>2149000</v>
          </cell>
          <cell r="I18">
            <v>2317000</v>
          </cell>
          <cell r="J18">
            <v>2435000</v>
          </cell>
          <cell r="K18">
            <v>2355000</v>
          </cell>
          <cell r="L18">
            <v>2495000</v>
          </cell>
          <cell r="M18">
            <v>2577000</v>
          </cell>
          <cell r="N18">
            <v>2481000</v>
          </cell>
          <cell r="O18">
            <v>2537004</v>
          </cell>
          <cell r="P18">
            <v>2855000</v>
          </cell>
          <cell r="Q18">
            <v>3070000</v>
          </cell>
          <cell r="R18">
            <v>2975000</v>
          </cell>
          <cell r="S18">
            <v>3162927.860256</v>
          </cell>
          <cell r="T18">
            <v>3161000</v>
          </cell>
          <cell r="U18">
            <v>3100595.943885</v>
          </cell>
          <cell r="V18">
            <v>3082464.0372899999</v>
          </cell>
        </row>
        <row r="19">
          <cell r="D19" t="str">
            <v>IA Cement Cl</v>
          </cell>
          <cell r="E19">
            <v>1923251.3834709243</v>
          </cell>
          <cell r="F19">
            <v>2099247.0289394902</v>
          </cell>
          <cell r="G19">
            <v>2130091.6265989295</v>
          </cell>
          <cell r="H19">
            <v>1115666.6666666667</v>
          </cell>
          <cell r="I19">
            <v>1212000</v>
          </cell>
          <cell r="J19">
            <v>1157000</v>
          </cell>
          <cell r="K19">
            <v>1211000</v>
          </cell>
          <cell r="L19">
            <v>1312000</v>
          </cell>
          <cell r="M19">
            <v>1340000</v>
          </cell>
          <cell r="N19">
            <v>1297000</v>
          </cell>
          <cell r="O19">
            <v>1325320</v>
          </cell>
          <cell r="P19">
            <v>1313000</v>
          </cell>
          <cell r="Q19">
            <v>1375666.6666666667</v>
          </cell>
          <cell r="R19">
            <v>1353333.3333333333</v>
          </cell>
          <cell r="S19">
            <v>1282945.0559039998</v>
          </cell>
          <cell r="T19">
            <v>1364333.3333333333</v>
          </cell>
          <cell r="U19">
            <v>1407269.5216700002</v>
          </cell>
          <cell r="V19">
            <v>1396892.5348499999</v>
          </cell>
        </row>
        <row r="20">
          <cell r="D20" t="str">
            <v>KS Cement Cl</v>
          </cell>
          <cell r="E20">
            <v>1529529.166288669</v>
          </cell>
          <cell r="F20">
            <v>1395264.4470652272</v>
          </cell>
          <cell r="G20">
            <v>0</v>
          </cell>
          <cell r="H20">
            <v>1458000</v>
          </cell>
          <cell r="I20">
            <v>1588000</v>
          </cell>
          <cell r="J20">
            <v>1643000</v>
          </cell>
          <cell r="K20">
            <v>1619000</v>
          </cell>
          <cell r="L20">
            <v>1635000</v>
          </cell>
          <cell r="M20">
            <v>1672000</v>
          </cell>
          <cell r="N20">
            <v>1735000</v>
          </cell>
          <cell r="O20">
            <v>1793058</v>
          </cell>
          <cell r="P20">
            <v>1789000</v>
          </cell>
          <cell r="Q20">
            <v>2373000</v>
          </cell>
          <cell r="R20">
            <v>2203000</v>
          </cell>
          <cell r="S20">
            <v>2607939.9045759998</v>
          </cell>
          <cell r="T20">
            <v>2792000</v>
          </cell>
          <cell r="U20">
            <v>2951001.137385</v>
          </cell>
          <cell r="V20">
            <v>2626479.2904449999</v>
          </cell>
        </row>
        <row r="21">
          <cell r="D21" t="str">
            <v>KY Cement Cl</v>
          </cell>
          <cell r="E21">
            <v>707006.56203695305</v>
          </cell>
          <cell r="F21">
            <v>596631.28609876311</v>
          </cell>
          <cell r="G21">
            <v>623242.31153043639</v>
          </cell>
          <cell r="H21">
            <v>621666.66666666663</v>
          </cell>
          <cell r="I21">
            <v>629000</v>
          </cell>
          <cell r="J21">
            <v>693000</v>
          </cell>
          <cell r="K21">
            <v>684000</v>
          </cell>
          <cell r="L21">
            <v>727000</v>
          </cell>
          <cell r="M21">
            <v>745000</v>
          </cell>
          <cell r="N21">
            <v>759000</v>
          </cell>
          <cell r="O21">
            <v>680446</v>
          </cell>
          <cell r="P21">
            <v>973333.33333333337</v>
          </cell>
          <cell r="Q21">
            <v>989333.33333333337</v>
          </cell>
          <cell r="R21">
            <v>1013666.6666666666</v>
          </cell>
          <cell r="S21">
            <v>1036154.1157546665</v>
          </cell>
          <cell r="T21">
            <v>1044333.3333333334</v>
          </cell>
          <cell r="U21">
            <v>1093404.0745300001</v>
          </cell>
          <cell r="V21">
            <v>1105536.4643250001</v>
          </cell>
        </row>
        <row r="22">
          <cell r="D22" t="str">
            <v>LA Cement Cl</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row>
        <row r="23">
          <cell r="D23" t="str">
            <v>ME Cement Cl</v>
          </cell>
          <cell r="E23">
            <v>1292751.5195500315</v>
          </cell>
          <cell r="F23">
            <v>1281411.5939399437</v>
          </cell>
          <cell r="G23">
            <v>1387099.7006259637</v>
          </cell>
          <cell r="H23">
            <v>1525500</v>
          </cell>
          <cell r="I23">
            <v>1402000</v>
          </cell>
          <cell r="J23">
            <v>1475000</v>
          </cell>
          <cell r="K23">
            <v>1370000</v>
          </cell>
          <cell r="L23">
            <v>1484000</v>
          </cell>
          <cell r="M23">
            <v>1554500</v>
          </cell>
          <cell r="N23">
            <v>1551000</v>
          </cell>
          <cell r="O23">
            <v>1543872</v>
          </cell>
          <cell r="P23">
            <v>1547000</v>
          </cell>
          <cell r="Q23">
            <v>1554500</v>
          </cell>
          <cell r="R23">
            <v>1452500</v>
          </cell>
          <cell r="S23">
            <v>1527501.4506639999</v>
          </cell>
          <cell r="T23">
            <v>1536000</v>
          </cell>
          <cell r="U23">
            <v>1546997.6329125001</v>
          </cell>
          <cell r="V23">
            <v>1589489.7247200001</v>
          </cell>
        </row>
        <row r="24">
          <cell r="D24" t="str">
            <v>MD Cement Cl</v>
          </cell>
          <cell r="E24">
            <v>1662886.6914633038</v>
          </cell>
          <cell r="F24">
            <v>1591218.3616075478</v>
          </cell>
          <cell r="G24">
            <v>1412501.1339925609</v>
          </cell>
          <cell r="H24">
            <v>1034000</v>
          </cell>
          <cell r="I24">
            <v>1036000</v>
          </cell>
          <cell r="J24">
            <v>1032000</v>
          </cell>
          <cell r="K24">
            <v>1562000</v>
          </cell>
          <cell r="L24">
            <v>1684000</v>
          </cell>
          <cell r="M24">
            <v>1682000</v>
          </cell>
          <cell r="N24">
            <v>1635000</v>
          </cell>
          <cell r="O24">
            <v>1652435</v>
          </cell>
          <cell r="P24">
            <v>1622000</v>
          </cell>
          <cell r="Q24">
            <v>1975000</v>
          </cell>
          <cell r="R24">
            <v>2083000</v>
          </cell>
          <cell r="S24">
            <v>2494564.5841759997</v>
          </cell>
          <cell r="T24">
            <v>2458000</v>
          </cell>
          <cell r="U24">
            <v>2663159.5015500002</v>
          </cell>
          <cell r="V24">
            <v>2828704.4347200003</v>
          </cell>
        </row>
        <row r="25">
          <cell r="D25" t="str">
            <v>MA Cement Cl</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row>
        <row r="26">
          <cell r="D26" t="str">
            <v>MI Cement Cl</v>
          </cell>
          <cell r="E26">
            <v>4385376.0319332303</v>
          </cell>
          <cell r="F26">
            <v>3965345.1873355708</v>
          </cell>
          <cell r="G26">
            <v>3847409.9609906557</v>
          </cell>
          <cell r="H26">
            <v>3895000</v>
          </cell>
          <cell r="I26">
            <v>3896000</v>
          </cell>
          <cell r="J26">
            <v>4150000</v>
          </cell>
          <cell r="K26">
            <v>4116000</v>
          </cell>
          <cell r="L26">
            <v>4254000</v>
          </cell>
          <cell r="M26">
            <v>4201000</v>
          </cell>
          <cell r="N26">
            <v>4252000</v>
          </cell>
          <cell r="O26">
            <v>4355232</v>
          </cell>
          <cell r="P26">
            <v>4305000</v>
          </cell>
          <cell r="Q26">
            <v>4082000</v>
          </cell>
          <cell r="R26">
            <v>4001000</v>
          </cell>
          <cell r="S26">
            <v>4076874.0097920001</v>
          </cell>
          <cell r="T26">
            <v>4111000</v>
          </cell>
          <cell r="U26">
            <v>4118531.9030550001</v>
          </cell>
          <cell r="V26">
            <v>4112331.2935800003</v>
          </cell>
        </row>
        <row r="27">
          <cell r="D27" t="str">
            <v>MN Cement Cl</v>
          </cell>
          <cell r="E27">
            <v>0</v>
          </cell>
          <cell r="F27">
            <v>0</v>
          </cell>
          <cell r="G27">
            <v>0</v>
          </cell>
          <cell r="H27">
            <v>0</v>
          </cell>
          <cell r="I27">
            <v>629000</v>
          </cell>
          <cell r="J27">
            <v>0</v>
          </cell>
          <cell r="K27">
            <v>0</v>
          </cell>
          <cell r="L27">
            <v>0</v>
          </cell>
          <cell r="M27">
            <v>0</v>
          </cell>
          <cell r="N27">
            <v>0</v>
          </cell>
          <cell r="O27">
            <v>0</v>
          </cell>
          <cell r="P27">
            <v>0</v>
          </cell>
          <cell r="Q27">
            <v>0</v>
          </cell>
          <cell r="R27">
            <v>0</v>
          </cell>
          <cell r="S27">
            <v>0</v>
          </cell>
          <cell r="T27">
            <v>0</v>
          </cell>
          <cell r="U27">
            <v>0</v>
          </cell>
          <cell r="V27">
            <v>0</v>
          </cell>
        </row>
        <row r="28">
          <cell r="D28" t="str">
            <v>MS Cement Cl</v>
          </cell>
          <cell r="E28">
            <v>591036.9227977863</v>
          </cell>
          <cell r="F28">
            <v>564274.69835797872</v>
          </cell>
          <cell r="G28">
            <v>593758.5049442075</v>
          </cell>
          <cell r="H28">
            <v>621666.66666666663</v>
          </cell>
          <cell r="I28">
            <v>0</v>
          </cell>
          <cell r="J28">
            <v>693000</v>
          </cell>
          <cell r="K28">
            <v>684000</v>
          </cell>
          <cell r="L28">
            <v>727000</v>
          </cell>
          <cell r="M28">
            <v>745000</v>
          </cell>
          <cell r="N28">
            <v>759000</v>
          </cell>
          <cell r="O28">
            <v>680446</v>
          </cell>
          <cell r="P28">
            <v>973333.33333333337</v>
          </cell>
          <cell r="Q28">
            <v>989333.33333333337</v>
          </cell>
          <cell r="R28">
            <v>1013666.6666666666</v>
          </cell>
          <cell r="S28">
            <v>1036154.1157546665</v>
          </cell>
          <cell r="T28">
            <v>1044333.3333333334</v>
          </cell>
          <cell r="U28">
            <v>1093404.0745300001</v>
          </cell>
          <cell r="V28">
            <v>1105536.4643250001</v>
          </cell>
        </row>
        <row r="29">
          <cell r="D29" t="str">
            <v>MO Cement Cl</v>
          </cell>
          <cell r="E29">
            <v>4037920.7112401342</v>
          </cell>
          <cell r="F29">
            <v>3954458.8587498865</v>
          </cell>
          <cell r="G29">
            <v>4036106.3231425202</v>
          </cell>
          <cell r="H29">
            <v>3975000</v>
          </cell>
          <cell r="I29">
            <v>4322000</v>
          </cell>
          <cell r="J29">
            <v>4160000</v>
          </cell>
          <cell r="K29">
            <v>4195000</v>
          </cell>
          <cell r="L29">
            <v>4711000</v>
          </cell>
          <cell r="M29">
            <v>4472000</v>
          </cell>
          <cell r="N29">
            <v>4526000</v>
          </cell>
          <cell r="O29">
            <v>4525827</v>
          </cell>
          <cell r="P29">
            <v>4308000</v>
          </cell>
          <cell r="Q29">
            <v>4512000</v>
          </cell>
          <cell r="R29">
            <v>4869000</v>
          </cell>
          <cell r="S29">
            <v>5015077.3523040004</v>
          </cell>
          <cell r="T29">
            <v>4871000</v>
          </cell>
          <cell r="U29">
            <v>4757255.4603749998</v>
          </cell>
          <cell r="V29">
            <v>4927050.5552700004</v>
          </cell>
        </row>
        <row r="30">
          <cell r="D30" t="str">
            <v>MT Cement Cl</v>
          </cell>
          <cell r="E30">
            <v>506516.67725059722</v>
          </cell>
          <cell r="F30">
            <v>591188.12180592085</v>
          </cell>
          <cell r="G30">
            <v>520426.98599897174</v>
          </cell>
          <cell r="H30">
            <v>485250</v>
          </cell>
          <cell r="I30">
            <v>517000</v>
          </cell>
          <cell r="J30">
            <v>522000</v>
          </cell>
          <cell r="K30">
            <v>519000</v>
          </cell>
          <cell r="L30">
            <v>556000</v>
          </cell>
          <cell r="M30">
            <v>626000</v>
          </cell>
          <cell r="N30">
            <v>663000</v>
          </cell>
          <cell r="O30">
            <v>694030</v>
          </cell>
          <cell r="P30">
            <v>673750</v>
          </cell>
          <cell r="Q30">
            <v>667500</v>
          </cell>
          <cell r="R30">
            <v>689750</v>
          </cell>
          <cell r="S30">
            <v>694260.65772799996</v>
          </cell>
          <cell r="T30">
            <v>699250</v>
          </cell>
          <cell r="U30">
            <v>700119.34336125001</v>
          </cell>
          <cell r="V30">
            <v>680502.82851374999</v>
          </cell>
        </row>
        <row r="31">
          <cell r="D31" t="str">
            <v>NE Cement Cl</v>
          </cell>
          <cell r="E31">
            <v>613867.97302609694</v>
          </cell>
          <cell r="F31">
            <v>647509.75233602466</v>
          </cell>
          <cell r="G31">
            <v>694457.0443617889</v>
          </cell>
          <cell r="H31">
            <v>1115666.6666666667</v>
          </cell>
          <cell r="I31">
            <v>1212000</v>
          </cell>
          <cell r="J31">
            <v>1157000</v>
          </cell>
          <cell r="K31">
            <v>1211000</v>
          </cell>
          <cell r="L31">
            <v>1312000</v>
          </cell>
          <cell r="M31">
            <v>1340000</v>
          </cell>
          <cell r="N31">
            <v>1297000</v>
          </cell>
          <cell r="O31">
            <v>1325320</v>
          </cell>
          <cell r="P31">
            <v>1313000</v>
          </cell>
          <cell r="Q31">
            <v>1375666.6666666667</v>
          </cell>
          <cell r="R31">
            <v>1353333.3333333333</v>
          </cell>
          <cell r="S31">
            <v>1282945.0559039998</v>
          </cell>
          <cell r="T31">
            <v>1364333.3333333333</v>
          </cell>
          <cell r="U31">
            <v>1407269.5216700002</v>
          </cell>
          <cell r="V31">
            <v>1396892.5348499999</v>
          </cell>
        </row>
        <row r="32">
          <cell r="D32" t="str">
            <v>NV Cement Cl</v>
          </cell>
          <cell r="E32">
            <v>557319.54398379149</v>
          </cell>
          <cell r="F32">
            <v>953460.94529619883</v>
          </cell>
          <cell r="G32">
            <v>545526.02134929993</v>
          </cell>
          <cell r="H32">
            <v>485250</v>
          </cell>
          <cell r="I32">
            <v>517000</v>
          </cell>
          <cell r="J32">
            <v>522000</v>
          </cell>
          <cell r="K32">
            <v>519000</v>
          </cell>
          <cell r="L32">
            <v>556000</v>
          </cell>
          <cell r="M32">
            <v>626000</v>
          </cell>
          <cell r="N32">
            <v>663000</v>
          </cell>
          <cell r="O32">
            <v>694030</v>
          </cell>
          <cell r="P32">
            <v>673750</v>
          </cell>
          <cell r="Q32">
            <v>667500</v>
          </cell>
          <cell r="R32">
            <v>689750</v>
          </cell>
          <cell r="S32">
            <v>694260.65772799996</v>
          </cell>
          <cell r="T32">
            <v>699250</v>
          </cell>
          <cell r="U32">
            <v>700119.34336125001</v>
          </cell>
          <cell r="V32">
            <v>680502.82851374999</v>
          </cell>
        </row>
        <row r="33">
          <cell r="D33" t="str">
            <v>NH Cement Cl</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row>
        <row r="34">
          <cell r="D34" t="str">
            <v>NJ Cement Cl</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row>
        <row r="35">
          <cell r="D35" t="str">
            <v>NM Cement Cl</v>
          </cell>
          <cell r="E35">
            <v>557319.54398379149</v>
          </cell>
          <cell r="F35">
            <v>953460.94529619883</v>
          </cell>
          <cell r="G35">
            <v>545526.02134929993</v>
          </cell>
          <cell r="H35">
            <v>788500</v>
          </cell>
          <cell r="I35">
            <v>940000</v>
          </cell>
          <cell r="J35">
            <v>987000</v>
          </cell>
          <cell r="K35">
            <v>1055000</v>
          </cell>
          <cell r="L35">
            <v>1085000</v>
          </cell>
          <cell r="M35">
            <v>1092000</v>
          </cell>
          <cell r="N35">
            <v>1113000</v>
          </cell>
          <cell r="O35">
            <v>1094173</v>
          </cell>
          <cell r="P35">
            <v>1100500</v>
          </cell>
          <cell r="Q35">
            <v>1073500</v>
          </cell>
          <cell r="R35">
            <v>1277000</v>
          </cell>
          <cell r="S35">
            <v>1282890.6248639999</v>
          </cell>
          <cell r="T35">
            <v>1302000</v>
          </cell>
          <cell r="U35">
            <v>1313621.5701075001</v>
          </cell>
          <cell r="V35">
            <v>1249832.8568325001</v>
          </cell>
        </row>
        <row r="36">
          <cell r="D36" t="str">
            <v>NY Cement Cl</v>
          </cell>
          <cell r="E36">
            <v>1292751.5195500315</v>
          </cell>
          <cell r="F36">
            <v>1281411.5939399437</v>
          </cell>
          <cell r="G36">
            <v>1387099.7006259637</v>
          </cell>
          <cell r="H36">
            <v>1525500</v>
          </cell>
          <cell r="I36">
            <v>1402000</v>
          </cell>
          <cell r="J36">
            <v>1475000</v>
          </cell>
          <cell r="K36">
            <v>1370000</v>
          </cell>
          <cell r="L36">
            <v>1484000</v>
          </cell>
          <cell r="M36">
            <v>1554500</v>
          </cell>
          <cell r="N36">
            <v>1551000</v>
          </cell>
          <cell r="O36">
            <v>1543872</v>
          </cell>
          <cell r="P36">
            <v>1547000</v>
          </cell>
          <cell r="Q36">
            <v>1554500</v>
          </cell>
          <cell r="R36">
            <v>1452500</v>
          </cell>
          <cell r="S36">
            <v>1527501.4506639999</v>
          </cell>
          <cell r="T36">
            <v>1536000</v>
          </cell>
          <cell r="U36">
            <v>1546997.6329125001</v>
          </cell>
          <cell r="V36">
            <v>1589489.7247200001</v>
          </cell>
        </row>
        <row r="37">
          <cell r="D37" t="str">
            <v>NC Cement Cl</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row>
        <row r="38">
          <cell r="D38" t="str">
            <v>ND Cement Cl</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row>
        <row r="39">
          <cell r="D39" t="str">
            <v>OH Cement Cl</v>
          </cell>
          <cell r="E39">
            <v>1215640.0254014335</v>
          </cell>
          <cell r="F39">
            <v>1233783.9063775742</v>
          </cell>
          <cell r="G39">
            <v>1182981.0396443799</v>
          </cell>
          <cell r="H39">
            <v>1240000</v>
          </cell>
          <cell r="I39">
            <v>901000</v>
          </cell>
          <cell r="J39">
            <v>902000</v>
          </cell>
          <cell r="K39">
            <v>928000</v>
          </cell>
          <cell r="L39">
            <v>980000</v>
          </cell>
          <cell r="M39">
            <v>1016000</v>
          </cell>
          <cell r="N39">
            <v>1062000</v>
          </cell>
          <cell r="O39">
            <v>1026340</v>
          </cell>
          <cell r="P39">
            <v>1058000</v>
          </cell>
          <cell r="Q39">
            <v>976000</v>
          </cell>
          <cell r="R39">
            <v>993000</v>
          </cell>
          <cell r="S39">
            <v>1014776.0224</v>
          </cell>
          <cell r="T39">
            <v>1010000</v>
          </cell>
          <cell r="U39">
            <v>1048763.012655</v>
          </cell>
          <cell r="V39">
            <v>877042.87118999998</v>
          </cell>
        </row>
        <row r="40">
          <cell r="D40" t="str">
            <v>OK Cement Cl</v>
          </cell>
          <cell r="E40">
            <v>1208382.473010977</v>
          </cell>
          <cell r="F40">
            <v>1216547.2194502405</v>
          </cell>
          <cell r="G40">
            <v>1257370.9516465571</v>
          </cell>
          <cell r="H40">
            <v>1177000</v>
          </cell>
          <cell r="I40">
            <v>1186000</v>
          </cell>
          <cell r="J40">
            <v>1250000</v>
          </cell>
          <cell r="K40">
            <v>1253000</v>
          </cell>
          <cell r="L40">
            <v>1262000</v>
          </cell>
          <cell r="M40">
            <v>1251000</v>
          </cell>
          <cell r="N40">
            <v>1231000</v>
          </cell>
          <cell r="O40">
            <v>1259479</v>
          </cell>
          <cell r="P40">
            <v>1261000</v>
          </cell>
          <cell r="Q40">
            <v>1265500</v>
          </cell>
          <cell r="R40">
            <v>1244500</v>
          </cell>
          <cell r="S40">
            <v>1268211.026968</v>
          </cell>
          <cell r="T40">
            <v>1314000</v>
          </cell>
          <cell r="U40">
            <v>1287414.3562350001</v>
          </cell>
          <cell r="V40">
            <v>1231749.4846350001</v>
          </cell>
        </row>
        <row r="41">
          <cell r="D41" t="str">
            <v>OR Cement Cl</v>
          </cell>
          <cell r="E41">
            <v>0</v>
          </cell>
          <cell r="F41">
            <v>267924.64241434576</v>
          </cell>
          <cell r="G41">
            <v>335359.40004233574</v>
          </cell>
          <cell r="H41">
            <v>372500</v>
          </cell>
          <cell r="I41">
            <v>413000</v>
          </cell>
          <cell r="J41">
            <v>400000</v>
          </cell>
          <cell r="K41">
            <v>694000</v>
          </cell>
          <cell r="L41">
            <v>733000</v>
          </cell>
          <cell r="M41">
            <v>768000</v>
          </cell>
          <cell r="N41">
            <v>883000</v>
          </cell>
          <cell r="O41">
            <v>860339</v>
          </cell>
          <cell r="P41">
            <v>828000</v>
          </cell>
          <cell r="Q41">
            <v>830000</v>
          </cell>
          <cell r="R41">
            <v>715000</v>
          </cell>
          <cell r="S41">
            <v>816081.40757599997</v>
          </cell>
          <cell r="T41">
            <v>857500</v>
          </cell>
          <cell r="U41">
            <v>878790.56309249997</v>
          </cell>
          <cell r="V41">
            <v>871274.53536750004</v>
          </cell>
        </row>
        <row r="42">
          <cell r="D42" t="str">
            <v>PA Cement Cl</v>
          </cell>
          <cell r="E42">
            <v>5141975.8686383013</v>
          </cell>
          <cell r="F42">
            <v>4848952.1908736276</v>
          </cell>
          <cell r="G42">
            <v>5327950.6486437451</v>
          </cell>
          <cell r="H42">
            <v>5309000</v>
          </cell>
          <cell r="I42">
            <v>5511000</v>
          </cell>
          <cell r="J42">
            <v>5956000</v>
          </cell>
          <cell r="K42">
            <v>5538000</v>
          </cell>
          <cell r="L42">
            <v>6082000</v>
          </cell>
          <cell r="M42">
            <v>6290000</v>
          </cell>
          <cell r="N42">
            <v>6490000</v>
          </cell>
          <cell r="O42">
            <v>6500478</v>
          </cell>
          <cell r="P42">
            <v>6101000</v>
          </cell>
          <cell r="Q42">
            <v>6128000</v>
          </cell>
          <cell r="R42">
            <v>5498000</v>
          </cell>
          <cell r="S42">
            <v>5927972.075584</v>
          </cell>
          <cell r="T42">
            <v>6054000</v>
          </cell>
          <cell r="U42">
            <v>5716820.4150899993</v>
          </cell>
          <cell r="V42">
            <v>5470652.1365999999</v>
          </cell>
        </row>
        <row r="43">
          <cell r="D43" t="str">
            <v>PR Cement Cl</v>
          </cell>
          <cell r="E43">
            <v>0</v>
          </cell>
          <cell r="F43">
            <v>0</v>
          </cell>
          <cell r="G43">
            <v>0</v>
          </cell>
          <cell r="H43">
            <v>0</v>
          </cell>
          <cell r="I43">
            <v>0</v>
          </cell>
          <cell r="J43">
            <v>1274000</v>
          </cell>
          <cell r="K43">
            <v>1345000</v>
          </cell>
          <cell r="L43">
            <v>1426000</v>
          </cell>
          <cell r="M43">
            <v>1319000</v>
          </cell>
          <cell r="N43">
            <v>1334000</v>
          </cell>
          <cell r="O43">
            <v>1472682</v>
          </cell>
          <cell r="P43">
            <v>1546000</v>
          </cell>
          <cell r="Q43">
            <v>1443000</v>
          </cell>
          <cell r="R43">
            <v>1434000</v>
          </cell>
          <cell r="S43">
            <v>1532786.2510559999</v>
          </cell>
          <cell r="T43">
            <v>1532786.2510559999</v>
          </cell>
          <cell r="U43">
            <v>1490170.203735</v>
          </cell>
          <cell r="V43">
            <v>1335928.7956650001</v>
          </cell>
        </row>
        <row r="44">
          <cell r="D44" t="str">
            <v>RI Cement Cl</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row>
        <row r="45">
          <cell r="D45" t="str">
            <v>SC Cement Cl</v>
          </cell>
          <cell r="E45">
            <v>2139163.5670869998</v>
          </cell>
          <cell r="F45">
            <v>2028485.8931325409</v>
          </cell>
          <cell r="G45">
            <v>2004898.847863558</v>
          </cell>
          <cell r="H45">
            <v>1569500</v>
          </cell>
          <cell r="I45">
            <v>1596000</v>
          </cell>
          <cell r="J45">
            <v>1625000</v>
          </cell>
          <cell r="K45">
            <v>2175000</v>
          </cell>
          <cell r="L45">
            <v>2221000</v>
          </cell>
          <cell r="M45">
            <v>2315000</v>
          </cell>
          <cell r="N45">
            <v>2358000</v>
          </cell>
          <cell r="O45">
            <v>2510360</v>
          </cell>
          <cell r="P45">
            <v>2478000</v>
          </cell>
          <cell r="Q45">
            <v>2445000</v>
          </cell>
          <cell r="R45">
            <v>2628000</v>
          </cell>
          <cell r="S45">
            <v>3145474.5472800001</v>
          </cell>
          <cell r="T45">
            <v>3147000</v>
          </cell>
          <cell r="U45">
            <v>3524919.0270449999</v>
          </cell>
          <cell r="V45">
            <v>3511872.7995600002</v>
          </cell>
        </row>
        <row r="46">
          <cell r="D46" t="str">
            <v>SD Cement Cl</v>
          </cell>
          <cell r="E46">
            <v>0</v>
          </cell>
          <cell r="F46">
            <v>647509.75233602466</v>
          </cell>
          <cell r="G46">
            <v>694457.0443617889</v>
          </cell>
          <cell r="H46">
            <v>1115666.6666666667</v>
          </cell>
          <cell r="I46">
            <v>1212000</v>
          </cell>
          <cell r="J46">
            <v>1157000</v>
          </cell>
          <cell r="K46">
            <v>1211000</v>
          </cell>
          <cell r="L46">
            <v>1312000</v>
          </cell>
          <cell r="M46">
            <v>1340000</v>
          </cell>
          <cell r="N46">
            <v>1297000</v>
          </cell>
          <cell r="O46">
            <v>1325320</v>
          </cell>
          <cell r="P46">
            <v>1313000</v>
          </cell>
          <cell r="Q46">
            <v>1375666.6666666667</v>
          </cell>
          <cell r="R46">
            <v>1353333.3333333333</v>
          </cell>
          <cell r="S46">
            <v>1282945.0559039998</v>
          </cell>
          <cell r="T46">
            <v>1364333.3333333333</v>
          </cell>
          <cell r="U46">
            <v>1407269.5216700002</v>
          </cell>
          <cell r="V46">
            <v>1396892.5348499999</v>
          </cell>
        </row>
        <row r="47">
          <cell r="D47" t="str">
            <v>TN Cement Cl</v>
          </cell>
          <cell r="E47">
            <v>946656.98993014602</v>
          </cell>
          <cell r="F47">
            <v>839608.09217091533</v>
          </cell>
          <cell r="G47">
            <v>859112.7642202666</v>
          </cell>
          <cell r="H47">
            <v>621666.66666666663</v>
          </cell>
          <cell r="I47">
            <v>629000</v>
          </cell>
          <cell r="J47">
            <v>693000</v>
          </cell>
          <cell r="K47">
            <v>684000</v>
          </cell>
          <cell r="L47">
            <v>727000</v>
          </cell>
          <cell r="M47">
            <v>745000</v>
          </cell>
          <cell r="N47">
            <v>759000</v>
          </cell>
          <cell r="O47">
            <v>680446</v>
          </cell>
          <cell r="P47">
            <v>973333.33333333337</v>
          </cell>
          <cell r="Q47">
            <v>989333.33333333337</v>
          </cell>
          <cell r="R47">
            <v>1013666.6666666666</v>
          </cell>
          <cell r="S47">
            <v>1036154.1157546665</v>
          </cell>
          <cell r="T47">
            <v>1044333.3333333334</v>
          </cell>
          <cell r="U47">
            <v>1093404.0745300001</v>
          </cell>
          <cell r="V47">
            <v>1105536.4643250001</v>
          </cell>
        </row>
        <row r="48">
          <cell r="D48" t="str">
            <v>TX Cement Cl</v>
          </cell>
          <cell r="E48">
            <v>6756781.2755148327</v>
          </cell>
          <cell r="F48">
            <v>6587135.9883879162</v>
          </cell>
          <cell r="G48">
            <v>6985394.1758142067</v>
          </cell>
          <cell r="H48">
            <v>7320000</v>
          </cell>
          <cell r="I48">
            <v>7587000</v>
          </cell>
          <cell r="J48">
            <v>7862000</v>
          </cell>
          <cell r="K48">
            <v>8042000</v>
          </cell>
          <cell r="L48">
            <v>7885000</v>
          </cell>
          <cell r="M48">
            <v>8072000</v>
          </cell>
          <cell r="N48">
            <v>8220000</v>
          </cell>
          <cell r="O48">
            <v>8879836</v>
          </cell>
          <cell r="P48">
            <v>9864000</v>
          </cell>
          <cell r="Q48">
            <v>10373000</v>
          </cell>
          <cell r="R48">
            <v>10308000</v>
          </cell>
          <cell r="S48">
            <v>10728760.773696</v>
          </cell>
          <cell r="T48">
            <v>10748000</v>
          </cell>
          <cell r="U48">
            <v>10799957.59272</v>
          </cell>
          <cell r="V48">
            <v>10174300.220954999</v>
          </cell>
        </row>
        <row r="49">
          <cell r="D49" t="str">
            <v>UT Cement Cl</v>
          </cell>
          <cell r="E49">
            <v>506516.67725059722</v>
          </cell>
          <cell r="F49">
            <v>591188.12180592085</v>
          </cell>
          <cell r="G49">
            <v>520426.98599897174</v>
          </cell>
          <cell r="H49">
            <v>485250</v>
          </cell>
          <cell r="I49">
            <v>517000</v>
          </cell>
          <cell r="J49">
            <v>522000</v>
          </cell>
          <cell r="K49">
            <v>519000</v>
          </cell>
          <cell r="L49">
            <v>556000</v>
          </cell>
          <cell r="M49">
            <v>626000</v>
          </cell>
          <cell r="N49">
            <v>663000</v>
          </cell>
          <cell r="O49">
            <v>694030</v>
          </cell>
          <cell r="P49">
            <v>673750</v>
          </cell>
          <cell r="Q49">
            <v>667500</v>
          </cell>
          <cell r="R49">
            <v>689750</v>
          </cell>
          <cell r="S49">
            <v>694260.65772799996</v>
          </cell>
          <cell r="T49">
            <v>699250</v>
          </cell>
          <cell r="U49">
            <v>700119.34336125001</v>
          </cell>
          <cell r="V49">
            <v>680502.82851374999</v>
          </cell>
        </row>
        <row r="50">
          <cell r="D50" t="str">
            <v>VT Cement Cl</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row>
        <row r="51">
          <cell r="D51" t="str">
            <v>VA Cement Cl</v>
          </cell>
          <cell r="E51">
            <v>707006.56203695305</v>
          </cell>
          <cell r="F51">
            <v>596631.28609876311</v>
          </cell>
          <cell r="G51">
            <v>623242.31153043639</v>
          </cell>
          <cell r="H51">
            <v>1034000</v>
          </cell>
          <cell r="I51">
            <v>1036000</v>
          </cell>
          <cell r="J51">
            <v>1032000</v>
          </cell>
          <cell r="K51">
            <v>810000</v>
          </cell>
          <cell r="L51">
            <v>816000</v>
          </cell>
          <cell r="M51">
            <v>867000</v>
          </cell>
          <cell r="N51">
            <v>895000</v>
          </cell>
          <cell r="O51">
            <v>981393</v>
          </cell>
          <cell r="P51">
            <v>956333.33333333337</v>
          </cell>
          <cell r="Q51">
            <v>882333.33333333337</v>
          </cell>
          <cell r="R51">
            <v>807333.33333333337</v>
          </cell>
          <cell r="S51">
            <v>806968.29070399993</v>
          </cell>
          <cell r="T51">
            <v>748333.33333333337</v>
          </cell>
          <cell r="U51">
            <v>821270.64936499996</v>
          </cell>
          <cell r="V51">
            <v>778551.91250500001</v>
          </cell>
        </row>
        <row r="52">
          <cell r="D52" t="str">
            <v>WA Cement Cl</v>
          </cell>
          <cell r="E52">
            <v>0</v>
          </cell>
          <cell r="F52">
            <v>267924.64241434576</v>
          </cell>
          <cell r="G52">
            <v>335359.40004233574</v>
          </cell>
          <cell r="H52">
            <v>372500</v>
          </cell>
          <cell r="I52">
            <v>413000</v>
          </cell>
          <cell r="J52">
            <v>400000</v>
          </cell>
          <cell r="K52">
            <v>694000</v>
          </cell>
          <cell r="L52">
            <v>733000</v>
          </cell>
          <cell r="M52">
            <v>768000</v>
          </cell>
          <cell r="N52">
            <v>883000</v>
          </cell>
          <cell r="O52">
            <v>860339</v>
          </cell>
          <cell r="P52">
            <v>828000</v>
          </cell>
          <cell r="Q52">
            <v>830000</v>
          </cell>
          <cell r="R52">
            <v>715000</v>
          </cell>
          <cell r="S52">
            <v>816081.40757599997</v>
          </cell>
          <cell r="T52">
            <v>857500</v>
          </cell>
          <cell r="U52">
            <v>878790.56309249997</v>
          </cell>
          <cell r="V52">
            <v>871274.53536750004</v>
          </cell>
        </row>
        <row r="53">
          <cell r="D53" t="str">
            <v>WV Cement Cl</v>
          </cell>
          <cell r="E53">
            <v>707006.56203695305</v>
          </cell>
          <cell r="F53">
            <v>596631.28609876311</v>
          </cell>
          <cell r="G53">
            <v>623242.31153043639</v>
          </cell>
          <cell r="H53">
            <v>1034000</v>
          </cell>
          <cell r="I53">
            <v>1036000</v>
          </cell>
          <cell r="J53">
            <v>1032000</v>
          </cell>
          <cell r="K53">
            <v>810000</v>
          </cell>
          <cell r="L53">
            <v>816000</v>
          </cell>
          <cell r="M53">
            <v>867000</v>
          </cell>
          <cell r="N53">
            <v>895000</v>
          </cell>
          <cell r="O53">
            <v>981393</v>
          </cell>
          <cell r="P53">
            <v>956333.33333333337</v>
          </cell>
          <cell r="Q53">
            <v>882333.33333333337</v>
          </cell>
          <cell r="R53">
            <v>807333.33333333337</v>
          </cell>
          <cell r="S53">
            <v>806968.29070399993</v>
          </cell>
          <cell r="T53">
            <v>748333.33333333337</v>
          </cell>
          <cell r="U53">
            <v>821270.64936499996</v>
          </cell>
          <cell r="V53">
            <v>778551.91250500001</v>
          </cell>
        </row>
        <row r="54">
          <cell r="D54" t="str">
            <v>WI Cement Cl</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row>
        <row r="55">
          <cell r="D55" t="str">
            <v>WY Cement Cl</v>
          </cell>
          <cell r="E55">
            <v>613867.97302609694</v>
          </cell>
          <cell r="F55">
            <v>647509.75233602466</v>
          </cell>
          <cell r="G55">
            <v>694457.0443617889</v>
          </cell>
          <cell r="H55">
            <v>848500</v>
          </cell>
          <cell r="I55">
            <v>849000</v>
          </cell>
          <cell r="J55">
            <v>920000</v>
          </cell>
          <cell r="K55">
            <v>914000</v>
          </cell>
          <cell r="L55">
            <v>982000</v>
          </cell>
          <cell r="M55">
            <v>979000</v>
          </cell>
          <cell r="N55">
            <v>998000</v>
          </cell>
          <cell r="O55">
            <v>1070888</v>
          </cell>
          <cell r="P55">
            <v>896500</v>
          </cell>
          <cell r="Q55">
            <v>958000</v>
          </cell>
          <cell r="R55">
            <v>1175000</v>
          </cell>
          <cell r="S55">
            <v>1242896.51104</v>
          </cell>
          <cell r="T55">
            <v>1204500</v>
          </cell>
          <cell r="U55">
            <v>1246704.42936</v>
          </cell>
          <cell r="V55">
            <v>1097126.4057825</v>
          </cell>
        </row>
        <row r="56">
          <cell r="D56" t="str">
            <v>AL Cement Ma</v>
          </cell>
          <cell r="E56">
            <v>191417.94429828538</v>
          </cell>
          <cell r="F56">
            <v>191417.94429828538</v>
          </cell>
          <cell r="G56">
            <v>237684.84078744441</v>
          </cell>
          <cell r="H56">
            <v>277000</v>
          </cell>
          <cell r="I56">
            <v>312000</v>
          </cell>
          <cell r="J56">
            <v>306000</v>
          </cell>
          <cell r="K56">
            <v>309000</v>
          </cell>
          <cell r="L56">
            <v>346000</v>
          </cell>
          <cell r="M56">
            <v>371000</v>
          </cell>
          <cell r="N56">
            <v>429000</v>
          </cell>
          <cell r="O56">
            <v>437529</v>
          </cell>
          <cell r="P56">
            <v>380000</v>
          </cell>
          <cell r="Q56">
            <v>380000</v>
          </cell>
          <cell r="R56">
            <v>565000</v>
          </cell>
          <cell r="S56">
            <v>429504.016695</v>
          </cell>
          <cell r="T56">
            <v>475000</v>
          </cell>
          <cell r="U56">
            <v>525660.18358499999</v>
          </cell>
          <cell r="V56">
            <v>450170.59818000003</v>
          </cell>
        </row>
        <row r="57">
          <cell r="D57" t="str">
            <v>AK Cement Ma</v>
          </cell>
          <cell r="E57">
            <v>0</v>
          </cell>
          <cell r="F57">
            <v>0</v>
          </cell>
          <cell r="G57">
            <v>0</v>
          </cell>
          <cell r="H57">
            <v>0</v>
          </cell>
          <cell r="I57">
            <v>0</v>
          </cell>
          <cell r="J57">
            <v>0</v>
          </cell>
          <cell r="K57">
            <v>2500</v>
          </cell>
          <cell r="L57">
            <v>1500</v>
          </cell>
          <cell r="M57">
            <v>1500</v>
          </cell>
          <cell r="N57">
            <v>1500</v>
          </cell>
          <cell r="O57">
            <v>1794</v>
          </cell>
          <cell r="P57">
            <v>1500</v>
          </cell>
          <cell r="Q57">
            <v>0</v>
          </cell>
          <cell r="R57">
            <v>2000</v>
          </cell>
          <cell r="S57">
            <v>0</v>
          </cell>
          <cell r="T57">
            <v>0</v>
          </cell>
          <cell r="U57">
            <v>0</v>
          </cell>
          <cell r="V57">
            <v>0</v>
          </cell>
        </row>
        <row r="58">
          <cell r="D58" t="str">
            <v>AZ Cement Ma</v>
          </cell>
          <cell r="E58">
            <v>16631.890894795728</v>
          </cell>
          <cell r="F58">
            <v>16027.094862257705</v>
          </cell>
          <cell r="G58">
            <v>13607.910732105596</v>
          </cell>
          <cell r="H58">
            <v>0</v>
          </cell>
          <cell r="I58">
            <v>0</v>
          </cell>
          <cell r="J58">
            <v>0</v>
          </cell>
          <cell r="K58">
            <v>69841</v>
          </cell>
          <cell r="L58">
            <v>2385</v>
          </cell>
          <cell r="M58">
            <v>63700</v>
          </cell>
          <cell r="N58">
            <v>69995</v>
          </cell>
          <cell r="O58">
            <v>76289</v>
          </cell>
          <cell r="P58">
            <v>54500</v>
          </cell>
          <cell r="Q58">
            <v>0</v>
          </cell>
          <cell r="R58">
            <v>0</v>
          </cell>
          <cell r="S58">
            <v>0</v>
          </cell>
          <cell r="T58">
            <v>0</v>
          </cell>
          <cell r="U58">
            <v>0</v>
          </cell>
          <cell r="V58">
            <v>0</v>
          </cell>
        </row>
        <row r="59">
          <cell r="D59" t="str">
            <v>AR Cement Ma</v>
          </cell>
          <cell r="E59">
            <v>0</v>
          </cell>
          <cell r="F59">
            <v>0</v>
          </cell>
          <cell r="G59">
            <v>0</v>
          </cell>
          <cell r="H59">
            <v>51000</v>
          </cell>
          <cell r="I59">
            <v>52000</v>
          </cell>
          <cell r="J59">
            <v>55000</v>
          </cell>
          <cell r="K59">
            <v>52000</v>
          </cell>
          <cell r="L59">
            <v>58000</v>
          </cell>
          <cell r="M59">
            <v>63000</v>
          </cell>
          <cell r="N59">
            <v>69000</v>
          </cell>
          <cell r="O59">
            <v>69100</v>
          </cell>
          <cell r="P59">
            <v>65000</v>
          </cell>
          <cell r="Q59">
            <v>72500</v>
          </cell>
          <cell r="R59">
            <v>74500</v>
          </cell>
          <cell r="S59">
            <v>80557.120815000002</v>
          </cell>
          <cell r="T59">
            <v>94000</v>
          </cell>
          <cell r="U59">
            <v>96294.966195000001</v>
          </cell>
          <cell r="V59">
            <v>74093.881282500006</v>
          </cell>
        </row>
        <row r="60">
          <cell r="D60" t="str">
            <v>CA Cement Ma</v>
          </cell>
          <cell r="E60">
            <v>0</v>
          </cell>
          <cell r="F60">
            <v>0</v>
          </cell>
          <cell r="G60">
            <v>0</v>
          </cell>
          <cell r="H60">
            <v>0</v>
          </cell>
          <cell r="I60">
            <v>0</v>
          </cell>
          <cell r="J60">
            <v>0</v>
          </cell>
          <cell r="K60">
            <v>229841</v>
          </cell>
          <cell r="L60">
            <v>4770</v>
          </cell>
          <cell r="M60">
            <v>127400</v>
          </cell>
          <cell r="N60">
            <v>320677</v>
          </cell>
          <cell r="O60">
            <v>513954</v>
          </cell>
          <cell r="P60">
            <v>507333.33333333331</v>
          </cell>
          <cell r="Q60">
            <v>514333.33333333337</v>
          </cell>
          <cell r="R60">
            <v>543333.33333333337</v>
          </cell>
          <cell r="S60">
            <v>631921.48418999999</v>
          </cell>
          <cell r="T60">
            <v>694000</v>
          </cell>
          <cell r="U60">
            <v>697721.42661000008</v>
          </cell>
          <cell r="V60">
            <v>521630.46781499998</v>
          </cell>
        </row>
        <row r="61">
          <cell r="D61" t="str">
            <v>CO Cement Ma</v>
          </cell>
          <cell r="E61">
            <v>7862.3484229943442</v>
          </cell>
          <cell r="F61">
            <v>0</v>
          </cell>
          <cell r="G61">
            <v>8164.7464392633574</v>
          </cell>
          <cell r="H61">
            <v>0</v>
          </cell>
          <cell r="I61">
            <v>0</v>
          </cell>
          <cell r="J61">
            <v>0</v>
          </cell>
          <cell r="K61">
            <v>69841</v>
          </cell>
          <cell r="L61">
            <v>2385</v>
          </cell>
          <cell r="M61">
            <v>63700</v>
          </cell>
          <cell r="N61">
            <v>69995</v>
          </cell>
          <cell r="O61">
            <v>76289</v>
          </cell>
          <cell r="P61">
            <v>0</v>
          </cell>
          <cell r="Q61">
            <v>0</v>
          </cell>
          <cell r="R61">
            <v>0</v>
          </cell>
          <cell r="S61">
            <v>0</v>
          </cell>
          <cell r="T61">
            <v>0</v>
          </cell>
          <cell r="U61">
            <v>0</v>
          </cell>
          <cell r="V61">
            <v>0</v>
          </cell>
        </row>
        <row r="62">
          <cell r="D62" t="str">
            <v>CT Cement Ma</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row>
        <row r="63">
          <cell r="D63" t="str">
            <v>DC Cement Ma</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row>
        <row r="64">
          <cell r="D64" t="str">
            <v>DE Cement Ma</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row>
        <row r="65">
          <cell r="D65" t="str">
            <v>FL Cement Ma</v>
          </cell>
          <cell r="E65">
            <v>396443.79932867637</v>
          </cell>
          <cell r="F65">
            <v>301188.42420393717</v>
          </cell>
          <cell r="G65">
            <v>305724.39444797242</v>
          </cell>
          <cell r="H65">
            <v>351000</v>
          </cell>
          <cell r="I65">
            <v>400000</v>
          </cell>
          <cell r="J65">
            <v>383000</v>
          </cell>
          <cell r="K65">
            <v>422000</v>
          </cell>
          <cell r="L65">
            <v>406000</v>
          </cell>
          <cell r="M65">
            <v>442000</v>
          </cell>
          <cell r="N65">
            <v>494000</v>
          </cell>
          <cell r="O65">
            <v>516757</v>
          </cell>
          <cell r="P65">
            <v>556000</v>
          </cell>
          <cell r="Q65">
            <v>591000</v>
          </cell>
          <cell r="R65">
            <v>674000</v>
          </cell>
          <cell r="S65">
            <v>762834.62998500001</v>
          </cell>
          <cell r="T65">
            <v>902000</v>
          </cell>
          <cell r="U65">
            <v>899848.59490500006</v>
          </cell>
          <cell r="V65">
            <v>524487.19337999995</v>
          </cell>
        </row>
        <row r="66">
          <cell r="D66" t="str">
            <v>GA Cement Ma</v>
          </cell>
          <cell r="E66">
            <v>79833.076295019491</v>
          </cell>
          <cell r="F66">
            <v>69853.941758142057</v>
          </cell>
          <cell r="G66">
            <v>73936.314977773742</v>
          </cell>
          <cell r="H66">
            <v>187000</v>
          </cell>
          <cell r="I66">
            <v>208000</v>
          </cell>
          <cell r="J66">
            <v>218000</v>
          </cell>
          <cell r="K66">
            <v>125000</v>
          </cell>
          <cell r="L66">
            <v>127000</v>
          </cell>
          <cell r="M66">
            <v>114000</v>
          </cell>
          <cell r="N66">
            <v>123000</v>
          </cell>
          <cell r="O66">
            <v>98144</v>
          </cell>
          <cell r="P66">
            <v>106000</v>
          </cell>
          <cell r="Q66">
            <v>114333.33333333333</v>
          </cell>
          <cell r="R66">
            <v>123666.66666666667</v>
          </cell>
          <cell r="S66">
            <v>139598.23259</v>
          </cell>
          <cell r="T66">
            <v>135750</v>
          </cell>
          <cell r="U66">
            <v>127750</v>
          </cell>
          <cell r="V66">
            <v>116923.89950249999</v>
          </cell>
        </row>
        <row r="67">
          <cell r="D67" t="str">
            <v>HI Cement Ma</v>
          </cell>
          <cell r="E67">
            <v>10886.328585684478</v>
          </cell>
          <cell r="F67">
            <v>9071.9404880703987</v>
          </cell>
          <cell r="G67">
            <v>6350.3583416492784</v>
          </cell>
          <cell r="H67">
            <v>0</v>
          </cell>
          <cell r="I67">
            <v>0</v>
          </cell>
          <cell r="J67">
            <v>0</v>
          </cell>
          <cell r="K67">
            <v>2500</v>
          </cell>
          <cell r="L67">
            <v>1500</v>
          </cell>
          <cell r="M67">
            <v>1500</v>
          </cell>
          <cell r="N67">
            <v>1500</v>
          </cell>
          <cell r="O67">
            <v>1794</v>
          </cell>
          <cell r="P67">
            <v>1500</v>
          </cell>
          <cell r="Q67">
            <v>0</v>
          </cell>
          <cell r="R67">
            <v>2000</v>
          </cell>
          <cell r="S67">
            <v>0</v>
          </cell>
          <cell r="T67">
            <v>0</v>
          </cell>
          <cell r="U67">
            <v>0</v>
          </cell>
          <cell r="V67">
            <v>0</v>
          </cell>
        </row>
        <row r="68">
          <cell r="D68" t="str">
            <v>ID Cement Ma</v>
          </cell>
          <cell r="E68">
            <v>3628.7761952281594</v>
          </cell>
          <cell r="F68">
            <v>3326.3781789591458</v>
          </cell>
          <cell r="G68">
            <v>3023.9801626901326</v>
          </cell>
          <cell r="H68">
            <v>0</v>
          </cell>
          <cell r="I68">
            <v>0</v>
          </cell>
          <cell r="J68">
            <v>0</v>
          </cell>
          <cell r="K68">
            <v>69841</v>
          </cell>
          <cell r="L68">
            <v>2385</v>
          </cell>
          <cell r="M68">
            <v>63700</v>
          </cell>
          <cell r="N68">
            <v>0</v>
          </cell>
          <cell r="O68">
            <v>76289</v>
          </cell>
          <cell r="P68">
            <v>0</v>
          </cell>
          <cell r="Q68">
            <v>0</v>
          </cell>
          <cell r="R68">
            <v>0</v>
          </cell>
          <cell r="S68">
            <v>0</v>
          </cell>
          <cell r="T68">
            <v>0</v>
          </cell>
          <cell r="U68">
            <v>0</v>
          </cell>
          <cell r="V68">
            <v>0</v>
          </cell>
        </row>
        <row r="69">
          <cell r="D69" t="str">
            <v>IL Cement Ma</v>
          </cell>
          <cell r="E69">
            <v>0</v>
          </cell>
          <cell r="F69">
            <v>0</v>
          </cell>
          <cell r="G69">
            <v>0</v>
          </cell>
          <cell r="H69">
            <v>0</v>
          </cell>
          <cell r="I69">
            <v>0</v>
          </cell>
          <cell r="J69">
            <v>0</v>
          </cell>
          <cell r="K69">
            <v>0</v>
          </cell>
          <cell r="L69">
            <v>0</v>
          </cell>
          <cell r="M69">
            <v>0</v>
          </cell>
          <cell r="N69">
            <v>0</v>
          </cell>
          <cell r="O69">
            <v>76289</v>
          </cell>
          <cell r="P69">
            <v>0</v>
          </cell>
          <cell r="Q69">
            <v>0</v>
          </cell>
          <cell r="R69">
            <v>0</v>
          </cell>
          <cell r="S69">
            <v>0</v>
          </cell>
          <cell r="T69">
            <v>0</v>
          </cell>
          <cell r="U69">
            <v>0</v>
          </cell>
          <cell r="V69">
            <v>0</v>
          </cell>
        </row>
        <row r="70">
          <cell r="D70" t="str">
            <v>IN Cement Ma</v>
          </cell>
          <cell r="E70">
            <v>326589.85757053434</v>
          </cell>
          <cell r="F70">
            <v>293023.67776467383</v>
          </cell>
          <cell r="G70">
            <v>330218.6337657625</v>
          </cell>
          <cell r="H70">
            <v>0</v>
          </cell>
          <cell r="I70">
            <v>0</v>
          </cell>
          <cell r="J70">
            <v>0</v>
          </cell>
          <cell r="K70">
            <v>69841</v>
          </cell>
          <cell r="L70">
            <v>2385</v>
          </cell>
          <cell r="M70">
            <v>63700</v>
          </cell>
          <cell r="N70">
            <v>69995</v>
          </cell>
          <cell r="O70">
            <v>76289</v>
          </cell>
          <cell r="P70">
            <v>0</v>
          </cell>
          <cell r="Q70">
            <v>0</v>
          </cell>
          <cell r="R70">
            <v>0</v>
          </cell>
          <cell r="S70">
            <v>0</v>
          </cell>
          <cell r="T70">
            <v>277500</v>
          </cell>
          <cell r="U70">
            <v>264500</v>
          </cell>
          <cell r="V70">
            <v>231015.567435</v>
          </cell>
        </row>
        <row r="71">
          <cell r="D71" t="str">
            <v>IA Cement Ma</v>
          </cell>
          <cell r="E71">
            <v>0</v>
          </cell>
          <cell r="F71">
            <v>0</v>
          </cell>
          <cell r="G71">
            <v>0</v>
          </cell>
          <cell r="H71">
            <v>16000</v>
          </cell>
          <cell r="I71">
            <v>19000</v>
          </cell>
          <cell r="J71">
            <v>17000</v>
          </cell>
          <cell r="K71">
            <v>69841</v>
          </cell>
          <cell r="L71">
            <v>2385</v>
          </cell>
          <cell r="M71">
            <v>63700</v>
          </cell>
          <cell r="N71">
            <v>38731</v>
          </cell>
          <cell r="O71">
            <v>13762</v>
          </cell>
          <cell r="P71">
            <v>0</v>
          </cell>
          <cell r="Q71">
            <v>0</v>
          </cell>
          <cell r="R71">
            <v>0</v>
          </cell>
          <cell r="S71">
            <v>0</v>
          </cell>
          <cell r="T71">
            <v>0</v>
          </cell>
          <cell r="U71">
            <v>0</v>
          </cell>
          <cell r="V71">
            <v>0</v>
          </cell>
        </row>
        <row r="72">
          <cell r="D72" t="str">
            <v>KS Cement Ma</v>
          </cell>
          <cell r="E72">
            <v>27215.821464211193</v>
          </cell>
          <cell r="F72">
            <v>33566.179805860469</v>
          </cell>
          <cell r="G72">
            <v>19958.269073754873</v>
          </cell>
          <cell r="I72">
            <v>24000</v>
          </cell>
          <cell r="J72">
            <v>31000</v>
          </cell>
          <cell r="K72">
            <v>24000</v>
          </cell>
          <cell r="L72">
            <v>2385</v>
          </cell>
          <cell r="M72">
            <v>63700</v>
          </cell>
          <cell r="N72">
            <v>69995</v>
          </cell>
          <cell r="O72">
            <v>76289</v>
          </cell>
          <cell r="P72">
            <v>25000</v>
          </cell>
          <cell r="Q72">
            <v>0</v>
          </cell>
          <cell r="R72">
            <v>0</v>
          </cell>
          <cell r="S72">
            <v>0</v>
          </cell>
          <cell r="T72">
            <v>0</v>
          </cell>
          <cell r="U72">
            <v>0</v>
          </cell>
          <cell r="V72">
            <v>0</v>
          </cell>
        </row>
        <row r="73">
          <cell r="D73" t="str">
            <v>KY Cement Ma</v>
          </cell>
          <cell r="E73">
            <v>88905.016783089886</v>
          </cell>
          <cell r="F73">
            <v>66225.165562913899</v>
          </cell>
          <cell r="G73">
            <v>68039.553660527992</v>
          </cell>
          <cell r="H73">
            <v>35000</v>
          </cell>
          <cell r="I73">
            <v>35000</v>
          </cell>
          <cell r="J73">
            <v>36000</v>
          </cell>
          <cell r="K73">
            <v>69841</v>
          </cell>
          <cell r="L73">
            <v>29000</v>
          </cell>
          <cell r="M73">
            <v>30000</v>
          </cell>
          <cell r="N73">
            <v>35804</v>
          </cell>
          <cell r="O73">
            <v>41613</v>
          </cell>
          <cell r="P73">
            <v>26666.666666666668</v>
          </cell>
          <cell r="Q73">
            <v>27666.666666666668</v>
          </cell>
          <cell r="R73">
            <v>0</v>
          </cell>
          <cell r="S73">
            <v>0</v>
          </cell>
          <cell r="T73">
            <v>0</v>
          </cell>
          <cell r="U73">
            <v>0</v>
          </cell>
          <cell r="V73">
            <v>0</v>
          </cell>
        </row>
        <row r="74">
          <cell r="D74" t="str">
            <v>LA Cement Ma</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row>
        <row r="75">
          <cell r="D75" t="str">
            <v>ME Cement Ma</v>
          </cell>
          <cell r="E75">
            <v>52163.657806404786</v>
          </cell>
          <cell r="F75">
            <v>43998.911367141431</v>
          </cell>
          <cell r="G75">
            <v>43998.911367141431</v>
          </cell>
          <cell r="H75">
            <v>42000</v>
          </cell>
          <cell r="I75">
            <v>44500</v>
          </cell>
          <cell r="J75">
            <v>50000</v>
          </cell>
          <cell r="K75">
            <v>51000</v>
          </cell>
          <cell r="L75">
            <v>53000</v>
          </cell>
          <cell r="M75">
            <v>54000</v>
          </cell>
          <cell r="N75">
            <v>61000</v>
          </cell>
          <cell r="O75">
            <v>64396</v>
          </cell>
          <cell r="P75">
            <v>65000</v>
          </cell>
          <cell r="Q75">
            <v>58000</v>
          </cell>
          <cell r="R75">
            <v>58500</v>
          </cell>
          <cell r="S75">
            <v>63565.999357500004</v>
          </cell>
          <cell r="T75">
            <v>59500</v>
          </cell>
          <cell r="U75">
            <v>59452.368975000005</v>
          </cell>
          <cell r="V75">
            <v>50307.036990000001</v>
          </cell>
        </row>
        <row r="76">
          <cell r="D76" t="str">
            <v>MD Cement Ma</v>
          </cell>
          <cell r="E76">
            <v>0</v>
          </cell>
          <cell r="F76">
            <v>0</v>
          </cell>
          <cell r="G76">
            <v>0</v>
          </cell>
          <cell r="H76">
            <v>66000</v>
          </cell>
          <cell r="I76">
            <v>190000</v>
          </cell>
          <cell r="J76">
            <v>176000</v>
          </cell>
          <cell r="K76">
            <v>69841</v>
          </cell>
          <cell r="L76">
            <v>2385</v>
          </cell>
          <cell r="M76">
            <v>63700</v>
          </cell>
          <cell r="N76">
            <v>110000</v>
          </cell>
          <cell r="O76">
            <v>73184</v>
          </cell>
          <cell r="P76">
            <v>77000</v>
          </cell>
          <cell r="Q76">
            <v>0</v>
          </cell>
          <cell r="R76">
            <v>0</v>
          </cell>
          <cell r="S76">
            <v>0</v>
          </cell>
          <cell r="T76">
            <v>135750</v>
          </cell>
          <cell r="U76">
            <v>127750</v>
          </cell>
          <cell r="V76">
            <v>116923.89950249999</v>
          </cell>
        </row>
        <row r="77">
          <cell r="D77" t="str">
            <v>MA Cement Ma</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row>
        <row r="78">
          <cell r="D78" t="str">
            <v>MI Cement Ma</v>
          </cell>
          <cell r="E78">
            <v>244942.39317790073</v>
          </cell>
          <cell r="F78">
            <v>202304.27288396988</v>
          </cell>
          <cell r="G78">
            <v>213190.60146965436</v>
          </cell>
          <cell r="H78">
            <v>216000</v>
          </cell>
          <cell r="I78">
            <v>235000</v>
          </cell>
          <cell r="J78">
            <v>229000</v>
          </cell>
          <cell r="K78">
            <v>232000</v>
          </cell>
          <cell r="L78">
            <v>289000</v>
          </cell>
          <cell r="M78">
            <v>284000</v>
          </cell>
          <cell r="N78">
            <v>283000</v>
          </cell>
          <cell r="O78">
            <v>284324</v>
          </cell>
          <cell r="P78">
            <v>290000</v>
          </cell>
          <cell r="Q78">
            <v>292000</v>
          </cell>
          <cell r="R78">
            <v>237000</v>
          </cell>
          <cell r="S78">
            <v>230514.80131500002</v>
          </cell>
          <cell r="T78">
            <v>228000</v>
          </cell>
          <cell r="U78">
            <v>175790.68056000001</v>
          </cell>
          <cell r="V78">
            <v>148979.73507</v>
          </cell>
        </row>
        <row r="79">
          <cell r="D79" t="str">
            <v>MN Cement Ma</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row>
        <row r="80">
          <cell r="D80" t="str">
            <v>MS Cement Ma</v>
          </cell>
          <cell r="E80">
            <v>0</v>
          </cell>
          <cell r="F80">
            <v>0</v>
          </cell>
          <cell r="G80">
            <v>0</v>
          </cell>
          <cell r="H80">
            <v>35000</v>
          </cell>
          <cell r="I80">
            <v>35000</v>
          </cell>
          <cell r="J80">
            <v>36000</v>
          </cell>
          <cell r="K80">
            <v>69841</v>
          </cell>
          <cell r="L80">
            <v>29000</v>
          </cell>
          <cell r="M80">
            <v>30000</v>
          </cell>
          <cell r="N80">
            <v>35804</v>
          </cell>
          <cell r="O80">
            <v>41613</v>
          </cell>
          <cell r="P80">
            <v>26666.666666666668</v>
          </cell>
          <cell r="Q80">
            <v>27666.666666666668</v>
          </cell>
          <cell r="R80">
            <v>0</v>
          </cell>
          <cell r="S80">
            <v>0</v>
          </cell>
          <cell r="T80">
            <v>0</v>
          </cell>
          <cell r="U80">
            <v>0</v>
          </cell>
          <cell r="V80">
            <v>0</v>
          </cell>
        </row>
        <row r="81">
          <cell r="D81" t="str">
            <v>MO Cement Ma</v>
          </cell>
          <cell r="E81">
            <v>115213.64419849405</v>
          </cell>
          <cell r="F81">
            <v>96162.569173546217</v>
          </cell>
          <cell r="G81">
            <v>93440.987027125098</v>
          </cell>
          <cell r="H81">
            <v>0</v>
          </cell>
          <cell r="I81">
            <v>0</v>
          </cell>
          <cell r="J81">
            <v>0</v>
          </cell>
          <cell r="K81">
            <v>69841</v>
          </cell>
          <cell r="L81">
            <v>2385</v>
          </cell>
          <cell r="M81">
            <v>63700</v>
          </cell>
          <cell r="N81">
            <v>69995</v>
          </cell>
          <cell r="O81">
            <v>76289</v>
          </cell>
          <cell r="P81">
            <v>111000</v>
          </cell>
          <cell r="Q81">
            <v>0</v>
          </cell>
          <cell r="R81">
            <v>0</v>
          </cell>
          <cell r="S81">
            <v>0</v>
          </cell>
          <cell r="T81">
            <v>0</v>
          </cell>
          <cell r="U81">
            <v>0</v>
          </cell>
          <cell r="V81">
            <v>0</v>
          </cell>
        </row>
        <row r="82">
          <cell r="D82" t="str">
            <v>MT Cement Ma</v>
          </cell>
          <cell r="E82">
            <v>3628.7761952281594</v>
          </cell>
          <cell r="F82">
            <v>3326.3781789591458</v>
          </cell>
          <cell r="G82">
            <v>3023.9801626901326</v>
          </cell>
          <cell r="H82">
            <v>0</v>
          </cell>
          <cell r="I82">
            <v>0</v>
          </cell>
          <cell r="J82">
            <v>0</v>
          </cell>
          <cell r="K82">
            <v>69841</v>
          </cell>
          <cell r="L82">
            <v>2385</v>
          </cell>
          <cell r="M82">
            <v>63700</v>
          </cell>
          <cell r="N82">
            <v>0</v>
          </cell>
          <cell r="O82">
            <v>76289</v>
          </cell>
          <cell r="P82">
            <v>0</v>
          </cell>
          <cell r="Q82">
            <v>0</v>
          </cell>
          <cell r="R82">
            <v>0</v>
          </cell>
          <cell r="S82">
            <v>0</v>
          </cell>
          <cell r="T82">
            <v>0</v>
          </cell>
          <cell r="U82">
            <v>0</v>
          </cell>
          <cell r="V82">
            <v>0</v>
          </cell>
        </row>
        <row r="83">
          <cell r="D83" t="str">
            <v>NE Cement Ma</v>
          </cell>
          <cell r="E83">
            <v>7862.3484229943442</v>
          </cell>
          <cell r="F83">
            <v>0</v>
          </cell>
          <cell r="G83">
            <v>8164.7464392633574</v>
          </cell>
          <cell r="H83">
            <v>16000</v>
          </cell>
          <cell r="I83">
            <v>19000</v>
          </cell>
          <cell r="J83">
            <v>17000</v>
          </cell>
          <cell r="K83">
            <v>69841</v>
          </cell>
          <cell r="L83">
            <v>2385</v>
          </cell>
          <cell r="M83">
            <v>63700</v>
          </cell>
          <cell r="N83">
            <v>38731</v>
          </cell>
          <cell r="O83">
            <v>13762</v>
          </cell>
          <cell r="P83">
            <v>0</v>
          </cell>
          <cell r="Q83">
            <v>0</v>
          </cell>
          <cell r="R83">
            <v>0</v>
          </cell>
          <cell r="S83">
            <v>0</v>
          </cell>
          <cell r="T83">
            <v>0</v>
          </cell>
          <cell r="U83">
            <v>0</v>
          </cell>
          <cell r="V83">
            <v>0</v>
          </cell>
        </row>
        <row r="84">
          <cell r="D84" t="str">
            <v>NV Cement Ma</v>
          </cell>
          <cell r="E84">
            <v>16631.890894795728</v>
          </cell>
          <cell r="F84">
            <v>16027.094862257705</v>
          </cell>
          <cell r="G84">
            <v>13607.910732105596</v>
          </cell>
          <cell r="H84">
            <v>0</v>
          </cell>
          <cell r="I84">
            <v>0</v>
          </cell>
          <cell r="J84">
            <v>0</v>
          </cell>
          <cell r="K84">
            <v>69841</v>
          </cell>
          <cell r="L84">
            <v>2385</v>
          </cell>
          <cell r="M84">
            <v>63700</v>
          </cell>
          <cell r="N84">
            <v>0</v>
          </cell>
          <cell r="O84">
            <v>76289</v>
          </cell>
          <cell r="P84">
            <v>0</v>
          </cell>
          <cell r="Q84">
            <v>0</v>
          </cell>
          <cell r="R84">
            <v>0</v>
          </cell>
          <cell r="S84">
            <v>0</v>
          </cell>
          <cell r="T84">
            <v>0</v>
          </cell>
          <cell r="U84">
            <v>0</v>
          </cell>
          <cell r="V84">
            <v>0</v>
          </cell>
        </row>
        <row r="85">
          <cell r="D85" t="str">
            <v>NH Cement Ma</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row>
        <row r="86">
          <cell r="D86" t="str">
            <v>NJ Cement Ma</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row>
        <row r="87">
          <cell r="D87" t="str">
            <v>NM Cement Ma</v>
          </cell>
          <cell r="E87">
            <v>16631.890894795728</v>
          </cell>
          <cell r="F87">
            <v>16027.094862257705</v>
          </cell>
          <cell r="G87">
            <v>13607.910732105596</v>
          </cell>
          <cell r="H87">
            <v>0</v>
          </cell>
          <cell r="I87">
            <v>0</v>
          </cell>
          <cell r="J87">
            <v>0</v>
          </cell>
          <cell r="K87">
            <v>69841</v>
          </cell>
          <cell r="L87">
            <v>2385</v>
          </cell>
          <cell r="M87">
            <v>63700</v>
          </cell>
          <cell r="N87">
            <v>69995</v>
          </cell>
          <cell r="O87">
            <v>76289</v>
          </cell>
          <cell r="P87">
            <v>54500</v>
          </cell>
          <cell r="Q87">
            <v>0</v>
          </cell>
          <cell r="R87">
            <v>0</v>
          </cell>
          <cell r="S87">
            <v>0</v>
          </cell>
          <cell r="T87">
            <v>0</v>
          </cell>
          <cell r="U87">
            <v>0</v>
          </cell>
          <cell r="V87">
            <v>0</v>
          </cell>
        </row>
        <row r="88">
          <cell r="D88" t="str">
            <v>NY Cement Ma</v>
          </cell>
          <cell r="E88">
            <v>52163.657806404786</v>
          </cell>
          <cell r="F88">
            <v>43998.911367141431</v>
          </cell>
          <cell r="G88">
            <v>43998.911367141431</v>
          </cell>
          <cell r="H88">
            <v>42000</v>
          </cell>
          <cell r="I88">
            <v>44500</v>
          </cell>
          <cell r="J88">
            <v>50000</v>
          </cell>
          <cell r="K88">
            <v>51000</v>
          </cell>
          <cell r="L88">
            <v>53000</v>
          </cell>
          <cell r="M88">
            <v>54000</v>
          </cell>
          <cell r="N88">
            <v>61000</v>
          </cell>
          <cell r="O88">
            <v>64396</v>
          </cell>
          <cell r="P88">
            <v>65000</v>
          </cell>
          <cell r="Q88">
            <v>58000</v>
          </cell>
          <cell r="R88">
            <v>58500</v>
          </cell>
          <cell r="S88">
            <v>63565.999357500004</v>
          </cell>
          <cell r="T88">
            <v>59500</v>
          </cell>
          <cell r="U88">
            <v>59452.368975000005</v>
          </cell>
          <cell r="V88">
            <v>50307.036990000001</v>
          </cell>
        </row>
        <row r="89">
          <cell r="D89" t="str">
            <v>NC Cement Ma</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row>
        <row r="90">
          <cell r="D90" t="str">
            <v>ND Cement Ma</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row>
        <row r="91">
          <cell r="D91" t="str">
            <v>OH Cement Ma</v>
          </cell>
          <cell r="E91">
            <v>118842.4203937222</v>
          </cell>
          <cell r="F91">
            <v>99791.345368774375</v>
          </cell>
          <cell r="G91">
            <v>110677.67395445885</v>
          </cell>
          <cell r="H91">
            <v>0</v>
          </cell>
          <cell r="I91">
            <v>0</v>
          </cell>
          <cell r="J91">
            <v>0</v>
          </cell>
          <cell r="K91">
            <v>69841</v>
          </cell>
          <cell r="L91">
            <v>2385</v>
          </cell>
          <cell r="M91">
            <v>74000</v>
          </cell>
          <cell r="N91">
            <v>85000</v>
          </cell>
          <cell r="O91">
            <v>76289</v>
          </cell>
          <cell r="P91">
            <v>74000</v>
          </cell>
          <cell r="Q91">
            <v>85000</v>
          </cell>
          <cell r="R91">
            <v>75000</v>
          </cell>
          <cell r="S91">
            <v>98483.096415000007</v>
          </cell>
          <cell r="T91">
            <v>277500</v>
          </cell>
          <cell r="U91">
            <v>264500</v>
          </cell>
          <cell r="V91">
            <v>231015.567435</v>
          </cell>
        </row>
        <row r="92">
          <cell r="D92" t="str">
            <v>OK Cement Ma</v>
          </cell>
          <cell r="E92">
            <v>0</v>
          </cell>
          <cell r="F92">
            <v>0</v>
          </cell>
          <cell r="G92">
            <v>0</v>
          </cell>
          <cell r="H92">
            <v>51000</v>
          </cell>
          <cell r="I92">
            <v>52000</v>
          </cell>
          <cell r="J92">
            <v>55000</v>
          </cell>
          <cell r="K92">
            <v>52000</v>
          </cell>
          <cell r="L92">
            <v>58000</v>
          </cell>
          <cell r="M92">
            <v>63000</v>
          </cell>
          <cell r="N92">
            <v>69000</v>
          </cell>
          <cell r="O92">
            <v>69100</v>
          </cell>
          <cell r="P92">
            <v>65000</v>
          </cell>
          <cell r="Q92">
            <v>72500</v>
          </cell>
          <cell r="R92">
            <v>74500</v>
          </cell>
          <cell r="S92">
            <v>80557.120815000002</v>
          </cell>
          <cell r="T92">
            <v>94000</v>
          </cell>
          <cell r="U92">
            <v>96294.966195000001</v>
          </cell>
          <cell r="V92">
            <v>74093.881282500006</v>
          </cell>
        </row>
        <row r="93">
          <cell r="D93" t="str">
            <v>OR Cement Ma</v>
          </cell>
          <cell r="E93">
            <v>0</v>
          </cell>
          <cell r="F93">
            <v>0</v>
          </cell>
          <cell r="G93">
            <v>0</v>
          </cell>
          <cell r="H93">
            <v>0</v>
          </cell>
          <cell r="I93">
            <v>0</v>
          </cell>
          <cell r="J93">
            <v>0</v>
          </cell>
          <cell r="K93">
            <v>69841</v>
          </cell>
          <cell r="L93">
            <v>2385</v>
          </cell>
          <cell r="M93">
            <v>63700</v>
          </cell>
          <cell r="N93">
            <v>0</v>
          </cell>
          <cell r="O93">
            <v>76289</v>
          </cell>
          <cell r="P93">
            <v>28333.333333333332</v>
          </cell>
          <cell r="Q93">
            <v>26333.333333333332</v>
          </cell>
          <cell r="R93">
            <v>24333</v>
          </cell>
          <cell r="S93">
            <v>27059.514179999998</v>
          </cell>
          <cell r="T93">
            <v>0</v>
          </cell>
          <cell r="U93">
            <v>0</v>
          </cell>
          <cell r="V93">
            <v>0</v>
          </cell>
        </row>
        <row r="94">
          <cell r="D94" t="str">
            <v>PA Cement Ma</v>
          </cell>
          <cell r="E94">
            <v>276694.18488614715</v>
          </cell>
          <cell r="F94">
            <v>261271.88605642744</v>
          </cell>
          <cell r="G94">
            <v>297559.64800870907</v>
          </cell>
          <cell r="H94">
            <v>248000</v>
          </cell>
          <cell r="I94">
            <v>245000</v>
          </cell>
          <cell r="J94">
            <v>267000</v>
          </cell>
          <cell r="K94">
            <v>275000</v>
          </cell>
          <cell r="L94">
            <v>296000</v>
          </cell>
          <cell r="M94">
            <v>319000</v>
          </cell>
          <cell r="N94">
            <v>322305</v>
          </cell>
          <cell r="O94">
            <v>325610</v>
          </cell>
          <cell r="P94">
            <v>329000</v>
          </cell>
          <cell r="Q94">
            <v>341000</v>
          </cell>
          <cell r="R94">
            <v>342000</v>
          </cell>
          <cell r="S94">
            <v>289188.80556000001</v>
          </cell>
          <cell r="T94">
            <v>399000</v>
          </cell>
          <cell r="U94">
            <v>383581.40481000004</v>
          </cell>
          <cell r="V94">
            <v>303784.50502500002</v>
          </cell>
        </row>
        <row r="95">
          <cell r="D95" t="str">
            <v>PR Cement Ma</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row>
        <row r="96">
          <cell r="D96" t="str">
            <v>RI Cement Ma</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row>
        <row r="97">
          <cell r="D97" t="str">
            <v>SC Cement Ma</v>
          </cell>
          <cell r="E97">
            <v>0</v>
          </cell>
          <cell r="F97">
            <v>0</v>
          </cell>
          <cell r="G97">
            <v>0</v>
          </cell>
          <cell r="H97">
            <v>187000</v>
          </cell>
          <cell r="I97">
            <v>208000</v>
          </cell>
          <cell r="J97">
            <v>218000</v>
          </cell>
          <cell r="K97">
            <v>286000</v>
          </cell>
          <cell r="L97">
            <v>2385</v>
          </cell>
          <cell r="M97">
            <v>63700</v>
          </cell>
          <cell r="N97">
            <v>421000</v>
          </cell>
          <cell r="O97">
            <v>421748</v>
          </cell>
          <cell r="P97">
            <v>487000</v>
          </cell>
          <cell r="Q97">
            <v>426000</v>
          </cell>
          <cell r="R97">
            <v>425000</v>
          </cell>
          <cell r="S97">
            <v>453257.74873500003</v>
          </cell>
          <cell r="T97">
            <v>498000</v>
          </cell>
          <cell r="U97">
            <v>575144.40378000005</v>
          </cell>
          <cell r="V97">
            <v>491441.165385</v>
          </cell>
        </row>
        <row r="98">
          <cell r="D98" t="str">
            <v>SD Cement Ma</v>
          </cell>
          <cell r="E98">
            <v>0</v>
          </cell>
          <cell r="F98">
            <v>0</v>
          </cell>
          <cell r="G98">
            <v>0</v>
          </cell>
          <cell r="H98">
            <v>16000</v>
          </cell>
          <cell r="I98">
            <v>19000</v>
          </cell>
          <cell r="J98">
            <v>17000</v>
          </cell>
          <cell r="K98">
            <v>69841</v>
          </cell>
          <cell r="L98">
            <v>2385</v>
          </cell>
          <cell r="M98">
            <v>63700</v>
          </cell>
          <cell r="N98">
            <v>38731</v>
          </cell>
          <cell r="O98">
            <v>13762</v>
          </cell>
          <cell r="P98">
            <v>0</v>
          </cell>
          <cell r="Q98">
            <v>0</v>
          </cell>
          <cell r="R98">
            <v>0</v>
          </cell>
          <cell r="S98">
            <v>0</v>
          </cell>
          <cell r="T98">
            <v>0</v>
          </cell>
          <cell r="U98">
            <v>0</v>
          </cell>
          <cell r="V98">
            <v>0</v>
          </cell>
        </row>
        <row r="99">
          <cell r="D99" t="str">
            <v>TN Cement Ma</v>
          </cell>
          <cell r="E99">
            <v>79833.076295019491</v>
          </cell>
          <cell r="F99">
            <v>69853.941758142057</v>
          </cell>
          <cell r="G99">
            <v>73936.314977773742</v>
          </cell>
          <cell r="H99">
            <v>35000</v>
          </cell>
          <cell r="I99">
            <v>35000</v>
          </cell>
          <cell r="J99">
            <v>36000</v>
          </cell>
          <cell r="K99">
            <v>69841</v>
          </cell>
          <cell r="L99">
            <v>29000</v>
          </cell>
          <cell r="M99">
            <v>30000</v>
          </cell>
          <cell r="N99">
            <v>35807</v>
          </cell>
          <cell r="O99">
            <v>41613</v>
          </cell>
          <cell r="P99">
            <v>26666.666666666668</v>
          </cell>
          <cell r="Q99">
            <v>27666.666666666668</v>
          </cell>
          <cell r="R99">
            <v>0</v>
          </cell>
          <cell r="S99">
            <v>0</v>
          </cell>
          <cell r="T99">
            <v>0</v>
          </cell>
          <cell r="U99">
            <v>0</v>
          </cell>
          <cell r="V99">
            <v>0</v>
          </cell>
        </row>
        <row r="100">
          <cell r="D100" t="str">
            <v>TX Cement Ma</v>
          </cell>
          <cell r="E100">
            <v>126099.97278417854</v>
          </cell>
          <cell r="F100">
            <v>138800.68946747709</v>
          </cell>
          <cell r="G100">
            <v>107048.89775923069</v>
          </cell>
          <cell r="H100">
            <v>245000</v>
          </cell>
          <cell r="I100">
            <v>257000</v>
          </cell>
          <cell r="J100">
            <v>213422</v>
          </cell>
          <cell r="K100">
            <v>169841</v>
          </cell>
          <cell r="L100">
            <v>204000</v>
          </cell>
          <cell r="M100">
            <v>217000</v>
          </cell>
          <cell r="N100">
            <v>261000</v>
          </cell>
          <cell r="O100">
            <v>264451</v>
          </cell>
          <cell r="P100">
            <v>291000</v>
          </cell>
          <cell r="Q100">
            <v>294000</v>
          </cell>
          <cell r="R100">
            <v>307000</v>
          </cell>
          <cell r="S100">
            <v>319308.25474500004</v>
          </cell>
          <cell r="T100">
            <v>395000</v>
          </cell>
          <cell r="U100">
            <v>382185.247095</v>
          </cell>
          <cell r="V100">
            <v>368000</v>
          </cell>
        </row>
        <row r="101">
          <cell r="D101" t="str">
            <v>UT Cement Ma</v>
          </cell>
          <cell r="E101">
            <v>3628.7761952281594</v>
          </cell>
          <cell r="F101">
            <v>3326.3781789591458</v>
          </cell>
          <cell r="G101">
            <v>3023.9801626901326</v>
          </cell>
          <cell r="H101">
            <v>0</v>
          </cell>
          <cell r="I101">
            <v>0</v>
          </cell>
          <cell r="J101">
            <v>0</v>
          </cell>
          <cell r="K101">
            <v>69841</v>
          </cell>
          <cell r="L101">
            <v>2385</v>
          </cell>
          <cell r="M101">
            <v>63700</v>
          </cell>
          <cell r="N101">
            <v>0</v>
          </cell>
          <cell r="O101">
            <v>76289</v>
          </cell>
          <cell r="P101">
            <v>0</v>
          </cell>
          <cell r="Q101">
            <v>0</v>
          </cell>
          <cell r="R101">
            <v>0</v>
          </cell>
          <cell r="S101">
            <v>0</v>
          </cell>
          <cell r="T101">
            <v>0</v>
          </cell>
          <cell r="U101">
            <v>0</v>
          </cell>
          <cell r="V101">
            <v>0</v>
          </cell>
        </row>
        <row r="102">
          <cell r="D102" t="str">
            <v>VT Cement Ma</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row>
        <row r="103">
          <cell r="D103" t="str">
            <v>VA Cement Ma</v>
          </cell>
          <cell r="E103">
            <v>88905.016783089886</v>
          </cell>
          <cell r="F103">
            <v>66225.165562913899</v>
          </cell>
          <cell r="G103">
            <v>68039.553660527992</v>
          </cell>
          <cell r="H103">
            <v>66000</v>
          </cell>
          <cell r="I103">
            <v>190000</v>
          </cell>
          <cell r="J103">
            <v>176000</v>
          </cell>
          <cell r="K103">
            <v>125000</v>
          </cell>
          <cell r="L103">
            <v>127000</v>
          </cell>
          <cell r="M103">
            <v>114000</v>
          </cell>
          <cell r="N103">
            <v>123000</v>
          </cell>
          <cell r="O103">
            <v>98144</v>
          </cell>
          <cell r="P103">
            <v>106000</v>
          </cell>
          <cell r="Q103">
            <v>114333.33333333333</v>
          </cell>
          <cell r="R103">
            <v>123666.66666666667</v>
          </cell>
          <cell r="S103">
            <v>139598.23259</v>
          </cell>
          <cell r="T103">
            <v>135750</v>
          </cell>
          <cell r="U103">
            <v>127750</v>
          </cell>
          <cell r="V103">
            <v>116923.89950249999</v>
          </cell>
        </row>
        <row r="104">
          <cell r="D104" t="str">
            <v>WA Cement Ma</v>
          </cell>
          <cell r="E104">
            <v>0</v>
          </cell>
          <cell r="F104">
            <v>0</v>
          </cell>
          <cell r="G104">
            <v>0</v>
          </cell>
          <cell r="H104">
            <v>0</v>
          </cell>
          <cell r="I104">
            <v>0</v>
          </cell>
          <cell r="J104">
            <v>0</v>
          </cell>
          <cell r="K104">
            <v>69841</v>
          </cell>
          <cell r="L104">
            <v>2385</v>
          </cell>
          <cell r="M104">
            <v>63700</v>
          </cell>
          <cell r="N104">
            <v>0</v>
          </cell>
          <cell r="O104">
            <v>76289</v>
          </cell>
          <cell r="P104">
            <v>28333.333333333332</v>
          </cell>
          <cell r="Q104">
            <v>26333.333333333332</v>
          </cell>
          <cell r="R104">
            <v>24333</v>
          </cell>
          <cell r="S104">
            <v>27059.514179999998</v>
          </cell>
          <cell r="T104">
            <v>0</v>
          </cell>
          <cell r="U104">
            <v>0</v>
          </cell>
          <cell r="V104">
            <v>0</v>
          </cell>
        </row>
        <row r="105">
          <cell r="D105" t="str">
            <v>WV Cement Ma</v>
          </cell>
          <cell r="E105">
            <v>88905.016783089886</v>
          </cell>
          <cell r="F105">
            <v>66225.165562913899</v>
          </cell>
          <cell r="G105">
            <v>68039.553660527992</v>
          </cell>
          <cell r="H105">
            <v>66000</v>
          </cell>
          <cell r="I105">
            <v>190000</v>
          </cell>
          <cell r="J105">
            <v>176000</v>
          </cell>
          <cell r="K105">
            <v>125000</v>
          </cell>
          <cell r="L105">
            <v>127000</v>
          </cell>
          <cell r="M105">
            <v>114000</v>
          </cell>
          <cell r="N105">
            <v>123000</v>
          </cell>
          <cell r="O105">
            <v>98144</v>
          </cell>
          <cell r="P105">
            <v>106000</v>
          </cell>
          <cell r="Q105">
            <v>114333.33333333333</v>
          </cell>
          <cell r="R105">
            <v>123666.66666666667</v>
          </cell>
          <cell r="S105">
            <v>139598.23259</v>
          </cell>
          <cell r="T105">
            <v>135750</v>
          </cell>
          <cell r="U105">
            <v>127750</v>
          </cell>
          <cell r="V105">
            <v>116923.89950249999</v>
          </cell>
        </row>
        <row r="106">
          <cell r="D106" t="str">
            <v>WI Cement Ma</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row>
        <row r="107">
          <cell r="D107" t="str">
            <v>WY Cement Ma</v>
          </cell>
          <cell r="E107">
            <v>7862.3484229943442</v>
          </cell>
          <cell r="F107">
            <v>0</v>
          </cell>
          <cell r="G107">
            <v>8164.7464392633574</v>
          </cell>
          <cell r="H107">
            <v>0</v>
          </cell>
          <cell r="I107">
            <v>0</v>
          </cell>
          <cell r="J107">
            <v>0</v>
          </cell>
          <cell r="K107">
            <v>69841</v>
          </cell>
          <cell r="L107">
            <v>2385</v>
          </cell>
          <cell r="M107">
            <v>63700</v>
          </cell>
          <cell r="N107">
            <v>69995</v>
          </cell>
          <cell r="O107">
            <v>76289</v>
          </cell>
          <cell r="P107">
            <v>0</v>
          </cell>
          <cell r="Q107">
            <v>0</v>
          </cell>
          <cell r="R107">
            <v>0</v>
          </cell>
          <cell r="S107">
            <v>0</v>
          </cell>
          <cell r="T107">
            <v>0</v>
          </cell>
          <cell r="U107">
            <v>0</v>
          </cell>
          <cell r="V107">
            <v>0</v>
          </cell>
        </row>
        <row r="108">
          <cell r="D108" t="str">
            <v>ALLime</v>
          </cell>
          <cell r="E108">
            <v>1384378.1184795427</v>
          </cell>
          <cell r="F108">
            <v>1369863.01369863</v>
          </cell>
          <cell r="G108">
            <v>1454232.0602376848</v>
          </cell>
          <cell r="H108">
            <v>1950000</v>
          </cell>
          <cell r="I108">
            <v>1930000</v>
          </cell>
          <cell r="J108">
            <v>1960000</v>
          </cell>
          <cell r="K108">
            <v>1830000</v>
          </cell>
          <cell r="L108">
            <v>1860000</v>
          </cell>
          <cell r="M108">
            <v>1730000</v>
          </cell>
          <cell r="N108">
            <v>1660000</v>
          </cell>
          <cell r="O108">
            <v>1630000</v>
          </cell>
          <cell r="P108">
            <v>2030000</v>
          </cell>
          <cell r="Q108">
            <v>2040000</v>
          </cell>
          <cell r="R108">
            <v>2290000</v>
          </cell>
          <cell r="S108">
            <v>2280000</v>
          </cell>
          <cell r="T108">
            <v>2240000</v>
          </cell>
          <cell r="U108">
            <v>2450000</v>
          </cell>
          <cell r="V108">
            <v>2480000</v>
          </cell>
          <cell r="W108">
            <v>2320000</v>
          </cell>
        </row>
        <row r="109">
          <cell r="D109" t="str">
            <v>AKLime</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row>
        <row r="110">
          <cell r="D110" t="str">
            <v>AZLime</v>
          </cell>
          <cell r="E110">
            <v>0</v>
          </cell>
          <cell r="F110">
            <v>451480.23828963679</v>
          </cell>
          <cell r="G110">
            <v>505911.88121805922</v>
          </cell>
          <cell r="H110">
            <v>344000</v>
          </cell>
          <cell r="I110">
            <v>323000</v>
          </cell>
          <cell r="J110">
            <v>585000</v>
          </cell>
          <cell r="K110">
            <v>1170000</v>
          </cell>
          <cell r="L110">
            <v>686000</v>
          </cell>
          <cell r="M110">
            <v>603000</v>
          </cell>
          <cell r="N110">
            <v>603000</v>
          </cell>
          <cell r="O110">
            <v>536000</v>
          </cell>
          <cell r="P110">
            <v>333750</v>
          </cell>
          <cell r="Q110">
            <v>287500</v>
          </cell>
          <cell r="R110">
            <v>325000</v>
          </cell>
          <cell r="S110">
            <v>330000</v>
          </cell>
          <cell r="T110">
            <v>382500</v>
          </cell>
          <cell r="U110">
            <v>407500</v>
          </cell>
          <cell r="V110">
            <v>420000</v>
          </cell>
          <cell r="W110">
            <v>407142.85714285716</v>
          </cell>
        </row>
        <row r="111">
          <cell r="D111" t="str">
            <v>ARLime</v>
          </cell>
          <cell r="E111">
            <v>76506.698116060346</v>
          </cell>
          <cell r="F111">
            <v>0</v>
          </cell>
          <cell r="G111">
            <v>0</v>
          </cell>
          <cell r="H111">
            <v>110000</v>
          </cell>
          <cell r="I111">
            <v>99000</v>
          </cell>
          <cell r="J111">
            <v>112000</v>
          </cell>
          <cell r="K111">
            <v>102000</v>
          </cell>
          <cell r="L111">
            <v>112000</v>
          </cell>
          <cell r="M111">
            <v>113000</v>
          </cell>
          <cell r="N111">
            <v>109000</v>
          </cell>
          <cell r="O111">
            <v>101000</v>
          </cell>
          <cell r="P111">
            <v>0</v>
          </cell>
          <cell r="Q111">
            <v>0</v>
          </cell>
          <cell r="S111">
            <v>0</v>
          </cell>
          <cell r="T111">
            <v>0</v>
          </cell>
          <cell r="U111">
            <v>0</v>
          </cell>
          <cell r="V111">
            <v>0</v>
          </cell>
          <cell r="W111">
            <v>0</v>
          </cell>
        </row>
        <row r="112">
          <cell r="D112" t="str">
            <v>CALime</v>
          </cell>
          <cell r="E112">
            <v>313889.14088723582</v>
          </cell>
          <cell r="F112">
            <v>278508.5729837612</v>
          </cell>
          <cell r="G112">
            <v>254014.33366597112</v>
          </cell>
          <cell r="H112">
            <v>181000</v>
          </cell>
          <cell r="I112">
            <v>189000</v>
          </cell>
          <cell r="J112">
            <v>585000</v>
          </cell>
          <cell r="K112">
            <v>1170000</v>
          </cell>
          <cell r="L112">
            <v>209000</v>
          </cell>
          <cell r="M112">
            <v>228000</v>
          </cell>
          <cell r="N112">
            <v>203000</v>
          </cell>
          <cell r="O112">
            <v>193000</v>
          </cell>
          <cell r="P112">
            <v>127000</v>
          </cell>
          <cell r="Q112">
            <v>96000</v>
          </cell>
          <cell r="R112">
            <v>100186</v>
          </cell>
          <cell r="S112">
            <v>126097</v>
          </cell>
          <cell r="T112">
            <v>122754</v>
          </cell>
          <cell r="U112">
            <v>107577</v>
          </cell>
          <cell r="V112">
            <v>93250</v>
          </cell>
          <cell r="W112">
            <v>78376.75</v>
          </cell>
        </row>
        <row r="113">
          <cell r="D113" t="str">
            <v>COLime</v>
          </cell>
          <cell r="E113">
            <v>0</v>
          </cell>
          <cell r="F113">
            <v>84671.444555323702</v>
          </cell>
          <cell r="G113">
            <v>120959.20650760531</v>
          </cell>
          <cell r="H113">
            <v>343000</v>
          </cell>
          <cell r="I113">
            <v>323000</v>
          </cell>
          <cell r="J113">
            <v>130000</v>
          </cell>
          <cell r="K113">
            <v>116000</v>
          </cell>
          <cell r="L113">
            <v>113000</v>
          </cell>
          <cell r="M113">
            <v>115000</v>
          </cell>
          <cell r="N113">
            <v>111000</v>
          </cell>
          <cell r="O113">
            <v>123000</v>
          </cell>
          <cell r="P113">
            <v>333750</v>
          </cell>
          <cell r="Q113">
            <v>287500</v>
          </cell>
          <cell r="R113">
            <v>325000</v>
          </cell>
          <cell r="S113">
            <v>330000</v>
          </cell>
          <cell r="T113">
            <v>382500</v>
          </cell>
          <cell r="U113">
            <v>407500</v>
          </cell>
          <cell r="V113">
            <v>420000</v>
          </cell>
          <cell r="W113">
            <v>407142.85714285716</v>
          </cell>
        </row>
        <row r="114">
          <cell r="D114" t="str">
            <v>CTLime</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row>
        <row r="115">
          <cell r="D115" t="str">
            <v>DCLime</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row>
        <row r="116">
          <cell r="D116" t="str">
            <v>DELime</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row>
        <row r="117">
          <cell r="D117" t="str">
            <v>FLLime</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row>
        <row r="118">
          <cell r="D118" t="str">
            <v>GALime</v>
          </cell>
          <cell r="E118">
            <v>0</v>
          </cell>
          <cell r="F118">
            <v>0</v>
          </cell>
          <cell r="G118">
            <v>0</v>
          </cell>
          <cell r="H118">
            <v>110000</v>
          </cell>
          <cell r="I118">
            <v>99000</v>
          </cell>
          <cell r="J118">
            <v>112000</v>
          </cell>
          <cell r="K118">
            <v>102000</v>
          </cell>
          <cell r="L118">
            <v>0</v>
          </cell>
          <cell r="M118">
            <v>0</v>
          </cell>
          <cell r="N118">
            <v>0</v>
          </cell>
          <cell r="O118">
            <v>0</v>
          </cell>
          <cell r="P118">
            <v>0</v>
          </cell>
          <cell r="Q118">
            <v>0</v>
          </cell>
          <cell r="R118">
            <v>0</v>
          </cell>
          <cell r="S118">
            <v>0</v>
          </cell>
          <cell r="T118">
            <v>0</v>
          </cell>
          <cell r="U118">
            <v>0</v>
          </cell>
          <cell r="V118">
            <v>0</v>
          </cell>
          <cell r="W118">
            <v>0</v>
          </cell>
        </row>
        <row r="119">
          <cell r="D119" t="str">
            <v>HILime</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row>
        <row r="120">
          <cell r="D120" t="str">
            <v>IDLime</v>
          </cell>
          <cell r="E120">
            <v>0</v>
          </cell>
          <cell r="F120">
            <v>139405.48550001511</v>
          </cell>
          <cell r="G120">
            <v>161480.54068765306</v>
          </cell>
          <cell r="H120">
            <v>343000</v>
          </cell>
          <cell r="I120">
            <v>323000</v>
          </cell>
          <cell r="J120">
            <v>204000</v>
          </cell>
          <cell r="K120">
            <v>223000</v>
          </cell>
          <cell r="L120">
            <v>202000</v>
          </cell>
          <cell r="M120">
            <v>222000</v>
          </cell>
          <cell r="N120">
            <v>207000</v>
          </cell>
          <cell r="O120">
            <v>188000</v>
          </cell>
          <cell r="P120">
            <v>333750</v>
          </cell>
          <cell r="Q120">
            <v>287500</v>
          </cell>
          <cell r="R120">
            <v>325000</v>
          </cell>
          <cell r="S120">
            <v>330000</v>
          </cell>
          <cell r="T120">
            <v>382500</v>
          </cell>
          <cell r="U120">
            <v>407500</v>
          </cell>
          <cell r="V120">
            <v>93250</v>
          </cell>
          <cell r="W120">
            <v>78376.75</v>
          </cell>
        </row>
        <row r="121">
          <cell r="D121" t="str">
            <v>ILLime</v>
          </cell>
          <cell r="E121">
            <v>1241041.4587680302</v>
          </cell>
          <cell r="F121">
            <v>1055369.0767788561</v>
          </cell>
          <cell r="G121">
            <v>1063533.8232181198</v>
          </cell>
          <cell r="H121">
            <v>1296000</v>
          </cell>
          <cell r="I121">
            <v>1367000</v>
          </cell>
          <cell r="J121">
            <v>1320000</v>
          </cell>
          <cell r="K121">
            <v>1243000</v>
          </cell>
          <cell r="L121">
            <v>1233000</v>
          </cell>
          <cell r="M121">
            <v>1150000</v>
          </cell>
          <cell r="N121">
            <v>1126000</v>
          </cell>
          <cell r="O121">
            <v>1063000</v>
          </cell>
          <cell r="P121">
            <v>1233333.3333333333</v>
          </cell>
          <cell r="Q121">
            <v>1240000</v>
          </cell>
          <cell r="R121">
            <v>1236666.6666666667</v>
          </cell>
          <cell r="S121">
            <v>1273333.3333333333</v>
          </cell>
          <cell r="T121">
            <v>1253333.3333333333</v>
          </cell>
          <cell r="U121">
            <v>1333333.3333333333</v>
          </cell>
          <cell r="V121">
            <v>1306666.6666666667</v>
          </cell>
          <cell r="W121">
            <v>1313333.3333333333</v>
          </cell>
        </row>
        <row r="122">
          <cell r="D122" t="str">
            <v>INLime</v>
          </cell>
          <cell r="E122">
            <v>1241041.4587680302</v>
          </cell>
          <cell r="F122">
            <v>1055369.0767788561</v>
          </cell>
          <cell r="G122">
            <v>1063533.8232181198</v>
          </cell>
          <cell r="H122">
            <v>1296000</v>
          </cell>
          <cell r="I122">
            <v>1367000</v>
          </cell>
          <cell r="J122">
            <v>1320000</v>
          </cell>
          <cell r="K122">
            <v>1243000</v>
          </cell>
          <cell r="L122">
            <v>1233000</v>
          </cell>
          <cell r="M122">
            <v>1150000</v>
          </cell>
          <cell r="N122">
            <v>1126000</v>
          </cell>
          <cell r="O122">
            <v>1063000</v>
          </cell>
          <cell r="P122">
            <v>1233333.3333333333</v>
          </cell>
          <cell r="Q122">
            <v>1240000</v>
          </cell>
          <cell r="R122">
            <v>1236666.6666666667</v>
          </cell>
          <cell r="S122">
            <v>1273333.3333333333</v>
          </cell>
          <cell r="T122">
            <v>1253333.3333333333</v>
          </cell>
          <cell r="U122">
            <v>1333333.3333333333</v>
          </cell>
          <cell r="V122">
            <v>1306666.6666666667</v>
          </cell>
          <cell r="W122">
            <v>1313333.3333333333</v>
          </cell>
        </row>
        <row r="123">
          <cell r="D123" t="str">
            <v>IALime</v>
          </cell>
          <cell r="E123">
            <v>0</v>
          </cell>
          <cell r="F123">
            <v>0</v>
          </cell>
          <cell r="G123">
            <v>0</v>
          </cell>
          <cell r="H123">
            <v>84000</v>
          </cell>
          <cell r="I123">
            <v>87000</v>
          </cell>
          <cell r="J123">
            <v>92000</v>
          </cell>
          <cell r="K123">
            <v>92000</v>
          </cell>
          <cell r="L123">
            <v>81000</v>
          </cell>
          <cell r="M123">
            <v>77000</v>
          </cell>
          <cell r="N123">
            <v>80000</v>
          </cell>
          <cell r="O123">
            <v>78000</v>
          </cell>
          <cell r="P123">
            <v>84000</v>
          </cell>
          <cell r="Q123">
            <v>84000</v>
          </cell>
          <cell r="R123">
            <v>121108.33333333333</v>
          </cell>
          <cell r="S123">
            <v>122286.33333333333</v>
          </cell>
          <cell r="T123">
            <v>121938.33333333333</v>
          </cell>
          <cell r="U123">
            <v>117391.33333333333</v>
          </cell>
          <cell r="V123">
            <v>112666.66666666667</v>
          </cell>
          <cell r="W123">
            <v>114312.66666666666</v>
          </cell>
        </row>
        <row r="124">
          <cell r="D124" t="str">
            <v>KSLime</v>
          </cell>
          <cell r="E124">
            <v>0</v>
          </cell>
          <cell r="F124">
            <v>0</v>
          </cell>
          <cell r="G124">
            <v>0</v>
          </cell>
          <cell r="H124">
            <v>43000</v>
          </cell>
          <cell r="I124">
            <v>38000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row>
        <row r="125">
          <cell r="D125" t="str">
            <v>KYLime</v>
          </cell>
          <cell r="E125">
            <v>600864.85832652939</v>
          </cell>
          <cell r="F125">
            <v>618706.34128640115</v>
          </cell>
          <cell r="G125">
            <v>599352.86824518431</v>
          </cell>
          <cell r="H125">
            <v>837000</v>
          </cell>
          <cell r="I125">
            <v>1150000</v>
          </cell>
          <cell r="J125">
            <v>863000</v>
          </cell>
          <cell r="K125">
            <v>836000</v>
          </cell>
          <cell r="L125">
            <v>830000</v>
          </cell>
          <cell r="M125">
            <v>796000</v>
          </cell>
          <cell r="N125">
            <v>643000</v>
          </cell>
          <cell r="O125">
            <v>616000</v>
          </cell>
          <cell r="P125">
            <v>776666.66666666663</v>
          </cell>
          <cell r="Q125">
            <v>756666.66666666674</v>
          </cell>
          <cell r="R125">
            <v>840000</v>
          </cell>
          <cell r="S125">
            <v>943333.33333333337</v>
          </cell>
          <cell r="T125">
            <v>930000</v>
          </cell>
          <cell r="U125">
            <v>953333.33333333337</v>
          </cell>
          <cell r="V125">
            <v>880000</v>
          </cell>
          <cell r="W125">
            <v>900000</v>
          </cell>
        </row>
        <row r="126">
          <cell r="D126" t="str">
            <v>LALime</v>
          </cell>
          <cell r="E126">
            <v>76506.698116060346</v>
          </cell>
          <cell r="F126">
            <v>0</v>
          </cell>
          <cell r="G126">
            <v>0</v>
          </cell>
          <cell r="H126">
            <v>110000</v>
          </cell>
          <cell r="I126">
            <v>99000</v>
          </cell>
          <cell r="J126">
            <v>112000</v>
          </cell>
          <cell r="K126">
            <v>102000</v>
          </cell>
          <cell r="L126">
            <v>112000</v>
          </cell>
          <cell r="M126">
            <v>113000</v>
          </cell>
          <cell r="N126">
            <v>109000</v>
          </cell>
          <cell r="O126">
            <v>101000</v>
          </cell>
          <cell r="P126">
            <v>0</v>
          </cell>
          <cell r="Q126">
            <v>0</v>
          </cell>
          <cell r="R126">
            <v>0</v>
          </cell>
          <cell r="S126">
            <v>0</v>
          </cell>
          <cell r="T126">
            <v>0</v>
          </cell>
          <cell r="U126">
            <v>0</v>
          </cell>
          <cell r="V126">
            <v>0</v>
          </cell>
          <cell r="W126">
            <v>0</v>
          </cell>
        </row>
        <row r="127">
          <cell r="D127" t="str">
            <v>MELime</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row>
        <row r="128">
          <cell r="D128" t="str">
            <v>MDLime</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row>
        <row r="129">
          <cell r="D129" t="str">
            <v>MALime</v>
          </cell>
          <cell r="E129">
            <v>0</v>
          </cell>
          <cell r="F129">
            <v>0</v>
          </cell>
          <cell r="G129">
            <v>0</v>
          </cell>
          <cell r="H129">
            <v>110000</v>
          </cell>
          <cell r="I129">
            <v>99000</v>
          </cell>
          <cell r="J129">
            <v>112000</v>
          </cell>
          <cell r="K129">
            <v>102000</v>
          </cell>
          <cell r="L129">
            <v>112000</v>
          </cell>
          <cell r="M129">
            <v>113000</v>
          </cell>
          <cell r="N129">
            <v>109000</v>
          </cell>
          <cell r="O129">
            <v>101000</v>
          </cell>
          <cell r="P129">
            <v>0</v>
          </cell>
          <cell r="Q129">
            <v>0</v>
          </cell>
          <cell r="R129">
            <v>0</v>
          </cell>
          <cell r="S129">
            <v>0</v>
          </cell>
          <cell r="T129">
            <v>0</v>
          </cell>
          <cell r="U129">
            <v>0</v>
          </cell>
          <cell r="V129">
            <v>0</v>
          </cell>
          <cell r="W129">
            <v>0</v>
          </cell>
        </row>
        <row r="130">
          <cell r="D130" t="str">
            <v>MILime</v>
          </cell>
          <cell r="E130">
            <v>0</v>
          </cell>
          <cell r="F130">
            <v>556109.95191871538</v>
          </cell>
          <cell r="G130">
            <v>576975.4150412773</v>
          </cell>
          <cell r="H130">
            <v>530000</v>
          </cell>
          <cell r="I130">
            <v>781000</v>
          </cell>
          <cell r="J130">
            <v>761000</v>
          </cell>
          <cell r="K130">
            <v>802000</v>
          </cell>
          <cell r="L130">
            <v>584000</v>
          </cell>
          <cell r="M130">
            <v>653000</v>
          </cell>
          <cell r="N130">
            <v>637000</v>
          </cell>
          <cell r="O130">
            <v>617000</v>
          </cell>
          <cell r="P130">
            <v>0</v>
          </cell>
          <cell r="Q130">
            <v>0</v>
          </cell>
          <cell r="R130">
            <v>0</v>
          </cell>
          <cell r="S130">
            <v>0</v>
          </cell>
          <cell r="T130">
            <v>0</v>
          </cell>
          <cell r="U130">
            <v>0</v>
          </cell>
          <cell r="V130">
            <v>0</v>
          </cell>
          <cell r="W130">
            <v>0</v>
          </cell>
        </row>
        <row r="131">
          <cell r="D131" t="str">
            <v>MNLime</v>
          </cell>
          <cell r="E131">
            <v>0</v>
          </cell>
          <cell r="F131">
            <v>0</v>
          </cell>
          <cell r="G131">
            <v>0</v>
          </cell>
          <cell r="H131">
            <v>110000</v>
          </cell>
          <cell r="I131">
            <v>99000</v>
          </cell>
          <cell r="J131">
            <v>112000</v>
          </cell>
          <cell r="K131">
            <v>102000</v>
          </cell>
          <cell r="L131">
            <v>112000</v>
          </cell>
          <cell r="M131">
            <v>113000</v>
          </cell>
          <cell r="N131">
            <v>109000</v>
          </cell>
          <cell r="O131">
            <v>101000</v>
          </cell>
          <cell r="P131">
            <v>0</v>
          </cell>
          <cell r="Q131">
            <v>0</v>
          </cell>
          <cell r="R131">
            <v>0</v>
          </cell>
          <cell r="S131">
            <v>0</v>
          </cell>
          <cell r="T131">
            <v>0</v>
          </cell>
          <cell r="U131">
            <v>0</v>
          </cell>
          <cell r="V131">
            <v>0</v>
          </cell>
          <cell r="W131">
            <v>0</v>
          </cell>
        </row>
        <row r="132">
          <cell r="D132" t="str">
            <v>MSLime</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row>
        <row r="133">
          <cell r="D133" t="str">
            <v>MOLime</v>
          </cell>
          <cell r="E133">
            <v>1241041.4587680302</v>
          </cell>
          <cell r="F133">
            <v>1055369.0767788561</v>
          </cell>
          <cell r="G133">
            <v>1063533.8232181198</v>
          </cell>
          <cell r="H133">
            <v>1296000</v>
          </cell>
          <cell r="I133">
            <v>1367000</v>
          </cell>
          <cell r="J133">
            <v>1320000</v>
          </cell>
          <cell r="K133">
            <v>1243000</v>
          </cell>
          <cell r="L133">
            <v>1233000</v>
          </cell>
          <cell r="M133">
            <v>1150000</v>
          </cell>
          <cell r="N133">
            <v>1126000</v>
          </cell>
          <cell r="O133">
            <v>1063000</v>
          </cell>
          <cell r="P133">
            <v>1233333.3333333333</v>
          </cell>
          <cell r="Q133">
            <v>1240000</v>
          </cell>
          <cell r="R133">
            <v>1236666.6666666667</v>
          </cell>
          <cell r="S133">
            <v>1273333.3333333333</v>
          </cell>
          <cell r="T133">
            <v>1253333.3333333333</v>
          </cell>
          <cell r="U133">
            <v>1333333.3333333333</v>
          </cell>
          <cell r="V133">
            <v>1306666.6666666667</v>
          </cell>
          <cell r="W133">
            <v>1313333.3333333333</v>
          </cell>
        </row>
        <row r="134">
          <cell r="D134" t="str">
            <v>MTLime</v>
          </cell>
          <cell r="E134">
            <v>0</v>
          </cell>
          <cell r="F134">
            <v>84671.444555323702</v>
          </cell>
          <cell r="G134">
            <v>120959.20650760531</v>
          </cell>
          <cell r="H134">
            <v>343000</v>
          </cell>
          <cell r="I134">
            <v>323000</v>
          </cell>
          <cell r="J134">
            <v>130000</v>
          </cell>
          <cell r="K134">
            <v>116000</v>
          </cell>
          <cell r="L134">
            <v>113000</v>
          </cell>
          <cell r="M134">
            <v>115000</v>
          </cell>
          <cell r="N134">
            <v>111000</v>
          </cell>
          <cell r="O134">
            <v>123000</v>
          </cell>
          <cell r="P134">
            <v>333750</v>
          </cell>
          <cell r="Q134">
            <v>287500</v>
          </cell>
          <cell r="R134">
            <v>325000</v>
          </cell>
          <cell r="S134">
            <v>330000</v>
          </cell>
          <cell r="T134">
            <v>382500</v>
          </cell>
          <cell r="U134">
            <v>407500</v>
          </cell>
          <cell r="V134">
            <v>420000</v>
          </cell>
          <cell r="W134">
            <v>407142.85714285716</v>
          </cell>
        </row>
        <row r="135">
          <cell r="D135" t="str">
            <v>NELime</v>
          </cell>
          <cell r="E135">
            <v>0</v>
          </cell>
          <cell r="F135">
            <v>0</v>
          </cell>
          <cell r="G135">
            <v>0</v>
          </cell>
          <cell r="H135">
            <v>85000</v>
          </cell>
          <cell r="I135">
            <v>87000</v>
          </cell>
          <cell r="J135">
            <v>92000</v>
          </cell>
          <cell r="K135">
            <v>92000</v>
          </cell>
          <cell r="L135">
            <v>81000</v>
          </cell>
          <cell r="M135">
            <v>77000</v>
          </cell>
          <cell r="N135">
            <v>80000</v>
          </cell>
          <cell r="O135">
            <v>78000</v>
          </cell>
          <cell r="P135">
            <v>84000</v>
          </cell>
          <cell r="Q135">
            <v>84000</v>
          </cell>
          <cell r="R135">
            <v>121108.33333333333</v>
          </cell>
          <cell r="S135">
            <v>122286.33333333333</v>
          </cell>
          <cell r="T135">
            <v>121938.33333333333</v>
          </cell>
          <cell r="U135">
            <v>117391.33333333333</v>
          </cell>
          <cell r="V135">
            <v>112666.66666666667</v>
          </cell>
          <cell r="W135">
            <v>114312.66666666666</v>
          </cell>
        </row>
        <row r="136">
          <cell r="D136" t="str">
            <v>NVLime</v>
          </cell>
          <cell r="E136">
            <v>0</v>
          </cell>
          <cell r="F136">
            <v>451480.23828963679</v>
          </cell>
          <cell r="G136">
            <v>505911.88121805922</v>
          </cell>
          <cell r="H136">
            <v>343000</v>
          </cell>
          <cell r="I136">
            <v>323000</v>
          </cell>
          <cell r="J136">
            <v>585000</v>
          </cell>
          <cell r="K136">
            <v>1170000</v>
          </cell>
          <cell r="L136">
            <v>686000</v>
          </cell>
          <cell r="M136">
            <v>603000</v>
          </cell>
          <cell r="N136">
            <v>603000</v>
          </cell>
          <cell r="O136">
            <v>536000</v>
          </cell>
          <cell r="P136">
            <v>333750</v>
          </cell>
          <cell r="Q136">
            <v>287500</v>
          </cell>
          <cell r="R136">
            <v>325000</v>
          </cell>
          <cell r="S136">
            <v>330000</v>
          </cell>
          <cell r="T136">
            <v>382500</v>
          </cell>
          <cell r="U136">
            <v>407500</v>
          </cell>
          <cell r="V136">
            <v>420000</v>
          </cell>
          <cell r="W136">
            <v>407142.85714285716</v>
          </cell>
        </row>
        <row r="137">
          <cell r="D137" t="str">
            <v>NHLime</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row>
        <row r="138">
          <cell r="D138" t="str">
            <v>NJLime</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row>
        <row r="139">
          <cell r="D139" t="str">
            <v>NMLime</v>
          </cell>
          <cell r="E139">
            <v>0</v>
          </cell>
          <cell r="F139">
            <v>0</v>
          </cell>
          <cell r="G139">
            <v>0</v>
          </cell>
          <cell r="H139">
            <v>343000</v>
          </cell>
          <cell r="I139">
            <v>323000</v>
          </cell>
          <cell r="J139">
            <v>0</v>
          </cell>
          <cell r="K139">
            <v>0</v>
          </cell>
          <cell r="L139">
            <v>0</v>
          </cell>
          <cell r="M139">
            <v>0</v>
          </cell>
          <cell r="N139">
            <v>0</v>
          </cell>
          <cell r="O139">
            <v>0</v>
          </cell>
          <cell r="P139">
            <v>333750</v>
          </cell>
          <cell r="Q139">
            <v>287500</v>
          </cell>
          <cell r="R139">
            <v>325000</v>
          </cell>
          <cell r="S139">
            <v>330000</v>
          </cell>
          <cell r="T139">
            <v>382500</v>
          </cell>
          <cell r="U139">
            <v>407500</v>
          </cell>
          <cell r="V139">
            <v>420000</v>
          </cell>
          <cell r="W139">
            <v>407142.85714285716</v>
          </cell>
        </row>
        <row r="140">
          <cell r="D140" t="str">
            <v>NYLime</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row>
        <row r="141">
          <cell r="D141" t="str">
            <v>NCLime</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row>
        <row r="142">
          <cell r="D142" t="str">
            <v>NDLime</v>
          </cell>
          <cell r="E142">
            <v>74389.912002177269</v>
          </cell>
          <cell r="F142">
            <v>88905.016783089886</v>
          </cell>
          <cell r="G142">
            <v>100698.53941758141</v>
          </cell>
          <cell r="H142">
            <v>110000</v>
          </cell>
          <cell r="I142">
            <v>99000</v>
          </cell>
          <cell r="J142">
            <v>112000</v>
          </cell>
          <cell r="K142">
            <v>102000</v>
          </cell>
          <cell r="L142">
            <v>112000</v>
          </cell>
          <cell r="M142">
            <v>113000</v>
          </cell>
          <cell r="N142">
            <v>108000</v>
          </cell>
          <cell r="O142">
            <v>112000</v>
          </cell>
          <cell r="P142">
            <v>0</v>
          </cell>
          <cell r="Q142">
            <v>0</v>
          </cell>
          <cell r="R142">
            <v>0</v>
          </cell>
          <cell r="S142">
            <v>0</v>
          </cell>
          <cell r="T142">
            <v>0</v>
          </cell>
          <cell r="U142">
            <v>0</v>
          </cell>
          <cell r="V142">
            <v>0</v>
          </cell>
          <cell r="W142">
            <v>0</v>
          </cell>
        </row>
        <row r="143">
          <cell r="D143" t="str">
            <v>OHLime</v>
          </cell>
          <cell r="E143">
            <v>0</v>
          </cell>
          <cell r="F143">
            <v>0</v>
          </cell>
          <cell r="G143">
            <v>0</v>
          </cell>
          <cell r="H143">
            <v>1850000</v>
          </cell>
          <cell r="I143">
            <v>1820000</v>
          </cell>
          <cell r="J143">
            <v>1870000</v>
          </cell>
          <cell r="K143">
            <v>1960000</v>
          </cell>
          <cell r="L143">
            <v>2020000</v>
          </cell>
          <cell r="M143">
            <v>1920000</v>
          </cell>
          <cell r="N143">
            <v>1850000</v>
          </cell>
          <cell r="O143">
            <v>1700000</v>
          </cell>
          <cell r="P143">
            <v>1900000</v>
          </cell>
          <cell r="Q143">
            <v>1630000</v>
          </cell>
          <cell r="R143">
            <v>1880000</v>
          </cell>
          <cell r="S143">
            <v>1880000</v>
          </cell>
          <cell r="T143">
            <v>1790000</v>
          </cell>
          <cell r="U143">
            <v>1850000</v>
          </cell>
          <cell r="V143">
            <v>1690000</v>
          </cell>
          <cell r="W143">
            <v>1670000</v>
          </cell>
        </row>
        <row r="144">
          <cell r="D144" t="str">
            <v>OKLime</v>
          </cell>
          <cell r="E144">
            <v>76506.698116060346</v>
          </cell>
          <cell r="F144">
            <v>0</v>
          </cell>
          <cell r="G144">
            <v>0</v>
          </cell>
          <cell r="H144">
            <v>43000</v>
          </cell>
          <cell r="I144">
            <v>38000</v>
          </cell>
          <cell r="J144">
            <v>112000</v>
          </cell>
          <cell r="K144">
            <v>102000</v>
          </cell>
          <cell r="L144">
            <v>112000</v>
          </cell>
          <cell r="M144">
            <v>113000</v>
          </cell>
          <cell r="N144">
            <v>109000</v>
          </cell>
          <cell r="O144">
            <v>101000</v>
          </cell>
          <cell r="P144">
            <v>0</v>
          </cell>
          <cell r="Q144">
            <v>0</v>
          </cell>
          <cell r="R144">
            <v>0</v>
          </cell>
          <cell r="S144">
            <v>0</v>
          </cell>
          <cell r="T144">
            <v>0</v>
          </cell>
          <cell r="U144">
            <v>0</v>
          </cell>
          <cell r="V144">
            <v>0</v>
          </cell>
          <cell r="W144">
            <v>0</v>
          </cell>
        </row>
        <row r="145">
          <cell r="D145" t="str">
            <v>ORLime</v>
          </cell>
          <cell r="E145">
            <v>0</v>
          </cell>
          <cell r="F145">
            <v>139405.48550001511</v>
          </cell>
          <cell r="G145">
            <v>161480.54068765306</v>
          </cell>
          <cell r="H145">
            <v>181000</v>
          </cell>
          <cell r="I145">
            <v>190000</v>
          </cell>
          <cell r="J145">
            <v>204000</v>
          </cell>
          <cell r="K145">
            <v>223000</v>
          </cell>
          <cell r="L145">
            <v>202000</v>
          </cell>
          <cell r="M145">
            <v>222000</v>
          </cell>
          <cell r="N145">
            <v>207000</v>
          </cell>
          <cell r="O145">
            <v>188000</v>
          </cell>
          <cell r="P145">
            <v>127000</v>
          </cell>
          <cell r="Q145">
            <v>96000</v>
          </cell>
          <cell r="R145">
            <v>100186</v>
          </cell>
          <cell r="S145">
            <v>126097</v>
          </cell>
          <cell r="T145">
            <v>122754</v>
          </cell>
          <cell r="U145">
            <v>107577</v>
          </cell>
          <cell r="V145">
            <v>93250</v>
          </cell>
          <cell r="W145">
            <v>78376.75</v>
          </cell>
        </row>
        <row r="146">
          <cell r="D146" t="str">
            <v>PALime</v>
          </cell>
          <cell r="E146">
            <v>1474190.3293114398</v>
          </cell>
          <cell r="F146">
            <v>1537693.9127279324</v>
          </cell>
          <cell r="G146">
            <v>1505942.1210196861</v>
          </cell>
          <cell r="H146">
            <v>1350000</v>
          </cell>
          <cell r="I146">
            <v>1340000</v>
          </cell>
          <cell r="J146">
            <v>1390000</v>
          </cell>
          <cell r="K146">
            <v>1510000</v>
          </cell>
          <cell r="L146">
            <v>1530000</v>
          </cell>
          <cell r="M146">
            <v>1640000</v>
          </cell>
          <cell r="N146">
            <v>1590000</v>
          </cell>
          <cell r="O146">
            <v>1540000</v>
          </cell>
          <cell r="P146">
            <v>1280000</v>
          </cell>
          <cell r="Q146">
            <v>1230000</v>
          </cell>
          <cell r="R146">
            <v>1190000</v>
          </cell>
          <cell r="S146">
            <v>1220000</v>
          </cell>
          <cell r="T146">
            <v>1100000</v>
          </cell>
          <cell r="U146">
            <v>1160000</v>
          </cell>
          <cell r="V146">
            <v>1100000</v>
          </cell>
          <cell r="W146">
            <v>1130000</v>
          </cell>
        </row>
        <row r="147">
          <cell r="D147" t="str">
            <v>PRLime</v>
          </cell>
          <cell r="E147">
            <v>26308.627415404153</v>
          </cell>
          <cell r="F147">
            <v>27215.821464211193</v>
          </cell>
          <cell r="G147">
            <v>27215.821464211193</v>
          </cell>
          <cell r="H147">
            <v>110000</v>
          </cell>
          <cell r="I147">
            <v>99000</v>
          </cell>
          <cell r="J147">
            <v>112000</v>
          </cell>
          <cell r="K147">
            <v>102000</v>
          </cell>
          <cell r="L147">
            <v>112000</v>
          </cell>
          <cell r="M147">
            <v>113000</v>
          </cell>
          <cell r="N147">
            <v>23000</v>
          </cell>
          <cell r="O147">
            <v>27000</v>
          </cell>
          <cell r="P147">
            <v>0</v>
          </cell>
          <cell r="Q147">
            <v>0</v>
          </cell>
          <cell r="R147">
            <v>0</v>
          </cell>
          <cell r="S147">
            <v>0</v>
          </cell>
          <cell r="T147">
            <v>0</v>
          </cell>
          <cell r="U147">
            <v>0</v>
          </cell>
          <cell r="V147">
            <v>0</v>
          </cell>
          <cell r="W147">
            <v>0</v>
          </cell>
        </row>
        <row r="148">
          <cell r="D148" t="str">
            <v>RILime</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row>
        <row r="149">
          <cell r="D149" t="str">
            <v>SCLime</v>
          </cell>
          <cell r="E149">
            <v>0</v>
          </cell>
          <cell r="F149">
            <v>0</v>
          </cell>
          <cell r="G149">
            <v>0</v>
          </cell>
          <cell r="H149">
            <v>110000</v>
          </cell>
          <cell r="I149">
            <v>99000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row>
        <row r="150">
          <cell r="D150" t="str">
            <v>SDLime</v>
          </cell>
          <cell r="E150">
            <v>0</v>
          </cell>
          <cell r="F150">
            <v>0</v>
          </cell>
          <cell r="G150">
            <v>0</v>
          </cell>
          <cell r="H150">
            <v>85000</v>
          </cell>
          <cell r="I150">
            <v>87000</v>
          </cell>
          <cell r="J150">
            <v>92000</v>
          </cell>
          <cell r="K150">
            <v>92000</v>
          </cell>
          <cell r="L150">
            <v>81000</v>
          </cell>
          <cell r="M150">
            <v>77000</v>
          </cell>
          <cell r="N150">
            <v>80000</v>
          </cell>
          <cell r="O150">
            <v>78000</v>
          </cell>
          <cell r="P150">
            <v>84000</v>
          </cell>
          <cell r="Q150">
            <v>84000</v>
          </cell>
          <cell r="R150">
            <v>121108.33333333333</v>
          </cell>
          <cell r="S150">
            <v>122286.33333333299</v>
          </cell>
          <cell r="T150">
            <v>121938.33333333333</v>
          </cell>
          <cell r="U150">
            <v>117391.33333333333</v>
          </cell>
          <cell r="V150">
            <v>112666.66666666667</v>
          </cell>
          <cell r="W150">
            <v>114312.66666666666</v>
          </cell>
        </row>
        <row r="151">
          <cell r="D151" t="str">
            <v>TNLime</v>
          </cell>
          <cell r="E151">
            <v>600864.85832652939</v>
          </cell>
          <cell r="F151">
            <v>618706.34128640115</v>
          </cell>
          <cell r="G151">
            <v>599352.86824518431</v>
          </cell>
          <cell r="H151">
            <v>837000</v>
          </cell>
          <cell r="I151">
            <v>1150000</v>
          </cell>
          <cell r="J151">
            <v>863000</v>
          </cell>
          <cell r="K151">
            <v>836000</v>
          </cell>
          <cell r="L151">
            <v>830000</v>
          </cell>
          <cell r="M151">
            <v>796000</v>
          </cell>
          <cell r="N151">
            <v>643000</v>
          </cell>
          <cell r="O151">
            <v>616000</v>
          </cell>
          <cell r="P151">
            <v>776666.66666666663</v>
          </cell>
          <cell r="Q151">
            <v>756666.66666666674</v>
          </cell>
          <cell r="R151">
            <v>840000</v>
          </cell>
          <cell r="S151">
            <v>943333.33333333337</v>
          </cell>
          <cell r="T151">
            <v>930000</v>
          </cell>
          <cell r="U151">
            <v>953333.33333333337</v>
          </cell>
          <cell r="V151">
            <v>880000</v>
          </cell>
          <cell r="W151">
            <v>900000</v>
          </cell>
        </row>
        <row r="152">
          <cell r="D152" t="str">
            <v>TXLime</v>
          </cell>
          <cell r="E152">
            <v>1213825.6373038194</v>
          </cell>
          <cell r="F152">
            <v>1245577.4290120658</v>
          </cell>
          <cell r="G152">
            <v>1337204.0279415767</v>
          </cell>
          <cell r="H152">
            <v>1600000</v>
          </cell>
          <cell r="I152">
            <v>1670000</v>
          </cell>
          <cell r="J152">
            <v>1620000</v>
          </cell>
          <cell r="K152">
            <v>1470000</v>
          </cell>
          <cell r="L152">
            <v>1360000</v>
          </cell>
          <cell r="M152">
            <v>1370000</v>
          </cell>
          <cell r="N152">
            <v>1210000</v>
          </cell>
          <cell r="O152">
            <v>1370000</v>
          </cell>
          <cell r="P152">
            <v>1590000</v>
          </cell>
          <cell r="Q152">
            <v>1530000</v>
          </cell>
          <cell r="R152">
            <v>1630000</v>
          </cell>
          <cell r="S152">
            <v>1630000</v>
          </cell>
          <cell r="T152">
            <v>1610000</v>
          </cell>
          <cell r="U152">
            <v>1650000</v>
          </cell>
          <cell r="V152">
            <v>1620000</v>
          </cell>
          <cell r="W152">
            <v>1500000</v>
          </cell>
        </row>
        <row r="153">
          <cell r="D153" t="str">
            <v>UTLime</v>
          </cell>
          <cell r="E153">
            <v>0</v>
          </cell>
          <cell r="F153">
            <v>451480.23828963679</v>
          </cell>
          <cell r="G153">
            <v>505911.88121805922</v>
          </cell>
          <cell r="H153">
            <v>343000</v>
          </cell>
          <cell r="I153">
            <v>323000</v>
          </cell>
          <cell r="J153">
            <v>585000</v>
          </cell>
          <cell r="K153">
            <v>1170000</v>
          </cell>
          <cell r="L153">
            <v>686000</v>
          </cell>
          <cell r="M153">
            <v>603000</v>
          </cell>
          <cell r="N153">
            <v>603000</v>
          </cell>
          <cell r="O153">
            <v>536000</v>
          </cell>
          <cell r="P153">
            <v>333750</v>
          </cell>
          <cell r="Q153">
            <v>287500</v>
          </cell>
          <cell r="R153">
            <v>325000</v>
          </cell>
          <cell r="S153">
            <v>330000</v>
          </cell>
          <cell r="T153">
            <v>382500</v>
          </cell>
          <cell r="U153">
            <v>407500</v>
          </cell>
          <cell r="V153">
            <v>420000</v>
          </cell>
          <cell r="W153">
            <v>407142.85714285716</v>
          </cell>
        </row>
        <row r="154">
          <cell r="D154" t="str">
            <v>VTLime</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row>
        <row r="155">
          <cell r="D155" t="str">
            <v>VALime</v>
          </cell>
          <cell r="E155">
            <v>767486.16529075557</v>
          </cell>
          <cell r="F155">
            <v>748435.09026580781</v>
          </cell>
          <cell r="G155">
            <v>763857.38909552747</v>
          </cell>
          <cell r="H155">
            <v>722000</v>
          </cell>
          <cell r="I155">
            <v>807000</v>
          </cell>
          <cell r="J155">
            <v>859000</v>
          </cell>
          <cell r="K155">
            <v>818000</v>
          </cell>
          <cell r="L155">
            <v>766000</v>
          </cell>
          <cell r="M155">
            <v>730000</v>
          </cell>
          <cell r="N155">
            <v>742000</v>
          </cell>
          <cell r="O155">
            <v>756000</v>
          </cell>
          <cell r="P155">
            <v>0</v>
          </cell>
          <cell r="Q155">
            <v>0</v>
          </cell>
          <cell r="R155">
            <v>0</v>
          </cell>
          <cell r="S155">
            <v>0</v>
          </cell>
          <cell r="T155">
            <v>0</v>
          </cell>
          <cell r="U155">
            <v>0</v>
          </cell>
          <cell r="V155">
            <v>0</v>
          </cell>
          <cell r="W155">
            <v>0</v>
          </cell>
        </row>
        <row r="156">
          <cell r="D156" t="str">
            <v>WALime</v>
          </cell>
          <cell r="E156">
            <v>0</v>
          </cell>
          <cell r="F156">
            <v>139405.48550001511</v>
          </cell>
          <cell r="G156">
            <v>161480.54068765306</v>
          </cell>
          <cell r="H156">
            <v>181000</v>
          </cell>
          <cell r="I156">
            <v>190000</v>
          </cell>
          <cell r="J156">
            <v>204000</v>
          </cell>
          <cell r="K156">
            <v>223000</v>
          </cell>
          <cell r="L156">
            <v>202000</v>
          </cell>
          <cell r="M156">
            <v>222000</v>
          </cell>
          <cell r="N156">
            <v>207000</v>
          </cell>
          <cell r="O156">
            <v>188000</v>
          </cell>
          <cell r="P156">
            <v>127000</v>
          </cell>
          <cell r="Q156">
            <v>96000</v>
          </cell>
          <cell r="R156">
            <v>100186</v>
          </cell>
          <cell r="S156">
            <v>126097</v>
          </cell>
          <cell r="T156">
            <v>122754</v>
          </cell>
          <cell r="U156">
            <v>107577</v>
          </cell>
          <cell r="V156">
            <v>93250</v>
          </cell>
          <cell r="W156">
            <v>78376.75</v>
          </cell>
        </row>
        <row r="157">
          <cell r="D157" t="str">
            <v>WVLime</v>
          </cell>
          <cell r="E157">
            <v>600864.85832652939</v>
          </cell>
          <cell r="F157">
            <v>618706.34128640115</v>
          </cell>
          <cell r="G157">
            <v>599352.86824518431</v>
          </cell>
          <cell r="H157">
            <v>836000</v>
          </cell>
          <cell r="I157">
            <v>1150000</v>
          </cell>
          <cell r="J157">
            <v>863000</v>
          </cell>
          <cell r="K157">
            <v>836000</v>
          </cell>
          <cell r="L157">
            <v>830000</v>
          </cell>
          <cell r="M157">
            <v>796000</v>
          </cell>
          <cell r="N157">
            <v>643000</v>
          </cell>
          <cell r="O157">
            <v>616000</v>
          </cell>
          <cell r="P157">
            <v>776666.66666666663</v>
          </cell>
          <cell r="Q157">
            <v>756666.66666666674</v>
          </cell>
          <cell r="R157">
            <v>840000</v>
          </cell>
          <cell r="S157">
            <v>943333.33333333337</v>
          </cell>
          <cell r="T157">
            <v>930000</v>
          </cell>
          <cell r="U157">
            <v>953333.33333333337</v>
          </cell>
          <cell r="V157">
            <v>880000</v>
          </cell>
          <cell r="W157">
            <v>900000</v>
          </cell>
        </row>
        <row r="158">
          <cell r="D158" t="str">
            <v>WILime</v>
          </cell>
          <cell r="E158">
            <v>418216.45650004537</v>
          </cell>
          <cell r="F158">
            <v>486256.01016057329</v>
          </cell>
          <cell r="G158">
            <v>480812.84586773108</v>
          </cell>
          <cell r="H158">
            <v>619000</v>
          </cell>
          <cell r="I158">
            <v>618000</v>
          </cell>
          <cell r="J158">
            <v>582000</v>
          </cell>
          <cell r="K158">
            <v>597000</v>
          </cell>
          <cell r="L158">
            <v>551000</v>
          </cell>
          <cell r="M158">
            <v>568000</v>
          </cell>
          <cell r="N158">
            <v>507000</v>
          </cell>
          <cell r="O158">
            <v>511000</v>
          </cell>
          <cell r="P158">
            <v>617450</v>
          </cell>
          <cell r="Q158">
            <v>603000</v>
          </cell>
          <cell r="R158">
            <v>757278</v>
          </cell>
          <cell r="S158">
            <v>850432</v>
          </cell>
          <cell r="T158">
            <v>888497</v>
          </cell>
          <cell r="U158">
            <v>921891</v>
          </cell>
          <cell r="V158">
            <v>959000</v>
          </cell>
          <cell r="W158">
            <v>851715</v>
          </cell>
        </row>
        <row r="159">
          <cell r="D159" t="str">
            <v>WYLime</v>
          </cell>
          <cell r="E159">
            <v>0</v>
          </cell>
          <cell r="F159">
            <v>84671.444555323702</v>
          </cell>
          <cell r="G159">
            <v>120959.20650760531</v>
          </cell>
          <cell r="H159">
            <v>344000</v>
          </cell>
          <cell r="I159">
            <v>323000</v>
          </cell>
          <cell r="J159">
            <v>130000</v>
          </cell>
          <cell r="K159">
            <v>116000</v>
          </cell>
          <cell r="L159">
            <v>113000</v>
          </cell>
          <cell r="M159">
            <v>115000</v>
          </cell>
          <cell r="N159">
            <v>111000</v>
          </cell>
          <cell r="O159">
            <v>123000</v>
          </cell>
          <cell r="P159">
            <v>333750</v>
          </cell>
          <cell r="Q159">
            <v>287500</v>
          </cell>
          <cell r="R159">
            <v>325000</v>
          </cell>
          <cell r="S159">
            <v>330000</v>
          </cell>
          <cell r="T159">
            <v>382500</v>
          </cell>
          <cell r="U159">
            <v>407500</v>
          </cell>
          <cell r="V159">
            <v>420000</v>
          </cell>
          <cell r="W159">
            <v>407142.85714285716</v>
          </cell>
        </row>
        <row r="160">
          <cell r="D160" t="str">
            <v>AL Limestone Do</v>
          </cell>
          <cell r="E160">
            <v>0</v>
          </cell>
          <cell r="F160">
            <v>0</v>
          </cell>
          <cell r="G160">
            <v>0</v>
          </cell>
          <cell r="H160">
            <v>0</v>
          </cell>
          <cell r="I160">
            <v>2600000</v>
          </cell>
          <cell r="J160">
            <v>1142857.142857143</v>
          </cell>
          <cell r="K160">
            <v>1436363.6363636362</v>
          </cell>
          <cell r="L160">
            <v>2072727.2727272725</v>
          </cell>
          <cell r="M160">
            <v>1592307.6923076925</v>
          </cell>
          <cell r="N160">
            <v>2430000</v>
          </cell>
          <cell r="O160">
            <v>1376470.5882352942</v>
          </cell>
          <cell r="P160">
            <v>1137500</v>
          </cell>
          <cell r="Q160">
            <v>1120000</v>
          </cell>
          <cell r="R160">
            <v>993750</v>
          </cell>
          <cell r="S160">
            <v>1120000</v>
          </cell>
          <cell r="T160">
            <v>1112500</v>
          </cell>
          <cell r="U160">
            <v>2120000</v>
          </cell>
          <cell r="V160">
            <v>1840000</v>
          </cell>
        </row>
        <row r="161">
          <cell r="D161" t="str">
            <v>AK Limestone Do</v>
          </cell>
          <cell r="E161">
            <v>0</v>
          </cell>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row>
        <row r="162">
          <cell r="D162" t="str">
            <v>AZ Limestone Do</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row>
        <row r="163">
          <cell r="D163" t="str">
            <v>AR Limestone Do</v>
          </cell>
          <cell r="E163">
            <v>0</v>
          </cell>
          <cell r="F163">
            <v>0</v>
          </cell>
          <cell r="G163">
            <v>0</v>
          </cell>
          <cell r="H163">
            <v>0</v>
          </cell>
          <cell r="I163">
            <v>2600000</v>
          </cell>
          <cell r="J163">
            <v>1142857.142857143</v>
          </cell>
          <cell r="K163">
            <v>1436363.6363636362</v>
          </cell>
          <cell r="L163">
            <v>2072727.2727272725</v>
          </cell>
          <cell r="M163">
            <v>1592307.6923076925</v>
          </cell>
          <cell r="N163">
            <v>2240000</v>
          </cell>
          <cell r="O163">
            <v>1376470.5882352942</v>
          </cell>
          <cell r="P163">
            <v>1137500</v>
          </cell>
          <cell r="Q163">
            <v>1120000</v>
          </cell>
          <cell r="R163">
            <v>993750</v>
          </cell>
          <cell r="S163">
            <v>1120000</v>
          </cell>
          <cell r="T163">
            <v>1112500</v>
          </cell>
          <cell r="U163">
            <v>573000</v>
          </cell>
          <cell r="V163">
            <v>591000</v>
          </cell>
        </row>
        <row r="164">
          <cell r="D164" t="str">
            <v>CA Limestone Do</v>
          </cell>
          <cell r="E164">
            <v>0</v>
          </cell>
          <cell r="F164">
            <v>0</v>
          </cell>
          <cell r="G164">
            <v>0</v>
          </cell>
          <cell r="H164">
            <v>0</v>
          </cell>
          <cell r="I164">
            <v>208000</v>
          </cell>
          <cell r="J164">
            <v>237000</v>
          </cell>
          <cell r="K164">
            <v>384000</v>
          </cell>
          <cell r="L164">
            <v>282000</v>
          </cell>
          <cell r="M164">
            <v>252000</v>
          </cell>
          <cell r="N164">
            <v>356000</v>
          </cell>
          <cell r="O164">
            <v>256000</v>
          </cell>
          <cell r="P164">
            <v>234000</v>
          </cell>
          <cell r="Q164">
            <v>316000</v>
          </cell>
          <cell r="R164">
            <v>250000</v>
          </cell>
          <cell r="S164">
            <v>895000</v>
          </cell>
          <cell r="T164">
            <v>1112500</v>
          </cell>
          <cell r="U164">
            <v>94000</v>
          </cell>
          <cell r="V164">
            <v>102000</v>
          </cell>
        </row>
        <row r="165">
          <cell r="D165" t="str">
            <v>CO Limestone Do</v>
          </cell>
          <cell r="E165">
            <v>0</v>
          </cell>
          <cell r="F165">
            <v>0</v>
          </cell>
          <cell r="G165">
            <v>0</v>
          </cell>
          <cell r="H165">
            <v>0</v>
          </cell>
          <cell r="I165">
            <v>0</v>
          </cell>
          <cell r="J165">
            <v>0</v>
          </cell>
          <cell r="K165">
            <v>0</v>
          </cell>
          <cell r="L165">
            <v>0</v>
          </cell>
          <cell r="M165">
            <v>0</v>
          </cell>
          <cell r="N165">
            <v>0</v>
          </cell>
          <cell r="O165">
            <v>1376470.5882352942</v>
          </cell>
          <cell r="P165">
            <v>1137500</v>
          </cell>
          <cell r="Q165">
            <v>1120000</v>
          </cell>
          <cell r="R165">
            <v>993750</v>
          </cell>
          <cell r="S165">
            <v>1120000</v>
          </cell>
          <cell r="T165">
            <v>1112500</v>
          </cell>
          <cell r="U165">
            <v>22000</v>
          </cell>
          <cell r="V165">
            <v>0</v>
          </cell>
        </row>
        <row r="166">
          <cell r="D166" t="str">
            <v>CT Limestone Do</v>
          </cell>
          <cell r="E166">
            <v>0</v>
          </cell>
          <cell r="F166">
            <v>0</v>
          </cell>
          <cell r="G166">
            <v>0</v>
          </cell>
          <cell r="H166">
            <v>0</v>
          </cell>
          <cell r="I166">
            <v>408000</v>
          </cell>
          <cell r="J166">
            <v>1142857.142857143</v>
          </cell>
          <cell r="K166">
            <v>1436363.6363636362</v>
          </cell>
          <cell r="L166">
            <v>2072727.2727272725</v>
          </cell>
          <cell r="M166">
            <v>1592307.6923076925</v>
          </cell>
          <cell r="N166">
            <v>392000</v>
          </cell>
          <cell r="O166">
            <v>1376470.5882352942</v>
          </cell>
          <cell r="P166">
            <v>1137500</v>
          </cell>
          <cell r="Q166">
            <v>1120000</v>
          </cell>
          <cell r="R166">
            <v>993750</v>
          </cell>
          <cell r="S166">
            <v>1120000</v>
          </cell>
          <cell r="T166">
            <v>1112500</v>
          </cell>
          <cell r="U166">
            <v>661000</v>
          </cell>
          <cell r="V166">
            <v>0</v>
          </cell>
        </row>
        <row r="167">
          <cell r="D167" t="str">
            <v>DC Limestone Do</v>
          </cell>
          <cell r="E167">
            <v>0</v>
          </cell>
          <cell r="F167">
            <v>0</v>
          </cell>
          <cell r="G167">
            <v>0</v>
          </cell>
          <cell r="H167">
            <v>0</v>
          </cell>
          <cell r="R167">
            <v>0</v>
          </cell>
          <cell r="S167">
            <v>0</v>
          </cell>
          <cell r="T167">
            <v>0</v>
          </cell>
          <cell r="U167">
            <v>0</v>
          </cell>
          <cell r="V167">
            <v>0</v>
          </cell>
        </row>
        <row r="168">
          <cell r="D168" t="str">
            <v>DE Limestone Do</v>
          </cell>
          <cell r="E168">
            <v>0</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row>
        <row r="169">
          <cell r="D169" t="str">
            <v>FL Limestone Do</v>
          </cell>
          <cell r="E169">
            <v>0</v>
          </cell>
          <cell r="F169">
            <v>0</v>
          </cell>
          <cell r="G169">
            <v>0</v>
          </cell>
          <cell r="H169">
            <v>0</v>
          </cell>
          <cell r="I169">
            <v>2600000</v>
          </cell>
          <cell r="J169">
            <v>1120000</v>
          </cell>
          <cell r="K169">
            <v>1436363.6363636362</v>
          </cell>
          <cell r="L169">
            <v>1060000</v>
          </cell>
          <cell r="M169">
            <v>1310000</v>
          </cell>
          <cell r="N169">
            <v>2350000</v>
          </cell>
          <cell r="O169">
            <v>2280000</v>
          </cell>
          <cell r="P169">
            <v>1820000</v>
          </cell>
          <cell r="Q169">
            <v>1200000</v>
          </cell>
          <cell r="R169">
            <v>1880000</v>
          </cell>
          <cell r="S169">
            <v>1030000</v>
          </cell>
          <cell r="T169">
            <v>982000</v>
          </cell>
          <cell r="U169">
            <v>713000</v>
          </cell>
          <cell r="V169">
            <v>234000</v>
          </cell>
        </row>
        <row r="170">
          <cell r="D170" t="str">
            <v>GA Limestone Do</v>
          </cell>
          <cell r="E170">
            <v>0</v>
          </cell>
          <cell r="F170">
            <v>0</v>
          </cell>
          <cell r="G170">
            <v>0</v>
          </cell>
          <cell r="H170">
            <v>0</v>
          </cell>
          <cell r="I170">
            <v>0</v>
          </cell>
          <cell r="J170">
            <v>0</v>
          </cell>
          <cell r="K170">
            <v>0</v>
          </cell>
          <cell r="L170">
            <v>109000</v>
          </cell>
          <cell r="M170">
            <v>1592307.6923076925</v>
          </cell>
          <cell r="N170">
            <v>1210000</v>
          </cell>
          <cell r="O170">
            <v>1376470.5882352942</v>
          </cell>
          <cell r="P170">
            <v>0</v>
          </cell>
          <cell r="Q170">
            <v>0</v>
          </cell>
          <cell r="R170">
            <v>0</v>
          </cell>
          <cell r="S170">
            <v>0</v>
          </cell>
          <cell r="T170">
            <v>0</v>
          </cell>
          <cell r="U170">
            <v>0</v>
          </cell>
          <cell r="V170">
            <v>0</v>
          </cell>
        </row>
        <row r="171">
          <cell r="D171" t="str">
            <v>HI Limestone Do</v>
          </cell>
          <cell r="E171">
            <v>0</v>
          </cell>
          <cell r="F171">
            <v>0</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row>
        <row r="172">
          <cell r="D172" t="str">
            <v>ID Limestone Do</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row>
        <row r="173">
          <cell r="D173" t="str">
            <v>IL Limestone Do</v>
          </cell>
          <cell r="E173">
            <v>0</v>
          </cell>
          <cell r="F173">
            <v>0</v>
          </cell>
          <cell r="G173">
            <v>0</v>
          </cell>
          <cell r="H173">
            <v>0</v>
          </cell>
          <cell r="I173">
            <v>2600000</v>
          </cell>
          <cell r="J173">
            <v>13400000</v>
          </cell>
          <cell r="K173">
            <v>8800000</v>
          </cell>
          <cell r="L173">
            <v>8850000</v>
          </cell>
          <cell r="M173">
            <v>17000000</v>
          </cell>
          <cell r="N173">
            <v>16200000</v>
          </cell>
          <cell r="O173">
            <v>17400000</v>
          </cell>
          <cell r="P173">
            <v>18700000</v>
          </cell>
          <cell r="Q173">
            <v>16700000</v>
          </cell>
          <cell r="R173">
            <v>15200000</v>
          </cell>
          <cell r="S173">
            <v>20200000</v>
          </cell>
          <cell r="T173">
            <v>19500000</v>
          </cell>
          <cell r="U173">
            <v>20300000</v>
          </cell>
          <cell r="V173">
            <v>21600000</v>
          </cell>
        </row>
        <row r="174">
          <cell r="D174" t="str">
            <v>IN Limestone Do</v>
          </cell>
          <cell r="E174">
            <v>0</v>
          </cell>
          <cell r="F174">
            <v>0</v>
          </cell>
          <cell r="G174">
            <v>0</v>
          </cell>
          <cell r="H174">
            <v>0</v>
          </cell>
          <cell r="I174">
            <v>5840000</v>
          </cell>
          <cell r="J174">
            <v>6760000</v>
          </cell>
          <cell r="K174">
            <v>7170000</v>
          </cell>
          <cell r="L174">
            <v>7170000</v>
          </cell>
          <cell r="M174">
            <v>11500000</v>
          </cell>
          <cell r="N174">
            <v>12900000</v>
          </cell>
          <cell r="O174">
            <v>11000000</v>
          </cell>
          <cell r="P174">
            <v>10700000</v>
          </cell>
          <cell r="Q174">
            <v>9040000</v>
          </cell>
          <cell r="R174">
            <v>7390000</v>
          </cell>
          <cell r="S174">
            <v>7900000</v>
          </cell>
          <cell r="T174">
            <v>9750000</v>
          </cell>
          <cell r="U174">
            <v>7320000</v>
          </cell>
          <cell r="V174">
            <v>6720000</v>
          </cell>
        </row>
        <row r="175">
          <cell r="D175" t="str">
            <v>IA Limestone Do</v>
          </cell>
          <cell r="E175">
            <v>0</v>
          </cell>
          <cell r="F175">
            <v>0</v>
          </cell>
          <cell r="G175">
            <v>0</v>
          </cell>
          <cell r="H175">
            <v>0</v>
          </cell>
          <cell r="I175">
            <v>33000</v>
          </cell>
          <cell r="J175">
            <v>1142857.142857143</v>
          </cell>
          <cell r="K175">
            <v>42000</v>
          </cell>
          <cell r="L175">
            <v>41000</v>
          </cell>
          <cell r="M175">
            <v>72000</v>
          </cell>
          <cell r="N175">
            <v>53000</v>
          </cell>
          <cell r="O175">
            <v>1376470.5882352942</v>
          </cell>
          <cell r="P175">
            <v>1137500</v>
          </cell>
          <cell r="Q175">
            <v>0</v>
          </cell>
          <cell r="R175">
            <v>993750</v>
          </cell>
          <cell r="S175">
            <v>1120000</v>
          </cell>
          <cell r="T175">
            <v>1112500</v>
          </cell>
          <cell r="U175">
            <v>4070000</v>
          </cell>
          <cell r="V175">
            <v>0</v>
          </cell>
        </row>
        <row r="176">
          <cell r="D176" t="str">
            <v>KS Limestone Do</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row>
        <row r="177">
          <cell r="D177" t="str">
            <v>KY Limestone Do</v>
          </cell>
          <cell r="E177">
            <v>0</v>
          </cell>
          <cell r="F177">
            <v>0</v>
          </cell>
          <cell r="G177">
            <v>0</v>
          </cell>
          <cell r="H177">
            <v>0</v>
          </cell>
          <cell r="I177">
            <v>0</v>
          </cell>
          <cell r="J177">
            <v>0</v>
          </cell>
          <cell r="K177">
            <v>0</v>
          </cell>
          <cell r="L177">
            <v>0</v>
          </cell>
          <cell r="M177">
            <v>0</v>
          </cell>
          <cell r="N177">
            <v>915000</v>
          </cell>
          <cell r="O177">
            <v>1376470.5882352942</v>
          </cell>
          <cell r="P177">
            <v>1137500</v>
          </cell>
          <cell r="Q177">
            <v>1120000</v>
          </cell>
          <cell r="R177">
            <v>993750</v>
          </cell>
          <cell r="S177">
            <v>1120000</v>
          </cell>
          <cell r="T177">
            <v>1112500</v>
          </cell>
          <cell r="U177">
            <v>0</v>
          </cell>
          <cell r="V177">
            <v>0</v>
          </cell>
        </row>
        <row r="178">
          <cell r="D178" t="str">
            <v>LA Limestone Do</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row>
        <row r="179">
          <cell r="D179" t="str">
            <v>ME Limestone Do</v>
          </cell>
          <cell r="E179">
            <v>0</v>
          </cell>
          <cell r="F179">
            <v>0</v>
          </cell>
          <cell r="G179">
            <v>0</v>
          </cell>
          <cell r="H179">
            <v>0</v>
          </cell>
          <cell r="I179">
            <v>0</v>
          </cell>
          <cell r="J179">
            <v>0</v>
          </cell>
          <cell r="K179">
            <v>0</v>
          </cell>
          <cell r="L179">
            <v>0</v>
          </cell>
          <cell r="M179">
            <v>0</v>
          </cell>
          <cell r="N179">
            <v>392000</v>
          </cell>
          <cell r="O179">
            <v>0</v>
          </cell>
          <cell r="P179">
            <v>0</v>
          </cell>
          <cell r="Q179">
            <v>0</v>
          </cell>
          <cell r="R179">
            <v>0</v>
          </cell>
          <cell r="S179">
            <v>0</v>
          </cell>
          <cell r="T179">
            <v>0</v>
          </cell>
          <cell r="U179">
            <v>0</v>
          </cell>
          <cell r="V179">
            <v>0</v>
          </cell>
        </row>
        <row r="180">
          <cell r="D180" t="str">
            <v>MD Limestone Do</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row>
        <row r="181">
          <cell r="D181" t="str">
            <v>MA Limestone Do</v>
          </cell>
          <cell r="E181">
            <v>0</v>
          </cell>
          <cell r="F181">
            <v>0</v>
          </cell>
          <cell r="G181">
            <v>0</v>
          </cell>
          <cell r="H181">
            <v>0</v>
          </cell>
          <cell r="I181">
            <v>2600000</v>
          </cell>
          <cell r="J181">
            <v>1142857.142857143</v>
          </cell>
          <cell r="K181">
            <v>0</v>
          </cell>
          <cell r="L181">
            <v>0</v>
          </cell>
          <cell r="M181">
            <v>0</v>
          </cell>
          <cell r="N181">
            <v>0</v>
          </cell>
          <cell r="O181">
            <v>1376470.5882352942</v>
          </cell>
          <cell r="P181">
            <v>1137500</v>
          </cell>
          <cell r="Q181">
            <v>1120000</v>
          </cell>
          <cell r="R181">
            <v>993750</v>
          </cell>
          <cell r="S181">
            <v>1120000</v>
          </cell>
          <cell r="T181">
            <v>1112500</v>
          </cell>
          <cell r="U181">
            <v>154000</v>
          </cell>
          <cell r="V181">
            <v>0</v>
          </cell>
        </row>
        <row r="182">
          <cell r="D182" t="str">
            <v>MI Limestone Do</v>
          </cell>
          <cell r="E182">
            <v>0</v>
          </cell>
          <cell r="F182">
            <v>0</v>
          </cell>
          <cell r="G182">
            <v>0</v>
          </cell>
          <cell r="H182">
            <v>0</v>
          </cell>
          <cell r="I182">
            <v>6810000</v>
          </cell>
          <cell r="J182">
            <v>8110000</v>
          </cell>
          <cell r="K182">
            <v>8330000</v>
          </cell>
          <cell r="L182">
            <v>8120000</v>
          </cell>
          <cell r="M182">
            <v>8970000</v>
          </cell>
          <cell r="N182">
            <v>9710000</v>
          </cell>
          <cell r="O182">
            <v>7770000</v>
          </cell>
          <cell r="P182">
            <v>8110000</v>
          </cell>
          <cell r="Q182">
            <v>8200000</v>
          </cell>
          <cell r="R182">
            <v>5980000</v>
          </cell>
          <cell r="S182">
            <v>7860000</v>
          </cell>
          <cell r="T182">
            <v>7380000</v>
          </cell>
          <cell r="U182">
            <v>6620000</v>
          </cell>
          <cell r="V182">
            <v>7120000</v>
          </cell>
        </row>
        <row r="183">
          <cell r="D183" t="str">
            <v>MN Limestone Do</v>
          </cell>
          <cell r="E183">
            <v>0</v>
          </cell>
          <cell r="F183">
            <v>0</v>
          </cell>
          <cell r="G183">
            <v>0</v>
          </cell>
          <cell r="H183">
            <v>0</v>
          </cell>
          <cell r="I183">
            <v>2600000</v>
          </cell>
          <cell r="J183">
            <v>1142857.142857143</v>
          </cell>
          <cell r="K183">
            <v>802000</v>
          </cell>
          <cell r="L183">
            <v>2072727.2727272725</v>
          </cell>
          <cell r="M183">
            <v>1592307.6923076925</v>
          </cell>
          <cell r="N183">
            <v>3300000</v>
          </cell>
          <cell r="O183">
            <v>1376470.5882352942</v>
          </cell>
          <cell r="P183">
            <v>1137500</v>
          </cell>
          <cell r="Q183">
            <v>1120000</v>
          </cell>
          <cell r="R183">
            <v>993750</v>
          </cell>
          <cell r="S183">
            <v>1120000</v>
          </cell>
          <cell r="T183">
            <v>1112500</v>
          </cell>
          <cell r="U183">
            <v>4000000</v>
          </cell>
          <cell r="V183">
            <v>2770000</v>
          </cell>
        </row>
        <row r="184">
          <cell r="D184" t="str">
            <v>MS Limestone Do</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row>
        <row r="185">
          <cell r="D185" t="str">
            <v>MO Limestone Do</v>
          </cell>
          <cell r="E185">
            <v>0</v>
          </cell>
          <cell r="F185">
            <v>0</v>
          </cell>
          <cell r="G185">
            <v>0</v>
          </cell>
          <cell r="H185">
            <v>0</v>
          </cell>
          <cell r="I185">
            <v>2960000</v>
          </cell>
          <cell r="J185">
            <v>2560000</v>
          </cell>
          <cell r="K185">
            <v>2590000</v>
          </cell>
          <cell r="L185">
            <v>2580000</v>
          </cell>
          <cell r="M185">
            <v>2770000</v>
          </cell>
          <cell r="N185">
            <v>4250000</v>
          </cell>
          <cell r="O185">
            <v>3880000</v>
          </cell>
          <cell r="P185">
            <v>3950000</v>
          </cell>
          <cell r="Q185">
            <v>3940000</v>
          </cell>
          <cell r="R185">
            <v>3330000</v>
          </cell>
          <cell r="S185">
            <v>3060000</v>
          </cell>
          <cell r="T185">
            <v>3860000</v>
          </cell>
          <cell r="U185">
            <v>3590000</v>
          </cell>
          <cell r="V185">
            <v>2760000</v>
          </cell>
        </row>
        <row r="186">
          <cell r="D186" t="str">
            <v>MT Limestone Do</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row>
        <row r="187">
          <cell r="D187" t="str">
            <v>NE Limestone Do</v>
          </cell>
          <cell r="E187">
            <v>0</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row>
        <row r="188">
          <cell r="D188" t="str">
            <v>NV Limestone Do</v>
          </cell>
          <cell r="E188">
            <v>0</v>
          </cell>
          <cell r="F188">
            <v>0</v>
          </cell>
          <cell r="G188">
            <v>0</v>
          </cell>
          <cell r="H188">
            <v>0</v>
          </cell>
          <cell r="I188">
            <v>2600000</v>
          </cell>
          <cell r="J188">
            <v>1142857.142857143</v>
          </cell>
          <cell r="K188">
            <v>1436363.6363636362</v>
          </cell>
          <cell r="L188">
            <v>2072727.2727272725</v>
          </cell>
          <cell r="M188">
            <v>1592307.6923076925</v>
          </cell>
          <cell r="N188">
            <v>63000</v>
          </cell>
          <cell r="O188">
            <v>1376470.5882352942</v>
          </cell>
          <cell r="P188">
            <v>1137500</v>
          </cell>
          <cell r="Q188">
            <v>1120000</v>
          </cell>
          <cell r="R188">
            <v>993750</v>
          </cell>
          <cell r="S188">
            <v>1120000</v>
          </cell>
          <cell r="T188">
            <v>1112500</v>
          </cell>
          <cell r="U188">
            <v>154000</v>
          </cell>
          <cell r="V188">
            <v>0</v>
          </cell>
        </row>
        <row r="189">
          <cell r="D189" t="str">
            <v>NH Limestone Do</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row>
        <row r="190">
          <cell r="D190" t="str">
            <v>NJ Limestone Do</v>
          </cell>
          <cell r="E190">
            <v>0</v>
          </cell>
          <cell r="F190">
            <v>0</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row>
        <row r="191">
          <cell r="D191" t="str">
            <v>NM Limestone Do</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row>
        <row r="192">
          <cell r="D192" t="str">
            <v>NY Limestone Do</v>
          </cell>
          <cell r="E192">
            <v>0</v>
          </cell>
          <cell r="F192">
            <v>0</v>
          </cell>
          <cell r="G192">
            <v>0</v>
          </cell>
          <cell r="H192">
            <v>0</v>
          </cell>
          <cell r="I192">
            <v>7540000</v>
          </cell>
          <cell r="J192">
            <v>6310000</v>
          </cell>
          <cell r="K192">
            <v>7880000</v>
          </cell>
          <cell r="L192">
            <v>9950000</v>
          </cell>
          <cell r="M192">
            <v>8250000</v>
          </cell>
          <cell r="N192">
            <v>8760000</v>
          </cell>
          <cell r="O192">
            <v>8380000</v>
          </cell>
          <cell r="P192">
            <v>11100000</v>
          </cell>
          <cell r="Q192">
            <v>13600000</v>
          </cell>
          <cell r="R192">
            <v>11300000</v>
          </cell>
          <cell r="S192">
            <v>10700000</v>
          </cell>
          <cell r="T192">
            <v>10200000</v>
          </cell>
          <cell r="U192">
            <v>10900000</v>
          </cell>
          <cell r="V192">
            <v>9320000</v>
          </cell>
        </row>
        <row r="193">
          <cell r="D193" t="str">
            <v>NC Limestone Do</v>
          </cell>
          <cell r="E193">
            <v>0</v>
          </cell>
          <cell r="F193">
            <v>0</v>
          </cell>
          <cell r="G193">
            <v>0</v>
          </cell>
          <cell r="H193">
            <v>0</v>
          </cell>
          <cell r="I193">
            <v>245000</v>
          </cell>
          <cell r="J193">
            <v>265000</v>
          </cell>
          <cell r="K193">
            <v>251000</v>
          </cell>
          <cell r="L193">
            <v>302000</v>
          </cell>
          <cell r="M193">
            <v>279000</v>
          </cell>
          <cell r="N193">
            <v>354000</v>
          </cell>
          <cell r="O193">
            <v>325000</v>
          </cell>
          <cell r="P193">
            <v>1137500</v>
          </cell>
          <cell r="Q193">
            <v>1120000</v>
          </cell>
          <cell r="R193">
            <v>993750</v>
          </cell>
          <cell r="S193">
            <v>1120000</v>
          </cell>
          <cell r="T193">
            <v>1112500</v>
          </cell>
          <cell r="U193">
            <v>436000</v>
          </cell>
          <cell r="V193">
            <v>411000</v>
          </cell>
        </row>
        <row r="194">
          <cell r="D194" t="str">
            <v>ND Limestone Do</v>
          </cell>
          <cell r="E194">
            <v>0</v>
          </cell>
          <cell r="F194">
            <v>0</v>
          </cell>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row>
        <row r="195">
          <cell r="D195" t="str">
            <v>OH Limestone Do</v>
          </cell>
          <cell r="E195">
            <v>0</v>
          </cell>
          <cell r="F195">
            <v>0</v>
          </cell>
          <cell r="G195">
            <v>0</v>
          </cell>
          <cell r="H195">
            <v>0</v>
          </cell>
          <cell r="I195">
            <v>14500000</v>
          </cell>
          <cell r="J195">
            <v>14900000</v>
          </cell>
          <cell r="K195">
            <v>15400000</v>
          </cell>
          <cell r="L195">
            <v>16100000</v>
          </cell>
          <cell r="M195">
            <v>12500000</v>
          </cell>
          <cell r="N195">
            <v>9100000</v>
          </cell>
          <cell r="O195">
            <v>9130000</v>
          </cell>
          <cell r="P195">
            <v>8970000</v>
          </cell>
          <cell r="Q195">
            <v>10600000</v>
          </cell>
          <cell r="R195">
            <v>8610000</v>
          </cell>
          <cell r="S195">
            <v>6570000</v>
          </cell>
          <cell r="T195">
            <v>8940000</v>
          </cell>
          <cell r="U195">
            <v>6360000</v>
          </cell>
          <cell r="V195">
            <v>3540000</v>
          </cell>
        </row>
        <row r="196">
          <cell r="D196" t="str">
            <v>OK Limestone Do</v>
          </cell>
          <cell r="E196">
            <v>0</v>
          </cell>
          <cell r="F196">
            <v>0</v>
          </cell>
          <cell r="G196">
            <v>0</v>
          </cell>
          <cell r="H196">
            <v>0</v>
          </cell>
          <cell r="I196">
            <v>1820000</v>
          </cell>
          <cell r="J196">
            <v>3740000</v>
          </cell>
          <cell r="K196">
            <v>2990000</v>
          </cell>
          <cell r="L196">
            <v>2950000</v>
          </cell>
          <cell r="M196">
            <v>1560000</v>
          </cell>
          <cell r="N196">
            <v>1700000</v>
          </cell>
          <cell r="O196">
            <v>1376470.5882352942</v>
          </cell>
          <cell r="P196">
            <v>1137500</v>
          </cell>
          <cell r="Q196">
            <v>1120000</v>
          </cell>
          <cell r="R196">
            <v>993750</v>
          </cell>
          <cell r="S196">
            <v>1120000</v>
          </cell>
          <cell r="T196">
            <v>0</v>
          </cell>
          <cell r="U196">
            <v>0</v>
          </cell>
          <cell r="V196">
            <v>0</v>
          </cell>
        </row>
        <row r="197">
          <cell r="D197" t="str">
            <v>OR Limestone Do</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row>
        <row r="198">
          <cell r="D198" t="str">
            <v>PA Limestone Do</v>
          </cell>
          <cell r="E198">
            <v>0</v>
          </cell>
          <cell r="F198">
            <v>0</v>
          </cell>
          <cell r="G198">
            <v>0</v>
          </cell>
          <cell r="H198">
            <v>0</v>
          </cell>
          <cell r="I198">
            <v>14700000</v>
          </cell>
          <cell r="J198">
            <v>16000000</v>
          </cell>
          <cell r="K198">
            <v>10800000</v>
          </cell>
          <cell r="L198">
            <v>11500000</v>
          </cell>
          <cell r="M198">
            <v>17500000</v>
          </cell>
          <cell r="N198">
            <v>11400000</v>
          </cell>
          <cell r="O198">
            <v>11800000</v>
          </cell>
          <cell r="P198">
            <v>14100000</v>
          </cell>
          <cell r="Q198">
            <v>13000000</v>
          </cell>
          <cell r="R198">
            <v>14300000</v>
          </cell>
          <cell r="S198">
            <v>16000000</v>
          </cell>
          <cell r="T198">
            <v>12400000</v>
          </cell>
          <cell r="U198">
            <v>11800000</v>
          </cell>
          <cell r="V198">
            <v>11800000</v>
          </cell>
        </row>
        <row r="199">
          <cell r="D199" t="str">
            <v>PR Limestone Do</v>
          </cell>
          <cell r="E199">
            <v>0</v>
          </cell>
          <cell r="F199">
            <v>0</v>
          </cell>
          <cell r="G199">
            <v>0</v>
          </cell>
          <cell r="H199">
            <v>0</v>
          </cell>
          <cell r="I199">
            <v>0</v>
          </cell>
          <cell r="J199">
            <v>0</v>
          </cell>
          <cell r="K199">
            <v>0</v>
          </cell>
          <cell r="L199">
            <v>0</v>
          </cell>
          <cell r="M199">
            <v>0</v>
          </cell>
          <cell r="N199">
            <v>0</v>
          </cell>
          <cell r="O199">
            <v>0</v>
          </cell>
          <cell r="P199">
            <v>0</v>
          </cell>
          <cell r="Q199">
            <v>0</v>
          </cell>
          <cell r="R199">
            <v>0</v>
          </cell>
          <cell r="S199">
            <v>0</v>
          </cell>
          <cell r="T199">
            <v>0</v>
          </cell>
          <cell r="U199">
            <v>0</v>
          </cell>
          <cell r="V199">
            <v>0</v>
          </cell>
        </row>
        <row r="200">
          <cell r="D200" t="str">
            <v>RI Limestone Do</v>
          </cell>
          <cell r="E200">
            <v>0</v>
          </cell>
          <cell r="F200">
            <v>0</v>
          </cell>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row>
        <row r="201">
          <cell r="D201" t="str">
            <v>SC Limestone Do</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row>
        <row r="202">
          <cell r="D202" t="str">
            <v>SD Limestone Do</v>
          </cell>
          <cell r="E202">
            <v>0</v>
          </cell>
          <cell r="F202">
            <v>0</v>
          </cell>
          <cell r="G202">
            <v>0</v>
          </cell>
          <cell r="H202">
            <v>0</v>
          </cell>
          <cell r="I202">
            <v>0</v>
          </cell>
          <cell r="J202">
            <v>0</v>
          </cell>
          <cell r="K202">
            <v>0</v>
          </cell>
          <cell r="L202">
            <v>0</v>
          </cell>
          <cell r="M202">
            <v>0</v>
          </cell>
          <cell r="N202">
            <v>0</v>
          </cell>
          <cell r="O202">
            <v>0</v>
          </cell>
          <cell r="P202">
            <v>0</v>
          </cell>
          <cell r="Q202">
            <v>0</v>
          </cell>
          <cell r="R202">
            <v>0</v>
          </cell>
          <cell r="S202">
            <v>0</v>
          </cell>
          <cell r="T202">
            <v>0</v>
          </cell>
          <cell r="U202">
            <v>0</v>
          </cell>
          <cell r="V202">
            <v>0</v>
          </cell>
        </row>
        <row r="203">
          <cell r="D203" t="str">
            <v>TN Limestone Do</v>
          </cell>
          <cell r="E203">
            <v>0</v>
          </cell>
          <cell r="F203">
            <v>0</v>
          </cell>
          <cell r="G203">
            <v>0</v>
          </cell>
          <cell r="H203">
            <v>0</v>
          </cell>
          <cell r="I203">
            <v>2600000</v>
          </cell>
          <cell r="J203">
            <v>1142857.142857143</v>
          </cell>
          <cell r="K203">
            <v>1436363.6363636362</v>
          </cell>
          <cell r="L203">
            <v>2072727.2727272725</v>
          </cell>
          <cell r="M203">
            <v>1592307.6923076925</v>
          </cell>
          <cell r="N203">
            <v>5920000</v>
          </cell>
          <cell r="O203">
            <v>1376470.5882352942</v>
          </cell>
          <cell r="P203">
            <v>1137500</v>
          </cell>
          <cell r="Q203">
            <v>1120000</v>
          </cell>
          <cell r="R203">
            <v>993750</v>
          </cell>
          <cell r="S203">
            <v>1120000</v>
          </cell>
          <cell r="T203">
            <v>1112500</v>
          </cell>
          <cell r="U203">
            <v>154000</v>
          </cell>
          <cell r="V203">
            <v>0</v>
          </cell>
        </row>
        <row r="204">
          <cell r="D204" t="str">
            <v>TX Limestone Do</v>
          </cell>
          <cell r="E204">
            <v>0</v>
          </cell>
          <cell r="F204">
            <v>0</v>
          </cell>
          <cell r="G204">
            <v>0</v>
          </cell>
          <cell r="H204">
            <v>0</v>
          </cell>
          <cell r="I204">
            <v>2600000</v>
          </cell>
          <cell r="J204">
            <v>1142857.142857143</v>
          </cell>
          <cell r="K204">
            <v>1436363.6363636362</v>
          </cell>
          <cell r="L204">
            <v>2072727.2727272725</v>
          </cell>
          <cell r="M204">
            <v>1592307.6923076925</v>
          </cell>
          <cell r="N204">
            <v>1480000</v>
          </cell>
          <cell r="O204">
            <v>1376470.5882352942</v>
          </cell>
          <cell r="P204">
            <v>1137500</v>
          </cell>
          <cell r="Q204">
            <v>1120000</v>
          </cell>
          <cell r="R204">
            <v>993750</v>
          </cell>
          <cell r="S204">
            <v>1120000</v>
          </cell>
          <cell r="T204">
            <v>1112500</v>
          </cell>
          <cell r="U204">
            <v>154000</v>
          </cell>
          <cell r="V204">
            <v>0</v>
          </cell>
        </row>
        <row r="205">
          <cell r="D205" t="str">
            <v>UT Limestone Do</v>
          </cell>
          <cell r="E205">
            <v>0</v>
          </cell>
          <cell r="F205">
            <v>0</v>
          </cell>
          <cell r="G205">
            <v>0</v>
          </cell>
          <cell r="H205">
            <v>0</v>
          </cell>
          <cell r="I205">
            <v>2600000</v>
          </cell>
          <cell r="J205">
            <v>1142857.142857143</v>
          </cell>
          <cell r="K205">
            <v>1436363.6363636362</v>
          </cell>
          <cell r="L205">
            <v>2072727.2727272725</v>
          </cell>
          <cell r="M205">
            <v>1592307.6923076925</v>
          </cell>
          <cell r="N205">
            <v>2800000</v>
          </cell>
          <cell r="O205">
            <v>1376470.5882352942</v>
          </cell>
          <cell r="P205">
            <v>1137500</v>
          </cell>
          <cell r="Q205">
            <v>1120000</v>
          </cell>
          <cell r="R205">
            <v>993750</v>
          </cell>
          <cell r="S205">
            <v>1120000</v>
          </cell>
          <cell r="T205">
            <v>1112500</v>
          </cell>
          <cell r="U205">
            <v>3630000</v>
          </cell>
          <cell r="V205">
            <v>0</v>
          </cell>
        </row>
        <row r="206">
          <cell r="D206" t="str">
            <v>VT Limestone Do</v>
          </cell>
          <cell r="E206">
            <v>0</v>
          </cell>
          <cell r="F206">
            <v>0</v>
          </cell>
          <cell r="G206">
            <v>0</v>
          </cell>
          <cell r="H206">
            <v>0</v>
          </cell>
          <cell r="I206">
            <v>234000</v>
          </cell>
          <cell r="J206">
            <v>1142857.142857143</v>
          </cell>
          <cell r="K206">
            <v>1436363.6363636362</v>
          </cell>
          <cell r="L206">
            <v>2072727.2727272725</v>
          </cell>
          <cell r="M206">
            <v>1592307.6923076925</v>
          </cell>
          <cell r="N206">
            <v>883000</v>
          </cell>
          <cell r="O206">
            <v>1376470.5882352942</v>
          </cell>
          <cell r="P206">
            <v>1137500</v>
          </cell>
          <cell r="Q206">
            <v>1120000</v>
          </cell>
          <cell r="R206">
            <v>993750</v>
          </cell>
          <cell r="S206">
            <v>1120000</v>
          </cell>
          <cell r="T206">
            <v>1112500</v>
          </cell>
          <cell r="U206">
            <v>205000</v>
          </cell>
          <cell r="V206">
            <v>15000</v>
          </cell>
        </row>
        <row r="207">
          <cell r="D207" t="str">
            <v>VA Limestone Do</v>
          </cell>
          <cell r="E207">
            <v>0</v>
          </cell>
          <cell r="F207">
            <v>0</v>
          </cell>
          <cell r="G207">
            <v>0</v>
          </cell>
          <cell r="H207">
            <v>0</v>
          </cell>
          <cell r="I207">
            <v>3650000</v>
          </cell>
          <cell r="J207">
            <v>3650000</v>
          </cell>
          <cell r="K207">
            <v>4480000</v>
          </cell>
          <cell r="L207">
            <v>4880000</v>
          </cell>
          <cell r="M207">
            <v>3800000</v>
          </cell>
          <cell r="N207">
            <v>3470000</v>
          </cell>
          <cell r="O207">
            <v>3850000</v>
          </cell>
          <cell r="P207">
            <v>2480000</v>
          </cell>
          <cell r="Q207">
            <v>1320000</v>
          </cell>
          <cell r="R207">
            <v>3970000</v>
          </cell>
          <cell r="S207">
            <v>3440000</v>
          </cell>
          <cell r="T207">
            <v>3400000</v>
          </cell>
          <cell r="U207">
            <v>2870000</v>
          </cell>
          <cell r="V207">
            <v>2910000</v>
          </cell>
        </row>
        <row r="208">
          <cell r="D208" t="str">
            <v>WA Limestone Do</v>
          </cell>
          <cell r="E208">
            <v>0</v>
          </cell>
          <cell r="F208">
            <v>0</v>
          </cell>
          <cell r="G208">
            <v>0</v>
          </cell>
          <cell r="H208">
            <v>0</v>
          </cell>
          <cell r="I208">
            <v>2600000</v>
          </cell>
          <cell r="J208">
            <v>1142857.142857143</v>
          </cell>
          <cell r="K208">
            <v>1436363.6363636362</v>
          </cell>
          <cell r="L208">
            <v>2072727.2727272725</v>
          </cell>
          <cell r="M208">
            <v>1592307.6923076925</v>
          </cell>
          <cell r="N208">
            <v>392000</v>
          </cell>
          <cell r="O208">
            <v>1376470.5882352942</v>
          </cell>
          <cell r="P208">
            <v>1137500</v>
          </cell>
          <cell r="Q208">
            <v>1120000</v>
          </cell>
          <cell r="R208">
            <v>993750</v>
          </cell>
          <cell r="S208">
            <v>1120000</v>
          </cell>
          <cell r="T208">
            <v>1112500</v>
          </cell>
          <cell r="U208">
            <v>152000</v>
          </cell>
          <cell r="V208">
            <v>159000</v>
          </cell>
        </row>
        <row r="209">
          <cell r="D209" t="str">
            <v>WV Limestone Do</v>
          </cell>
          <cell r="E209">
            <v>0</v>
          </cell>
          <cell r="F209">
            <v>0</v>
          </cell>
          <cell r="G209">
            <v>0</v>
          </cell>
          <cell r="H209">
            <v>0</v>
          </cell>
          <cell r="I209">
            <v>2600000</v>
          </cell>
          <cell r="J209">
            <v>1142857.142857143</v>
          </cell>
          <cell r="K209">
            <v>1436363.6363636362</v>
          </cell>
          <cell r="L209">
            <v>2072727.2727272725</v>
          </cell>
          <cell r="M209">
            <v>1592307.6923076925</v>
          </cell>
          <cell r="N209">
            <v>392000</v>
          </cell>
          <cell r="O209">
            <v>1376470.5882352942</v>
          </cell>
          <cell r="P209">
            <v>0</v>
          </cell>
          <cell r="Q209">
            <v>0</v>
          </cell>
          <cell r="R209">
            <v>0</v>
          </cell>
          <cell r="S209">
            <v>0</v>
          </cell>
          <cell r="T209">
            <v>0</v>
          </cell>
          <cell r="U209">
            <v>0</v>
          </cell>
          <cell r="V209">
            <v>0</v>
          </cell>
        </row>
        <row r="210">
          <cell r="D210" t="str">
            <v>WI Limestone Do</v>
          </cell>
          <cell r="E210">
            <v>0</v>
          </cell>
          <cell r="F210">
            <v>0</v>
          </cell>
          <cell r="G210">
            <v>0</v>
          </cell>
          <cell r="H210">
            <v>0</v>
          </cell>
          <cell r="I210">
            <v>2600000</v>
          </cell>
          <cell r="J210">
            <v>1142857.142857143</v>
          </cell>
          <cell r="K210">
            <v>263000</v>
          </cell>
          <cell r="L210">
            <v>1560000</v>
          </cell>
          <cell r="M210">
            <v>2350000</v>
          </cell>
          <cell r="N210">
            <v>2440000</v>
          </cell>
          <cell r="O210">
            <v>1780000</v>
          </cell>
          <cell r="P210">
            <v>3030000</v>
          </cell>
          <cell r="Q210">
            <v>2660000</v>
          </cell>
          <cell r="R210">
            <v>1050000</v>
          </cell>
          <cell r="S210">
            <v>1100000</v>
          </cell>
          <cell r="T210">
            <v>1000000</v>
          </cell>
          <cell r="U210">
            <v>781000</v>
          </cell>
          <cell r="V210">
            <v>547000</v>
          </cell>
        </row>
        <row r="211">
          <cell r="D211" t="str">
            <v>WY Limestone Do</v>
          </cell>
          <cell r="E211">
            <v>0</v>
          </cell>
          <cell r="F211">
            <v>0</v>
          </cell>
          <cell r="G211">
            <v>0</v>
          </cell>
          <cell r="H211">
            <v>0</v>
          </cell>
          <cell r="I211">
            <v>0</v>
          </cell>
          <cell r="J211">
            <v>0</v>
          </cell>
          <cell r="K211">
            <v>0</v>
          </cell>
          <cell r="L211">
            <v>0</v>
          </cell>
          <cell r="M211">
            <v>1592307.6923076925</v>
          </cell>
          <cell r="N211">
            <v>392000</v>
          </cell>
          <cell r="O211">
            <v>0</v>
          </cell>
          <cell r="P211">
            <v>0</v>
          </cell>
          <cell r="Q211">
            <v>0</v>
          </cell>
          <cell r="R211">
            <v>0</v>
          </cell>
          <cell r="S211">
            <v>0</v>
          </cell>
          <cell r="T211">
            <v>0</v>
          </cell>
          <cell r="U211">
            <v>0</v>
          </cell>
          <cell r="V211">
            <v>0</v>
          </cell>
        </row>
        <row r="212">
          <cell r="D212" t="str">
            <v>AL Limestone Li</v>
          </cell>
          <cell r="E212">
            <v>0</v>
          </cell>
          <cell r="F212">
            <v>0</v>
          </cell>
          <cell r="G212">
            <v>0</v>
          </cell>
          <cell r="H212">
            <v>0</v>
          </cell>
          <cell r="I212">
            <v>28300000</v>
          </cell>
          <cell r="J212">
            <v>29500000</v>
          </cell>
          <cell r="K212">
            <v>34800000</v>
          </cell>
          <cell r="L212">
            <v>37300000</v>
          </cell>
          <cell r="M212">
            <v>42900000</v>
          </cell>
          <cell r="N212">
            <v>41400000</v>
          </cell>
          <cell r="O212">
            <v>39500000</v>
          </cell>
          <cell r="P212">
            <v>41200000</v>
          </cell>
          <cell r="Q212">
            <v>35000000</v>
          </cell>
          <cell r="R212">
            <v>40100000</v>
          </cell>
          <cell r="S212">
            <v>41300000</v>
          </cell>
          <cell r="T212">
            <v>41000000</v>
          </cell>
          <cell r="U212">
            <v>44300000</v>
          </cell>
          <cell r="V212">
            <v>44400000</v>
          </cell>
        </row>
        <row r="213">
          <cell r="D213" t="str">
            <v>AK Limestone Li</v>
          </cell>
          <cell r="E213">
            <v>0</v>
          </cell>
          <cell r="F213">
            <v>0</v>
          </cell>
          <cell r="G213">
            <v>0</v>
          </cell>
          <cell r="H213">
            <v>0</v>
          </cell>
          <cell r="I213">
            <v>0</v>
          </cell>
          <cell r="J213">
            <v>1627272.7272727273</v>
          </cell>
          <cell r="K213">
            <v>737142.85714285716</v>
          </cell>
          <cell r="L213">
            <v>1744444.4444444443</v>
          </cell>
          <cell r="M213">
            <v>1712500</v>
          </cell>
          <cell r="N213">
            <v>1976923.076923077</v>
          </cell>
          <cell r="O213">
            <v>0</v>
          </cell>
          <cell r="P213">
            <v>1725000</v>
          </cell>
          <cell r="Q213">
            <v>1527272.7272727273</v>
          </cell>
          <cell r="R213">
            <v>0</v>
          </cell>
          <cell r="S213">
            <v>0</v>
          </cell>
          <cell r="T213">
            <v>0</v>
          </cell>
          <cell r="U213">
            <v>1198333.3333333333</v>
          </cell>
          <cell r="V213">
            <v>6000</v>
          </cell>
        </row>
        <row r="214">
          <cell r="D214" t="str">
            <v>AZ Limestone Li</v>
          </cell>
          <cell r="E214">
            <v>0</v>
          </cell>
          <cell r="F214">
            <v>0</v>
          </cell>
          <cell r="G214">
            <v>0</v>
          </cell>
          <cell r="H214">
            <v>0</v>
          </cell>
          <cell r="I214">
            <v>2710000</v>
          </cell>
          <cell r="J214">
            <v>1627272.7272727273</v>
          </cell>
          <cell r="K214">
            <v>4110000</v>
          </cell>
          <cell r="L214">
            <v>4590000</v>
          </cell>
          <cell r="M214">
            <v>4300000</v>
          </cell>
          <cell r="N214">
            <v>4420000</v>
          </cell>
          <cell r="O214">
            <v>4280000</v>
          </cell>
          <cell r="P214">
            <v>4490000</v>
          </cell>
          <cell r="Q214">
            <v>4590000</v>
          </cell>
          <cell r="R214">
            <v>5570000</v>
          </cell>
          <cell r="S214">
            <v>5630000</v>
          </cell>
          <cell r="T214">
            <v>6340000</v>
          </cell>
          <cell r="U214">
            <v>6230000</v>
          </cell>
          <cell r="V214">
            <v>6520000</v>
          </cell>
        </row>
        <row r="215">
          <cell r="D215" t="str">
            <v>AR Limestone Li</v>
          </cell>
          <cell r="E215">
            <v>0</v>
          </cell>
          <cell r="F215">
            <v>0</v>
          </cell>
          <cell r="G215">
            <v>0</v>
          </cell>
          <cell r="H215">
            <v>0</v>
          </cell>
          <cell r="I215">
            <v>6870000</v>
          </cell>
          <cell r="J215">
            <v>6890000</v>
          </cell>
          <cell r="K215">
            <v>7260000</v>
          </cell>
          <cell r="L215">
            <v>8370000</v>
          </cell>
          <cell r="M215">
            <v>13300000</v>
          </cell>
          <cell r="N215">
            <v>8420000</v>
          </cell>
          <cell r="O215">
            <v>8660000</v>
          </cell>
          <cell r="P215">
            <v>10600000</v>
          </cell>
          <cell r="Q215">
            <v>8060000</v>
          </cell>
          <cell r="R215">
            <v>9060000</v>
          </cell>
          <cell r="S215">
            <v>10500000</v>
          </cell>
          <cell r="T215">
            <v>13500000</v>
          </cell>
          <cell r="U215">
            <v>12800000</v>
          </cell>
          <cell r="V215">
            <v>12800000</v>
          </cell>
        </row>
        <row r="216">
          <cell r="D216" t="str">
            <v>CA Limestone Li</v>
          </cell>
          <cell r="E216">
            <v>0</v>
          </cell>
          <cell r="F216">
            <v>0</v>
          </cell>
          <cell r="G216">
            <v>0</v>
          </cell>
          <cell r="H216">
            <v>0</v>
          </cell>
          <cell r="I216">
            <v>23300000</v>
          </cell>
          <cell r="J216">
            <v>23200000</v>
          </cell>
          <cell r="K216">
            <v>24900000</v>
          </cell>
          <cell r="L216">
            <v>22900000</v>
          </cell>
          <cell r="M216">
            <v>24800000</v>
          </cell>
          <cell r="N216">
            <v>26500000</v>
          </cell>
          <cell r="O216">
            <v>29200000</v>
          </cell>
          <cell r="P216">
            <v>27700000</v>
          </cell>
          <cell r="Q216">
            <v>35400000</v>
          </cell>
          <cell r="R216">
            <v>27500000</v>
          </cell>
          <cell r="S216">
            <v>26300000</v>
          </cell>
          <cell r="T216">
            <v>21700000</v>
          </cell>
          <cell r="U216">
            <v>24000000</v>
          </cell>
          <cell r="V216">
            <v>25800000</v>
          </cell>
        </row>
        <row r="217">
          <cell r="D217" t="str">
            <v>CO Limestone Li</v>
          </cell>
          <cell r="E217">
            <v>0</v>
          </cell>
          <cell r="F217">
            <v>0</v>
          </cell>
          <cell r="G217">
            <v>0</v>
          </cell>
          <cell r="H217">
            <v>0</v>
          </cell>
          <cell r="I217">
            <v>2550000</v>
          </cell>
          <cell r="J217">
            <v>2600000</v>
          </cell>
          <cell r="K217">
            <v>2840000</v>
          </cell>
          <cell r="L217">
            <v>1744444.4444444443</v>
          </cell>
          <cell r="M217">
            <v>2470000</v>
          </cell>
          <cell r="N217">
            <v>2570000</v>
          </cell>
          <cell r="O217">
            <v>3050000</v>
          </cell>
          <cell r="P217">
            <v>4820000</v>
          </cell>
          <cell r="Q217">
            <v>4620000</v>
          </cell>
          <cell r="R217">
            <v>1940000</v>
          </cell>
          <cell r="S217">
            <v>1800000</v>
          </cell>
          <cell r="T217">
            <v>1540000</v>
          </cell>
          <cell r="U217">
            <v>1380000</v>
          </cell>
          <cell r="V217">
            <v>1200000</v>
          </cell>
        </row>
        <row r="218">
          <cell r="D218" t="str">
            <v>CT Limestone Li</v>
          </cell>
          <cell r="E218">
            <v>0</v>
          </cell>
          <cell r="F218">
            <v>0</v>
          </cell>
          <cell r="G218">
            <v>0</v>
          </cell>
          <cell r="H218">
            <v>0</v>
          </cell>
          <cell r="I218">
            <v>1272727.2727272727</v>
          </cell>
          <cell r="J218">
            <v>1627272.7272727273</v>
          </cell>
          <cell r="K218">
            <v>737142.85714285716</v>
          </cell>
          <cell r="L218">
            <v>1744444.4444444443</v>
          </cell>
          <cell r="M218">
            <v>1712500</v>
          </cell>
          <cell r="N218">
            <v>1976923.076923077</v>
          </cell>
          <cell r="O218">
            <v>1787500</v>
          </cell>
          <cell r="P218">
            <v>1725000</v>
          </cell>
          <cell r="Q218">
            <v>1527272.7272727273</v>
          </cell>
          <cell r="R218">
            <v>1400000</v>
          </cell>
          <cell r="S218">
            <v>1600000</v>
          </cell>
          <cell r="T218">
            <v>1900000</v>
          </cell>
          <cell r="U218">
            <v>959000</v>
          </cell>
          <cell r="V218">
            <v>1240000</v>
          </cell>
        </row>
        <row r="219">
          <cell r="D219" t="str">
            <v>DC Limestone Li</v>
          </cell>
          <cell r="E219">
            <v>0</v>
          </cell>
          <cell r="F219">
            <v>0</v>
          </cell>
          <cell r="G219">
            <v>0</v>
          </cell>
          <cell r="H219">
            <v>0</v>
          </cell>
          <cell r="R219">
            <v>0</v>
          </cell>
          <cell r="S219">
            <v>0</v>
          </cell>
          <cell r="T219">
            <v>0</v>
          </cell>
          <cell r="U219">
            <v>0</v>
          </cell>
          <cell r="V219">
            <v>0</v>
          </cell>
        </row>
        <row r="220">
          <cell r="D220" t="str">
            <v>DE Limestone Li</v>
          </cell>
          <cell r="E220">
            <v>0</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1900000</v>
          </cell>
          <cell r="U220">
            <v>1198333.3333333333</v>
          </cell>
          <cell r="V220">
            <v>0</v>
          </cell>
        </row>
        <row r="221">
          <cell r="D221" t="str">
            <v>FL Limestone Li</v>
          </cell>
          <cell r="E221">
            <v>0</v>
          </cell>
          <cell r="F221">
            <v>0</v>
          </cell>
          <cell r="G221">
            <v>0</v>
          </cell>
          <cell r="H221">
            <v>0</v>
          </cell>
          <cell r="I221">
            <v>64200000</v>
          </cell>
          <cell r="J221">
            <v>64700000</v>
          </cell>
          <cell r="K221">
            <v>71000000</v>
          </cell>
          <cell r="L221">
            <v>71600000</v>
          </cell>
          <cell r="M221">
            <v>77700000</v>
          </cell>
          <cell r="N221">
            <v>87500000</v>
          </cell>
          <cell r="O221">
            <v>89200000</v>
          </cell>
          <cell r="P221">
            <v>92100000</v>
          </cell>
          <cell r="Q221">
            <v>95900000</v>
          </cell>
          <cell r="R221">
            <v>94400000</v>
          </cell>
          <cell r="S221">
            <v>103000000</v>
          </cell>
          <cell r="T221">
            <v>110000000</v>
          </cell>
          <cell r="U221">
            <v>117000000</v>
          </cell>
          <cell r="V221">
            <v>92100000</v>
          </cell>
        </row>
        <row r="222">
          <cell r="D222" t="str">
            <v>GA Limestone Li</v>
          </cell>
          <cell r="E222">
            <v>0</v>
          </cell>
          <cell r="F222">
            <v>0</v>
          </cell>
          <cell r="G222">
            <v>0</v>
          </cell>
          <cell r="H222">
            <v>0</v>
          </cell>
          <cell r="I222">
            <v>5090000</v>
          </cell>
          <cell r="J222">
            <v>7360000</v>
          </cell>
          <cell r="K222">
            <v>10100000</v>
          </cell>
          <cell r="L222">
            <v>15800000</v>
          </cell>
          <cell r="M222">
            <v>17600000</v>
          </cell>
          <cell r="N222">
            <v>8700000</v>
          </cell>
          <cell r="O222">
            <v>8890000</v>
          </cell>
          <cell r="P222">
            <v>10300000</v>
          </cell>
          <cell r="Q222">
            <v>9480000</v>
          </cell>
          <cell r="R222">
            <v>8770000</v>
          </cell>
          <cell r="S222">
            <v>8450000</v>
          </cell>
          <cell r="T222">
            <v>8690000</v>
          </cell>
          <cell r="U222">
            <v>11300000</v>
          </cell>
          <cell r="V222">
            <v>10700000</v>
          </cell>
        </row>
        <row r="223">
          <cell r="D223" t="str">
            <v>HI Limestone Li</v>
          </cell>
          <cell r="E223">
            <v>0</v>
          </cell>
          <cell r="F223">
            <v>0</v>
          </cell>
          <cell r="G223">
            <v>0</v>
          </cell>
          <cell r="H223">
            <v>0</v>
          </cell>
          <cell r="I223">
            <v>1272727.2727272727</v>
          </cell>
          <cell r="J223">
            <v>1190000</v>
          </cell>
          <cell r="K223">
            <v>1030000</v>
          </cell>
          <cell r="L223">
            <v>409000</v>
          </cell>
          <cell r="M223">
            <v>357000</v>
          </cell>
          <cell r="N223">
            <v>277000</v>
          </cell>
          <cell r="O223">
            <v>248000</v>
          </cell>
          <cell r="P223">
            <v>274000</v>
          </cell>
          <cell r="Q223">
            <v>172000</v>
          </cell>
          <cell r="R223">
            <v>1400000</v>
          </cell>
          <cell r="S223">
            <v>1600000</v>
          </cell>
          <cell r="T223">
            <v>1900000</v>
          </cell>
          <cell r="U223">
            <v>1198333.3333333333</v>
          </cell>
          <cell r="V223">
            <v>14000</v>
          </cell>
        </row>
        <row r="224">
          <cell r="D224" t="str">
            <v>ID Limestone Li</v>
          </cell>
          <cell r="E224">
            <v>0</v>
          </cell>
          <cell r="F224">
            <v>0</v>
          </cell>
          <cell r="G224">
            <v>0</v>
          </cell>
          <cell r="H224">
            <v>0</v>
          </cell>
          <cell r="I224">
            <v>1272727.2727272727</v>
          </cell>
          <cell r="J224">
            <v>873000</v>
          </cell>
          <cell r="K224">
            <v>1370000</v>
          </cell>
          <cell r="L224">
            <v>1150000</v>
          </cell>
          <cell r="M224">
            <v>1040000</v>
          </cell>
          <cell r="N224">
            <v>1020000</v>
          </cell>
          <cell r="O224">
            <v>607000</v>
          </cell>
          <cell r="P224">
            <v>564000</v>
          </cell>
          <cell r="Q224">
            <v>1527272.7272727273</v>
          </cell>
          <cell r="R224">
            <v>1400000</v>
          </cell>
          <cell r="S224">
            <v>1600000</v>
          </cell>
          <cell r="T224">
            <v>1900000</v>
          </cell>
          <cell r="U224">
            <v>983000</v>
          </cell>
          <cell r="V224">
            <v>1020000</v>
          </cell>
        </row>
        <row r="225">
          <cell r="D225" t="str">
            <v>IL Limestone Li</v>
          </cell>
          <cell r="E225">
            <v>0</v>
          </cell>
          <cell r="F225">
            <v>0</v>
          </cell>
          <cell r="G225">
            <v>0</v>
          </cell>
          <cell r="H225">
            <v>0</v>
          </cell>
          <cell r="I225">
            <v>47600000</v>
          </cell>
          <cell r="J225">
            <v>48000000</v>
          </cell>
          <cell r="K225">
            <v>57700000</v>
          </cell>
          <cell r="L225">
            <v>56900000</v>
          </cell>
          <cell r="M225">
            <v>55100000</v>
          </cell>
          <cell r="N225">
            <v>60500000</v>
          </cell>
          <cell r="O225">
            <v>58600000</v>
          </cell>
          <cell r="P225">
            <v>61500000</v>
          </cell>
          <cell r="Q225">
            <v>58400000</v>
          </cell>
          <cell r="R225">
            <v>60700000</v>
          </cell>
          <cell r="S225">
            <v>56300000</v>
          </cell>
          <cell r="T225">
            <v>56600000</v>
          </cell>
          <cell r="U225">
            <v>54000000</v>
          </cell>
          <cell r="V225">
            <v>51800000</v>
          </cell>
        </row>
        <row r="226">
          <cell r="D226" t="str">
            <v>IN Limestone Li</v>
          </cell>
          <cell r="E226">
            <v>0</v>
          </cell>
          <cell r="F226">
            <v>0</v>
          </cell>
          <cell r="G226">
            <v>0</v>
          </cell>
          <cell r="H226">
            <v>0</v>
          </cell>
          <cell r="I226">
            <v>40000000</v>
          </cell>
          <cell r="J226">
            <v>42400000</v>
          </cell>
          <cell r="K226">
            <v>46500000</v>
          </cell>
          <cell r="L226">
            <v>51900000</v>
          </cell>
          <cell r="M226">
            <v>48300000</v>
          </cell>
          <cell r="N226">
            <v>46100000</v>
          </cell>
          <cell r="O226">
            <v>44300000</v>
          </cell>
          <cell r="P226">
            <v>47500000</v>
          </cell>
          <cell r="Q226">
            <v>46500000</v>
          </cell>
          <cell r="R226">
            <v>43100000</v>
          </cell>
          <cell r="S226">
            <v>48900000</v>
          </cell>
          <cell r="T226">
            <v>47700000</v>
          </cell>
          <cell r="U226">
            <v>51600000</v>
          </cell>
          <cell r="V226">
            <v>50900000</v>
          </cell>
        </row>
        <row r="227">
          <cell r="D227" t="str">
            <v>IA Limestone Li</v>
          </cell>
          <cell r="E227">
            <v>0</v>
          </cell>
          <cell r="F227">
            <v>0</v>
          </cell>
          <cell r="G227">
            <v>0</v>
          </cell>
          <cell r="H227">
            <v>0</v>
          </cell>
          <cell r="I227">
            <v>36600000</v>
          </cell>
          <cell r="J227">
            <v>35200000</v>
          </cell>
          <cell r="K227">
            <v>34400000</v>
          </cell>
          <cell r="L227">
            <v>37200000</v>
          </cell>
          <cell r="M227">
            <v>41700000</v>
          </cell>
          <cell r="N227">
            <v>42000000</v>
          </cell>
          <cell r="O227">
            <v>40100000</v>
          </cell>
          <cell r="P227">
            <v>35500000</v>
          </cell>
          <cell r="Q227">
            <v>35900000</v>
          </cell>
          <cell r="R227">
            <v>33700000</v>
          </cell>
          <cell r="S227">
            <v>34800000</v>
          </cell>
          <cell r="T227">
            <v>32600000</v>
          </cell>
          <cell r="U227">
            <v>32200000</v>
          </cell>
          <cell r="V227">
            <v>33700000</v>
          </cell>
        </row>
        <row r="228">
          <cell r="D228" t="str">
            <v>KS Limestone Li</v>
          </cell>
          <cell r="E228">
            <v>0</v>
          </cell>
          <cell r="F228">
            <v>0</v>
          </cell>
          <cell r="G228">
            <v>0</v>
          </cell>
          <cell r="H228">
            <v>0</v>
          </cell>
          <cell r="I228">
            <v>20600000</v>
          </cell>
          <cell r="J228">
            <v>20400000</v>
          </cell>
          <cell r="K228">
            <v>21400000</v>
          </cell>
          <cell r="L228">
            <v>22300000</v>
          </cell>
          <cell r="M228">
            <v>21200000</v>
          </cell>
          <cell r="N228">
            <v>22800000</v>
          </cell>
          <cell r="O228">
            <v>22600000</v>
          </cell>
          <cell r="P228">
            <v>21200000</v>
          </cell>
          <cell r="Q228">
            <v>20800000</v>
          </cell>
          <cell r="R228">
            <v>20100000</v>
          </cell>
          <cell r="S228">
            <v>19300000</v>
          </cell>
          <cell r="T228">
            <v>21500000</v>
          </cell>
          <cell r="U228">
            <v>21000000</v>
          </cell>
          <cell r="V228">
            <v>20700000</v>
          </cell>
        </row>
        <row r="229">
          <cell r="D229" t="str">
            <v>KY Limestone Li</v>
          </cell>
          <cell r="E229">
            <v>0</v>
          </cell>
          <cell r="F229">
            <v>0</v>
          </cell>
          <cell r="G229">
            <v>0</v>
          </cell>
          <cell r="H229">
            <v>0</v>
          </cell>
          <cell r="I229">
            <v>56100000</v>
          </cell>
          <cell r="J229">
            <v>55500000</v>
          </cell>
          <cell r="K229">
            <v>58500000</v>
          </cell>
          <cell r="L229">
            <v>62700000</v>
          </cell>
          <cell r="M229">
            <v>59500000</v>
          </cell>
          <cell r="N229">
            <v>59600000</v>
          </cell>
          <cell r="O229">
            <v>54000000</v>
          </cell>
          <cell r="P229">
            <v>59100000</v>
          </cell>
          <cell r="Q229">
            <v>49600000</v>
          </cell>
          <cell r="R229">
            <v>52900000</v>
          </cell>
          <cell r="S229">
            <v>54600000</v>
          </cell>
          <cell r="T229">
            <v>58200000</v>
          </cell>
          <cell r="U229">
            <v>59000000</v>
          </cell>
          <cell r="V229">
            <v>55500000</v>
          </cell>
        </row>
        <row r="230">
          <cell r="D230" t="str">
            <v>LA Limestone Li</v>
          </cell>
          <cell r="E230">
            <v>0</v>
          </cell>
          <cell r="F230">
            <v>0</v>
          </cell>
          <cell r="G230">
            <v>0</v>
          </cell>
          <cell r="H230">
            <v>0</v>
          </cell>
          <cell r="I230">
            <v>0</v>
          </cell>
          <cell r="J230">
            <v>0</v>
          </cell>
          <cell r="K230">
            <v>0</v>
          </cell>
          <cell r="L230">
            <v>0</v>
          </cell>
          <cell r="M230">
            <v>0</v>
          </cell>
          <cell r="N230">
            <v>1976923.076923077</v>
          </cell>
          <cell r="O230">
            <v>1787500</v>
          </cell>
          <cell r="P230">
            <v>1725000</v>
          </cell>
          <cell r="Q230">
            <v>1527272.7272727273</v>
          </cell>
          <cell r="R230">
            <v>1400000</v>
          </cell>
          <cell r="S230">
            <v>1600000</v>
          </cell>
          <cell r="T230">
            <v>1900000</v>
          </cell>
          <cell r="U230">
            <v>1198333.3333333333</v>
          </cell>
          <cell r="V230">
            <v>0</v>
          </cell>
        </row>
        <row r="231">
          <cell r="D231" t="str">
            <v>ME Limestone Li</v>
          </cell>
          <cell r="E231">
            <v>0</v>
          </cell>
          <cell r="F231">
            <v>0</v>
          </cell>
          <cell r="G231">
            <v>0</v>
          </cell>
          <cell r="H231">
            <v>0</v>
          </cell>
          <cell r="I231">
            <v>1530000</v>
          </cell>
          <cell r="J231">
            <v>1590000</v>
          </cell>
          <cell r="K231">
            <v>1410000</v>
          </cell>
          <cell r="L231">
            <v>1030000</v>
          </cell>
          <cell r="M231">
            <v>1360000</v>
          </cell>
          <cell r="N231">
            <v>1976923.076923077</v>
          </cell>
          <cell r="O231">
            <v>1300000</v>
          </cell>
          <cell r="P231">
            <v>1440000</v>
          </cell>
          <cell r="Q231">
            <v>1390000</v>
          </cell>
          <cell r="R231">
            <v>1350000</v>
          </cell>
          <cell r="S231">
            <v>1680000</v>
          </cell>
          <cell r="T231">
            <v>1940000</v>
          </cell>
          <cell r="U231">
            <v>1860000</v>
          </cell>
          <cell r="V231">
            <v>1780000</v>
          </cell>
        </row>
        <row r="232">
          <cell r="D232" t="str">
            <v>MD Limestone Li</v>
          </cell>
          <cell r="E232">
            <v>0</v>
          </cell>
          <cell r="F232">
            <v>0</v>
          </cell>
          <cell r="G232">
            <v>0</v>
          </cell>
          <cell r="H232">
            <v>0</v>
          </cell>
          <cell r="I232">
            <v>16900000</v>
          </cell>
          <cell r="J232">
            <v>15500000</v>
          </cell>
          <cell r="K232">
            <v>17400000</v>
          </cell>
          <cell r="L232">
            <v>18300000</v>
          </cell>
          <cell r="M232">
            <v>18300000</v>
          </cell>
          <cell r="N232">
            <v>17900000</v>
          </cell>
          <cell r="O232">
            <v>18400000</v>
          </cell>
          <cell r="P232">
            <v>17200000</v>
          </cell>
          <cell r="Q232">
            <v>16900000</v>
          </cell>
          <cell r="R232">
            <v>18700000</v>
          </cell>
          <cell r="S232">
            <v>21400000</v>
          </cell>
          <cell r="T232">
            <v>21400000</v>
          </cell>
          <cell r="U232">
            <v>21200000</v>
          </cell>
          <cell r="V232">
            <v>20100000</v>
          </cell>
        </row>
        <row r="233">
          <cell r="D233" t="str">
            <v>MA Limestone Li</v>
          </cell>
          <cell r="E233">
            <v>0</v>
          </cell>
          <cell r="F233">
            <v>0</v>
          </cell>
          <cell r="G233">
            <v>0</v>
          </cell>
          <cell r="H233">
            <v>0</v>
          </cell>
          <cell r="I233">
            <v>1710000</v>
          </cell>
          <cell r="J233">
            <v>2070000</v>
          </cell>
          <cell r="K233">
            <v>2140000</v>
          </cell>
          <cell r="L233">
            <v>2050000</v>
          </cell>
          <cell r="M233">
            <v>2170000</v>
          </cell>
          <cell r="N233">
            <v>814000</v>
          </cell>
          <cell r="O233">
            <v>1787500</v>
          </cell>
          <cell r="P233">
            <v>1060000</v>
          </cell>
          <cell r="Q233">
            <v>977000</v>
          </cell>
          <cell r="R233">
            <v>1050000</v>
          </cell>
          <cell r="S233">
            <v>983000</v>
          </cell>
          <cell r="T233">
            <v>1900000</v>
          </cell>
          <cell r="U233">
            <v>887000</v>
          </cell>
          <cell r="V233">
            <v>947000</v>
          </cell>
        </row>
        <row r="234">
          <cell r="D234" t="str">
            <v>MI Limestone Li</v>
          </cell>
          <cell r="E234">
            <v>0</v>
          </cell>
          <cell r="F234">
            <v>0</v>
          </cell>
          <cell r="G234">
            <v>0</v>
          </cell>
          <cell r="H234">
            <v>0</v>
          </cell>
          <cell r="I234">
            <v>27900000</v>
          </cell>
          <cell r="J234">
            <v>29200000</v>
          </cell>
          <cell r="K234">
            <v>30300000</v>
          </cell>
          <cell r="L234">
            <v>33900000</v>
          </cell>
          <cell r="M234">
            <v>34700000</v>
          </cell>
          <cell r="N234">
            <v>32700000</v>
          </cell>
          <cell r="O234">
            <v>34400000</v>
          </cell>
          <cell r="P234">
            <v>35100000</v>
          </cell>
          <cell r="Q234">
            <v>32900000</v>
          </cell>
          <cell r="R234">
            <v>27600000</v>
          </cell>
          <cell r="S234">
            <v>27900000</v>
          </cell>
          <cell r="T234">
            <v>27900000</v>
          </cell>
          <cell r="U234">
            <v>25300000</v>
          </cell>
          <cell r="V234">
            <v>19800000</v>
          </cell>
        </row>
        <row r="235">
          <cell r="D235" t="str">
            <v>MN Limestone Li</v>
          </cell>
          <cell r="E235">
            <v>0</v>
          </cell>
          <cell r="F235">
            <v>0</v>
          </cell>
          <cell r="G235">
            <v>0</v>
          </cell>
          <cell r="H235">
            <v>0</v>
          </cell>
          <cell r="I235">
            <v>7670000</v>
          </cell>
          <cell r="J235">
            <v>7500000</v>
          </cell>
          <cell r="K235">
            <v>8210000</v>
          </cell>
          <cell r="L235">
            <v>7350000</v>
          </cell>
          <cell r="M235">
            <v>7180000</v>
          </cell>
          <cell r="N235">
            <v>7050000</v>
          </cell>
          <cell r="O235">
            <v>6400000</v>
          </cell>
          <cell r="P235">
            <v>3980000</v>
          </cell>
          <cell r="Q235">
            <v>4550000</v>
          </cell>
          <cell r="R235">
            <v>3830000</v>
          </cell>
          <cell r="S235">
            <v>4300000</v>
          </cell>
          <cell r="T235">
            <v>1900000</v>
          </cell>
          <cell r="U235">
            <v>4860000</v>
          </cell>
          <cell r="V235">
            <v>3780000</v>
          </cell>
        </row>
        <row r="236">
          <cell r="D236" t="str">
            <v>MS Limestone Li</v>
          </cell>
          <cell r="E236">
            <v>0</v>
          </cell>
          <cell r="F236">
            <v>0</v>
          </cell>
          <cell r="G236">
            <v>0</v>
          </cell>
          <cell r="H236">
            <v>0</v>
          </cell>
          <cell r="I236">
            <v>1272727.2727272727</v>
          </cell>
          <cell r="J236">
            <v>1627272.7272727273</v>
          </cell>
          <cell r="K236">
            <v>737142.85714285716</v>
          </cell>
          <cell r="L236">
            <v>5180000</v>
          </cell>
          <cell r="M236">
            <v>789000</v>
          </cell>
          <cell r="N236">
            <v>1976923.076923077</v>
          </cell>
          <cell r="O236">
            <v>2530000</v>
          </cell>
          <cell r="P236">
            <v>2140000</v>
          </cell>
          <cell r="Q236">
            <v>2620000</v>
          </cell>
          <cell r="R236">
            <v>2770000</v>
          </cell>
          <cell r="S236">
            <v>2760000</v>
          </cell>
          <cell r="T236">
            <v>3500000</v>
          </cell>
          <cell r="U236">
            <v>3050000</v>
          </cell>
          <cell r="V236">
            <v>3010000</v>
          </cell>
        </row>
        <row r="237">
          <cell r="D237" t="str">
            <v>MO Limestone Li</v>
          </cell>
          <cell r="E237">
            <v>0</v>
          </cell>
          <cell r="F237">
            <v>0</v>
          </cell>
          <cell r="G237">
            <v>0</v>
          </cell>
          <cell r="H237">
            <v>0</v>
          </cell>
          <cell r="I237">
            <v>64400000</v>
          </cell>
          <cell r="J237">
            <v>63000000</v>
          </cell>
          <cell r="K237">
            <v>63300000</v>
          </cell>
          <cell r="L237">
            <v>64700000</v>
          </cell>
          <cell r="M237">
            <v>64400000</v>
          </cell>
          <cell r="N237">
            <v>67000000</v>
          </cell>
          <cell r="O237">
            <v>70200000</v>
          </cell>
          <cell r="P237">
            <v>76500000</v>
          </cell>
          <cell r="Q237">
            <v>68600000</v>
          </cell>
          <cell r="R237">
            <v>67200000</v>
          </cell>
          <cell r="S237">
            <v>64200000</v>
          </cell>
          <cell r="T237">
            <v>93300000</v>
          </cell>
          <cell r="U237">
            <v>77200000</v>
          </cell>
          <cell r="V237">
            <v>76000000</v>
          </cell>
        </row>
        <row r="238">
          <cell r="D238" t="str">
            <v>MT Limestone Li</v>
          </cell>
          <cell r="E238">
            <v>0</v>
          </cell>
          <cell r="F238">
            <v>0</v>
          </cell>
          <cell r="G238">
            <v>0</v>
          </cell>
          <cell r="H238">
            <v>0</v>
          </cell>
          <cell r="I238">
            <v>1410000</v>
          </cell>
          <cell r="J238">
            <v>1960000</v>
          </cell>
          <cell r="K238">
            <v>1540000</v>
          </cell>
          <cell r="L238">
            <v>2020000</v>
          </cell>
          <cell r="M238">
            <v>3370000</v>
          </cell>
          <cell r="N238">
            <v>2710000</v>
          </cell>
          <cell r="O238">
            <v>2300000</v>
          </cell>
          <cell r="P238">
            <v>1760000</v>
          </cell>
          <cell r="Q238">
            <v>1400000</v>
          </cell>
          <cell r="R238">
            <v>2430000</v>
          </cell>
          <cell r="S238">
            <v>2960000</v>
          </cell>
          <cell r="T238">
            <v>2550000</v>
          </cell>
          <cell r="U238">
            <v>2490000</v>
          </cell>
          <cell r="V238">
            <v>453000</v>
          </cell>
        </row>
        <row r="239">
          <cell r="D239" t="str">
            <v>NE Limestone Li</v>
          </cell>
          <cell r="E239">
            <v>0</v>
          </cell>
          <cell r="F239">
            <v>0</v>
          </cell>
          <cell r="G239">
            <v>0</v>
          </cell>
          <cell r="H239">
            <v>0</v>
          </cell>
          <cell r="I239">
            <v>6890000</v>
          </cell>
          <cell r="J239">
            <v>6590000</v>
          </cell>
          <cell r="K239">
            <v>6370000</v>
          </cell>
          <cell r="L239">
            <v>6900000</v>
          </cell>
          <cell r="M239">
            <v>7490000</v>
          </cell>
          <cell r="N239">
            <v>7090000</v>
          </cell>
          <cell r="O239">
            <v>6590000</v>
          </cell>
          <cell r="P239">
            <v>6360000</v>
          </cell>
          <cell r="Q239">
            <v>7220000</v>
          </cell>
          <cell r="R239">
            <v>6960000</v>
          </cell>
          <cell r="S239">
            <v>6900000</v>
          </cell>
          <cell r="T239">
            <v>6950000</v>
          </cell>
          <cell r="U239">
            <v>7390000</v>
          </cell>
          <cell r="V239">
            <v>7670000</v>
          </cell>
        </row>
        <row r="240">
          <cell r="D240" t="str">
            <v>NV Limestone Li</v>
          </cell>
          <cell r="E240">
            <v>0</v>
          </cell>
          <cell r="F240">
            <v>0</v>
          </cell>
          <cell r="G240">
            <v>0</v>
          </cell>
          <cell r="H240">
            <v>0</v>
          </cell>
          <cell r="I240">
            <v>1272727.2727272727</v>
          </cell>
          <cell r="J240">
            <v>1627272.7272727273</v>
          </cell>
          <cell r="K240">
            <v>2170000</v>
          </cell>
          <cell r="L240">
            <v>3890000</v>
          </cell>
          <cell r="M240">
            <v>5050000</v>
          </cell>
          <cell r="N240">
            <v>4690000</v>
          </cell>
          <cell r="O240">
            <v>4800000</v>
          </cell>
          <cell r="P240">
            <v>5250000</v>
          </cell>
          <cell r="Q240">
            <v>3760000</v>
          </cell>
          <cell r="R240">
            <v>3800000</v>
          </cell>
          <cell r="S240">
            <v>4330000</v>
          </cell>
          <cell r="T240">
            <v>4710000</v>
          </cell>
          <cell r="U240">
            <v>5220000</v>
          </cell>
          <cell r="V240">
            <v>3880000</v>
          </cell>
        </row>
        <row r="241">
          <cell r="D241" t="str">
            <v>NH Limestone Li</v>
          </cell>
          <cell r="E241">
            <v>0</v>
          </cell>
          <cell r="F241">
            <v>0</v>
          </cell>
          <cell r="G241">
            <v>0</v>
          </cell>
          <cell r="H241">
            <v>0</v>
          </cell>
          <cell r="I241">
            <v>1272727.2727272727</v>
          </cell>
          <cell r="J241">
            <v>1627272.7272727273</v>
          </cell>
          <cell r="K241">
            <v>737142.85714285716</v>
          </cell>
          <cell r="L241">
            <v>1744444.4444444443</v>
          </cell>
          <cell r="M241">
            <v>0</v>
          </cell>
          <cell r="N241">
            <v>0</v>
          </cell>
          <cell r="O241">
            <v>0</v>
          </cell>
          <cell r="P241">
            <v>0</v>
          </cell>
          <cell r="Q241">
            <v>0</v>
          </cell>
          <cell r="R241">
            <v>0</v>
          </cell>
          <cell r="T241">
            <v>0</v>
          </cell>
          <cell r="U241">
            <v>0</v>
          </cell>
          <cell r="V241">
            <v>0</v>
          </cell>
        </row>
        <row r="242">
          <cell r="D242" t="str">
            <v>NJ Limestone Li</v>
          </cell>
          <cell r="E242">
            <v>0</v>
          </cell>
          <cell r="F242">
            <v>0</v>
          </cell>
          <cell r="G242">
            <v>0</v>
          </cell>
          <cell r="H242">
            <v>0</v>
          </cell>
          <cell r="I242">
            <v>1272727.2727272727</v>
          </cell>
          <cell r="J242">
            <v>1627272.7272727273</v>
          </cell>
          <cell r="K242">
            <v>737142.85714285716</v>
          </cell>
          <cell r="L242">
            <v>1744444.4444444443</v>
          </cell>
          <cell r="M242">
            <v>1712500</v>
          </cell>
          <cell r="N242">
            <v>1976923.076923077</v>
          </cell>
          <cell r="O242">
            <v>569000</v>
          </cell>
          <cell r="P242">
            <v>401000</v>
          </cell>
          <cell r="Q242">
            <v>1527272.7272727273</v>
          </cell>
          <cell r="R242">
            <v>1400000</v>
          </cell>
          <cell r="S242">
            <v>0</v>
          </cell>
          <cell r="T242">
            <v>1900000</v>
          </cell>
          <cell r="U242">
            <v>1198333.3333333333</v>
          </cell>
          <cell r="V242">
            <v>0</v>
          </cell>
        </row>
        <row r="243">
          <cell r="D243" t="str">
            <v>NM Limestone Li</v>
          </cell>
          <cell r="E243">
            <v>0</v>
          </cell>
          <cell r="F243">
            <v>0</v>
          </cell>
          <cell r="G243">
            <v>0</v>
          </cell>
          <cell r="H243">
            <v>0</v>
          </cell>
          <cell r="I243">
            <v>1880000</v>
          </cell>
          <cell r="J243">
            <v>1640000</v>
          </cell>
          <cell r="K243">
            <v>1350000</v>
          </cell>
          <cell r="L243">
            <v>1230000</v>
          </cell>
          <cell r="M243">
            <v>2200000</v>
          </cell>
          <cell r="N243">
            <v>2000000</v>
          </cell>
          <cell r="O243">
            <v>2200000</v>
          </cell>
          <cell r="P243">
            <v>2240000</v>
          </cell>
          <cell r="Q243">
            <v>2340000</v>
          </cell>
          <cell r="R243">
            <v>2310000</v>
          </cell>
          <cell r="S243">
            <v>2120000</v>
          </cell>
          <cell r="T243">
            <v>2250000</v>
          </cell>
          <cell r="U243">
            <v>1960000</v>
          </cell>
          <cell r="V243">
            <v>2880000</v>
          </cell>
        </row>
        <row r="244">
          <cell r="D244" t="str">
            <v>NY Limestone Li</v>
          </cell>
          <cell r="E244">
            <v>0</v>
          </cell>
          <cell r="F244">
            <v>0</v>
          </cell>
          <cell r="G244">
            <v>0</v>
          </cell>
          <cell r="H244">
            <v>0</v>
          </cell>
          <cell r="I244">
            <v>27400000</v>
          </cell>
          <cell r="J244">
            <v>27000000</v>
          </cell>
          <cell r="K244">
            <v>27600000</v>
          </cell>
          <cell r="L244">
            <v>27900000</v>
          </cell>
          <cell r="M244">
            <v>29500000</v>
          </cell>
          <cell r="N244">
            <v>27400000</v>
          </cell>
          <cell r="O244">
            <v>29500000</v>
          </cell>
          <cell r="P244">
            <v>30000000</v>
          </cell>
          <cell r="Q244">
            <v>29100000</v>
          </cell>
          <cell r="R244">
            <v>30100000</v>
          </cell>
          <cell r="S244">
            <v>30500000</v>
          </cell>
          <cell r="T244">
            <v>31900000</v>
          </cell>
          <cell r="U244">
            <v>29200000</v>
          </cell>
          <cell r="V244">
            <v>27500000</v>
          </cell>
        </row>
        <row r="245">
          <cell r="D245" t="str">
            <v>NC Limestone Li</v>
          </cell>
          <cell r="E245">
            <v>0</v>
          </cell>
          <cell r="F245">
            <v>0</v>
          </cell>
          <cell r="G245">
            <v>0</v>
          </cell>
          <cell r="H245">
            <v>0</v>
          </cell>
          <cell r="I245">
            <v>1272727.2727272727</v>
          </cell>
          <cell r="J245">
            <v>1627272.7272727273</v>
          </cell>
          <cell r="K245">
            <v>6250000</v>
          </cell>
          <cell r="L245">
            <v>1744444.4444444443</v>
          </cell>
          <cell r="M245">
            <v>1712500</v>
          </cell>
          <cell r="N245">
            <v>6070000</v>
          </cell>
          <cell r="O245">
            <v>1787500</v>
          </cell>
          <cell r="P245">
            <v>1725000</v>
          </cell>
          <cell r="Q245">
            <v>1527272.7272727273</v>
          </cell>
          <cell r="R245">
            <v>1400000</v>
          </cell>
          <cell r="S245">
            <v>1600000</v>
          </cell>
          <cell r="T245">
            <v>1900000</v>
          </cell>
          <cell r="U245">
            <v>8480000</v>
          </cell>
          <cell r="V245">
            <v>7570000</v>
          </cell>
        </row>
        <row r="246">
          <cell r="D246" t="str">
            <v>ND Limestone Li</v>
          </cell>
          <cell r="E246">
            <v>0</v>
          </cell>
          <cell r="F246">
            <v>0</v>
          </cell>
          <cell r="G246">
            <v>0</v>
          </cell>
          <cell r="H246">
            <v>0</v>
          </cell>
          <cell r="I246">
            <v>0</v>
          </cell>
          <cell r="J246">
            <v>0</v>
          </cell>
          <cell r="K246">
            <v>0</v>
          </cell>
          <cell r="L246">
            <v>0</v>
          </cell>
          <cell r="M246">
            <v>0</v>
          </cell>
          <cell r="N246">
            <v>1976923.076923077</v>
          </cell>
          <cell r="O246">
            <v>1787500</v>
          </cell>
          <cell r="P246">
            <v>1725000</v>
          </cell>
          <cell r="Q246">
            <v>1527272.7272727273</v>
          </cell>
          <cell r="R246">
            <v>1400000</v>
          </cell>
          <cell r="S246">
            <v>0</v>
          </cell>
          <cell r="T246">
            <v>0</v>
          </cell>
          <cell r="U246">
            <v>0</v>
          </cell>
          <cell r="V246">
            <v>0</v>
          </cell>
        </row>
        <row r="247">
          <cell r="D247" t="str">
            <v>OH Limestone Li</v>
          </cell>
          <cell r="E247">
            <v>0</v>
          </cell>
          <cell r="F247">
            <v>0</v>
          </cell>
          <cell r="G247">
            <v>0</v>
          </cell>
          <cell r="H247">
            <v>0</v>
          </cell>
          <cell r="I247">
            <v>41700000</v>
          </cell>
          <cell r="J247">
            <v>46000000</v>
          </cell>
          <cell r="K247">
            <v>48200000</v>
          </cell>
          <cell r="L247">
            <v>57900000</v>
          </cell>
          <cell r="M247">
            <v>61500000</v>
          </cell>
          <cell r="N247">
            <v>63600000</v>
          </cell>
          <cell r="O247">
            <v>64000000</v>
          </cell>
          <cell r="P247">
            <v>66500000</v>
          </cell>
          <cell r="Q247">
            <v>61700000</v>
          </cell>
          <cell r="R247">
            <v>61500000</v>
          </cell>
          <cell r="S247">
            <v>69400000</v>
          </cell>
          <cell r="T247">
            <v>65800000</v>
          </cell>
          <cell r="U247">
            <v>61800000</v>
          </cell>
          <cell r="V247">
            <v>63200000</v>
          </cell>
        </row>
        <row r="248">
          <cell r="D248" t="str">
            <v>OK Limestone Li</v>
          </cell>
          <cell r="E248">
            <v>0</v>
          </cell>
          <cell r="F248">
            <v>0</v>
          </cell>
          <cell r="G248">
            <v>0</v>
          </cell>
          <cell r="H248">
            <v>0</v>
          </cell>
          <cell r="I248">
            <v>22600000</v>
          </cell>
          <cell r="J248">
            <v>21800000</v>
          </cell>
          <cell r="K248">
            <v>21000000</v>
          </cell>
          <cell r="L248">
            <v>24300000</v>
          </cell>
          <cell r="M248">
            <v>27500000</v>
          </cell>
          <cell r="N248">
            <v>28000000</v>
          </cell>
          <cell r="O248">
            <v>31200000</v>
          </cell>
          <cell r="P248">
            <v>32900000</v>
          </cell>
          <cell r="Q248">
            <v>35500000</v>
          </cell>
          <cell r="R248">
            <v>33300000</v>
          </cell>
          <cell r="S248">
            <v>33500000</v>
          </cell>
          <cell r="T248">
            <v>38500000</v>
          </cell>
          <cell r="U248">
            <v>38000000</v>
          </cell>
          <cell r="V248">
            <v>39600000</v>
          </cell>
        </row>
        <row r="249">
          <cell r="D249" t="str">
            <v>OR Limestone Li</v>
          </cell>
          <cell r="E249">
            <v>0</v>
          </cell>
          <cell r="F249">
            <v>0</v>
          </cell>
          <cell r="G249">
            <v>0</v>
          </cell>
          <cell r="H249">
            <v>0</v>
          </cell>
          <cell r="I249">
            <v>1272727.2727272727</v>
          </cell>
          <cell r="J249">
            <v>1627272.7272727273</v>
          </cell>
          <cell r="K249">
            <v>737142.85714285716</v>
          </cell>
          <cell r="L249">
            <v>1744444.4444444443</v>
          </cell>
          <cell r="M249">
            <v>1712500</v>
          </cell>
          <cell r="N249">
            <v>1976923.076923077</v>
          </cell>
          <cell r="O249">
            <v>1787500</v>
          </cell>
          <cell r="P249">
            <v>1330000</v>
          </cell>
          <cell r="Q249">
            <v>1527272.7272727273</v>
          </cell>
          <cell r="R249">
            <v>1400000</v>
          </cell>
          <cell r="S249">
            <v>1600000</v>
          </cell>
          <cell r="T249">
            <v>1900000</v>
          </cell>
          <cell r="U249">
            <v>1240000</v>
          </cell>
          <cell r="V249">
            <v>0</v>
          </cell>
        </row>
        <row r="250">
          <cell r="D250" t="str">
            <v>PA Limestone Li</v>
          </cell>
          <cell r="E250">
            <v>0</v>
          </cell>
          <cell r="F250">
            <v>0</v>
          </cell>
          <cell r="G250">
            <v>0</v>
          </cell>
          <cell r="H250">
            <v>0</v>
          </cell>
          <cell r="I250">
            <v>44000000</v>
          </cell>
          <cell r="J250">
            <v>46000000</v>
          </cell>
          <cell r="K250">
            <v>55200000</v>
          </cell>
          <cell r="L250">
            <v>54700000</v>
          </cell>
          <cell r="M250">
            <v>54300000</v>
          </cell>
          <cell r="N250">
            <v>57000000</v>
          </cell>
          <cell r="O250">
            <v>60300000</v>
          </cell>
          <cell r="P250">
            <v>57900000</v>
          </cell>
          <cell r="Q250">
            <v>61300000</v>
          </cell>
          <cell r="R250">
            <v>61600000</v>
          </cell>
          <cell r="S250">
            <v>65500000</v>
          </cell>
          <cell r="T250">
            <v>62100000</v>
          </cell>
          <cell r="U250">
            <v>64600000</v>
          </cell>
          <cell r="V250">
            <v>60500000</v>
          </cell>
        </row>
        <row r="251">
          <cell r="D251" t="str">
            <v>PR Limestone Li</v>
          </cell>
          <cell r="E251">
            <v>0</v>
          </cell>
          <cell r="F251">
            <v>0</v>
          </cell>
          <cell r="G251">
            <v>0</v>
          </cell>
          <cell r="H251">
            <v>0</v>
          </cell>
          <cell r="I251">
            <v>0</v>
          </cell>
          <cell r="J251">
            <v>0</v>
          </cell>
          <cell r="K251">
            <v>0</v>
          </cell>
          <cell r="L251">
            <v>0</v>
          </cell>
          <cell r="M251">
            <v>0</v>
          </cell>
          <cell r="N251">
            <v>0</v>
          </cell>
          <cell r="O251">
            <v>0</v>
          </cell>
          <cell r="P251">
            <v>0</v>
          </cell>
          <cell r="Q251">
            <v>0</v>
          </cell>
          <cell r="R251">
            <v>0</v>
          </cell>
          <cell r="S251">
            <v>0</v>
          </cell>
          <cell r="T251">
            <v>0</v>
          </cell>
          <cell r="U251">
            <v>0</v>
          </cell>
          <cell r="V251">
            <v>0</v>
          </cell>
        </row>
        <row r="252">
          <cell r="D252" t="str">
            <v>RI Limestone Li</v>
          </cell>
          <cell r="E252">
            <v>0</v>
          </cell>
          <cell r="F252">
            <v>0</v>
          </cell>
          <cell r="G252">
            <v>0</v>
          </cell>
          <cell r="H252">
            <v>0</v>
          </cell>
          <cell r="I252">
            <v>1272727.2727272727</v>
          </cell>
          <cell r="J252">
            <v>1627272.7272727273</v>
          </cell>
          <cell r="K252">
            <v>737142.85714285716</v>
          </cell>
          <cell r="L252">
            <v>1744444.4444444443</v>
          </cell>
          <cell r="M252">
            <v>1712500</v>
          </cell>
          <cell r="N252">
            <v>1976923.076923077</v>
          </cell>
          <cell r="O252">
            <v>1787500</v>
          </cell>
          <cell r="P252">
            <v>1725000</v>
          </cell>
          <cell r="Q252">
            <v>1527272.7272727273</v>
          </cell>
          <cell r="R252">
            <v>1400000</v>
          </cell>
          <cell r="S252">
            <v>1600000</v>
          </cell>
          <cell r="T252">
            <v>1900000</v>
          </cell>
          <cell r="U252">
            <v>1198333.3333333333</v>
          </cell>
          <cell r="V252">
            <v>0</v>
          </cell>
        </row>
        <row r="253">
          <cell r="D253" t="str">
            <v>SC Limestone Li</v>
          </cell>
          <cell r="E253">
            <v>0</v>
          </cell>
          <cell r="F253">
            <v>0</v>
          </cell>
          <cell r="G253">
            <v>0</v>
          </cell>
          <cell r="H253">
            <v>0</v>
          </cell>
          <cell r="I253">
            <v>1272727.2727272727</v>
          </cell>
          <cell r="J253">
            <v>1627272.7272727273</v>
          </cell>
          <cell r="K253">
            <v>3740000</v>
          </cell>
          <cell r="L253">
            <v>4490000</v>
          </cell>
          <cell r="M253">
            <v>1712500</v>
          </cell>
          <cell r="N253">
            <v>1976923.076923077</v>
          </cell>
          <cell r="O253">
            <v>1787500</v>
          </cell>
          <cell r="P253">
            <v>1725000</v>
          </cell>
          <cell r="Q253">
            <v>1527272.7272727273</v>
          </cell>
          <cell r="R253">
            <v>1400000</v>
          </cell>
          <cell r="S253">
            <v>6410000</v>
          </cell>
          <cell r="T253">
            <v>1900000</v>
          </cell>
          <cell r="U253">
            <v>4110000</v>
          </cell>
          <cell r="V253">
            <v>3360000</v>
          </cell>
        </row>
        <row r="254">
          <cell r="D254" t="str">
            <v>SD Limestone Li</v>
          </cell>
          <cell r="E254">
            <v>0</v>
          </cell>
          <cell r="F254">
            <v>0</v>
          </cell>
          <cell r="G254">
            <v>0</v>
          </cell>
          <cell r="H254">
            <v>0</v>
          </cell>
          <cell r="I254">
            <v>2850000</v>
          </cell>
          <cell r="J254">
            <v>2680000</v>
          </cell>
          <cell r="K254">
            <v>2850000</v>
          </cell>
          <cell r="L254">
            <v>3110000</v>
          </cell>
          <cell r="M254">
            <v>2920000</v>
          </cell>
          <cell r="N254">
            <v>3190000</v>
          </cell>
          <cell r="O254">
            <v>2980000</v>
          </cell>
          <cell r="P254">
            <v>3160000</v>
          </cell>
          <cell r="Q254">
            <v>1527272.7272727273</v>
          </cell>
          <cell r="R254">
            <v>3050000</v>
          </cell>
          <cell r="S254">
            <v>1950000</v>
          </cell>
          <cell r="T254">
            <v>3200000</v>
          </cell>
          <cell r="U254">
            <v>3240000</v>
          </cell>
          <cell r="V254">
            <v>3200000</v>
          </cell>
        </row>
        <row r="255">
          <cell r="D255" t="str">
            <v>TN Limestone Li</v>
          </cell>
          <cell r="E255">
            <v>0</v>
          </cell>
          <cell r="F255">
            <v>0</v>
          </cell>
          <cell r="G255">
            <v>0</v>
          </cell>
          <cell r="H255">
            <v>0</v>
          </cell>
          <cell r="I255">
            <v>43500000</v>
          </cell>
          <cell r="J255">
            <v>46400000</v>
          </cell>
          <cell r="K255">
            <v>49500000</v>
          </cell>
          <cell r="L255">
            <v>54300000</v>
          </cell>
          <cell r="M255">
            <v>56800000</v>
          </cell>
          <cell r="N255">
            <v>56500000</v>
          </cell>
          <cell r="O255">
            <v>57300000</v>
          </cell>
          <cell r="P255">
            <v>54700000</v>
          </cell>
          <cell r="Q255">
            <v>51500000</v>
          </cell>
          <cell r="R255">
            <v>53100000</v>
          </cell>
          <cell r="S255">
            <v>55600000</v>
          </cell>
          <cell r="T255">
            <v>62900000</v>
          </cell>
          <cell r="U255">
            <v>63800000</v>
          </cell>
          <cell r="V255">
            <v>60600000</v>
          </cell>
        </row>
        <row r="256">
          <cell r="D256" t="str">
            <v>TX Limestone Li</v>
          </cell>
          <cell r="E256">
            <v>0</v>
          </cell>
          <cell r="F256">
            <v>0</v>
          </cell>
          <cell r="G256">
            <v>0</v>
          </cell>
          <cell r="H256">
            <v>0</v>
          </cell>
          <cell r="I256">
            <v>72000000</v>
          </cell>
          <cell r="J256">
            <v>76100000</v>
          </cell>
          <cell r="K256">
            <v>82500000</v>
          </cell>
          <cell r="L256">
            <v>77400000</v>
          </cell>
          <cell r="M256">
            <v>92500000</v>
          </cell>
          <cell r="N256">
            <v>102000000</v>
          </cell>
          <cell r="O256">
            <v>115000000</v>
          </cell>
          <cell r="P256">
            <v>124000000</v>
          </cell>
          <cell r="Q256">
            <v>108000000</v>
          </cell>
          <cell r="R256">
            <v>121000000</v>
          </cell>
          <cell r="S256">
            <v>116000000</v>
          </cell>
          <cell r="T256">
            <v>129000000</v>
          </cell>
          <cell r="U256">
            <v>131000000</v>
          </cell>
          <cell r="V256">
            <v>137000000</v>
          </cell>
        </row>
        <row r="257">
          <cell r="D257" t="str">
            <v>UT Limestone Li</v>
          </cell>
          <cell r="E257">
            <v>0</v>
          </cell>
          <cell r="F257">
            <v>0</v>
          </cell>
          <cell r="G257">
            <v>0</v>
          </cell>
          <cell r="H257">
            <v>0</v>
          </cell>
          <cell r="I257">
            <v>1980000</v>
          </cell>
          <cell r="J257">
            <v>2080000</v>
          </cell>
          <cell r="K257">
            <v>1480000</v>
          </cell>
          <cell r="L257">
            <v>2500000</v>
          </cell>
          <cell r="M257">
            <v>3100000</v>
          </cell>
          <cell r="N257">
            <v>5000000</v>
          </cell>
          <cell r="O257">
            <v>4840000</v>
          </cell>
          <cell r="P257">
            <v>5260000</v>
          </cell>
          <cell r="Q257">
            <v>4510000</v>
          </cell>
          <cell r="R257">
            <v>4090000</v>
          </cell>
          <cell r="S257">
            <v>3810000</v>
          </cell>
          <cell r="T257">
            <v>3550000</v>
          </cell>
          <cell r="U257">
            <v>4700000</v>
          </cell>
          <cell r="V257">
            <v>6350000</v>
          </cell>
        </row>
        <row r="258">
          <cell r="D258" t="str">
            <v>VT Limestone Li</v>
          </cell>
          <cell r="E258">
            <v>0</v>
          </cell>
          <cell r="F258">
            <v>0</v>
          </cell>
          <cell r="G258">
            <v>0</v>
          </cell>
          <cell r="H258">
            <v>0</v>
          </cell>
          <cell r="I258">
            <v>1800000</v>
          </cell>
          <cell r="J258">
            <v>2220000</v>
          </cell>
          <cell r="K258">
            <v>2260000</v>
          </cell>
          <cell r="L258">
            <v>3400000</v>
          </cell>
          <cell r="M258">
            <v>2580000</v>
          </cell>
          <cell r="N258">
            <v>2440000</v>
          </cell>
          <cell r="O258">
            <v>2210000</v>
          </cell>
          <cell r="P258">
            <v>1725000</v>
          </cell>
          <cell r="Q258">
            <v>1680000</v>
          </cell>
          <cell r="R258">
            <v>1400000</v>
          </cell>
          <cell r="S258">
            <v>1600000</v>
          </cell>
          <cell r="T258">
            <v>1900000</v>
          </cell>
          <cell r="U258">
            <v>1550000</v>
          </cell>
          <cell r="V258">
            <v>1510000</v>
          </cell>
        </row>
        <row r="259">
          <cell r="D259" t="str">
            <v>VA Limestone Li</v>
          </cell>
          <cell r="E259">
            <v>0</v>
          </cell>
          <cell r="F259">
            <v>0</v>
          </cell>
          <cell r="G259">
            <v>0</v>
          </cell>
          <cell r="H259">
            <v>0</v>
          </cell>
          <cell r="I259">
            <v>16300000</v>
          </cell>
          <cell r="J259">
            <v>15800000</v>
          </cell>
          <cell r="K259">
            <v>16500000</v>
          </cell>
          <cell r="L259">
            <v>15700000</v>
          </cell>
          <cell r="M259">
            <v>18500000</v>
          </cell>
          <cell r="N259">
            <v>20600000</v>
          </cell>
          <cell r="O259">
            <v>21300000</v>
          </cell>
          <cell r="P259">
            <v>20100000</v>
          </cell>
          <cell r="Q259">
            <v>16000000</v>
          </cell>
          <cell r="R259">
            <v>18500000</v>
          </cell>
          <cell r="S259">
            <v>19100000</v>
          </cell>
          <cell r="T259">
            <v>29000000</v>
          </cell>
          <cell r="U259">
            <v>21800000</v>
          </cell>
          <cell r="V259">
            <v>18400000</v>
          </cell>
        </row>
        <row r="260">
          <cell r="D260" t="str">
            <v>WA Limestone Li</v>
          </cell>
          <cell r="E260">
            <v>0</v>
          </cell>
          <cell r="F260">
            <v>0</v>
          </cell>
          <cell r="G260">
            <v>0</v>
          </cell>
          <cell r="H260">
            <v>0</v>
          </cell>
          <cell r="I260">
            <v>2140000</v>
          </cell>
          <cell r="J260">
            <v>1230000</v>
          </cell>
          <cell r="K260">
            <v>2140000</v>
          </cell>
          <cell r="L260">
            <v>1460000</v>
          </cell>
          <cell r="M260">
            <v>1020000</v>
          </cell>
          <cell r="N260">
            <v>1976923.076923077</v>
          </cell>
          <cell r="O260">
            <v>2040000</v>
          </cell>
          <cell r="P260">
            <v>2020000</v>
          </cell>
          <cell r="Q260">
            <v>1920000</v>
          </cell>
          <cell r="R260">
            <v>1640000</v>
          </cell>
          <cell r="S260">
            <v>2000000</v>
          </cell>
          <cell r="T260">
            <v>2120000</v>
          </cell>
          <cell r="U260">
            <v>2190000</v>
          </cell>
          <cell r="V260">
            <v>1840000</v>
          </cell>
        </row>
        <row r="261">
          <cell r="D261" t="str">
            <v>WV Limestone Li</v>
          </cell>
          <cell r="E261">
            <v>0</v>
          </cell>
          <cell r="F261">
            <v>0</v>
          </cell>
          <cell r="G261">
            <v>0</v>
          </cell>
          <cell r="H261">
            <v>0</v>
          </cell>
          <cell r="I261">
            <v>10200000</v>
          </cell>
          <cell r="J261">
            <v>10800000</v>
          </cell>
          <cell r="K261">
            <v>11900000</v>
          </cell>
          <cell r="L261">
            <v>12000000</v>
          </cell>
          <cell r="M261">
            <v>11300000</v>
          </cell>
          <cell r="N261">
            <v>1976923.076923077</v>
          </cell>
          <cell r="O261">
            <v>10900000</v>
          </cell>
          <cell r="P261">
            <v>13900000</v>
          </cell>
          <cell r="Q261">
            <v>12200000</v>
          </cell>
          <cell r="R261">
            <v>12600000</v>
          </cell>
          <cell r="S261">
            <v>13400000</v>
          </cell>
          <cell r="T261">
            <v>13200000</v>
          </cell>
          <cell r="U261">
            <v>13700000</v>
          </cell>
          <cell r="V261">
            <v>15100000</v>
          </cell>
        </row>
        <row r="262">
          <cell r="D262" t="str">
            <v>WI Limestone Li</v>
          </cell>
          <cell r="E262">
            <v>0</v>
          </cell>
          <cell r="F262">
            <v>0</v>
          </cell>
          <cell r="G262">
            <v>0</v>
          </cell>
          <cell r="H262">
            <v>0</v>
          </cell>
          <cell r="I262">
            <v>21900000</v>
          </cell>
          <cell r="J262">
            <v>20100000</v>
          </cell>
          <cell r="K262">
            <v>20800000</v>
          </cell>
          <cell r="L262">
            <v>20800000</v>
          </cell>
          <cell r="M262">
            <v>22500000</v>
          </cell>
          <cell r="N262">
            <v>26800000</v>
          </cell>
          <cell r="O262">
            <v>27000000</v>
          </cell>
          <cell r="P262">
            <v>28500000</v>
          </cell>
          <cell r="Q262">
            <v>28800000</v>
          </cell>
          <cell r="R262">
            <v>30900000</v>
          </cell>
          <cell r="S262">
            <v>32500000</v>
          </cell>
          <cell r="T262">
            <v>31800000</v>
          </cell>
          <cell r="U262">
            <v>29000000</v>
          </cell>
          <cell r="V262">
            <v>20300000</v>
          </cell>
        </row>
        <row r="263">
          <cell r="D263" t="str">
            <v>WY Limestone Li</v>
          </cell>
          <cell r="E263">
            <v>0</v>
          </cell>
          <cell r="F263">
            <v>0</v>
          </cell>
          <cell r="G263">
            <v>0</v>
          </cell>
          <cell r="H263">
            <v>0</v>
          </cell>
          <cell r="I263">
            <v>1520000</v>
          </cell>
          <cell r="J263">
            <v>1550000</v>
          </cell>
          <cell r="K263">
            <v>1620000</v>
          </cell>
          <cell r="L263">
            <v>1744444.4444444443</v>
          </cell>
          <cell r="M263">
            <v>1712500</v>
          </cell>
          <cell r="N263">
            <v>1976923.076923077</v>
          </cell>
          <cell r="O263">
            <v>2130000</v>
          </cell>
          <cell r="P263">
            <v>1500000</v>
          </cell>
          <cell r="Q263">
            <v>1810000</v>
          </cell>
          <cell r="R263">
            <v>1790000</v>
          </cell>
          <cell r="S263">
            <v>2900000</v>
          </cell>
          <cell r="T263">
            <v>2500000</v>
          </cell>
          <cell r="U263">
            <v>3500000</v>
          </cell>
          <cell r="V263">
            <v>2960000</v>
          </cell>
        </row>
        <row r="264">
          <cell r="D264" t="str">
            <v xml:space="preserve">AL Aluminum </v>
          </cell>
          <cell r="E264">
            <v>0</v>
          </cell>
          <cell r="F264">
            <v>0</v>
          </cell>
          <cell r="G264">
            <v>0</v>
          </cell>
          <cell r="H264">
            <v>0</v>
          </cell>
          <cell r="I264">
            <v>0</v>
          </cell>
          <cell r="J264">
            <v>0</v>
          </cell>
          <cell r="K264">
            <v>0</v>
          </cell>
          <cell r="L264">
            <v>0</v>
          </cell>
          <cell r="M264">
            <v>0</v>
          </cell>
          <cell r="N264">
            <v>0</v>
          </cell>
          <cell r="O264">
            <v>0</v>
          </cell>
          <cell r="P264">
            <v>0</v>
          </cell>
          <cell r="Q264">
            <v>0</v>
          </cell>
          <cell r="R264">
            <v>0</v>
          </cell>
          <cell r="S264">
            <v>0</v>
          </cell>
          <cell r="T264">
            <v>0</v>
          </cell>
          <cell r="U264">
            <v>0</v>
          </cell>
          <cell r="V264">
            <v>0</v>
          </cell>
        </row>
        <row r="265">
          <cell r="D265" t="str">
            <v xml:space="preserve">AK Aluminum </v>
          </cell>
          <cell r="E265">
            <v>0</v>
          </cell>
          <cell r="F265">
            <v>0</v>
          </cell>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row>
        <row r="266">
          <cell r="D266" t="str">
            <v xml:space="preserve">AZ Aluminum </v>
          </cell>
          <cell r="E266">
            <v>0</v>
          </cell>
          <cell r="F266">
            <v>0</v>
          </cell>
          <cell r="G266">
            <v>0</v>
          </cell>
          <cell r="H266">
            <v>0</v>
          </cell>
          <cell r="I266">
            <v>0</v>
          </cell>
          <cell r="J266">
            <v>0</v>
          </cell>
          <cell r="K266">
            <v>0</v>
          </cell>
          <cell r="L266">
            <v>0</v>
          </cell>
          <cell r="M266">
            <v>0</v>
          </cell>
          <cell r="N266">
            <v>0</v>
          </cell>
          <cell r="O266">
            <v>0</v>
          </cell>
          <cell r="P266">
            <v>0</v>
          </cell>
          <cell r="Q266">
            <v>0</v>
          </cell>
          <cell r="R266">
            <v>0</v>
          </cell>
          <cell r="S266">
            <v>0</v>
          </cell>
          <cell r="T266">
            <v>0</v>
          </cell>
          <cell r="U266">
            <v>0</v>
          </cell>
          <cell r="V266">
            <v>0</v>
          </cell>
        </row>
        <row r="267">
          <cell r="D267" t="str">
            <v xml:space="preserve">AR Aluminum </v>
          </cell>
          <cell r="E267">
            <v>0</v>
          </cell>
          <cell r="F267">
            <v>0</v>
          </cell>
          <cell r="G267">
            <v>0</v>
          </cell>
          <cell r="H267">
            <v>0</v>
          </cell>
          <cell r="I267">
            <v>0</v>
          </cell>
          <cell r="J267">
            <v>0</v>
          </cell>
          <cell r="K267">
            <v>0</v>
          </cell>
          <cell r="L267">
            <v>0</v>
          </cell>
          <cell r="M267">
            <v>0</v>
          </cell>
          <cell r="N267">
            <v>0</v>
          </cell>
          <cell r="O267">
            <v>0</v>
          </cell>
          <cell r="P267">
            <v>0</v>
          </cell>
          <cell r="Q267">
            <v>0</v>
          </cell>
          <cell r="R267">
            <v>0</v>
          </cell>
          <cell r="S267">
            <v>0</v>
          </cell>
          <cell r="T267">
            <v>0</v>
          </cell>
          <cell r="U267">
            <v>0</v>
          </cell>
          <cell r="V267">
            <v>0</v>
          </cell>
        </row>
        <row r="268">
          <cell r="D268" t="str">
            <v xml:space="preserve">CA Aluminum </v>
          </cell>
          <cell r="E268">
            <v>0</v>
          </cell>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row>
        <row r="269">
          <cell r="D269" t="str">
            <v xml:space="preserve">CO Aluminum </v>
          </cell>
          <cell r="E269">
            <v>0</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row>
        <row r="270">
          <cell r="D270" t="str">
            <v xml:space="preserve">CT Aluminum </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row>
        <row r="271">
          <cell r="D271" t="str">
            <v xml:space="preserve">DC Aluminum </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row>
        <row r="272">
          <cell r="D272" t="str">
            <v xml:space="preserve">DE Aluminum </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row>
        <row r="273">
          <cell r="D273" t="str">
            <v xml:space="preserve">FL Aluminum </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row>
        <row r="274">
          <cell r="D274" t="str">
            <v xml:space="preserve">GA Aluminum </v>
          </cell>
          <cell r="E274">
            <v>0</v>
          </cell>
          <cell r="F274">
            <v>0</v>
          </cell>
          <cell r="G274">
            <v>0</v>
          </cell>
          <cell r="H274">
            <v>0</v>
          </cell>
          <cell r="I274">
            <v>0</v>
          </cell>
          <cell r="J274">
            <v>0</v>
          </cell>
          <cell r="K274">
            <v>0</v>
          </cell>
          <cell r="L274">
            <v>0</v>
          </cell>
          <cell r="M274">
            <v>0</v>
          </cell>
          <cell r="N274">
            <v>0</v>
          </cell>
          <cell r="O274">
            <v>0</v>
          </cell>
          <cell r="P274">
            <v>0</v>
          </cell>
          <cell r="Q274">
            <v>0</v>
          </cell>
          <cell r="R274">
            <v>0</v>
          </cell>
          <cell r="S274">
            <v>0</v>
          </cell>
          <cell r="T274">
            <v>0</v>
          </cell>
          <cell r="U274">
            <v>0</v>
          </cell>
          <cell r="V274">
            <v>0</v>
          </cell>
        </row>
        <row r="275">
          <cell r="D275" t="str">
            <v xml:space="preserve">HI Aluminum </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row>
        <row r="276">
          <cell r="D276" t="str">
            <v xml:space="preserve">ID Aluminum </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row>
        <row r="277">
          <cell r="D277" t="str">
            <v xml:space="preserve">IL Aluminum </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row>
        <row r="278">
          <cell r="D278" t="str">
            <v xml:space="preserve">IN Aluminum </v>
          </cell>
          <cell r="E278">
            <v>296412.00878691726</v>
          </cell>
          <cell r="F278">
            <v>299128.96201306558</v>
          </cell>
          <cell r="G278">
            <v>291280.32668748498</v>
          </cell>
          <cell r="H278">
            <v>266466.34615384613</v>
          </cell>
          <cell r="I278">
            <v>236770.33492822965</v>
          </cell>
          <cell r="J278">
            <v>242224.88038277513</v>
          </cell>
          <cell r="K278">
            <v>256109.78520286398</v>
          </cell>
          <cell r="L278">
            <v>257971.3603818616</v>
          </cell>
          <cell r="M278">
            <v>264584.32304038003</v>
          </cell>
          <cell r="N278">
            <v>265503.51288056205</v>
          </cell>
          <cell r="O278">
            <v>257704.91803278684</v>
          </cell>
          <cell r="P278">
            <v>186460.64073226546</v>
          </cell>
          <cell r="Q278">
            <v>203025</v>
          </cell>
          <cell r="R278">
            <v>201745.65217391305</v>
          </cell>
          <cell r="S278">
            <v>210233.63980530016</v>
          </cell>
          <cell r="T278">
            <v>207309.08599242833</v>
          </cell>
          <cell r="U278">
            <v>190848.02595997835</v>
          </cell>
          <cell r="V278">
            <v>218248.34070796461</v>
          </cell>
        </row>
        <row r="279">
          <cell r="D279" t="str">
            <v xml:space="preserve">IA Aluminum </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row>
        <row r="280">
          <cell r="D280" t="str">
            <v xml:space="preserve">KS Aluminum </v>
          </cell>
          <cell r="E280">
            <v>0</v>
          </cell>
          <cell r="F280">
            <v>0</v>
          </cell>
          <cell r="G280">
            <v>0</v>
          </cell>
          <cell r="H280">
            <v>0</v>
          </cell>
          <cell r="I280">
            <v>0</v>
          </cell>
          <cell r="J280">
            <v>0</v>
          </cell>
          <cell r="K280">
            <v>0</v>
          </cell>
          <cell r="L280">
            <v>0</v>
          </cell>
          <cell r="M280">
            <v>0</v>
          </cell>
          <cell r="N280">
            <v>0</v>
          </cell>
          <cell r="O280">
            <v>0</v>
          </cell>
          <cell r="P280">
            <v>0</v>
          </cell>
          <cell r="Q280">
            <v>0</v>
          </cell>
          <cell r="R280">
            <v>0</v>
          </cell>
          <cell r="S280">
            <v>0</v>
          </cell>
          <cell r="T280">
            <v>0</v>
          </cell>
          <cell r="U280">
            <v>0</v>
          </cell>
          <cell r="V280">
            <v>0</v>
          </cell>
        </row>
        <row r="281">
          <cell r="D281" t="str">
            <v xml:space="preserve">KY Aluminum </v>
          </cell>
          <cell r="E281">
            <v>338897.73004637536</v>
          </cell>
          <cell r="F281">
            <v>347986.69247519964</v>
          </cell>
          <cell r="G281">
            <v>338856.11337977421</v>
          </cell>
          <cell r="H281">
            <v>325088.94230769231</v>
          </cell>
          <cell r="I281">
            <v>295173.68421052629</v>
          </cell>
          <cell r="J281">
            <v>301973.68421052635</v>
          </cell>
          <cell r="K281">
            <v>317576.13365155132</v>
          </cell>
          <cell r="L281">
            <v>319884.48687350837</v>
          </cell>
          <cell r="M281">
            <v>328084.56057007128</v>
          </cell>
          <cell r="N281">
            <v>374359.95316159254</v>
          </cell>
          <cell r="O281">
            <v>363363.93442622951</v>
          </cell>
          <cell r="P281">
            <v>261286.27002288328</v>
          </cell>
          <cell r="Q281">
            <v>284497.81553398061</v>
          </cell>
          <cell r="R281">
            <v>287275.36231884058</v>
          </cell>
          <cell r="S281">
            <v>299361.81719848566</v>
          </cell>
          <cell r="T281">
            <v>295197.40400216327</v>
          </cell>
          <cell r="U281">
            <v>271757.70686857757</v>
          </cell>
          <cell r="V281">
            <v>310774.33628318587</v>
          </cell>
        </row>
        <row r="282">
          <cell r="D282" t="str">
            <v xml:space="preserve">LA Aluminum </v>
          </cell>
          <cell r="E282">
            <v>0</v>
          </cell>
          <cell r="F282">
            <v>0</v>
          </cell>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row>
        <row r="283">
          <cell r="D283" t="str">
            <v xml:space="preserve">ME Aluminum </v>
          </cell>
          <cell r="E283">
            <v>0</v>
          </cell>
          <cell r="F283">
            <v>0</v>
          </cell>
          <cell r="G283">
            <v>0</v>
          </cell>
          <cell r="H283">
            <v>0</v>
          </cell>
          <cell r="I283">
            <v>0</v>
          </cell>
          <cell r="J283">
            <v>0</v>
          </cell>
          <cell r="K283">
            <v>0</v>
          </cell>
          <cell r="L283">
            <v>0</v>
          </cell>
          <cell r="M283">
            <v>0</v>
          </cell>
          <cell r="N283">
            <v>0</v>
          </cell>
          <cell r="O283">
            <v>0</v>
          </cell>
          <cell r="P283">
            <v>0</v>
          </cell>
          <cell r="Q283">
            <v>0</v>
          </cell>
          <cell r="R283">
            <v>0</v>
          </cell>
          <cell r="S283">
            <v>0</v>
          </cell>
          <cell r="T283">
            <v>0</v>
          </cell>
          <cell r="U283">
            <v>0</v>
          </cell>
          <cell r="V283">
            <v>0</v>
          </cell>
        </row>
        <row r="284">
          <cell r="D284" t="str">
            <v xml:space="preserve">MD Aluminum </v>
          </cell>
          <cell r="E284">
            <v>158086.40468635588</v>
          </cell>
          <cell r="F284">
            <v>169506.41180740381</v>
          </cell>
          <cell r="G284">
            <v>165058.85178957481</v>
          </cell>
          <cell r="H284">
            <v>150997.59615384616</v>
          </cell>
          <cell r="I284">
            <v>137326.79425837321</v>
          </cell>
          <cell r="J284">
            <v>140490.43062200959</v>
          </cell>
          <cell r="K284">
            <v>148543.67541766108</v>
          </cell>
          <cell r="L284">
            <v>149623.38902147973</v>
          </cell>
          <cell r="M284">
            <v>153458.90736342044</v>
          </cell>
          <cell r="N284">
            <v>153992.03747072601</v>
          </cell>
          <cell r="O284">
            <v>149468.85245901637</v>
          </cell>
          <cell r="P284">
            <v>115859.03890160183</v>
          </cell>
          <cell r="Q284">
            <v>126151.45631067961</v>
          </cell>
          <cell r="R284">
            <v>127315.21739130434</v>
          </cell>
          <cell r="S284">
            <v>132671.71444023796</v>
          </cell>
          <cell r="T284">
            <v>130826.12222823147</v>
          </cell>
          <cell r="U284">
            <v>120438.0746349378</v>
          </cell>
          <cell r="V284">
            <v>137729.5353982301</v>
          </cell>
        </row>
        <row r="285">
          <cell r="D285" t="str">
            <v xml:space="preserve">MA Aluminum </v>
          </cell>
          <cell r="E285">
            <v>0</v>
          </cell>
          <cell r="F285">
            <v>0</v>
          </cell>
          <cell r="G285">
            <v>0</v>
          </cell>
          <cell r="H285">
            <v>0</v>
          </cell>
          <cell r="I285">
            <v>0</v>
          </cell>
          <cell r="J285">
            <v>0</v>
          </cell>
          <cell r="K285">
            <v>0</v>
          </cell>
          <cell r="L285">
            <v>0</v>
          </cell>
          <cell r="M285">
            <v>0</v>
          </cell>
          <cell r="N285">
            <v>0</v>
          </cell>
          <cell r="O285">
            <v>0</v>
          </cell>
          <cell r="P285">
            <v>0</v>
          </cell>
          <cell r="Q285">
            <v>0</v>
          </cell>
          <cell r="R285">
            <v>0</v>
          </cell>
          <cell r="S285">
            <v>0</v>
          </cell>
          <cell r="T285">
            <v>0</v>
          </cell>
          <cell r="U285">
            <v>0</v>
          </cell>
          <cell r="V285">
            <v>0</v>
          </cell>
        </row>
        <row r="286">
          <cell r="D286" t="str">
            <v xml:space="preserve">MI Aluminum </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row>
        <row r="287">
          <cell r="D287" t="str">
            <v xml:space="preserve">MN Aluminum </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row>
        <row r="288">
          <cell r="D288" t="str">
            <v xml:space="preserve">MS Aluminum </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row>
        <row r="289">
          <cell r="D289" t="str">
            <v xml:space="preserve">MO Aluminum </v>
          </cell>
          <cell r="E289">
            <v>201560.16597510377</v>
          </cell>
          <cell r="F289">
            <v>203407.69416888457</v>
          </cell>
          <cell r="G289">
            <v>208750.90079269756</v>
          </cell>
          <cell r="H289">
            <v>190967.54807692306</v>
          </cell>
          <cell r="I289">
            <v>169685.40669856459</v>
          </cell>
          <cell r="J289">
            <v>173594.4976076555</v>
          </cell>
          <cell r="K289">
            <v>183545.3460620525</v>
          </cell>
          <cell r="L289">
            <v>184879.47494033413</v>
          </cell>
          <cell r="M289">
            <v>194028.50356294538</v>
          </cell>
          <cell r="N289">
            <v>203552.69320843092</v>
          </cell>
          <cell r="O289">
            <v>190701.63934426228</v>
          </cell>
          <cell r="P289">
            <v>138789.47368421053</v>
          </cell>
          <cell r="Q289">
            <v>164259.7087378641</v>
          </cell>
          <cell r="R289">
            <v>163224.63768115939</v>
          </cell>
          <cell r="S289">
            <v>170091.94159004866</v>
          </cell>
          <cell r="T289">
            <v>167725.79772850187</v>
          </cell>
          <cell r="U289">
            <v>154407.78799350999</v>
          </cell>
          <cell r="V289">
            <v>176576.32743362832</v>
          </cell>
        </row>
        <row r="290">
          <cell r="D290" t="str">
            <v xml:space="preserve">MT Aluminum </v>
          </cell>
          <cell r="E290">
            <v>165990.72492067367</v>
          </cell>
          <cell r="F290">
            <v>167512.21872731671</v>
          </cell>
          <cell r="G290">
            <v>163116.98294499161</v>
          </cell>
          <cell r="H290">
            <v>149221.15384615384</v>
          </cell>
          <cell r="I290">
            <v>132591.38755980862</v>
          </cell>
          <cell r="J290">
            <v>135645.93301435409</v>
          </cell>
          <cell r="K290">
            <v>143421.47971360383</v>
          </cell>
          <cell r="L290">
            <v>144463.9618138425</v>
          </cell>
          <cell r="M290">
            <v>148167.22090261284</v>
          </cell>
          <cell r="N290">
            <v>148681.96721311475</v>
          </cell>
          <cell r="O290">
            <v>144314.75409836066</v>
          </cell>
          <cell r="P290">
            <v>101376.65903890161</v>
          </cell>
          <cell r="Q290">
            <v>110382.52427184465</v>
          </cell>
          <cell r="R290">
            <v>109686.95652173912</v>
          </cell>
          <cell r="S290">
            <v>114301.7847485127</v>
          </cell>
          <cell r="T290">
            <v>112711.73607355327</v>
          </cell>
          <cell r="U290">
            <v>103762.03353163872</v>
          </cell>
          <cell r="V290">
            <v>118659.29203539823</v>
          </cell>
        </row>
        <row r="291">
          <cell r="D291" t="str">
            <v xml:space="preserve">NE Aluminum </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row>
        <row r="292">
          <cell r="D292" t="str">
            <v xml:space="preserve">NV Aluminum </v>
          </cell>
          <cell r="E292">
            <v>0</v>
          </cell>
          <cell r="F292">
            <v>0</v>
          </cell>
          <cell r="G292">
            <v>0</v>
          </cell>
          <cell r="H292">
            <v>0</v>
          </cell>
          <cell r="I292">
            <v>0</v>
          </cell>
          <cell r="J292">
            <v>0</v>
          </cell>
          <cell r="K292">
            <v>0</v>
          </cell>
          <cell r="L292">
            <v>0</v>
          </cell>
          <cell r="M292">
            <v>0</v>
          </cell>
          <cell r="N292">
            <v>0</v>
          </cell>
          <cell r="O292">
            <v>0</v>
          </cell>
          <cell r="P292">
            <v>0</v>
          </cell>
          <cell r="Q292">
            <v>0</v>
          </cell>
          <cell r="R292">
            <v>0</v>
          </cell>
          <cell r="S292">
            <v>0</v>
          </cell>
          <cell r="T292">
            <v>0</v>
          </cell>
          <cell r="U292">
            <v>0</v>
          </cell>
          <cell r="V292">
            <v>0</v>
          </cell>
        </row>
        <row r="293">
          <cell r="D293" t="str">
            <v xml:space="preserve">NH Aluminum </v>
          </cell>
          <cell r="E293">
            <v>0</v>
          </cell>
          <cell r="F293">
            <v>0</v>
          </cell>
          <cell r="G293">
            <v>0</v>
          </cell>
          <cell r="H293">
            <v>0</v>
          </cell>
          <cell r="I293">
            <v>0</v>
          </cell>
          <cell r="J293">
            <v>0</v>
          </cell>
          <cell r="K293">
            <v>0</v>
          </cell>
          <cell r="L293">
            <v>0</v>
          </cell>
          <cell r="M293">
            <v>0</v>
          </cell>
          <cell r="N293">
            <v>0</v>
          </cell>
          <cell r="O293">
            <v>0</v>
          </cell>
          <cell r="P293">
            <v>0</v>
          </cell>
          <cell r="Q293">
            <v>0</v>
          </cell>
          <cell r="R293">
            <v>0</v>
          </cell>
          <cell r="S293">
            <v>0</v>
          </cell>
          <cell r="T293">
            <v>0</v>
          </cell>
          <cell r="U293">
            <v>0</v>
          </cell>
          <cell r="V293">
            <v>0</v>
          </cell>
        </row>
        <row r="294">
          <cell r="D294" t="str">
            <v xml:space="preserve">NJ Aluminum </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row>
        <row r="295">
          <cell r="D295" t="str">
            <v xml:space="preserve">NM Aluminum </v>
          </cell>
          <cell r="E295">
            <v>0</v>
          </cell>
          <cell r="F295">
            <v>0</v>
          </cell>
          <cell r="G295">
            <v>0</v>
          </cell>
          <cell r="H295">
            <v>0</v>
          </cell>
          <cell r="I295">
            <v>0</v>
          </cell>
          <cell r="J295">
            <v>0</v>
          </cell>
          <cell r="K295">
            <v>0</v>
          </cell>
          <cell r="L295">
            <v>0</v>
          </cell>
          <cell r="M295">
            <v>0</v>
          </cell>
          <cell r="N295">
            <v>0</v>
          </cell>
          <cell r="O295">
            <v>0</v>
          </cell>
          <cell r="P295">
            <v>0</v>
          </cell>
          <cell r="Q295">
            <v>0</v>
          </cell>
          <cell r="R295">
            <v>0</v>
          </cell>
          <cell r="S295">
            <v>0</v>
          </cell>
          <cell r="T295">
            <v>0</v>
          </cell>
          <cell r="U295">
            <v>0</v>
          </cell>
          <cell r="V295">
            <v>0</v>
          </cell>
        </row>
        <row r="296">
          <cell r="D296" t="str">
            <v xml:space="preserve">NY Aluminum </v>
          </cell>
          <cell r="E296">
            <v>245033.9272638516</v>
          </cell>
          <cell r="F296">
            <v>247279.94193080088</v>
          </cell>
          <cell r="G296">
            <v>240791.73672832092</v>
          </cell>
          <cell r="H296">
            <v>220278.84615384616</v>
          </cell>
          <cell r="I296">
            <v>195730.14354066984</v>
          </cell>
          <cell r="J296">
            <v>200239.23444976078</v>
          </cell>
          <cell r="K296">
            <v>211717.42243436753</v>
          </cell>
          <cell r="L296">
            <v>213256.32458233892</v>
          </cell>
          <cell r="M296">
            <v>218723.04038004752</v>
          </cell>
          <cell r="N296">
            <v>219482.90398126465</v>
          </cell>
          <cell r="O296">
            <v>213036.06557377049</v>
          </cell>
          <cell r="P296">
            <v>153875.28604118992</v>
          </cell>
          <cell r="Q296">
            <v>167544.90291262136</v>
          </cell>
          <cell r="R296">
            <v>166489.13043478262</v>
          </cell>
          <cell r="S296">
            <v>173493.78042184963</v>
          </cell>
          <cell r="T296">
            <v>171080.31368307193</v>
          </cell>
          <cell r="U296">
            <v>157495.94375338021</v>
          </cell>
          <cell r="V296">
            <v>180107.85398230091</v>
          </cell>
        </row>
        <row r="297">
          <cell r="D297" t="str">
            <v xml:space="preserve">NC Aluminum </v>
          </cell>
          <cell r="E297">
            <v>113624.60336831829</v>
          </cell>
          <cell r="F297">
            <v>114666.10210500847</v>
          </cell>
          <cell r="G297">
            <v>111657.45856353591</v>
          </cell>
          <cell r="H297">
            <v>102145.43269230769</v>
          </cell>
          <cell r="I297">
            <v>90761.961722488035</v>
          </cell>
          <cell r="J297">
            <v>92852.870813397138</v>
          </cell>
          <cell r="K297">
            <v>98175.417661097847</v>
          </cell>
          <cell r="L297">
            <v>98889.021479713614</v>
          </cell>
          <cell r="M297">
            <v>101423.99049881235</v>
          </cell>
          <cell r="N297">
            <v>101776.34660421546</v>
          </cell>
          <cell r="O297">
            <v>98786.885245901634</v>
          </cell>
          <cell r="P297">
            <v>72411.899313501155</v>
          </cell>
          <cell r="Q297">
            <v>78844.660194174765</v>
          </cell>
          <cell r="R297">
            <v>78347.826086956513</v>
          </cell>
          <cell r="S297">
            <v>81644.131963223364</v>
          </cell>
          <cell r="T297">
            <v>80508.382909680906</v>
          </cell>
          <cell r="U297">
            <v>74115.73823688479</v>
          </cell>
          <cell r="V297">
            <v>84756.637168141591</v>
          </cell>
        </row>
        <row r="298">
          <cell r="D298" t="str">
            <v xml:space="preserve">ND Aluminum </v>
          </cell>
          <cell r="E298">
            <v>0</v>
          </cell>
          <cell r="F298">
            <v>0</v>
          </cell>
          <cell r="G298">
            <v>0</v>
          </cell>
          <cell r="H298">
            <v>0</v>
          </cell>
          <cell r="I298">
            <v>0</v>
          </cell>
          <cell r="J298">
            <v>0</v>
          </cell>
          <cell r="K298">
            <v>0</v>
          </cell>
          <cell r="L298">
            <v>0</v>
          </cell>
          <cell r="M298">
            <v>0</v>
          </cell>
          <cell r="N298">
            <v>0</v>
          </cell>
          <cell r="O298">
            <v>0</v>
          </cell>
          <cell r="P298">
            <v>0</v>
          </cell>
          <cell r="Q298">
            <v>0</v>
          </cell>
          <cell r="R298">
            <v>0</v>
          </cell>
          <cell r="S298">
            <v>0</v>
          </cell>
          <cell r="T298">
            <v>0</v>
          </cell>
          <cell r="U298">
            <v>0</v>
          </cell>
          <cell r="V298">
            <v>0</v>
          </cell>
        </row>
        <row r="299">
          <cell r="D299" t="str">
            <v xml:space="preserve">OH Aluminum </v>
          </cell>
          <cell r="E299">
            <v>242069.80717598245</v>
          </cell>
          <cell r="F299">
            <v>244288.65231067021</v>
          </cell>
          <cell r="G299">
            <v>237878.93346144608</v>
          </cell>
          <cell r="H299">
            <v>217614.18269230769</v>
          </cell>
          <cell r="I299">
            <v>200465.55023923444</v>
          </cell>
          <cell r="J299">
            <v>205083.73205741629</v>
          </cell>
          <cell r="K299">
            <v>218547.01670644392</v>
          </cell>
          <cell r="L299">
            <v>220135.56085918855</v>
          </cell>
          <cell r="M299">
            <v>225778.62232779097</v>
          </cell>
          <cell r="N299">
            <v>225677.98594847776</v>
          </cell>
          <cell r="O299">
            <v>220767.21311475409</v>
          </cell>
          <cell r="P299">
            <v>155082.15102974829</v>
          </cell>
          <cell r="Q299">
            <v>168858.98058252429</v>
          </cell>
          <cell r="R299">
            <v>173018.11594202899</v>
          </cell>
          <cell r="S299">
            <v>180297.4580854516</v>
          </cell>
          <cell r="T299">
            <v>177789.34559221202</v>
          </cell>
          <cell r="U299">
            <v>163672.25527312062</v>
          </cell>
          <cell r="V299">
            <v>187170.90707964601</v>
          </cell>
        </row>
        <row r="300">
          <cell r="D300" t="str">
            <v xml:space="preserve">OK Aluminum </v>
          </cell>
          <cell r="E300">
            <v>0</v>
          </cell>
          <cell r="F300">
            <v>0</v>
          </cell>
          <cell r="G300">
            <v>0</v>
          </cell>
          <cell r="H300">
            <v>0</v>
          </cell>
          <cell r="I300">
            <v>0</v>
          </cell>
          <cell r="J300">
            <v>0</v>
          </cell>
          <cell r="K300">
            <v>0</v>
          </cell>
          <cell r="L300">
            <v>0</v>
          </cell>
          <cell r="M300">
            <v>0</v>
          </cell>
          <cell r="N300">
            <v>0</v>
          </cell>
          <cell r="O300">
            <v>0</v>
          </cell>
          <cell r="P300">
            <v>0</v>
          </cell>
          <cell r="Q300">
            <v>0</v>
          </cell>
          <cell r="R300">
            <v>0</v>
          </cell>
          <cell r="S300">
            <v>0</v>
          </cell>
          <cell r="T300">
            <v>0</v>
          </cell>
          <cell r="U300">
            <v>0</v>
          </cell>
          <cell r="V300">
            <v>0</v>
          </cell>
        </row>
        <row r="301">
          <cell r="D301" t="str">
            <v xml:space="preserve">OR Aluminum </v>
          </cell>
          <cell r="E301">
            <v>200572.12594581401</v>
          </cell>
          <cell r="F301">
            <v>202410.59762884103</v>
          </cell>
          <cell r="G301">
            <v>197099.68772519819</v>
          </cell>
          <cell r="H301">
            <v>180308.89423076922</v>
          </cell>
          <cell r="I301">
            <v>160214.59330143541</v>
          </cell>
          <cell r="J301">
            <v>163905.5023923445</v>
          </cell>
          <cell r="K301">
            <v>173300.95465393795</v>
          </cell>
          <cell r="L301">
            <v>174560.62052505967</v>
          </cell>
          <cell r="M301">
            <v>179035.39192399051</v>
          </cell>
          <cell r="N301">
            <v>179657.37704918033</v>
          </cell>
          <cell r="O301">
            <v>174380.32786885244</v>
          </cell>
          <cell r="P301">
            <v>122496.79633867278</v>
          </cell>
          <cell r="Q301">
            <v>53877.184466019418</v>
          </cell>
          <cell r="R301">
            <v>53537.681159420295</v>
          </cell>
          <cell r="S301">
            <v>55790.156841535965</v>
          </cell>
          <cell r="T301">
            <v>55014.061654948629</v>
          </cell>
          <cell r="U301">
            <v>50645.754461871285</v>
          </cell>
          <cell r="V301">
            <v>0</v>
          </cell>
        </row>
        <row r="302">
          <cell r="D302" t="str">
            <v xml:space="preserve">PA Aluminum </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row>
        <row r="303">
          <cell r="D303" t="str">
            <v xml:space="preserve">PR Aluminum </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row>
        <row r="304">
          <cell r="D304" t="str">
            <v xml:space="preserve">RI Aluminum </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cell r="S304">
            <v>0</v>
          </cell>
          <cell r="T304">
            <v>0</v>
          </cell>
          <cell r="U304">
            <v>0</v>
          </cell>
          <cell r="V304">
            <v>0</v>
          </cell>
        </row>
        <row r="305">
          <cell r="D305" t="str">
            <v xml:space="preserve">SC Aluminum </v>
          </cell>
          <cell r="E305">
            <v>178835.2453014401</v>
          </cell>
          <cell r="F305">
            <v>183465.76336801355</v>
          </cell>
          <cell r="G305">
            <v>178651.93370165746</v>
          </cell>
          <cell r="H305">
            <v>163432.69230769231</v>
          </cell>
          <cell r="I305">
            <v>145219.13875598085</v>
          </cell>
          <cell r="J305">
            <v>148564.59330143541</v>
          </cell>
          <cell r="K305">
            <v>175008.35322195705</v>
          </cell>
          <cell r="L305">
            <v>176280.42959427208</v>
          </cell>
          <cell r="M305">
            <v>180799.28741092636</v>
          </cell>
          <cell r="N305">
            <v>181427.40046838409</v>
          </cell>
          <cell r="O305">
            <v>184688.52459016393</v>
          </cell>
          <cell r="P305">
            <v>127927.68878718535</v>
          </cell>
          <cell r="Q305">
            <v>139292.23300970875</v>
          </cell>
          <cell r="R305">
            <v>146249.27536231885</v>
          </cell>
          <cell r="S305">
            <v>152402.37966468363</v>
          </cell>
          <cell r="T305">
            <v>150282.3147647377</v>
          </cell>
          <cell r="U305">
            <v>138349.37804218495</v>
          </cell>
          <cell r="V305">
            <v>158212.38938053098</v>
          </cell>
        </row>
        <row r="306">
          <cell r="D306" t="str">
            <v xml:space="preserve">SD Aluminum </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row>
        <row r="307">
          <cell r="D307" t="str">
            <v xml:space="preserve">TN Aluminum </v>
          </cell>
          <cell r="E307">
            <v>207488.40615084209</v>
          </cell>
          <cell r="F307">
            <v>209390.27340914588</v>
          </cell>
          <cell r="G307">
            <v>203896.2286812395</v>
          </cell>
          <cell r="H307">
            <v>186526.44230769231</v>
          </cell>
          <cell r="I307">
            <v>165739.23444976076</v>
          </cell>
          <cell r="J307">
            <v>169557.41626794258</v>
          </cell>
          <cell r="K307">
            <v>179276.84964200479</v>
          </cell>
          <cell r="L307">
            <v>180579.9522673031</v>
          </cell>
          <cell r="M307">
            <v>185209.02612826604</v>
          </cell>
          <cell r="N307">
            <v>185852.45901639346</v>
          </cell>
          <cell r="O307">
            <v>180393.44262295082</v>
          </cell>
          <cell r="P307">
            <v>126720.82379862701</v>
          </cell>
          <cell r="Q307">
            <v>137978.15533980582</v>
          </cell>
          <cell r="R307">
            <v>137108.69565217395</v>
          </cell>
          <cell r="S307">
            <v>146279.06976744186</v>
          </cell>
          <cell r="T307">
            <v>144244.18604651163</v>
          </cell>
          <cell r="U307">
            <v>132790.6976744186</v>
          </cell>
          <cell r="V307">
            <v>151855.64159292035</v>
          </cell>
        </row>
        <row r="308">
          <cell r="D308" t="str">
            <v xml:space="preserve">TX Aluminum </v>
          </cell>
          <cell r="E308">
            <v>311232.60922626313</v>
          </cell>
          <cell r="F308">
            <v>314085.41011371883</v>
          </cell>
          <cell r="G308">
            <v>305844.34302185924</v>
          </cell>
          <cell r="H308">
            <v>279789.66346153844</v>
          </cell>
          <cell r="I308">
            <v>248608.85167464113</v>
          </cell>
          <cell r="J308">
            <v>254336.1244019139</v>
          </cell>
          <cell r="K308">
            <v>268915.27446300717</v>
          </cell>
          <cell r="L308">
            <v>270869.92840095464</v>
          </cell>
          <cell r="M308">
            <v>277813.53919239907</v>
          </cell>
          <cell r="N308">
            <v>278778.68852459016</v>
          </cell>
          <cell r="O308">
            <v>270590.16393442627</v>
          </cell>
          <cell r="P308">
            <v>205167.04805491993</v>
          </cell>
          <cell r="Q308">
            <v>173458.25242718449</v>
          </cell>
          <cell r="R308">
            <v>172365.21739130432</v>
          </cell>
          <cell r="S308">
            <v>181658.19361817199</v>
          </cell>
          <cell r="T308">
            <v>179131.15197404003</v>
          </cell>
          <cell r="U308">
            <v>164907.51757706868</v>
          </cell>
          <cell r="V308">
            <v>188583.51769911504</v>
          </cell>
        </row>
        <row r="309">
          <cell r="D309" t="str">
            <v xml:space="preserve">UT Aluminum </v>
          </cell>
          <cell r="E309">
            <v>0</v>
          </cell>
          <cell r="F309">
            <v>0</v>
          </cell>
          <cell r="G309">
            <v>0</v>
          </cell>
          <cell r="H309">
            <v>0</v>
          </cell>
          <cell r="I309">
            <v>0</v>
          </cell>
          <cell r="J309">
            <v>0</v>
          </cell>
          <cell r="K309">
            <v>0</v>
          </cell>
          <cell r="L309">
            <v>0</v>
          </cell>
          <cell r="M309">
            <v>0</v>
          </cell>
          <cell r="N309">
            <v>0</v>
          </cell>
          <cell r="O309">
            <v>0</v>
          </cell>
          <cell r="P309">
            <v>0</v>
          </cell>
          <cell r="Q309">
            <v>0</v>
          </cell>
          <cell r="R309">
            <v>0</v>
          </cell>
          <cell r="S309">
            <v>0</v>
          </cell>
          <cell r="T309">
            <v>0</v>
          </cell>
          <cell r="U309">
            <v>0</v>
          </cell>
          <cell r="V309">
            <v>0</v>
          </cell>
        </row>
        <row r="310">
          <cell r="D310" t="str">
            <v xml:space="preserve">VT Aluminum </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row>
        <row r="311">
          <cell r="D311" t="str">
            <v xml:space="preserve">VA Aluminum </v>
          </cell>
          <cell r="E311">
            <v>0</v>
          </cell>
          <cell r="F311">
            <v>0</v>
          </cell>
          <cell r="G311">
            <v>0</v>
          </cell>
          <cell r="H311">
            <v>0</v>
          </cell>
          <cell r="I311">
            <v>0</v>
          </cell>
          <cell r="J311">
            <v>0</v>
          </cell>
          <cell r="K311">
            <v>0</v>
          </cell>
          <cell r="L311">
            <v>0</v>
          </cell>
          <cell r="M311">
            <v>0</v>
          </cell>
          <cell r="N311">
            <v>0</v>
          </cell>
          <cell r="O311">
            <v>0</v>
          </cell>
          <cell r="P311">
            <v>0</v>
          </cell>
          <cell r="Q311">
            <v>0</v>
          </cell>
          <cell r="R311">
            <v>0</v>
          </cell>
          <cell r="S311">
            <v>0</v>
          </cell>
          <cell r="T311">
            <v>0</v>
          </cell>
          <cell r="U311">
            <v>0</v>
          </cell>
          <cell r="V311">
            <v>0</v>
          </cell>
        </row>
        <row r="312">
          <cell r="D312" t="str">
            <v xml:space="preserve">WA Aluminum </v>
          </cell>
          <cell r="E312">
            <v>1225169.636319258</v>
          </cell>
          <cell r="F312">
            <v>1252353.2542947012</v>
          </cell>
          <cell r="G312">
            <v>1219493.6343982704</v>
          </cell>
          <cell r="H312">
            <v>1115605.7692307692</v>
          </cell>
          <cell r="I312">
            <v>991278.46889952151</v>
          </cell>
          <cell r="J312">
            <v>1014114.8325358853</v>
          </cell>
          <cell r="K312">
            <v>1062855.6085918855</v>
          </cell>
          <cell r="L312">
            <v>1070581.1455847255</v>
          </cell>
          <cell r="M312">
            <v>1105080.5225653206</v>
          </cell>
          <cell r="N312">
            <v>1108919.6721311477</v>
          </cell>
          <cell r="O312">
            <v>1076347.5409836064</v>
          </cell>
          <cell r="P312">
            <v>763945.53775743709</v>
          </cell>
          <cell r="Q312">
            <v>783847.33009708731</v>
          </cell>
          <cell r="R312">
            <v>773684.78260869568</v>
          </cell>
          <cell r="S312">
            <v>502111.41157382372</v>
          </cell>
          <cell r="T312">
            <v>495126.55489453761</v>
          </cell>
          <cell r="U312">
            <v>455811.79015684151</v>
          </cell>
          <cell r="V312">
            <v>521253.31858407083</v>
          </cell>
        </row>
        <row r="313">
          <cell r="D313" t="str">
            <v xml:space="preserve">WV Aluminum </v>
          </cell>
          <cell r="E313">
            <v>164014.64486209422</v>
          </cell>
          <cell r="F313">
            <v>167512.21872731671</v>
          </cell>
          <cell r="G313">
            <v>163116.98294499161</v>
          </cell>
          <cell r="H313">
            <v>149221.15384615384</v>
          </cell>
          <cell r="I313">
            <v>132591.38755980862</v>
          </cell>
          <cell r="J313">
            <v>135645.93301435409</v>
          </cell>
          <cell r="K313">
            <v>143421.47971360383</v>
          </cell>
          <cell r="L313">
            <v>144463.9618138425</v>
          </cell>
          <cell r="M313">
            <v>148167.22090261284</v>
          </cell>
          <cell r="N313">
            <v>153107.02576112412</v>
          </cell>
          <cell r="O313">
            <v>144314.75409836066</v>
          </cell>
          <cell r="P313">
            <v>102583.52402745996</v>
          </cell>
          <cell r="Q313">
            <v>111696.60194174758</v>
          </cell>
          <cell r="R313">
            <v>110992.7536231884</v>
          </cell>
          <cell r="S313">
            <v>115662.5202812331</v>
          </cell>
          <cell r="T313">
            <v>114053.54245538129</v>
          </cell>
          <cell r="U313">
            <v>104997.2958355868</v>
          </cell>
          <cell r="V313">
            <v>120071.90265486724</v>
          </cell>
        </row>
        <row r="314">
          <cell r="D314" t="str">
            <v xml:space="preserve">WI Aluminum </v>
          </cell>
          <cell r="E314">
            <v>0</v>
          </cell>
          <cell r="F314">
            <v>0</v>
          </cell>
          <cell r="G314">
            <v>0</v>
          </cell>
          <cell r="H314">
            <v>0</v>
          </cell>
          <cell r="I314">
            <v>0</v>
          </cell>
          <cell r="J314">
            <v>0</v>
          </cell>
          <cell r="K314">
            <v>0</v>
          </cell>
          <cell r="L314">
            <v>0</v>
          </cell>
          <cell r="M314">
            <v>0</v>
          </cell>
          <cell r="N314">
            <v>0</v>
          </cell>
          <cell r="O314">
            <v>0</v>
          </cell>
          <cell r="P314">
            <v>0</v>
          </cell>
          <cell r="Q314">
            <v>0</v>
          </cell>
          <cell r="R314">
            <v>0</v>
          </cell>
          <cell r="S314">
            <v>0</v>
          </cell>
          <cell r="T314">
            <v>0</v>
          </cell>
          <cell r="U314">
            <v>0</v>
          </cell>
          <cell r="V314">
            <v>0</v>
          </cell>
        </row>
        <row r="315">
          <cell r="D315" t="str">
            <v xml:space="preserve">WY Aluminum </v>
          </cell>
          <cell r="E315">
            <v>0</v>
          </cell>
          <cell r="F315">
            <v>0</v>
          </cell>
          <cell r="G315">
            <v>0</v>
          </cell>
          <cell r="H315">
            <v>0</v>
          </cell>
          <cell r="I315">
            <v>0</v>
          </cell>
          <cell r="J315">
            <v>0</v>
          </cell>
          <cell r="K315">
            <v>0</v>
          </cell>
          <cell r="L315">
            <v>0</v>
          </cell>
          <cell r="M315">
            <v>0</v>
          </cell>
          <cell r="N315">
            <v>0</v>
          </cell>
          <cell r="O315">
            <v>0</v>
          </cell>
          <cell r="P315">
            <v>0</v>
          </cell>
          <cell r="Q315">
            <v>0</v>
          </cell>
          <cell r="R315">
            <v>0</v>
          </cell>
          <cell r="S315">
            <v>0</v>
          </cell>
          <cell r="T315">
            <v>0</v>
          </cell>
          <cell r="U315">
            <v>0</v>
          </cell>
          <cell r="V315">
            <v>0</v>
          </cell>
        </row>
        <row r="316">
          <cell r="D316" t="str">
            <v xml:space="preserve">AL ODS </v>
          </cell>
          <cell r="E316">
            <v>5372.3603545061242</v>
          </cell>
          <cell r="F316">
            <v>10384.39942634929</v>
          </cell>
          <cell r="G316">
            <v>28136.685264441141</v>
          </cell>
          <cell r="H316">
            <v>88611.917042214904</v>
          </cell>
          <cell r="I316">
            <v>199555.36032915162</v>
          </cell>
          <cell r="J316">
            <v>462797.41653997998</v>
          </cell>
          <cell r="K316">
            <v>641975.62247153628</v>
          </cell>
          <cell r="L316">
            <v>816510.68554644741</v>
          </cell>
          <cell r="M316">
            <v>917325.67712046625</v>
          </cell>
          <cell r="N316">
            <v>1025825.4655145226</v>
          </cell>
          <cell r="O316">
            <v>1123631.1963638491</v>
          </cell>
          <cell r="P316">
            <v>1205446.4083080709</v>
          </cell>
          <cell r="Q316">
            <v>1289941.9264575546</v>
          </cell>
          <cell r="R316">
            <v>1374161.1359923971</v>
          </cell>
          <cell r="S316">
            <v>1460984.2081849875</v>
          </cell>
          <cell r="T316">
            <v>1535714.0345010671</v>
          </cell>
          <cell r="U316">
            <v>1614239.1807367033</v>
          </cell>
          <cell r="V316">
            <v>1662805.7003983173</v>
          </cell>
        </row>
        <row r="317">
          <cell r="D317" t="str">
            <v xml:space="preserve">AK ODS </v>
          </cell>
          <cell r="E317">
            <v>733.98890635375483</v>
          </cell>
          <cell r="F317">
            <v>1445.0066217234407</v>
          </cell>
          <cell r="G317">
            <v>3990.6293184258507</v>
          </cell>
          <cell r="H317">
            <v>12616.087755015247</v>
          </cell>
          <cell r="I317">
            <v>28315.315326806711</v>
          </cell>
          <cell r="J317">
            <v>65286.998510868812</v>
          </cell>
          <cell r="K317">
            <v>90514.249965384792</v>
          </cell>
          <cell r="L317">
            <v>115068.73392082883</v>
          </cell>
          <cell r="M317">
            <v>129703.18183754735</v>
          </cell>
          <cell r="N317">
            <v>145427.67617976191</v>
          </cell>
          <cell r="O317">
            <v>158366.40677392125</v>
          </cell>
          <cell r="P317">
            <v>171021.55041559666</v>
          </cell>
          <cell r="Q317">
            <v>185383.55931399783</v>
          </cell>
          <cell r="R317">
            <v>199213.33068819423</v>
          </cell>
          <cell r="S317">
            <v>214281.18943682546</v>
          </cell>
          <cell r="T317">
            <v>226305.73747030471</v>
          </cell>
          <cell r="U317">
            <v>237971.9546520579</v>
          </cell>
          <cell r="V317">
            <v>244792.3912518814</v>
          </cell>
        </row>
        <row r="318">
          <cell r="D318" t="str">
            <v xml:space="preserve">AZ ODS </v>
          </cell>
          <cell r="E318">
            <v>4882.0984413042734</v>
          </cell>
          <cell r="F318">
            <v>9550.2232558588639</v>
          </cell>
          <cell r="G318">
            <v>26288.200026088409</v>
          </cell>
          <cell r="H318">
            <v>84391.205056006249</v>
          </cell>
          <cell r="I318">
            <v>195529.14560884307</v>
          </cell>
          <cell r="J318">
            <v>467593.63789912441</v>
          </cell>
          <cell r="K318">
            <v>663208.95433029719</v>
          </cell>
          <cell r="L318">
            <v>860343.49578634731</v>
          </cell>
          <cell r="M318">
            <v>983998.30530831579</v>
          </cell>
          <cell r="N318">
            <v>1121713.8317601196</v>
          </cell>
          <cell r="O318">
            <v>1304132.3214513282</v>
          </cell>
          <cell r="P318">
            <v>1432553.1737219214</v>
          </cell>
          <cell r="Q318">
            <v>1572548.7506768315</v>
          </cell>
          <cell r="R318">
            <v>1710737.9611498881</v>
          </cell>
          <cell r="S318">
            <v>1864243.9166787378</v>
          </cell>
          <cell r="T318">
            <v>2017666.9854279184</v>
          </cell>
          <cell r="U318">
            <v>2173958.7355349632</v>
          </cell>
          <cell r="V318">
            <v>2283429.7481907057</v>
          </cell>
        </row>
        <row r="319">
          <cell r="D319" t="str">
            <v xml:space="preserve">AR ODS </v>
          </cell>
          <cell r="E319">
            <v>3124.2074843643663</v>
          </cell>
          <cell r="F319">
            <v>6017.5488173418071</v>
          </cell>
          <cell r="G319">
            <v>16273.883605590263</v>
          </cell>
          <cell r="H319">
            <v>51220.289657674242</v>
          </cell>
          <cell r="I319">
            <v>115529.27175146042</v>
          </cell>
          <cell r="J319">
            <v>269262.49662635336</v>
          </cell>
          <cell r="K319">
            <v>374803.43309307017</v>
          </cell>
          <cell r="L319">
            <v>477024.2227054286</v>
          </cell>
          <cell r="M319">
            <v>535127.11298904638</v>
          </cell>
          <cell r="N319">
            <v>598935.0225307307</v>
          </cell>
          <cell r="O319">
            <v>675997.25044280943</v>
          </cell>
          <cell r="P319">
            <v>726482.6157990701</v>
          </cell>
          <cell r="Q319">
            <v>779721.07282221946</v>
          </cell>
          <cell r="R319">
            <v>832444.74297986133</v>
          </cell>
          <cell r="S319">
            <v>888341.29394316592</v>
          </cell>
          <cell r="T319">
            <v>937180.07849661796</v>
          </cell>
          <cell r="U319">
            <v>986721.47056317527</v>
          </cell>
          <cell r="V319">
            <v>1017306.7482462503</v>
          </cell>
        </row>
        <row r="320">
          <cell r="D320" t="str">
            <v xml:space="preserve">CA ODS </v>
          </cell>
          <cell r="E320">
            <v>39743.725083279511</v>
          </cell>
          <cell r="F320">
            <v>77201.265691244102</v>
          </cell>
          <cell r="G320">
            <v>209879.09780448274</v>
          </cell>
          <cell r="H320">
            <v>658225.32165655703</v>
          </cell>
          <cell r="I320">
            <v>1476390.8843653423</v>
          </cell>
          <cell r="J320">
            <v>3419198.1637446214</v>
          </cell>
          <cell r="K320">
            <v>4755384.8624328421</v>
          </cell>
          <cell r="L320">
            <v>6088979.5931827724</v>
          </cell>
          <cell r="M320">
            <v>6890487.51739843</v>
          </cell>
          <cell r="N320">
            <v>7780819.893021835</v>
          </cell>
          <cell r="O320">
            <v>8581482.7590317465</v>
          </cell>
          <cell r="P320">
            <v>9320623.1771392804</v>
          </cell>
          <cell r="Q320">
            <v>10076330.648887374</v>
          </cell>
          <cell r="R320">
            <v>10813996.293988382</v>
          </cell>
          <cell r="S320">
            <v>11550765.474816473</v>
          </cell>
          <cell r="T320">
            <v>12145934.277065523</v>
          </cell>
          <cell r="U320">
            <v>12710103.066069042</v>
          </cell>
          <cell r="V320">
            <v>13074144.354894605</v>
          </cell>
        </row>
        <row r="321">
          <cell r="D321" t="str">
            <v xml:space="preserve">CO ODS </v>
          </cell>
          <cell r="E321">
            <v>4384.2169079471523</v>
          </cell>
          <cell r="F321">
            <v>8548.0193406280341</v>
          </cell>
          <cell r="G321">
            <v>23519.31955413867</v>
          </cell>
          <cell r="H321">
            <v>75251.17552371588</v>
          </cell>
          <cell r="I321">
            <v>172256.87589202615</v>
          </cell>
          <cell r="J321">
            <v>405834.89168536657</v>
          </cell>
          <cell r="K321">
            <v>570499.02477860148</v>
          </cell>
          <cell r="L321">
            <v>735434.18011284259</v>
          </cell>
          <cell r="M321">
            <v>836774.16228448204</v>
          </cell>
          <cell r="N321">
            <v>952177.55684591806</v>
          </cell>
          <cell r="O321">
            <v>1092358.3819008637</v>
          </cell>
          <cell r="P321">
            <v>1197096.2911030236</v>
          </cell>
          <cell r="Q321">
            <v>1299537.3338452522</v>
          </cell>
          <cell r="R321">
            <v>1393071.2506711148</v>
          </cell>
          <cell r="S321">
            <v>1491288.1507906786</v>
          </cell>
          <cell r="T321">
            <v>1578169.3123916453</v>
          </cell>
          <cell r="U321">
            <v>1671914.6582046044</v>
          </cell>
          <cell r="V321">
            <v>1740499.34384098</v>
          </cell>
        </row>
        <row r="322">
          <cell r="D322" t="str">
            <v xml:space="preserve">CT ODS </v>
          </cell>
          <cell r="E322">
            <v>4364.5693816463972</v>
          </cell>
          <cell r="F322">
            <v>8347.6760297161054</v>
          </cell>
          <cell r="G322">
            <v>22261.795459775371</v>
          </cell>
          <cell r="H322">
            <v>69153.138081904253</v>
          </cell>
          <cell r="I322">
            <v>154080.16926913912</v>
          </cell>
          <cell r="J322">
            <v>354507.27823221334</v>
          </cell>
          <cell r="K322">
            <v>488847.69516597473</v>
          </cell>
          <cell r="L322">
            <v>617732.18150813819</v>
          </cell>
          <cell r="M322">
            <v>689951.8597277808</v>
          </cell>
          <cell r="N322">
            <v>770457.04839376954</v>
          </cell>
          <cell r="O322">
            <v>861136.07795680442</v>
          </cell>
          <cell r="P322">
            <v>925986.23935048294</v>
          </cell>
          <cell r="Q322">
            <v>995111.85185291443</v>
          </cell>
          <cell r="R322">
            <v>1062162.7738131175</v>
          </cell>
          <cell r="S322">
            <v>1126672.4853291889</v>
          </cell>
          <cell r="T322">
            <v>1177420.7324259093</v>
          </cell>
          <cell r="U322">
            <v>1227295.876751763</v>
          </cell>
          <cell r="V322">
            <v>1254264.1843597018</v>
          </cell>
        </row>
        <row r="323">
          <cell r="D323" t="str">
            <v xml:space="preserve">DE ODS </v>
          </cell>
          <cell r="E323">
            <v>887.8449877996859</v>
          </cell>
          <cell r="F323">
            <v>1727.3255205317887</v>
          </cell>
          <cell r="G323">
            <v>4691.349711443293</v>
          </cell>
          <cell r="H323">
            <v>14781.811482612509</v>
          </cell>
          <cell r="I323">
            <v>33396.971187556781</v>
          </cell>
          <cell r="J323">
            <v>77980.803008936942</v>
          </cell>
          <cell r="K323">
            <v>108794.9209766144</v>
          </cell>
          <cell r="L323">
            <v>138915.72102210292</v>
          </cell>
          <cell r="M323">
            <v>156870.84418549345</v>
          </cell>
          <cell r="N323">
            <v>176893.1077532614</v>
          </cell>
          <cell r="O323">
            <v>198492.85615662474</v>
          </cell>
          <cell r="P323">
            <v>214600.22705491618</v>
          </cell>
          <cell r="Q323">
            <v>231956.05947787143</v>
          </cell>
          <cell r="R323">
            <v>249393.23623722055</v>
          </cell>
          <cell r="S323">
            <v>267677.47805374925</v>
          </cell>
          <cell r="T323">
            <v>283808.80265898287</v>
          </cell>
          <cell r="U323">
            <v>299220.70082648384</v>
          </cell>
          <cell r="V323">
            <v>309787.29754288646</v>
          </cell>
        </row>
        <row r="324">
          <cell r="D324" t="str">
            <v xml:space="preserve">DC ODS </v>
          </cell>
          <cell r="E324">
            <v>801.25972212374541</v>
          </cell>
          <cell r="F324">
            <v>1505.8404021701228</v>
          </cell>
          <cell r="G324">
            <v>3970.9845404676571</v>
          </cell>
          <cell r="H324">
            <v>12180.014014075674</v>
          </cell>
          <cell r="I324">
            <v>26635.038699702156</v>
          </cell>
          <cell r="J324">
            <v>59850.767080597951</v>
          </cell>
          <cell r="K324">
            <v>80542.117893032715</v>
          </cell>
          <cell r="L324">
            <v>99931.383630846045</v>
          </cell>
          <cell r="M324">
            <v>109931.8297036353</v>
          </cell>
          <cell r="N324">
            <v>121835.29287699182</v>
          </cell>
          <cell r="O324">
            <v>144306.14696826818</v>
          </cell>
          <cell r="P324">
            <v>156035.42106415608</v>
          </cell>
          <cell r="Q324">
            <v>167122.27257456581</v>
          </cell>
          <cell r="R324">
            <v>176837.94920986149</v>
          </cell>
          <cell r="S324">
            <v>187874.65363080072</v>
          </cell>
          <cell r="T324">
            <v>197002.84642191569</v>
          </cell>
          <cell r="U324">
            <v>205993.04706107645</v>
          </cell>
          <cell r="V324">
            <v>211280.70675772527</v>
          </cell>
        </row>
        <row r="325">
          <cell r="D325" t="str">
            <v xml:space="preserve">FL ODS </v>
          </cell>
          <cell r="E325">
            <v>17275.338965982064</v>
          </cell>
          <cell r="F325">
            <v>33733.219675575347</v>
          </cell>
          <cell r="G325">
            <v>91798.721885940031</v>
          </cell>
          <cell r="H325">
            <v>289805.56342295941</v>
          </cell>
          <cell r="I325">
            <v>658203.32337565487</v>
          </cell>
          <cell r="J325">
            <v>1540084.9504644985</v>
          </cell>
          <cell r="K325">
            <v>2158707.5082612177</v>
          </cell>
          <cell r="L325">
            <v>2775076.9393514977</v>
          </cell>
          <cell r="M325">
            <v>3143090.2976503414</v>
          </cell>
          <cell r="N325">
            <v>3547365.7774097985</v>
          </cell>
          <cell r="O325">
            <v>4050416.4424239607</v>
          </cell>
          <cell r="P325">
            <v>4413762.1827166192</v>
          </cell>
          <cell r="Q325">
            <v>4805691.4015505612</v>
          </cell>
          <cell r="R325">
            <v>5187589.8515102221</v>
          </cell>
          <cell r="S325">
            <v>5612956.6394559434</v>
          </cell>
          <cell r="T325">
            <v>5991657.3359212857</v>
          </cell>
          <cell r="U325">
            <v>6340429.4571015183</v>
          </cell>
          <cell r="V325">
            <v>6540938.9793892456</v>
          </cell>
        </row>
        <row r="326">
          <cell r="D326" t="str">
            <v xml:space="preserve">GA ODS </v>
          </cell>
          <cell r="E326">
            <v>8634.150948884153</v>
          </cell>
          <cell r="F326">
            <v>16807.036341576648</v>
          </cell>
          <cell r="G326">
            <v>45947.531433973731</v>
          </cell>
          <cell r="H326">
            <v>145690.93718544199</v>
          </cell>
          <cell r="I326">
            <v>332166.0144468876</v>
          </cell>
          <cell r="J326">
            <v>780447.28018246405</v>
          </cell>
          <cell r="K326">
            <v>1097125.306987796</v>
          </cell>
          <cell r="L326">
            <v>1414832.9111011866</v>
          </cell>
          <cell r="M326">
            <v>1610001.8718515465</v>
          </cell>
          <cell r="N326">
            <v>1828289.9834225487</v>
          </cell>
          <cell r="O326">
            <v>2077312.3309271038</v>
          </cell>
          <cell r="P326">
            <v>2273928.6375581822</v>
          </cell>
          <cell r="Q326">
            <v>2477108.2379906024</v>
          </cell>
          <cell r="R326">
            <v>2674731.4478309103</v>
          </cell>
          <cell r="S326">
            <v>2888769.136871269</v>
          </cell>
          <cell r="T326">
            <v>3077980.7391497134</v>
          </cell>
          <cell r="U326">
            <v>3279002.7271813168</v>
          </cell>
          <cell r="V326">
            <v>3422688.2919698386</v>
          </cell>
        </row>
        <row r="327">
          <cell r="D327" t="str">
            <v xml:space="preserve">HI ODS </v>
          </cell>
          <cell r="E327">
            <v>1476.5541981243528</v>
          </cell>
          <cell r="F327">
            <v>2871.9047485079423</v>
          </cell>
          <cell r="G327">
            <v>7816.6231620601957</v>
          </cell>
          <cell r="H327">
            <v>24545.826929549006</v>
          </cell>
          <cell r="I327">
            <v>55341.500852587269</v>
          </cell>
          <cell r="J327">
            <v>128163.78097780062</v>
          </cell>
          <cell r="K327">
            <v>177227.5831492873</v>
          </cell>
          <cell r="L327">
            <v>224775.68508980592</v>
          </cell>
          <cell r="M327">
            <v>250986.26683545916</v>
          </cell>
          <cell r="N327">
            <v>278295.51868939336</v>
          </cell>
          <cell r="O327">
            <v>305784.21127533889</v>
          </cell>
          <cell r="P327">
            <v>328979.32976882311</v>
          </cell>
          <cell r="Q327">
            <v>354205.01260130847</v>
          </cell>
          <cell r="R327">
            <v>379278.25983448327</v>
          </cell>
          <cell r="S327">
            <v>405733.59896856768</v>
          </cell>
          <cell r="T327">
            <v>427977.36137237051</v>
          </cell>
          <cell r="U327">
            <v>448730.76747986756</v>
          </cell>
          <cell r="V327">
            <v>459083.8053121125</v>
          </cell>
        </row>
        <row r="328">
          <cell r="D328" t="str">
            <v xml:space="preserve">ID ODS </v>
          </cell>
          <cell r="E328">
            <v>1342.7649742172587</v>
          </cell>
          <cell r="F328">
            <v>2637.11620682486</v>
          </cell>
          <cell r="G328">
            <v>7249.4668666554007</v>
          </cell>
          <cell r="H328">
            <v>23271.439196395619</v>
          </cell>
          <cell r="I328">
            <v>53529.129081855906</v>
          </cell>
          <cell r="J328">
            <v>126482.0581615581</v>
          </cell>
          <cell r="K328">
            <v>177717.17450859011</v>
          </cell>
          <cell r="L328">
            <v>228804.29845386909</v>
          </cell>
          <cell r="M328">
            <v>259514.51905790635</v>
          </cell>
          <cell r="N328">
            <v>293836.67840872961</v>
          </cell>
          <cell r="O328">
            <v>327994.65130044328</v>
          </cell>
          <cell r="P328">
            <v>356740.21467479283</v>
          </cell>
          <cell r="Q328">
            <v>387108.45813884574</v>
          </cell>
          <cell r="R328">
            <v>417464.49536352424</v>
          </cell>
          <cell r="S328">
            <v>450730.13628126943</v>
          </cell>
          <cell r="T328">
            <v>482016.24376350368</v>
          </cell>
          <cell r="U328">
            <v>514150.61431870994</v>
          </cell>
          <cell r="V328">
            <v>537716.92456816311</v>
          </cell>
        </row>
        <row r="329">
          <cell r="D329" t="str">
            <v xml:space="preserve">IL ODS </v>
          </cell>
          <cell r="E329">
            <v>15190.113532803727</v>
          </cell>
          <cell r="F329">
            <v>29282.185125630105</v>
          </cell>
          <cell r="G329">
            <v>79090.263517246596</v>
          </cell>
          <cell r="H329">
            <v>247801.97281694211</v>
          </cell>
          <cell r="I329">
            <v>556524.38300590497</v>
          </cell>
          <cell r="J329">
            <v>1290327.0728895601</v>
          </cell>
          <cell r="K329">
            <v>1788535.1425796461</v>
          </cell>
          <cell r="L329">
            <v>2270112.8579454254</v>
          </cell>
          <cell r="M329">
            <v>2544660.8721647272</v>
          </cell>
          <cell r="N329">
            <v>2847135.8594807736</v>
          </cell>
          <cell r="O329">
            <v>3139393.8912775232</v>
          </cell>
          <cell r="P329">
            <v>3379211.4545188607</v>
          </cell>
          <cell r="Q329">
            <v>3626119.7467459948</v>
          </cell>
          <cell r="R329">
            <v>3862528.0605869996</v>
          </cell>
          <cell r="S329">
            <v>4106093.4499964593</v>
          </cell>
          <cell r="T329">
            <v>4299872.6432368094</v>
          </cell>
          <cell r="U329">
            <v>4489782.3964937022</v>
          </cell>
          <cell r="V329">
            <v>4609616.4279389149</v>
          </cell>
        </row>
        <row r="330">
          <cell r="D330" t="str">
            <v xml:space="preserve">IN ODS </v>
          </cell>
          <cell r="E330">
            <v>7371.600324918687</v>
          </cell>
          <cell r="F330">
            <v>14219.920293611787</v>
          </cell>
          <cell r="G330">
            <v>38396.697359437181</v>
          </cell>
          <cell r="H330">
            <v>120498.04740763379</v>
          </cell>
          <cell r="I330">
            <v>270866.98490220029</v>
          </cell>
          <cell r="J330">
            <v>628807.88636842684</v>
          </cell>
          <cell r="K330">
            <v>873080.84936639911</v>
          </cell>
          <cell r="L330">
            <v>1109847.4507751674</v>
          </cell>
          <cell r="M330">
            <v>1245498.2030015781</v>
          </cell>
          <cell r="N330">
            <v>1395096.500720554</v>
          </cell>
          <cell r="O330">
            <v>1537502.0931348451</v>
          </cell>
          <cell r="P330">
            <v>1654125.4272145901</v>
          </cell>
          <cell r="Q330">
            <v>1773916.382904808</v>
          </cell>
          <cell r="R330">
            <v>1892459.5659298273</v>
          </cell>
          <cell r="S330">
            <v>2013476.7966041451</v>
          </cell>
          <cell r="T330">
            <v>2114917.9520345251</v>
          </cell>
          <cell r="U330">
            <v>2214731.29731056</v>
          </cell>
          <cell r="V330">
            <v>2277119.0152881509</v>
          </cell>
        </row>
        <row r="331">
          <cell r="D331" t="str">
            <v xml:space="preserve">IA ODS </v>
          </cell>
          <cell r="E331">
            <v>3688.7467606054215</v>
          </cell>
          <cell r="F331">
            <v>7085.0742925332042</v>
          </cell>
          <cell r="G331">
            <v>19080.061965656478</v>
          </cell>
          <cell r="H331">
            <v>59605.37379033654</v>
          </cell>
          <cell r="I331">
            <v>133387.90345141734</v>
          </cell>
          <cell r="J331">
            <v>308427.31308913644</v>
          </cell>
          <cell r="K331">
            <v>426218.75550347241</v>
          </cell>
          <cell r="L331">
            <v>539466.02889511979</v>
          </cell>
          <cell r="M331">
            <v>603187.62984170951</v>
          </cell>
          <cell r="N331">
            <v>673594.93880548701</v>
          </cell>
          <cell r="O331">
            <v>739055.51535595011</v>
          </cell>
          <cell r="P331">
            <v>791225.60095884895</v>
          </cell>
          <cell r="Q331">
            <v>845375.59171381406</v>
          </cell>
          <cell r="R331">
            <v>898447.75383220194</v>
          </cell>
          <cell r="S331">
            <v>954005.2394147045</v>
          </cell>
          <cell r="T331">
            <v>999070.65727636369</v>
          </cell>
          <cell r="U331">
            <v>1044101.7267169675</v>
          </cell>
          <cell r="V331">
            <v>1072224.3927424648</v>
          </cell>
        </row>
        <row r="332">
          <cell r="D332" t="str">
            <v xml:space="preserve">KS ODS </v>
          </cell>
          <cell r="E332">
            <v>3291.8603597417405</v>
          </cell>
          <cell r="F332">
            <v>6333.6809010508587</v>
          </cell>
          <cell r="G332">
            <v>17170.773080647676</v>
          </cell>
          <cell r="H332">
            <v>53837.83100491231</v>
          </cell>
          <cell r="I332">
            <v>121116.34946618018</v>
          </cell>
          <cell r="J332">
            <v>280859.8699610107</v>
          </cell>
          <cell r="K332">
            <v>388780.12920852163</v>
          </cell>
          <cell r="L332">
            <v>494474.49147680594</v>
          </cell>
          <cell r="M332">
            <v>556308.06919601676</v>
          </cell>
          <cell r="N332">
            <v>623038.92626351805</v>
          </cell>
          <cell r="O332">
            <v>679648.04656216979</v>
          </cell>
          <cell r="P332">
            <v>729655.03368654114</v>
          </cell>
          <cell r="Q332">
            <v>782800.83786406927</v>
          </cell>
          <cell r="R332">
            <v>833719.17953220336</v>
          </cell>
          <cell r="S332">
            <v>885384.03684563166</v>
          </cell>
          <cell r="T332">
            <v>928138.34139318659</v>
          </cell>
          <cell r="U332">
            <v>969855.50151924021</v>
          </cell>
          <cell r="V332">
            <v>998195.56753588328</v>
          </cell>
        </row>
        <row r="333">
          <cell r="D333" t="str">
            <v xml:space="preserve">KY ODS </v>
          </cell>
          <cell r="E333">
            <v>4900.0500646864575</v>
          </cell>
          <cell r="F333">
            <v>9429.124282415225</v>
          </cell>
          <cell r="G333">
            <v>25533.847349994794</v>
          </cell>
          <cell r="H333">
            <v>80141.372177381068</v>
          </cell>
          <cell r="I333">
            <v>180238.44915817105</v>
          </cell>
          <cell r="J333">
            <v>418557.6839169361</v>
          </cell>
          <cell r="K333">
            <v>580724.03258360073</v>
          </cell>
          <cell r="L333">
            <v>738556.94135390164</v>
          </cell>
          <cell r="M333">
            <v>829467.45448310871</v>
          </cell>
          <cell r="N333">
            <v>929803.99597208307</v>
          </cell>
          <cell r="O333">
            <v>1021948.0436079715</v>
          </cell>
          <cell r="P333">
            <v>1098378.3175107394</v>
          </cell>
          <cell r="Q333">
            <v>1179370.5119790251</v>
          </cell>
          <cell r="R333">
            <v>1259098.5966418514</v>
          </cell>
          <cell r="S333">
            <v>1340707.6148956977</v>
          </cell>
          <cell r="T333">
            <v>1410028.3379477519</v>
          </cell>
          <cell r="U333">
            <v>1477668.8859605973</v>
          </cell>
          <cell r="V333">
            <v>1522535.9235124309</v>
          </cell>
        </row>
        <row r="334">
          <cell r="D334" t="str">
            <v xml:space="preserve">LA ODS </v>
          </cell>
          <cell r="E334">
            <v>5598.8403599955327</v>
          </cell>
          <cell r="F334">
            <v>10764.959575455057</v>
          </cell>
          <cell r="G334">
            <v>29031.100449125963</v>
          </cell>
          <cell r="H334">
            <v>90548.414122466813</v>
          </cell>
          <cell r="I334">
            <v>203022.03284399741</v>
          </cell>
          <cell r="J334">
            <v>469881.17177505913</v>
          </cell>
          <cell r="K334">
            <v>649211.75882113411</v>
          </cell>
          <cell r="L334">
            <v>822390.12508213148</v>
          </cell>
          <cell r="M334">
            <v>919796.80624704657</v>
          </cell>
          <cell r="N334">
            <v>1026335.5774440443</v>
          </cell>
          <cell r="O334">
            <v>1127970.5552468719</v>
          </cell>
          <cell r="P334">
            <v>1204788.155230866</v>
          </cell>
          <cell r="Q334">
            <v>1288588.1804107667</v>
          </cell>
          <cell r="R334">
            <v>1370167.2276428321</v>
          </cell>
          <cell r="S334">
            <v>1454907.5992136891</v>
          </cell>
          <cell r="T334">
            <v>1521609.5473941502</v>
          </cell>
          <cell r="U334">
            <v>1493219.5543226034</v>
          </cell>
          <cell r="V334">
            <v>1571774.6631397314</v>
          </cell>
        </row>
        <row r="335">
          <cell r="D335" t="str">
            <v xml:space="preserve">ME ODS </v>
          </cell>
          <cell r="E335">
            <v>1633.9268231807796</v>
          </cell>
          <cell r="F335">
            <v>3135.9603138307739</v>
          </cell>
          <cell r="G335">
            <v>8399.9982949072928</v>
          </cell>
          <cell r="H335">
            <v>26167.721161176363</v>
          </cell>
          <cell r="I335">
            <v>58348.480381885209</v>
          </cell>
          <cell r="J335">
            <v>134346.52797195033</v>
          </cell>
          <cell r="K335">
            <v>185756.82723943976</v>
          </cell>
          <cell r="L335">
            <v>235339.17198967369</v>
          </cell>
          <cell r="M335">
            <v>263020.81958722626</v>
          </cell>
          <cell r="N335">
            <v>294151.24351943325</v>
          </cell>
          <cell r="O335">
            <v>322367.26610401511</v>
          </cell>
          <cell r="P335">
            <v>346997.69098103425</v>
          </cell>
          <cell r="Q335">
            <v>373331.18463219702</v>
          </cell>
          <cell r="R335">
            <v>399001.55140492629</v>
          </cell>
          <cell r="S335">
            <v>424008.81241980667</v>
          </cell>
          <cell r="T335">
            <v>443741.67773567874</v>
          </cell>
          <cell r="U335">
            <v>462133.95588954247</v>
          </cell>
          <cell r="V335">
            <v>472756.16143028421</v>
          </cell>
        </row>
        <row r="336">
          <cell r="D336" t="str">
            <v xml:space="preserve">MD ODS </v>
          </cell>
          <cell r="E336">
            <v>6366.1793697526764</v>
          </cell>
          <cell r="F336">
            <v>12326.610389487034</v>
          </cell>
          <cell r="G336">
            <v>33325.054655727756</v>
          </cell>
          <cell r="H336">
            <v>104448.56839781016</v>
          </cell>
          <cell r="I336">
            <v>235028.04499775363</v>
          </cell>
          <cell r="J336">
            <v>545409.09140198398</v>
          </cell>
          <cell r="K336">
            <v>756703.24754503253</v>
          </cell>
          <cell r="L336">
            <v>962534.31236743613</v>
          </cell>
          <cell r="M336">
            <v>1081569.0078196863</v>
          </cell>
          <cell r="N336">
            <v>1214041.508752618</v>
          </cell>
          <cell r="O336">
            <v>1340388.1293454815</v>
          </cell>
          <cell r="P336">
            <v>1452008.2391268492</v>
          </cell>
          <cell r="Q336">
            <v>1569701.0069143714</v>
          </cell>
          <cell r="R336">
            <v>1683018.5832848062</v>
          </cell>
          <cell r="S336">
            <v>1795682.3649873175</v>
          </cell>
          <cell r="T336">
            <v>1887125.6790637986</v>
          </cell>
          <cell r="U336">
            <v>1971282.4418788799</v>
          </cell>
          <cell r="V336">
            <v>2019441.3574480596</v>
          </cell>
        </row>
        <row r="337">
          <cell r="D337" t="str">
            <v xml:space="preserve">MA ODS </v>
          </cell>
          <cell r="E337">
            <v>7986.7526161966935</v>
          </cell>
          <cell r="F337">
            <v>15226.599296672357</v>
          </cell>
          <cell r="G337">
            <v>40740.645649898834</v>
          </cell>
          <cell r="H337">
            <v>127026.34709153553</v>
          </cell>
          <cell r="I337">
            <v>284337.01238539635</v>
          </cell>
          <cell r="J337">
            <v>658177.34597841138</v>
          </cell>
          <cell r="K337">
            <v>910561.07297121733</v>
          </cell>
          <cell r="L337">
            <v>1155793.2229877745</v>
          </cell>
          <cell r="M337">
            <v>1295420.4507520236</v>
          </cell>
          <cell r="N337">
            <v>1449621.4329092884</v>
          </cell>
          <cell r="O337">
            <v>1605952.2487215044</v>
          </cell>
          <cell r="P337">
            <v>1730654.3027193593</v>
          </cell>
          <cell r="Q337">
            <v>1856471.2278970263</v>
          </cell>
          <cell r="R337">
            <v>1972892.7146641766</v>
          </cell>
          <cell r="S337">
            <v>2086942.3636556179</v>
          </cell>
          <cell r="T337">
            <v>2177795.8313731807</v>
          </cell>
          <cell r="U337">
            <v>2267265.9125625743</v>
          </cell>
          <cell r="V337">
            <v>2324579.0763383834</v>
          </cell>
        </row>
        <row r="338">
          <cell r="D338" t="str">
            <v xml:space="preserve">MI ODS </v>
          </cell>
          <cell r="E338">
            <v>12354.960625231763</v>
          </cell>
          <cell r="F338">
            <v>23847.730352989525</v>
          </cell>
          <cell r="G338">
            <v>64374.530286289199</v>
          </cell>
          <cell r="H338">
            <v>201378.79016772643</v>
          </cell>
          <cell r="I338">
            <v>451842.75313471939</v>
          </cell>
          <cell r="J338">
            <v>1048755.6786739472</v>
          </cell>
          <cell r="K338">
            <v>1457280.0528912614</v>
          </cell>
          <cell r="L338">
            <v>1849399.2608074527</v>
          </cell>
          <cell r="M338">
            <v>2070391.5070256568</v>
          </cell>
          <cell r="N338">
            <v>2315521.9961421001</v>
          </cell>
          <cell r="O338">
            <v>2512735.6460498655</v>
          </cell>
          <cell r="P338">
            <v>2702252.0511502945</v>
          </cell>
          <cell r="Q338">
            <v>2896601.8453762094</v>
          </cell>
          <cell r="R338">
            <v>3082991.2708302112</v>
          </cell>
          <cell r="S338">
            <v>3271163.3573896303</v>
          </cell>
          <cell r="T338">
            <v>3416210.8889346831</v>
          </cell>
          <cell r="U338">
            <v>3548242.8062843089</v>
          </cell>
          <cell r="V338">
            <v>3611910.7247999893</v>
          </cell>
        </row>
        <row r="339">
          <cell r="D339" t="str">
            <v xml:space="preserve">MN ODS </v>
          </cell>
          <cell r="E339">
            <v>5821.9139626743217</v>
          </cell>
          <cell r="F339">
            <v>11238.306089012463</v>
          </cell>
          <cell r="G339">
            <v>30395.046219514694</v>
          </cell>
          <cell r="H339">
            <v>95556.024185613962</v>
          </cell>
          <cell r="I339">
            <v>215257.00373449712</v>
          </cell>
          <cell r="J339">
            <v>500005.28957069269</v>
          </cell>
          <cell r="K339">
            <v>695441.63240615767</v>
          </cell>
          <cell r="L339">
            <v>885955.88340524735</v>
          </cell>
          <cell r="M339">
            <v>996465.47959132958</v>
          </cell>
          <cell r="N339">
            <v>1121050.8975268158</v>
          </cell>
          <cell r="O339">
            <v>1245315.9868190207</v>
          </cell>
          <cell r="P339">
            <v>1345769.3797398659</v>
          </cell>
          <cell r="Q339">
            <v>1447721.3023651517</v>
          </cell>
          <cell r="R339">
            <v>1545712.3634214427</v>
          </cell>
          <cell r="S339">
            <v>1646239.0860423639</v>
          </cell>
          <cell r="T339">
            <v>1727823.3631030603</v>
          </cell>
          <cell r="U339">
            <v>1809729.1753486346</v>
          </cell>
          <cell r="V339">
            <v>1862548.5372106754</v>
          </cell>
        </row>
        <row r="340">
          <cell r="D340" t="str">
            <v xml:space="preserve">MS ODS </v>
          </cell>
          <cell r="E340">
            <v>3420.2380874814376</v>
          </cell>
          <cell r="F340">
            <v>6577.4145417197578</v>
          </cell>
          <cell r="G340">
            <v>17742.789589284344</v>
          </cell>
          <cell r="H340">
            <v>55696.855522320293</v>
          </cell>
          <cell r="I340">
            <v>125563.45834862298</v>
          </cell>
          <cell r="J340">
            <v>292134.25263212243</v>
          </cell>
          <cell r="K340">
            <v>405487.73360595218</v>
          </cell>
          <cell r="L340">
            <v>516300.93506732758</v>
          </cell>
          <cell r="M340">
            <v>580061.77420698514</v>
          </cell>
          <cell r="N340">
            <v>649933.53897842823</v>
          </cell>
          <cell r="O340">
            <v>718925.40315273229</v>
          </cell>
          <cell r="P340">
            <v>770634.4615109493</v>
          </cell>
          <cell r="Q340">
            <v>824775.91140859213</v>
          </cell>
          <cell r="R340">
            <v>878020.0152369123</v>
          </cell>
          <cell r="S340">
            <v>935155.88626605982</v>
          </cell>
          <cell r="T340">
            <v>980940.47498683759</v>
          </cell>
          <cell r="U340">
            <v>1019274.6346316604</v>
          </cell>
          <cell r="V340">
            <v>1049822.8902755692</v>
          </cell>
        </row>
        <row r="341">
          <cell r="D341" t="str">
            <v xml:space="preserve">MO ODS </v>
          </cell>
          <cell r="E341">
            <v>6802.680629636784</v>
          </cell>
          <cell r="F341">
            <v>13092.157547128552</v>
          </cell>
          <cell r="G341">
            <v>35304.085901238657</v>
          </cell>
          <cell r="H341">
            <v>110688.06828797891</v>
          </cell>
          <cell r="I341">
            <v>248972.75699243383</v>
          </cell>
          <cell r="J341">
            <v>578083.80404087028</v>
          </cell>
          <cell r="K341">
            <v>803200.36140136258</v>
          </cell>
          <cell r="L341">
            <v>1021916.2925877061</v>
          </cell>
          <cell r="M341">
            <v>1146396.8804527558</v>
          </cell>
          <cell r="N341">
            <v>1283692.7972647084</v>
          </cell>
          <cell r="O341">
            <v>1414953.0655452234</v>
          </cell>
          <cell r="P341">
            <v>1523947.4403239209</v>
          </cell>
          <cell r="Q341">
            <v>1637897.3708667434</v>
          </cell>
          <cell r="R341">
            <v>1747224.3353798429</v>
          </cell>
          <cell r="S341">
            <v>1861707.1334307434</v>
          </cell>
          <cell r="T341">
            <v>1958060.3641975455</v>
          </cell>
          <cell r="U341">
            <v>2052466.1920217427</v>
          </cell>
          <cell r="V341">
            <v>2112706.0757243219</v>
          </cell>
        </row>
        <row r="342">
          <cell r="D342" t="str">
            <v xml:space="preserve">MT ODS </v>
          </cell>
          <cell r="E342">
            <v>1061.3645195174386</v>
          </cell>
          <cell r="F342">
            <v>2050.5624090255455</v>
          </cell>
          <cell r="G342">
            <v>5590.5095518425869</v>
          </cell>
          <cell r="H342">
            <v>17748.866937018</v>
          </cell>
          <cell r="I342">
            <v>40303.774616298339</v>
          </cell>
          <cell r="J342">
            <v>94293.948599650452</v>
          </cell>
          <cell r="K342">
            <v>131174.57294650574</v>
          </cell>
          <cell r="L342">
            <v>166070.87327277477</v>
          </cell>
          <cell r="M342">
            <v>185431.24426999703</v>
          </cell>
          <cell r="N342">
            <v>207232.4431804585</v>
          </cell>
          <cell r="O342">
            <v>227993.78256942294</v>
          </cell>
          <cell r="P342">
            <v>244678.36807468868</v>
          </cell>
          <cell r="Q342">
            <v>262570.45925904124</v>
          </cell>
          <cell r="R342">
            <v>280784.62078964373</v>
          </cell>
          <cell r="S342">
            <v>300189.47570124106</v>
          </cell>
          <cell r="T342">
            <v>316426.27525464678</v>
          </cell>
          <cell r="U342">
            <v>332670.43689538504</v>
          </cell>
          <cell r="V342">
            <v>343812.20753877098</v>
          </cell>
        </row>
        <row r="343">
          <cell r="D343" t="str">
            <v xml:space="preserve">NE ODS </v>
          </cell>
          <cell r="E343">
            <v>2097.5373168078381</v>
          </cell>
          <cell r="F343">
            <v>4037.9989194477134</v>
          </cell>
          <cell r="G343">
            <v>10892.356425217127</v>
          </cell>
          <cell r="H343">
            <v>34069.098395056688</v>
          </cell>
          <cell r="I343">
            <v>76445.043627125706</v>
          </cell>
          <cell r="J343">
            <v>177524.57128446904</v>
          </cell>
          <cell r="K343">
            <v>246539.9236842283</v>
          </cell>
          <cell r="L343">
            <v>312983.34268389246</v>
          </cell>
          <cell r="M343">
            <v>350139.24253981543</v>
          </cell>
          <cell r="N343">
            <v>391100.21063828311</v>
          </cell>
          <cell r="O343">
            <v>432419.93963712372</v>
          </cell>
          <cell r="P343">
            <v>463965.77840770496</v>
          </cell>
          <cell r="Q343">
            <v>497586.37150478509</v>
          </cell>
          <cell r="R343">
            <v>530746.62142909912</v>
          </cell>
          <cell r="S343">
            <v>564559.8961303524</v>
          </cell>
          <cell r="T343">
            <v>592674.46088074625</v>
          </cell>
          <cell r="U343">
            <v>619218.43733137136</v>
          </cell>
          <cell r="V343">
            <v>635951.44833315036</v>
          </cell>
        </row>
        <row r="344">
          <cell r="D344" t="str">
            <v xml:space="preserve">NV ODS </v>
          </cell>
          <cell r="E344">
            <v>1617.1177447226098</v>
          </cell>
          <cell r="F344">
            <v>3261.8795889129128</v>
          </cell>
          <cell r="G344">
            <v>9045.3938270936815</v>
          </cell>
          <cell r="H344">
            <v>29167.321009138763</v>
          </cell>
          <cell r="I344">
            <v>68658.73734345843</v>
          </cell>
          <cell r="J344">
            <v>165651.00021937137</v>
          </cell>
          <cell r="K344">
            <v>238881.67938090395</v>
          </cell>
          <cell r="L344">
            <v>316676.11227107723</v>
          </cell>
          <cell r="M344">
            <v>367638.06665944454</v>
          </cell>
          <cell r="N344">
            <v>424722.29122076317</v>
          </cell>
          <cell r="O344">
            <v>509416.29999462236</v>
          </cell>
          <cell r="P344">
            <v>565598.75700991566</v>
          </cell>
          <cell r="Q344">
            <v>624644.57166930416</v>
          </cell>
          <cell r="R344">
            <v>684180.39022303675</v>
          </cell>
          <cell r="S344">
            <v>753375.99622149498</v>
          </cell>
          <cell r="T344">
            <v>812880.05506232067</v>
          </cell>
          <cell r="U344">
            <v>874121.10563022026</v>
          </cell>
          <cell r="V344">
            <v>918035.35083106253</v>
          </cell>
        </row>
        <row r="345">
          <cell r="D345" t="str">
            <v xml:space="preserve">NH ODS </v>
          </cell>
          <cell r="E345">
            <v>1475.3970562268614</v>
          </cell>
          <cell r="F345">
            <v>2810.0784783610743</v>
          </cell>
          <cell r="G345">
            <v>7564.0280240233496</v>
          </cell>
          <cell r="H345">
            <v>23714.951655862493</v>
          </cell>
          <cell r="I345">
            <v>53415.749774067728</v>
          </cell>
          <cell r="J345">
            <v>124376.26760353099</v>
          </cell>
          <cell r="K345">
            <v>173686.42510855978</v>
          </cell>
          <cell r="L345">
            <v>221736.08156502515</v>
          </cell>
          <cell r="M345">
            <v>250006.12185555368</v>
          </cell>
          <cell r="N345">
            <v>281966.30573123833</v>
          </cell>
          <cell r="O345">
            <v>313074.19285162236</v>
          </cell>
          <cell r="P345">
            <v>339424.40424379171</v>
          </cell>
          <cell r="Q345">
            <v>366703.57181818603</v>
          </cell>
          <cell r="R345">
            <v>392425.99784995639</v>
          </cell>
          <cell r="S345">
            <v>418873.64990885038</v>
          </cell>
          <cell r="T345">
            <v>440183.06337970524</v>
          </cell>
          <cell r="U345">
            <v>460539.62004421849</v>
          </cell>
          <cell r="V345">
            <v>471626.92156583717</v>
          </cell>
        </row>
        <row r="346">
          <cell r="D346" t="str">
            <v xml:space="preserve">NJ ODS </v>
          </cell>
          <cell r="E346">
            <v>10293.729962455307</v>
          </cell>
          <cell r="F346">
            <v>19759.096690474533</v>
          </cell>
          <cell r="G346">
            <v>53209.274587477747</v>
          </cell>
          <cell r="H346">
            <v>166417.8908583179</v>
          </cell>
          <cell r="I346">
            <v>373317.09313756309</v>
          </cell>
          <cell r="J346">
            <v>864803.21319590462</v>
          </cell>
          <cell r="K346">
            <v>1198484.9332715264</v>
          </cell>
          <cell r="L346">
            <v>1522197.838588072</v>
          </cell>
          <cell r="M346">
            <v>1706776.6941092834</v>
          </cell>
          <cell r="N346">
            <v>1911666.6397649513</v>
          </cell>
          <cell r="O346">
            <v>2128010.5408645147</v>
          </cell>
          <cell r="P346">
            <v>2293470.9478313653</v>
          </cell>
          <cell r="Q346">
            <v>2466643.0393888741</v>
          </cell>
          <cell r="R346">
            <v>2630822.3459282792</v>
          </cell>
          <cell r="S346">
            <v>2794763.5681550764</v>
          </cell>
          <cell r="T346">
            <v>2922523.7168639055</v>
          </cell>
          <cell r="U346">
            <v>3040258.0597690884</v>
          </cell>
          <cell r="V346">
            <v>3109947.431980731</v>
          </cell>
        </row>
        <row r="347">
          <cell r="D347" t="str">
            <v xml:space="preserve">NM ODS </v>
          </cell>
          <cell r="E347">
            <v>2016.947426238396</v>
          </cell>
          <cell r="F347">
            <v>3927.0989833834756</v>
          </cell>
          <cell r="G347">
            <v>10745.149743050122</v>
          </cell>
          <cell r="H347">
            <v>34128.016427028553</v>
          </cell>
          <cell r="I347">
            <v>77943.159071156027</v>
          </cell>
          <cell r="J347">
            <v>182657.13720686187</v>
          </cell>
          <cell r="K347">
            <v>255292.4166460433</v>
          </cell>
          <cell r="L347">
            <v>325626.52846995607</v>
          </cell>
          <cell r="M347">
            <v>365479.8080749549</v>
          </cell>
          <cell r="N347">
            <v>408428.52273656445</v>
          </cell>
          <cell r="O347">
            <v>459556.07699832571</v>
          </cell>
          <cell r="P347">
            <v>493846.47051511123</v>
          </cell>
          <cell r="Q347">
            <v>533587.18568870297</v>
          </cell>
          <cell r="R347">
            <v>572105.62510178587</v>
          </cell>
          <cell r="S347">
            <v>612480.29901668511</v>
          </cell>
          <cell r="T347">
            <v>647443.0724474052</v>
          </cell>
          <cell r="U347">
            <v>681900.00971682346</v>
          </cell>
          <cell r="V347">
            <v>706009.24513035081</v>
          </cell>
        </row>
        <row r="348">
          <cell r="D348" t="str">
            <v xml:space="preserve">NY ODS </v>
          </cell>
          <cell r="E348">
            <v>23889.745177710491</v>
          </cell>
          <cell r="F348">
            <v>45765.025087391587</v>
          </cell>
          <cell r="G348">
            <v>122912.63102870414</v>
          </cell>
          <cell r="H348">
            <v>383366.48948719591</v>
          </cell>
          <cell r="I348">
            <v>855962.01060746121</v>
          </cell>
          <cell r="J348">
            <v>1970615.2197272563</v>
          </cell>
          <cell r="K348">
            <v>2714868.6286293324</v>
          </cell>
          <cell r="L348">
            <v>3428967.607855909</v>
          </cell>
          <cell r="M348">
            <v>3828484.4515971811</v>
          </cell>
          <cell r="N348">
            <v>4271653.5880554188</v>
          </cell>
          <cell r="O348">
            <v>4795311.8685800787</v>
          </cell>
          <cell r="P348">
            <v>5155879.9972739918</v>
          </cell>
          <cell r="Q348">
            <v>5529717.2668904141</v>
          </cell>
          <cell r="R348">
            <v>5890058.2990609054</v>
          </cell>
          <cell r="S348">
            <v>6257219.1854375331</v>
          </cell>
          <cell r="T348">
            <v>6544674.2653701259</v>
          </cell>
          <cell r="U348">
            <v>6814731.1758538513</v>
          </cell>
          <cell r="V348">
            <v>6982927.4876318825</v>
          </cell>
        </row>
        <row r="349">
          <cell r="D349" t="str">
            <v xml:space="preserve">NC ODS </v>
          </cell>
          <cell r="E349">
            <v>8833.8056981146292</v>
          </cell>
          <cell r="F349">
            <v>17129.039598371452</v>
          </cell>
          <cell r="G349">
            <v>46439.507368057552</v>
          </cell>
          <cell r="H349">
            <v>146817.73398054246</v>
          </cell>
          <cell r="I349">
            <v>332875.94334334589</v>
          </cell>
          <cell r="J349">
            <v>780106.91859247559</v>
          </cell>
          <cell r="K349">
            <v>1093449.3317665269</v>
          </cell>
          <cell r="L349">
            <v>1403980.4511372519</v>
          </cell>
          <cell r="M349">
            <v>1590880.9278189484</v>
          </cell>
          <cell r="N349">
            <v>1796023.3498170855</v>
          </cell>
          <cell r="O349">
            <v>2039141.268542235</v>
          </cell>
          <cell r="P349">
            <v>2214861.7008860423</v>
          </cell>
          <cell r="Q349">
            <v>2398494.8689112016</v>
          </cell>
          <cell r="R349">
            <v>2575721.7247700421</v>
          </cell>
          <cell r="S349">
            <v>2763132.0693320641</v>
          </cell>
          <cell r="T349">
            <v>2931460.5300135273</v>
          </cell>
          <cell r="U349">
            <v>3112435.9764038464</v>
          </cell>
          <cell r="V349">
            <v>3249563.4573346539</v>
          </cell>
        </row>
        <row r="350">
          <cell r="D350" t="str">
            <v xml:space="preserve">ND ODS </v>
          </cell>
          <cell r="E350">
            <v>845.78049123021151</v>
          </cell>
          <cell r="F350">
            <v>1609.8106786908645</v>
          </cell>
          <cell r="G350">
            <v>4319.3156829208347</v>
          </cell>
          <cell r="H350">
            <v>13466.384001220469</v>
          </cell>
          <cell r="I350">
            <v>30160.404452883195</v>
          </cell>
          <cell r="J350">
            <v>69651.76948449036</v>
          </cell>
          <cell r="K350">
            <v>96191.235348009708</v>
          </cell>
          <cell r="L350">
            <v>121135.27831813895</v>
          </cell>
          <cell r="M350">
            <v>134468.55438665548</v>
          </cell>
          <cell r="N350">
            <v>148753.14585008073</v>
          </cell>
          <cell r="O350">
            <v>161838.24724832672</v>
          </cell>
          <cell r="P350">
            <v>171845.64977487075</v>
          </cell>
          <cell r="Q350">
            <v>182823.82206500907</v>
          </cell>
          <cell r="R350">
            <v>193780.81900136668</v>
          </cell>
          <cell r="S350">
            <v>206248.09651643495</v>
          </cell>
          <cell r="T350">
            <v>215000.01221516079</v>
          </cell>
          <cell r="U350">
            <v>223950.52565967845</v>
          </cell>
          <cell r="V350">
            <v>229263.72580848078</v>
          </cell>
        </row>
        <row r="351">
          <cell r="D351" t="str">
            <v xml:space="preserve">OH ODS </v>
          </cell>
          <cell r="E351">
            <v>14413.631509659295</v>
          </cell>
          <cell r="F351">
            <v>27753.370236819621</v>
          </cell>
          <cell r="G351">
            <v>74824.233444849728</v>
          </cell>
          <cell r="H351">
            <v>233947.38069257844</v>
          </cell>
          <cell r="I351">
            <v>523828.94923173526</v>
          </cell>
          <cell r="J351">
            <v>1211132.8021003043</v>
          </cell>
          <cell r="K351">
            <v>1673922.4338154239</v>
          </cell>
          <cell r="L351">
            <v>2119103.9260335546</v>
          </cell>
          <cell r="M351">
            <v>2369246.3343133773</v>
          </cell>
          <cell r="N351">
            <v>2642500.4564642804</v>
          </cell>
          <cell r="O351">
            <v>2868267.5073770019</v>
          </cell>
          <cell r="P351">
            <v>3076880.1648968435</v>
          </cell>
          <cell r="Q351">
            <v>3292907.7540068841</v>
          </cell>
          <cell r="R351">
            <v>3500889.154254674</v>
          </cell>
          <cell r="S351">
            <v>3710380.2259048582</v>
          </cell>
          <cell r="T351">
            <v>3875739.8986106343</v>
          </cell>
          <cell r="U351">
            <v>4031896.2495480464</v>
          </cell>
          <cell r="V351">
            <v>4125082.6756881559</v>
          </cell>
        </row>
        <row r="352">
          <cell r="D352" t="str">
            <v xml:space="preserve">OK ODS </v>
          </cell>
          <cell r="E352">
            <v>4176.2007469092305</v>
          </cell>
          <cell r="F352">
            <v>8037.5699576393845</v>
          </cell>
          <cell r="G352">
            <v>21780.376044781198</v>
          </cell>
          <cell r="H352">
            <v>68233.949158429212</v>
          </cell>
          <cell r="I352">
            <v>153032.31817799236</v>
          </cell>
          <cell r="J352">
            <v>354534.8545779413</v>
          </cell>
          <cell r="K352">
            <v>492229.94549778424</v>
          </cell>
          <cell r="L352">
            <v>626377.74907893327</v>
          </cell>
          <cell r="M352">
            <v>704059.49606470834</v>
          </cell>
          <cell r="N352">
            <v>788301.10642355517</v>
          </cell>
          <cell r="O352">
            <v>871774.22121196764</v>
          </cell>
          <cell r="P352">
            <v>935488.36696762603</v>
          </cell>
          <cell r="Q352">
            <v>1005121.3768226074</v>
          </cell>
          <cell r="R352">
            <v>1070807.5639332454</v>
          </cell>
          <cell r="S352">
            <v>1138540.7406551735</v>
          </cell>
          <cell r="T352">
            <v>1194808.6623583257</v>
          </cell>
          <cell r="U352">
            <v>1255528.7460709901</v>
          </cell>
          <cell r="V352">
            <v>1296765.2219695647</v>
          </cell>
        </row>
        <row r="353">
          <cell r="D353" t="str">
            <v xml:space="preserve">OR ODS </v>
          </cell>
          <cell r="E353">
            <v>3793.2849766611344</v>
          </cell>
          <cell r="F353">
            <v>7408.7579283088862</v>
          </cell>
          <cell r="G353">
            <v>20215.319409108346</v>
          </cell>
          <cell r="H353">
            <v>64127.036886054302</v>
          </cell>
          <cell r="I353">
            <v>145537.63950263179</v>
          </cell>
          <cell r="J353">
            <v>341058.70698020601</v>
          </cell>
          <cell r="K353">
            <v>478082.82011636521</v>
          </cell>
          <cell r="L353">
            <v>612958.17261452612</v>
          </cell>
          <cell r="M353">
            <v>691953.05055360636</v>
          </cell>
          <cell r="N353">
            <v>778467.42546282848</v>
          </cell>
          <cell r="O353">
            <v>865960.56060513505</v>
          </cell>
          <cell r="P353">
            <v>937467.9881423621</v>
          </cell>
          <cell r="Q353">
            <v>1015232.1946642727</v>
          </cell>
          <cell r="R353">
            <v>1087873.5588134411</v>
          </cell>
          <cell r="S353">
            <v>1159386.7772574155</v>
          </cell>
          <cell r="T353">
            <v>1225897.2914076769</v>
          </cell>
          <cell r="U353">
            <v>1295232.6700266246</v>
          </cell>
          <cell r="V353">
            <v>1342562.3317617457</v>
          </cell>
        </row>
        <row r="354">
          <cell r="D354" t="str">
            <v xml:space="preserve">PA ODS </v>
          </cell>
          <cell r="E354">
            <v>15785.437826108893</v>
          </cell>
          <cell r="F354">
            <v>30315.762884068856</v>
          </cell>
          <cell r="G354">
            <v>81439.62941602405</v>
          </cell>
          <cell r="H354">
            <v>254060.30196338304</v>
          </cell>
          <cell r="I354">
            <v>567723.66574139486</v>
          </cell>
          <cell r="J354">
            <v>1307681.1712473577</v>
          </cell>
          <cell r="K354">
            <v>1801254.4926705798</v>
          </cell>
          <cell r="L354">
            <v>2270940.4662172045</v>
          </cell>
          <cell r="M354">
            <v>2530441.4963484816</v>
          </cell>
          <cell r="N354">
            <v>2815596.2468811674</v>
          </cell>
          <cell r="O354">
            <v>3100814.4364617141</v>
          </cell>
          <cell r="P354">
            <v>3318147.0695472015</v>
          </cell>
          <cell r="Q354">
            <v>3549225.7592369975</v>
          </cell>
          <cell r="R354">
            <v>3772665.1227217908</v>
          </cell>
          <cell r="S354">
            <v>3999089.5011744085</v>
          </cell>
          <cell r="T354">
            <v>4180671.5854932806</v>
          </cell>
          <cell r="U354">
            <v>4359020.1148411706</v>
          </cell>
          <cell r="V354">
            <v>4463742.8611209914</v>
          </cell>
        </row>
        <row r="355">
          <cell r="D355" t="str">
            <v xml:space="preserve">PR ODS </v>
          </cell>
          <cell r="E355">
            <v>0</v>
          </cell>
          <cell r="F355">
            <v>0</v>
          </cell>
          <cell r="G355">
            <v>0</v>
          </cell>
          <cell r="H355">
            <v>0</v>
          </cell>
          <cell r="I355">
            <v>0</v>
          </cell>
          <cell r="J355">
            <v>0</v>
          </cell>
          <cell r="K355">
            <v>0</v>
          </cell>
          <cell r="L355">
            <v>0</v>
          </cell>
          <cell r="M355">
            <v>0</v>
          </cell>
          <cell r="N355">
            <v>0</v>
          </cell>
          <cell r="O355">
            <v>0</v>
          </cell>
          <cell r="P355">
            <v>0</v>
          </cell>
          <cell r="Q355">
            <v>0</v>
          </cell>
          <cell r="R355">
            <v>0</v>
          </cell>
          <cell r="S355">
            <v>0</v>
          </cell>
          <cell r="T355">
            <v>0</v>
          </cell>
          <cell r="U355">
            <v>0</v>
          </cell>
          <cell r="V355">
            <v>0</v>
          </cell>
        </row>
        <row r="356">
          <cell r="D356" t="str">
            <v xml:space="preserve">RI ODS </v>
          </cell>
          <cell r="E356">
            <v>1333.1668006569885</v>
          </cell>
          <cell r="F356">
            <v>2548.4647930678557</v>
          </cell>
          <cell r="G356">
            <v>6801.382396680945</v>
          </cell>
          <cell r="H356">
            <v>21087.329999711008</v>
          </cell>
          <cell r="I356">
            <v>46832.58416152819</v>
          </cell>
          <cell r="J356">
            <v>107396.07843741438</v>
          </cell>
          <cell r="K356">
            <v>147813.79615469385</v>
          </cell>
          <cell r="L356">
            <v>186531.45137342569</v>
          </cell>
          <cell r="M356">
            <v>208236.8503404115</v>
          </cell>
          <cell r="N356">
            <v>232594.84210614287</v>
          </cell>
          <cell r="O356">
            <v>265208.98454887001</v>
          </cell>
          <cell r="P356">
            <v>285791.76944291854</v>
          </cell>
          <cell r="Q356">
            <v>307612.02299609571</v>
          </cell>
          <cell r="R356">
            <v>328119.78548355051</v>
          </cell>
          <cell r="S356">
            <v>347237.80869145814</v>
          </cell>
          <cell r="T356">
            <v>360274.67248031957</v>
          </cell>
          <cell r="U356">
            <v>372630.17240686825</v>
          </cell>
          <cell r="V356">
            <v>378498.77590207971</v>
          </cell>
        </row>
        <row r="357">
          <cell r="D357" t="str">
            <v xml:space="preserve">SC ODS </v>
          </cell>
          <cell r="E357">
            <v>4643.2494912890415</v>
          </cell>
          <cell r="F357">
            <v>9035.133793146586</v>
          </cell>
          <cell r="G357">
            <v>24474.919045536888</v>
          </cell>
          <cell r="H357">
            <v>76807.029995690405</v>
          </cell>
          <cell r="I357">
            <v>172848.33401905757</v>
          </cell>
          <cell r="J357">
            <v>401696.48559695261</v>
          </cell>
          <cell r="K357">
            <v>559464.96425974206</v>
          </cell>
          <cell r="L357">
            <v>716302.80250897608</v>
          </cell>
          <cell r="M357">
            <v>809495.18211563025</v>
          </cell>
          <cell r="N357">
            <v>912176.84701863339</v>
          </cell>
          <cell r="O357">
            <v>1015528.1044973569</v>
          </cell>
          <cell r="P357">
            <v>1097136.3611508764</v>
          </cell>
          <cell r="Q357">
            <v>1183831.1499336609</v>
          </cell>
          <cell r="R357">
            <v>1269052.1268216181</v>
          </cell>
          <cell r="S357">
            <v>1360558.3895718893</v>
          </cell>
          <cell r="T357">
            <v>1438265.4047040581</v>
          </cell>
          <cell r="U357">
            <v>1521779.3135116838</v>
          </cell>
          <cell r="V357">
            <v>1583133.1916807834</v>
          </cell>
        </row>
        <row r="358">
          <cell r="D358" t="str">
            <v xml:space="preserve">SD ODS </v>
          </cell>
          <cell r="E358">
            <v>924.47542924275251</v>
          </cell>
          <cell r="F358">
            <v>1780.5036771018458</v>
          </cell>
          <cell r="G358">
            <v>4817.3753804207718</v>
          </cell>
          <cell r="H358">
            <v>15136.481974213619</v>
          </cell>
          <cell r="I358">
            <v>34086.298521643606</v>
          </cell>
          <cell r="J358">
            <v>79064.965955547508</v>
          </cell>
          <cell r="K358">
            <v>109334.93785183562</v>
          </cell>
          <cell r="L358">
            <v>138127.80166036627</v>
          </cell>
          <cell r="M358">
            <v>154071.66481397158</v>
          </cell>
          <cell r="N358">
            <v>172103.0323175099</v>
          </cell>
          <cell r="O358">
            <v>190732.1379402274</v>
          </cell>
          <cell r="P358">
            <v>204932.25315570357</v>
          </cell>
          <cell r="Q358">
            <v>219816.78694363087</v>
          </cell>
          <cell r="R358">
            <v>234746.25118408483</v>
          </cell>
          <cell r="S358">
            <v>250773.26221986083</v>
          </cell>
          <cell r="T358">
            <v>263770.35826759471</v>
          </cell>
          <cell r="U358">
            <v>277057.63802498789</v>
          </cell>
          <cell r="V358">
            <v>285971.90913495491</v>
          </cell>
        </row>
        <row r="359">
          <cell r="D359" t="str">
            <v xml:space="preserve">TN ODS </v>
          </cell>
          <cell r="E359">
            <v>6489.8489100470752</v>
          </cell>
          <cell r="F359">
            <v>12556.862923256478</v>
          </cell>
          <cell r="G359">
            <v>34082.663334811681</v>
          </cell>
          <cell r="H359">
            <v>107473.97130066411</v>
          </cell>
          <cell r="I359">
            <v>243400.90651946689</v>
          </cell>
          <cell r="J359">
            <v>569024.64876437525</v>
          </cell>
          <cell r="K359">
            <v>795073.62365489115</v>
          </cell>
          <cell r="L359">
            <v>1016495.9214448401</v>
          </cell>
          <cell r="M359">
            <v>1145367.4014385852</v>
          </cell>
          <cell r="N359">
            <v>1287260.294270203</v>
          </cell>
          <cell r="O359">
            <v>1439493.4626346126</v>
          </cell>
          <cell r="P359">
            <v>1554065.2872125281</v>
          </cell>
          <cell r="Q359">
            <v>1673523.6034329399</v>
          </cell>
          <cell r="R359">
            <v>1791611.8486967394</v>
          </cell>
          <cell r="S359">
            <v>1914966.9382460818</v>
          </cell>
          <cell r="T359">
            <v>2025103.7245024329</v>
          </cell>
          <cell r="U359">
            <v>2135272.0759644164</v>
          </cell>
          <cell r="V359">
            <v>2210002.2018807568</v>
          </cell>
        </row>
        <row r="360">
          <cell r="D360" t="str">
            <v xml:space="preserve">TX ODS </v>
          </cell>
          <cell r="E360">
            <v>22618.294380916497</v>
          </cell>
          <cell r="F360">
            <v>44014.516936599444</v>
          </cell>
          <cell r="G360">
            <v>119979.14906946803</v>
          </cell>
          <cell r="H360">
            <v>380320.63010839192</v>
          </cell>
          <cell r="I360">
            <v>864526.36765858636</v>
          </cell>
          <cell r="J360">
            <v>2028023.7431182882</v>
          </cell>
          <cell r="K360">
            <v>2843915.3046563258</v>
          </cell>
          <cell r="L360">
            <v>3658075.242979384</v>
          </cell>
          <cell r="M360">
            <v>4155947.3263700199</v>
          </cell>
          <cell r="N360">
            <v>4705363.7556892484</v>
          </cell>
          <cell r="O360">
            <v>5286902.2680538427</v>
          </cell>
          <cell r="P360">
            <v>5762463.5842673406</v>
          </cell>
          <cell r="Q360">
            <v>6266132.0296484279</v>
          </cell>
          <cell r="R360">
            <v>6757214.8223307384</v>
          </cell>
          <cell r="S360">
            <v>7269913.107913061</v>
          </cell>
          <cell r="T360">
            <v>7720754.0019734781</v>
          </cell>
          <cell r="U360">
            <v>8222400.5899420837</v>
          </cell>
          <cell r="V360">
            <v>8569367.8929449525</v>
          </cell>
        </row>
        <row r="361">
          <cell r="D361" t="str">
            <v xml:space="preserve">UT ODS </v>
          </cell>
          <cell r="E361">
            <v>2295.3369234090783</v>
          </cell>
          <cell r="F361">
            <v>4497.7830993271346</v>
          </cell>
          <cell r="G361">
            <v>12381.634519478925</v>
          </cell>
          <cell r="H361">
            <v>39644.840585725993</v>
          </cell>
          <cell r="I361">
            <v>91006.859629684201</v>
          </cell>
          <cell r="J361">
            <v>214614.97342511232</v>
          </cell>
          <cell r="K361">
            <v>302590.95205507078</v>
          </cell>
          <cell r="L361">
            <v>390349.31301819853</v>
          </cell>
          <cell r="M361">
            <v>442859.81916116108</v>
          </cell>
          <cell r="N361">
            <v>499979.17695560836</v>
          </cell>
          <cell r="O361">
            <v>566451.40756565181</v>
          </cell>
          <cell r="P361">
            <v>618835.14344630006</v>
          </cell>
          <cell r="Q361">
            <v>673687.63672478916</v>
          </cell>
          <cell r="R361">
            <v>729091.03202621092</v>
          </cell>
          <cell r="S361">
            <v>790974.52794707427</v>
          </cell>
          <cell r="T361">
            <v>846588.05984886782</v>
          </cell>
          <cell r="U361">
            <v>909645.83584608138</v>
          </cell>
          <cell r="V361">
            <v>959215.94691897149</v>
          </cell>
        </row>
        <row r="362">
          <cell r="D362" t="str">
            <v xml:space="preserve">VT ODS </v>
          </cell>
          <cell r="E362">
            <v>749.12464085236434</v>
          </cell>
          <cell r="F362">
            <v>1439.5948876037578</v>
          </cell>
          <cell r="G362">
            <v>3875.3572960677025</v>
          </cell>
          <cell r="H362">
            <v>12130.267583924389</v>
          </cell>
          <cell r="I362">
            <v>27291.177246810657</v>
          </cell>
          <cell r="J362">
            <v>63276.5309116965</v>
          </cell>
          <cell r="K362">
            <v>87736.208040930011</v>
          </cell>
          <cell r="L362">
            <v>111254.62966580171</v>
          </cell>
          <cell r="M362">
            <v>124511.301804174</v>
          </cell>
          <cell r="N362">
            <v>139380.51405160909</v>
          </cell>
          <cell r="O362">
            <v>153936.18183704265</v>
          </cell>
          <cell r="P362">
            <v>165342.26063254286</v>
          </cell>
          <cell r="Q362">
            <v>177477.23221021588</v>
          </cell>
          <cell r="R362">
            <v>188884.2996160528</v>
          </cell>
          <cell r="S362">
            <v>200489.19330654689</v>
          </cell>
          <cell r="T362">
            <v>209604.89020315607</v>
          </cell>
          <cell r="U362">
            <v>218230.12887366378</v>
          </cell>
          <cell r="V362">
            <v>223097.83175550372</v>
          </cell>
        </row>
        <row r="363">
          <cell r="D363" t="str">
            <v xml:space="preserve">VA ODS </v>
          </cell>
          <cell r="E363">
            <v>8245.3340203583684</v>
          </cell>
          <cell r="F363">
            <v>15950.535498674115</v>
          </cell>
          <cell r="G363">
            <v>43390.590246438704</v>
          </cell>
          <cell r="H363">
            <v>136618.72256154392</v>
          </cell>
          <cell r="I363">
            <v>308164.06284818059</v>
          </cell>
          <cell r="J363">
            <v>716701.84282510239</v>
          </cell>
          <cell r="K363">
            <v>997361.49117074162</v>
          </cell>
          <cell r="L363">
            <v>1272478.9965005964</v>
          </cell>
          <cell r="M363">
            <v>1431366.9178745658</v>
          </cell>
          <cell r="N363">
            <v>1613416.6598030666</v>
          </cell>
          <cell r="O363">
            <v>1793179.4810399513</v>
          </cell>
          <cell r="P363">
            <v>1941603.7507051348</v>
          </cell>
          <cell r="Q363">
            <v>2099961.3999304315</v>
          </cell>
          <cell r="R363">
            <v>2255241.2078489801</v>
          </cell>
          <cell r="S363">
            <v>2416731.9664441608</v>
          </cell>
          <cell r="T363">
            <v>2554297.5010066708</v>
          </cell>
          <cell r="U363">
            <v>2684208.1356587699</v>
          </cell>
          <cell r="V363">
            <v>2766952.1443057056</v>
          </cell>
        </row>
        <row r="364">
          <cell r="D364" t="str">
            <v xml:space="preserve">WA ODS </v>
          </cell>
          <cell r="E364">
            <v>6503.323243564424</v>
          </cell>
          <cell r="F364">
            <v>12725.807007592195</v>
          </cell>
          <cell r="G364">
            <v>34932.432532773521</v>
          </cell>
          <cell r="H364">
            <v>110898.27548454427</v>
          </cell>
          <cell r="I364">
            <v>251503.87343116463</v>
          </cell>
          <cell r="J364">
            <v>589636.99008138874</v>
          </cell>
          <cell r="K364">
            <v>824459.13046399923</v>
          </cell>
          <cell r="L364">
            <v>1059146.7581447302</v>
          </cell>
          <cell r="M364">
            <v>1199161.1059035941</v>
          </cell>
          <cell r="N364">
            <v>1351306.2203096214</v>
          </cell>
          <cell r="O364">
            <v>1491996.3733638809</v>
          </cell>
          <cell r="P364">
            <v>1617185.193693225</v>
          </cell>
          <cell r="Q364">
            <v>1747551.0892402236</v>
          </cell>
          <cell r="R364">
            <v>1871440.704396297</v>
          </cell>
          <cell r="S364">
            <v>2003376.3469077211</v>
          </cell>
          <cell r="T364">
            <v>2116952.1228809585</v>
          </cell>
          <cell r="U364">
            <v>2238097.4133575126</v>
          </cell>
          <cell r="V364">
            <v>2317964.6490738117</v>
          </cell>
        </row>
        <row r="365">
          <cell r="D365" t="str">
            <v xml:space="preserve">WV ODS </v>
          </cell>
          <cell r="E365">
            <v>2378.6179650887416</v>
          </cell>
          <cell r="F365">
            <v>4564.4677461649371</v>
          </cell>
          <cell r="G365">
            <v>12272.629793064532</v>
          </cell>
          <cell r="H365">
            <v>38380.80788688617</v>
          </cell>
          <cell r="I365">
            <v>85729.37106849665</v>
          </cell>
          <cell r="J365">
            <v>197655.08652927572</v>
          </cell>
          <cell r="K365">
            <v>272175.53775021661</v>
          </cell>
          <cell r="L365">
            <v>343136.70859601564</v>
          </cell>
          <cell r="M365">
            <v>381956.74303183891</v>
          </cell>
          <cell r="N365">
            <v>424176.49727868417</v>
          </cell>
          <cell r="O365">
            <v>456091.3038836646</v>
          </cell>
          <cell r="P365">
            <v>485799.95464727277</v>
          </cell>
          <cell r="Q365">
            <v>519275.16662147077</v>
          </cell>
          <cell r="R365">
            <v>552006.83263896813</v>
          </cell>
          <cell r="S365">
            <v>584614.91022459324</v>
          </cell>
          <cell r="T365">
            <v>610596.48758448928</v>
          </cell>
          <cell r="U365">
            <v>635749.77530293772</v>
          </cell>
          <cell r="V365">
            <v>650457.97559243662</v>
          </cell>
        </row>
        <row r="366">
          <cell r="D366" t="str">
            <v xml:space="preserve">WI ODS </v>
          </cell>
          <cell r="E366">
            <v>6505.2938349838905</v>
          </cell>
          <cell r="F366">
            <v>12571.557355160254</v>
          </cell>
          <cell r="G366">
            <v>34019.018332727748</v>
          </cell>
          <cell r="H366">
            <v>106832.635420362</v>
          </cell>
          <cell r="I366">
            <v>240218.17727730644</v>
          </cell>
          <cell r="J366">
            <v>557715.74137695855</v>
          </cell>
          <cell r="K366">
            <v>774163.04502413038</v>
          </cell>
          <cell r="L366">
            <v>982817.42434175685</v>
          </cell>
          <cell r="M366">
            <v>1100976.2579143865</v>
          </cell>
          <cell r="N366">
            <v>1232542.632263642</v>
          </cell>
          <cell r="O366">
            <v>1356461.8294611552</v>
          </cell>
          <cell r="P366">
            <v>1460760.2769633618</v>
          </cell>
          <cell r="Q366">
            <v>1571233.6748432755</v>
          </cell>
          <cell r="R366">
            <v>1676694.1804082601</v>
          </cell>
          <cell r="S366">
            <v>1785891.8405030449</v>
          </cell>
          <cell r="T366">
            <v>1874688.467429349</v>
          </cell>
          <cell r="U366">
            <v>1959405.6778560991</v>
          </cell>
          <cell r="V366">
            <v>2012251.168801297</v>
          </cell>
        </row>
        <row r="367">
          <cell r="D367" t="str">
            <v xml:space="preserve">WY ODS </v>
          </cell>
          <cell r="E367">
            <v>601.66203378959142</v>
          </cell>
          <cell r="F367">
            <v>1161.8957618244078</v>
          </cell>
          <cell r="G367">
            <v>3150.5805469277516</v>
          </cell>
          <cell r="H367">
            <v>9911.9445085588377</v>
          </cell>
          <cell r="I367">
            <v>22392.154000768045</v>
          </cell>
          <cell r="J367">
            <v>51944.172773581959</v>
          </cell>
          <cell r="K367">
            <v>71835.41189819407</v>
          </cell>
          <cell r="L367">
            <v>90723.367506314215</v>
          </cell>
          <cell r="M367">
            <v>101207.50631936576</v>
          </cell>
          <cell r="N367">
            <v>112586.60912214071</v>
          </cell>
          <cell r="O367">
            <v>124679.07933542409</v>
          </cell>
          <cell r="P367">
            <v>133142.69176362621</v>
          </cell>
          <cell r="Q367">
            <v>143417.14327989993</v>
          </cell>
          <cell r="R367">
            <v>152851.52801383624</v>
          </cell>
          <cell r="S367">
            <v>163007.69400940553</v>
          </cell>
          <cell r="T367">
            <v>171265.33901684271</v>
          </cell>
          <cell r="U367">
            <v>180360.51804132963</v>
          </cell>
          <cell r="V367">
            <v>188057.61220613008</v>
          </cell>
        </row>
        <row r="368">
          <cell r="D368" t="str">
            <v xml:space="preserve">AL Semi </v>
          </cell>
          <cell r="E368">
            <v>0</v>
          </cell>
          <cell r="F368">
            <v>0</v>
          </cell>
          <cell r="G368">
            <v>0</v>
          </cell>
          <cell r="H368">
            <v>0</v>
          </cell>
          <cell r="I368">
            <v>0</v>
          </cell>
          <cell r="J368">
            <v>0</v>
          </cell>
          <cell r="K368">
            <v>0</v>
          </cell>
          <cell r="L368">
            <v>0</v>
          </cell>
          <cell r="M368">
            <v>0</v>
          </cell>
          <cell r="N368">
            <v>0</v>
          </cell>
          <cell r="O368">
            <v>0</v>
          </cell>
          <cell r="P368">
            <v>0</v>
          </cell>
          <cell r="Q368">
            <v>0</v>
          </cell>
          <cell r="R368">
            <v>0</v>
          </cell>
          <cell r="S368">
            <v>0</v>
          </cell>
          <cell r="T368">
            <v>0</v>
          </cell>
          <cell r="U368">
            <v>0</v>
          </cell>
          <cell r="V368">
            <v>0</v>
          </cell>
        </row>
        <row r="369">
          <cell r="D369" t="str">
            <v xml:space="preserve">AK Semi </v>
          </cell>
          <cell r="E369">
            <v>0</v>
          </cell>
          <cell r="F369">
            <v>0</v>
          </cell>
          <cell r="G369">
            <v>0</v>
          </cell>
          <cell r="H369">
            <v>0</v>
          </cell>
          <cell r="I369">
            <v>0</v>
          </cell>
          <cell r="J369">
            <v>0</v>
          </cell>
          <cell r="K369">
            <v>0</v>
          </cell>
          <cell r="L369">
            <v>0</v>
          </cell>
          <cell r="M369">
            <v>0</v>
          </cell>
          <cell r="N369">
            <v>0</v>
          </cell>
          <cell r="O369">
            <v>0</v>
          </cell>
          <cell r="P369">
            <v>0</v>
          </cell>
          <cell r="Q369">
            <v>0</v>
          </cell>
          <cell r="R369">
            <v>0</v>
          </cell>
          <cell r="S369">
            <v>0</v>
          </cell>
          <cell r="T369">
            <v>0</v>
          </cell>
          <cell r="U369">
            <v>0</v>
          </cell>
          <cell r="V369">
            <v>0</v>
          </cell>
        </row>
        <row r="370">
          <cell r="D370" t="str">
            <v xml:space="preserve">AZ Semi </v>
          </cell>
          <cell r="E370">
            <v>382867.64613586327</v>
          </cell>
          <cell r="F370">
            <v>382867.64613586327</v>
          </cell>
          <cell r="G370">
            <v>382867.64613586327</v>
          </cell>
          <cell r="H370">
            <v>478584.55766982911</v>
          </cell>
          <cell r="I370">
            <v>526443.01343681209</v>
          </cell>
          <cell r="J370">
            <v>650602.85816225584</v>
          </cell>
          <cell r="K370">
            <v>722615.01200825546</v>
          </cell>
          <cell r="L370">
            <v>763461.0328183393</v>
          </cell>
          <cell r="M370">
            <v>977106.94511886325</v>
          </cell>
          <cell r="N370">
            <v>1033835.1352257848</v>
          </cell>
          <cell r="O370">
            <v>930016.30857247766</v>
          </cell>
          <cell r="P370">
            <v>687275.84381350374</v>
          </cell>
          <cell r="Q370">
            <v>689731.47481552255</v>
          </cell>
          <cell r="R370">
            <v>693407.34981762059</v>
          </cell>
          <cell r="S370">
            <v>694568.38855309424</v>
          </cell>
          <cell r="T370">
            <v>706253.66427829827</v>
          </cell>
          <cell r="U370">
            <v>762282.26705603721</v>
          </cell>
          <cell r="V370">
            <v>754174.39673425781</v>
          </cell>
        </row>
        <row r="371">
          <cell r="D371" t="str">
            <v xml:space="preserve">AR Semi </v>
          </cell>
          <cell r="E371">
            <v>0</v>
          </cell>
          <cell r="F371">
            <v>0</v>
          </cell>
          <cell r="G371">
            <v>0</v>
          </cell>
          <cell r="H371">
            <v>0</v>
          </cell>
          <cell r="I371">
            <v>0</v>
          </cell>
          <cell r="J371">
            <v>0</v>
          </cell>
          <cell r="K371">
            <v>0</v>
          </cell>
          <cell r="L371">
            <v>0</v>
          </cell>
          <cell r="M371">
            <v>0</v>
          </cell>
          <cell r="N371">
            <v>0</v>
          </cell>
          <cell r="O371">
            <v>0</v>
          </cell>
          <cell r="P371">
            <v>0</v>
          </cell>
          <cell r="Q371">
            <v>0</v>
          </cell>
          <cell r="R371">
            <v>0</v>
          </cell>
          <cell r="S371">
            <v>0</v>
          </cell>
          <cell r="T371">
            <v>0</v>
          </cell>
          <cell r="U371">
            <v>0</v>
          </cell>
          <cell r="V371">
            <v>0</v>
          </cell>
        </row>
        <row r="372">
          <cell r="D372" t="str">
            <v xml:space="preserve">CA Semi </v>
          </cell>
          <cell r="E372">
            <v>594522.83158102597</v>
          </cell>
          <cell r="F372">
            <v>594522.83158102597</v>
          </cell>
          <cell r="G372">
            <v>594522.83158102597</v>
          </cell>
          <cell r="H372">
            <v>743153.53947628243</v>
          </cell>
          <cell r="I372">
            <v>817468.89342391072</v>
          </cell>
          <cell r="J372">
            <v>1010266.2300487905</v>
          </cell>
          <cell r="K372">
            <v>1122087.8217786378</v>
          </cell>
          <cell r="L372">
            <v>1185514.1577355058</v>
          </cell>
          <cell r="M372">
            <v>1429148.2976470445</v>
          </cell>
          <cell r="N372">
            <v>1426471.348841778</v>
          </cell>
          <cell r="O372">
            <v>1212198.3685824492</v>
          </cell>
          <cell r="P372">
            <v>847268.15924286342</v>
          </cell>
          <cell r="Q372">
            <v>805115.5849924722</v>
          </cell>
          <cell r="R372">
            <v>809406.39143053559</v>
          </cell>
          <cell r="S372">
            <v>810761.65853786853</v>
          </cell>
          <cell r="T372">
            <v>824401.7459411762</v>
          </cell>
          <cell r="U372">
            <v>889803.28690141044</v>
          </cell>
          <cell r="V372">
            <v>880339.06351083878</v>
          </cell>
        </row>
        <row r="373">
          <cell r="D373" t="str">
            <v xml:space="preserve">CO Semi </v>
          </cell>
          <cell r="E373">
            <v>52517.732389564815</v>
          </cell>
          <cell r="F373">
            <v>52517.732389564815</v>
          </cell>
          <cell r="G373">
            <v>52517.732389564815</v>
          </cell>
          <cell r="H373">
            <v>65647.16548695603</v>
          </cell>
          <cell r="I373">
            <v>72211.882035651637</v>
          </cell>
          <cell r="J373">
            <v>89242.815739845842</v>
          </cell>
          <cell r="K373">
            <v>99120.681009083928</v>
          </cell>
          <cell r="L373">
            <v>104723.5059323509</v>
          </cell>
          <cell r="M373">
            <v>102676.86634888554</v>
          </cell>
          <cell r="N373">
            <v>78164.186458242315</v>
          </cell>
          <cell r="O373">
            <v>45044.293511692784</v>
          </cell>
          <cell r="P373">
            <v>16017.630764325584</v>
          </cell>
          <cell r="Q373">
            <v>0</v>
          </cell>
          <cell r="R373">
            <v>0</v>
          </cell>
          <cell r="S373">
            <v>0</v>
          </cell>
          <cell r="T373">
            <v>0</v>
          </cell>
          <cell r="U373">
            <v>0</v>
          </cell>
          <cell r="V373">
            <v>0</v>
          </cell>
        </row>
        <row r="374">
          <cell r="D374" t="str">
            <v xml:space="preserve">CT Semi </v>
          </cell>
          <cell r="E374">
            <v>5605.2925105026225</v>
          </cell>
          <cell r="F374">
            <v>5605.2925105026225</v>
          </cell>
          <cell r="G374">
            <v>5605.2925105026225</v>
          </cell>
          <cell r="H374">
            <v>7006.615638128279</v>
          </cell>
          <cell r="I374">
            <v>7707.2772019411068</v>
          </cell>
          <cell r="J374">
            <v>9525.0130560115103</v>
          </cell>
          <cell r="K374">
            <v>10579.291709985075</v>
          </cell>
          <cell r="L374">
            <v>11177.289208184102</v>
          </cell>
          <cell r="M374">
            <v>10958.848445285204</v>
          </cell>
          <cell r="N374">
            <v>8342.5751457420574</v>
          </cell>
          <cell r="O374">
            <v>4807.6417159272096</v>
          </cell>
          <cell r="P374">
            <v>1709.5845855124996</v>
          </cell>
          <cell r="Q374">
            <v>0</v>
          </cell>
          <cell r="R374">
            <v>0</v>
          </cell>
          <cell r="S374">
            <v>0</v>
          </cell>
          <cell r="T374">
            <v>0</v>
          </cell>
          <cell r="U374">
            <v>0</v>
          </cell>
          <cell r="V374">
            <v>0</v>
          </cell>
        </row>
        <row r="375">
          <cell r="D375" t="str">
            <v xml:space="preserve">DC Semi </v>
          </cell>
          <cell r="E375">
            <v>0</v>
          </cell>
          <cell r="F375">
            <v>0</v>
          </cell>
          <cell r="G375">
            <v>0</v>
          </cell>
          <cell r="H375">
            <v>0</v>
          </cell>
          <cell r="I375">
            <v>0</v>
          </cell>
          <cell r="J375">
            <v>0</v>
          </cell>
          <cell r="K375">
            <v>0</v>
          </cell>
          <cell r="L375">
            <v>0</v>
          </cell>
          <cell r="M375">
            <v>0</v>
          </cell>
          <cell r="N375">
            <v>0</v>
          </cell>
          <cell r="O375">
            <v>0</v>
          </cell>
          <cell r="P375">
            <v>0</v>
          </cell>
          <cell r="Q375">
            <v>0</v>
          </cell>
          <cell r="R375">
            <v>0</v>
          </cell>
          <cell r="S375">
            <v>0</v>
          </cell>
          <cell r="T375">
            <v>0</v>
          </cell>
          <cell r="U375">
            <v>0</v>
          </cell>
          <cell r="V375">
            <v>0</v>
          </cell>
        </row>
        <row r="376">
          <cell r="D376" t="str">
            <v xml:space="preserve">DE Semi </v>
          </cell>
          <cell r="E376">
            <v>0</v>
          </cell>
          <cell r="F376">
            <v>0</v>
          </cell>
          <cell r="G376">
            <v>0</v>
          </cell>
          <cell r="H376">
            <v>0</v>
          </cell>
          <cell r="I376">
            <v>0</v>
          </cell>
          <cell r="J376">
            <v>0</v>
          </cell>
          <cell r="K376">
            <v>0</v>
          </cell>
          <cell r="L376">
            <v>0</v>
          </cell>
          <cell r="M376">
            <v>0</v>
          </cell>
          <cell r="N376">
            <v>0</v>
          </cell>
          <cell r="O376">
            <v>0</v>
          </cell>
          <cell r="P376">
            <v>0</v>
          </cell>
          <cell r="Q376">
            <v>0</v>
          </cell>
          <cell r="R376">
            <v>0</v>
          </cell>
          <cell r="S376">
            <v>0</v>
          </cell>
          <cell r="T376">
            <v>0</v>
          </cell>
          <cell r="U376">
            <v>0</v>
          </cell>
          <cell r="V376">
            <v>0</v>
          </cell>
        </row>
        <row r="377">
          <cell r="D377" t="str">
            <v xml:space="preserve">FL Semi </v>
          </cell>
          <cell r="E377">
            <v>22456.640946808158</v>
          </cell>
          <cell r="F377">
            <v>22456.640946808158</v>
          </cell>
          <cell r="G377">
            <v>22456.640946808158</v>
          </cell>
          <cell r="H377">
            <v>28070.801183510197</v>
          </cell>
          <cell r="I377">
            <v>30877.88130186122</v>
          </cell>
          <cell r="J377">
            <v>38160.327549673253</v>
          </cell>
          <cell r="K377">
            <v>42384.113756335559</v>
          </cell>
          <cell r="L377">
            <v>44779.887942782247</v>
          </cell>
          <cell r="M377">
            <v>64621.942547260682</v>
          </cell>
          <cell r="N377">
            <v>75479.774345790414</v>
          </cell>
          <cell r="O377">
            <v>73792.746102149264</v>
          </cell>
          <cell r="P377">
            <v>58559.415800362105</v>
          </cell>
          <cell r="Q377">
            <v>62517.07438248465</v>
          </cell>
          <cell r="R377">
            <v>62850.254698764031</v>
          </cell>
          <cell r="S377">
            <v>62955.490935816953</v>
          </cell>
          <cell r="T377">
            <v>64014.641167996539</v>
          </cell>
          <cell r="U377">
            <v>69093.058574334907</v>
          </cell>
          <cell r="V377">
            <v>68358.163400635909</v>
          </cell>
        </row>
        <row r="378">
          <cell r="D378" t="str">
            <v xml:space="preserve">GA Semi </v>
          </cell>
          <cell r="E378">
            <v>0</v>
          </cell>
          <cell r="F378">
            <v>0</v>
          </cell>
          <cell r="G378">
            <v>0</v>
          </cell>
          <cell r="H378">
            <v>0</v>
          </cell>
          <cell r="I378">
            <v>0</v>
          </cell>
          <cell r="J378">
            <v>0</v>
          </cell>
          <cell r="K378">
            <v>0</v>
          </cell>
          <cell r="L378">
            <v>0</v>
          </cell>
          <cell r="M378">
            <v>0</v>
          </cell>
          <cell r="N378">
            <v>0</v>
          </cell>
          <cell r="O378">
            <v>0</v>
          </cell>
          <cell r="P378">
            <v>0</v>
          </cell>
          <cell r="Q378">
            <v>0</v>
          </cell>
          <cell r="R378">
            <v>0</v>
          </cell>
          <cell r="S378">
            <v>0</v>
          </cell>
          <cell r="T378">
            <v>0</v>
          </cell>
          <cell r="U378">
            <v>0</v>
          </cell>
          <cell r="V378">
            <v>0</v>
          </cell>
        </row>
        <row r="379">
          <cell r="D379" t="str">
            <v xml:space="preserve">HI Semi </v>
          </cell>
          <cell r="E379">
            <v>0</v>
          </cell>
          <cell r="F379">
            <v>0</v>
          </cell>
          <cell r="G379">
            <v>0</v>
          </cell>
          <cell r="H379">
            <v>0</v>
          </cell>
          <cell r="I379">
            <v>0</v>
          </cell>
          <cell r="J379">
            <v>0</v>
          </cell>
          <cell r="K379">
            <v>0</v>
          </cell>
          <cell r="L379">
            <v>0</v>
          </cell>
          <cell r="M379">
            <v>0</v>
          </cell>
          <cell r="N379">
            <v>0</v>
          </cell>
          <cell r="O379">
            <v>0</v>
          </cell>
          <cell r="P379">
            <v>0</v>
          </cell>
          <cell r="Q379">
            <v>0</v>
          </cell>
          <cell r="R379">
            <v>0</v>
          </cell>
          <cell r="S379">
            <v>0</v>
          </cell>
          <cell r="T379">
            <v>0</v>
          </cell>
          <cell r="U379">
            <v>0</v>
          </cell>
          <cell r="V379">
            <v>0</v>
          </cell>
        </row>
        <row r="380">
          <cell r="D380" t="str">
            <v xml:space="preserve">ID Semi </v>
          </cell>
          <cell r="E380">
            <v>81503.206635635725</v>
          </cell>
          <cell r="F380">
            <v>81503.206635635725</v>
          </cell>
          <cell r="G380">
            <v>81503.206635635725</v>
          </cell>
          <cell r="H380">
            <v>101879.00829454465</v>
          </cell>
          <cell r="I380">
            <v>112066.90912399912</v>
          </cell>
          <cell r="J380">
            <v>138497.51923858514</v>
          </cell>
          <cell r="K380">
            <v>153827.154726001</v>
          </cell>
          <cell r="L380">
            <v>162522.27876671555</v>
          </cell>
          <cell r="M380">
            <v>159346.06225297676</v>
          </cell>
          <cell r="N380">
            <v>121304.3966399112</v>
          </cell>
          <cell r="O380">
            <v>69905.043397669491</v>
          </cell>
          <cell r="P380">
            <v>24858.047188982237</v>
          </cell>
          <cell r="Q380">
            <v>0</v>
          </cell>
          <cell r="R380">
            <v>0</v>
          </cell>
          <cell r="S380">
            <v>0</v>
          </cell>
          <cell r="T380">
            <v>0</v>
          </cell>
          <cell r="U380">
            <v>0</v>
          </cell>
          <cell r="V380">
            <v>0</v>
          </cell>
        </row>
        <row r="381">
          <cell r="D381" t="str">
            <v xml:space="preserve">IL Semi </v>
          </cell>
          <cell r="E381">
            <v>2126.0304066814156</v>
          </cell>
          <cell r="F381">
            <v>2126.0304066814156</v>
          </cell>
          <cell r="G381">
            <v>2126.0304066814156</v>
          </cell>
          <cell r="H381">
            <v>2657.5380083517693</v>
          </cell>
          <cell r="I381">
            <v>2923.2918091869465</v>
          </cell>
          <cell r="J381">
            <v>3612.7405203519161</v>
          </cell>
          <cell r="K381">
            <v>4012.6176848822579</v>
          </cell>
          <cell r="L381">
            <v>4239.4320503963509</v>
          </cell>
          <cell r="M381">
            <v>4156.5796920026414</v>
          </cell>
          <cell r="N381">
            <v>3164.2538541279141</v>
          </cell>
          <cell r="O381">
            <v>1823.4895776339667</v>
          </cell>
          <cell r="P381">
            <v>648.4280356079945</v>
          </cell>
          <cell r="Q381">
            <v>0</v>
          </cell>
          <cell r="R381">
            <v>0</v>
          </cell>
          <cell r="S381">
            <v>0</v>
          </cell>
          <cell r="T381">
            <v>0</v>
          </cell>
          <cell r="U381">
            <v>0</v>
          </cell>
          <cell r="V381">
            <v>0</v>
          </cell>
        </row>
        <row r="382">
          <cell r="D382" t="str">
            <v xml:space="preserve">IN Semi </v>
          </cell>
          <cell r="E382">
            <v>66644.698714909624</v>
          </cell>
          <cell r="F382">
            <v>66644.698714909624</v>
          </cell>
          <cell r="G382">
            <v>66644.698714909624</v>
          </cell>
          <cell r="H382">
            <v>83305.873393637026</v>
          </cell>
          <cell r="I382">
            <v>91636.460733000742</v>
          </cell>
          <cell r="J382">
            <v>113248.61712106197</v>
          </cell>
          <cell r="K382">
            <v>125783.57102828067</v>
          </cell>
          <cell r="L382">
            <v>132893.52345718083</v>
          </cell>
          <cell r="M382">
            <v>130692.56652078597</v>
          </cell>
          <cell r="N382">
            <v>99994.235484160803</v>
          </cell>
          <cell r="O382">
            <v>58203.868908258999</v>
          </cell>
          <cell r="P382">
            <v>21315.240545728044</v>
          </cell>
          <cell r="Q382">
            <v>1195.6402869112292</v>
          </cell>
          <cell r="R382">
            <v>1202.0123670650801</v>
          </cell>
          <cell r="S382">
            <v>1204.0250121849335</v>
          </cell>
          <cell r="T382">
            <v>1224.2812813720932</v>
          </cell>
          <cell r="U382">
            <v>1321.406114943489</v>
          </cell>
          <cell r="V382">
            <v>1307.3512301778428</v>
          </cell>
        </row>
        <row r="383">
          <cell r="D383" t="str">
            <v xml:space="preserve">IA Semi </v>
          </cell>
          <cell r="E383">
            <v>0</v>
          </cell>
          <cell r="F383">
            <v>0</v>
          </cell>
          <cell r="G383">
            <v>0</v>
          </cell>
          <cell r="H383">
            <v>0</v>
          </cell>
          <cell r="I383">
            <v>0</v>
          </cell>
          <cell r="J383">
            <v>0</v>
          </cell>
          <cell r="K383">
            <v>0</v>
          </cell>
          <cell r="L383">
            <v>0</v>
          </cell>
          <cell r="M383">
            <v>0</v>
          </cell>
          <cell r="N383">
            <v>0</v>
          </cell>
          <cell r="O383">
            <v>0</v>
          </cell>
          <cell r="P383">
            <v>0</v>
          </cell>
          <cell r="Q383">
            <v>0</v>
          </cell>
          <cell r="R383">
            <v>0</v>
          </cell>
          <cell r="S383">
            <v>0</v>
          </cell>
          <cell r="T383">
            <v>0</v>
          </cell>
          <cell r="U383">
            <v>0</v>
          </cell>
          <cell r="V383">
            <v>0</v>
          </cell>
        </row>
        <row r="384">
          <cell r="D384" t="str">
            <v xml:space="preserve">KS Semi </v>
          </cell>
          <cell r="E384">
            <v>488.99440647398728</v>
          </cell>
          <cell r="F384">
            <v>488.99440647398728</v>
          </cell>
          <cell r="G384">
            <v>488.99440647398728</v>
          </cell>
          <cell r="H384">
            <v>611.24300809248416</v>
          </cell>
          <cell r="I384">
            <v>672.3673089017326</v>
          </cell>
          <cell r="J384">
            <v>830.94291640520964</v>
          </cell>
          <cell r="K384">
            <v>922.91605851903114</v>
          </cell>
          <cell r="L384">
            <v>975.08415343234049</v>
          </cell>
          <cell r="M384">
            <v>956.02782211629767</v>
          </cell>
          <cell r="N384">
            <v>727.78941941264929</v>
          </cell>
          <cell r="O384">
            <v>419.40896090873281</v>
          </cell>
          <cell r="P384">
            <v>149.14070909651792</v>
          </cell>
          <cell r="Q384">
            <v>0</v>
          </cell>
          <cell r="R384">
            <v>0</v>
          </cell>
          <cell r="S384">
            <v>0</v>
          </cell>
          <cell r="T384">
            <v>0</v>
          </cell>
          <cell r="U384">
            <v>0</v>
          </cell>
          <cell r="V384">
            <v>0</v>
          </cell>
        </row>
        <row r="385">
          <cell r="D385" t="str">
            <v xml:space="preserve">KY Semi </v>
          </cell>
          <cell r="E385">
            <v>0</v>
          </cell>
          <cell r="F385">
            <v>0</v>
          </cell>
          <cell r="G385">
            <v>0</v>
          </cell>
          <cell r="H385">
            <v>0</v>
          </cell>
          <cell r="I385">
            <v>0</v>
          </cell>
          <cell r="J385">
            <v>0</v>
          </cell>
          <cell r="K385">
            <v>0</v>
          </cell>
          <cell r="L385">
            <v>0</v>
          </cell>
          <cell r="M385">
            <v>0</v>
          </cell>
          <cell r="N385">
            <v>0</v>
          </cell>
          <cell r="O385">
            <v>0</v>
          </cell>
          <cell r="P385">
            <v>0</v>
          </cell>
          <cell r="Q385">
            <v>0</v>
          </cell>
          <cell r="R385">
            <v>0</v>
          </cell>
          <cell r="S385">
            <v>0</v>
          </cell>
          <cell r="T385">
            <v>0</v>
          </cell>
          <cell r="U385">
            <v>0</v>
          </cell>
          <cell r="V385">
            <v>0</v>
          </cell>
        </row>
        <row r="386">
          <cell r="D386" t="str">
            <v xml:space="preserve">LA Semi </v>
          </cell>
          <cell r="E386">
            <v>0</v>
          </cell>
          <cell r="F386">
            <v>0</v>
          </cell>
          <cell r="G386">
            <v>0</v>
          </cell>
          <cell r="H386">
            <v>0</v>
          </cell>
          <cell r="I386">
            <v>0</v>
          </cell>
          <cell r="J386">
            <v>0</v>
          </cell>
          <cell r="K386">
            <v>0</v>
          </cell>
          <cell r="L386">
            <v>0</v>
          </cell>
          <cell r="M386">
            <v>0</v>
          </cell>
          <cell r="N386">
            <v>0</v>
          </cell>
          <cell r="O386">
            <v>0</v>
          </cell>
          <cell r="P386">
            <v>0</v>
          </cell>
          <cell r="Q386">
            <v>0</v>
          </cell>
          <cell r="R386">
            <v>0</v>
          </cell>
          <cell r="S386">
            <v>0</v>
          </cell>
          <cell r="T386">
            <v>0</v>
          </cell>
          <cell r="U386">
            <v>0</v>
          </cell>
          <cell r="V386">
            <v>0</v>
          </cell>
        </row>
        <row r="387">
          <cell r="D387" t="str">
            <v xml:space="preserve">ME Semi </v>
          </cell>
          <cell r="E387">
            <v>66644.698714909624</v>
          </cell>
          <cell r="F387">
            <v>66644.698714909624</v>
          </cell>
          <cell r="G387">
            <v>66644.698714909624</v>
          </cell>
          <cell r="H387">
            <v>83305.873393637026</v>
          </cell>
          <cell r="I387">
            <v>91636.460733000742</v>
          </cell>
          <cell r="J387">
            <v>113248.61712106197</v>
          </cell>
          <cell r="K387">
            <v>125783.57102828067</v>
          </cell>
          <cell r="L387">
            <v>132893.52345718083</v>
          </cell>
          <cell r="M387">
            <v>130296.34966059931</v>
          </cell>
          <cell r="N387">
            <v>99189.900625653099</v>
          </cell>
          <cell r="O387">
            <v>57160.94799457123</v>
          </cell>
          <cell r="P387">
            <v>20326.280816862807</v>
          </cell>
          <cell r="Q387">
            <v>0</v>
          </cell>
          <cell r="R387">
            <v>0</v>
          </cell>
          <cell r="S387">
            <v>0</v>
          </cell>
          <cell r="T387">
            <v>0</v>
          </cell>
          <cell r="U387">
            <v>0</v>
          </cell>
          <cell r="V387">
            <v>0</v>
          </cell>
        </row>
        <row r="388">
          <cell r="D388" t="str">
            <v xml:space="preserve">MD Semi </v>
          </cell>
          <cell r="E388">
            <v>2536.5218075530447</v>
          </cell>
          <cell r="F388">
            <v>2536.5218075530447</v>
          </cell>
          <cell r="G388">
            <v>2536.5218075530447</v>
          </cell>
          <cell r="H388">
            <v>3170.6522594413063</v>
          </cell>
          <cell r="I388">
            <v>3487.7174853854372</v>
          </cell>
          <cell r="J388">
            <v>4310.2841267483154</v>
          </cell>
          <cell r="K388">
            <v>4787.3690945766621</v>
          </cell>
          <cell r="L388">
            <v>5057.9765057335117</v>
          </cell>
          <cell r="M388">
            <v>4959.1271133577529</v>
          </cell>
          <cell r="N388">
            <v>3775.2041929435813</v>
          </cell>
          <cell r="O388">
            <v>2175.5667581133284</v>
          </cell>
          <cell r="P388">
            <v>773.62574297128856</v>
          </cell>
          <cell r="Q388">
            <v>0</v>
          </cell>
          <cell r="R388">
            <v>0</v>
          </cell>
          <cell r="S388">
            <v>0</v>
          </cell>
          <cell r="T388">
            <v>0</v>
          </cell>
          <cell r="U388">
            <v>0</v>
          </cell>
          <cell r="V388">
            <v>0</v>
          </cell>
        </row>
        <row r="389">
          <cell r="D389" t="str">
            <v xml:space="preserve">MA Semi </v>
          </cell>
          <cell r="E389">
            <v>71943.593936890073</v>
          </cell>
          <cell r="F389">
            <v>71943.593936890073</v>
          </cell>
          <cell r="G389">
            <v>71943.593936890073</v>
          </cell>
          <cell r="H389">
            <v>89929.492421112591</v>
          </cell>
          <cell r="I389">
            <v>98922.441663223857</v>
          </cell>
          <cell r="J389">
            <v>122252.97257213457</v>
          </cell>
          <cell r="K389">
            <v>135784.57600508438</v>
          </cell>
          <cell r="L389">
            <v>143459.83810872957</v>
          </cell>
          <cell r="M389">
            <v>237586.69510884184</v>
          </cell>
          <cell r="N389">
            <v>303849.01058164425</v>
          </cell>
          <cell r="O389">
            <v>316846.0672382323</v>
          </cell>
          <cell r="P389">
            <v>263881.61987454456</v>
          </cell>
          <cell r="Q389">
            <v>292501.55579951318</v>
          </cell>
          <cell r="R389">
            <v>294060.42210661597</v>
          </cell>
          <cell r="S389">
            <v>294552.79580401804</v>
          </cell>
          <cell r="T389">
            <v>299508.29146337253</v>
          </cell>
          <cell r="U389">
            <v>323268.92017202306</v>
          </cell>
          <cell r="V389">
            <v>319830.53179925017</v>
          </cell>
        </row>
        <row r="390">
          <cell r="D390" t="str">
            <v xml:space="preserve">MI Semi </v>
          </cell>
          <cell r="E390">
            <v>1330.8075619228769</v>
          </cell>
          <cell r="F390">
            <v>1330.8075619228769</v>
          </cell>
          <cell r="G390">
            <v>1330.8075619228769</v>
          </cell>
          <cell r="H390">
            <v>1663.509452403596</v>
          </cell>
          <cell r="I390">
            <v>1829.8603976439558</v>
          </cell>
          <cell r="J390">
            <v>2261.4269243939252</v>
          </cell>
          <cell r="K390">
            <v>2511.7335769821734</v>
          </cell>
          <cell r="L390">
            <v>2653.7100378221926</v>
          </cell>
          <cell r="M390">
            <v>3845.9290264540241</v>
          </cell>
          <cell r="N390">
            <v>4506.2234147202489</v>
          </cell>
          <cell r="O390">
            <v>4416.0963979865137</v>
          </cell>
          <cell r="P390">
            <v>3511.1235170009281</v>
          </cell>
          <cell r="Q390">
            <v>3754.1904445064552</v>
          </cell>
          <cell r="R390">
            <v>3774.1981363575014</v>
          </cell>
          <cell r="S390">
            <v>3780.5176399405191</v>
          </cell>
          <cell r="T390">
            <v>3844.1202912197259</v>
          </cell>
          <cell r="U390">
            <v>4149.082516154428</v>
          </cell>
          <cell r="V390">
            <v>4104.9515892665941</v>
          </cell>
        </row>
        <row r="391">
          <cell r="D391" t="str">
            <v xml:space="preserve">MN Semi </v>
          </cell>
          <cell r="E391">
            <v>13791.621516815339</v>
          </cell>
          <cell r="F391">
            <v>13791.621516815339</v>
          </cell>
          <cell r="G391">
            <v>13791.621516815339</v>
          </cell>
          <cell r="H391">
            <v>17239.526896019175</v>
          </cell>
          <cell r="I391">
            <v>18963.479585621095</v>
          </cell>
          <cell r="J391">
            <v>23435.953568006738</v>
          </cell>
          <cell r="K391">
            <v>26029.968446198545</v>
          </cell>
          <cell r="L391">
            <v>27501.319878387036</v>
          </cell>
          <cell r="M391">
            <v>34558.513588127083</v>
          </cell>
          <cell r="N391">
            <v>35944.046452273971</v>
          </cell>
          <cell r="O391">
            <v>31819.671537783426</v>
          </cell>
          <cell r="P391">
            <v>23162.688365950911</v>
          </cell>
          <cell r="Q391">
            <v>22917.95639925349</v>
          </cell>
          <cell r="R391">
            <v>23040.096023300255</v>
          </cell>
          <cell r="S391">
            <v>23078.67427598119</v>
          </cell>
          <cell r="T391">
            <v>23466.945145677419</v>
          </cell>
          <cell r="U391">
            <v>25328.627731519613</v>
          </cell>
          <cell r="V391">
            <v>25059.22460101141</v>
          </cell>
        </row>
        <row r="392">
          <cell r="D392" t="str">
            <v xml:space="preserve">MS Semi </v>
          </cell>
          <cell r="E392">
            <v>0</v>
          </cell>
          <cell r="F392">
            <v>0</v>
          </cell>
          <cell r="G392">
            <v>0</v>
          </cell>
          <cell r="H392">
            <v>0</v>
          </cell>
          <cell r="I392">
            <v>0</v>
          </cell>
          <cell r="J392">
            <v>0</v>
          </cell>
          <cell r="K392">
            <v>0</v>
          </cell>
          <cell r="L392">
            <v>0</v>
          </cell>
          <cell r="M392">
            <v>0</v>
          </cell>
          <cell r="N392">
            <v>0</v>
          </cell>
          <cell r="O392">
            <v>0</v>
          </cell>
          <cell r="P392">
            <v>0</v>
          </cell>
          <cell r="Q392">
            <v>0</v>
          </cell>
          <cell r="R392">
            <v>0</v>
          </cell>
          <cell r="S392">
            <v>0</v>
          </cell>
          <cell r="T392">
            <v>0</v>
          </cell>
          <cell r="U392">
            <v>0</v>
          </cell>
          <cell r="V392">
            <v>0</v>
          </cell>
        </row>
        <row r="393">
          <cell r="D393" t="str">
            <v xml:space="preserve">MO Semi </v>
          </cell>
          <cell r="E393">
            <v>66644.698714909624</v>
          </cell>
          <cell r="F393">
            <v>66644.698714909624</v>
          </cell>
          <cell r="G393">
            <v>66644.698714909624</v>
          </cell>
          <cell r="H393">
            <v>83305.873393637026</v>
          </cell>
          <cell r="I393">
            <v>91636.460733000742</v>
          </cell>
          <cell r="J393">
            <v>113248.61712106197</v>
          </cell>
          <cell r="K393">
            <v>125783.57102828067</v>
          </cell>
          <cell r="L393">
            <v>132893.52345718083</v>
          </cell>
          <cell r="M393">
            <v>130296.34966059931</v>
          </cell>
          <cell r="N393">
            <v>99189.900625653099</v>
          </cell>
          <cell r="O393">
            <v>57160.94799457123</v>
          </cell>
          <cell r="P393">
            <v>20326.280816862807</v>
          </cell>
          <cell r="Q393">
            <v>0</v>
          </cell>
          <cell r="R393">
            <v>0</v>
          </cell>
          <cell r="S393">
            <v>0</v>
          </cell>
          <cell r="T393">
            <v>0</v>
          </cell>
          <cell r="U393">
            <v>0</v>
          </cell>
          <cell r="V393">
            <v>0</v>
          </cell>
        </row>
        <row r="394">
          <cell r="D394" t="str">
            <v xml:space="preserve">MT Semi </v>
          </cell>
          <cell r="E394">
            <v>0</v>
          </cell>
          <cell r="F394">
            <v>0</v>
          </cell>
          <cell r="G394">
            <v>0</v>
          </cell>
          <cell r="H394">
            <v>0</v>
          </cell>
          <cell r="I394">
            <v>0</v>
          </cell>
          <cell r="J394">
            <v>0</v>
          </cell>
          <cell r="K394">
            <v>0</v>
          </cell>
          <cell r="L394">
            <v>0</v>
          </cell>
          <cell r="M394">
            <v>0</v>
          </cell>
          <cell r="N394">
            <v>0</v>
          </cell>
          <cell r="O394">
            <v>0</v>
          </cell>
          <cell r="P394">
            <v>0</v>
          </cell>
          <cell r="Q394">
            <v>0</v>
          </cell>
          <cell r="R394">
            <v>0</v>
          </cell>
          <cell r="S394">
            <v>0</v>
          </cell>
          <cell r="T394">
            <v>0</v>
          </cell>
          <cell r="U394">
            <v>0</v>
          </cell>
          <cell r="V394">
            <v>0</v>
          </cell>
        </row>
        <row r="395">
          <cell r="D395" t="str">
            <v xml:space="preserve">NE Semi </v>
          </cell>
          <cell r="E395">
            <v>0</v>
          </cell>
          <cell r="F395">
            <v>0</v>
          </cell>
          <cell r="G395">
            <v>0</v>
          </cell>
          <cell r="H395">
            <v>0</v>
          </cell>
          <cell r="I395">
            <v>0</v>
          </cell>
          <cell r="J395">
            <v>0</v>
          </cell>
          <cell r="K395">
            <v>0</v>
          </cell>
          <cell r="L395">
            <v>0</v>
          </cell>
          <cell r="M395">
            <v>0</v>
          </cell>
          <cell r="N395">
            <v>0</v>
          </cell>
          <cell r="O395">
            <v>0</v>
          </cell>
          <cell r="P395">
            <v>0</v>
          </cell>
          <cell r="Q395">
            <v>0</v>
          </cell>
          <cell r="R395">
            <v>0</v>
          </cell>
          <cell r="S395">
            <v>0</v>
          </cell>
          <cell r="T395">
            <v>0</v>
          </cell>
          <cell r="U395">
            <v>0</v>
          </cell>
          <cell r="V395">
            <v>0</v>
          </cell>
        </row>
        <row r="396">
          <cell r="D396" t="str">
            <v xml:space="preserve">NV Semi </v>
          </cell>
          <cell r="E396">
            <v>0</v>
          </cell>
          <cell r="F396">
            <v>0</v>
          </cell>
          <cell r="G396">
            <v>0</v>
          </cell>
          <cell r="H396">
            <v>0</v>
          </cell>
          <cell r="I396">
            <v>0</v>
          </cell>
          <cell r="J396">
            <v>0</v>
          </cell>
          <cell r="K396">
            <v>0</v>
          </cell>
          <cell r="L396">
            <v>0</v>
          </cell>
          <cell r="M396">
            <v>326.19105644294808</v>
          </cell>
          <cell r="N396">
            <v>662.17989084794146</v>
          </cell>
          <cell r="O396">
            <v>858.59918848982954</v>
          </cell>
          <cell r="P396">
            <v>814.17489045293792</v>
          </cell>
          <cell r="Q396">
            <v>984.32754257248712</v>
          </cell>
          <cell r="R396">
            <v>989.57344643469173</v>
          </cell>
          <cell r="S396">
            <v>991.23038460128157</v>
          </cell>
          <cell r="T396">
            <v>1007.9066407369735</v>
          </cell>
          <cell r="U396">
            <v>1087.8660146378563</v>
          </cell>
          <cell r="V396">
            <v>1076.295134721918</v>
          </cell>
        </row>
        <row r="397">
          <cell r="D397" t="str">
            <v xml:space="preserve">NH Semi </v>
          </cell>
          <cell r="E397">
            <v>10136.635735203397</v>
          </cell>
          <cell r="F397">
            <v>10136.635735203397</v>
          </cell>
          <cell r="G397">
            <v>10136.635735203397</v>
          </cell>
          <cell r="H397">
            <v>12670.794669004246</v>
          </cell>
          <cell r="I397">
            <v>13937.874135904673</v>
          </cell>
          <cell r="J397">
            <v>17225.075683550276</v>
          </cell>
          <cell r="K397">
            <v>19131.637858264021</v>
          </cell>
          <cell r="L397">
            <v>20213.059175429669</v>
          </cell>
          <cell r="M397">
            <v>22224.029829530238</v>
          </cell>
          <cell r="N397">
            <v>19971.01838352402</v>
          </cell>
          <cell r="O397">
            <v>15027.226723296375</v>
          </cell>
          <cell r="P397">
            <v>9097.0109049945731</v>
          </cell>
          <cell r="Q397">
            <v>7260.4441995174693</v>
          </cell>
          <cell r="R397">
            <v>7299.1382222083612</v>
          </cell>
          <cell r="S397">
            <v>7311.3598726044647</v>
          </cell>
          <cell r="T397">
            <v>7434.3646874586984</v>
          </cell>
          <cell r="U397">
            <v>8024.1486235238235</v>
          </cell>
          <cell r="V397">
            <v>7938.8012931530484</v>
          </cell>
        </row>
        <row r="398">
          <cell r="D398" t="str">
            <v xml:space="preserve">NJ Semi </v>
          </cell>
          <cell r="E398">
            <v>11385.196758206714</v>
          </cell>
          <cell r="F398">
            <v>11385.196758206714</v>
          </cell>
          <cell r="G398">
            <v>11385.196758206714</v>
          </cell>
          <cell r="H398">
            <v>14231.495947758391</v>
          </cell>
          <cell r="I398">
            <v>15654.645542534232</v>
          </cell>
          <cell r="J398">
            <v>19346.741952179542</v>
          </cell>
          <cell r="K398">
            <v>21488.14133338508</v>
          </cell>
          <cell r="L398">
            <v>22702.764685360835</v>
          </cell>
          <cell r="M398">
            <v>30683.766014332072</v>
          </cell>
          <cell r="N398">
            <v>34047.458596435579</v>
          </cell>
          <cell r="O398">
            <v>31940.486433818129</v>
          </cell>
          <cell r="P398">
            <v>24500.496964271279</v>
          </cell>
          <cell r="Q398">
            <v>25422.683521425057</v>
          </cell>
          <cell r="R398">
            <v>25558.171911117079</v>
          </cell>
          <cell r="S398">
            <v>25600.966420873145</v>
          </cell>
          <cell r="T398">
            <v>26031.671814884507</v>
          </cell>
          <cell r="U398">
            <v>28096.819613086795</v>
          </cell>
          <cell r="V398">
            <v>27797.973136233635</v>
          </cell>
        </row>
        <row r="399">
          <cell r="D399" t="str">
            <v xml:space="preserve">NM Semi </v>
          </cell>
          <cell r="E399">
            <v>66644.698714909624</v>
          </cell>
          <cell r="F399">
            <v>66644.698714909624</v>
          </cell>
          <cell r="G399">
            <v>66644.698714909624</v>
          </cell>
          <cell r="H399">
            <v>83305.873393637026</v>
          </cell>
          <cell r="I399">
            <v>91636.460733000742</v>
          </cell>
          <cell r="J399">
            <v>113248.61712106197</v>
          </cell>
          <cell r="K399">
            <v>125783.57102828067</v>
          </cell>
          <cell r="L399">
            <v>132893.52345718083</v>
          </cell>
          <cell r="M399">
            <v>130296.34966059931</v>
          </cell>
          <cell r="N399">
            <v>99189.900625653099</v>
          </cell>
          <cell r="O399">
            <v>57160.94799457123</v>
          </cell>
          <cell r="P399">
            <v>20326.280816862807</v>
          </cell>
          <cell r="Q399">
            <v>0</v>
          </cell>
          <cell r="R399">
            <v>0</v>
          </cell>
          <cell r="S399">
            <v>0</v>
          </cell>
          <cell r="T399">
            <v>0</v>
          </cell>
          <cell r="U399">
            <v>0</v>
          </cell>
          <cell r="V399">
            <v>0</v>
          </cell>
        </row>
        <row r="400">
          <cell r="D400" t="str">
            <v xml:space="preserve">NY Semi </v>
          </cell>
          <cell r="E400">
            <v>43260.604595786506</v>
          </cell>
          <cell r="F400">
            <v>43260.604595786506</v>
          </cell>
          <cell r="G400">
            <v>43260.604595786506</v>
          </cell>
          <cell r="H400">
            <v>54075.755744733135</v>
          </cell>
          <cell r="I400">
            <v>59483.331319206452</v>
          </cell>
          <cell r="J400">
            <v>73512.278407192192</v>
          </cell>
          <cell r="K400">
            <v>81649.004884511858</v>
          </cell>
          <cell r="L400">
            <v>86264.238303710881</v>
          </cell>
          <cell r="M400">
            <v>113584.05578964142</v>
          </cell>
          <cell r="N400">
            <v>123269.09019547344</v>
          </cell>
          <cell r="O400">
            <v>113453.21375075782</v>
          </cell>
          <cell r="P400">
            <v>85592.668581978476</v>
          </cell>
          <cell r="Q400">
            <v>87528.800817648618</v>
          </cell>
          <cell r="R400">
            <v>87995.27935696028</v>
          </cell>
          <cell r="S400">
            <v>88142.618331517035</v>
          </cell>
          <cell r="T400">
            <v>89625.511615057927</v>
          </cell>
          <cell r="U400">
            <v>96735.693753600368</v>
          </cell>
          <cell r="V400">
            <v>95706.782949377375</v>
          </cell>
        </row>
        <row r="401">
          <cell r="D401" t="str">
            <v xml:space="preserve">NC Semi </v>
          </cell>
          <cell r="E401">
            <v>12994.879019918133</v>
          </cell>
          <cell r="F401">
            <v>12994.879019918133</v>
          </cell>
          <cell r="G401">
            <v>12994.879019918133</v>
          </cell>
          <cell r="H401">
            <v>16243.598774897668</v>
          </cell>
          <cell r="I401">
            <v>17867.958652387435</v>
          </cell>
          <cell r="J401">
            <v>22082.0576435736</v>
          </cell>
          <cell r="K401">
            <v>24526.216184095527</v>
          </cell>
          <cell r="L401">
            <v>25912.567588370996</v>
          </cell>
          <cell r="M401">
            <v>41715.547690123894</v>
          </cell>
          <cell r="N401">
            <v>52449.461469108421</v>
          </cell>
          <cell r="O401">
            <v>54075.214367950364</v>
          </cell>
          <cell r="P401">
            <v>44671.72341305545</v>
          </cell>
          <cell r="Q401">
            <v>49215.904996734673</v>
          </cell>
          <cell r="R401">
            <v>49478.19767365147</v>
          </cell>
          <cell r="S401">
            <v>49561.043787231945</v>
          </cell>
          <cell r="T401">
            <v>50394.848595264106</v>
          </cell>
          <cell r="U401">
            <v>54392.77893786085</v>
          </cell>
          <cell r="V401">
            <v>53814.240492026896</v>
          </cell>
        </row>
        <row r="402">
          <cell r="D402" t="str">
            <v xml:space="preserve">ND Semi </v>
          </cell>
          <cell r="E402">
            <v>66644.698714909624</v>
          </cell>
          <cell r="F402">
            <v>66644.698714909624</v>
          </cell>
          <cell r="G402">
            <v>66644.698714909624</v>
          </cell>
          <cell r="H402">
            <v>83305.873393637026</v>
          </cell>
          <cell r="I402">
            <v>91636.460733000742</v>
          </cell>
          <cell r="J402">
            <v>113248.61712106197</v>
          </cell>
          <cell r="K402">
            <v>125783.57102828067</v>
          </cell>
          <cell r="L402">
            <v>132893.52345718083</v>
          </cell>
          <cell r="M402">
            <v>130296.34966059931</v>
          </cell>
          <cell r="N402">
            <v>99189.900625653099</v>
          </cell>
          <cell r="O402">
            <v>57160.94799457123</v>
          </cell>
          <cell r="P402">
            <v>20326.280816862807</v>
          </cell>
          <cell r="Q402">
            <v>0</v>
          </cell>
          <cell r="R402">
            <v>0</v>
          </cell>
          <cell r="S402">
            <v>0</v>
          </cell>
          <cell r="T402">
            <v>0</v>
          </cell>
          <cell r="U402">
            <v>0</v>
          </cell>
          <cell r="V402">
            <v>0</v>
          </cell>
        </row>
        <row r="403">
          <cell r="D403" t="str">
            <v xml:space="preserve">OH Semi </v>
          </cell>
          <cell r="E403">
            <v>14817.053128238773</v>
          </cell>
          <cell r="F403">
            <v>14817.053128238773</v>
          </cell>
          <cell r="G403">
            <v>14817.053128238773</v>
          </cell>
          <cell r="H403">
            <v>18521.316410298467</v>
          </cell>
          <cell r="I403">
            <v>20373.448051328312</v>
          </cell>
          <cell r="J403">
            <v>25178.458436138819</v>
          </cell>
          <cell r="K403">
            <v>27965.342938352533</v>
          </cell>
          <cell r="L403">
            <v>29546.091968803103</v>
          </cell>
          <cell r="M403">
            <v>32011.781011667998</v>
          </cell>
          <cell r="N403">
            <v>28230.435598483287</v>
          </cell>
          <cell r="O403">
            <v>20718.62185447483</v>
          </cell>
          <cell r="P403">
            <v>12114.759820072857</v>
          </cell>
          <cell r="Q403">
            <v>9183.0327017121199</v>
          </cell>
          <cell r="R403">
            <v>9231.9730235391053</v>
          </cell>
          <cell r="S403">
            <v>9247.4310054713642</v>
          </cell>
          <cell r="T403">
            <v>9403.0078828956866</v>
          </cell>
          <cell r="U403">
            <v>10148.96846368088</v>
          </cell>
          <cell r="V403">
            <v>10041.020891292575</v>
          </cell>
        </row>
        <row r="404">
          <cell r="D404" t="str">
            <v xml:space="preserve">OK Semi </v>
          </cell>
          <cell r="E404">
            <v>66644.698714909624</v>
          </cell>
          <cell r="F404">
            <v>66644.698714909624</v>
          </cell>
          <cell r="G404">
            <v>66644.698714909624</v>
          </cell>
          <cell r="H404">
            <v>83305.873393637026</v>
          </cell>
          <cell r="I404">
            <v>91636.460733000742</v>
          </cell>
          <cell r="J404">
            <v>113248.61712106197</v>
          </cell>
          <cell r="K404">
            <v>125783.57102828067</v>
          </cell>
          <cell r="L404">
            <v>132893.52345718083</v>
          </cell>
          <cell r="M404">
            <v>130296.34966059931</v>
          </cell>
          <cell r="N404">
            <v>99189.900625653099</v>
          </cell>
          <cell r="O404">
            <v>57160.94799457123</v>
          </cell>
          <cell r="P404">
            <v>20326.280816862807</v>
          </cell>
          <cell r="Q404">
            <v>0</v>
          </cell>
          <cell r="R404">
            <v>0</v>
          </cell>
          <cell r="S404">
            <v>0</v>
          </cell>
          <cell r="T404">
            <v>0</v>
          </cell>
          <cell r="U404">
            <v>0</v>
          </cell>
          <cell r="V404">
            <v>0</v>
          </cell>
        </row>
        <row r="405">
          <cell r="D405" t="str">
            <v xml:space="preserve">OR Semi </v>
          </cell>
          <cell r="E405">
            <v>291316.27717124362</v>
          </cell>
          <cell r="F405">
            <v>291316.27717124362</v>
          </cell>
          <cell r="G405">
            <v>291316.27717124362</v>
          </cell>
          <cell r="H405">
            <v>364145.34646405448</v>
          </cell>
          <cell r="I405">
            <v>400559.88111045997</v>
          </cell>
          <cell r="J405">
            <v>495030.60514427099</v>
          </cell>
          <cell r="K405">
            <v>549823.20196258556</v>
          </cell>
          <cell r="L405">
            <v>580902.11615067616</v>
          </cell>
          <cell r="M405">
            <v>774841.57817093085</v>
          </cell>
          <cell r="N405">
            <v>850328.08392003842</v>
          </cell>
          <cell r="O405">
            <v>790230.57689560356</v>
          </cell>
          <cell r="P405">
            <v>601260.49308562523</v>
          </cell>
          <cell r="Q405">
            <v>619498.14661773969</v>
          </cell>
          <cell r="R405">
            <v>622799.71807583107</v>
          </cell>
          <cell r="S405">
            <v>623842.5316504467</v>
          </cell>
          <cell r="T405">
            <v>634337.93010448618</v>
          </cell>
          <cell r="U405">
            <v>684661.30499132071</v>
          </cell>
          <cell r="V405">
            <v>677379.03526642127</v>
          </cell>
        </row>
        <row r="406">
          <cell r="D406" t="str">
            <v xml:space="preserve">PA Semi </v>
          </cell>
          <cell r="E406">
            <v>153549.09910673849</v>
          </cell>
          <cell r="F406">
            <v>153549.09910673849</v>
          </cell>
          <cell r="G406">
            <v>153549.09910673849</v>
          </cell>
          <cell r="H406">
            <v>191936.37388342313</v>
          </cell>
          <cell r="I406">
            <v>211130.01127176546</v>
          </cell>
          <cell r="J406">
            <v>260924.32660563206</v>
          </cell>
          <cell r="K406">
            <v>289804.80647742905</v>
          </cell>
          <cell r="L406">
            <v>306186.1062837278</v>
          </cell>
          <cell r="M406">
            <v>314590.68773914839</v>
          </cell>
          <cell r="N406">
            <v>257742.20683229159</v>
          </cell>
          <cell r="O406">
            <v>169571.83911002567</v>
          </cell>
          <cell r="P406">
            <v>82745.345306669755</v>
          </cell>
          <cell r="Q406">
            <v>43419.204550054543</v>
          </cell>
          <cell r="R406">
            <v>43650.60412285092</v>
          </cell>
          <cell r="S406">
            <v>43723.692535061695</v>
          </cell>
          <cell r="T406">
            <v>44459.290946127578</v>
          </cell>
          <cell r="U406">
            <v>47986.340897430819</v>
          </cell>
          <cell r="V406">
            <v>47475.943311093593</v>
          </cell>
        </row>
        <row r="407">
          <cell r="D407" t="str">
            <v xml:space="preserve">PR Semi </v>
          </cell>
          <cell r="E407">
            <v>0</v>
          </cell>
          <cell r="F407">
            <v>0</v>
          </cell>
          <cell r="G407">
            <v>0</v>
          </cell>
          <cell r="H407">
            <v>0</v>
          </cell>
          <cell r="I407">
            <v>0</v>
          </cell>
          <cell r="J407">
            <v>0</v>
          </cell>
          <cell r="K407">
            <v>0</v>
          </cell>
          <cell r="L407">
            <v>0</v>
          </cell>
          <cell r="M407">
            <v>0</v>
          </cell>
          <cell r="N407">
            <v>0</v>
          </cell>
          <cell r="O407">
            <v>0</v>
          </cell>
          <cell r="P407">
            <v>0</v>
          </cell>
          <cell r="Q407">
            <v>0</v>
          </cell>
          <cell r="R407">
            <v>0</v>
          </cell>
          <cell r="S407">
            <v>0</v>
          </cell>
          <cell r="T407">
            <v>0</v>
          </cell>
          <cell r="U407">
            <v>0</v>
          </cell>
          <cell r="V407">
            <v>0</v>
          </cell>
        </row>
        <row r="408">
          <cell r="D408" t="str">
            <v xml:space="preserve">RI Semi </v>
          </cell>
          <cell r="E408">
            <v>4730.6029782976939</v>
          </cell>
          <cell r="F408">
            <v>4730.6029782976939</v>
          </cell>
          <cell r="G408">
            <v>4730.6029782976939</v>
          </cell>
          <cell r="H408">
            <v>5913.2537228721176</v>
          </cell>
          <cell r="I408">
            <v>6504.5790951593299</v>
          </cell>
          <cell r="J408">
            <v>8038.662575889738</v>
          </cell>
          <cell r="K408">
            <v>8928.4241237658207</v>
          </cell>
          <cell r="L408">
            <v>9433.1058581613779</v>
          </cell>
          <cell r="M408">
            <v>9248.7521385981363</v>
          </cell>
          <cell r="N408">
            <v>7040.7406495153391</v>
          </cell>
          <cell r="O408">
            <v>4057.4232615585911</v>
          </cell>
          <cell r="P408">
            <v>1442.808901894769</v>
          </cell>
          <cell r="Q408">
            <v>0</v>
          </cell>
          <cell r="R408">
            <v>0</v>
          </cell>
          <cell r="S408">
            <v>0</v>
          </cell>
          <cell r="T408">
            <v>0</v>
          </cell>
          <cell r="U408">
            <v>0</v>
          </cell>
          <cell r="V408">
            <v>0</v>
          </cell>
        </row>
        <row r="409">
          <cell r="D409" t="str">
            <v xml:space="preserve">SC Semi </v>
          </cell>
          <cell r="E409">
            <v>66644.698714909624</v>
          </cell>
          <cell r="F409">
            <v>66644.698714909624</v>
          </cell>
          <cell r="G409">
            <v>66644.698714909624</v>
          </cell>
          <cell r="H409">
            <v>83305.873393637026</v>
          </cell>
          <cell r="I409">
            <v>91636.460733000742</v>
          </cell>
          <cell r="J409">
            <v>113248.61712106197</v>
          </cell>
          <cell r="K409">
            <v>125783.57102828067</v>
          </cell>
          <cell r="L409">
            <v>132893.52345718083</v>
          </cell>
          <cell r="M409">
            <v>130296.34966059931</v>
          </cell>
          <cell r="N409">
            <v>99189.900625653099</v>
          </cell>
          <cell r="O409">
            <v>57160.94799457123</v>
          </cell>
          <cell r="P409">
            <v>20326.280816862807</v>
          </cell>
          <cell r="Q409">
            <v>0</v>
          </cell>
          <cell r="R409">
            <v>0</v>
          </cell>
          <cell r="S409">
            <v>0</v>
          </cell>
          <cell r="T409">
            <v>0</v>
          </cell>
          <cell r="U409">
            <v>0</v>
          </cell>
          <cell r="V409">
            <v>0</v>
          </cell>
        </row>
        <row r="410">
          <cell r="D410" t="str">
            <v xml:space="preserve">SD Semi </v>
          </cell>
          <cell r="E410">
            <v>0</v>
          </cell>
          <cell r="F410">
            <v>0</v>
          </cell>
          <cell r="G410">
            <v>0</v>
          </cell>
          <cell r="H410">
            <v>0</v>
          </cell>
          <cell r="I410">
            <v>0</v>
          </cell>
          <cell r="J410">
            <v>0</v>
          </cell>
          <cell r="K410">
            <v>0</v>
          </cell>
          <cell r="L410">
            <v>0</v>
          </cell>
          <cell r="M410">
            <v>0</v>
          </cell>
          <cell r="N410">
            <v>0</v>
          </cell>
          <cell r="O410">
            <v>0</v>
          </cell>
          <cell r="P410">
            <v>0</v>
          </cell>
          <cell r="Q410">
            <v>0</v>
          </cell>
          <cell r="R410">
            <v>0</v>
          </cell>
          <cell r="S410">
            <v>0</v>
          </cell>
          <cell r="T410">
            <v>0</v>
          </cell>
          <cell r="U410">
            <v>0</v>
          </cell>
          <cell r="V410">
            <v>0</v>
          </cell>
        </row>
        <row r="411">
          <cell r="D411" t="str">
            <v xml:space="preserve">TN Semi </v>
          </cell>
          <cell r="E411">
            <v>66644.698714909624</v>
          </cell>
          <cell r="F411">
            <v>66644.698714909624</v>
          </cell>
          <cell r="G411">
            <v>66644.698714909624</v>
          </cell>
          <cell r="H411">
            <v>83305.873393637026</v>
          </cell>
          <cell r="I411">
            <v>91636.460733000742</v>
          </cell>
          <cell r="J411">
            <v>113248.61712106197</v>
          </cell>
          <cell r="K411">
            <v>125783.57102828067</v>
          </cell>
          <cell r="L411">
            <v>132893.52345718083</v>
          </cell>
          <cell r="M411">
            <v>130296.34966059931</v>
          </cell>
          <cell r="N411">
            <v>99189.900625653099</v>
          </cell>
          <cell r="O411">
            <v>57160.94799457123</v>
          </cell>
          <cell r="P411">
            <v>20326.280816862807</v>
          </cell>
          <cell r="Q411">
            <v>0</v>
          </cell>
          <cell r="R411">
            <v>0</v>
          </cell>
          <cell r="S411">
            <v>0</v>
          </cell>
          <cell r="T411">
            <v>0</v>
          </cell>
          <cell r="U411">
            <v>0</v>
          </cell>
          <cell r="V411">
            <v>0</v>
          </cell>
        </row>
        <row r="412">
          <cell r="D412" t="str">
            <v xml:space="preserve">TX Semi </v>
          </cell>
          <cell r="E412">
            <v>503685.84738032508</v>
          </cell>
          <cell r="F412">
            <v>503685.84738032508</v>
          </cell>
          <cell r="G412">
            <v>503685.84738032508</v>
          </cell>
          <cell r="H412">
            <v>629607.30922540638</v>
          </cell>
          <cell r="I412">
            <v>692568.04014794703</v>
          </cell>
          <cell r="J412">
            <v>855907.92334861029</v>
          </cell>
          <cell r="K412">
            <v>950644.32402826822</v>
          </cell>
          <cell r="L412">
            <v>1004379.7671023502</v>
          </cell>
          <cell r="M412">
            <v>1189642.2929086389</v>
          </cell>
          <cell r="N412">
            <v>1165592.3497435187</v>
          </cell>
          <cell r="O412">
            <v>971324.30623861705</v>
          </cell>
          <cell r="P412">
            <v>665031.69305401226</v>
          </cell>
          <cell r="Q412">
            <v>618288.67961120198</v>
          </cell>
          <cell r="R412">
            <v>621583.80530061747</v>
          </cell>
          <cell r="S412">
            <v>622624.5829553206</v>
          </cell>
          <cell r="T412">
            <v>633099.49089099467</v>
          </cell>
          <cell r="U412">
            <v>683324.61776544119</v>
          </cell>
          <cell r="V412">
            <v>676056.56545993686</v>
          </cell>
        </row>
        <row r="413">
          <cell r="D413" t="str">
            <v xml:space="preserve">UT Semi </v>
          </cell>
          <cell r="E413">
            <v>1918.8017455280717</v>
          </cell>
          <cell r="F413">
            <v>1918.8017455280717</v>
          </cell>
          <cell r="G413">
            <v>1918.8017455280717</v>
          </cell>
          <cell r="H413">
            <v>2398.5021819100898</v>
          </cell>
          <cell r="I413">
            <v>2638.3524001010987</v>
          </cell>
          <cell r="J413">
            <v>3260.5990934117563</v>
          </cell>
          <cell r="K413">
            <v>3621.4993885751328</v>
          </cell>
          <cell r="L413">
            <v>3826.2056802121456</v>
          </cell>
          <cell r="M413">
            <v>3751.4291156779068</v>
          </cell>
          <cell r="N413">
            <v>2855.8273670562762</v>
          </cell>
          <cell r="O413">
            <v>1645.7502082380202</v>
          </cell>
          <cell r="P413">
            <v>585.22438938964933</v>
          </cell>
          <cell r="Q413">
            <v>0</v>
          </cell>
          <cell r="R413">
            <v>0</v>
          </cell>
          <cell r="S413">
            <v>0</v>
          </cell>
          <cell r="T413">
            <v>0</v>
          </cell>
          <cell r="U413">
            <v>0</v>
          </cell>
          <cell r="V413">
            <v>0</v>
          </cell>
        </row>
        <row r="414">
          <cell r="D414" t="str">
            <v xml:space="preserve">VT Semi </v>
          </cell>
          <cell r="E414">
            <v>66644.698714909624</v>
          </cell>
          <cell r="F414">
            <v>66644.698714909624</v>
          </cell>
          <cell r="G414">
            <v>66644.698714909624</v>
          </cell>
          <cell r="H414">
            <v>83305.873393637026</v>
          </cell>
          <cell r="I414">
            <v>91636.460733000742</v>
          </cell>
          <cell r="J414">
            <v>113248.61712106197</v>
          </cell>
          <cell r="K414">
            <v>125783.57102828067</v>
          </cell>
          <cell r="L414">
            <v>132893.52345718083</v>
          </cell>
          <cell r="M414">
            <v>130296.34966059931</v>
          </cell>
          <cell r="N414">
            <v>99189.900625653099</v>
          </cell>
          <cell r="O414">
            <v>57160.94799457123</v>
          </cell>
          <cell r="P414">
            <v>20326.280816862807</v>
          </cell>
          <cell r="Q414">
            <v>0</v>
          </cell>
          <cell r="R414">
            <v>0</v>
          </cell>
          <cell r="S414">
            <v>0</v>
          </cell>
          <cell r="T414">
            <v>0</v>
          </cell>
          <cell r="U414">
            <v>0</v>
          </cell>
          <cell r="V414">
            <v>0</v>
          </cell>
        </row>
        <row r="415">
          <cell r="D415" t="str">
            <v xml:space="preserve">VA Semi </v>
          </cell>
          <cell r="E415">
            <v>2895.3079710236884</v>
          </cell>
          <cell r="F415">
            <v>2895.3079710236884</v>
          </cell>
          <cell r="G415">
            <v>2895.3079710236884</v>
          </cell>
          <cell r="H415">
            <v>3619.1349637796106</v>
          </cell>
          <cell r="I415">
            <v>3981.0484601575718</v>
          </cell>
          <cell r="J415">
            <v>4919.9655813683739</v>
          </cell>
          <cell r="K415">
            <v>5464.5333063908229</v>
          </cell>
          <cell r="L415">
            <v>5773.4176188408464</v>
          </cell>
          <cell r="M415">
            <v>5660.5861687724246</v>
          </cell>
          <cell r="N415">
            <v>4309.1996132357399</v>
          </cell>
          <cell r="O415">
            <v>2483.2965194713615</v>
          </cell>
          <cell r="P415">
            <v>883.05362624683562</v>
          </cell>
          <cell r="Q415">
            <v>0</v>
          </cell>
          <cell r="R415">
            <v>0</v>
          </cell>
          <cell r="S415">
            <v>0</v>
          </cell>
          <cell r="T415">
            <v>0</v>
          </cell>
          <cell r="U415">
            <v>0</v>
          </cell>
          <cell r="V415">
            <v>0</v>
          </cell>
        </row>
        <row r="416">
          <cell r="D416" t="str">
            <v xml:space="preserve">WA Semi </v>
          </cell>
          <cell r="E416">
            <v>26063.257312786922</v>
          </cell>
          <cell r="F416">
            <v>26063.257312786922</v>
          </cell>
          <cell r="G416">
            <v>26063.257312786922</v>
          </cell>
          <cell r="H416">
            <v>32579.071640983653</v>
          </cell>
          <cell r="I416">
            <v>35836.978805082021</v>
          </cell>
          <cell r="J416">
            <v>44289.011808274437</v>
          </cell>
          <cell r="K416">
            <v>49191.153094640184</v>
          </cell>
          <cell r="L416">
            <v>51971.697132040747</v>
          </cell>
          <cell r="M416">
            <v>70329.344087127</v>
          </cell>
          <cell r="N416">
            <v>78119.564246817055</v>
          </cell>
          <cell r="O416">
            <v>73348.835070778776</v>
          </cell>
          <cell r="P416">
            <v>56305.141375742751</v>
          </cell>
          <cell r="Q416">
            <v>58461.798687187205</v>
          </cell>
          <cell r="R416">
            <v>58773.366699114456</v>
          </cell>
          <cell r="S416">
            <v>58871.77660978213</v>
          </cell>
          <cell r="T416">
            <v>59862.223271990602</v>
          </cell>
          <cell r="U416">
            <v>64611.220549797348</v>
          </cell>
          <cell r="V416">
            <v>63923.995593649794</v>
          </cell>
        </row>
        <row r="417">
          <cell r="D417" t="str">
            <v xml:space="preserve">WV Semi </v>
          </cell>
          <cell r="E417">
            <v>0</v>
          </cell>
          <cell r="F417">
            <v>0</v>
          </cell>
          <cell r="G417">
            <v>0</v>
          </cell>
          <cell r="H417">
            <v>0</v>
          </cell>
          <cell r="I417">
            <v>0</v>
          </cell>
          <cell r="J417">
            <v>0</v>
          </cell>
          <cell r="K417">
            <v>0</v>
          </cell>
          <cell r="L417">
            <v>0</v>
          </cell>
          <cell r="M417">
            <v>0</v>
          </cell>
          <cell r="N417">
            <v>0</v>
          </cell>
          <cell r="O417">
            <v>0</v>
          </cell>
          <cell r="P417">
            <v>0</v>
          </cell>
          <cell r="Q417">
            <v>0</v>
          </cell>
          <cell r="R417">
            <v>0</v>
          </cell>
          <cell r="S417">
            <v>0</v>
          </cell>
          <cell r="T417">
            <v>0</v>
          </cell>
          <cell r="U417">
            <v>0</v>
          </cell>
          <cell r="V417">
            <v>0</v>
          </cell>
        </row>
        <row r="418">
          <cell r="D418" t="str">
            <v xml:space="preserve">WI Semi </v>
          </cell>
          <cell r="E418">
            <v>2797.4571991680582</v>
          </cell>
          <cell r="F418">
            <v>2797.4571991680582</v>
          </cell>
          <cell r="G418">
            <v>2797.4571991680582</v>
          </cell>
          <cell r="H418">
            <v>3496.8214989600729</v>
          </cell>
          <cell r="I418">
            <v>3846.5036488560804</v>
          </cell>
          <cell r="J418">
            <v>4753.6888210174484</v>
          </cell>
          <cell r="K418">
            <v>5279.8521577142328</v>
          </cell>
          <cell r="L418">
            <v>5578.2973152661179</v>
          </cell>
          <cell r="M418">
            <v>5469.2791536593322</v>
          </cell>
          <cell r="N418">
            <v>4163.5644986106054</v>
          </cell>
          <cell r="O418">
            <v>2399.3702209191706</v>
          </cell>
          <cell r="P418">
            <v>853.20965808077744</v>
          </cell>
          <cell r="Q418">
            <v>0</v>
          </cell>
          <cell r="R418">
            <v>0</v>
          </cell>
          <cell r="S418">
            <v>0</v>
          </cell>
          <cell r="T418">
            <v>0</v>
          </cell>
          <cell r="U418">
            <v>0</v>
          </cell>
          <cell r="V418">
            <v>0</v>
          </cell>
        </row>
        <row r="419">
          <cell r="D419" t="str">
            <v xml:space="preserve">WY Semi </v>
          </cell>
          <cell r="E419">
            <v>0</v>
          </cell>
          <cell r="F419">
            <v>0</v>
          </cell>
          <cell r="G419">
            <v>0</v>
          </cell>
          <cell r="H419">
            <v>0</v>
          </cell>
          <cell r="I419">
            <v>0</v>
          </cell>
          <cell r="J419">
            <v>0</v>
          </cell>
          <cell r="K419">
            <v>0</v>
          </cell>
          <cell r="L419">
            <v>0</v>
          </cell>
          <cell r="M419">
            <v>0</v>
          </cell>
          <cell r="N419">
            <v>0</v>
          </cell>
          <cell r="O419">
            <v>0</v>
          </cell>
          <cell r="P419">
            <v>0</v>
          </cell>
          <cell r="Q419">
            <v>0</v>
          </cell>
          <cell r="R419">
            <v>0</v>
          </cell>
          <cell r="S419">
            <v>0</v>
          </cell>
          <cell r="T419">
            <v>0</v>
          </cell>
          <cell r="U419">
            <v>0</v>
          </cell>
          <cell r="V419">
            <v>0</v>
          </cell>
        </row>
        <row r="420">
          <cell r="D420" t="str">
            <v xml:space="preserve">AL EU </v>
          </cell>
          <cell r="E420">
            <v>24.793227539691188</v>
          </cell>
          <cell r="F420">
            <v>23.841967592839179</v>
          </cell>
          <cell r="G420">
            <v>24.110404411297015</v>
          </cell>
          <cell r="H420">
            <v>23.621193994179261</v>
          </cell>
          <cell r="I420">
            <v>22.534347351167991</v>
          </cell>
          <cell r="J420">
            <v>20.950681919556736</v>
          </cell>
          <cell r="K420">
            <v>19.443039768480872</v>
          </cell>
          <cell r="L420">
            <v>17.925571875964469</v>
          </cell>
          <cell r="M420">
            <v>15.596316609032437</v>
          </cell>
          <cell r="N420">
            <v>15.953536140131453</v>
          </cell>
          <cell r="O420">
            <v>15.433576613749516</v>
          </cell>
          <cell r="P420">
            <v>14.811979245314822</v>
          </cell>
          <cell r="Q420">
            <v>14.585550819316209</v>
          </cell>
          <cell r="R420">
            <v>14.025543259475755</v>
          </cell>
          <cell r="S420">
            <v>14.370003039944168</v>
          </cell>
          <cell r="T420">
            <v>14.296357887623268</v>
          </cell>
          <cell r="U420">
            <v>13.646509557761455</v>
          </cell>
          <cell r="V420">
            <v>12.943532142547452</v>
          </cell>
        </row>
        <row r="421">
          <cell r="D421" t="str">
            <v xml:space="preserve">AK EU </v>
          </cell>
          <cell r="E421">
            <v>1.7599556810113897</v>
          </cell>
          <cell r="F421">
            <v>1.6571779255491628</v>
          </cell>
          <cell r="G421">
            <v>1.6827902893791675</v>
          </cell>
          <cell r="H421">
            <v>1.5883431588843968</v>
          </cell>
          <cell r="I421">
            <v>1.5116264457089863</v>
          </cell>
          <cell r="J421">
            <v>1.3861517300736896</v>
          </cell>
          <cell r="K421">
            <v>1.2711846330646577</v>
          </cell>
          <cell r="L421">
            <v>1.163846379417149</v>
          </cell>
          <cell r="M421">
            <v>1.0035834430558055</v>
          </cell>
          <cell r="N421">
            <v>1.0501839742511643</v>
          </cell>
          <cell r="O421">
            <v>0.98117442834798718</v>
          </cell>
          <cell r="P421">
            <v>1.0179875642215668</v>
          </cell>
          <cell r="Q421">
            <v>0.95967222492060844</v>
          </cell>
          <cell r="R421">
            <v>0.9306981754134821</v>
          </cell>
          <cell r="S421">
            <v>0.95752314633538882</v>
          </cell>
          <cell r="T421">
            <v>0.94760869872074749</v>
          </cell>
          <cell r="U421">
            <v>0.9304018283698392</v>
          </cell>
          <cell r="V421">
            <v>0.89175704701280989</v>
          </cell>
        </row>
        <row r="422">
          <cell r="D422" t="str">
            <v xml:space="preserve">AZ EU </v>
          </cell>
          <cell r="E422">
            <v>17.157352347510649</v>
          </cell>
          <cell r="F422">
            <v>16.295805866508463</v>
          </cell>
          <cell r="G422">
            <v>16.929489280235366</v>
          </cell>
          <cell r="H422">
            <v>16.123640050143042</v>
          </cell>
          <cell r="I422">
            <v>15.765894383182587</v>
          </cell>
          <cell r="J422">
            <v>14.541052551982016</v>
          </cell>
          <cell r="K422">
            <v>13.852538286365331</v>
          </cell>
          <cell r="L422">
            <v>13.09324381754301</v>
          </cell>
          <cell r="M422">
            <v>11.000581834194721</v>
          </cell>
          <cell r="N422">
            <v>11.441537238838654</v>
          </cell>
          <cell r="O422">
            <v>11.295588667687714</v>
          </cell>
          <cell r="P422">
            <v>11.623310813657548</v>
          </cell>
          <cell r="Q422">
            <v>10.991914640841809</v>
          </cell>
          <cell r="R422">
            <v>10.719291572253544</v>
          </cell>
          <cell r="S422">
            <v>11.072007297934366</v>
          </cell>
          <cell r="T422">
            <v>11.121256330587826</v>
          </cell>
          <cell r="U422">
            <v>11.024152166820727</v>
          </cell>
          <cell r="V422">
            <v>10.880643098280363</v>
          </cell>
        </row>
        <row r="423">
          <cell r="D423" t="str">
            <v xml:space="preserve">AR EU </v>
          </cell>
          <cell r="E423">
            <v>11.321936922347398</v>
          </cell>
          <cell r="F423">
            <v>11.074658017903243</v>
          </cell>
          <cell r="G423">
            <v>11.034335851994777</v>
          </cell>
          <cell r="H423">
            <v>11.496203681082983</v>
          </cell>
          <cell r="I423">
            <v>10.876631133636323</v>
          </cell>
          <cell r="J423">
            <v>10.376000030924223</v>
          </cell>
          <cell r="K423">
            <v>9.6109769269178056</v>
          </cell>
          <cell r="L423">
            <v>8.86194522225958</v>
          </cell>
          <cell r="M423">
            <v>7.7447106108193307</v>
          </cell>
          <cell r="N423">
            <v>7.8950581904691948</v>
          </cell>
          <cell r="O423">
            <v>7.688900991678036</v>
          </cell>
          <cell r="P423">
            <v>7.7892356009649211</v>
          </cell>
          <cell r="Q423">
            <v>7.4536170089732892</v>
          </cell>
          <cell r="R423">
            <v>7.2111917964671273</v>
          </cell>
          <cell r="S423">
            <v>7.2242223620367225</v>
          </cell>
          <cell r="T423">
            <v>7.3988595841933247</v>
          </cell>
          <cell r="U423">
            <v>7.0184127270567425</v>
          </cell>
          <cell r="V423">
            <v>6.6325458097890735</v>
          </cell>
        </row>
        <row r="424">
          <cell r="D424" t="str">
            <v xml:space="preserve">CA EU </v>
          </cell>
          <cell r="E424">
            <v>87.336192074735791</v>
          </cell>
          <cell r="F424">
            <v>81.248661393716745</v>
          </cell>
          <cell r="G424">
            <v>82.782301931666836</v>
          </cell>
          <cell r="H424">
            <v>76.428485767534411</v>
          </cell>
          <cell r="I424">
            <v>71.251673847711743</v>
          </cell>
          <cell r="J424">
            <v>63.625479776770575</v>
          </cell>
          <cell r="K424">
            <v>58.009758888271698</v>
          </cell>
          <cell r="L424">
            <v>54.791007261029463</v>
          </cell>
          <cell r="M424">
            <v>46.575189979781086</v>
          </cell>
          <cell r="N424">
            <v>46.596177085451011</v>
          </cell>
          <cell r="O424">
            <v>45.09680575531673</v>
          </cell>
          <cell r="P424">
            <v>46.243427843143458</v>
          </cell>
          <cell r="Q424">
            <v>41.300549987646072</v>
          </cell>
          <cell r="R424">
            <v>40.686300011910447</v>
          </cell>
          <cell r="S424">
            <v>41.689793497778993</v>
          </cell>
          <cell r="T424">
            <v>40.748609104002576</v>
          </cell>
          <cell r="U424">
            <v>39.573856234952629</v>
          </cell>
          <cell r="V424">
            <v>37.244803133281913</v>
          </cell>
        </row>
        <row r="425">
          <cell r="D425" t="str">
            <v xml:space="preserve">CO EU </v>
          </cell>
          <cell r="E425">
            <v>12.740749556872183</v>
          </cell>
          <cell r="F425">
            <v>12.249258576526952</v>
          </cell>
          <cell r="G425">
            <v>12.341672425742173</v>
          </cell>
          <cell r="H425">
            <v>11.966346142633338</v>
          </cell>
          <cell r="I425">
            <v>11.504565882012026</v>
          </cell>
          <cell r="J425">
            <v>10.569142165742127</v>
          </cell>
          <cell r="K425">
            <v>9.8600240193537037</v>
          </cell>
          <cell r="L425">
            <v>9.1532847253025889</v>
          </cell>
          <cell r="M425">
            <v>7.7957787606318902</v>
          </cell>
          <cell r="N425">
            <v>8.0502611951139418</v>
          </cell>
          <cell r="O425">
            <v>7.9492732653984959</v>
          </cell>
          <cell r="P425">
            <v>8.2565229286025623</v>
          </cell>
          <cell r="Q425">
            <v>8.0659152833024859</v>
          </cell>
          <cell r="R425">
            <v>7.7776697640155525</v>
          </cell>
          <cell r="S425">
            <v>7.7289941966142495</v>
          </cell>
          <cell r="T425">
            <v>7.7495808582928136</v>
          </cell>
          <cell r="U425">
            <v>7.484656343545363</v>
          </cell>
          <cell r="V425">
            <v>7.2307892961332341</v>
          </cell>
        </row>
        <row r="426">
          <cell r="D426" t="str">
            <v xml:space="preserve">CT EU </v>
          </cell>
          <cell r="E426">
            <v>11.248268380829728</v>
          </cell>
          <cell r="F426">
            <v>10.580566070164071</v>
          </cell>
          <cell r="G426">
            <v>10.520787681737101</v>
          </cell>
          <cell r="H426">
            <v>9.8897721988209693</v>
          </cell>
          <cell r="I426">
            <v>9.3449820635643768</v>
          </cell>
          <cell r="J426">
            <v>8.3704757988651277</v>
          </cell>
          <cell r="K426">
            <v>7.5578439619872197</v>
          </cell>
          <cell r="L426">
            <v>6.8361519967839879</v>
          </cell>
          <cell r="M426">
            <v>5.7040784278244709</v>
          </cell>
          <cell r="N426">
            <v>5.9136432907633276</v>
          </cell>
          <cell r="O426">
            <v>5.5345954526807581</v>
          </cell>
          <cell r="P426">
            <v>5.7003402674512165</v>
          </cell>
          <cell r="Q426">
            <v>5.4441801297892018</v>
          </cell>
          <cell r="R426">
            <v>5.324590049469645</v>
          </cell>
          <cell r="S426">
            <v>5.3288969486945943</v>
          </cell>
          <cell r="T426">
            <v>5.3041455848590067</v>
          </cell>
          <cell r="U426">
            <v>4.7672877561570051</v>
          </cell>
          <cell r="V426">
            <v>4.81061289940493</v>
          </cell>
        </row>
        <row r="427">
          <cell r="D427" t="str">
            <v xml:space="preserve">DE EU </v>
          </cell>
          <cell r="E427">
            <v>3.4273124488445212</v>
          </cell>
          <cell r="F427">
            <v>3.3238720271526252</v>
          </cell>
          <cell r="G427">
            <v>3.3091552462639484</v>
          </cell>
          <cell r="H427">
            <v>3.3117088131554699</v>
          </cell>
          <cell r="I427">
            <v>3.1006828419774606</v>
          </cell>
          <cell r="J427">
            <v>2.8668336793984239</v>
          </cell>
          <cell r="K427">
            <v>2.5640654294235428</v>
          </cell>
          <cell r="L427">
            <v>2.4338148121229666</v>
          </cell>
          <cell r="M427">
            <v>2.0482702834601869</v>
          </cell>
          <cell r="N427">
            <v>2.0938483178770197</v>
          </cell>
          <cell r="O427">
            <v>2.0832594243996536</v>
          </cell>
          <cell r="P427">
            <v>2.1237861868414454</v>
          </cell>
          <cell r="Q427">
            <v>2.1103409408579847</v>
          </cell>
          <cell r="R427">
            <v>2.1076717583711568</v>
          </cell>
          <cell r="S427">
            <v>1.9455139247326065</v>
          </cell>
          <cell r="T427">
            <v>1.9451649516478675</v>
          </cell>
          <cell r="U427">
            <v>1.7389165205930595</v>
          </cell>
          <cell r="V427">
            <v>1.6729488552567819</v>
          </cell>
        </row>
        <row r="428">
          <cell r="D428" t="str">
            <v xml:space="preserve">DC EU </v>
          </cell>
          <cell r="E428">
            <v>4.0746306224207336</v>
          </cell>
          <cell r="F428">
            <v>3.9700043379277643</v>
          </cell>
          <cell r="G428">
            <v>3.8950346363487109</v>
          </cell>
          <cell r="H428">
            <v>3.7668262642075669</v>
          </cell>
          <cell r="I428">
            <v>3.4326940191806501</v>
          </cell>
          <cell r="J428">
            <v>3.087104924445899</v>
          </cell>
          <cell r="K428">
            <v>2.6959740915367609</v>
          </cell>
          <cell r="L428">
            <v>2.4300526811040761</v>
          </cell>
          <cell r="M428">
            <v>2.0252700943094508</v>
          </cell>
          <cell r="N428">
            <v>2.0671483301440681</v>
          </cell>
          <cell r="O428">
            <v>1.9615323153974602</v>
          </cell>
          <cell r="P428">
            <v>2.0308072468429064</v>
          </cell>
          <cell r="Q428">
            <v>1.9540695362079492</v>
          </cell>
          <cell r="R428">
            <v>1.8311216718491743</v>
          </cell>
          <cell r="S428">
            <v>1.8882284574643504</v>
          </cell>
          <cell r="T428">
            <v>1.8937853835641025</v>
          </cell>
          <cell r="U428">
            <v>1.7151010404521425</v>
          </cell>
          <cell r="V428">
            <v>1.7069714767274775</v>
          </cell>
        </row>
        <row r="429">
          <cell r="D429" t="str">
            <v xml:space="preserve">FL EU </v>
          </cell>
          <cell r="E429">
            <v>59.385172916559327</v>
          </cell>
          <cell r="F429">
            <v>56.983445146099463</v>
          </cell>
          <cell r="G429">
            <v>57.015594031670922</v>
          </cell>
          <cell r="H429">
            <v>55.459803394246421</v>
          </cell>
          <cell r="I429">
            <v>53.199033908730819</v>
          </cell>
          <cell r="J429">
            <v>50.124792330988221</v>
          </cell>
          <cell r="K429">
            <v>45.700887620001204</v>
          </cell>
          <cell r="L429">
            <v>42.086485084017234</v>
          </cell>
          <cell r="M429">
            <v>36.907030389856303</v>
          </cell>
          <cell r="N429">
            <v>37.158989035721838</v>
          </cell>
          <cell r="O429">
            <v>36.187797675461169</v>
          </cell>
          <cell r="P429">
            <v>37.469779483424155</v>
          </cell>
          <cell r="Q429">
            <v>36.956546947948198</v>
          </cell>
          <cell r="R429">
            <v>36.363308842830527</v>
          </cell>
          <cell r="S429">
            <v>36.157949548622561</v>
          </cell>
          <cell r="T429">
            <v>36.057101493714541</v>
          </cell>
          <cell r="U429">
            <v>34.345824388941082</v>
          </cell>
          <cell r="V429">
            <v>32.572154835865717</v>
          </cell>
        </row>
        <row r="430">
          <cell r="D430" t="str">
            <v xml:space="preserve">GA EU </v>
          </cell>
          <cell r="E430">
            <v>33.280762589898814</v>
          </cell>
          <cell r="F430">
            <v>31.751382997080583</v>
          </cell>
          <cell r="G430">
            <v>32.342112211025309</v>
          </cell>
          <cell r="H430">
            <v>32.383556313744634</v>
          </cell>
          <cell r="I430">
            <v>29.980947013177925</v>
          </cell>
          <cell r="J430">
            <v>28.787097727041463</v>
          </cell>
          <cell r="K430">
            <v>26.943907099226113</v>
          </cell>
          <cell r="L430">
            <v>24.584749353761715</v>
          </cell>
          <cell r="M430">
            <v>21.810825569387195</v>
          </cell>
          <cell r="N430">
            <v>22.353649199216211</v>
          </cell>
          <cell r="O430">
            <v>22.022977307199739</v>
          </cell>
          <cell r="P430">
            <v>21.985236134742472</v>
          </cell>
          <cell r="Q430">
            <v>21.735830024565185</v>
          </cell>
          <cell r="R430">
            <v>20.688752342628327</v>
          </cell>
          <cell r="S430">
            <v>21.416053812787222</v>
          </cell>
          <cell r="T430">
            <v>21.198205121838111</v>
          </cell>
          <cell r="U430">
            <v>20.291823279416327</v>
          </cell>
          <cell r="V430">
            <v>19.374588341266342</v>
          </cell>
        </row>
        <row r="431">
          <cell r="D431" t="str">
            <v xml:space="preserve">HI EU </v>
          </cell>
          <cell r="E431">
            <v>3.438346718589639</v>
          </cell>
          <cell r="F431">
            <v>3.3192860542664855</v>
          </cell>
          <cell r="G431">
            <v>3.3613225387450285</v>
          </cell>
          <cell r="H431">
            <v>3.1435214264164619</v>
          </cell>
          <cell r="I431">
            <v>2.983794503518038</v>
          </cell>
          <cell r="J431">
            <v>2.7495436413769228</v>
          </cell>
          <cell r="K431">
            <v>2.4944526501199764</v>
          </cell>
          <cell r="L431">
            <v>2.2512433808937673</v>
          </cell>
          <cell r="M431">
            <v>1.8243408138062442</v>
          </cell>
          <cell r="N431">
            <v>1.8614469100855802</v>
          </cell>
          <cell r="O431">
            <v>1.7906249923542488</v>
          </cell>
          <cell r="P431">
            <v>1.8262591409261444</v>
          </cell>
          <cell r="Q431">
            <v>1.7368492092051122</v>
          </cell>
          <cell r="R431">
            <v>1.7381892254483136</v>
          </cell>
          <cell r="S431">
            <v>1.7751934349928498</v>
          </cell>
          <cell r="T431">
            <v>1.6890727893221194</v>
          </cell>
          <cell r="U431">
            <v>1.5904144025008793</v>
          </cell>
          <cell r="V431">
            <v>1.4920336448726335</v>
          </cell>
        </row>
        <row r="432">
          <cell r="D432" t="str">
            <v xml:space="preserve">ID EU </v>
          </cell>
          <cell r="E432">
            <v>7.4486169734981642</v>
          </cell>
          <cell r="F432">
            <v>7.0269721200658211</v>
          </cell>
          <cell r="G432">
            <v>7.3720471798163123</v>
          </cell>
          <cell r="H432">
            <v>6.796814859737867</v>
          </cell>
          <cell r="I432">
            <v>6.6283979649765312</v>
          </cell>
          <cell r="J432">
            <v>5.8715633943126928</v>
          </cell>
          <cell r="K432">
            <v>5.7930032615962519</v>
          </cell>
          <cell r="L432">
            <v>5.3843245501947221</v>
          </cell>
          <cell r="M432">
            <v>4.3489447821296485</v>
          </cell>
          <cell r="N432">
            <v>4.5086774752028651</v>
          </cell>
          <cell r="O432">
            <v>4.2192769513135371</v>
          </cell>
          <cell r="P432">
            <v>3.9375078767833922</v>
          </cell>
          <cell r="Q432">
            <v>3.6346051607337375</v>
          </cell>
          <cell r="R432">
            <v>3.549482413655817</v>
          </cell>
          <cell r="S432">
            <v>3.6075611759284101</v>
          </cell>
          <cell r="T432">
            <v>3.5023326749005812</v>
          </cell>
          <cell r="U432">
            <v>3.4255218472400211</v>
          </cell>
          <cell r="V432">
            <v>3.3483736975410285</v>
          </cell>
        </row>
        <row r="433">
          <cell r="D433" t="str">
            <v xml:space="preserve">IL EU </v>
          </cell>
          <cell r="E433">
            <v>46.163038757954055</v>
          </cell>
          <cell r="F433">
            <v>45.508706651120988</v>
          </cell>
          <cell r="G433">
            <v>43.639390857087044</v>
          </cell>
          <cell r="H433">
            <v>42.765973634104611</v>
          </cell>
          <cell r="I433">
            <v>40.510085180889163</v>
          </cell>
          <cell r="J433">
            <v>37.77673384791634</v>
          </cell>
          <cell r="K433">
            <v>33.508726582302188</v>
          </cell>
          <cell r="L433">
            <v>30.52438266753364</v>
          </cell>
          <cell r="M433">
            <v>25.943045012778398</v>
          </cell>
          <cell r="N433">
            <v>26.327255229556819</v>
          </cell>
          <cell r="O433">
            <v>24.889258261451673</v>
          </cell>
          <cell r="P433">
            <v>25.390251187904312</v>
          </cell>
          <cell r="Q433">
            <v>24.309634673309173</v>
          </cell>
          <cell r="R433">
            <v>22.791680681540569</v>
          </cell>
          <cell r="S433">
            <v>23.035199905324053</v>
          </cell>
          <cell r="T433">
            <v>23.236963840027716</v>
          </cell>
          <cell r="U433">
            <v>21.437635951086946</v>
          </cell>
          <cell r="V433">
            <v>20.586966820583232</v>
          </cell>
        </row>
        <row r="434">
          <cell r="D434" t="str">
            <v xml:space="preserve">IN EU </v>
          </cell>
          <cell r="E434">
            <v>30.60891491520103</v>
          </cell>
          <cell r="F434">
            <v>29.99699623113257</v>
          </cell>
          <cell r="G434">
            <v>29.854299878573091</v>
          </cell>
          <cell r="H434">
            <v>29.747752582952874</v>
          </cell>
          <cell r="I434">
            <v>27.945093130023551</v>
          </cell>
          <cell r="J434">
            <v>26.037971562485463</v>
          </cell>
          <cell r="K434">
            <v>23.644438118966683</v>
          </cell>
          <cell r="L434">
            <v>21.434220090654993</v>
          </cell>
          <cell r="M434">
            <v>18.134692166656169</v>
          </cell>
          <cell r="N434">
            <v>19.194676740052024</v>
          </cell>
          <cell r="O434">
            <v>18.066816977053037</v>
          </cell>
          <cell r="P434">
            <v>18.241750034108144</v>
          </cell>
          <cell r="Q434">
            <v>17.809598052245864</v>
          </cell>
          <cell r="R434">
            <v>16.806348494242652</v>
          </cell>
          <cell r="S434">
            <v>17.053712695221765</v>
          </cell>
          <cell r="T434">
            <v>17.076610827204281</v>
          </cell>
          <cell r="U434">
            <v>15.901941385055412</v>
          </cell>
          <cell r="V434">
            <v>15.423139698463904</v>
          </cell>
        </row>
        <row r="435">
          <cell r="D435" t="str">
            <v xml:space="preserve">IA EU </v>
          </cell>
          <cell r="E435">
            <v>12.179226864464901</v>
          </cell>
          <cell r="F435">
            <v>11.986325051179529</v>
          </cell>
          <cell r="G435">
            <v>11.715746361310572</v>
          </cell>
          <cell r="H435">
            <v>11.656313971897575</v>
          </cell>
          <cell r="I435">
            <v>11.016728483988889</v>
          </cell>
          <cell r="J435">
            <v>10.26511728948763</v>
          </cell>
          <cell r="K435">
            <v>9.3085349212830177</v>
          </cell>
          <cell r="L435">
            <v>8.6913432680152614</v>
          </cell>
          <cell r="M435">
            <v>7.351340163263953</v>
          </cell>
          <cell r="N435">
            <v>7.5468364583635177</v>
          </cell>
          <cell r="O435">
            <v>7.2226426060913989</v>
          </cell>
          <cell r="P435">
            <v>7.3620577762339821</v>
          </cell>
          <cell r="Q435">
            <v>7.1811023834457002</v>
          </cell>
          <cell r="R435">
            <v>6.8931948361795614</v>
          </cell>
          <cell r="S435">
            <v>6.7660810493390304</v>
          </cell>
          <cell r="T435">
            <v>6.8526404486868477</v>
          </cell>
          <cell r="U435">
            <v>6.5219625733829156</v>
          </cell>
          <cell r="V435">
            <v>6.3808921602814914</v>
          </cell>
        </row>
        <row r="436">
          <cell r="D436" t="str">
            <v xml:space="preserve">KS EU </v>
          </cell>
          <cell r="E436">
            <v>11.232351643245758</v>
          </cell>
          <cell r="F436">
            <v>10.962497745481276</v>
          </cell>
          <cell r="G436">
            <v>10.498345224007801</v>
          </cell>
          <cell r="H436">
            <v>10.459772052167617</v>
          </cell>
          <cell r="I436">
            <v>9.8745405981040051</v>
          </cell>
          <cell r="J436">
            <v>9.0847989895878829</v>
          </cell>
          <cell r="K436">
            <v>8.3221355701994106</v>
          </cell>
          <cell r="L436">
            <v>7.7589315420708775</v>
          </cell>
          <cell r="M436">
            <v>6.7252822559430125</v>
          </cell>
          <cell r="N436">
            <v>6.7107347557008392</v>
          </cell>
          <cell r="O436">
            <v>6.6375551956224825</v>
          </cell>
          <cell r="P436">
            <v>6.6907251696454502</v>
          </cell>
          <cell r="Q436">
            <v>6.4464432398476612</v>
          </cell>
          <cell r="R436">
            <v>6.1451320269747045</v>
          </cell>
          <cell r="S436">
            <v>6.1414217251609688</v>
          </cell>
          <cell r="T436">
            <v>6.2544280706549138</v>
          </cell>
          <cell r="U436">
            <v>5.9823589767744103</v>
          </cell>
          <cell r="V436">
            <v>5.6615301148489392</v>
          </cell>
        </row>
        <row r="437">
          <cell r="D437" t="str">
            <v xml:space="preserve">KY EU </v>
          </cell>
          <cell r="E437">
            <v>25.277817334064533</v>
          </cell>
          <cell r="F437">
            <v>24.997116025322601</v>
          </cell>
          <cell r="G437">
            <v>26.011245210420334</v>
          </cell>
          <cell r="H437">
            <v>24.743661617311368</v>
          </cell>
          <cell r="I437">
            <v>24.169785425864774</v>
          </cell>
          <cell r="J437">
            <v>22.309781151634663</v>
          </cell>
          <cell r="K437">
            <v>20.484101078486788</v>
          </cell>
          <cell r="L437">
            <v>18.474165691302677</v>
          </cell>
          <cell r="M437">
            <v>14.941772727711161</v>
          </cell>
          <cell r="N437">
            <v>15.694976443228576</v>
          </cell>
          <cell r="O437">
            <v>14.47123234099473</v>
          </cell>
          <cell r="P437">
            <v>14.927185414297984</v>
          </cell>
          <cell r="Q437">
            <v>15.322976170335286</v>
          </cell>
          <cell r="R437">
            <v>14.255623358975264</v>
          </cell>
          <cell r="S437">
            <v>14.312211887895865</v>
          </cell>
          <cell r="T437">
            <v>14.320373729981613</v>
          </cell>
          <cell r="U437">
            <v>13.355413742222742</v>
          </cell>
          <cell r="V437">
            <v>13.024669980902315</v>
          </cell>
        </row>
        <row r="438">
          <cell r="D438" t="str">
            <v xml:space="preserve">LA EU </v>
          </cell>
          <cell r="E438">
            <v>26.406902399034294</v>
          </cell>
          <cell r="F438">
            <v>25.195903950979019</v>
          </cell>
          <cell r="G438">
            <v>25.247408137298365</v>
          </cell>
          <cell r="H438">
            <v>24.600840508989311</v>
          </cell>
          <cell r="I438">
            <v>23.38500545287128</v>
          </cell>
          <cell r="J438">
            <v>21.794741045095634</v>
          </cell>
          <cell r="K438">
            <v>20.018762578806147</v>
          </cell>
          <cell r="L438">
            <v>18.245786281573569</v>
          </cell>
          <cell r="M438">
            <v>15.309313220984931</v>
          </cell>
          <cell r="N438">
            <v>15.530018894908503</v>
          </cell>
          <cell r="O438">
            <v>14.909934351747994</v>
          </cell>
          <cell r="P438">
            <v>13.941176450565081</v>
          </cell>
          <cell r="Q438">
            <v>13.917248696875591</v>
          </cell>
          <cell r="R438">
            <v>13.009328370770215</v>
          </cell>
          <cell r="S438">
            <v>13.190004561114323</v>
          </cell>
          <cell r="T438">
            <v>12.403174639049359</v>
          </cell>
          <cell r="U438">
            <v>11.658482976439309</v>
          </cell>
          <cell r="V438">
            <v>11.21522849977702</v>
          </cell>
        </row>
        <row r="439">
          <cell r="D439" t="str">
            <v xml:space="preserve">ME EU </v>
          </cell>
          <cell r="E439">
            <v>4.7699220110507881</v>
          </cell>
          <cell r="F439">
            <v>4.4324648715959469</v>
          </cell>
          <cell r="G439">
            <v>4.4535193041145114</v>
          </cell>
          <cell r="H439">
            <v>4.339671218860687</v>
          </cell>
          <cell r="I439">
            <v>3.8698853279211907</v>
          </cell>
          <cell r="J439">
            <v>3.459910827729948</v>
          </cell>
          <cell r="K439">
            <v>3.1187918239983135</v>
          </cell>
          <cell r="L439">
            <v>2.8753815661099313</v>
          </cell>
          <cell r="M439">
            <v>2.2848299808294761</v>
          </cell>
          <cell r="N439">
            <v>2.3699084518940694</v>
          </cell>
          <cell r="O439">
            <v>2.2474707022798088</v>
          </cell>
          <cell r="P439">
            <v>2.2681335489134344</v>
          </cell>
          <cell r="Q439">
            <v>2.0089608611367078</v>
          </cell>
          <cell r="R439">
            <v>2.0026606215537868</v>
          </cell>
          <cell r="S439">
            <v>2.0458428106895528</v>
          </cell>
          <cell r="T439">
            <v>1.9814005923365752</v>
          </cell>
          <cell r="U439">
            <v>1.8487920753486518</v>
          </cell>
          <cell r="V439">
            <v>1.6717355285840951</v>
          </cell>
        </row>
        <row r="440">
          <cell r="D440" t="str">
            <v xml:space="preserve">MD EU </v>
          </cell>
          <cell r="E440">
            <v>20.49375846651127</v>
          </cell>
          <cell r="F440">
            <v>19.90142025507426</v>
          </cell>
          <cell r="G440">
            <v>19.775234496217969</v>
          </cell>
          <cell r="H440">
            <v>19.560036626221255</v>
          </cell>
          <cell r="I440">
            <v>18.256581078327748</v>
          </cell>
          <cell r="J440">
            <v>16.806223724598294</v>
          </cell>
          <cell r="K440">
            <v>15.159207380675358</v>
          </cell>
          <cell r="L440">
            <v>13.528112453940388</v>
          </cell>
          <cell r="M440">
            <v>11.392663571448242</v>
          </cell>
          <cell r="N440">
            <v>11.724148949809971</v>
          </cell>
          <cell r="O440">
            <v>11.212023731416787</v>
          </cell>
          <cell r="P440">
            <v>11.504923620183176</v>
          </cell>
          <cell r="Q440">
            <v>12.006665191510233</v>
          </cell>
          <cell r="R440">
            <v>11.920205572613634</v>
          </cell>
          <cell r="S440">
            <v>11.06513398805679</v>
          </cell>
          <cell r="T440">
            <v>10.95693117552295</v>
          </cell>
          <cell r="U440">
            <v>9.5072211500670711</v>
          </cell>
          <cell r="V440">
            <v>9.2170343776238255</v>
          </cell>
        </row>
        <row r="441">
          <cell r="D441" t="str">
            <v xml:space="preserve">MA EU </v>
          </cell>
          <cell r="E441">
            <v>18.800737402219216</v>
          </cell>
          <cell r="F441">
            <v>17.443903419222046</v>
          </cell>
          <cell r="G441">
            <v>17.451829281175403</v>
          </cell>
          <cell r="H441">
            <v>16.440571119541925</v>
          </cell>
          <cell r="I441">
            <v>15.368869363213324</v>
          </cell>
          <cell r="J441">
            <v>13.918971687825039</v>
          </cell>
          <cell r="K441">
            <v>12.578373808572461</v>
          </cell>
          <cell r="L441">
            <v>11.512610208827777</v>
          </cell>
          <cell r="M441">
            <v>9.5751340899726731</v>
          </cell>
          <cell r="N441">
            <v>9.8036426034222881</v>
          </cell>
          <cell r="O441">
            <v>9.5666179943711054</v>
          </cell>
          <cell r="P441">
            <v>9.7982338947068399</v>
          </cell>
          <cell r="Q441">
            <v>9.430378787295318</v>
          </cell>
          <cell r="R441">
            <v>9.2864960235241103</v>
          </cell>
          <cell r="S441">
            <v>9.2869363851573539</v>
          </cell>
          <cell r="T441">
            <v>9.1718746710368588</v>
          </cell>
          <cell r="U441">
            <v>8.4051407238222957</v>
          </cell>
          <cell r="V441">
            <v>8.053909941739823</v>
          </cell>
        </row>
        <row r="442">
          <cell r="D442" t="str">
            <v xml:space="preserve">MI EU </v>
          </cell>
          <cell r="E442">
            <v>34.077924657173497</v>
          </cell>
          <cell r="F442">
            <v>32.911585851578273</v>
          </cell>
          <cell r="G442">
            <v>32.516170213551192</v>
          </cell>
          <cell r="H442">
            <v>31.80174144743042</v>
          </cell>
          <cell r="I442">
            <v>30.396718902100922</v>
          </cell>
          <cell r="J442">
            <v>28.340880544847352</v>
          </cell>
          <cell r="K442">
            <v>25.61261279574612</v>
          </cell>
          <cell r="L442">
            <v>23.41640077562732</v>
          </cell>
          <cell r="M442">
            <v>19.798741806306108</v>
          </cell>
          <cell r="N442">
            <v>20.632369089328083</v>
          </cell>
          <cell r="O442">
            <v>19.35977399882708</v>
          </cell>
          <cell r="P442">
            <v>19.114395407850857</v>
          </cell>
          <cell r="Q442">
            <v>18.386398127901941</v>
          </cell>
          <cell r="R442">
            <v>18.213083506433609</v>
          </cell>
          <cell r="S442">
            <v>17.634626067750435</v>
          </cell>
          <cell r="T442">
            <v>17.700967755856396</v>
          </cell>
          <cell r="U442">
            <v>16.256087393022959</v>
          </cell>
          <cell r="V442">
            <v>15.405745910738974</v>
          </cell>
        </row>
        <row r="443">
          <cell r="D443" t="str">
            <v xml:space="preserve">MN EU </v>
          </cell>
          <cell r="E443">
            <v>19.514528052308343</v>
          </cell>
          <cell r="F443">
            <v>18.985077686734385</v>
          </cell>
          <cell r="G443">
            <v>18.388090795976538</v>
          </cell>
          <cell r="H443">
            <v>17.867450422314317</v>
          </cell>
          <cell r="I443">
            <v>17.057344985058606</v>
          </cell>
          <cell r="J443">
            <v>16.148054607854782</v>
          </cell>
          <cell r="K443">
            <v>14.612435926820044</v>
          </cell>
          <cell r="L443">
            <v>13.386207237816262</v>
          </cell>
          <cell r="M443">
            <v>11.178024753577613</v>
          </cell>
          <cell r="N443">
            <v>11.389379201714162</v>
          </cell>
          <cell r="O443">
            <v>11.046513822116413</v>
          </cell>
          <cell r="P443">
            <v>11.327017690931322</v>
          </cell>
          <cell r="Q443">
            <v>10.914941240790725</v>
          </cell>
          <cell r="R443">
            <v>10.553311871345596</v>
          </cell>
          <cell r="S443">
            <v>10.477668714066519</v>
          </cell>
          <cell r="T443">
            <v>10.580884171049458</v>
          </cell>
          <cell r="U443">
            <v>10.048518564158172</v>
          </cell>
          <cell r="V443">
            <v>9.6174155471118965</v>
          </cell>
        </row>
        <row r="444">
          <cell r="D444" t="str">
            <v xml:space="preserve">MS EU </v>
          </cell>
          <cell r="E444">
            <v>13.292044759661943</v>
          </cell>
          <cell r="F444">
            <v>12.857773215170594</v>
          </cell>
          <cell r="G444">
            <v>12.892095556053144</v>
          </cell>
          <cell r="H444">
            <v>12.616804705718849</v>
          </cell>
          <cell r="I444">
            <v>12.212896895667654</v>
          </cell>
          <cell r="J444">
            <v>11.332768920116006</v>
          </cell>
          <cell r="K444">
            <v>10.538068750722479</v>
          </cell>
          <cell r="L444">
            <v>9.638846796847977</v>
          </cell>
          <cell r="M444">
            <v>8.3741029723254616</v>
          </cell>
          <cell r="N444">
            <v>8.7266639929977075</v>
          </cell>
          <cell r="O444">
            <v>8.3772033613433958</v>
          </cell>
          <cell r="P444">
            <v>8.2660096346880412</v>
          </cell>
          <cell r="Q444">
            <v>7.9807823263861222</v>
          </cell>
          <cell r="R444">
            <v>7.6186250306808976</v>
          </cell>
          <cell r="S444">
            <v>7.6146397950764557</v>
          </cell>
          <cell r="T444">
            <v>7.3565708601110664</v>
          </cell>
          <cell r="U444">
            <v>7.0636834794683336</v>
          </cell>
          <cell r="V444">
            <v>6.7873534946572249</v>
          </cell>
        </row>
        <row r="445">
          <cell r="D445" t="str">
            <v xml:space="preserve">MO EU </v>
          </cell>
          <cell r="E445">
            <v>22.310423343291468</v>
          </cell>
          <cell r="F445">
            <v>22.006655947955554</v>
          </cell>
          <cell r="G445">
            <v>21.102431710373544</v>
          </cell>
          <cell r="H445">
            <v>21.284548889722274</v>
          </cell>
          <cell r="I445">
            <v>19.904171173446265</v>
          </cell>
          <cell r="J445">
            <v>18.632025531949736</v>
          </cell>
          <cell r="K445">
            <v>17.245876099039499</v>
          </cell>
          <cell r="L445">
            <v>15.799491062037198</v>
          </cell>
          <cell r="M445">
            <v>13.594285456072722</v>
          </cell>
          <cell r="N445">
            <v>13.700206985894955</v>
          </cell>
          <cell r="O445">
            <v>13.422892909937323</v>
          </cell>
          <cell r="P445">
            <v>13.665014697877764</v>
          </cell>
          <cell r="Q445">
            <v>13.169182209107934</v>
          </cell>
          <cell r="R445">
            <v>12.418921193645012</v>
          </cell>
          <cell r="S445">
            <v>12.249960871546365</v>
          </cell>
          <cell r="T445">
            <v>12.972345903863898</v>
          </cell>
          <cell r="U445">
            <v>12.342854767944905</v>
          </cell>
          <cell r="V445">
            <v>12.05614408642063</v>
          </cell>
        </row>
        <row r="446">
          <cell r="D446" t="str">
            <v xml:space="preserve">MT EU </v>
          </cell>
          <cell r="E446">
            <v>5.4300783319907442</v>
          </cell>
          <cell r="F446">
            <v>5.220540383401655</v>
          </cell>
          <cell r="G446">
            <v>5.0792347741634511</v>
          </cell>
          <cell r="H446">
            <v>4.6943543426933161</v>
          </cell>
          <cell r="I446">
            <v>4.3961657779265755</v>
          </cell>
          <cell r="J446">
            <v>4.0157149272498325</v>
          </cell>
          <cell r="K446">
            <v>3.6754847458776534</v>
          </cell>
          <cell r="L446">
            <v>2.8654154172805693</v>
          </cell>
          <cell r="M446">
            <v>2.7863941786033828</v>
          </cell>
          <cell r="N446">
            <v>2.6353933589029794</v>
          </cell>
          <cell r="O446">
            <v>2.6940840539916309</v>
          </cell>
          <cell r="P446">
            <v>2.136484154229001</v>
          </cell>
          <cell r="Q446">
            <v>2.253032925467346</v>
          </cell>
          <cell r="R446">
            <v>2.1453216884606752</v>
          </cell>
          <cell r="S446">
            <v>2.1432932469057064</v>
          </cell>
          <cell r="T446">
            <v>2.160255519544334</v>
          </cell>
          <cell r="U446">
            <v>2.0790808214774685</v>
          </cell>
          <cell r="V446">
            <v>2.1892857435257205</v>
          </cell>
        </row>
        <row r="447">
          <cell r="D447" t="str">
            <v xml:space="preserve">NE EU </v>
          </cell>
          <cell r="E447">
            <v>7.3926926299868168</v>
          </cell>
          <cell r="F447">
            <v>7.2448761189967179</v>
          </cell>
          <cell r="G447">
            <v>6.8973845060386543</v>
          </cell>
          <cell r="H447">
            <v>6.8074171827662271</v>
          </cell>
          <cell r="I447">
            <v>6.6265750285358118</v>
          </cell>
          <cell r="J447">
            <v>6.2524198667434305</v>
          </cell>
          <cell r="K447">
            <v>5.717520954150336</v>
          </cell>
          <cell r="L447">
            <v>5.4296502103701005</v>
          </cell>
          <cell r="M447">
            <v>4.5593193517727819</v>
          </cell>
          <cell r="N447">
            <v>4.5260630245874207</v>
          </cell>
          <cell r="O447">
            <v>4.4992347598596778</v>
          </cell>
          <cell r="P447">
            <v>4.6144061096879172</v>
          </cell>
          <cell r="Q447">
            <v>4.5057647181603429</v>
          </cell>
          <cell r="R447">
            <v>4.3253116908296114</v>
          </cell>
          <cell r="S447">
            <v>4.2803611287436016</v>
          </cell>
          <cell r="T447">
            <v>4.3234388543670352</v>
          </cell>
          <cell r="U447">
            <v>4.1049364948931739</v>
          </cell>
          <cell r="V447">
            <v>3.9817073862363355</v>
          </cell>
        </row>
        <row r="448">
          <cell r="D448" t="str">
            <v xml:space="preserve">NV EU </v>
          </cell>
          <cell r="E448">
            <v>6.7653246808991527</v>
          </cell>
          <cell r="F448">
            <v>6.473950985370875</v>
          </cell>
          <cell r="G448">
            <v>6.8632251663672852</v>
          </cell>
          <cell r="H448">
            <v>6.7165779923800999</v>
          </cell>
          <cell r="I448">
            <v>6.6809673572388357</v>
          </cell>
          <cell r="J448">
            <v>6.182666223464417</v>
          </cell>
          <cell r="K448">
            <v>6.0038469573479611</v>
          </cell>
          <cell r="L448">
            <v>5.8231873401350045</v>
          </cell>
          <cell r="M448">
            <v>4.9320599940145122</v>
          </cell>
          <cell r="N448">
            <v>5.2092967809855644</v>
          </cell>
          <cell r="O448">
            <v>5.1353390941472163</v>
          </cell>
          <cell r="P448">
            <v>5.2573401915236282</v>
          </cell>
          <cell r="Q448">
            <v>5.1279087173035443</v>
          </cell>
          <cell r="R448">
            <v>5.0404536032396177</v>
          </cell>
          <cell r="S448">
            <v>5.1796390488660711</v>
          </cell>
          <cell r="T448">
            <v>5.2088811621720046</v>
          </cell>
          <cell r="U448">
            <v>5.2050476984138463</v>
          </cell>
          <cell r="V448">
            <v>5.0240578940396965</v>
          </cell>
        </row>
        <row r="449">
          <cell r="D449" t="str">
            <v xml:space="preserve">NH EU </v>
          </cell>
          <cell r="E449">
            <v>3.7151662198365258</v>
          </cell>
          <cell r="F449">
            <v>3.4118415554457249</v>
          </cell>
          <cell r="G449">
            <v>3.4727956139599363</v>
          </cell>
          <cell r="H449">
            <v>3.1809398095765133</v>
          </cell>
          <cell r="I449">
            <v>2.9863950305531879</v>
          </cell>
          <cell r="J449">
            <v>2.6956014463822178</v>
          </cell>
          <cell r="K449">
            <v>2.4324378897556755</v>
          </cell>
          <cell r="L449">
            <v>2.204134393194447</v>
          </cell>
          <cell r="M449">
            <v>1.8326362707798705</v>
          </cell>
          <cell r="N449">
            <v>1.9620359787639012</v>
          </cell>
          <cell r="O449">
            <v>1.877158598573561</v>
          </cell>
          <cell r="P449">
            <v>1.9253664478873331</v>
          </cell>
          <cell r="Q449">
            <v>1.8231942474866791</v>
          </cell>
          <cell r="R449">
            <v>1.8354975749958031</v>
          </cell>
          <cell r="S449">
            <v>1.8151898423473984</v>
          </cell>
          <cell r="T449">
            <v>1.8021783259226625</v>
          </cell>
          <cell r="U449">
            <v>1.669639460802173</v>
          </cell>
          <cell r="V449">
            <v>1.5837318512159217</v>
          </cell>
        </row>
        <row r="450">
          <cell r="D450" t="str">
            <v xml:space="preserve">NJ EU </v>
          </cell>
          <cell r="E450">
            <v>26.005910747749034</v>
          </cell>
          <cell r="F450">
            <v>25.187435263000097</v>
          </cell>
          <cell r="G450">
            <v>24.481056730138125</v>
          </cell>
          <cell r="H450">
            <v>23.82559796656372</v>
          </cell>
          <cell r="I450">
            <v>22.093173724902019</v>
          </cell>
          <cell r="J450">
            <v>19.977174155078469</v>
          </cell>
          <cell r="K450">
            <v>17.790085269414664</v>
          </cell>
          <cell r="L450">
            <v>15.848468973134603</v>
          </cell>
          <cell r="M450">
            <v>13.427154189007309</v>
          </cell>
          <cell r="N450">
            <v>14.029230958539049</v>
          </cell>
          <cell r="O450">
            <v>12.930349803107806</v>
          </cell>
          <cell r="P450">
            <v>13.658338895320867</v>
          </cell>
          <cell r="Q450">
            <v>13.099296754655747</v>
          </cell>
          <cell r="R450">
            <v>12.777341435383692</v>
          </cell>
          <cell r="S450">
            <v>12.835356096685636</v>
          </cell>
          <cell r="T450">
            <v>13.125615302768693</v>
          </cell>
          <cell r="U450">
            <v>11.991557624032943</v>
          </cell>
          <cell r="V450">
            <v>11.548921102581206</v>
          </cell>
        </row>
        <row r="451">
          <cell r="D451" t="str">
            <v xml:space="preserve">NM EU </v>
          </cell>
          <cell r="E451">
            <v>5.7181100083442189</v>
          </cell>
          <cell r="F451">
            <v>5.484298659583148</v>
          </cell>
          <cell r="G451">
            <v>5.5970324520653385</v>
          </cell>
          <cell r="H451">
            <v>5.4196634691700956</v>
          </cell>
          <cell r="I451">
            <v>5.288014173853762</v>
          </cell>
          <cell r="J451">
            <v>4.9126236256521141</v>
          </cell>
          <cell r="K451">
            <v>4.5674798818762392</v>
          </cell>
          <cell r="L451">
            <v>4.2143823499990258</v>
          </cell>
          <cell r="M451">
            <v>3.5799276919698091</v>
          </cell>
          <cell r="N451">
            <v>3.5798345874441044</v>
          </cell>
          <cell r="O451">
            <v>3.4739824381033637</v>
          </cell>
          <cell r="P451">
            <v>3.4952622279515899</v>
          </cell>
          <cell r="Q451">
            <v>3.3724969113020737</v>
          </cell>
          <cell r="R451">
            <v>3.2336234715691403</v>
          </cell>
          <cell r="S451">
            <v>3.2828544777075219</v>
          </cell>
          <cell r="T451">
            <v>3.3078079739036155</v>
          </cell>
          <cell r="U451">
            <v>3.2258467263719681</v>
          </cell>
          <cell r="V451">
            <v>3.1386643902675782</v>
          </cell>
        </row>
        <row r="452">
          <cell r="D452" t="str">
            <v xml:space="preserve">NY EU </v>
          </cell>
          <cell r="E452">
            <v>53.505839691116947</v>
          </cell>
          <cell r="F452">
            <v>50.392730392385758</v>
          </cell>
          <cell r="G452">
            <v>49.825036160027175</v>
          </cell>
          <cell r="H452">
            <v>47.262295346644954</v>
          </cell>
          <cell r="I452">
            <v>43.739994776748752</v>
          </cell>
          <cell r="J452">
            <v>39.045519825534342</v>
          </cell>
          <cell r="K452">
            <v>34.981309516109839</v>
          </cell>
          <cell r="L452">
            <v>31.724313478410689</v>
          </cell>
          <cell r="M452">
            <v>26.435211790046335</v>
          </cell>
          <cell r="N452">
            <v>27.655925274582042</v>
          </cell>
          <cell r="O452">
            <v>26.243618856270579</v>
          </cell>
          <cell r="P452">
            <v>26.910903521769814</v>
          </cell>
          <cell r="Q452">
            <v>25.888659580921782</v>
          </cell>
          <cell r="R452">
            <v>24.09593903103681</v>
          </cell>
          <cell r="S452">
            <v>23.999218876202352</v>
          </cell>
          <cell r="T452">
            <v>24.064175190689639</v>
          </cell>
          <cell r="U452">
            <v>21.40606337380494</v>
          </cell>
          <cell r="V452">
            <v>20.886122322089197</v>
          </cell>
        </row>
        <row r="453">
          <cell r="D453" t="str">
            <v xml:space="preserve">NC EU </v>
          </cell>
          <cell r="E453">
            <v>37.204763638896814</v>
          </cell>
          <cell r="F453">
            <v>35.948109703810985</v>
          </cell>
          <cell r="G453">
            <v>36.532242323035213</v>
          </cell>
          <cell r="H453">
            <v>36.227316136008504</v>
          </cell>
          <cell r="I453">
            <v>33.274069189200183</v>
          </cell>
          <cell r="J453">
            <v>31.325053341979554</v>
          </cell>
          <cell r="K453">
            <v>28.802788177894879</v>
          </cell>
          <cell r="L453">
            <v>26.219753413645403</v>
          </cell>
          <cell r="M453">
            <v>22.377366217516652</v>
          </cell>
          <cell r="N453">
            <v>22.821807569886428</v>
          </cell>
          <cell r="O453">
            <v>22.1468498927842</v>
          </cell>
          <cell r="P453">
            <v>22.216019526906329</v>
          </cell>
          <cell r="Q453">
            <v>21.542225354988553</v>
          </cell>
          <cell r="R453">
            <v>20.297057906665781</v>
          </cell>
          <cell r="S453">
            <v>20.785978020687057</v>
          </cell>
          <cell r="T453">
            <v>20.568331373746979</v>
          </cell>
          <cell r="U453">
            <v>19.067520715895107</v>
          </cell>
          <cell r="V453">
            <v>18.589037690779552</v>
          </cell>
        </row>
        <row r="454">
          <cell r="D454" t="str">
            <v xml:space="preserve">ND EU </v>
          </cell>
          <cell r="E454">
            <v>2.9018639989425403</v>
          </cell>
          <cell r="F454">
            <v>2.8251808669010838</v>
          </cell>
          <cell r="G454">
            <v>2.7646349640268024</v>
          </cell>
          <cell r="H454">
            <v>2.6984014057464014</v>
          </cell>
          <cell r="I454">
            <v>2.5611019916158644</v>
          </cell>
          <cell r="J454">
            <v>2.3590091883642423</v>
          </cell>
          <cell r="K454">
            <v>2.211255164731877</v>
          </cell>
          <cell r="L454">
            <v>1.9914108535467658</v>
          </cell>
          <cell r="M454">
            <v>1.6193356077671612</v>
          </cell>
          <cell r="N454">
            <v>1.808081460465883</v>
          </cell>
          <cell r="O454">
            <v>1.7394064739312645</v>
          </cell>
          <cell r="P454">
            <v>1.8309615249566313</v>
          </cell>
          <cell r="Q454">
            <v>1.7943919072491217</v>
          </cell>
          <cell r="R454">
            <v>1.7499443944501827</v>
          </cell>
          <cell r="S454">
            <v>1.7396085773272383</v>
          </cell>
          <cell r="T454">
            <v>1.737326929020542</v>
          </cell>
          <cell r="U454">
            <v>1.6923483536530377</v>
          </cell>
          <cell r="V454">
            <v>1.6781479205822987</v>
          </cell>
        </row>
        <row r="455">
          <cell r="D455" t="str">
            <v xml:space="preserve">OH EU </v>
          </cell>
          <cell r="E455">
            <v>58.942723937517414</v>
          </cell>
          <cell r="F455">
            <v>56.719462185672803</v>
          </cell>
          <cell r="G455">
            <v>56.242454349225788</v>
          </cell>
          <cell r="H455">
            <v>53.943158894153832</v>
          </cell>
          <cell r="I455">
            <v>51.475933498152365</v>
          </cell>
          <cell r="J455">
            <v>47.471318036668798</v>
          </cell>
          <cell r="K455">
            <v>42.178297047521554</v>
          </cell>
          <cell r="L455">
            <v>38.111345125752393</v>
          </cell>
          <cell r="M455">
            <v>31.477699797844593</v>
          </cell>
          <cell r="N455">
            <v>32.595341452748293</v>
          </cell>
          <cell r="O455">
            <v>30.524648798957898</v>
          </cell>
          <cell r="P455">
            <v>29.079172910215526</v>
          </cell>
          <cell r="Q455">
            <v>26.936387769927602</v>
          </cell>
          <cell r="R455">
            <v>25.458364824619412</v>
          </cell>
          <cell r="S455">
            <v>25.511046814438576</v>
          </cell>
          <cell r="T455">
            <v>25.671481670449314</v>
          </cell>
          <cell r="U455">
            <v>23.090222861115862</v>
          </cell>
          <cell r="V455">
            <v>22.802144430957519</v>
          </cell>
        </row>
        <row r="456">
          <cell r="D456" t="str">
            <v xml:space="preserve">OK EU </v>
          </cell>
          <cell r="E456">
            <v>17.585415402544037</v>
          </cell>
          <cell r="F456">
            <v>15.344102592908792</v>
          </cell>
          <cell r="G456">
            <v>14.841360652469595</v>
          </cell>
          <cell r="H456">
            <v>14.716147447761017</v>
          </cell>
          <cell r="I456">
            <v>13.719019853914766</v>
          </cell>
          <cell r="J456">
            <v>12.387375821606611</v>
          </cell>
          <cell r="K456">
            <v>11.513866567469133</v>
          </cell>
          <cell r="L456">
            <v>10.688148344698016</v>
          </cell>
          <cell r="M456">
            <v>9.4351589156407307</v>
          </cell>
          <cell r="N456">
            <v>9.2736879286526968</v>
          </cell>
          <cell r="O456">
            <v>9.1584449087723723</v>
          </cell>
          <cell r="P456">
            <v>9.2701442600057913</v>
          </cell>
          <cell r="Q456">
            <v>8.6890353740448703</v>
          </cell>
          <cell r="R456">
            <v>8.4356733449259931</v>
          </cell>
          <cell r="S456">
            <v>8.4267632659241212</v>
          </cell>
          <cell r="T456">
            <v>8.6076458174087804</v>
          </cell>
          <cell r="U456">
            <v>8.2629569738500059</v>
          </cell>
          <cell r="V456">
            <v>7.7796679496898689</v>
          </cell>
        </row>
        <row r="457">
          <cell r="D457" t="str">
            <v xml:space="preserve">OR EU </v>
          </cell>
          <cell r="E457">
            <v>17.781203562708793</v>
          </cell>
          <cell r="F457">
            <v>16.997636116637338</v>
          </cell>
          <cell r="G457">
            <v>16.642066343565265</v>
          </cell>
          <cell r="H457">
            <v>16.185381217443013</v>
          </cell>
          <cell r="I457">
            <v>14.995208406434985</v>
          </cell>
          <cell r="J457">
            <v>13.684054338393375</v>
          </cell>
          <cell r="K457">
            <v>12.875118097890534</v>
          </cell>
          <cell r="L457">
            <v>11.673808398370882</v>
          </cell>
          <cell r="M457">
            <v>9.2401554962351149</v>
          </cell>
          <cell r="N457">
            <v>9.4338317009442232</v>
          </cell>
          <cell r="O457">
            <v>9.3000365698803424</v>
          </cell>
          <cell r="P457">
            <v>8.5642649771218391</v>
          </cell>
          <cell r="Q457">
            <v>7.946248279353787</v>
          </cell>
          <cell r="R457">
            <v>7.5602187093555964</v>
          </cell>
          <cell r="S457">
            <v>7.5491191262740562</v>
          </cell>
          <cell r="T457">
            <v>7.4396198117620189</v>
          </cell>
          <cell r="U457">
            <v>7.2341680526514063</v>
          </cell>
          <cell r="V457">
            <v>6.8640016860350421</v>
          </cell>
        </row>
        <row r="458">
          <cell r="D458" t="str">
            <v xml:space="preserve">PA EU </v>
          </cell>
          <cell r="E458">
            <v>47.476180158833138</v>
          </cell>
          <cell r="F458">
            <v>45.301716777014128</v>
          </cell>
          <cell r="G458">
            <v>45.100403542767438</v>
          </cell>
          <cell r="H458">
            <v>43.562979240888261</v>
          </cell>
          <cell r="I458">
            <v>41.02859039183754</v>
          </cell>
          <cell r="J458">
            <v>37.782579121942334</v>
          </cell>
          <cell r="K458">
            <v>33.942949056087414</v>
          </cell>
          <cell r="L458">
            <v>30.794417453677443</v>
          </cell>
          <cell r="M458">
            <v>25.649395173250515</v>
          </cell>
          <cell r="N458">
            <v>25.57359450120531</v>
          </cell>
          <cell r="O458">
            <v>24.731893254594656</v>
          </cell>
          <cell r="P458">
            <v>25.248097861089857</v>
          </cell>
          <cell r="Q458">
            <v>24.55063869509393</v>
          </cell>
          <cell r="R458">
            <v>23.481085244264772</v>
          </cell>
          <cell r="S458">
            <v>23.737821695833613</v>
          </cell>
          <cell r="T458">
            <v>23.76372778084178</v>
          </cell>
          <cell r="U458">
            <v>21.994849530717101</v>
          </cell>
          <cell r="V458">
            <v>21.364719225465187</v>
          </cell>
        </row>
        <row r="459">
          <cell r="D459" t="str">
            <v xml:space="preserve">PR EU </v>
          </cell>
          <cell r="E459">
            <v>0</v>
          </cell>
          <cell r="F459">
            <v>0</v>
          </cell>
          <cell r="G459">
            <v>0</v>
          </cell>
          <cell r="H459">
            <v>0</v>
          </cell>
          <cell r="I459">
            <v>0</v>
          </cell>
          <cell r="J459">
            <v>0</v>
          </cell>
          <cell r="K459">
            <v>0</v>
          </cell>
          <cell r="L459">
            <v>0</v>
          </cell>
          <cell r="M459">
            <v>0</v>
          </cell>
          <cell r="N459">
            <v>0</v>
          </cell>
          <cell r="O459">
            <v>0</v>
          </cell>
          <cell r="P459">
            <v>0</v>
          </cell>
          <cell r="Q459">
            <v>0</v>
          </cell>
          <cell r="R459">
            <v>0</v>
          </cell>
          <cell r="S459">
            <v>1</v>
          </cell>
          <cell r="T459">
            <v>2</v>
          </cell>
          <cell r="U459">
            <v>3</v>
          </cell>
          <cell r="V459">
            <v>4</v>
          </cell>
        </row>
        <row r="460">
          <cell r="D460" t="str">
            <v xml:space="preserve">RI EU </v>
          </cell>
          <cell r="E460">
            <v>2.6557455845511648</v>
          </cell>
          <cell r="F460">
            <v>2.4933510524501687</v>
          </cell>
          <cell r="G460">
            <v>2.4792582445996394</v>
          </cell>
          <cell r="H460">
            <v>2.3776122395529087</v>
          </cell>
          <cell r="I460">
            <v>2.1913403248938192</v>
          </cell>
          <cell r="J460">
            <v>1.9858360850377041</v>
          </cell>
          <cell r="K460">
            <v>1.7564695282363418</v>
          </cell>
          <cell r="L460">
            <v>1.6216349941814201</v>
          </cell>
          <cell r="M460">
            <v>1.356796046525969</v>
          </cell>
          <cell r="N460">
            <v>1.4187489698997464</v>
          </cell>
          <cell r="O460">
            <v>1.3491383521896694</v>
          </cell>
          <cell r="P460">
            <v>1.3798656362433652</v>
          </cell>
          <cell r="Q460">
            <v>1.3275651696097126</v>
          </cell>
          <cell r="R460">
            <v>1.3042272352340258</v>
          </cell>
          <cell r="S460">
            <v>1.3047519231212099</v>
          </cell>
          <cell r="T460">
            <v>1.2900324661095071</v>
          </cell>
          <cell r="U460">
            <v>1.1737268740806202</v>
          </cell>
          <cell r="V460">
            <v>1.1294625141060823</v>
          </cell>
        </row>
        <row r="461">
          <cell r="D461" t="str">
            <v xml:space="preserve">SC EU </v>
          </cell>
          <cell r="E461">
            <v>23.025004637905635</v>
          </cell>
          <cell r="F461">
            <v>22.222841521281754</v>
          </cell>
          <cell r="G461">
            <v>22.64991879332571</v>
          </cell>
          <cell r="H461">
            <v>22.341352257292996</v>
          </cell>
          <cell r="I461">
            <v>20.62614336686956</v>
          </cell>
          <cell r="J461">
            <v>19.474588923330227</v>
          </cell>
          <cell r="K461">
            <v>17.842422715401899</v>
          </cell>
          <cell r="L461">
            <v>16.478273557131505</v>
          </cell>
          <cell r="M461">
            <v>14.272710073021237</v>
          </cell>
          <cell r="N461">
            <v>14.545215563181269</v>
          </cell>
          <cell r="O461">
            <v>14.230245116173519</v>
          </cell>
          <cell r="P461">
            <v>13.967235355415459</v>
          </cell>
          <cell r="Q461">
            <v>13.66412210556256</v>
          </cell>
          <cell r="R461">
            <v>12.889684999381998</v>
          </cell>
          <cell r="S461">
            <v>13.218328863867983</v>
          </cell>
          <cell r="T461">
            <v>13.022605664341471</v>
          </cell>
          <cell r="U461">
            <v>12.171605531356319</v>
          </cell>
          <cell r="V461">
            <v>11.550869642070426</v>
          </cell>
        </row>
        <row r="462">
          <cell r="D462" t="str">
            <v xml:space="preserve">SD EU </v>
          </cell>
          <cell r="E462">
            <v>2.6205430783170671</v>
          </cell>
          <cell r="F462">
            <v>2.6031986736901032</v>
          </cell>
          <cell r="G462">
            <v>2.5185404962425677</v>
          </cell>
          <cell r="H462">
            <v>2.5069666802566726</v>
          </cell>
          <cell r="I462">
            <v>2.3921427591525735</v>
          </cell>
          <cell r="J462">
            <v>2.218625050849008</v>
          </cell>
          <cell r="K462">
            <v>2.0575295923138457</v>
          </cell>
          <cell r="L462">
            <v>1.8688147201774847</v>
          </cell>
          <cell r="M462">
            <v>1.5412579259769505</v>
          </cell>
          <cell r="N462">
            <v>1.5719883666476042</v>
          </cell>
          <cell r="O462">
            <v>1.5304818454068492</v>
          </cell>
          <cell r="P462">
            <v>1.6102033154174291</v>
          </cell>
          <cell r="Q462">
            <v>1.5691916495198726</v>
          </cell>
          <cell r="R462">
            <v>1.5189096223998177</v>
          </cell>
          <cell r="S462">
            <v>1.5241415363199489</v>
          </cell>
          <cell r="T462">
            <v>1.5724132619290545</v>
          </cell>
          <cell r="U462">
            <v>1.5134326177131878</v>
          </cell>
          <cell r="V462">
            <v>1.4945710875726455</v>
          </cell>
        </row>
        <row r="463">
          <cell r="D463" t="str">
            <v xml:space="preserve">TN EU </v>
          </cell>
          <cell r="E463">
            <v>31.917367475471888</v>
          </cell>
          <cell r="F463">
            <v>30.52518138462025</v>
          </cell>
          <cell r="G463">
            <v>30.477665844441262</v>
          </cell>
          <cell r="H463">
            <v>28.985533749545027</v>
          </cell>
          <cell r="I463">
            <v>27.520202224129488</v>
          </cell>
          <cell r="J463">
            <v>24.548932595078821</v>
          </cell>
          <cell r="K463">
            <v>23.314017382011091</v>
          </cell>
          <cell r="L463">
            <v>20.898153568110686</v>
          </cell>
          <cell r="M463">
            <v>18.073834782704136</v>
          </cell>
          <cell r="N463">
            <v>18.489261119588281</v>
          </cell>
          <cell r="O463">
            <v>17.688533109440819</v>
          </cell>
          <cell r="P463">
            <v>17.942508262381615</v>
          </cell>
          <cell r="Q463">
            <v>17.248503762751369</v>
          </cell>
          <cell r="R463">
            <v>16.302503034689373</v>
          </cell>
          <cell r="S463">
            <v>16.485731586487439</v>
          </cell>
          <cell r="T463">
            <v>16.652938422869074</v>
          </cell>
          <cell r="U463">
            <v>15.641173254909235</v>
          </cell>
          <cell r="V463">
            <v>15.042112273413556</v>
          </cell>
        </row>
        <row r="464">
          <cell r="D464" t="str">
            <v xml:space="preserve">TX EU </v>
          </cell>
          <cell r="E464">
            <v>98.22656741242983</v>
          </cell>
          <cell r="F464">
            <v>93.593171292964129</v>
          </cell>
          <cell r="G464">
            <v>92.85972677214599</v>
          </cell>
          <cell r="H464">
            <v>90.800853771571866</v>
          </cell>
          <cell r="I464">
            <v>86.088394152659816</v>
          </cell>
          <cell r="J464">
            <v>78.790472835178548</v>
          </cell>
          <cell r="K464">
            <v>74.057169044540458</v>
          </cell>
          <cell r="L464">
            <v>68.934374923865136</v>
          </cell>
          <cell r="M464">
            <v>60.023871658731444</v>
          </cell>
          <cell r="N464">
            <v>59.893251361941843</v>
          </cell>
          <cell r="O464">
            <v>58.808440529072605</v>
          </cell>
          <cell r="P464">
            <v>59.361984790307467</v>
          </cell>
          <cell r="Q464">
            <v>56.336560144274664</v>
          </cell>
          <cell r="R464">
            <v>53.979222671255656</v>
          </cell>
          <cell r="S464">
            <v>53.03567054147809</v>
          </cell>
          <cell r="T464">
            <v>53.571625049488397</v>
          </cell>
          <cell r="U464">
            <v>51.578166476119321</v>
          </cell>
          <cell r="V464">
            <v>48.46379988065042</v>
          </cell>
        </row>
        <row r="465">
          <cell r="D465" t="str">
            <v xml:space="preserve">UT EU </v>
          </cell>
          <cell r="E465">
            <v>6.372186930722691</v>
          </cell>
          <cell r="F465">
            <v>6.1943553904110686</v>
          </cell>
          <cell r="G465">
            <v>6.4252834821642537</v>
          </cell>
          <cell r="H465">
            <v>6.1241310304102772</v>
          </cell>
          <cell r="I465">
            <v>5.9509901820829016</v>
          </cell>
          <cell r="J465">
            <v>5.5245321209058895</v>
          </cell>
          <cell r="K465">
            <v>5.2815032329610228</v>
          </cell>
          <cell r="L465">
            <v>4.899047397500067</v>
          </cell>
          <cell r="M465">
            <v>4.077762667071072</v>
          </cell>
          <cell r="N465">
            <v>4.3413338734308846</v>
          </cell>
          <cell r="O465">
            <v>4.2841675012410114</v>
          </cell>
          <cell r="P465">
            <v>4.3334404370126389</v>
          </cell>
          <cell r="Q465">
            <v>4.0854302470659229</v>
          </cell>
          <cell r="R465">
            <v>3.9913827227593304</v>
          </cell>
          <cell r="S465">
            <v>4.0546927202565879</v>
          </cell>
          <cell r="T465">
            <v>4.0068338083636794</v>
          </cell>
          <cell r="U465">
            <v>3.967899662549033</v>
          </cell>
          <cell r="V465">
            <v>3.9164525973073951</v>
          </cell>
        </row>
        <row r="466">
          <cell r="D466" t="str">
            <v xml:space="preserve">VT EU </v>
          </cell>
          <cell r="E466">
            <v>1.9512610398005059</v>
          </cell>
          <cell r="F466">
            <v>1.8319191853621799</v>
          </cell>
          <cell r="G466">
            <v>1.9163049424378722</v>
          </cell>
          <cell r="H466">
            <v>1.8210529120055052</v>
          </cell>
          <cell r="I466">
            <v>1.6893935922168346</v>
          </cell>
          <cell r="J466">
            <v>1.5274869366476271</v>
          </cell>
          <cell r="K466">
            <v>1.3935088017406636</v>
          </cell>
          <cell r="L466">
            <v>1.2772409563159914</v>
          </cell>
          <cell r="M466">
            <v>1.0565096050308707</v>
          </cell>
          <cell r="N466">
            <v>1.0967567612663571</v>
          </cell>
          <cell r="O466">
            <v>1.0419011535140419</v>
          </cell>
          <cell r="P466">
            <v>1.0425066314815867</v>
          </cell>
          <cell r="Q466">
            <v>0.98842891237604891</v>
          </cell>
          <cell r="R466">
            <v>0.89535956661976879</v>
          </cell>
          <cell r="S466">
            <v>0.93689345700295223</v>
          </cell>
          <cell r="T466">
            <v>0.94287784414515941</v>
          </cell>
          <cell r="U466">
            <v>0.87212096244842585</v>
          </cell>
          <cell r="V466">
            <v>0.82655145081258374</v>
          </cell>
        </row>
        <row r="467">
          <cell r="D467" t="str">
            <v xml:space="preserve">VA EU </v>
          </cell>
          <cell r="E467">
            <v>30.076874451056497</v>
          </cell>
          <cell r="F467">
            <v>29.248338980625842</v>
          </cell>
          <cell r="G467">
            <v>29.649372152496877</v>
          </cell>
          <cell r="H467">
            <v>29.544532980203648</v>
          </cell>
          <cell r="I467">
            <v>27.412448574492732</v>
          </cell>
          <cell r="J467">
            <v>25.486282078600606</v>
          </cell>
          <cell r="K467">
            <v>23.297163067456335</v>
          </cell>
          <cell r="L467">
            <v>21.019158483797153</v>
          </cell>
          <cell r="M467">
            <v>17.848996793956317</v>
          </cell>
          <cell r="N467">
            <v>18.459911967644398</v>
          </cell>
          <cell r="O467">
            <v>17.871038681912662</v>
          </cell>
          <cell r="P467">
            <v>18.002693887820957</v>
          </cell>
          <cell r="Q467">
            <v>17.667375588941812</v>
          </cell>
          <cell r="R467">
            <v>16.980647245549509</v>
          </cell>
          <cell r="S467">
            <v>17.439123236890062</v>
          </cell>
          <cell r="T467">
            <v>17.445335088078661</v>
          </cell>
          <cell r="U467">
            <v>16.060977678387871</v>
          </cell>
          <cell r="V467">
            <v>15.726105169761079</v>
          </cell>
        </row>
        <row r="468">
          <cell r="D468" t="str">
            <v xml:space="preserve">WA EU </v>
          </cell>
          <cell r="E468">
            <v>37.668833497891505</v>
          </cell>
          <cell r="F468">
            <v>36.102711934522759</v>
          </cell>
          <cell r="G468">
            <v>34.64115324611744</v>
          </cell>
          <cell r="H468">
            <v>32.848869800387376</v>
          </cell>
          <cell r="I468">
            <v>29.054078030903668</v>
          </cell>
          <cell r="J468">
            <v>26.441220354377631</v>
          </cell>
          <cell r="K468">
            <v>23.51750322303182</v>
          </cell>
          <cell r="L468">
            <v>21.863520667351757</v>
          </cell>
          <cell r="M468">
            <v>18.688976277599576</v>
          </cell>
          <cell r="N468">
            <v>19.650032966633784</v>
          </cell>
          <cell r="O468">
            <v>17.833291709067737</v>
          </cell>
          <cell r="P468">
            <v>14.650900847897399</v>
          </cell>
          <cell r="Q468">
            <v>13.239983879779682</v>
          </cell>
          <cell r="R468">
            <v>13.070248590657677</v>
          </cell>
          <cell r="S468">
            <v>13.230448756725197</v>
          </cell>
          <cell r="T468">
            <v>13.370570131423047</v>
          </cell>
          <cell r="U468">
            <v>12.797063476369043</v>
          </cell>
          <cell r="V468">
            <v>12.085617014775506</v>
          </cell>
        </row>
        <row r="469">
          <cell r="D469" t="str">
            <v xml:space="preserve">WV EU </v>
          </cell>
          <cell r="E469">
            <v>9.5706592993751478</v>
          </cell>
          <cell r="F469">
            <v>9.1995718100146942</v>
          </cell>
          <cell r="G469">
            <v>9.2425406690788776</v>
          </cell>
          <cell r="H469">
            <v>8.8742489420131037</v>
          </cell>
          <cell r="I469">
            <v>8.2613025348120441</v>
          </cell>
          <cell r="J469">
            <v>7.7739585816758963</v>
          </cell>
          <cell r="K469">
            <v>6.9487452417380018</v>
          </cell>
          <cell r="L469">
            <v>6.3108260733797676</v>
          </cell>
          <cell r="M469">
            <v>5.2224602821606432</v>
          </cell>
          <cell r="N469">
            <v>5.3860335955941254</v>
          </cell>
          <cell r="O469">
            <v>5.117102635587762</v>
          </cell>
          <cell r="P469">
            <v>5.1644159390904196</v>
          </cell>
          <cell r="Q469">
            <v>4.9977719501268272</v>
          </cell>
          <cell r="R469">
            <v>4.7335487101505933</v>
          </cell>
          <cell r="S469">
            <v>4.7836774447147699</v>
          </cell>
          <cell r="T469">
            <v>4.8324769155124212</v>
          </cell>
          <cell r="U469">
            <v>4.8628026582567232</v>
          </cell>
          <cell r="V469">
            <v>4.8183275596569617</v>
          </cell>
        </row>
        <row r="470">
          <cell r="D470" t="str">
            <v xml:space="preserve">WI EU </v>
          </cell>
          <cell r="E470">
            <v>20.354867337078357</v>
          </cell>
          <cell r="F470">
            <v>19.871981167346902</v>
          </cell>
          <cell r="G470">
            <v>19.750530185008611</v>
          </cell>
          <cell r="H470">
            <v>19.300070032852826</v>
          </cell>
          <cell r="I470">
            <v>18.476649886748707</v>
          </cell>
          <cell r="J470">
            <v>17.347554695793125</v>
          </cell>
          <cell r="K470">
            <v>15.623606766491731</v>
          </cell>
          <cell r="L470">
            <v>14.448872561735898</v>
          </cell>
          <cell r="M470">
            <v>12.225456259319163</v>
          </cell>
          <cell r="N470">
            <v>12.609364462398872</v>
          </cell>
          <cell r="O470">
            <v>12.037745437564539</v>
          </cell>
          <cell r="P470">
            <v>12.17279747157329</v>
          </cell>
          <cell r="Q470">
            <v>11.764247162593215</v>
          </cell>
          <cell r="R470">
            <v>11.248222989357878</v>
          </cell>
          <cell r="S470">
            <v>11.244449281721915</v>
          </cell>
          <cell r="T470">
            <v>11.272711150743898</v>
          </cell>
          <cell r="U470">
            <v>10.5076504046399</v>
          </cell>
          <cell r="V470">
            <v>10.05015904823823</v>
          </cell>
        </row>
        <row r="471">
          <cell r="D471" t="str">
            <v xml:space="preserve">WY EU </v>
          </cell>
          <cell r="E471">
            <v>4.8691617590126564</v>
          </cell>
          <cell r="F471">
            <v>4.5781256817921756</v>
          </cell>
          <cell r="G471">
            <v>4.5376480755551096</v>
          </cell>
          <cell r="H471">
            <v>4.315283443253966</v>
          </cell>
          <cell r="I471">
            <v>3.900083652185637</v>
          </cell>
          <cell r="J471">
            <v>3.3513468034320701</v>
          </cell>
          <cell r="K471">
            <v>3.0519389383706343</v>
          </cell>
          <cell r="L471">
            <v>2.8338497747494742</v>
          </cell>
          <cell r="M471">
            <v>2.2930781601399342</v>
          </cell>
          <cell r="N471">
            <v>2.3379055719779793</v>
          </cell>
          <cell r="O471">
            <v>2.2852963912580573</v>
          </cell>
          <cell r="P471">
            <v>2.4169860091573643</v>
          </cell>
          <cell r="Q471">
            <v>2.2605256005384713</v>
          </cell>
          <cell r="R471">
            <v>2.2171146701823581</v>
          </cell>
          <cell r="S471">
            <v>2.23968781594782</v>
          </cell>
          <cell r="T471">
            <v>2.2658557648338058</v>
          </cell>
          <cell r="U471">
            <v>2.2493854030382225</v>
          </cell>
          <cell r="V471">
            <v>2.1897885242229176</v>
          </cell>
        </row>
      </sheetData>
      <sheetData sheetId="21">
        <row r="40">
          <cell r="A40">
            <v>1990</v>
          </cell>
          <cell r="B40">
            <v>4048000</v>
          </cell>
          <cell r="C40">
            <v>1.72224</v>
          </cell>
          <cell r="D40">
            <v>0.42545454545454547</v>
          </cell>
          <cell r="E40">
            <v>1.5600000000000003</v>
          </cell>
        </row>
        <row r="41">
          <cell r="A41">
            <v>1991</v>
          </cell>
          <cell r="B41">
            <v>4121000</v>
          </cell>
          <cell r="C41">
            <v>1.7532981818181816</v>
          </cell>
          <cell r="D41">
            <v>0.42545454545454542</v>
          </cell>
          <cell r="E41">
            <v>1.56</v>
          </cell>
        </row>
        <row r="42">
          <cell r="A42">
            <v>1992</v>
          </cell>
          <cell r="B42">
            <v>4042000</v>
          </cell>
          <cell r="C42">
            <v>1.7196872727272725</v>
          </cell>
          <cell r="D42">
            <v>0.42545454545454542</v>
          </cell>
          <cell r="E42">
            <v>1.56</v>
          </cell>
        </row>
        <row r="43">
          <cell r="A43">
            <v>1993</v>
          </cell>
          <cell r="B43">
            <v>3695000</v>
          </cell>
          <cell r="C43">
            <v>1.5720545454545454</v>
          </cell>
          <cell r="D43">
            <v>0.42545454545454542</v>
          </cell>
          <cell r="E43">
            <v>1.56</v>
          </cell>
        </row>
        <row r="44">
          <cell r="A44">
            <v>1994</v>
          </cell>
          <cell r="B44">
            <v>3299000</v>
          </cell>
          <cell r="C44">
            <v>1.4035745454545454</v>
          </cell>
          <cell r="D44">
            <v>0.42545454545454542</v>
          </cell>
          <cell r="E44">
            <v>1.56</v>
          </cell>
        </row>
        <row r="45">
          <cell r="A45">
            <v>1995</v>
          </cell>
          <cell r="B45">
            <v>3375000</v>
          </cell>
          <cell r="C45">
            <v>1.4359090909090908</v>
          </cell>
          <cell r="D45">
            <v>0.42545454545454542</v>
          </cell>
          <cell r="E45">
            <v>1.56</v>
          </cell>
        </row>
        <row r="46">
          <cell r="A46">
            <v>1996</v>
          </cell>
          <cell r="B46">
            <v>3577000</v>
          </cell>
          <cell r="C46">
            <v>1.5218509090909089</v>
          </cell>
          <cell r="D46">
            <v>0.42545454545454542</v>
          </cell>
          <cell r="E46">
            <v>1.56</v>
          </cell>
        </row>
        <row r="47">
          <cell r="A47">
            <v>1997</v>
          </cell>
          <cell r="B47">
            <v>3603000</v>
          </cell>
          <cell r="C47">
            <v>1.5329127272727272</v>
          </cell>
          <cell r="D47">
            <v>0.42545454545454547</v>
          </cell>
          <cell r="E47">
            <v>1.5600000000000003</v>
          </cell>
        </row>
        <row r="48">
          <cell r="A48">
            <v>1998</v>
          </cell>
          <cell r="B48">
            <v>3713000</v>
          </cell>
          <cell r="C48">
            <v>1.5797127272727274</v>
          </cell>
          <cell r="D48">
            <v>0.42545454545454547</v>
          </cell>
          <cell r="E48">
            <v>1.5600000000000003</v>
          </cell>
        </row>
        <row r="49">
          <cell r="A49">
            <v>1999</v>
          </cell>
          <cell r="B49">
            <v>3779000</v>
          </cell>
          <cell r="C49">
            <v>1.6077927272727273</v>
          </cell>
          <cell r="D49">
            <v>0.42545454545454547</v>
          </cell>
          <cell r="E49">
            <v>1.5600000000000003</v>
          </cell>
        </row>
        <row r="50">
          <cell r="A50">
            <v>2000</v>
          </cell>
          <cell r="B50">
            <v>3668438</v>
          </cell>
          <cell r="C50">
            <v>1.5607536218181821</v>
          </cell>
          <cell r="D50">
            <v>0.42545454545454553</v>
          </cell>
          <cell r="E50">
            <v>1.5600000000000005</v>
          </cell>
        </row>
        <row r="51">
          <cell r="A51">
            <v>2001</v>
          </cell>
          <cell r="B51">
            <v>2636954</v>
          </cell>
          <cell r="C51">
            <v>1.1219040654545454</v>
          </cell>
          <cell r="D51">
            <v>0.42545454545454542</v>
          </cell>
          <cell r="E51">
            <v>1.56</v>
          </cell>
        </row>
        <row r="52">
          <cell r="A52">
            <v>2002</v>
          </cell>
          <cell r="B52">
            <v>2705143</v>
          </cell>
          <cell r="C52">
            <v>1.1509153854545453</v>
          </cell>
          <cell r="D52">
            <v>0.42545454545454536</v>
          </cell>
          <cell r="E52">
            <v>1.5599999999999998</v>
          </cell>
        </row>
        <row r="53">
          <cell r="A53">
            <v>2003</v>
          </cell>
          <cell r="B53">
            <v>2704495</v>
          </cell>
          <cell r="C53">
            <v>1.1506396909090908</v>
          </cell>
          <cell r="D53">
            <v>0.42545454545454536</v>
          </cell>
          <cell r="E53">
            <v>1.5599999999999998</v>
          </cell>
        </row>
        <row r="54">
          <cell r="A54">
            <v>2004</v>
          </cell>
          <cell r="B54">
            <v>2516864</v>
          </cell>
          <cell r="C54">
            <v>1.0708112290909091</v>
          </cell>
          <cell r="D54">
            <v>0.42545454545454542</v>
          </cell>
          <cell r="E54">
            <v>1.56</v>
          </cell>
        </row>
        <row r="55">
          <cell r="A55">
            <v>2005</v>
          </cell>
          <cell r="B55">
            <v>2516864</v>
          </cell>
          <cell r="C55">
            <v>1.0708112290909091</v>
          </cell>
          <cell r="D55">
            <v>0.42545454545454542</v>
          </cell>
          <cell r="E55">
            <v>1.56</v>
          </cell>
        </row>
        <row r="56">
          <cell r="A56">
            <v>2006</v>
          </cell>
          <cell r="B56">
            <v>2516864</v>
          </cell>
          <cell r="C56">
            <v>1.0708112290909091</v>
          </cell>
          <cell r="D56">
            <v>0.42545454545454542</v>
          </cell>
          <cell r="E56">
            <v>1.56</v>
          </cell>
        </row>
        <row r="57">
          <cell r="A57">
            <v>2007</v>
          </cell>
        </row>
        <row r="58">
          <cell r="A58">
            <v>2008</v>
          </cell>
        </row>
        <row r="59">
          <cell r="A59">
            <v>2009</v>
          </cell>
        </row>
        <row r="60">
          <cell r="A60">
            <v>2010</v>
          </cell>
        </row>
        <row r="61">
          <cell r="A61">
            <v>2011</v>
          </cell>
        </row>
        <row r="62">
          <cell r="A62">
            <v>2012</v>
          </cell>
        </row>
        <row r="63">
          <cell r="A63">
            <v>2013</v>
          </cell>
        </row>
        <row r="64">
          <cell r="A64">
            <v>2014</v>
          </cell>
        </row>
        <row r="65">
          <cell r="A65">
            <v>2015</v>
          </cell>
        </row>
        <row r="66">
          <cell r="A66">
            <v>2016</v>
          </cell>
        </row>
        <row r="67">
          <cell r="A67">
            <v>2017</v>
          </cell>
        </row>
        <row r="68">
          <cell r="A68">
            <v>2018</v>
          </cell>
        </row>
        <row r="69">
          <cell r="A69">
            <v>2019</v>
          </cell>
        </row>
        <row r="70">
          <cell r="A70">
            <v>2020</v>
          </cell>
        </row>
      </sheetData>
      <sheetData sheetId="22"/>
      <sheetData sheetId="23"/>
      <sheetData sheetId="24"/>
      <sheetData sheetId="25">
        <row r="4">
          <cell r="A4" t="str">
            <v>Manufacture</v>
          </cell>
          <cell r="B4" t="str">
            <v>Units</v>
          </cell>
          <cell r="C4">
            <v>1990</v>
          </cell>
          <cell r="D4">
            <v>1991</v>
          </cell>
          <cell r="E4">
            <v>1992</v>
          </cell>
          <cell r="F4">
            <v>1993</v>
          </cell>
          <cell r="G4">
            <v>1994</v>
          </cell>
          <cell r="H4">
            <v>1995</v>
          </cell>
          <cell r="I4">
            <v>1996</v>
          </cell>
          <cell r="J4">
            <v>1997</v>
          </cell>
          <cell r="K4">
            <v>1998</v>
          </cell>
          <cell r="L4">
            <v>1999</v>
          </cell>
          <cell r="M4">
            <v>2000</v>
          </cell>
          <cell r="N4">
            <v>2001</v>
          </cell>
          <cell r="O4">
            <v>2002</v>
          </cell>
          <cell r="P4">
            <v>2003</v>
          </cell>
          <cell r="Q4">
            <v>2004</v>
          </cell>
          <cell r="R4">
            <v>2005</v>
          </cell>
          <cell r="S4">
            <v>2006</v>
          </cell>
          <cell r="T4">
            <v>2007</v>
          </cell>
          <cell r="U4">
            <v>2008</v>
          </cell>
          <cell r="V4">
            <v>2009</v>
          </cell>
          <cell r="W4">
            <v>2010</v>
          </cell>
          <cell r="X4">
            <v>2011</v>
          </cell>
          <cell r="Y4">
            <v>2012</v>
          </cell>
          <cell r="Z4">
            <v>2013</v>
          </cell>
          <cell r="AA4">
            <v>2014</v>
          </cell>
          <cell r="AB4">
            <v>2015</v>
          </cell>
          <cell r="AC4">
            <v>2016</v>
          </cell>
          <cell r="AD4">
            <v>2017</v>
          </cell>
          <cell r="AE4">
            <v>2018</v>
          </cell>
          <cell r="AF4">
            <v>2019</v>
          </cell>
          <cell r="AG4">
            <v>2020</v>
          </cell>
        </row>
        <row r="5">
          <cell r="A5" t="str">
            <v>Trona Production</v>
          </cell>
          <cell r="B5" t="str">
            <v>10^3 metric tons</v>
          </cell>
          <cell r="C5">
            <v>14700</v>
          </cell>
          <cell r="D5">
            <v>14700</v>
          </cell>
          <cell r="E5">
            <v>14900</v>
          </cell>
          <cell r="F5">
            <v>14500</v>
          </cell>
          <cell r="G5">
            <v>14600</v>
          </cell>
          <cell r="H5">
            <v>16500</v>
          </cell>
          <cell r="I5">
            <v>16300</v>
          </cell>
          <cell r="J5">
            <v>17100</v>
          </cell>
          <cell r="K5">
            <v>16500</v>
          </cell>
          <cell r="L5">
            <v>15900</v>
          </cell>
          <cell r="M5">
            <v>15700</v>
          </cell>
          <cell r="N5">
            <v>15400</v>
          </cell>
          <cell r="O5">
            <v>15100</v>
          </cell>
          <cell r="P5">
            <v>15500</v>
          </cell>
          <cell r="Q5">
            <v>16500</v>
          </cell>
          <cell r="R5">
            <v>17000</v>
          </cell>
          <cell r="S5">
            <v>16700</v>
          </cell>
          <cell r="T5">
            <v>17200</v>
          </cell>
        </row>
        <row r="10">
          <cell r="A10" t="str">
            <v>Consumption</v>
          </cell>
          <cell r="C10">
            <v>1990</v>
          </cell>
          <cell r="D10">
            <v>1991</v>
          </cell>
          <cell r="E10">
            <v>1992</v>
          </cell>
          <cell r="F10">
            <v>1993</v>
          </cell>
          <cell r="G10">
            <v>1994</v>
          </cell>
          <cell r="H10">
            <v>1995</v>
          </cell>
          <cell r="I10">
            <v>1996</v>
          </cell>
          <cell r="J10">
            <v>1997</v>
          </cell>
          <cell r="K10">
            <v>1998</v>
          </cell>
          <cell r="L10">
            <v>1999</v>
          </cell>
          <cell r="M10">
            <v>2000</v>
          </cell>
          <cell r="N10">
            <v>2001</v>
          </cell>
          <cell r="O10">
            <v>2002</v>
          </cell>
          <cell r="P10">
            <v>2003</v>
          </cell>
          <cell r="Q10">
            <v>2004</v>
          </cell>
          <cell r="R10">
            <v>2005</v>
          </cell>
          <cell r="S10">
            <v>2006</v>
          </cell>
          <cell r="T10">
            <v>2007</v>
          </cell>
          <cell r="U10">
            <v>2008</v>
          </cell>
          <cell r="V10">
            <v>2009</v>
          </cell>
          <cell r="W10">
            <v>2010</v>
          </cell>
          <cell r="X10">
            <v>2011</v>
          </cell>
          <cell r="Y10">
            <v>2012</v>
          </cell>
          <cell r="Z10">
            <v>2013</v>
          </cell>
          <cell r="AA10">
            <v>2014</v>
          </cell>
          <cell r="AB10">
            <v>2015</v>
          </cell>
          <cell r="AC10">
            <v>2016</v>
          </cell>
          <cell r="AD10">
            <v>2017</v>
          </cell>
          <cell r="AE10">
            <v>2018</v>
          </cell>
          <cell r="AF10">
            <v>2019</v>
          </cell>
          <cell r="AG10">
            <v>2020</v>
          </cell>
        </row>
        <row r="11">
          <cell r="A11" t="str">
            <v>Soda Ash Consumption</v>
          </cell>
          <cell r="B11" t="str">
            <v>10^3 metric tons</v>
          </cell>
          <cell r="C11">
            <v>6530</v>
          </cell>
          <cell r="D11">
            <v>6280</v>
          </cell>
          <cell r="E11">
            <v>6320</v>
          </cell>
          <cell r="F11">
            <v>6280</v>
          </cell>
          <cell r="G11">
            <v>6260</v>
          </cell>
          <cell r="H11">
            <v>6500</v>
          </cell>
          <cell r="I11">
            <v>6390</v>
          </cell>
          <cell r="J11">
            <v>6480</v>
          </cell>
          <cell r="K11">
            <v>6550</v>
          </cell>
          <cell r="L11">
            <v>6430</v>
          </cell>
          <cell r="M11">
            <v>6390</v>
          </cell>
          <cell r="N11">
            <v>6380</v>
          </cell>
          <cell r="O11">
            <v>6430</v>
          </cell>
          <cell r="P11">
            <v>6270</v>
          </cell>
          <cell r="Q11">
            <v>6260</v>
          </cell>
          <cell r="R11">
            <v>6200</v>
          </cell>
          <cell r="S11">
            <v>6110</v>
          </cell>
          <cell r="T11">
            <v>5940</v>
          </cell>
        </row>
      </sheetData>
      <sheetData sheetId="26">
        <row r="29">
          <cell r="B29">
            <v>1990</v>
          </cell>
          <cell r="C29">
            <v>1991</v>
          </cell>
          <cell r="D29">
            <v>1992</v>
          </cell>
          <cell r="E29">
            <v>1993</v>
          </cell>
          <cell r="F29">
            <v>1994</v>
          </cell>
          <cell r="G29">
            <v>1995</v>
          </cell>
          <cell r="H29">
            <v>1996</v>
          </cell>
          <cell r="I29">
            <v>1997</v>
          </cell>
          <cell r="J29">
            <v>1998</v>
          </cell>
          <cell r="K29">
            <v>1999</v>
          </cell>
          <cell r="L29">
            <v>2000</v>
          </cell>
          <cell r="M29">
            <v>2001</v>
          </cell>
          <cell r="N29">
            <v>2002</v>
          </cell>
          <cell r="O29">
            <v>2003</v>
          </cell>
          <cell r="P29">
            <v>2004</v>
          </cell>
          <cell r="Q29">
            <v>2005</v>
          </cell>
          <cell r="R29">
            <v>2006</v>
          </cell>
          <cell r="S29">
            <v>2007</v>
          </cell>
          <cell r="T29">
            <v>2008</v>
          </cell>
          <cell r="U29">
            <v>2009</v>
          </cell>
          <cell r="V29">
            <v>2010</v>
          </cell>
          <cell r="W29">
            <v>2011</v>
          </cell>
          <cell r="X29">
            <v>2012</v>
          </cell>
          <cell r="Y29">
            <v>2013</v>
          </cell>
          <cell r="Z29">
            <v>2014</v>
          </cell>
          <cell r="AA29">
            <v>2015</v>
          </cell>
          <cell r="AB29">
            <v>2016</v>
          </cell>
          <cell r="AC29">
            <v>2017</v>
          </cell>
          <cell r="AD29">
            <v>2018</v>
          </cell>
          <cell r="AE29">
            <v>2019</v>
          </cell>
          <cell r="AF29">
            <v>2020</v>
          </cell>
        </row>
        <row r="30">
          <cell r="A30" t="str">
            <v>Limestone</v>
          </cell>
          <cell r="B30">
            <v>1.5088228293953357E-2</v>
          </cell>
          <cell r="C30">
            <v>1.5088228293953353E-2</v>
          </cell>
          <cell r="D30">
            <v>1.448200207599052E-2</v>
          </cell>
          <cell r="E30">
            <v>1.3882784883531341E-2</v>
          </cell>
          <cell r="F30">
            <v>1.2447102199159182E-2</v>
          </cell>
          <cell r="G30">
            <v>1.758846533346425E-2</v>
          </cell>
          <cell r="H30">
            <v>1.7225409696726725E-2</v>
          </cell>
          <cell r="I30">
            <v>1.4997186490969283E-2</v>
          </cell>
          <cell r="J30">
            <v>1.5135469099284741E-2</v>
          </cell>
          <cell r="K30">
            <v>1.444576596194723E-2</v>
          </cell>
          <cell r="L30">
            <v>1.1082311490367947E-2</v>
          </cell>
          <cell r="M30">
            <v>1.0643709706671214E-2</v>
          </cell>
          <cell r="N30">
            <v>1.1181968532598018E-2</v>
          </cell>
          <cell r="O30">
            <v>8.2802016132258651E-3</v>
          </cell>
          <cell r="P30">
            <v>1.0281049065031231E-2</v>
          </cell>
          <cell r="Q30">
            <v>1.1488190824895149E-2</v>
          </cell>
          <cell r="R30">
            <v>1.2214964792596011E-2</v>
          </cell>
          <cell r="S30">
            <v>1.2819052209449219E-2</v>
          </cell>
        </row>
        <row r="31">
          <cell r="A31" t="str">
            <v>Dolomite</v>
          </cell>
          <cell r="B31">
            <v>2.1197918633057974E-2</v>
          </cell>
          <cell r="C31">
            <v>2.1197918633057977E-2</v>
          </cell>
          <cell r="D31">
            <v>1.8124077767630798E-2</v>
          </cell>
          <cell r="E31">
            <v>1.5032132375728922E-2</v>
          </cell>
          <cell r="F31">
            <v>2.6193557471675212E-2</v>
          </cell>
          <cell r="G31">
            <v>2.5354541528090583E-2</v>
          </cell>
          <cell r="H31">
            <v>2.8206095526929809E-2</v>
          </cell>
          <cell r="I31">
            <v>2.4056186868686873E-2</v>
          </cell>
          <cell r="J31">
            <v>1.958741829340473E-2</v>
          </cell>
          <cell r="K31">
            <v>3.4802941297397201E-2</v>
          </cell>
          <cell r="L31">
            <v>2.1082761900382059E-2</v>
          </cell>
          <cell r="M31">
            <v>1.8043073850883471E-2</v>
          </cell>
          <cell r="N31">
            <v>2.3120666263117973E-2</v>
          </cell>
          <cell r="O31">
            <v>2.7449483017134336E-2</v>
          </cell>
          <cell r="P31">
            <v>4.5788055401988027E-2</v>
          </cell>
          <cell r="Q31">
            <v>4.1523981535640325E-2</v>
          </cell>
          <cell r="R31">
            <v>6.7115960659668614E-2</v>
          </cell>
          <cell r="S31">
            <v>2.5203252032520326E-2</v>
          </cell>
        </row>
      </sheetData>
      <sheetData sheetId="27"/>
      <sheetData sheetId="28"/>
      <sheetData sheetId="29"/>
      <sheetData sheetId="30"/>
      <sheetData sheetId="31">
        <row r="61">
          <cell r="C61">
            <v>1990</v>
          </cell>
          <cell r="D61">
            <v>1991</v>
          </cell>
          <cell r="E61">
            <v>1992</v>
          </cell>
          <cell r="F61">
            <v>1993</v>
          </cell>
          <cell r="G61">
            <v>1994</v>
          </cell>
          <cell r="H61">
            <v>1995</v>
          </cell>
          <cell r="I61">
            <v>1996</v>
          </cell>
          <cell r="J61">
            <v>1997</v>
          </cell>
          <cell r="K61">
            <v>1998</v>
          </cell>
          <cell r="L61">
            <v>1999</v>
          </cell>
          <cell r="M61">
            <v>2000</v>
          </cell>
          <cell r="N61">
            <v>2001</v>
          </cell>
          <cell r="O61">
            <v>2002</v>
          </cell>
          <cell r="P61">
            <v>2003</v>
          </cell>
          <cell r="Q61">
            <v>2004</v>
          </cell>
          <cell r="R61">
            <v>2005</v>
          </cell>
          <cell r="S61">
            <v>2006</v>
          </cell>
          <cell r="T61">
            <v>2007</v>
          </cell>
          <cell r="U61">
            <v>2008</v>
          </cell>
          <cell r="V61">
            <v>2009</v>
          </cell>
          <cell r="W61">
            <v>2010</v>
          </cell>
          <cell r="X61">
            <v>2011</v>
          </cell>
          <cell r="Y61">
            <v>2012</v>
          </cell>
          <cell r="Z61">
            <v>2013</v>
          </cell>
          <cell r="AA61">
            <v>2014</v>
          </cell>
          <cell r="AB61">
            <v>2015</v>
          </cell>
          <cell r="AC61">
            <v>2016</v>
          </cell>
          <cell r="AD61">
            <v>2017</v>
          </cell>
          <cell r="AE61">
            <v>2018</v>
          </cell>
          <cell r="AF61">
            <v>2019</v>
          </cell>
          <cell r="AG61">
            <v>2020</v>
          </cell>
        </row>
        <row r="62">
          <cell r="B62" t="str">
            <v>AL</v>
          </cell>
          <cell r="C62">
            <v>1.6228800842585971E-2</v>
          </cell>
          <cell r="D62">
            <v>1.6224369757083922E-2</v>
          </cell>
          <cell r="E62">
            <v>1.6230537134422136E-2</v>
          </cell>
          <cell r="F62">
            <v>1.6266085724448872E-2</v>
          </cell>
          <cell r="G62">
            <v>1.6260182994987677E-2</v>
          </cell>
          <cell r="H62">
            <v>1.6220235397674417E-2</v>
          </cell>
          <cell r="I62">
            <v>1.6176247406708505E-2</v>
          </cell>
          <cell r="J62">
            <v>1.6133478252834201E-2</v>
          </cell>
          <cell r="K62">
            <v>1.6100163374750266E-2</v>
          </cell>
          <cell r="L62">
            <v>1.6024969642083248E-2</v>
          </cell>
          <cell r="M62">
            <v>1.5776505144721408E-2</v>
          </cell>
          <cell r="N62">
            <v>1.5656873015731071E-2</v>
          </cell>
          <cell r="O62">
            <v>1.5535252110312883E-2</v>
          </cell>
          <cell r="P62">
            <v>1.5459783845344976E-2</v>
          </cell>
          <cell r="Q62">
            <v>1.538646342651607E-2</v>
          </cell>
          <cell r="R62">
            <v>1.5351504168440288E-2</v>
          </cell>
          <cell r="S62">
            <v>1.5375781900390167E-2</v>
          </cell>
          <cell r="T62">
            <v>1.5355935815424705E-2</v>
          </cell>
        </row>
        <row r="63">
          <cell r="B63" t="str">
            <v>AK</v>
          </cell>
          <cell r="C63">
            <v>2.2172302295194062E-3</v>
          </cell>
          <cell r="D63">
            <v>2.2576483020085272E-3</v>
          </cell>
          <cell r="E63">
            <v>2.3019789550079027E-3</v>
          </cell>
          <cell r="F63">
            <v>2.3158777259325424E-3</v>
          </cell>
          <cell r="G63">
            <v>2.3071903857417859E-3</v>
          </cell>
          <cell r="H63">
            <v>2.2881944591893141E-3</v>
          </cell>
          <cell r="I63">
            <v>2.2807422120419214E-3</v>
          </cell>
          <cell r="J63">
            <v>2.2736492603895654E-3</v>
          </cell>
          <cell r="K63">
            <v>2.2764460538862892E-3</v>
          </cell>
          <cell r="L63">
            <v>2.2718037075931852E-3</v>
          </cell>
          <cell r="M63">
            <v>2.2235662727281284E-3</v>
          </cell>
          <cell r="N63">
            <v>2.2213038085772182E-3</v>
          </cell>
          <cell r="O63">
            <v>2.2326434019856352E-3</v>
          </cell>
          <cell r="P63">
            <v>2.2412182610058559E-3</v>
          </cell>
          <cell r="Q63">
            <v>2.2567182217226346E-3</v>
          </cell>
          <cell r="R63">
            <v>2.2622268170167732E-3</v>
          </cell>
          <cell r="S63">
            <v>2.2667055271633858E-3</v>
          </cell>
          <cell r="T63">
            <v>2.2606467173331003E-3</v>
          </cell>
        </row>
        <row r="64">
          <cell r="B64" t="str">
            <v>AZ</v>
          </cell>
          <cell r="C64">
            <v>1.4747819965459119E-2</v>
          </cell>
          <cell r="D64">
            <v>1.4921070252035616E-2</v>
          </cell>
          <cell r="E64">
            <v>1.5164245635564193E-2</v>
          </cell>
          <cell r="F64">
            <v>1.5491308862853928E-2</v>
          </cell>
          <cell r="G64">
            <v>1.5932118702345538E-2</v>
          </cell>
          <cell r="H64">
            <v>1.6388334519848224E-2</v>
          </cell>
          <cell r="I64">
            <v>1.6711276490980767E-2</v>
          </cell>
          <cell r="J64">
            <v>1.6999573091865925E-2</v>
          </cell>
          <cell r="K64">
            <v>1.7270347784956619E-2</v>
          </cell>
          <cell r="L64">
            <v>1.7522893226329557E-2</v>
          </cell>
          <cell r="M64">
            <v>1.8310857108057691E-2</v>
          </cell>
          <cell r="N64">
            <v>1.8606636491395556E-2</v>
          </cell>
          <cell r="O64">
            <v>1.8938791581580555E-2</v>
          </cell>
          <cell r="P64">
            <v>1.924638850763552E-2</v>
          </cell>
          <cell r="Q64">
            <v>1.9633422922289749E-2</v>
          </cell>
          <cell r="R64">
            <v>2.0169264877092918E-2</v>
          </cell>
          <cell r="S64">
            <v>2.0707163954958981E-2</v>
          </cell>
          <cell r="T64">
            <v>2.1087370968146432E-2</v>
          </cell>
        </row>
        <row r="65">
          <cell r="B65" t="str">
            <v>AR</v>
          </cell>
          <cell r="C65">
            <v>9.4375912464879363E-3</v>
          </cell>
          <cell r="D65">
            <v>9.4016931586942427E-3</v>
          </cell>
          <cell r="E65">
            <v>9.3875262739497641E-3</v>
          </cell>
          <cell r="F65">
            <v>9.4022751139207963E-3</v>
          </cell>
          <cell r="G65">
            <v>9.4135637191499998E-3</v>
          </cell>
          <cell r="H65">
            <v>9.4371768790279462E-3</v>
          </cell>
          <cell r="I65">
            <v>9.4441484230439552E-3</v>
          </cell>
          <cell r="J65">
            <v>9.425547098557082E-3</v>
          </cell>
          <cell r="K65">
            <v>9.3921212065348723E-3</v>
          </cell>
          <cell r="L65">
            <v>9.3562851345490687E-3</v>
          </cell>
          <cell r="M65">
            <v>9.4914364552540053E-3</v>
          </cell>
          <cell r="N65">
            <v>9.4358786797224953E-3</v>
          </cell>
          <cell r="O65">
            <v>9.3904719224702192E-3</v>
          </cell>
          <cell r="P65">
            <v>9.3652887223944995E-3</v>
          </cell>
          <cell r="Q65">
            <v>9.3556321505357497E-3</v>
          </cell>
          <cell r="R65">
            <v>9.3683612693519526E-3</v>
          </cell>
          <cell r="S65">
            <v>9.3986159602987996E-3</v>
          </cell>
          <cell r="T65">
            <v>9.394782040334438E-3</v>
          </cell>
        </row>
        <row r="66">
          <cell r="B66" t="str">
            <v>CA</v>
          </cell>
          <cell r="C66">
            <v>0.12005765744623534</v>
          </cell>
          <cell r="D66">
            <v>0.12061765239031849</v>
          </cell>
          <cell r="E66">
            <v>0.12106793883640979</v>
          </cell>
          <cell r="F66">
            <v>0.12082742215099321</v>
          </cell>
          <cell r="G66">
            <v>0.120299379141284</v>
          </cell>
          <cell r="H66">
            <v>0.11983688133324487</v>
          </cell>
          <cell r="I66">
            <v>0.11982430384611806</v>
          </cell>
          <cell r="J66">
            <v>0.12031247304843422</v>
          </cell>
          <cell r="K66">
            <v>0.12093630160885963</v>
          </cell>
          <cell r="L66">
            <v>0.12154835960681962</v>
          </cell>
          <cell r="M66">
            <v>0.12048954081670263</v>
          </cell>
          <cell r="N66">
            <v>0.12106039099388516</v>
          </cell>
          <cell r="O66">
            <v>0.12135301114463687</v>
          </cell>
          <cell r="P66">
            <v>0.12166116536885309</v>
          </cell>
          <cell r="Q66">
            <v>0.12164774234440245</v>
          </cell>
          <cell r="R66">
            <v>0.12141476635300201</v>
          </cell>
          <cell r="S66">
            <v>0.12106494192897052</v>
          </cell>
          <cell r="T66">
            <v>0.12073913476918337</v>
          </cell>
        </row>
        <row r="67">
          <cell r="B67" t="str">
            <v>CO</v>
          </cell>
          <cell r="C67">
            <v>1.3243821775673351E-2</v>
          </cell>
          <cell r="D67">
            <v>1.3355247692144105E-2</v>
          </cell>
          <cell r="E67">
            <v>1.3567027736640194E-2</v>
          </cell>
          <cell r="F67">
            <v>1.3813515301233975E-2</v>
          </cell>
          <cell r="G67">
            <v>1.4035846090675312E-2</v>
          </cell>
          <cell r="H67">
            <v>1.4223799097542452E-2</v>
          </cell>
          <cell r="I67">
            <v>1.437520841457458E-2</v>
          </cell>
          <cell r="J67">
            <v>1.4531483250951953E-2</v>
          </cell>
          <cell r="K67">
            <v>1.4686387895343671E-2</v>
          </cell>
          <cell r="L67">
            <v>1.4874476170929895E-2</v>
          </cell>
          <cell r="M67">
            <v>1.5337414703069549E-2</v>
          </cell>
          <cell r="N67">
            <v>1.554841798708372E-2</v>
          </cell>
          <cell r="O67">
            <v>1.5650813183111262E-2</v>
          </cell>
          <cell r="P67">
            <v>1.5672529117909052E-2</v>
          </cell>
          <cell r="Q67">
            <v>1.5705611643156252E-2</v>
          </cell>
          <cell r="R67">
            <v>1.5775901133544046E-2</v>
          </cell>
          <cell r="S67">
            <v>1.5925146314988623E-2</v>
          </cell>
          <cell r="T67">
            <v>1.6073433116333781E-2</v>
          </cell>
        </row>
        <row r="68">
          <cell r="B68" t="str">
            <v>CT</v>
          </cell>
          <cell r="C68">
            <v>1.3184470620809552E-2</v>
          </cell>
          <cell r="D68">
            <v>1.3042235468601749E-2</v>
          </cell>
          <cell r="E68">
            <v>1.2841629868370742E-2</v>
          </cell>
          <cell r="F68">
            <v>1.2694126362473608E-2</v>
          </cell>
          <cell r="G68">
            <v>1.2554770486157102E-2</v>
          </cell>
          <cell r="H68">
            <v>1.242485653032727E-2</v>
          </cell>
          <cell r="I68">
            <v>1.231779055840183E-2</v>
          </cell>
          <cell r="J68">
            <v>1.2205803173007524E-2</v>
          </cell>
          <cell r="K68">
            <v>1.2109480786801595E-2</v>
          </cell>
          <cell r="L68">
            <v>1.2035722670275658E-2</v>
          </cell>
          <cell r="M68">
            <v>1.2090904745396083E-2</v>
          </cell>
          <cell r="N68">
            <v>1.2027120296599419E-2</v>
          </cell>
          <cell r="O68">
            <v>1.1984503472144518E-2</v>
          </cell>
          <cell r="P68">
            <v>1.1949695317109956E-2</v>
          </cell>
          <cell r="Q68">
            <v>1.1865634749547228E-2</v>
          </cell>
          <cell r="R68">
            <v>1.1769886108852776E-2</v>
          </cell>
          <cell r="S68">
            <v>1.1690110086146647E-2</v>
          </cell>
          <cell r="T68">
            <v>1.1583073299544175E-2</v>
          </cell>
        </row>
        <row r="69">
          <cell r="B69" t="str">
            <v>DE</v>
          </cell>
          <cell r="C69">
            <v>2.6819979553314695E-3</v>
          </cell>
          <cell r="D69">
            <v>2.6987374796895213E-3</v>
          </cell>
          <cell r="E69">
            <v>2.7061867802306429E-3</v>
          </cell>
          <cell r="F69">
            <v>2.7134297593885775E-3</v>
          </cell>
          <cell r="G69">
            <v>2.7212542028051709E-3</v>
          </cell>
          <cell r="H69">
            <v>2.7330899786804789E-3</v>
          </cell>
          <cell r="I69">
            <v>2.7413713180192366E-3</v>
          </cell>
          <cell r="J69">
            <v>2.7448431524040228E-3</v>
          </cell>
          <cell r="K69">
            <v>2.7532710389723027E-3</v>
          </cell>
          <cell r="L69">
            <v>2.7633420858956476E-3</v>
          </cell>
          <cell r="M69">
            <v>2.7869674466847049E-3</v>
          </cell>
          <cell r="N69">
            <v>2.7873230041490032E-3</v>
          </cell>
          <cell r="O69">
            <v>2.7935334053366284E-3</v>
          </cell>
          <cell r="P69">
            <v>2.8057594002133222E-3</v>
          </cell>
          <cell r="Q69">
            <v>2.8190651911923874E-3</v>
          </cell>
          <cell r="R69">
            <v>2.8370464286828754E-3</v>
          </cell>
          <cell r="S69">
            <v>2.8501056664293261E-3</v>
          </cell>
          <cell r="T69">
            <v>2.8608717521012256E-3</v>
          </cell>
        </row>
        <row r="70">
          <cell r="B70" t="str">
            <v>DC</v>
          </cell>
          <cell r="C70">
            <v>2.4204415927954704E-3</v>
          </cell>
          <cell r="D70">
            <v>2.3526937357563715E-3</v>
          </cell>
          <cell r="E70">
            <v>2.2906469414764119E-3</v>
          </cell>
          <cell r="F70">
            <v>2.2358296569022222E-3</v>
          </cell>
          <cell r="G70">
            <v>2.1702779751011708E-3</v>
          </cell>
          <cell r="H70">
            <v>2.097664109788342E-3</v>
          </cell>
          <cell r="I70">
            <v>2.0294683786933783E-3</v>
          </cell>
          <cell r="J70">
            <v>1.9745495473888364E-3</v>
          </cell>
          <cell r="K70">
            <v>1.9294351640407866E-3</v>
          </cell>
          <cell r="L70">
            <v>1.9032544378383587E-3</v>
          </cell>
          <cell r="M70">
            <v>2.0261511761396427E-3</v>
          </cell>
          <cell r="N70">
            <v>2.0266573086285778E-3</v>
          </cell>
          <cell r="O70">
            <v>2.0127159094861309E-3</v>
          </cell>
          <cell r="P70">
            <v>1.9894875490451057E-3</v>
          </cell>
          <cell r="Q70">
            <v>1.9786158335351909E-3</v>
          </cell>
          <cell r="R70">
            <v>1.9693054501668285E-3</v>
          </cell>
          <cell r="S70">
            <v>1.9621033874065866E-3</v>
          </cell>
          <cell r="T70">
            <v>1.9511678190855457E-3</v>
          </cell>
        </row>
        <row r="71">
          <cell r="B71" t="str">
            <v>FL</v>
          </cell>
          <cell r="C71">
            <v>5.2185262541432964E-2</v>
          </cell>
          <cell r="D71">
            <v>5.2704081058819616E-2</v>
          </cell>
          <cell r="E71">
            <v>5.2953734615826059E-2</v>
          </cell>
          <cell r="F71">
            <v>5.3198286363834134E-2</v>
          </cell>
          <cell r="G71">
            <v>5.3631766484970457E-2</v>
          </cell>
          <cell r="H71">
            <v>5.3977268532984346E-2</v>
          </cell>
          <cell r="I71">
            <v>5.4394256588615193E-2</v>
          </cell>
          <cell r="J71">
            <v>5.483289348626931E-2</v>
          </cell>
          <cell r="K71">
            <v>5.5164995983337572E-2</v>
          </cell>
          <cell r="L71">
            <v>5.541530289837817E-2</v>
          </cell>
          <cell r="M71">
            <v>5.6870453622999563E-2</v>
          </cell>
          <cell r="N71">
            <v>5.7327902377198876E-2</v>
          </cell>
          <cell r="O71">
            <v>5.7876735344571682E-2</v>
          </cell>
          <cell r="P71">
            <v>5.8362164146590297E-2</v>
          </cell>
          <cell r="Q71">
            <v>5.9113268688167915E-2</v>
          </cell>
          <cell r="R71">
            <v>5.9894583562977478E-2</v>
          </cell>
          <cell r="S71">
            <v>6.03931942989454E-2</v>
          </cell>
          <cell r="T71">
            <v>6.0405277126515965E-2</v>
          </cell>
        </row>
        <row r="72">
          <cell r="B72" t="str">
            <v>GA</v>
          </cell>
          <cell r="C72">
            <v>2.6082002499466898E-2</v>
          </cell>
          <cell r="D72">
            <v>2.6258964137548628E-2</v>
          </cell>
          <cell r="E72">
            <v>2.6504654267736873E-2</v>
          </cell>
          <cell r="F72">
            <v>2.6743821289914173E-2</v>
          </cell>
          <cell r="G72">
            <v>2.7065573035539789E-2</v>
          </cell>
          <cell r="H72">
            <v>2.7353304378138727E-2</v>
          </cell>
          <cell r="I72">
            <v>2.7644928842734184E-2</v>
          </cell>
          <cell r="J72">
            <v>2.7955759069299563E-2</v>
          </cell>
          <cell r="K72">
            <v>2.8257459501005083E-2</v>
          </cell>
          <cell r="L72">
            <v>2.8560698155973448E-2</v>
          </cell>
          <cell r="M72">
            <v>2.9166802045119043E-2</v>
          </cell>
          <cell r="N72">
            <v>2.9534794479211732E-2</v>
          </cell>
          <cell r="O72">
            <v>2.983273912756506E-2</v>
          </cell>
          <cell r="P72">
            <v>3.0091645691863952E-2</v>
          </cell>
          <cell r="Q72">
            <v>3.0423286181400156E-2</v>
          </cell>
          <cell r="R72">
            <v>3.0768510989604366E-2</v>
          </cell>
          <cell r="S72">
            <v>3.1232813194953652E-2</v>
          </cell>
          <cell r="T72">
            <v>3.1608372352286432E-2</v>
          </cell>
        </row>
        <row r="73">
          <cell r="B73" t="str">
            <v>HI</v>
          </cell>
          <cell r="C73">
            <v>4.4603679636912993E-3</v>
          </cell>
          <cell r="D73">
            <v>4.4870042680261882E-3</v>
          </cell>
          <cell r="E73">
            <v>4.5089885786204062E-3</v>
          </cell>
          <cell r="F73">
            <v>4.505765571275468E-3</v>
          </cell>
          <cell r="G73">
            <v>4.5093398122509915E-3</v>
          </cell>
          <cell r="H73">
            <v>4.4919150855638494E-3</v>
          </cell>
          <cell r="I73">
            <v>4.4657104288145849E-3</v>
          </cell>
          <cell r="J73">
            <v>4.4413547689646287E-3</v>
          </cell>
          <cell r="K73">
            <v>4.4051093321122526E-3</v>
          </cell>
          <cell r="L73">
            <v>4.3474035188710222E-3</v>
          </cell>
          <cell r="M73">
            <v>4.2934071232370889E-3</v>
          </cell>
          <cell r="N73">
            <v>4.2729295599464052E-3</v>
          </cell>
          <cell r="O73">
            <v>4.2658231790397919E-3</v>
          </cell>
          <cell r="P73">
            <v>4.2670104405515222E-3</v>
          </cell>
          <cell r="Q73">
            <v>4.2730134565890877E-3</v>
          </cell>
          <cell r="R73">
            <v>4.2782029072493026E-3</v>
          </cell>
          <cell r="S73">
            <v>4.2742032872825674E-3</v>
          </cell>
          <cell r="T73">
            <v>4.2396182828727475E-3</v>
          </cell>
        </row>
        <row r="74">
          <cell r="B74" t="str">
            <v>ID</v>
          </cell>
          <cell r="C74">
            <v>4.0562181065710076E-3</v>
          </cell>
          <cell r="D74">
            <v>4.1201755320930192E-3</v>
          </cell>
          <cell r="E74">
            <v>4.1818266820759569E-3</v>
          </cell>
          <cell r="F74">
            <v>4.2718320236716668E-3</v>
          </cell>
          <cell r="G74">
            <v>4.3616640164295508E-3</v>
          </cell>
          <cell r="H74">
            <v>4.4329736589737182E-3</v>
          </cell>
          <cell r="I74">
            <v>4.4780469579272933E-3</v>
          </cell>
          <cell r="J74">
            <v>4.5209563556293424E-3</v>
          </cell>
          <cell r="K74">
            <v>4.5547903641678343E-3</v>
          </cell>
          <cell r="L74">
            <v>4.5901803079812595E-3</v>
          </cell>
          <cell r="M74">
            <v>4.6052559954084162E-3</v>
          </cell>
          <cell r="N74">
            <v>4.6335002554011729E-3</v>
          </cell>
          <cell r="O74">
            <v>4.6620916553481405E-3</v>
          </cell>
          <cell r="P74">
            <v>4.6966186805779469E-3</v>
          </cell>
          <cell r="Q74">
            <v>4.7468978228970967E-3</v>
          </cell>
          <cell r="R74">
            <v>4.8183934047300748E-3</v>
          </cell>
          <cell r="S74">
            <v>4.8973335575389909E-3</v>
          </cell>
          <cell r="T74">
            <v>4.965791600641205E-3</v>
          </cell>
        </row>
        <row r="75">
          <cell r="B75" t="str">
            <v>IL</v>
          </cell>
          <cell r="C75">
            <v>4.5886223379147058E-2</v>
          </cell>
          <cell r="D75">
            <v>4.574987722141436E-2</v>
          </cell>
          <cell r="E75">
            <v>4.5622909981162627E-2</v>
          </cell>
          <cell r="F75">
            <v>4.5487878685749043E-2</v>
          </cell>
          <cell r="G75">
            <v>4.5346756378393777E-2</v>
          </cell>
          <cell r="H75">
            <v>4.5223694243446189E-2</v>
          </cell>
          <cell r="I75">
            <v>4.5066799967538942E-2</v>
          </cell>
          <cell r="J75">
            <v>4.4855281227129035E-2</v>
          </cell>
          <cell r="K75">
            <v>4.4661843440153004E-2</v>
          </cell>
          <cell r="L75">
            <v>4.4476635888719876E-2</v>
          </cell>
          <cell r="M75">
            <v>4.4079110688031005E-2</v>
          </cell>
          <cell r="N75">
            <v>4.3890698310649616E-2</v>
          </cell>
          <cell r="O75">
            <v>4.3670713613119048E-2</v>
          </cell>
          <cell r="P75">
            <v>4.3454764764635972E-2</v>
          </cell>
          <cell r="Q75">
            <v>4.3243627371383729E-2</v>
          </cell>
          <cell r="R75">
            <v>4.2982945602797619E-2</v>
          </cell>
          <cell r="S75">
            <v>4.2765604832607697E-2</v>
          </cell>
          <cell r="T75">
            <v>4.2569600275125991E-2</v>
          </cell>
        </row>
        <row r="76">
          <cell r="B76" t="str">
            <v>IN</v>
          </cell>
          <cell r="C76">
            <v>2.2268095524140448E-2</v>
          </cell>
          <cell r="D76">
            <v>2.2216907814083042E-2</v>
          </cell>
          <cell r="E76">
            <v>2.2148985087419172E-2</v>
          </cell>
          <cell r="F76">
            <v>2.2119277340851482E-2</v>
          </cell>
          <cell r="G76">
            <v>2.2070801478575673E-2</v>
          </cell>
          <cell r="H76">
            <v>2.2038610355831333E-2</v>
          </cell>
          <cell r="I76">
            <v>2.19995453581826E-2</v>
          </cell>
          <cell r="J76">
            <v>2.1929535066722735E-2</v>
          </cell>
          <cell r="K76">
            <v>2.1859983920029188E-2</v>
          </cell>
          <cell r="L76">
            <v>2.1793550485325663E-2</v>
          </cell>
          <cell r="M76">
            <v>2.1587518894862739E-2</v>
          </cell>
          <cell r="N76">
            <v>2.1484515269609556E-2</v>
          </cell>
          <cell r="O76">
            <v>2.1363937139961875E-2</v>
          </cell>
          <cell r="P76">
            <v>2.1290818855971765E-2</v>
          </cell>
          <cell r="Q76">
            <v>2.1205080053244313E-2</v>
          </cell>
          <cell r="R76">
            <v>2.1141417625394923E-2</v>
          </cell>
          <cell r="S76">
            <v>2.1095526488134304E-2</v>
          </cell>
          <cell r="T76">
            <v>2.1029091633780004E-2</v>
          </cell>
        </row>
        <row r="77">
          <cell r="B77" t="str">
            <v>IA</v>
          </cell>
          <cell r="C77">
            <v>1.1142948831864568E-2</v>
          </cell>
          <cell r="D77">
            <v>1.1069572765738681E-2</v>
          </cell>
          <cell r="E77">
            <v>1.1006259314135802E-2</v>
          </cell>
          <cell r="F77">
            <v>1.0941486789519951E-2</v>
          </cell>
          <cell r="G77">
            <v>1.0868721921878405E-2</v>
          </cell>
          <cell r="H77">
            <v>1.0809834805864444E-2</v>
          </cell>
          <cell r="I77">
            <v>1.0739691348185519E-2</v>
          </cell>
          <cell r="J77">
            <v>1.0659338082633266E-2</v>
          </cell>
          <cell r="K77">
            <v>1.0586664723661252E-2</v>
          </cell>
          <cell r="L77">
            <v>1.0522587719154293E-2</v>
          </cell>
          <cell r="M77">
            <v>1.0376815077740404E-2</v>
          </cell>
          <cell r="N77">
            <v>1.0276789308614559E-2</v>
          </cell>
          <cell r="O77">
            <v>1.0181173800006087E-2</v>
          </cell>
          <cell r="P77">
            <v>1.0107845220459214E-2</v>
          </cell>
          <cell r="Q77">
            <v>1.004717685702764E-2</v>
          </cell>
          <cell r="R77">
            <v>9.9870399144508289E-3</v>
          </cell>
          <cell r="S77">
            <v>9.9451683637701259E-3</v>
          </cell>
          <cell r="T77">
            <v>9.9019440159135268E-3</v>
          </cell>
        </row>
        <row r="78">
          <cell r="B78" t="str">
            <v>KS</v>
          </cell>
          <cell r="C78">
            <v>9.9440362623931314E-3</v>
          </cell>
          <cell r="D78">
            <v>9.8956113534392036E-3</v>
          </cell>
          <cell r="E78">
            <v>9.9048934688975177E-3</v>
          </cell>
          <cell r="F78">
            <v>9.8827652484608265E-3</v>
          </cell>
          <cell r="G78">
            <v>9.8688103529598649E-3</v>
          </cell>
          <cell r="H78">
            <v>9.8436444148435956E-3</v>
          </cell>
          <cell r="I78">
            <v>9.7963276746820468E-3</v>
          </cell>
          <cell r="J78">
            <v>9.770347891385301E-3</v>
          </cell>
          <cell r="K78">
            <v>9.7638723347013966E-3</v>
          </cell>
          <cell r="L78">
            <v>9.7328251392172858E-3</v>
          </cell>
          <cell r="M78">
            <v>9.5426959823531141E-3</v>
          </cell>
          <cell r="N78">
            <v>9.4770834513943306E-3</v>
          </cell>
          <cell r="O78">
            <v>9.4275626824372651E-3</v>
          </cell>
          <cell r="P78">
            <v>9.3796265704879731E-3</v>
          </cell>
          <cell r="Q78">
            <v>9.3244875783226495E-3</v>
          </cell>
          <cell r="R78">
            <v>9.2779770821172745E-3</v>
          </cell>
          <cell r="S78">
            <v>9.2379659992193469E-3</v>
          </cell>
          <cell r="T78">
            <v>9.2182911464945387E-3</v>
          </cell>
        </row>
        <row r="79">
          <cell r="B79" t="str">
            <v>KY</v>
          </cell>
          <cell r="C79">
            <v>1.4802048144778143E-2</v>
          </cell>
          <cell r="D79">
            <v>1.4731867733749623E-2</v>
          </cell>
          <cell r="E79">
            <v>1.4729100237066899E-2</v>
          </cell>
          <cell r="F79">
            <v>1.4711186411769097E-2</v>
          </cell>
          <cell r="G79">
            <v>1.4686201168491073E-2</v>
          </cell>
          <cell r="H79">
            <v>1.4669710586103958E-2</v>
          </cell>
          <cell r="I79">
            <v>1.4632854110453831E-2</v>
          </cell>
          <cell r="J79">
            <v>1.4593186057128582E-2</v>
          </cell>
          <cell r="K79">
            <v>1.455814642967038E-2</v>
          </cell>
          <cell r="L79">
            <v>1.4524966779867277E-2</v>
          </cell>
          <cell r="M79">
            <v>1.4348808238676153E-2</v>
          </cell>
          <cell r="N79">
            <v>1.4266225127863985E-2</v>
          </cell>
          <cell r="O79">
            <v>1.4203599293325098E-2</v>
          </cell>
          <cell r="P79">
            <v>1.4165290833962226E-2</v>
          </cell>
          <cell r="Q79">
            <v>1.4119761573516109E-2</v>
          </cell>
          <cell r="R79">
            <v>1.4095108478093941E-2</v>
          </cell>
          <cell r="S79">
            <v>1.4074936838761156E-2</v>
          </cell>
          <cell r="T79">
            <v>1.4060550738149805E-2</v>
          </cell>
        </row>
        <row r="80">
          <cell r="B80" t="str">
            <v>LA</v>
          </cell>
          <cell r="C80">
            <v>1.6912950575921064E-2</v>
          </cell>
          <cell r="D80">
            <v>1.6818949021652291E-2</v>
          </cell>
          <cell r="E80">
            <v>1.6746477044620595E-2</v>
          </cell>
          <cell r="F80">
            <v>1.6621559667050929E-2</v>
          </cell>
          <cell r="G80">
            <v>1.6542654632843511E-2</v>
          </cell>
          <cell r="H80">
            <v>1.6468508558470176E-2</v>
          </cell>
          <cell r="I80">
            <v>1.6358580703741073E-2</v>
          </cell>
          <cell r="J80">
            <v>1.6249650412693113E-2</v>
          </cell>
          <cell r="K80">
            <v>1.6143534648061765E-2</v>
          </cell>
          <cell r="L80">
            <v>1.6032938374055162E-2</v>
          </cell>
          <cell r="M80">
            <v>1.5837432536168303E-2</v>
          </cell>
          <cell r="N80">
            <v>1.5648323332583834E-2</v>
          </cell>
          <cell r="O80">
            <v>1.55189484413656E-2</v>
          </cell>
          <cell r="P80">
            <v>1.541485100729189E-2</v>
          </cell>
          <cell r="Q80">
            <v>1.5322467168945104E-2</v>
          </cell>
          <cell r="R80">
            <v>1.5210511061812922E-2</v>
          </cell>
          <cell r="S80">
            <v>1.4223058435605547E-2</v>
          </cell>
          <cell r="T80">
            <v>1.4515268282820307E-2</v>
          </cell>
        </row>
        <row r="81">
          <cell r="B81" t="str">
            <v>ME</v>
          </cell>
          <cell r="C81">
            <v>4.9357584478708534E-3</v>
          </cell>
          <cell r="D81">
            <v>4.8995591931904605E-3</v>
          </cell>
          <cell r="E81">
            <v>4.8455062482742452E-3</v>
          </cell>
          <cell r="F81">
            <v>4.8034893028935455E-3</v>
          </cell>
          <cell r="G81">
            <v>4.7543547160246577E-3</v>
          </cell>
          <cell r="H81">
            <v>4.7086094923717769E-3</v>
          </cell>
          <cell r="I81">
            <v>4.6806269424095074E-3</v>
          </cell>
          <cell r="J81">
            <v>4.6500792709092157E-3</v>
          </cell>
          <cell r="K81">
            <v>4.6163301343618065E-3</v>
          </cell>
          <cell r="L81">
            <v>4.5950942982446574E-3</v>
          </cell>
          <cell r="M81">
            <v>4.5262438855719518E-3</v>
          </cell>
          <cell r="N81">
            <v>4.5069600332273592E-3</v>
          </cell>
          <cell r="O81">
            <v>4.4961668079355893E-3</v>
          </cell>
          <cell r="P81">
            <v>4.4889042319063164E-3</v>
          </cell>
          <cell r="Q81">
            <v>4.4654802209825187E-3</v>
          </cell>
          <cell r="R81">
            <v>4.435788214752572E-3</v>
          </cell>
          <cell r="S81">
            <v>4.4018699331032606E-3</v>
          </cell>
          <cell r="T81">
            <v>4.365881876355727E-3</v>
          </cell>
        </row>
        <row r="82">
          <cell r="B82" t="str">
            <v>MD</v>
          </cell>
          <cell r="C82">
            <v>1.9230924640644912E-2</v>
          </cell>
          <cell r="D82">
            <v>1.9258839784522652E-2</v>
          </cell>
          <cell r="E82">
            <v>1.9223427778111441E-2</v>
          </cell>
          <cell r="F82">
            <v>1.9173147631433692E-2</v>
          </cell>
          <cell r="G82">
            <v>1.9150570620173925E-2</v>
          </cell>
          <cell r="H82">
            <v>1.9115629289187398E-2</v>
          </cell>
          <cell r="I82">
            <v>1.9067108652230727E-2</v>
          </cell>
          <cell r="J82">
            <v>1.9018766895615085E-2</v>
          </cell>
          <cell r="K82">
            <v>1.8982830374513444E-2</v>
          </cell>
          <cell r="L82">
            <v>1.8965193374519736E-2</v>
          </cell>
          <cell r="M82">
            <v>1.8819911984443414E-2</v>
          </cell>
          <cell r="N82">
            <v>1.8859327516445132E-2</v>
          </cell>
          <cell r="O82">
            <v>1.8904495140486588E-2</v>
          </cell>
          <cell r="P82">
            <v>1.893453600439024E-2</v>
          </cell>
          <cell r="Q82">
            <v>1.8911361861222033E-2</v>
          </cell>
          <cell r="R82">
            <v>1.8864330909061887E-2</v>
          </cell>
          <cell r="S82">
            <v>1.8776652959548033E-2</v>
          </cell>
          <cell r="T82">
            <v>1.8649450059353381E-2</v>
          </cell>
        </row>
        <row r="83">
          <cell r="B83" t="str">
            <v>MA</v>
          </cell>
          <cell r="C83">
            <v>2.4126344666835744E-2</v>
          </cell>
          <cell r="D83">
            <v>2.3789722158156206E-2</v>
          </cell>
          <cell r="E83">
            <v>2.3501082515099546E-2</v>
          </cell>
          <cell r="F83">
            <v>2.3317647558286789E-2</v>
          </cell>
          <cell r="G83">
            <v>2.3168367143877853E-2</v>
          </cell>
          <cell r="H83">
            <v>2.3067958254827842E-2</v>
          </cell>
          <cell r="I83">
            <v>2.2943957184220709E-2</v>
          </cell>
          <cell r="J83">
            <v>2.2837380034245337E-2</v>
          </cell>
          <cell r="K83">
            <v>2.2736179108786975E-2</v>
          </cell>
          <cell r="L83">
            <v>2.2645313687190482E-2</v>
          </cell>
          <cell r="M83">
            <v>2.2548603132524134E-2</v>
          </cell>
          <cell r="N83">
            <v>2.2478506273736092E-2</v>
          </cell>
          <cell r="O83">
            <v>2.2358175953025302E-2</v>
          </cell>
          <cell r="P83">
            <v>2.2195719351891775E-2</v>
          </cell>
          <cell r="Q83">
            <v>2.197878811539376E-2</v>
          </cell>
          <cell r="R83">
            <v>2.1769965652621657E-2</v>
          </cell>
          <cell r="S83">
            <v>2.1595923700626216E-2</v>
          </cell>
          <cell r="T83">
            <v>2.1467383161833418E-2</v>
          </cell>
        </row>
        <row r="84">
          <cell r="B84" t="str">
            <v>MI</v>
          </cell>
          <cell r="C84">
            <v>3.73218068361146E-2</v>
          </cell>
          <cell r="D84">
            <v>3.7259198074794976E-2</v>
          </cell>
          <cell r="E84">
            <v>3.7134196672521658E-2</v>
          </cell>
          <cell r="F84">
            <v>3.6966186640488952E-2</v>
          </cell>
          <cell r="G84">
            <v>3.681708092837585E-2</v>
          </cell>
          <cell r="H84">
            <v>3.6757041795780356E-2</v>
          </cell>
          <cell r="I84">
            <v>3.6719965449272939E-2</v>
          </cell>
          <cell r="J84">
            <v>3.6542378787212317E-2</v>
          </cell>
          <cell r="K84">
            <v>3.6337848535369192E-2</v>
          </cell>
          <cell r="L84">
            <v>3.6172010679362342E-2</v>
          </cell>
          <cell r="M84">
            <v>3.5280425619647733E-2</v>
          </cell>
          <cell r="N84">
            <v>3.5098049095971341E-2</v>
          </cell>
          <cell r="O84">
            <v>3.4884857223529943E-2</v>
          </cell>
          <cell r="P84">
            <v>3.4684708652962651E-2</v>
          </cell>
          <cell r="Q84">
            <v>3.4450499244727054E-2</v>
          </cell>
          <cell r="R84">
            <v>3.4149571159444558E-2</v>
          </cell>
          <cell r="S84">
            <v>3.3797350584785869E-2</v>
          </cell>
          <cell r="T84">
            <v>3.3355833004293019E-2</v>
          </cell>
        </row>
        <row r="85">
          <cell r="B85" t="str">
            <v>MN</v>
          </cell>
          <cell r="C85">
            <v>1.7586810263697912E-2</v>
          </cell>
          <cell r="D85">
            <v>1.7558495772877533E-2</v>
          </cell>
          <cell r="E85">
            <v>1.7533263841557529E-2</v>
          </cell>
          <cell r="F85">
            <v>1.7540783822002453E-2</v>
          </cell>
          <cell r="G85">
            <v>1.7539585335630603E-2</v>
          </cell>
          <cell r="H85">
            <v>1.7524305899443964E-2</v>
          </cell>
          <cell r="I85">
            <v>1.7523462743674539E-2</v>
          </cell>
          <cell r="J85">
            <v>1.7505649627013949E-2</v>
          </cell>
          <cell r="K85">
            <v>1.7489161612787199E-2</v>
          </cell>
          <cell r="L85">
            <v>1.7512537175207291E-2</v>
          </cell>
          <cell r="M85">
            <v>1.7485037916740238E-2</v>
          </cell>
          <cell r="N85">
            <v>1.7479450054208746E-2</v>
          </cell>
          <cell r="O85">
            <v>1.7435448027863752E-2</v>
          </cell>
          <cell r="P85">
            <v>1.7389793962056161E-2</v>
          </cell>
          <cell r="Q85">
            <v>1.7337488897405561E-2</v>
          </cell>
          <cell r="R85">
            <v>1.727189239995626E-2</v>
          </cell>
          <cell r="S85">
            <v>1.7237842713143898E-2</v>
          </cell>
          <cell r="T85">
            <v>1.7200551924779321E-2</v>
          </cell>
        </row>
        <row r="86">
          <cell r="B86" t="str">
            <v>MS</v>
          </cell>
          <cell r="C86">
            <v>1.0331839097391677E-2</v>
          </cell>
          <cell r="D86">
            <v>1.0276415726046302E-2</v>
          </cell>
          <cell r="E86">
            <v>1.0234858960485226E-2</v>
          </cell>
          <cell r="F86">
            <v>1.0224017905816207E-2</v>
          </cell>
          <cell r="G86">
            <v>1.0231169971403007E-2</v>
          </cell>
          <cell r="H86">
            <v>1.0238791696036545E-2</v>
          </cell>
          <cell r="I86">
            <v>1.0217319271318928E-2</v>
          </cell>
          <cell r="J86">
            <v>1.0201617756235541E-2</v>
          </cell>
          <cell r="K86">
            <v>1.018077828312389E-2</v>
          </cell>
          <cell r="L86">
            <v>1.015296030526705E-2</v>
          </cell>
          <cell r="M86">
            <v>1.0094175347047979E-2</v>
          </cell>
          <cell r="N86">
            <v>1.0009342449622729E-2</v>
          </cell>
          <cell r="O86">
            <v>9.9330841609536428E-3</v>
          </cell>
          <cell r="P86">
            <v>9.8780261585889213E-3</v>
          </cell>
          <cell r="Q86">
            <v>9.848663497875448E-3</v>
          </cell>
          <cell r="R86">
            <v>9.8058046305767275E-3</v>
          </cell>
          <cell r="S86">
            <v>9.7086879476831062E-3</v>
          </cell>
          <cell r="T86">
            <v>9.6950671487195279E-3</v>
          </cell>
        </row>
        <row r="87">
          <cell r="B87" t="str">
            <v>MO</v>
          </cell>
          <cell r="C87">
            <v>2.0549505589567179E-2</v>
          </cell>
          <cell r="D87">
            <v>2.0454914746792001E-2</v>
          </cell>
          <cell r="E87">
            <v>2.0365024231942492E-2</v>
          </cell>
          <cell r="F87">
            <v>2.0318504187062922E-2</v>
          </cell>
          <cell r="G87">
            <v>2.0286814560060595E-2</v>
          </cell>
          <cell r="H87">
            <v>2.0260820492968283E-2</v>
          </cell>
          <cell r="I87">
            <v>2.0238724506649305E-2</v>
          </cell>
          <cell r="J87">
            <v>2.0192098614908865E-2</v>
          </cell>
          <cell r="K87">
            <v>2.0120637117159383E-2</v>
          </cell>
          <cell r="L87">
            <v>2.0053253499229547E-2</v>
          </cell>
          <cell r="M87">
            <v>1.9866851677269565E-2</v>
          </cell>
          <cell r="N87">
            <v>1.9793705793432644E-2</v>
          </cell>
          <cell r="O87">
            <v>1.9725809406870822E-2</v>
          </cell>
          <cell r="P87">
            <v>1.9656872725331068E-2</v>
          </cell>
          <cell r="Q87">
            <v>1.960670660157417E-2</v>
          </cell>
          <cell r="R87">
            <v>1.9573417425205825E-2</v>
          </cell>
          <cell r="S87">
            <v>1.9549935909775239E-2</v>
          </cell>
          <cell r="T87">
            <v>1.9510745535638363E-2</v>
          </cell>
        </row>
        <row r="88">
          <cell r="B88" t="str">
            <v>MT</v>
          </cell>
          <cell r="C88">
            <v>3.20616493906409E-3</v>
          </cell>
          <cell r="D88">
            <v>3.203756073710966E-3</v>
          </cell>
          <cell r="E88">
            <v>3.2248636265692333E-3</v>
          </cell>
          <cell r="F88">
            <v>3.2580786055201988E-3</v>
          </cell>
          <cell r="G88">
            <v>3.2840348140426036E-3</v>
          </cell>
          <cell r="H88">
            <v>3.3048370371151692E-3</v>
          </cell>
          <cell r="I88">
            <v>3.3052849223197565E-3</v>
          </cell>
          <cell r="J88">
            <v>3.2814032563240514E-3</v>
          </cell>
          <cell r="K88">
            <v>3.2545402379902137E-3</v>
          </cell>
          <cell r="L88">
            <v>3.2372891124865287E-3</v>
          </cell>
          <cell r="M88">
            <v>3.201179439758318E-3</v>
          </cell>
          <cell r="N88">
            <v>3.1779912505763273E-3</v>
          </cell>
          <cell r="O88">
            <v>3.1622340491807141E-3</v>
          </cell>
          <cell r="P88">
            <v>3.1589232374630819E-3</v>
          </cell>
          <cell r="Q88">
            <v>3.1614677030905648E-3</v>
          </cell>
          <cell r="R88">
            <v>3.1631014462623697E-3</v>
          </cell>
          <cell r="S88">
            <v>3.1687175874869702E-3</v>
          </cell>
          <cell r="T88">
            <v>3.1750902647616321E-3</v>
          </cell>
        </row>
        <row r="89">
          <cell r="B89" t="str">
            <v>NE</v>
          </cell>
          <cell r="C89">
            <v>6.3362308423363144E-3</v>
          </cell>
          <cell r="D89">
            <v>6.3088855559225105E-3</v>
          </cell>
          <cell r="E89">
            <v>6.2832133131286803E-3</v>
          </cell>
          <cell r="F89">
            <v>6.2539091077858907E-3</v>
          </cell>
          <cell r="G89">
            <v>6.2289000725744871E-3</v>
          </cell>
          <cell r="H89">
            <v>6.2219239611000891E-3</v>
          </cell>
          <cell r="I89">
            <v>6.2122153264845088E-3</v>
          </cell>
          <cell r="J89">
            <v>6.1842545873243091E-3</v>
          </cell>
          <cell r="K89">
            <v>6.1453627096737509E-3</v>
          </cell>
          <cell r="L89">
            <v>6.1095860974238253E-3</v>
          </cell>
          <cell r="M89">
            <v>6.0714542497947071E-3</v>
          </cell>
          <cell r="N89">
            <v>6.026193471653501E-3</v>
          </cell>
          <cell r="O89">
            <v>5.9926184035363258E-3</v>
          </cell>
          <cell r="P89">
            <v>5.9710814321752214E-3</v>
          </cell>
          <cell r="Q89">
            <v>5.9457043719034486E-3</v>
          </cell>
          <cell r="R89">
            <v>5.9245694526030941E-3</v>
          </cell>
          <cell r="S89">
            <v>5.8981145760335345E-3</v>
          </cell>
          <cell r="T89">
            <v>5.8729830069688396E-3</v>
          </cell>
        </row>
        <row r="90">
          <cell r="B90" t="str">
            <v>NV</v>
          </cell>
          <cell r="C90">
            <v>4.8849816628742486E-3</v>
          </cell>
          <cell r="D90">
            <v>5.0962928505354195E-3</v>
          </cell>
          <cell r="E90">
            <v>5.2178001433472263E-3</v>
          </cell>
          <cell r="F90">
            <v>5.3541121750153133E-3</v>
          </cell>
          <cell r="G90">
            <v>5.5944557518675716E-3</v>
          </cell>
          <cell r="H90">
            <v>5.8057761806591789E-3</v>
          </cell>
          <cell r="I90">
            <v>6.0192459204583739E-3</v>
          </cell>
          <cell r="J90">
            <v>6.2572202188612685E-3</v>
          </cell>
          <cell r="K90">
            <v>6.4524880133896862E-3</v>
          </cell>
          <cell r="L90">
            <v>6.6348146462858653E-3</v>
          </cell>
          <cell r="M90">
            <v>7.1525327026143379E-3</v>
          </cell>
          <cell r="N90">
            <v>7.3462477098330016E-3</v>
          </cell>
          <cell r="O90">
            <v>7.5228277344781347E-3</v>
          </cell>
          <cell r="P90">
            <v>7.6972639285371606E-3</v>
          </cell>
          <cell r="Q90">
            <v>7.934235118583436E-3</v>
          </cell>
          <cell r="R90">
            <v>8.1258172246797388E-3</v>
          </cell>
          <cell r="S90">
            <v>8.3260867627833971E-3</v>
          </cell>
          <cell r="T90">
            <v>8.4780151525074496E-3</v>
          </cell>
        </row>
        <row r="91">
          <cell r="B91" t="str">
            <v>NH</v>
          </cell>
          <cell r="C91">
            <v>4.4568724749001858E-3</v>
          </cell>
          <cell r="D91">
            <v>4.3904081890060662E-3</v>
          </cell>
          <cell r="E91">
            <v>4.3632800586099578E-3</v>
          </cell>
          <cell r="F91">
            <v>4.3532455843568784E-3</v>
          </cell>
          <cell r="G91">
            <v>4.3524256362154588E-3</v>
          </cell>
          <cell r="H91">
            <v>4.359169403961311E-3</v>
          </cell>
          <cell r="I91">
            <v>4.3764817313875215E-3</v>
          </cell>
          <cell r="J91">
            <v>4.3812950805461369E-3</v>
          </cell>
          <cell r="K91">
            <v>4.3879066147992961E-3</v>
          </cell>
          <cell r="L91">
            <v>4.4047468515193431E-3</v>
          </cell>
          <cell r="M91">
            <v>4.3957631562622865E-3</v>
          </cell>
          <cell r="N91">
            <v>4.4085948235096139E-3</v>
          </cell>
          <cell r="O91">
            <v>4.4163479929615274E-3</v>
          </cell>
          <cell r="P91">
            <v>4.4149270002988242E-3</v>
          </cell>
          <cell r="Q91">
            <v>4.4113988765563505E-3</v>
          </cell>
          <cell r="R91">
            <v>4.4002151315532985E-3</v>
          </cell>
          <cell r="S91">
            <v>4.3866837323678232E-3</v>
          </cell>
          <cell r="T91">
            <v>4.3554533970243696E-3</v>
          </cell>
        </row>
        <row r="92">
          <cell r="B92" t="str">
            <v>NJ</v>
          </cell>
          <cell r="C92">
            <v>3.1095250963187548E-2</v>
          </cell>
          <cell r="D92">
            <v>3.08712018490735E-2</v>
          </cell>
          <cell r="E92">
            <v>3.0693562477992025E-2</v>
          </cell>
          <cell r="F92">
            <v>3.0548573703622395E-2</v>
          </cell>
          <cell r="G92">
            <v>3.0418647935897519E-2</v>
          </cell>
          <cell r="H92">
            <v>3.0309831449741899E-2</v>
          </cell>
          <cell r="I92">
            <v>3.0198948550686312E-2</v>
          </cell>
          <cell r="J92">
            <v>3.0077188406831788E-2</v>
          </cell>
          <cell r="K92">
            <v>2.9955973439700127E-2</v>
          </cell>
          <cell r="L92">
            <v>2.986316961107157E-2</v>
          </cell>
          <cell r="M92">
            <v>2.987863754104873E-2</v>
          </cell>
          <cell r="N92">
            <v>2.9788618679335813E-2</v>
          </cell>
          <cell r="O92">
            <v>2.9706702834513619E-2</v>
          </cell>
          <cell r="P92">
            <v>2.9597653243323578E-2</v>
          </cell>
          <cell r="Q92">
            <v>2.9433259569998618E-2</v>
          </cell>
          <cell r="R92">
            <v>2.9214511304754682E-2</v>
          </cell>
          <cell r="S92">
            <v>2.895874750517384E-2</v>
          </cell>
          <cell r="T92">
            <v>2.8720224583907324E-2</v>
          </cell>
        </row>
        <row r="93">
          <cell r="B93" t="str">
            <v>NM</v>
          </cell>
          <cell r="C93">
            <v>6.0927852806698718E-3</v>
          </cell>
          <cell r="D93">
            <v>6.1356178015853956E-3</v>
          </cell>
          <cell r="E93">
            <v>6.1982977127695233E-3</v>
          </cell>
          <cell r="F93">
            <v>6.2647244223706508E-3</v>
          </cell>
          <cell r="G93">
            <v>6.3509696137152051E-3</v>
          </cell>
          <cell r="H93">
            <v>6.4018113685919194E-3</v>
          </cell>
          <cell r="I93">
            <v>6.4327571767041746E-3</v>
          </cell>
          <cell r="J93">
            <v>6.4340719706565156E-3</v>
          </cell>
          <cell r="K93">
            <v>6.4146079924964333E-3</v>
          </cell>
          <cell r="L93">
            <v>6.3802809521126035E-3</v>
          </cell>
          <cell r="M93">
            <v>6.4524630826504302E-3</v>
          </cell>
          <cell r="N93">
            <v>6.4142971639648515E-3</v>
          </cell>
          <cell r="O93">
            <v>6.4261896465918917E-3</v>
          </cell>
          <cell r="P93">
            <v>6.4363844014494924E-3</v>
          </cell>
          <cell r="Q93">
            <v>6.4503816451167359E-3</v>
          </cell>
          <cell r="R93">
            <v>6.4720545636826514E-3</v>
          </cell>
          <cell r="S93">
            <v>6.4951625213896767E-3</v>
          </cell>
          <cell r="T93">
            <v>6.5199636077270477E-3</v>
          </cell>
        </row>
        <row r="94">
          <cell r="B94" t="str">
            <v>NY</v>
          </cell>
          <cell r="C94">
            <v>7.2166029656592759E-2</v>
          </cell>
          <cell r="D94">
            <v>7.1502323675650181E-2</v>
          </cell>
          <cell r="E94">
            <v>7.0901671730397173E-2</v>
          </cell>
          <cell r="F94">
            <v>7.0372839117214606E-2</v>
          </cell>
          <cell r="G94">
            <v>6.9745552844474035E-2</v>
          </cell>
          <cell r="H94">
            <v>6.9066597175904312E-2</v>
          </cell>
          <cell r="I94">
            <v>6.8408184168031488E-2</v>
          </cell>
          <cell r="J94">
            <v>6.7753154135383645E-2</v>
          </cell>
          <cell r="K94">
            <v>6.7194483579588196E-2</v>
          </cell>
          <cell r="L94">
            <v>6.6729791149949744E-2</v>
          </cell>
          <cell r="M94">
            <v>6.7329264806830394E-2</v>
          </cell>
          <cell r="N94">
            <v>6.6966857958430465E-2</v>
          </cell>
          <cell r="O94">
            <v>6.659644909426829E-2</v>
          </cell>
          <cell r="P94">
            <v>6.6265174989249373E-2</v>
          </cell>
          <cell r="Q94">
            <v>6.589836742180509E-2</v>
          </cell>
          <cell r="R94">
            <v>6.542272324714081E-2</v>
          </cell>
          <cell r="S94">
            <v>6.4910963331901106E-2</v>
          </cell>
          <cell r="T94">
            <v>6.4487021110255865E-2</v>
          </cell>
        </row>
        <row r="95">
          <cell r="B95" t="str">
            <v>NC</v>
          </cell>
          <cell r="C95">
            <v>2.6685118625104323E-2</v>
          </cell>
          <cell r="D95">
            <v>2.6762055331052612E-2</v>
          </cell>
          <cell r="E95">
            <v>2.6788448666129665E-2</v>
          </cell>
          <cell r="F95">
            <v>2.6950662241728891E-2</v>
          </cell>
          <cell r="G95">
            <v>2.7123419508572642E-2</v>
          </cell>
          <cell r="H95">
            <v>2.7341375303099342E-2</v>
          </cell>
          <cell r="I95">
            <v>2.7552303075401696E-2</v>
          </cell>
          <cell r="J95">
            <v>2.7741324733145445E-2</v>
          </cell>
          <cell r="K95">
            <v>2.7921864051665166E-2</v>
          </cell>
          <cell r="L95">
            <v>2.8056643771126974E-2</v>
          </cell>
          <cell r="M95">
            <v>2.8630855763062135E-2</v>
          </cell>
          <cell r="N95">
            <v>2.8767606887519497E-2</v>
          </cell>
          <cell r="O95">
            <v>2.8885968980134121E-2</v>
          </cell>
          <cell r="P95">
            <v>2.8977752366680463E-2</v>
          </cell>
          <cell r="Q95">
            <v>2.9100130096702804E-2</v>
          </cell>
          <cell r="R95">
            <v>2.9303846637529423E-2</v>
          </cell>
          <cell r="S95">
            <v>2.9646249033723097E-2</v>
          </cell>
          <cell r="T95">
            <v>3.000957229520395E-2</v>
          </cell>
        </row>
        <row r="96">
          <cell r="B96" t="str">
            <v>ND</v>
          </cell>
          <cell r="C96">
            <v>2.5549297223159653E-3</v>
          </cell>
          <cell r="D96">
            <v>2.5151347341003456E-3</v>
          </cell>
          <cell r="E96">
            <v>2.4915804021711212E-3</v>
          </cell>
          <cell r="F96">
            <v>2.4719627322569411E-3</v>
          </cell>
          <cell r="G96">
            <v>2.4575320592632602E-3</v>
          </cell>
          <cell r="H96">
            <v>2.4411720042637518E-3</v>
          </cell>
          <cell r="I96">
            <v>2.4237886406898875E-3</v>
          </cell>
          <cell r="J96">
            <v>2.3935184352042878E-3</v>
          </cell>
          <cell r="K96">
            <v>2.3600840447283527E-3</v>
          </cell>
          <cell r="L96">
            <v>2.3237526524225076E-3</v>
          </cell>
          <cell r="M96">
            <v>2.2723131473996053E-3</v>
          </cell>
          <cell r="N96">
            <v>2.2320075768505914E-3</v>
          </cell>
          <cell r="O96">
            <v>2.2018155308361135E-3</v>
          </cell>
          <cell r="P96">
            <v>2.1801006422522071E-3</v>
          </cell>
          <cell r="Q96">
            <v>2.1721171084943501E-3</v>
          </cell>
          <cell r="R96">
            <v>2.149211057257848E-3</v>
          </cell>
          <cell r="S96">
            <v>2.1331500809250886E-3</v>
          </cell>
          <cell r="T96">
            <v>2.117240190767223E-3</v>
          </cell>
        </row>
        <row r="97">
          <cell r="B97" t="str">
            <v>OH</v>
          </cell>
          <cell r="C97">
            <v>4.3540630142667736E-2</v>
          </cell>
          <cell r="D97">
            <v>4.336128862540381E-2</v>
          </cell>
          <cell r="E97">
            <v>4.3162067175556679E-2</v>
          </cell>
          <cell r="F97">
            <v>4.2944654357752486E-2</v>
          </cell>
          <cell r="G97">
            <v>4.2682664893245945E-2</v>
          </cell>
          <cell r="H97">
            <v>4.2448074353532796E-2</v>
          </cell>
          <cell r="I97">
            <v>4.2178834337651981E-2</v>
          </cell>
          <cell r="J97">
            <v>4.187148767474777E-2</v>
          </cell>
          <cell r="K97">
            <v>4.158310838655855E-2</v>
          </cell>
          <cell r="L97">
            <v>4.1279916533161681E-2</v>
          </cell>
          <cell r="M97">
            <v>4.0272321766258147E-2</v>
          </cell>
          <cell r="N97">
            <v>3.9963885324464668E-2</v>
          </cell>
          <cell r="O97">
            <v>3.9657717208236194E-2</v>
          </cell>
          <cell r="P97">
            <v>3.9386203097792526E-2</v>
          </cell>
          <cell r="Q97">
            <v>3.9076144235177752E-2</v>
          </cell>
          <cell r="R97">
            <v>3.8743174753001285E-2</v>
          </cell>
          <cell r="S97">
            <v>3.8404195684160848E-2</v>
          </cell>
          <cell r="T97">
            <v>3.8094952877545371E-2</v>
          </cell>
        </row>
        <row r="98">
          <cell r="B98" t="str">
            <v>OK</v>
          </cell>
          <cell r="C98">
            <v>1.261544753664968E-2</v>
          </cell>
          <cell r="D98">
            <v>1.2557732189141666E-2</v>
          </cell>
          <cell r="E98">
            <v>1.2563924956834146E-2</v>
          </cell>
          <cell r="F98">
            <v>1.2525395041390846E-2</v>
          </cell>
          <cell r="G98">
            <v>1.2469389414631684E-2</v>
          </cell>
          <cell r="H98">
            <v>1.2425823032738755E-2</v>
          </cell>
          <cell r="I98">
            <v>1.2403015162333265E-2</v>
          </cell>
          <cell r="J98">
            <v>1.2376631404475778E-2</v>
          </cell>
          <cell r="K98">
            <v>1.2357086686779328E-2</v>
          </cell>
          <cell r="L98">
            <v>1.2314474268702261E-2</v>
          </cell>
          <cell r="M98">
            <v>1.2240271123206243E-2</v>
          </cell>
          <cell r="N98">
            <v>1.215053814782492E-2</v>
          </cell>
          <cell r="O98">
            <v>1.2105051917558405E-2</v>
          </cell>
          <cell r="P98">
            <v>1.2046952169414276E-2</v>
          </cell>
          <cell r="Q98">
            <v>1.1990626159780662E-2</v>
          </cell>
          <cell r="R98">
            <v>1.1943701593273194E-2</v>
          </cell>
          <cell r="S98">
            <v>1.1959030854676462E-2</v>
          </cell>
          <cell r="T98">
            <v>1.1975568469286296E-2</v>
          </cell>
        </row>
        <row r="99">
          <cell r="B99" t="str">
            <v>OR</v>
          </cell>
          <cell r="C99">
            <v>1.1458737382307654E-2</v>
          </cell>
          <cell r="D99">
            <v>1.1575289348424885E-2</v>
          </cell>
          <cell r="E99">
            <v>1.1661128141785557E-2</v>
          </cell>
          <cell r="F99">
            <v>1.1771507874573137E-2</v>
          </cell>
          <cell r="G99">
            <v>1.1858707513885007E-2</v>
          </cell>
          <cell r="H99">
            <v>1.1953507763731224E-2</v>
          </cell>
          <cell r="I99">
            <v>1.2046541501569447E-2</v>
          </cell>
          <cell r="J99">
            <v>1.2111473276256227E-2</v>
          </cell>
          <cell r="K99">
            <v>1.2144604080571133E-2</v>
          </cell>
          <cell r="L99">
            <v>1.2160857065617389E-2</v>
          </cell>
          <cell r="M99">
            <v>1.2158643586724372E-2</v>
          </cell>
          <cell r="N99">
            <v>1.2176250346341981E-2</v>
          </cell>
          <cell r="O99">
            <v>1.2226820270838523E-2</v>
          </cell>
          <cell r="P99">
            <v>1.2238950462076695E-2</v>
          </cell>
          <cell r="Q99">
            <v>1.2210167738650073E-2</v>
          </cell>
          <cell r="R99">
            <v>1.2254473786350965E-2</v>
          </cell>
          <cell r="S99">
            <v>1.2337214510863585E-2</v>
          </cell>
          <cell r="T99">
            <v>1.2398502717305911E-2</v>
          </cell>
        </row>
        <row r="100">
          <cell r="B100" t="str">
            <v>PA</v>
          </cell>
          <cell r="C100">
            <v>4.768457619900196E-2</v>
          </cell>
          <cell r="D100">
            <v>4.7364717621626466E-2</v>
          </cell>
          <cell r="E100">
            <v>4.6978132535066046E-2</v>
          </cell>
          <cell r="F100">
            <v>4.6636691642129711E-2</v>
          </cell>
          <cell r="G100">
            <v>4.6259297070817711E-2</v>
          </cell>
          <cell r="H100">
            <v>4.5831924865350614E-2</v>
          </cell>
          <cell r="I100">
            <v>4.5387297112167838E-2</v>
          </cell>
          <cell r="J100">
            <v>4.4871633983181052E-2</v>
          </cell>
          <cell r="K100">
            <v>4.4412276378597328E-2</v>
          </cell>
          <cell r="L100">
            <v>4.3983938688832908E-2</v>
          </cell>
          <cell r="M100">
            <v>4.353743031341005E-2</v>
          </cell>
          <cell r="N100">
            <v>4.3097566973830666E-2</v>
          </cell>
          <cell r="O100">
            <v>4.274465061972519E-2</v>
          </cell>
          <cell r="P100">
            <v>4.244377590844154E-2</v>
          </cell>
          <cell r="Q100">
            <v>4.2116707356903454E-2</v>
          </cell>
          <cell r="R100">
            <v>4.1791372501476846E-2</v>
          </cell>
          <cell r="S100">
            <v>4.1520081649005419E-2</v>
          </cell>
          <cell r="T100">
            <v>4.1222464450004326E-2</v>
          </cell>
        </row>
        <row r="101">
          <cell r="B101" t="str">
            <v>RI</v>
          </cell>
          <cell r="C101">
            <v>4.027223989109853E-3</v>
          </cell>
          <cell r="D101">
            <v>3.9816684064298523E-3</v>
          </cell>
          <cell r="E101">
            <v>3.9233509035353567E-3</v>
          </cell>
          <cell r="F101">
            <v>3.870905053454964E-3</v>
          </cell>
          <cell r="G101">
            <v>3.8160157028032829E-3</v>
          </cell>
          <cell r="H101">
            <v>3.7640436415259907E-3</v>
          </cell>
          <cell r="I101">
            <v>3.7245534768403457E-3</v>
          </cell>
          <cell r="J101">
            <v>3.685684911996872E-3</v>
          </cell>
          <cell r="K101">
            <v>3.6548059154390866E-3</v>
          </cell>
          <cell r="L101">
            <v>3.6334887453652498E-3</v>
          </cell>
          <cell r="M101">
            <v>3.7237048265494413E-3</v>
          </cell>
          <cell r="N101">
            <v>3.7119903566590665E-3</v>
          </cell>
          <cell r="O101">
            <v>3.7046864136987632E-3</v>
          </cell>
          <cell r="P101">
            <v>3.6914600668670923E-3</v>
          </cell>
          <cell r="Q101">
            <v>3.6569607075850148E-3</v>
          </cell>
          <cell r="R101">
            <v>3.601424491872899E-3</v>
          </cell>
          <cell r="S101">
            <v>3.5493378731012979E-3</v>
          </cell>
          <cell r="T101">
            <v>3.4954191626699791E-3</v>
          </cell>
        </row>
        <row r="102">
          <cell r="B102" t="str">
            <v>SC</v>
          </cell>
          <cell r="C102">
            <v>1.4026306182786901E-2</v>
          </cell>
          <cell r="D102">
            <v>1.4116305184946928E-2</v>
          </cell>
          <cell r="E102">
            <v>1.4118261575488116E-2</v>
          </cell>
          <cell r="F102">
            <v>1.4099116415177242E-2</v>
          </cell>
          <cell r="G102">
            <v>1.4084039320681967E-2</v>
          </cell>
          <cell r="H102">
            <v>1.4078755243522915E-2</v>
          </cell>
          <cell r="I102">
            <v>1.4097176528929922E-2</v>
          </cell>
          <cell r="J102">
            <v>1.4153465338899555E-2</v>
          </cell>
          <cell r="K102">
            <v>1.420760914928944E-2</v>
          </cell>
          <cell r="L102">
            <v>1.4249603634428272E-2</v>
          </cell>
          <cell r="M102">
            <v>1.4258668161811811E-2</v>
          </cell>
          <cell r="N102">
            <v>1.4250094047391691E-2</v>
          </cell>
          <cell r="O102">
            <v>1.4257320421212151E-2</v>
          </cell>
          <cell r="P102">
            <v>1.4277271460576427E-2</v>
          </cell>
          <cell r="Q102">
            <v>1.4328821477676661E-2</v>
          </cell>
          <cell r="R102">
            <v>1.437737551367182E-2</v>
          </cell>
          <cell r="S102">
            <v>1.4495092861271361E-2</v>
          </cell>
          <cell r="T102">
            <v>1.462016378275291E-2</v>
          </cell>
        </row>
        <row r="103">
          <cell r="B103" t="str">
            <v>SD</v>
          </cell>
          <cell r="C103">
            <v>2.7926510202281531E-3</v>
          </cell>
          <cell r="D103">
            <v>2.7818219258639908E-3</v>
          </cell>
          <cell r="E103">
            <v>2.7788841957579222E-3</v>
          </cell>
          <cell r="F103">
            <v>2.7785350049682172E-3</v>
          </cell>
          <cell r="G103">
            <v>2.7774220179779185E-3</v>
          </cell>
          <cell r="H103">
            <v>2.7710879829367118E-3</v>
          </cell>
          <cell r="I103">
            <v>2.7549784493052279E-3</v>
          </cell>
          <cell r="J103">
            <v>2.7292746116456637E-3</v>
          </cell>
          <cell r="K103">
            <v>2.7041420912923453E-3</v>
          </cell>
          <cell r="L103">
            <v>2.6885137490862223E-3</v>
          </cell>
          <cell r="M103">
            <v>2.6780019682751156E-3</v>
          </cell>
          <cell r="N103">
            <v>2.6617510677973632E-3</v>
          </cell>
          <cell r="O103">
            <v>2.647335615042982E-3</v>
          </cell>
          <cell r="P103">
            <v>2.6409757973471664E-3</v>
          </cell>
          <cell r="Q103">
            <v>2.6410371897773819E-3</v>
          </cell>
          <cell r="R103">
            <v>2.6367355272438608E-3</v>
          </cell>
          <cell r="S103">
            <v>2.6390003829329049E-3</v>
          </cell>
          <cell r="T103">
            <v>2.6409377118679E-3</v>
          </cell>
        </row>
        <row r="104">
          <cell r="B104" t="str">
            <v>TN</v>
          </cell>
          <cell r="C104">
            <v>1.960450500519521E-2</v>
          </cell>
          <cell r="D104">
            <v>1.9618581556001699E-2</v>
          </cell>
          <cell r="E104">
            <v>1.9660451389232121E-2</v>
          </cell>
          <cell r="F104">
            <v>1.9728507052733362E-2</v>
          </cell>
          <cell r="G104">
            <v>1.9832808673364722E-2</v>
          </cell>
          <cell r="H104">
            <v>1.9943313035412847E-2</v>
          </cell>
          <cell r="I104">
            <v>2.0033950188443499E-2</v>
          </cell>
          <cell r="J104">
            <v>2.0084997211946586E-2</v>
          </cell>
          <cell r="K104">
            <v>2.0102568528508238E-2</v>
          </cell>
          <cell r="L104">
            <v>2.0108983282836154E-2</v>
          </cell>
          <cell r="M104">
            <v>2.0211414646139722E-2</v>
          </cell>
          <cell r="N104">
            <v>2.0184889757308738E-2</v>
          </cell>
          <cell r="O104">
            <v>2.0154869423686016E-2</v>
          </cell>
          <cell r="P104">
            <v>2.01562474662824E-2</v>
          </cell>
          <cell r="Q104">
            <v>2.0167616181776031E-2</v>
          </cell>
          <cell r="R104">
            <v>2.0243604974492044E-2</v>
          </cell>
          <cell r="S104">
            <v>2.0338669838901223E-2</v>
          </cell>
          <cell r="T104">
            <v>2.0409270882279753E-2</v>
          </cell>
        </row>
        <row r="105">
          <cell r="B105" t="str">
            <v>TX</v>
          </cell>
          <cell r="C105">
            <v>6.8325237081126394E-2</v>
          </cell>
          <cell r="D105">
            <v>6.8767366136442215E-2</v>
          </cell>
          <cell r="E105">
            <v>6.9209504105637518E-2</v>
          </cell>
          <cell r="F105">
            <v>6.9813724593863993E-2</v>
          </cell>
          <cell r="G105">
            <v>7.0443394348986929E-2</v>
          </cell>
          <cell r="H105">
            <v>7.1078664940234612E-2</v>
          </cell>
          <cell r="I105">
            <v>7.1659851186771845E-2</v>
          </cell>
          <cell r="J105">
            <v>7.2280104136471651E-2</v>
          </cell>
          <cell r="K105">
            <v>7.2941848898694733E-2</v>
          </cell>
          <cell r="L105">
            <v>7.3505010232963006E-2</v>
          </cell>
          <cell r="M105">
            <v>7.4231510393719669E-2</v>
          </cell>
          <cell r="N105">
            <v>7.4845434832131144E-2</v>
          </cell>
          <cell r="O105">
            <v>7.5465366959911781E-2</v>
          </cell>
          <cell r="P105">
            <v>7.6020983139179946E-2</v>
          </cell>
          <cell r="Q105">
            <v>7.656362849247908E-2</v>
          </cell>
          <cell r="R105">
            <v>7.7179204319315298E-2</v>
          </cell>
          <cell r="S105">
            <v>7.831914853590094E-2</v>
          </cell>
          <cell r="T105">
            <v>7.9137726862075347E-2</v>
          </cell>
        </row>
        <row r="106">
          <cell r="B106" t="str">
            <v>UT</v>
          </cell>
          <cell r="C106">
            <v>6.9337429618613793E-3</v>
          </cell>
          <cell r="D106">
            <v>7.0272427989897506E-3</v>
          </cell>
          <cell r="E106">
            <v>7.1422975721741333E-3</v>
          </cell>
          <cell r="F106">
            <v>7.2774226878797033E-3</v>
          </cell>
          <cell r="G106">
            <v>7.4154269218176935E-3</v>
          </cell>
          <cell r="H106">
            <v>7.5218773148018137E-3</v>
          </cell>
          <cell r="I106">
            <v>7.6245669339123842E-3</v>
          </cell>
          <cell r="J106">
            <v>7.7129329279667222E-3</v>
          </cell>
          <cell r="K106">
            <v>7.7727197858331633E-3</v>
          </cell>
          <cell r="L106">
            <v>7.8104428109208061E-3</v>
          </cell>
          <cell r="M106">
            <v>7.9533423196274204E-3</v>
          </cell>
          <cell r="N106">
            <v>8.0377055270417792E-3</v>
          </cell>
          <cell r="O106">
            <v>8.113471672993847E-3</v>
          </cell>
          <cell r="P106">
            <v>8.2025240442887004E-3</v>
          </cell>
          <cell r="Q106">
            <v>8.3302068409643534E-3</v>
          </cell>
          <cell r="R106">
            <v>8.4627735618396076E-3</v>
          </cell>
          <cell r="S106">
            <v>8.6644632006666594E-3</v>
          </cell>
          <cell r="T106">
            <v>8.8583161042153843E-3</v>
          </cell>
        </row>
        <row r="107">
          <cell r="B107" t="str">
            <v>VT</v>
          </cell>
          <cell r="C107">
            <v>2.262952184968311E-3</v>
          </cell>
          <cell r="D107">
            <v>2.2491931211376937E-3</v>
          </cell>
          <cell r="E107">
            <v>2.2354847385833289E-3</v>
          </cell>
          <cell r="F107">
            <v>2.2266979314601396E-3</v>
          </cell>
          <cell r="G107">
            <v>2.2237414993505418E-3</v>
          </cell>
          <cell r="H107">
            <v>2.2177311062134553E-3</v>
          </cell>
          <cell r="I107">
            <v>2.2107422121927347E-3</v>
          </cell>
          <cell r="J107">
            <v>2.1982861706691405E-3</v>
          </cell>
          <cell r="K107">
            <v>2.1853223463042574E-3</v>
          </cell>
          <cell r="L107">
            <v>2.1773377455147343E-3</v>
          </cell>
          <cell r="M107">
            <v>2.1613630634054267E-3</v>
          </cell>
          <cell r="N107">
            <v>2.1475386719938196E-3</v>
          </cell>
          <cell r="O107">
            <v>2.1374245535207589E-3</v>
          </cell>
          <cell r="P107">
            <v>2.1250131206299156E-3</v>
          </cell>
          <cell r="Q107">
            <v>2.1114667926871249E-3</v>
          </cell>
          <cell r="R107">
            <v>2.0952796376081978E-3</v>
          </cell>
          <cell r="S107">
            <v>2.0786627568562268E-3</v>
          </cell>
          <cell r="T107">
            <v>2.0602984366587642E-3</v>
          </cell>
        </row>
        <row r="108">
          <cell r="B108" t="str">
            <v>VA</v>
          </cell>
          <cell r="C108">
            <v>2.4907466154007806E-2</v>
          </cell>
          <cell r="D108">
            <v>2.4920785028485791E-2</v>
          </cell>
          <cell r="E108">
            <v>2.5029692718258667E-2</v>
          </cell>
          <cell r="F108">
            <v>2.5078476201932133E-2</v>
          </cell>
          <cell r="G108">
            <v>2.5109844436778616E-2</v>
          </cell>
          <cell r="H108">
            <v>2.511913892580243E-2</v>
          </cell>
          <cell r="I108">
            <v>2.5131119734716968E-2</v>
          </cell>
          <cell r="J108">
            <v>2.5142980466313608E-2</v>
          </cell>
          <cell r="K108">
            <v>2.5122202290612301E-2</v>
          </cell>
          <cell r="L108">
            <v>2.5204046753126222E-2</v>
          </cell>
          <cell r="M108">
            <v>2.5177393970178524E-2</v>
          </cell>
          <cell r="N108">
            <v>2.5218411338854316E-2</v>
          </cell>
          <cell r="O108">
            <v>2.529061898114706E-2</v>
          </cell>
          <cell r="P108">
            <v>2.5372236689899266E-2</v>
          </cell>
          <cell r="Q108">
            <v>2.5451991749849936E-2</v>
          </cell>
          <cell r="R108">
            <v>2.5533600561825995E-2</v>
          </cell>
          <cell r="S108">
            <v>2.5567338075827527E-2</v>
          </cell>
          <cell r="T108">
            <v>2.5552678537325253E-2</v>
          </cell>
        </row>
        <row r="109">
          <cell r="B109" t="str">
            <v>WA</v>
          </cell>
          <cell r="C109">
            <v>1.9645208208388984E-2</v>
          </cell>
          <cell r="D109">
            <v>1.9882536280776599E-2</v>
          </cell>
          <cell r="E109">
            <v>2.0150637436152093E-2</v>
          </cell>
          <cell r="F109">
            <v>2.0357090964026558E-2</v>
          </cell>
          <cell r="G109">
            <v>2.0493055156191414E-2</v>
          </cell>
          <cell r="H109">
            <v>2.0665739341848996E-2</v>
          </cell>
          <cell r="I109">
            <v>2.0774394547507499E-2</v>
          </cell>
          <cell r="J109">
            <v>2.0927737372661501E-2</v>
          </cell>
          <cell r="K109">
            <v>2.1046712415484527E-2</v>
          </cell>
          <cell r="L109">
            <v>2.1109479034777751E-2</v>
          </cell>
          <cell r="M109">
            <v>2.0948589302658364E-2</v>
          </cell>
          <cell r="N109">
            <v>2.1004719119876742E-2</v>
          </cell>
          <cell r="O109">
            <v>2.1046410067121799E-2</v>
          </cell>
          <cell r="P109">
            <v>2.1054349458408034E-2</v>
          </cell>
          <cell r="Q109">
            <v>2.1098706418967689E-2</v>
          </cell>
          <cell r="R109">
            <v>2.1161751868311762E-2</v>
          </cell>
          <cell r="S109">
            <v>2.1318090968345457E-2</v>
          </cell>
          <cell r="T109">
            <v>2.1406299223700281E-2</v>
          </cell>
        </row>
        <row r="110">
          <cell r="B110" t="str">
            <v>WV</v>
          </cell>
          <cell r="C110">
            <v>7.1853179401200002E-3</v>
          </cell>
          <cell r="D110">
            <v>7.1314295047391289E-3</v>
          </cell>
          <cell r="E110">
            <v>7.07941862096618E-3</v>
          </cell>
          <cell r="F110">
            <v>7.0453899667273128E-3</v>
          </cell>
          <cell r="G110">
            <v>6.9854062517774517E-3</v>
          </cell>
          <cell r="H110">
            <v>6.9274631112284917E-3</v>
          </cell>
          <cell r="I110">
            <v>6.8581713737839679E-3</v>
          </cell>
          <cell r="J110">
            <v>6.7800565551423015E-3</v>
          </cell>
          <cell r="K110">
            <v>6.7037979185363304E-3</v>
          </cell>
          <cell r="L110">
            <v>6.6262885064631788E-3</v>
          </cell>
          <cell r="M110">
            <v>6.4038154382581834E-3</v>
          </cell>
          <cell r="N110">
            <v>6.3097854442454833E-3</v>
          </cell>
          <cell r="O110">
            <v>6.253824658791509E-3</v>
          </cell>
          <cell r="P110">
            <v>6.2102660963329588E-3</v>
          </cell>
          <cell r="Q110">
            <v>6.156915238626404E-3</v>
          </cell>
          <cell r="R110">
            <v>6.1037239445647399E-3</v>
          </cell>
          <cell r="S110">
            <v>6.0555771442859299E-3</v>
          </cell>
          <cell r="T110">
            <v>6.0069501334015594E-3</v>
          </cell>
        </row>
        <row r="111">
          <cell r="B111" t="str">
            <v>WI</v>
          </cell>
          <cell r="C111">
            <v>1.965116096166284E-2</v>
          </cell>
          <cell r="D111">
            <v>1.9641539830889721E-2</v>
          </cell>
          <cell r="E111">
            <v>1.9623738018057262E-2</v>
          </cell>
          <cell r="F111">
            <v>1.96107799483509E-2</v>
          </cell>
          <cell r="G111">
            <v>1.957347331992863E-2</v>
          </cell>
          <cell r="H111">
            <v>1.9546955723641742E-2</v>
          </cell>
          <cell r="I111">
            <v>1.9507053712146821E-2</v>
          </cell>
          <cell r="J111">
            <v>1.9419541988617697E-2</v>
          </cell>
          <cell r="K111">
            <v>1.9323450837858736E-2</v>
          </cell>
          <cell r="L111">
            <v>1.9254209345145778E-2</v>
          </cell>
          <cell r="M111">
            <v>1.9045597078796668E-2</v>
          </cell>
          <cell r="N111">
            <v>1.8973002868655504E-2</v>
          </cell>
          <cell r="O111">
            <v>1.8922953632445449E-2</v>
          </cell>
          <cell r="P111">
            <v>1.8863384304010015E-2</v>
          </cell>
          <cell r="Q111">
            <v>1.8808252227278201E-2</v>
          </cell>
          <cell r="R111">
            <v>1.8740004438143061E-2</v>
          </cell>
          <cell r="S111">
            <v>1.866352565135487E-2</v>
          </cell>
          <cell r="T111">
            <v>1.8583048990765492E-2</v>
          </cell>
        </row>
        <row r="112">
          <cell r="B112" t="str">
            <v>WY</v>
          </cell>
          <cell r="C112">
            <v>1.8174978364447647E-3</v>
          </cell>
          <cell r="D112">
            <v>1.8153217807854603E-3</v>
          </cell>
          <cell r="E112">
            <v>1.8174000981744482E-3</v>
          </cell>
          <cell r="F112">
            <v>1.8194904754784697E-3</v>
          </cell>
          <cell r="G112">
            <v>1.8245589650103975E-3</v>
          </cell>
          <cell r="H112">
            <v>1.8205518868798271E-3</v>
          </cell>
          <cell r="I112">
            <v>1.8100802503283847E-3</v>
          </cell>
          <cell r="J112">
            <v>1.7926078649019019E-3</v>
          </cell>
          <cell r="K112">
            <v>1.7763128484616405E-3</v>
          </cell>
          <cell r="L112">
            <v>1.7587757897806406E-3</v>
          </cell>
          <cell r="M112">
            <v>1.7505745149652304E-3</v>
          </cell>
          <cell r="N112">
            <v>1.7293163790181262E-3</v>
          </cell>
          <cell r="O112">
            <v>1.7272261890988498E-3</v>
          </cell>
          <cell r="P112">
            <v>1.7196320879923903E-3</v>
          </cell>
          <cell r="Q112">
            <v>1.7167276059967293E-3</v>
          </cell>
          <cell r="R112">
            <v>1.712024834545831E-3</v>
          </cell>
          <cell r="S112">
            <v>1.7179511078273108E-3</v>
          </cell>
          <cell r="T112">
            <v>1.7367035859617295E-3</v>
          </cell>
        </row>
      </sheetData>
      <sheetData sheetId="32"/>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Control"/>
      <sheetName val="Cement"/>
      <sheetName val="Lime"/>
      <sheetName val="Limestone"/>
      <sheetName val="Soda Ash"/>
      <sheetName val="Iron &amp; Steel"/>
      <sheetName val="Ammonia &amp; Urea"/>
      <sheetName val="Nitric"/>
      <sheetName val="Adipic"/>
      <sheetName val="Aluminum"/>
      <sheetName val="HCFC-22"/>
      <sheetName val="ODS"/>
      <sheetName val="Semiconductor"/>
      <sheetName val="Electric Power"/>
      <sheetName val="Magnesium"/>
      <sheetName val="Summary, MTCE"/>
      <sheetName val="Summary, MTCO2E"/>
      <sheetName val="Tracker"/>
      <sheetName val="Uncertainty"/>
      <sheetName val="Data Sources"/>
      <sheetName val="Data"/>
      <sheetName val="EF"/>
      <sheetName val="ODS subs method"/>
      <sheetName val="List Data"/>
      <sheetName val="Lime Proportion Data"/>
      <sheetName val="Soda Ash Method"/>
      <sheetName val="Industrial Limestone Ratios"/>
      <sheetName val="semiconductors method"/>
      <sheetName val="Electric Power method"/>
      <sheetName val="Iron &amp; Steel Data"/>
      <sheetName val="Ammonia Defaults"/>
      <sheetName val="state population"/>
      <sheetName val="Not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row r="59">
          <cell r="B59">
            <v>0</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row>
        <row r="60">
          <cell r="B60">
            <v>0</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row>
        <row r="67">
          <cell r="A67" t="str">
            <v>Alabama</v>
          </cell>
          <cell r="B67">
            <v>1018.4558287217636</v>
          </cell>
          <cell r="C67">
            <v>622.96523632404978</v>
          </cell>
          <cell r="D67">
            <v>724.28692733375669</v>
          </cell>
          <cell r="E67">
            <v>807.37653996189783</v>
          </cell>
          <cell r="F67">
            <v>749.22763313072653</v>
          </cell>
          <cell r="G67">
            <v>1476.6391363512653</v>
          </cell>
          <cell r="H67">
            <v>2284.6603102603649</v>
          </cell>
          <cell r="I67">
            <v>1897.0463757597747</v>
          </cell>
          <cell r="J67">
            <v>1672.8602376848407</v>
          </cell>
          <cell r="K67">
            <v>1799.8026490066225</v>
          </cell>
          <cell r="L67">
            <v>1771.4168193776652</v>
          </cell>
          <cell r="M67">
            <v>1745.0207928875989</v>
          </cell>
          <cell r="N67">
            <v>1555.2547582327859</v>
          </cell>
          <cell r="O67">
            <v>1484.0968883244125</v>
          </cell>
          <cell r="P67">
            <v>1619.4473736732286</v>
          </cell>
          <cell r="Q67">
            <v>1763.948924975052</v>
          </cell>
          <cell r="R67">
            <v>1490.317267524417</v>
          </cell>
          <cell r="S67">
            <v>1805.9160936651701</v>
          </cell>
          <cell r="T67">
            <v>0</v>
          </cell>
          <cell r="U67">
            <v>0</v>
          </cell>
          <cell r="V67">
            <v>0</v>
          </cell>
          <cell r="W67">
            <v>0</v>
          </cell>
          <cell r="X67">
            <v>0</v>
          </cell>
          <cell r="Y67">
            <v>0</v>
          </cell>
          <cell r="Z67">
            <v>0</v>
          </cell>
          <cell r="AA67">
            <v>0</v>
          </cell>
          <cell r="AB67">
            <v>0</v>
          </cell>
          <cell r="AC67">
            <v>0</v>
          </cell>
          <cell r="AD67">
            <v>0</v>
          </cell>
          <cell r="AE67">
            <v>0</v>
          </cell>
          <cell r="AF67">
            <v>0</v>
          </cell>
        </row>
        <row r="68">
          <cell r="A68" t="str">
            <v>Alaska</v>
          </cell>
          <cell r="B68">
            <v>709.10913544407151</v>
          </cell>
          <cell r="C68">
            <v>686.44953279506501</v>
          </cell>
          <cell r="D68">
            <v>672.33999818561188</v>
          </cell>
          <cell r="E68">
            <v>730.5615531162116</v>
          </cell>
          <cell r="F68">
            <v>725.03039100063495</v>
          </cell>
          <cell r="G68">
            <v>684.79442982854027</v>
          </cell>
          <cell r="H68">
            <v>604.41803501769039</v>
          </cell>
          <cell r="I68">
            <v>604.41803501769039</v>
          </cell>
          <cell r="J68">
            <v>610.84739181710972</v>
          </cell>
          <cell r="K68">
            <v>611.55830536151677</v>
          </cell>
          <cell r="L68">
            <v>612.36144425292559</v>
          </cell>
          <cell r="M68">
            <v>645.93831080468112</v>
          </cell>
          <cell r="N68">
            <v>637.5578336206114</v>
          </cell>
          <cell r="O68">
            <v>637.5578336206114</v>
          </cell>
          <cell r="P68">
            <v>637.5578336206114</v>
          </cell>
          <cell r="Q68">
            <v>637.5578336206114</v>
          </cell>
          <cell r="R68">
            <v>637.5578336206114</v>
          </cell>
          <cell r="S68">
            <v>637.5578336206114</v>
          </cell>
          <cell r="T68">
            <v>0</v>
          </cell>
          <cell r="U68">
            <v>0</v>
          </cell>
          <cell r="V68">
            <v>0</v>
          </cell>
          <cell r="W68">
            <v>0</v>
          </cell>
          <cell r="X68">
            <v>0</v>
          </cell>
          <cell r="Y68">
            <v>0</v>
          </cell>
          <cell r="Z68">
            <v>0</v>
          </cell>
          <cell r="AA68">
            <v>0</v>
          </cell>
          <cell r="AB68">
            <v>0</v>
          </cell>
          <cell r="AC68">
            <v>0</v>
          </cell>
          <cell r="AD68">
            <v>0</v>
          </cell>
          <cell r="AE68">
            <v>0</v>
          </cell>
          <cell r="AF68">
            <v>0</v>
          </cell>
        </row>
        <row r="69">
          <cell r="A69" t="str">
            <v>Arizona</v>
          </cell>
          <cell r="B69">
            <v>2351.2401705524808</v>
          </cell>
          <cell r="C69">
            <v>2112.5935226344914</v>
          </cell>
          <cell r="D69">
            <v>2319.0238047718403</v>
          </cell>
          <cell r="E69">
            <v>2496.6021772657168</v>
          </cell>
          <cell r="F69">
            <v>2891.1278236414769</v>
          </cell>
          <cell r="G69">
            <v>3161.5292388641933</v>
          </cell>
          <cell r="H69">
            <v>3146.2766760410054</v>
          </cell>
          <cell r="I69">
            <v>2832.6777102422211</v>
          </cell>
          <cell r="J69">
            <v>2209.6523269527356</v>
          </cell>
          <cell r="K69">
            <v>1641.0420212283409</v>
          </cell>
          <cell r="L69">
            <v>1751.7117300190512</v>
          </cell>
          <cell r="M69">
            <v>1624.2506395718044</v>
          </cell>
          <cell r="N69">
            <v>1677.6205751610269</v>
          </cell>
          <cell r="O69">
            <v>2039.1099700625966</v>
          </cell>
          <cell r="P69">
            <v>2017.5698085820554</v>
          </cell>
          <cell r="Q69">
            <v>1897.6405334301007</v>
          </cell>
          <cell r="R69">
            <v>1420.4102073531878</v>
          </cell>
          <cell r="S69">
            <v>2316.5968168996069</v>
          </cell>
          <cell r="T69">
            <v>0</v>
          </cell>
          <cell r="U69">
            <v>0</v>
          </cell>
          <cell r="V69">
            <v>0</v>
          </cell>
          <cell r="W69">
            <v>0</v>
          </cell>
          <cell r="X69">
            <v>0</v>
          </cell>
          <cell r="Y69">
            <v>0</v>
          </cell>
          <cell r="Z69">
            <v>0</v>
          </cell>
          <cell r="AA69">
            <v>0</v>
          </cell>
          <cell r="AB69">
            <v>0</v>
          </cell>
          <cell r="AC69">
            <v>0</v>
          </cell>
          <cell r="AD69">
            <v>0</v>
          </cell>
          <cell r="AE69">
            <v>0</v>
          </cell>
          <cell r="AF69">
            <v>0</v>
          </cell>
        </row>
        <row r="70">
          <cell r="A70" t="str">
            <v>Arkansas</v>
          </cell>
          <cell r="B70">
            <v>40756.319695182792</v>
          </cell>
          <cell r="C70">
            <v>39775.270325682657</v>
          </cell>
          <cell r="D70">
            <v>43075.470398258185</v>
          </cell>
          <cell r="E70">
            <v>45121.778662795972</v>
          </cell>
          <cell r="F70">
            <v>47929.401270071663</v>
          </cell>
          <cell r="G70">
            <v>46465.8668602014</v>
          </cell>
          <cell r="H70">
            <v>45368.378626508209</v>
          </cell>
          <cell r="I70">
            <v>45557.001868819738</v>
          </cell>
          <cell r="J70">
            <v>51910.25082101061</v>
          </cell>
          <cell r="K70">
            <v>47464.292098339836</v>
          </cell>
          <cell r="L70">
            <v>51463.959629864832</v>
          </cell>
          <cell r="M70">
            <v>51846.493386555376</v>
          </cell>
          <cell r="N70">
            <v>48083.308155674495</v>
          </cell>
          <cell r="O70">
            <v>48374.761716411143</v>
          </cell>
          <cell r="P70">
            <v>47009.976594393542</v>
          </cell>
          <cell r="Q70">
            <v>42732.795210015422</v>
          </cell>
          <cell r="R70">
            <v>46391.200643838332</v>
          </cell>
          <cell r="S70">
            <v>54073.421706310437</v>
          </cell>
          <cell r="T70">
            <v>0</v>
          </cell>
          <cell r="U70">
            <v>0</v>
          </cell>
          <cell r="V70">
            <v>0</v>
          </cell>
          <cell r="W70">
            <v>0</v>
          </cell>
          <cell r="X70">
            <v>0</v>
          </cell>
          <cell r="Y70">
            <v>0</v>
          </cell>
          <cell r="Z70">
            <v>0</v>
          </cell>
          <cell r="AA70">
            <v>0</v>
          </cell>
          <cell r="AB70">
            <v>0</v>
          </cell>
          <cell r="AC70">
            <v>0</v>
          </cell>
          <cell r="AD70">
            <v>0</v>
          </cell>
          <cell r="AE70">
            <v>0</v>
          </cell>
          <cell r="AF70">
            <v>0</v>
          </cell>
        </row>
        <row r="71">
          <cell r="A71" t="str">
            <v>California</v>
          </cell>
          <cell r="B71">
            <v>7548.8316973600658</v>
          </cell>
          <cell r="C71">
            <v>7302.3211285493971</v>
          </cell>
          <cell r="D71">
            <v>9008.7926698720858</v>
          </cell>
          <cell r="E71">
            <v>9775.4501859747797</v>
          </cell>
          <cell r="F71">
            <v>9848.6219178082192</v>
          </cell>
          <cell r="G71">
            <v>12062.306450149688</v>
          </cell>
          <cell r="H71">
            <v>8920.0162206295918</v>
          </cell>
          <cell r="I71">
            <v>8814.2240769300533</v>
          </cell>
          <cell r="J71">
            <v>12742.445740723942</v>
          </cell>
          <cell r="K71">
            <v>13322.607565998367</v>
          </cell>
          <cell r="L71">
            <v>15675.570062596389</v>
          </cell>
          <cell r="M71">
            <v>17829.794484260183</v>
          </cell>
          <cell r="N71">
            <v>21395.325936677858</v>
          </cell>
          <cell r="O71">
            <v>23428.330164202122</v>
          </cell>
          <cell r="P71">
            <v>21434.301406150775</v>
          </cell>
          <cell r="Q71">
            <v>16445.407112401343</v>
          </cell>
          <cell r="R71">
            <v>13539.185823233653</v>
          </cell>
          <cell r="S71">
            <v>25437.083640834691</v>
          </cell>
          <cell r="T71">
            <v>0</v>
          </cell>
          <cell r="U71">
            <v>0</v>
          </cell>
          <cell r="V71">
            <v>0</v>
          </cell>
          <cell r="W71">
            <v>0</v>
          </cell>
          <cell r="X71">
            <v>0</v>
          </cell>
          <cell r="Y71">
            <v>0</v>
          </cell>
          <cell r="Z71">
            <v>0</v>
          </cell>
          <cell r="AA71">
            <v>0</v>
          </cell>
          <cell r="AB71">
            <v>0</v>
          </cell>
          <cell r="AC71">
            <v>0</v>
          </cell>
          <cell r="AD71">
            <v>0</v>
          </cell>
          <cell r="AE71">
            <v>0</v>
          </cell>
          <cell r="AF71">
            <v>0</v>
          </cell>
        </row>
        <row r="72">
          <cell r="A72" t="str">
            <v>Colorado</v>
          </cell>
          <cell r="B72">
            <v>4206.223532613626</v>
          </cell>
          <cell r="C72">
            <v>3675.8655175542049</v>
          </cell>
          <cell r="D72">
            <v>3524.9376757688469</v>
          </cell>
          <cell r="E72">
            <v>4332.3510115213649</v>
          </cell>
          <cell r="F72">
            <v>3933.0025219994559</v>
          </cell>
          <cell r="G72">
            <v>3619.8969971876986</v>
          </cell>
          <cell r="H72">
            <v>3496.8657897124194</v>
          </cell>
          <cell r="I72">
            <v>4170.8278690011794</v>
          </cell>
          <cell r="J72">
            <v>4622.1905107502498</v>
          </cell>
          <cell r="K72">
            <v>4509.7435180985212</v>
          </cell>
          <cell r="L72">
            <v>3094.0030663158855</v>
          </cell>
          <cell r="M72">
            <v>1288.4364510568807</v>
          </cell>
          <cell r="N72">
            <v>3449.5933411956817</v>
          </cell>
          <cell r="O72">
            <v>4015.8807947019868</v>
          </cell>
          <cell r="P72">
            <v>4746.7638392452145</v>
          </cell>
          <cell r="Q72">
            <v>5817.4512927515198</v>
          </cell>
          <cell r="R72">
            <v>5576.669864522336</v>
          </cell>
          <cell r="S72">
            <v>4548.1986059261781</v>
          </cell>
          <cell r="T72">
            <v>0</v>
          </cell>
          <cell r="U72">
            <v>0</v>
          </cell>
          <cell r="V72">
            <v>0</v>
          </cell>
          <cell r="W72">
            <v>0</v>
          </cell>
          <cell r="X72">
            <v>0</v>
          </cell>
          <cell r="Y72">
            <v>0</v>
          </cell>
          <cell r="Z72">
            <v>0</v>
          </cell>
          <cell r="AA72">
            <v>0</v>
          </cell>
          <cell r="AB72">
            <v>0</v>
          </cell>
          <cell r="AC72">
            <v>0</v>
          </cell>
          <cell r="AD72">
            <v>0</v>
          </cell>
          <cell r="AE72">
            <v>0</v>
          </cell>
          <cell r="AF72">
            <v>0</v>
          </cell>
        </row>
        <row r="73">
          <cell r="A73" t="str">
            <v>Connecticut</v>
          </cell>
          <cell r="B73">
            <v>169.82861290029936</v>
          </cell>
          <cell r="C73">
            <v>180.27602286129004</v>
          </cell>
          <cell r="D73">
            <v>204.08525809670684</v>
          </cell>
          <cell r="E73">
            <v>364.79700625963892</v>
          </cell>
          <cell r="F73">
            <v>444.62570987934322</v>
          </cell>
          <cell r="G73">
            <v>350.12609997278417</v>
          </cell>
          <cell r="H73">
            <v>199.08857842692549</v>
          </cell>
          <cell r="I73">
            <v>256.13125283498135</v>
          </cell>
          <cell r="J73">
            <v>342.77189512836799</v>
          </cell>
          <cell r="K73">
            <v>329.09659802231698</v>
          </cell>
          <cell r="L73">
            <v>557.51944116846585</v>
          </cell>
          <cell r="M73">
            <v>729.0522180894493</v>
          </cell>
          <cell r="N73">
            <v>863.47997822734283</v>
          </cell>
          <cell r="O73">
            <v>679.33803864646643</v>
          </cell>
          <cell r="P73">
            <v>331.00738455955729</v>
          </cell>
          <cell r="Q73">
            <v>112.34297378209199</v>
          </cell>
          <cell r="R73">
            <v>447.91604665602978</v>
          </cell>
          <cell r="S73">
            <v>268.51598833680663</v>
          </cell>
          <cell r="T73">
            <v>0</v>
          </cell>
          <cell r="U73">
            <v>0</v>
          </cell>
          <cell r="V73">
            <v>0</v>
          </cell>
          <cell r="W73">
            <v>0</v>
          </cell>
          <cell r="X73">
            <v>0</v>
          </cell>
          <cell r="Y73">
            <v>0</v>
          </cell>
          <cell r="Z73">
            <v>0</v>
          </cell>
          <cell r="AA73">
            <v>0</v>
          </cell>
          <cell r="AB73">
            <v>0</v>
          </cell>
          <cell r="AC73">
            <v>0</v>
          </cell>
          <cell r="AD73">
            <v>0</v>
          </cell>
          <cell r="AE73">
            <v>0</v>
          </cell>
          <cell r="AF73">
            <v>0</v>
          </cell>
        </row>
        <row r="74">
          <cell r="A74" t="str">
            <v>Delaware</v>
          </cell>
          <cell r="B74">
            <v>54.538201941395265</v>
          </cell>
          <cell r="C74">
            <v>25.952590039009348</v>
          </cell>
          <cell r="D74">
            <v>34.489685203665069</v>
          </cell>
          <cell r="E74">
            <v>28.591272793250475</v>
          </cell>
          <cell r="F74">
            <v>47.86023768484079</v>
          </cell>
          <cell r="G74">
            <v>40.911730019051085</v>
          </cell>
          <cell r="H74">
            <v>64.362206295926711</v>
          </cell>
          <cell r="I74">
            <v>49.770316610723029</v>
          </cell>
          <cell r="J74">
            <v>232.6982309716048</v>
          </cell>
          <cell r="K74">
            <v>398.30853669599929</v>
          </cell>
          <cell r="L74">
            <v>34.195790619613533</v>
          </cell>
          <cell r="M74">
            <v>28.907810940760228</v>
          </cell>
          <cell r="N74">
            <v>36.821028758051341</v>
          </cell>
          <cell r="O74">
            <v>40.372294293749434</v>
          </cell>
          <cell r="P74">
            <v>48.855139254286485</v>
          </cell>
          <cell r="Q74">
            <v>68.833130726662432</v>
          </cell>
          <cell r="R74">
            <v>51.436926081234482</v>
          </cell>
          <cell r="S74">
            <v>99.432859629050441</v>
          </cell>
          <cell r="T74">
            <v>0</v>
          </cell>
          <cell r="U74">
            <v>0</v>
          </cell>
          <cell r="V74">
            <v>0</v>
          </cell>
          <cell r="W74">
            <v>0</v>
          </cell>
          <cell r="X74">
            <v>0</v>
          </cell>
          <cell r="Y74">
            <v>0</v>
          </cell>
          <cell r="Z74">
            <v>0</v>
          </cell>
          <cell r="AA74">
            <v>0</v>
          </cell>
          <cell r="AB74">
            <v>0</v>
          </cell>
          <cell r="AC74">
            <v>0</v>
          </cell>
          <cell r="AD74">
            <v>0</v>
          </cell>
          <cell r="AE74">
            <v>0</v>
          </cell>
          <cell r="AF74">
            <v>0</v>
          </cell>
        </row>
        <row r="75">
          <cell r="A75" t="str">
            <v>Florida</v>
          </cell>
          <cell r="B75">
            <v>854.31263721309983</v>
          </cell>
          <cell r="C75">
            <v>904.12611811666511</v>
          </cell>
          <cell r="D75">
            <v>934.13119840333843</v>
          </cell>
          <cell r="E75">
            <v>1180.0747346457408</v>
          </cell>
          <cell r="F75">
            <v>1242.9674680214096</v>
          </cell>
          <cell r="G75">
            <v>1429.5275514832622</v>
          </cell>
          <cell r="H75">
            <v>1994.4997913453687</v>
          </cell>
          <cell r="I75">
            <v>1933.739090991563</v>
          </cell>
          <cell r="J75">
            <v>1574.5550938945842</v>
          </cell>
          <cell r="K75">
            <v>1868.7348453234147</v>
          </cell>
          <cell r="L75">
            <v>2296.277637666697</v>
          </cell>
          <cell r="M75">
            <v>1184.1845414134082</v>
          </cell>
          <cell r="N75">
            <v>1265.0168738093078</v>
          </cell>
          <cell r="O75">
            <v>1036.9681212011249</v>
          </cell>
          <cell r="P75">
            <v>1175.5205479452054</v>
          </cell>
          <cell r="Q75">
            <v>960.16587135988368</v>
          </cell>
          <cell r="R75">
            <v>289.28358831116401</v>
          </cell>
          <cell r="S75">
            <v>3392.3907930855162</v>
          </cell>
          <cell r="T75">
            <v>0</v>
          </cell>
          <cell r="U75">
            <v>0</v>
          </cell>
          <cell r="V75">
            <v>0</v>
          </cell>
          <cell r="W75">
            <v>0</v>
          </cell>
          <cell r="X75">
            <v>0</v>
          </cell>
          <cell r="Y75">
            <v>0</v>
          </cell>
          <cell r="Z75">
            <v>0</v>
          </cell>
          <cell r="AA75">
            <v>0</v>
          </cell>
          <cell r="AB75">
            <v>0</v>
          </cell>
          <cell r="AC75">
            <v>0</v>
          </cell>
          <cell r="AD75">
            <v>0</v>
          </cell>
          <cell r="AE75">
            <v>0</v>
          </cell>
          <cell r="AF75">
            <v>0</v>
          </cell>
        </row>
        <row r="76">
          <cell r="A76" t="str">
            <v>Georgia</v>
          </cell>
          <cell r="B76">
            <v>1041.9688106686019</v>
          </cell>
          <cell r="C76">
            <v>809.82416764946026</v>
          </cell>
          <cell r="D76">
            <v>2014.8124829901114</v>
          </cell>
          <cell r="E76">
            <v>3092.3451329039281</v>
          </cell>
          <cell r="F76">
            <v>1380.8554477002631</v>
          </cell>
          <cell r="G76">
            <v>2201.4204481538595</v>
          </cell>
          <cell r="H76">
            <v>2885.8332395899483</v>
          </cell>
          <cell r="I76">
            <v>2906.2023042728838</v>
          </cell>
          <cell r="J76">
            <v>2351.6262904835344</v>
          </cell>
          <cell r="K76">
            <v>1589.602921164837</v>
          </cell>
          <cell r="L76">
            <v>1389.1349723305816</v>
          </cell>
          <cell r="M76">
            <v>1549.3912546493696</v>
          </cell>
          <cell r="N76">
            <v>1439.7176267803682</v>
          </cell>
          <cell r="O76">
            <v>1701.3069218905923</v>
          </cell>
          <cell r="P76">
            <v>1845.3282409507394</v>
          </cell>
          <cell r="Q76">
            <v>1850.0737185884059</v>
          </cell>
          <cell r="R76">
            <v>2217.7910181413554</v>
          </cell>
          <cell r="S76">
            <v>2629.2256681315835</v>
          </cell>
          <cell r="T76">
            <v>0</v>
          </cell>
          <cell r="U76">
            <v>0</v>
          </cell>
          <cell r="V76">
            <v>0</v>
          </cell>
          <cell r="W76">
            <v>0</v>
          </cell>
          <cell r="X76">
            <v>0</v>
          </cell>
          <cell r="Y76">
            <v>0</v>
          </cell>
          <cell r="Z76">
            <v>0</v>
          </cell>
          <cell r="AA76">
            <v>0</v>
          </cell>
          <cell r="AB76">
            <v>0</v>
          </cell>
          <cell r="AC76">
            <v>0</v>
          </cell>
          <cell r="AD76">
            <v>0</v>
          </cell>
          <cell r="AE76">
            <v>0</v>
          </cell>
          <cell r="AF76">
            <v>0</v>
          </cell>
        </row>
        <row r="77">
          <cell r="A77" t="str">
            <v>Hawaii</v>
          </cell>
          <cell r="B77">
            <v>310.02765127460759</v>
          </cell>
          <cell r="C77">
            <v>306.96133538963977</v>
          </cell>
          <cell r="D77">
            <v>303.85327043454595</v>
          </cell>
          <cell r="E77">
            <v>303.92544679306906</v>
          </cell>
          <cell r="F77">
            <v>302.38356164383555</v>
          </cell>
          <cell r="G77">
            <v>292.47936133538963</v>
          </cell>
          <cell r="H77">
            <v>292.47936133538963</v>
          </cell>
          <cell r="I77">
            <v>295.568792524721</v>
          </cell>
          <cell r="J77">
            <v>287.34587680304821</v>
          </cell>
          <cell r="K77">
            <v>254.37024403519911</v>
          </cell>
          <cell r="L77">
            <v>240.35199129093709</v>
          </cell>
          <cell r="M77">
            <v>240.35199129093709</v>
          </cell>
          <cell r="N77">
            <v>240.35199129093709</v>
          </cell>
          <cell r="O77">
            <v>240.35199129093709</v>
          </cell>
          <cell r="P77">
            <v>240.35199129093709</v>
          </cell>
          <cell r="Q77">
            <v>240.35199129093709</v>
          </cell>
          <cell r="R77">
            <v>240.35199129093709</v>
          </cell>
          <cell r="S77">
            <v>240.35199129093709</v>
          </cell>
          <cell r="T77">
            <v>0</v>
          </cell>
          <cell r="U77">
            <v>0</v>
          </cell>
          <cell r="V77">
            <v>0</v>
          </cell>
          <cell r="W77">
            <v>0</v>
          </cell>
          <cell r="X77">
            <v>0</v>
          </cell>
          <cell r="Y77">
            <v>0</v>
          </cell>
          <cell r="Z77">
            <v>0</v>
          </cell>
          <cell r="AA77">
            <v>0</v>
          </cell>
          <cell r="AB77">
            <v>0</v>
          </cell>
          <cell r="AC77">
            <v>0</v>
          </cell>
          <cell r="AD77">
            <v>0</v>
          </cell>
          <cell r="AE77">
            <v>0</v>
          </cell>
          <cell r="AF77">
            <v>0</v>
          </cell>
        </row>
        <row r="78">
          <cell r="A78" t="str">
            <v>Idaho</v>
          </cell>
          <cell r="B78">
            <v>9775.704218452327</v>
          </cell>
          <cell r="C78">
            <v>10474.353678671869</v>
          </cell>
          <cell r="D78">
            <v>11715.272375941215</v>
          </cell>
          <cell r="E78">
            <v>12174.07154132269</v>
          </cell>
          <cell r="F78">
            <v>12245.802340560647</v>
          </cell>
          <cell r="G78">
            <v>13433.696888324414</v>
          </cell>
          <cell r="H78">
            <v>16613.540288487708</v>
          </cell>
          <cell r="I78">
            <v>18805.845051256463</v>
          </cell>
          <cell r="J78">
            <v>15965.683879161752</v>
          </cell>
          <cell r="K78">
            <v>15469.05368774381</v>
          </cell>
          <cell r="L78">
            <v>15075.593232332394</v>
          </cell>
          <cell r="M78">
            <v>15154.715032205388</v>
          </cell>
          <cell r="N78">
            <v>15853.668293567995</v>
          </cell>
          <cell r="O78">
            <v>17648.978082191778</v>
          </cell>
          <cell r="P78">
            <v>20976.858967613171</v>
          </cell>
          <cell r="Q78">
            <v>22798.187625873175</v>
          </cell>
          <cell r="R78">
            <v>24098.937063415739</v>
          </cell>
          <cell r="S78">
            <v>21561.578030733981</v>
          </cell>
          <cell r="T78">
            <v>0</v>
          </cell>
          <cell r="U78">
            <v>0</v>
          </cell>
          <cell r="V78">
            <v>0</v>
          </cell>
          <cell r="W78">
            <v>0</v>
          </cell>
          <cell r="X78">
            <v>0</v>
          </cell>
          <cell r="Y78">
            <v>0</v>
          </cell>
          <cell r="Z78">
            <v>0</v>
          </cell>
          <cell r="AA78">
            <v>0</v>
          </cell>
          <cell r="AB78">
            <v>0</v>
          </cell>
          <cell r="AC78">
            <v>0</v>
          </cell>
          <cell r="AD78">
            <v>0</v>
          </cell>
          <cell r="AE78">
            <v>0</v>
          </cell>
          <cell r="AF78">
            <v>0</v>
          </cell>
        </row>
        <row r="79">
          <cell r="A79" t="str">
            <v>Illinois</v>
          </cell>
          <cell r="B79">
            <v>20967.652000362876</v>
          </cell>
          <cell r="C79">
            <v>18109.642275242673</v>
          </cell>
          <cell r="D79">
            <v>17152.985448607458</v>
          </cell>
          <cell r="E79">
            <v>17181.603610632319</v>
          </cell>
          <cell r="F79">
            <v>14618.188768937674</v>
          </cell>
          <cell r="G79">
            <v>13846.433148870543</v>
          </cell>
          <cell r="H79">
            <v>12277.088905016783</v>
          </cell>
          <cell r="I79">
            <v>11005.370244035199</v>
          </cell>
          <cell r="J79">
            <v>12467.497214914269</v>
          </cell>
          <cell r="K79">
            <v>9801.8263993468227</v>
          </cell>
          <cell r="L79">
            <v>10147.943409235237</v>
          </cell>
          <cell r="M79">
            <v>11543.170207747438</v>
          </cell>
          <cell r="N79">
            <v>10580.126480994284</v>
          </cell>
          <cell r="O79">
            <v>9890.0926608001446</v>
          </cell>
          <cell r="P79">
            <v>8946.3261544044271</v>
          </cell>
          <cell r="Q79">
            <v>9999.5459856663347</v>
          </cell>
          <cell r="R79">
            <v>13200.204246575595</v>
          </cell>
          <cell r="S79">
            <v>8963.0051857320086</v>
          </cell>
          <cell r="T79">
            <v>0</v>
          </cell>
          <cell r="U79">
            <v>0</v>
          </cell>
          <cell r="V79">
            <v>0</v>
          </cell>
          <cell r="W79">
            <v>0</v>
          </cell>
          <cell r="X79">
            <v>0</v>
          </cell>
          <cell r="Y79">
            <v>0</v>
          </cell>
          <cell r="Z79">
            <v>0</v>
          </cell>
          <cell r="AA79">
            <v>0</v>
          </cell>
          <cell r="AB79">
            <v>0</v>
          </cell>
          <cell r="AC79">
            <v>0</v>
          </cell>
          <cell r="AD79">
            <v>0</v>
          </cell>
          <cell r="AE79">
            <v>0</v>
          </cell>
          <cell r="AF79">
            <v>0</v>
          </cell>
        </row>
        <row r="80">
          <cell r="A80" t="str">
            <v>Indiana</v>
          </cell>
          <cell r="B80">
            <v>13527.279669781366</v>
          </cell>
          <cell r="C80">
            <v>11091.492914814478</v>
          </cell>
          <cell r="D80">
            <v>10645.939762315158</v>
          </cell>
          <cell r="E80">
            <v>9719.6446520910831</v>
          </cell>
          <cell r="F80">
            <v>10180.485983851948</v>
          </cell>
          <cell r="G80">
            <v>9157.7726934591319</v>
          </cell>
          <cell r="H80">
            <v>7607.5844325501221</v>
          </cell>
          <cell r="I80">
            <v>6638.7611720947116</v>
          </cell>
          <cell r="J80">
            <v>7649.0289939217992</v>
          </cell>
          <cell r="K80">
            <v>7323.7244851673768</v>
          </cell>
          <cell r="L80">
            <v>7983.4970697632216</v>
          </cell>
          <cell r="M80">
            <v>9158.664047899847</v>
          </cell>
          <cell r="N80">
            <v>8425.0451419758683</v>
          </cell>
          <cell r="O80">
            <v>8820.6079107321057</v>
          </cell>
          <cell r="P80">
            <v>10231.816819377666</v>
          </cell>
          <cell r="Q80">
            <v>11458.270053524449</v>
          </cell>
          <cell r="R80">
            <v>10359.291481592929</v>
          </cell>
          <cell r="S80">
            <v>10451.344630821319</v>
          </cell>
          <cell r="T80">
            <v>0</v>
          </cell>
          <cell r="U80">
            <v>0</v>
          </cell>
          <cell r="V80">
            <v>0</v>
          </cell>
          <cell r="W80">
            <v>0</v>
          </cell>
          <cell r="X80">
            <v>0</v>
          </cell>
          <cell r="Y80">
            <v>0</v>
          </cell>
          <cell r="Z80">
            <v>0</v>
          </cell>
          <cell r="AA80">
            <v>0</v>
          </cell>
          <cell r="AB80">
            <v>0</v>
          </cell>
          <cell r="AC80">
            <v>0</v>
          </cell>
          <cell r="AD80">
            <v>0</v>
          </cell>
          <cell r="AE80">
            <v>0</v>
          </cell>
          <cell r="AF80">
            <v>0</v>
          </cell>
        </row>
        <row r="81">
          <cell r="A81" t="str">
            <v>Iowa</v>
          </cell>
          <cell r="B81">
            <v>22188.160355620064</v>
          </cell>
          <cell r="C81">
            <v>21190.087743808403</v>
          </cell>
          <cell r="D81">
            <v>22908.322852218091</v>
          </cell>
          <cell r="E81">
            <v>24771.63362061145</v>
          </cell>
          <cell r="F81">
            <v>23118.081266442892</v>
          </cell>
          <cell r="G81">
            <v>24096.986337657625</v>
          </cell>
          <cell r="H81">
            <v>21341.162532885784</v>
          </cell>
          <cell r="I81">
            <v>21027.168719949201</v>
          </cell>
          <cell r="J81">
            <v>21574.648571169371</v>
          </cell>
          <cell r="K81">
            <v>21068.916846593485</v>
          </cell>
          <cell r="L81">
            <v>25681.755093894586</v>
          </cell>
          <cell r="M81">
            <v>32087.147219450242</v>
          </cell>
          <cell r="N81">
            <v>30842.955583779374</v>
          </cell>
          <cell r="O81">
            <v>28049.45265354259</v>
          </cell>
          <cell r="P81">
            <v>28132.907393631496</v>
          </cell>
          <cell r="Q81">
            <v>27321.457606822099</v>
          </cell>
          <cell r="R81">
            <v>27420.177567401533</v>
          </cell>
          <cell r="S81">
            <v>25554.671821846678</v>
          </cell>
          <cell r="T81">
            <v>0</v>
          </cell>
          <cell r="U81">
            <v>0</v>
          </cell>
          <cell r="V81">
            <v>0</v>
          </cell>
          <cell r="W81">
            <v>0</v>
          </cell>
          <cell r="X81">
            <v>0</v>
          </cell>
          <cell r="Y81">
            <v>0</v>
          </cell>
          <cell r="Z81">
            <v>0</v>
          </cell>
          <cell r="AA81">
            <v>0</v>
          </cell>
          <cell r="AB81">
            <v>0</v>
          </cell>
          <cell r="AC81">
            <v>0</v>
          </cell>
          <cell r="AD81">
            <v>0</v>
          </cell>
          <cell r="AE81">
            <v>0</v>
          </cell>
          <cell r="AF81">
            <v>0</v>
          </cell>
        </row>
        <row r="82">
          <cell r="A82" t="str">
            <v>Kansas</v>
          </cell>
          <cell r="B82">
            <v>18569.652871269162</v>
          </cell>
          <cell r="C82">
            <v>15938.439190782909</v>
          </cell>
          <cell r="D82">
            <v>15699.947745622789</v>
          </cell>
          <cell r="E82">
            <v>16927.638827905288</v>
          </cell>
          <cell r="F82">
            <v>16843.796788533065</v>
          </cell>
          <cell r="G82">
            <v>14182.486981765398</v>
          </cell>
          <cell r="H82">
            <v>13022.445196407512</v>
          </cell>
          <cell r="I82">
            <v>18283.85241767214</v>
          </cell>
          <cell r="J82">
            <v>23729.97568719949</v>
          </cell>
          <cell r="K82">
            <v>24103.498720856391</v>
          </cell>
          <cell r="L82">
            <v>28352.205588315344</v>
          </cell>
          <cell r="M82">
            <v>33940.229465662705</v>
          </cell>
          <cell r="N82">
            <v>36997.414333665976</v>
          </cell>
          <cell r="O82">
            <v>36927.291935044901</v>
          </cell>
          <cell r="P82">
            <v>37577.003937222165</v>
          </cell>
          <cell r="Q82">
            <v>35745.776739544584</v>
          </cell>
          <cell r="R82">
            <v>35744.007742140762</v>
          </cell>
          <cell r="S82">
            <v>51334.761837036545</v>
          </cell>
          <cell r="T82">
            <v>0</v>
          </cell>
          <cell r="U82">
            <v>0</v>
          </cell>
          <cell r="V82">
            <v>0</v>
          </cell>
          <cell r="W82">
            <v>0</v>
          </cell>
          <cell r="X82">
            <v>0</v>
          </cell>
          <cell r="Y82">
            <v>0</v>
          </cell>
          <cell r="Z82">
            <v>0</v>
          </cell>
          <cell r="AA82">
            <v>0</v>
          </cell>
          <cell r="AB82">
            <v>0</v>
          </cell>
          <cell r="AC82">
            <v>0</v>
          </cell>
          <cell r="AD82">
            <v>0</v>
          </cell>
          <cell r="AE82">
            <v>0</v>
          </cell>
          <cell r="AF82">
            <v>0</v>
          </cell>
        </row>
        <row r="83">
          <cell r="A83" t="str">
            <v>Kentucky</v>
          </cell>
          <cell r="B83">
            <v>15285.860890864555</v>
          </cell>
          <cell r="C83">
            <v>13779.624494239317</v>
          </cell>
          <cell r="D83">
            <v>14099.424494239316</v>
          </cell>
          <cell r="E83">
            <v>14320.88703619704</v>
          </cell>
          <cell r="F83">
            <v>14110.791327224892</v>
          </cell>
          <cell r="G83">
            <v>12443.347146874718</v>
          </cell>
          <cell r="H83">
            <v>12067.938093078108</v>
          </cell>
          <cell r="I83">
            <v>12415.839698811576</v>
          </cell>
          <cell r="J83">
            <v>13955.045123831987</v>
          </cell>
          <cell r="K83">
            <v>13819.271486891046</v>
          </cell>
          <cell r="L83">
            <v>13265.374544134989</v>
          </cell>
          <cell r="M83">
            <v>12117.856772203573</v>
          </cell>
          <cell r="N83">
            <v>12246.187988750793</v>
          </cell>
          <cell r="O83">
            <v>11952.218397895309</v>
          </cell>
          <cell r="P83">
            <v>11522.559847591401</v>
          </cell>
          <cell r="Q83">
            <v>10232.39611720947</v>
          </cell>
          <cell r="R83">
            <v>11579.270742432509</v>
          </cell>
          <cell r="S83">
            <v>10870.379996743142</v>
          </cell>
          <cell r="T83">
            <v>0</v>
          </cell>
          <cell r="U83">
            <v>0</v>
          </cell>
          <cell r="V83">
            <v>0</v>
          </cell>
          <cell r="W83">
            <v>0</v>
          </cell>
          <cell r="X83">
            <v>0</v>
          </cell>
          <cell r="Y83">
            <v>0</v>
          </cell>
          <cell r="Z83">
            <v>0</v>
          </cell>
          <cell r="AA83">
            <v>0</v>
          </cell>
          <cell r="AB83">
            <v>0</v>
          </cell>
          <cell r="AC83">
            <v>0</v>
          </cell>
          <cell r="AD83">
            <v>0</v>
          </cell>
          <cell r="AE83">
            <v>0</v>
          </cell>
          <cell r="AF83">
            <v>0</v>
          </cell>
        </row>
        <row r="84">
          <cell r="A84" t="str">
            <v>Louisiana</v>
          </cell>
          <cell r="B84">
            <v>9308.5965163748515</v>
          </cell>
          <cell r="C84">
            <v>6836.7831443345731</v>
          </cell>
          <cell r="D84">
            <v>7768.6768756236952</v>
          </cell>
          <cell r="E84">
            <v>7595.2165653633319</v>
          </cell>
          <cell r="F84">
            <v>8287.657207656719</v>
          </cell>
          <cell r="G84">
            <v>7611.9312891227428</v>
          </cell>
          <cell r="H84">
            <v>8222.6279597205848</v>
          </cell>
          <cell r="I84">
            <v>8875.3105143790253</v>
          </cell>
          <cell r="J84">
            <v>11381.122961081375</v>
          </cell>
          <cell r="K84">
            <v>11400.445468565726</v>
          </cell>
          <cell r="L84">
            <v>11266.78829719677</v>
          </cell>
          <cell r="M84">
            <v>11148.388406060054</v>
          </cell>
          <cell r="N84">
            <v>13064.380604191236</v>
          </cell>
          <cell r="O84">
            <v>13385.761879706068</v>
          </cell>
          <cell r="P84">
            <v>13331.486201578518</v>
          </cell>
          <cell r="Q84">
            <v>12184.339689739634</v>
          </cell>
          <cell r="R84">
            <v>9446.795670211528</v>
          </cell>
          <cell r="S84">
            <v>12612.256243153583</v>
          </cell>
          <cell r="T84">
            <v>0</v>
          </cell>
          <cell r="U84">
            <v>0</v>
          </cell>
          <cell r="V84">
            <v>0</v>
          </cell>
          <cell r="W84">
            <v>0</v>
          </cell>
          <cell r="X84">
            <v>0</v>
          </cell>
          <cell r="Y84">
            <v>0</v>
          </cell>
          <cell r="Z84">
            <v>0</v>
          </cell>
          <cell r="AA84">
            <v>0</v>
          </cell>
          <cell r="AB84">
            <v>0</v>
          </cell>
          <cell r="AC84">
            <v>0</v>
          </cell>
          <cell r="AD84">
            <v>0</v>
          </cell>
          <cell r="AE84">
            <v>0</v>
          </cell>
          <cell r="AF84">
            <v>0</v>
          </cell>
        </row>
        <row r="85">
          <cell r="A85" t="str">
            <v>Maine</v>
          </cell>
          <cell r="B85">
            <v>365.54825365145609</v>
          </cell>
          <cell r="C85">
            <v>514.61153950830078</v>
          </cell>
          <cell r="D85">
            <v>780.64770026308622</v>
          </cell>
          <cell r="E85">
            <v>582.383960809217</v>
          </cell>
          <cell r="F85">
            <v>430.94687471650184</v>
          </cell>
          <cell r="G85">
            <v>453.72181801687378</v>
          </cell>
          <cell r="H85">
            <v>569.5037829991835</v>
          </cell>
          <cell r="I85">
            <v>718.63382019413962</v>
          </cell>
          <cell r="J85">
            <v>793.36300462668964</v>
          </cell>
          <cell r="K85">
            <v>804.77819105506671</v>
          </cell>
          <cell r="L85">
            <v>622.46519096434736</v>
          </cell>
          <cell r="M85">
            <v>703.61948652816818</v>
          </cell>
          <cell r="N85">
            <v>796.48805225437718</v>
          </cell>
          <cell r="O85">
            <v>874.81520457225804</v>
          </cell>
          <cell r="P85">
            <v>1050.4868003265897</v>
          </cell>
          <cell r="Q85">
            <v>1266.2158033203302</v>
          </cell>
          <cell r="R85">
            <v>1557.5168604097375</v>
          </cell>
          <cell r="S85">
            <v>1440.2249841241041</v>
          </cell>
          <cell r="T85">
            <v>0</v>
          </cell>
          <cell r="U85">
            <v>0</v>
          </cell>
          <cell r="V85">
            <v>0</v>
          </cell>
          <cell r="W85">
            <v>0</v>
          </cell>
          <cell r="X85">
            <v>0</v>
          </cell>
          <cell r="Y85">
            <v>0</v>
          </cell>
          <cell r="Z85">
            <v>0</v>
          </cell>
          <cell r="AA85">
            <v>0</v>
          </cell>
          <cell r="AB85">
            <v>0</v>
          </cell>
          <cell r="AC85">
            <v>0</v>
          </cell>
          <cell r="AD85">
            <v>0</v>
          </cell>
          <cell r="AE85">
            <v>0</v>
          </cell>
          <cell r="AF85">
            <v>0</v>
          </cell>
        </row>
        <row r="86">
          <cell r="A86" t="str">
            <v>Maryland</v>
          </cell>
          <cell r="B86">
            <v>807.18147509752328</v>
          </cell>
          <cell r="C86">
            <v>1113.5316701442439</v>
          </cell>
          <cell r="D86">
            <v>1182.5016057334662</v>
          </cell>
          <cell r="E86">
            <v>1112.1579606277783</v>
          </cell>
          <cell r="F86">
            <v>1239.2206658804319</v>
          </cell>
          <cell r="G86">
            <v>1023.636487344643</v>
          </cell>
          <cell r="H86">
            <v>1181.2639934682027</v>
          </cell>
          <cell r="I86">
            <v>1452.7435725301641</v>
          </cell>
          <cell r="J86">
            <v>1361.6721037829993</v>
          </cell>
          <cell r="K86">
            <v>1416.060763857389</v>
          </cell>
          <cell r="L86">
            <v>1693.5880613263178</v>
          </cell>
          <cell r="M86">
            <v>1455.9808944933322</v>
          </cell>
          <cell r="N86">
            <v>1456.0117935226347</v>
          </cell>
          <cell r="O86">
            <v>1335.6169100970696</v>
          </cell>
          <cell r="P86">
            <v>1807.1132178172911</v>
          </cell>
          <cell r="Q86">
            <v>1186.702694366325</v>
          </cell>
          <cell r="R86">
            <v>858.87780408185904</v>
          </cell>
          <cell r="S86">
            <v>806.14006181506966</v>
          </cell>
          <cell r="T86">
            <v>0</v>
          </cell>
          <cell r="U86">
            <v>0</v>
          </cell>
          <cell r="V86">
            <v>0</v>
          </cell>
          <cell r="W86">
            <v>0</v>
          </cell>
          <cell r="X86">
            <v>0</v>
          </cell>
          <cell r="Y86">
            <v>0</v>
          </cell>
          <cell r="Z86">
            <v>0</v>
          </cell>
          <cell r="AA86">
            <v>0</v>
          </cell>
          <cell r="AB86">
            <v>0</v>
          </cell>
          <cell r="AC86">
            <v>0</v>
          </cell>
          <cell r="AD86">
            <v>0</v>
          </cell>
          <cell r="AE86">
            <v>0</v>
          </cell>
          <cell r="AF86">
            <v>0</v>
          </cell>
        </row>
        <row r="87">
          <cell r="A87" t="str">
            <v>Massachusetts</v>
          </cell>
          <cell r="B87">
            <v>468.06604372675315</v>
          </cell>
          <cell r="C87">
            <v>451.80796516374852</v>
          </cell>
          <cell r="D87">
            <v>471.8732287036197</v>
          </cell>
          <cell r="E87">
            <v>368.39025673591578</v>
          </cell>
          <cell r="F87">
            <v>386.34731016964525</v>
          </cell>
          <cell r="G87">
            <v>494.08019595391448</v>
          </cell>
          <cell r="H87">
            <v>319.11573981674684</v>
          </cell>
          <cell r="I87">
            <v>349.11987662160936</v>
          </cell>
          <cell r="J87">
            <v>452.75239045631866</v>
          </cell>
          <cell r="K87">
            <v>683.83467295654543</v>
          </cell>
          <cell r="L87">
            <v>577.05564728295383</v>
          </cell>
          <cell r="M87">
            <v>573.09090084369041</v>
          </cell>
          <cell r="N87">
            <v>395.04574072394087</v>
          </cell>
          <cell r="O87">
            <v>356.60074389912006</v>
          </cell>
          <cell r="P87">
            <v>514.55964800870902</v>
          </cell>
          <cell r="Q87">
            <v>529.36971786265076</v>
          </cell>
          <cell r="R87">
            <v>381.82651135796016</v>
          </cell>
          <cell r="S87">
            <v>634.98554918678849</v>
          </cell>
          <cell r="T87">
            <v>0</v>
          </cell>
          <cell r="U87">
            <v>0</v>
          </cell>
          <cell r="V87">
            <v>0</v>
          </cell>
          <cell r="W87">
            <v>0</v>
          </cell>
          <cell r="X87">
            <v>0</v>
          </cell>
          <cell r="Y87">
            <v>0</v>
          </cell>
          <cell r="Z87">
            <v>0</v>
          </cell>
          <cell r="AA87">
            <v>0</v>
          </cell>
          <cell r="AB87">
            <v>0</v>
          </cell>
          <cell r="AC87">
            <v>0</v>
          </cell>
          <cell r="AD87">
            <v>0</v>
          </cell>
          <cell r="AE87">
            <v>0</v>
          </cell>
          <cell r="AF87">
            <v>0</v>
          </cell>
        </row>
        <row r="88">
          <cell r="A88" t="str">
            <v>Michigan</v>
          </cell>
          <cell r="B88">
            <v>12964.921818016874</v>
          </cell>
          <cell r="C88">
            <v>12077.260165109317</v>
          </cell>
          <cell r="D88">
            <v>11428.660292116483</v>
          </cell>
          <cell r="E88">
            <v>11478.056754059693</v>
          </cell>
          <cell r="F88">
            <v>11964.173255919441</v>
          </cell>
          <cell r="G88">
            <v>10834.012011249206</v>
          </cell>
          <cell r="H88">
            <v>10095.406568084913</v>
          </cell>
          <cell r="I88">
            <v>10322.266061870632</v>
          </cell>
          <cell r="J88">
            <v>10842.747945205479</v>
          </cell>
          <cell r="K88">
            <v>12807.969373128914</v>
          </cell>
          <cell r="L88">
            <v>14226.331289122743</v>
          </cell>
          <cell r="M88">
            <v>12860.437340107048</v>
          </cell>
          <cell r="N88">
            <v>12677.959702440352</v>
          </cell>
          <cell r="O88">
            <v>13748.441241041459</v>
          </cell>
          <cell r="P88">
            <v>14606.789385829628</v>
          </cell>
          <cell r="Q88">
            <v>12741.398004173094</v>
          </cell>
          <cell r="R88">
            <v>12723.83423044174</v>
          </cell>
          <cell r="S88">
            <v>14450.548182715322</v>
          </cell>
          <cell r="T88">
            <v>0</v>
          </cell>
          <cell r="U88">
            <v>0</v>
          </cell>
          <cell r="V88">
            <v>0</v>
          </cell>
          <cell r="W88">
            <v>0</v>
          </cell>
          <cell r="X88">
            <v>0</v>
          </cell>
          <cell r="Y88">
            <v>0</v>
          </cell>
          <cell r="Z88">
            <v>0</v>
          </cell>
          <cell r="AA88">
            <v>0</v>
          </cell>
          <cell r="AB88">
            <v>0</v>
          </cell>
          <cell r="AC88">
            <v>0</v>
          </cell>
          <cell r="AD88">
            <v>0</v>
          </cell>
          <cell r="AE88">
            <v>0</v>
          </cell>
          <cell r="AF88">
            <v>0</v>
          </cell>
        </row>
        <row r="89">
          <cell r="A89" t="str">
            <v>Minnesota</v>
          </cell>
          <cell r="B89">
            <v>38145.795155583779</v>
          </cell>
          <cell r="C89">
            <v>36526.751827996013</v>
          </cell>
          <cell r="D89">
            <v>40121.361153950835</v>
          </cell>
          <cell r="E89">
            <v>44554.152644470654</v>
          </cell>
          <cell r="F89">
            <v>51826.363966252378</v>
          </cell>
          <cell r="G89">
            <v>58025.324394447969</v>
          </cell>
          <cell r="H89">
            <v>54219.994774562278</v>
          </cell>
          <cell r="I89">
            <v>53722.593286764037</v>
          </cell>
          <cell r="J89">
            <v>55897.070017236692</v>
          </cell>
          <cell r="K89">
            <v>53443.617508845142</v>
          </cell>
          <cell r="L89">
            <v>55204.570643200575</v>
          </cell>
          <cell r="M89">
            <v>56181.623659620789</v>
          </cell>
          <cell r="N89">
            <v>59379.78829719677</v>
          </cell>
          <cell r="O89">
            <v>65899.816764946023</v>
          </cell>
          <cell r="P89">
            <v>69856.711312709798</v>
          </cell>
          <cell r="Q89">
            <v>62683.564165835065</v>
          </cell>
          <cell r="R89">
            <v>57746.742797929655</v>
          </cell>
          <cell r="S89">
            <v>75511.762146739275</v>
          </cell>
          <cell r="T89">
            <v>0</v>
          </cell>
          <cell r="U89">
            <v>0</v>
          </cell>
          <cell r="V89">
            <v>0</v>
          </cell>
          <cell r="W89">
            <v>0</v>
          </cell>
          <cell r="X89">
            <v>0</v>
          </cell>
          <cell r="Y89">
            <v>0</v>
          </cell>
          <cell r="Z89">
            <v>0</v>
          </cell>
          <cell r="AA89">
            <v>0</v>
          </cell>
          <cell r="AB89">
            <v>0</v>
          </cell>
          <cell r="AC89">
            <v>0</v>
          </cell>
          <cell r="AD89">
            <v>0</v>
          </cell>
          <cell r="AE89">
            <v>0</v>
          </cell>
          <cell r="AF89">
            <v>0</v>
          </cell>
        </row>
        <row r="90">
          <cell r="A90" t="str">
            <v>Mississippi</v>
          </cell>
          <cell r="B90">
            <v>10240.030300281231</v>
          </cell>
          <cell r="C90">
            <v>9279.5500136079099</v>
          </cell>
          <cell r="D90">
            <v>9409.1754513290398</v>
          </cell>
          <cell r="E90">
            <v>8259.3499228885066</v>
          </cell>
          <cell r="F90">
            <v>6687.4174725573803</v>
          </cell>
          <cell r="G90">
            <v>7739.4397895309803</v>
          </cell>
          <cell r="H90">
            <v>10471.654613081739</v>
          </cell>
          <cell r="I90">
            <v>8984.0746257824558</v>
          </cell>
          <cell r="J90">
            <v>9169.4506395718035</v>
          </cell>
          <cell r="K90">
            <v>9217.367722035744</v>
          </cell>
          <cell r="L90">
            <v>8638.0238954912475</v>
          </cell>
          <cell r="M90">
            <v>9254.671577610452</v>
          </cell>
          <cell r="N90">
            <v>10068.114941485983</v>
          </cell>
          <cell r="O90">
            <v>8961.0600381021486</v>
          </cell>
          <cell r="P90">
            <v>8041.8400979769567</v>
          </cell>
          <cell r="Q90">
            <v>8860.9552027578684</v>
          </cell>
          <cell r="R90">
            <v>12240.317938966837</v>
          </cell>
          <cell r="S90">
            <v>6807.4614433829647</v>
          </cell>
          <cell r="T90">
            <v>0</v>
          </cell>
          <cell r="U90">
            <v>0</v>
          </cell>
          <cell r="V90">
            <v>0</v>
          </cell>
          <cell r="W90">
            <v>0</v>
          </cell>
          <cell r="X90">
            <v>0</v>
          </cell>
          <cell r="Y90">
            <v>0</v>
          </cell>
          <cell r="Z90">
            <v>0</v>
          </cell>
          <cell r="AA90">
            <v>0</v>
          </cell>
          <cell r="AB90">
            <v>0</v>
          </cell>
          <cell r="AC90">
            <v>0</v>
          </cell>
          <cell r="AD90">
            <v>0</v>
          </cell>
          <cell r="AE90">
            <v>0</v>
          </cell>
          <cell r="AF90">
            <v>0</v>
          </cell>
        </row>
        <row r="91">
          <cell r="A91" t="str">
            <v>Missouri</v>
          </cell>
          <cell r="B91">
            <v>31121.194738274517</v>
          </cell>
          <cell r="C91">
            <v>26892.445341558559</v>
          </cell>
          <cell r="D91">
            <v>27159.130853669598</v>
          </cell>
          <cell r="E91">
            <v>27174.818833348454</v>
          </cell>
          <cell r="F91">
            <v>24846.545840515286</v>
          </cell>
          <cell r="G91">
            <v>21457.495727116027</v>
          </cell>
          <cell r="H91">
            <v>19294.166470107954</v>
          </cell>
          <cell r="I91">
            <v>21066.942139163566</v>
          </cell>
          <cell r="J91">
            <v>23025.453760319331</v>
          </cell>
          <cell r="K91">
            <v>21875.823532613624</v>
          </cell>
          <cell r="L91">
            <v>21725.424748253652</v>
          </cell>
          <cell r="M91">
            <v>23769.333030935319</v>
          </cell>
          <cell r="N91">
            <v>23490.410795609179</v>
          </cell>
          <cell r="O91">
            <v>23400.552408600201</v>
          </cell>
          <cell r="P91">
            <v>25165.103274970515</v>
          </cell>
          <cell r="Q91">
            <v>24086.328531252839</v>
          </cell>
          <cell r="R91">
            <v>26834.406777423181</v>
          </cell>
          <cell r="S91">
            <v>33983.004744853853</v>
          </cell>
          <cell r="T91">
            <v>0</v>
          </cell>
          <cell r="U91">
            <v>0</v>
          </cell>
          <cell r="V91">
            <v>0</v>
          </cell>
          <cell r="W91">
            <v>0</v>
          </cell>
          <cell r="X91">
            <v>0</v>
          </cell>
          <cell r="Y91">
            <v>0</v>
          </cell>
          <cell r="Z91">
            <v>0</v>
          </cell>
          <cell r="AA91">
            <v>0</v>
          </cell>
          <cell r="AB91">
            <v>0</v>
          </cell>
          <cell r="AC91">
            <v>0</v>
          </cell>
          <cell r="AD91">
            <v>0</v>
          </cell>
          <cell r="AE91">
            <v>0</v>
          </cell>
          <cell r="AF91">
            <v>0</v>
          </cell>
        </row>
        <row r="92">
          <cell r="A92" t="str">
            <v>Montana</v>
          </cell>
          <cell r="B92">
            <v>8379.6072938401521</v>
          </cell>
          <cell r="C92">
            <v>8956.6693096253275</v>
          </cell>
          <cell r="D92">
            <v>11208.060328404245</v>
          </cell>
          <cell r="E92">
            <v>11866.578553932686</v>
          </cell>
          <cell r="F92">
            <v>12716.147364601289</v>
          </cell>
          <cell r="G92">
            <v>15863.939744171277</v>
          </cell>
          <cell r="H92">
            <v>19960.847464392631</v>
          </cell>
          <cell r="I92">
            <v>21999.740905379658</v>
          </cell>
          <cell r="J92">
            <v>24547.208309897487</v>
          </cell>
          <cell r="K92">
            <v>23815.706813027304</v>
          </cell>
          <cell r="L92">
            <v>23597.193123469111</v>
          </cell>
          <cell r="M92">
            <v>21025.761045087544</v>
          </cell>
          <cell r="N92">
            <v>22186.253814750977</v>
          </cell>
          <cell r="O92">
            <v>20857.58564819015</v>
          </cell>
          <cell r="P92">
            <v>19454.263304000724</v>
          </cell>
          <cell r="Q92">
            <v>18160.84715594666</v>
          </cell>
          <cell r="R92">
            <v>23613.302424015903</v>
          </cell>
          <cell r="S92">
            <v>37871.575041998047</v>
          </cell>
          <cell r="T92">
            <v>0</v>
          </cell>
          <cell r="U92">
            <v>0</v>
          </cell>
          <cell r="V92">
            <v>0</v>
          </cell>
          <cell r="W92">
            <v>0</v>
          </cell>
          <cell r="X92">
            <v>0</v>
          </cell>
          <cell r="Y92">
            <v>0</v>
          </cell>
          <cell r="Z92">
            <v>0</v>
          </cell>
          <cell r="AA92">
            <v>0</v>
          </cell>
          <cell r="AB92">
            <v>0</v>
          </cell>
          <cell r="AC92">
            <v>0</v>
          </cell>
          <cell r="AD92">
            <v>0</v>
          </cell>
          <cell r="AE92">
            <v>0</v>
          </cell>
          <cell r="AF92">
            <v>0</v>
          </cell>
        </row>
        <row r="93">
          <cell r="A93" t="str">
            <v>Nebraska</v>
          </cell>
          <cell r="B93">
            <v>7386.0537240315698</v>
          </cell>
          <cell r="C93">
            <v>6578.7302549215274</v>
          </cell>
          <cell r="D93">
            <v>7494.7473101696451</v>
          </cell>
          <cell r="E93">
            <v>9345.5857207656718</v>
          </cell>
          <cell r="F93">
            <v>9731.3251927787351</v>
          </cell>
          <cell r="G93">
            <v>9564.6164383561645</v>
          </cell>
          <cell r="H93">
            <v>8614.3722217182258</v>
          </cell>
          <cell r="I93">
            <v>10118.519042003085</v>
          </cell>
          <cell r="J93">
            <v>11429.348797967887</v>
          </cell>
          <cell r="K93">
            <v>12011.157706613443</v>
          </cell>
          <cell r="L93">
            <v>12813.677909824914</v>
          </cell>
          <cell r="M93">
            <v>15342.912764220266</v>
          </cell>
          <cell r="N93">
            <v>16263.287761952281</v>
          </cell>
          <cell r="O93">
            <v>16284.658568447789</v>
          </cell>
          <cell r="P93">
            <v>16447.858278145693</v>
          </cell>
          <cell r="Q93">
            <v>15814.631026036468</v>
          </cell>
          <cell r="R93">
            <v>17299.937331091587</v>
          </cell>
          <cell r="S93">
            <v>16251.542360433925</v>
          </cell>
          <cell r="T93">
            <v>0</v>
          </cell>
          <cell r="U93">
            <v>0</v>
          </cell>
          <cell r="V93">
            <v>0</v>
          </cell>
          <cell r="W93">
            <v>0</v>
          </cell>
          <cell r="X93">
            <v>0</v>
          </cell>
          <cell r="Y93">
            <v>0</v>
          </cell>
          <cell r="Z93">
            <v>0</v>
          </cell>
          <cell r="AA93">
            <v>0</v>
          </cell>
          <cell r="AB93">
            <v>0</v>
          </cell>
          <cell r="AC93">
            <v>0</v>
          </cell>
          <cell r="AD93">
            <v>0</v>
          </cell>
          <cell r="AE93">
            <v>0</v>
          </cell>
          <cell r="AF93">
            <v>0</v>
          </cell>
        </row>
        <row r="94">
          <cell r="A94" t="str">
            <v>Nevada</v>
          </cell>
          <cell r="B94">
            <v>26.380223169736009</v>
          </cell>
          <cell r="C94">
            <v>32.117771931416129</v>
          </cell>
          <cell r="D94">
            <v>21.162532885784266</v>
          </cell>
          <cell r="E94">
            <v>21.234709244307357</v>
          </cell>
          <cell r="F94">
            <v>45.702494783634222</v>
          </cell>
          <cell r="G94">
            <v>75.496942756055518</v>
          </cell>
          <cell r="H94">
            <v>67.880921709153583</v>
          </cell>
          <cell r="I94">
            <v>103.88961262814117</v>
          </cell>
          <cell r="J94">
            <v>128.52651728204663</v>
          </cell>
          <cell r="K94">
            <v>106.63915449514651</v>
          </cell>
          <cell r="L94">
            <v>121.81411593939943</v>
          </cell>
          <cell r="M94">
            <v>142.46551755420484</v>
          </cell>
          <cell r="N94">
            <v>177.81235598294475</v>
          </cell>
          <cell r="O94">
            <v>131.14562278871449</v>
          </cell>
          <cell r="P94">
            <v>142.25229066497323</v>
          </cell>
          <cell r="Q94">
            <v>147.57164111403426</v>
          </cell>
          <cell r="R94">
            <v>234.68881282483133</v>
          </cell>
          <cell r="S94">
            <v>148.49884958314817</v>
          </cell>
          <cell r="T94">
            <v>0</v>
          </cell>
          <cell r="U94">
            <v>0</v>
          </cell>
          <cell r="V94">
            <v>0</v>
          </cell>
          <cell r="W94">
            <v>0</v>
          </cell>
          <cell r="X94">
            <v>0</v>
          </cell>
          <cell r="Y94">
            <v>0</v>
          </cell>
          <cell r="Z94">
            <v>0</v>
          </cell>
          <cell r="AA94">
            <v>0</v>
          </cell>
          <cell r="AB94">
            <v>0</v>
          </cell>
          <cell r="AC94">
            <v>0</v>
          </cell>
          <cell r="AD94">
            <v>0</v>
          </cell>
          <cell r="AE94">
            <v>0</v>
          </cell>
          <cell r="AF94">
            <v>0</v>
          </cell>
        </row>
        <row r="95">
          <cell r="A95" t="str">
            <v>New Hampshire</v>
          </cell>
          <cell r="B95">
            <v>81.813081738183811</v>
          </cell>
          <cell r="C95">
            <v>60.38071305452236</v>
          </cell>
          <cell r="D95">
            <v>94.363512655356971</v>
          </cell>
          <cell r="E95">
            <v>164.71093168828813</v>
          </cell>
          <cell r="F95">
            <v>185.2495872267078</v>
          </cell>
          <cell r="G95">
            <v>191.3675950285766</v>
          </cell>
          <cell r="H95">
            <v>141.73479089177175</v>
          </cell>
          <cell r="I95">
            <v>102.42061144878889</v>
          </cell>
          <cell r="J95">
            <v>129.23837430826453</v>
          </cell>
          <cell r="K95">
            <v>128.82984668420573</v>
          </cell>
          <cell r="L95">
            <v>128.08025038555746</v>
          </cell>
          <cell r="M95">
            <v>121.41879706069128</v>
          </cell>
          <cell r="N95">
            <v>65.918007801868825</v>
          </cell>
          <cell r="O95">
            <v>49.890846412047537</v>
          </cell>
          <cell r="P95">
            <v>69.848788895944836</v>
          </cell>
          <cell r="Q95">
            <v>89.643744897033471</v>
          </cell>
          <cell r="R95">
            <v>59.970728293485799</v>
          </cell>
          <cell r="S95">
            <v>53.706939183978967</v>
          </cell>
          <cell r="T95">
            <v>0</v>
          </cell>
          <cell r="U95">
            <v>0</v>
          </cell>
          <cell r="V95">
            <v>0</v>
          </cell>
          <cell r="W95">
            <v>0</v>
          </cell>
          <cell r="X95">
            <v>0</v>
          </cell>
          <cell r="Y95">
            <v>0</v>
          </cell>
          <cell r="Z95">
            <v>0</v>
          </cell>
          <cell r="AA95">
            <v>0</v>
          </cell>
          <cell r="AB95">
            <v>0</v>
          </cell>
          <cell r="AC95">
            <v>0</v>
          </cell>
          <cell r="AD95">
            <v>0</v>
          </cell>
          <cell r="AE95">
            <v>0</v>
          </cell>
          <cell r="AF95">
            <v>0</v>
          </cell>
        </row>
        <row r="96">
          <cell r="A96" t="str">
            <v>New Jersey</v>
          </cell>
          <cell r="B96">
            <v>811.70712147328322</v>
          </cell>
          <cell r="C96">
            <v>639.5257008074027</v>
          </cell>
          <cell r="D96">
            <v>302.08235507575068</v>
          </cell>
          <cell r="E96">
            <v>331.65508482264357</v>
          </cell>
          <cell r="F96">
            <v>288.35280776558108</v>
          </cell>
          <cell r="G96">
            <v>282.47397260273971</v>
          </cell>
          <cell r="H96">
            <v>358.19145423206021</v>
          </cell>
          <cell r="I96">
            <v>398.356654268348</v>
          </cell>
          <cell r="J96">
            <v>538.52078381565821</v>
          </cell>
          <cell r="K96">
            <v>759.48634672956541</v>
          </cell>
          <cell r="L96">
            <v>627.05617345550218</v>
          </cell>
          <cell r="M96">
            <v>665.71203846502772</v>
          </cell>
          <cell r="N96">
            <v>827.54770933502675</v>
          </cell>
          <cell r="O96">
            <v>789.6551211104055</v>
          </cell>
          <cell r="P96">
            <v>642.41983126190701</v>
          </cell>
          <cell r="Q96">
            <v>553.35231788079477</v>
          </cell>
          <cell r="R96">
            <v>566.79359301418458</v>
          </cell>
          <cell r="S96">
            <v>497.35375964726614</v>
          </cell>
          <cell r="T96">
            <v>0</v>
          </cell>
          <cell r="U96">
            <v>0</v>
          </cell>
          <cell r="V96">
            <v>0</v>
          </cell>
          <cell r="W96">
            <v>0</v>
          </cell>
          <cell r="X96">
            <v>0</v>
          </cell>
          <cell r="Y96">
            <v>0</v>
          </cell>
          <cell r="Z96">
            <v>0</v>
          </cell>
          <cell r="AA96">
            <v>0</v>
          </cell>
          <cell r="AB96">
            <v>0</v>
          </cell>
          <cell r="AC96">
            <v>0</v>
          </cell>
          <cell r="AD96">
            <v>0</v>
          </cell>
          <cell r="AE96">
            <v>0</v>
          </cell>
          <cell r="AF96">
            <v>0</v>
          </cell>
        </row>
        <row r="97">
          <cell r="A97" t="str">
            <v>New Mexico</v>
          </cell>
          <cell r="B97">
            <v>1738.3411775378754</v>
          </cell>
          <cell r="C97">
            <v>2027.9124920620518</v>
          </cell>
          <cell r="D97">
            <v>1335.7534790891771</v>
          </cell>
          <cell r="E97">
            <v>1210.3951737276602</v>
          </cell>
          <cell r="F97">
            <v>1429.0164202122833</v>
          </cell>
          <cell r="G97">
            <v>1285.2547945205479</v>
          </cell>
          <cell r="H97">
            <v>1338.6254377211287</v>
          </cell>
          <cell r="I97">
            <v>889.92836795790618</v>
          </cell>
          <cell r="J97">
            <v>1097.1870271251021</v>
          </cell>
          <cell r="K97">
            <v>1520.9332486618887</v>
          </cell>
          <cell r="L97">
            <v>1099.0315340651366</v>
          </cell>
          <cell r="M97">
            <v>1279.6474462487527</v>
          </cell>
          <cell r="N97">
            <v>1744.078962170008</v>
          </cell>
          <cell r="O97">
            <v>1332.2569354985033</v>
          </cell>
          <cell r="P97">
            <v>1508.1677038918626</v>
          </cell>
          <cell r="Q97">
            <v>2141.0461036015604</v>
          </cell>
          <cell r="R97">
            <v>1234.3397465603302</v>
          </cell>
          <cell r="S97">
            <v>1679.685814716845</v>
          </cell>
          <cell r="T97">
            <v>0</v>
          </cell>
          <cell r="U97">
            <v>0</v>
          </cell>
          <cell r="V97">
            <v>0</v>
          </cell>
          <cell r="W97">
            <v>0</v>
          </cell>
          <cell r="X97">
            <v>0</v>
          </cell>
          <cell r="Y97">
            <v>0</v>
          </cell>
          <cell r="Z97">
            <v>0</v>
          </cell>
          <cell r="AA97">
            <v>0</v>
          </cell>
          <cell r="AB97">
            <v>0</v>
          </cell>
          <cell r="AC97">
            <v>0</v>
          </cell>
          <cell r="AD97">
            <v>0</v>
          </cell>
          <cell r="AE97">
            <v>0</v>
          </cell>
          <cell r="AF97">
            <v>0</v>
          </cell>
        </row>
        <row r="98">
          <cell r="A98" t="str">
            <v>New York</v>
          </cell>
          <cell r="B98">
            <v>3431.5452417672136</v>
          </cell>
          <cell r="C98">
            <v>3920.7580150594213</v>
          </cell>
          <cell r="D98">
            <v>5673.6703256826631</v>
          </cell>
          <cell r="E98">
            <v>6255.1108046811214</v>
          </cell>
          <cell r="F98">
            <v>5827.3203483625148</v>
          </cell>
          <cell r="G98">
            <v>3758.9374398983941</v>
          </cell>
          <cell r="H98">
            <v>3363.6237503401976</v>
          </cell>
          <cell r="I98">
            <v>4009.6941485983853</v>
          </cell>
          <cell r="J98">
            <v>6029.1525718951279</v>
          </cell>
          <cell r="K98">
            <v>6559.1704617617706</v>
          </cell>
          <cell r="L98">
            <v>5191.0838610178726</v>
          </cell>
          <cell r="M98">
            <v>4866.3355347908919</v>
          </cell>
          <cell r="N98">
            <v>3766.0477546947295</v>
          </cell>
          <cell r="O98">
            <v>3852.8940760228611</v>
          </cell>
          <cell r="P98">
            <v>4321.5788079470203</v>
          </cell>
          <cell r="Q98">
            <v>4077.2830626871091</v>
          </cell>
          <cell r="R98">
            <v>4589.2068235561946</v>
          </cell>
          <cell r="S98">
            <v>3252.7426439620126</v>
          </cell>
          <cell r="T98">
            <v>0</v>
          </cell>
          <cell r="U98">
            <v>0</v>
          </cell>
          <cell r="V98">
            <v>0</v>
          </cell>
          <cell r="W98">
            <v>0</v>
          </cell>
          <cell r="X98">
            <v>0</v>
          </cell>
          <cell r="Y98">
            <v>0</v>
          </cell>
          <cell r="Z98">
            <v>0</v>
          </cell>
          <cell r="AA98">
            <v>0</v>
          </cell>
          <cell r="AB98">
            <v>0</v>
          </cell>
          <cell r="AC98">
            <v>0</v>
          </cell>
          <cell r="AD98">
            <v>0</v>
          </cell>
          <cell r="AE98">
            <v>0</v>
          </cell>
          <cell r="AF98">
            <v>0</v>
          </cell>
        </row>
        <row r="99">
          <cell r="A99" t="str">
            <v>North Carolina</v>
          </cell>
          <cell r="B99">
            <v>1318.7712782364149</v>
          </cell>
          <cell r="C99">
            <v>1153.4468475006804</v>
          </cell>
          <cell r="D99">
            <v>1277.9366778553933</v>
          </cell>
          <cell r="E99">
            <v>1295.8800508028667</v>
          </cell>
          <cell r="F99">
            <v>1715.9068311711876</v>
          </cell>
          <cell r="G99">
            <v>2466.6018143880979</v>
          </cell>
          <cell r="H99">
            <v>1890.4561553116212</v>
          </cell>
          <cell r="I99">
            <v>1966.3132722489338</v>
          </cell>
          <cell r="J99">
            <v>1898.3717318334391</v>
          </cell>
          <cell r="K99">
            <v>1562.4471559466569</v>
          </cell>
          <cell r="L99">
            <v>1500.7767032568265</v>
          </cell>
          <cell r="M99">
            <v>1902.9445522997369</v>
          </cell>
          <cell r="N99">
            <v>2006.0940034473372</v>
          </cell>
          <cell r="O99">
            <v>2053.5266080014512</v>
          </cell>
          <cell r="P99">
            <v>2074.9398711784447</v>
          </cell>
          <cell r="Q99">
            <v>1983.4049169917446</v>
          </cell>
          <cell r="R99">
            <v>2396.4718160038801</v>
          </cell>
          <cell r="S99">
            <v>1850.5163596606158</v>
          </cell>
          <cell r="T99">
            <v>0</v>
          </cell>
          <cell r="U99">
            <v>0</v>
          </cell>
          <cell r="V99">
            <v>0</v>
          </cell>
          <cell r="W99">
            <v>0</v>
          </cell>
          <cell r="X99">
            <v>0</v>
          </cell>
          <cell r="Y99">
            <v>0</v>
          </cell>
          <cell r="Z99">
            <v>0</v>
          </cell>
          <cell r="AA99">
            <v>0</v>
          </cell>
          <cell r="AB99">
            <v>0</v>
          </cell>
          <cell r="AC99">
            <v>0</v>
          </cell>
          <cell r="AD99">
            <v>0</v>
          </cell>
          <cell r="AE99">
            <v>0</v>
          </cell>
          <cell r="AF99">
            <v>0</v>
          </cell>
        </row>
        <row r="100">
          <cell r="A100" t="str">
            <v>North Dakota</v>
          </cell>
          <cell r="B100">
            <v>14972.283389276967</v>
          </cell>
          <cell r="C100">
            <v>18463.307611358068</v>
          </cell>
          <cell r="D100">
            <v>20663.831751791709</v>
          </cell>
          <cell r="E100">
            <v>23769.88661888778</v>
          </cell>
          <cell r="F100">
            <v>29726.488977592307</v>
          </cell>
          <cell r="G100">
            <v>36275.890628685476</v>
          </cell>
          <cell r="H100">
            <v>35590.11639299646</v>
          </cell>
          <cell r="I100">
            <v>33212.015295291661</v>
          </cell>
          <cell r="J100">
            <v>25626.158541231969</v>
          </cell>
          <cell r="K100">
            <v>34120.380005443163</v>
          </cell>
          <cell r="L100">
            <v>41871.632187244853</v>
          </cell>
          <cell r="M100">
            <v>46156.546820284864</v>
          </cell>
          <cell r="N100">
            <v>51068.435543862834</v>
          </cell>
          <cell r="O100">
            <v>52494.425510296656</v>
          </cell>
          <cell r="P100">
            <v>57897.249804953281</v>
          </cell>
          <cell r="Q100">
            <v>60677.262360518915</v>
          </cell>
          <cell r="R100">
            <v>59600.830090802054</v>
          </cell>
          <cell r="S100">
            <v>59304.29176064975</v>
          </cell>
          <cell r="T100">
            <v>0</v>
          </cell>
          <cell r="U100">
            <v>0</v>
          </cell>
          <cell r="V100">
            <v>0</v>
          </cell>
          <cell r="W100">
            <v>0</v>
          </cell>
          <cell r="X100">
            <v>0</v>
          </cell>
          <cell r="Y100">
            <v>0</v>
          </cell>
          <cell r="Z100">
            <v>0</v>
          </cell>
          <cell r="AA100">
            <v>0</v>
          </cell>
          <cell r="AB100">
            <v>0</v>
          </cell>
          <cell r="AC100">
            <v>0</v>
          </cell>
          <cell r="AD100">
            <v>0</v>
          </cell>
          <cell r="AE100">
            <v>0</v>
          </cell>
          <cell r="AF100">
            <v>0</v>
          </cell>
        </row>
        <row r="101">
          <cell r="A101" t="str">
            <v>Ohio</v>
          </cell>
          <cell r="B101">
            <v>14332.918552118297</v>
          </cell>
          <cell r="C101">
            <v>11857.84497868094</v>
          </cell>
          <cell r="D101">
            <v>14915.333176086364</v>
          </cell>
          <cell r="E101">
            <v>21207.553950830083</v>
          </cell>
          <cell r="F101">
            <v>19062.287181348089</v>
          </cell>
          <cell r="G101">
            <v>17713.052054794516</v>
          </cell>
          <cell r="H101">
            <v>12769.983380205025</v>
          </cell>
          <cell r="I101">
            <v>10224.884115032204</v>
          </cell>
          <cell r="J101">
            <v>16811.316483715869</v>
          </cell>
          <cell r="K101">
            <v>22443.14834437086</v>
          </cell>
          <cell r="L101">
            <v>22469.416764946021</v>
          </cell>
          <cell r="M101">
            <v>23566.997459856662</v>
          </cell>
          <cell r="N101">
            <v>19086.799546402977</v>
          </cell>
          <cell r="O101">
            <v>10477.008164746441</v>
          </cell>
          <cell r="P101">
            <v>10891.720312074753</v>
          </cell>
          <cell r="Q101">
            <v>11013.876440170552</v>
          </cell>
          <cell r="R101">
            <v>11108.511599581723</v>
          </cell>
          <cell r="S101">
            <v>6063.6888938158263</v>
          </cell>
          <cell r="T101">
            <v>0</v>
          </cell>
          <cell r="U101">
            <v>0</v>
          </cell>
          <cell r="V101">
            <v>0</v>
          </cell>
          <cell r="W101">
            <v>0</v>
          </cell>
          <cell r="X101">
            <v>0</v>
          </cell>
          <cell r="Y101">
            <v>0</v>
          </cell>
          <cell r="Z101">
            <v>0</v>
          </cell>
          <cell r="AA101">
            <v>0</v>
          </cell>
          <cell r="AB101">
            <v>0</v>
          </cell>
          <cell r="AC101">
            <v>0</v>
          </cell>
          <cell r="AD101">
            <v>0</v>
          </cell>
          <cell r="AE101">
            <v>0</v>
          </cell>
          <cell r="AF101">
            <v>0</v>
          </cell>
        </row>
        <row r="102">
          <cell r="A102" t="str">
            <v>Oklahoma</v>
          </cell>
          <cell r="B102">
            <v>19821.071105869545</v>
          </cell>
          <cell r="C102">
            <v>17507.387408146602</v>
          </cell>
          <cell r="D102">
            <v>17473.523958994825</v>
          </cell>
          <cell r="E102">
            <v>17492.416002903021</v>
          </cell>
          <cell r="F102">
            <v>18282.462197223984</v>
          </cell>
          <cell r="G102">
            <v>16258.823677764674</v>
          </cell>
          <cell r="H102">
            <v>15733.430499863922</v>
          </cell>
          <cell r="I102">
            <v>20504.502440351989</v>
          </cell>
          <cell r="J102">
            <v>25359.721400707611</v>
          </cell>
          <cell r="K102">
            <v>24402.612646285041</v>
          </cell>
          <cell r="L102">
            <v>20572.057624965979</v>
          </cell>
          <cell r="M102">
            <v>23633.577084278324</v>
          </cell>
          <cell r="N102">
            <v>27806.719785902209</v>
          </cell>
          <cell r="O102">
            <v>33173.288197405425</v>
          </cell>
          <cell r="P102">
            <v>30254.367522453053</v>
          </cell>
          <cell r="Q102">
            <v>23591.243055429557</v>
          </cell>
          <cell r="R102">
            <v>22610.632483500412</v>
          </cell>
          <cell r="S102">
            <v>22642.346311132504</v>
          </cell>
          <cell r="T102">
            <v>0</v>
          </cell>
          <cell r="U102">
            <v>0</v>
          </cell>
          <cell r="V102">
            <v>0</v>
          </cell>
          <cell r="W102">
            <v>0</v>
          </cell>
          <cell r="X102">
            <v>0</v>
          </cell>
          <cell r="Y102">
            <v>0</v>
          </cell>
          <cell r="Z102">
            <v>0</v>
          </cell>
          <cell r="AA102">
            <v>0</v>
          </cell>
          <cell r="AB102">
            <v>0</v>
          </cell>
          <cell r="AC102">
            <v>0</v>
          </cell>
          <cell r="AD102">
            <v>0</v>
          </cell>
          <cell r="AE102">
            <v>0</v>
          </cell>
          <cell r="AF102">
            <v>0</v>
          </cell>
        </row>
        <row r="103">
          <cell r="A103" t="str">
            <v>Oregon</v>
          </cell>
          <cell r="B103">
            <v>11125.918443255012</v>
          </cell>
          <cell r="C103">
            <v>11042.33137984215</v>
          </cell>
          <cell r="D103">
            <v>11251.595645468566</v>
          </cell>
          <cell r="E103">
            <v>11563.43926335843</v>
          </cell>
          <cell r="F103">
            <v>12534.274027034382</v>
          </cell>
          <cell r="G103">
            <v>12735.996334936042</v>
          </cell>
          <cell r="H103">
            <v>13161.923178807947</v>
          </cell>
          <cell r="I103">
            <v>13916.795899482899</v>
          </cell>
          <cell r="J103">
            <v>15060.299628050439</v>
          </cell>
          <cell r="K103">
            <v>12459.157071577611</v>
          </cell>
          <cell r="L103">
            <v>9309.0890138800696</v>
          </cell>
          <cell r="M103">
            <v>14226.248970334755</v>
          </cell>
          <cell r="N103">
            <v>22910.059094620341</v>
          </cell>
          <cell r="O103">
            <v>25522.926535425926</v>
          </cell>
          <cell r="P103">
            <v>21316.907738365233</v>
          </cell>
          <cell r="Q103">
            <v>20721.191907829085</v>
          </cell>
          <cell r="R103">
            <v>21004.659111957852</v>
          </cell>
          <cell r="S103">
            <v>23631.156670152395</v>
          </cell>
          <cell r="T103">
            <v>0</v>
          </cell>
          <cell r="U103">
            <v>0</v>
          </cell>
          <cell r="V103">
            <v>0</v>
          </cell>
          <cell r="W103">
            <v>0</v>
          </cell>
          <cell r="X103">
            <v>0</v>
          </cell>
          <cell r="Y103">
            <v>0</v>
          </cell>
          <cell r="Z103">
            <v>0</v>
          </cell>
          <cell r="AA103">
            <v>0</v>
          </cell>
          <cell r="AB103">
            <v>0</v>
          </cell>
          <cell r="AC103">
            <v>0</v>
          </cell>
          <cell r="AD103">
            <v>0</v>
          </cell>
          <cell r="AE103">
            <v>0</v>
          </cell>
          <cell r="AF103">
            <v>0</v>
          </cell>
        </row>
        <row r="104">
          <cell r="A104" t="str">
            <v>Pennsylvania</v>
          </cell>
          <cell r="B104">
            <v>4441.0858749886593</v>
          </cell>
          <cell r="C104">
            <v>4612.0131724575876</v>
          </cell>
          <cell r="D104">
            <v>6030.0977047990564</v>
          </cell>
          <cell r="E104">
            <v>7257.248643744897</v>
          </cell>
          <cell r="F104">
            <v>6588.0093985303456</v>
          </cell>
          <cell r="G104">
            <v>5090.0284677492509</v>
          </cell>
          <cell r="H104">
            <v>5478.0957452599114</v>
          </cell>
          <cell r="I104">
            <v>5458.7281865190962</v>
          </cell>
          <cell r="J104">
            <v>6855.7754331851593</v>
          </cell>
          <cell r="K104">
            <v>7551.0656264174913</v>
          </cell>
          <cell r="L104">
            <v>7299.1147056155305</v>
          </cell>
          <cell r="M104">
            <v>5875.0928422389552</v>
          </cell>
          <cell r="N104">
            <v>6001.9805316157117</v>
          </cell>
          <cell r="O104">
            <v>4392.8036650639569</v>
          </cell>
          <cell r="P104">
            <v>4272.0276149868459</v>
          </cell>
          <cell r="Q104">
            <v>4150.5993831080468</v>
          </cell>
          <cell r="R104">
            <v>4304.1305788043492</v>
          </cell>
          <cell r="S104">
            <v>9709.0301651374211</v>
          </cell>
          <cell r="T104">
            <v>0</v>
          </cell>
          <cell r="U104">
            <v>0</v>
          </cell>
          <cell r="V104">
            <v>0</v>
          </cell>
          <cell r="W104">
            <v>0</v>
          </cell>
          <cell r="X104">
            <v>0</v>
          </cell>
          <cell r="Y104">
            <v>0</v>
          </cell>
          <cell r="Z104">
            <v>0</v>
          </cell>
          <cell r="AA104">
            <v>0</v>
          </cell>
          <cell r="AB104">
            <v>0</v>
          </cell>
          <cell r="AC104">
            <v>0</v>
          </cell>
          <cell r="AD104">
            <v>0</v>
          </cell>
          <cell r="AE104">
            <v>0</v>
          </cell>
          <cell r="AF104">
            <v>0</v>
          </cell>
        </row>
        <row r="105">
          <cell r="A105" t="str">
            <v>Rhode Island</v>
          </cell>
          <cell r="B105">
            <v>14.625147419032929</v>
          </cell>
          <cell r="C105">
            <v>39.491554023405605</v>
          </cell>
          <cell r="D105">
            <v>406.86072756962716</v>
          </cell>
          <cell r="E105">
            <v>704.58608364329143</v>
          </cell>
          <cell r="F105">
            <v>96.351664701079557</v>
          </cell>
          <cell r="G105">
            <v>19.337839063775739</v>
          </cell>
          <cell r="H105">
            <v>42.574616710514377</v>
          </cell>
          <cell r="I105">
            <v>48.377737458042276</v>
          </cell>
          <cell r="J105">
            <v>69.196135353352076</v>
          </cell>
          <cell r="K105">
            <v>92.245395990202297</v>
          </cell>
          <cell r="L105">
            <v>105.54707429919259</v>
          </cell>
          <cell r="M105">
            <v>96.435634582237142</v>
          </cell>
          <cell r="N105">
            <v>44.909498321691011</v>
          </cell>
          <cell r="O105">
            <v>13.06887417218543</v>
          </cell>
          <cell r="P105">
            <v>9.0432731561280963</v>
          </cell>
          <cell r="Q105">
            <v>9.5864828086727751</v>
          </cell>
          <cell r="R105">
            <v>70.556513471831636</v>
          </cell>
          <cell r="S105">
            <v>2.4002190084763479</v>
          </cell>
          <cell r="T105">
            <v>0</v>
          </cell>
          <cell r="U105">
            <v>0</v>
          </cell>
          <cell r="V105">
            <v>0</v>
          </cell>
          <cell r="W105">
            <v>0</v>
          </cell>
          <cell r="X105">
            <v>0</v>
          </cell>
          <cell r="Y105">
            <v>0</v>
          </cell>
          <cell r="Z105">
            <v>0</v>
          </cell>
          <cell r="AA105">
            <v>0</v>
          </cell>
          <cell r="AB105">
            <v>0</v>
          </cell>
          <cell r="AC105">
            <v>0</v>
          </cell>
          <cell r="AD105">
            <v>0</v>
          </cell>
          <cell r="AE105">
            <v>0</v>
          </cell>
          <cell r="AF105">
            <v>0</v>
          </cell>
        </row>
        <row r="106">
          <cell r="A106" t="str">
            <v>South Carolina</v>
          </cell>
          <cell r="B106">
            <v>721.27085185521184</v>
          </cell>
          <cell r="C106">
            <v>297.37956999002091</v>
          </cell>
          <cell r="D106">
            <v>254.29476549033836</v>
          </cell>
          <cell r="E106">
            <v>310.15950285766127</v>
          </cell>
          <cell r="F106">
            <v>500.67324684750071</v>
          </cell>
          <cell r="G106">
            <v>715.0481175723487</v>
          </cell>
          <cell r="H106">
            <v>569.54883425564731</v>
          </cell>
          <cell r="I106">
            <v>705.52932958359781</v>
          </cell>
          <cell r="J106">
            <v>1071.0778191055067</v>
          </cell>
          <cell r="K106">
            <v>1773.838029574526</v>
          </cell>
          <cell r="L106">
            <v>1967.7664701079559</v>
          </cell>
          <cell r="M106">
            <v>1725.7454594937858</v>
          </cell>
          <cell r="N106">
            <v>1469.4512201759956</v>
          </cell>
          <cell r="O106">
            <v>1512.3605370588768</v>
          </cell>
          <cell r="P106">
            <v>1120.6231153043634</v>
          </cell>
          <cell r="Q106">
            <v>1144.3729111857026</v>
          </cell>
          <cell r="R106">
            <v>1054.1483588812398</v>
          </cell>
          <cell r="S106">
            <v>1445.8575223598175</v>
          </cell>
          <cell r="T106">
            <v>0</v>
          </cell>
          <cell r="U106">
            <v>0</v>
          </cell>
          <cell r="V106">
            <v>0</v>
          </cell>
          <cell r="W106">
            <v>0</v>
          </cell>
          <cell r="X106">
            <v>0</v>
          </cell>
          <cell r="Y106">
            <v>0</v>
          </cell>
          <cell r="Z106">
            <v>0</v>
          </cell>
          <cell r="AA106">
            <v>0</v>
          </cell>
          <cell r="AB106">
            <v>0</v>
          </cell>
          <cell r="AC106">
            <v>0</v>
          </cell>
          <cell r="AD106">
            <v>0</v>
          </cell>
          <cell r="AE106">
            <v>0</v>
          </cell>
          <cell r="AF106">
            <v>0</v>
          </cell>
        </row>
        <row r="107">
          <cell r="A107" t="str">
            <v>South Dakota</v>
          </cell>
          <cell r="B107">
            <v>19207.744951465116</v>
          </cell>
          <cell r="C107">
            <v>20021.915268075842</v>
          </cell>
          <cell r="D107">
            <v>19345.164964165837</v>
          </cell>
          <cell r="E107">
            <v>22019.947927061596</v>
          </cell>
          <cell r="F107">
            <v>20608.155003175179</v>
          </cell>
          <cell r="G107">
            <v>16114.840805588314</v>
          </cell>
          <cell r="H107">
            <v>15625.432731561281</v>
          </cell>
          <cell r="I107">
            <v>18830.653669599928</v>
          </cell>
          <cell r="J107">
            <v>23173.442184523268</v>
          </cell>
          <cell r="K107">
            <v>31580.39110949832</v>
          </cell>
          <cell r="L107">
            <v>50667.190184160383</v>
          </cell>
          <cell r="M107">
            <v>54866.1951374399</v>
          </cell>
          <cell r="N107">
            <v>56646.400018143875</v>
          </cell>
          <cell r="O107">
            <v>74953.203810215011</v>
          </cell>
          <cell r="P107">
            <v>77611.297287489782</v>
          </cell>
          <cell r="Q107">
            <v>75255.963585230886</v>
          </cell>
          <cell r="R107">
            <v>91578.405195425192</v>
          </cell>
          <cell r="S107">
            <v>72856.378060094925</v>
          </cell>
          <cell r="T107">
            <v>0</v>
          </cell>
          <cell r="U107">
            <v>0</v>
          </cell>
          <cell r="V107">
            <v>0</v>
          </cell>
          <cell r="W107">
            <v>0</v>
          </cell>
          <cell r="X107">
            <v>0</v>
          </cell>
          <cell r="Y107">
            <v>0</v>
          </cell>
          <cell r="Z107">
            <v>0</v>
          </cell>
          <cell r="AA107">
            <v>0</v>
          </cell>
          <cell r="AB107">
            <v>0</v>
          </cell>
          <cell r="AC107">
            <v>0</v>
          </cell>
          <cell r="AD107">
            <v>0</v>
          </cell>
          <cell r="AE107">
            <v>0</v>
          </cell>
          <cell r="AF107">
            <v>0</v>
          </cell>
        </row>
        <row r="108">
          <cell r="A108" t="str">
            <v>Tennessee</v>
          </cell>
          <cell r="B108">
            <v>13135.35520275787</v>
          </cell>
          <cell r="C108">
            <v>11119.067350086181</v>
          </cell>
          <cell r="D108">
            <v>11444.924267440807</v>
          </cell>
          <cell r="E108">
            <v>11585.741522271614</v>
          </cell>
          <cell r="F108">
            <v>10666.573945386916</v>
          </cell>
          <cell r="G108">
            <v>9067.4878526716875</v>
          </cell>
          <cell r="H108">
            <v>8969.9282953823822</v>
          </cell>
          <cell r="I108">
            <v>8868.3247391817094</v>
          </cell>
          <cell r="J108">
            <v>8313.3604826272331</v>
          </cell>
          <cell r="K108">
            <v>8563.4159484713746</v>
          </cell>
          <cell r="L108">
            <v>8432.3153769391265</v>
          </cell>
          <cell r="M108">
            <v>7869.8931325410504</v>
          </cell>
          <cell r="N108">
            <v>6907.5456953642388</v>
          </cell>
          <cell r="O108">
            <v>7119.6644652091081</v>
          </cell>
          <cell r="P108">
            <v>8261.9930871813485</v>
          </cell>
          <cell r="Q108">
            <v>7511.2247482536504</v>
          </cell>
          <cell r="R108">
            <v>6505.9382554799158</v>
          </cell>
          <cell r="S108">
            <v>5114.124751240347</v>
          </cell>
          <cell r="T108">
            <v>0</v>
          </cell>
          <cell r="U108">
            <v>0</v>
          </cell>
          <cell r="V108">
            <v>0</v>
          </cell>
          <cell r="W108">
            <v>0</v>
          </cell>
          <cell r="X108">
            <v>0</v>
          </cell>
          <cell r="Y108">
            <v>0</v>
          </cell>
          <cell r="Z108">
            <v>0</v>
          </cell>
          <cell r="AA108">
            <v>0</v>
          </cell>
          <cell r="AB108">
            <v>0</v>
          </cell>
          <cell r="AC108">
            <v>0</v>
          </cell>
          <cell r="AD108">
            <v>0</v>
          </cell>
          <cell r="AE108">
            <v>0</v>
          </cell>
          <cell r="AF108">
            <v>0</v>
          </cell>
        </row>
        <row r="109">
          <cell r="A109" t="str">
            <v>Texas</v>
          </cell>
          <cell r="B109">
            <v>19639.735081193867</v>
          </cell>
          <cell r="C109">
            <v>27882.729982763311</v>
          </cell>
          <cell r="D109">
            <v>26266.857697541505</v>
          </cell>
          <cell r="E109">
            <v>28928.276712328767</v>
          </cell>
          <cell r="F109">
            <v>31676.897741086817</v>
          </cell>
          <cell r="G109">
            <v>29750.341848861466</v>
          </cell>
          <cell r="H109">
            <v>30133.521890592394</v>
          </cell>
          <cell r="I109">
            <v>33175.830645014968</v>
          </cell>
          <cell r="J109">
            <v>36997.436269618069</v>
          </cell>
          <cell r="K109">
            <v>37466.087272067496</v>
          </cell>
          <cell r="L109">
            <v>38605.135643654176</v>
          </cell>
          <cell r="M109">
            <v>44102.181456953636</v>
          </cell>
          <cell r="N109">
            <v>46550.34056064592</v>
          </cell>
          <cell r="O109">
            <v>36626.625510296661</v>
          </cell>
          <cell r="P109">
            <v>18367.366361244669</v>
          </cell>
          <cell r="Q109">
            <v>18468.238011430643</v>
          </cell>
          <cell r="R109">
            <v>16706.30862207579</v>
          </cell>
          <cell r="S109">
            <v>16602.738780952208</v>
          </cell>
          <cell r="T109">
            <v>0</v>
          </cell>
          <cell r="U109">
            <v>0</v>
          </cell>
          <cell r="V109">
            <v>0</v>
          </cell>
          <cell r="W109">
            <v>0</v>
          </cell>
          <cell r="X109">
            <v>0</v>
          </cell>
          <cell r="Y109">
            <v>0</v>
          </cell>
          <cell r="Z109">
            <v>0</v>
          </cell>
          <cell r="AA109">
            <v>0</v>
          </cell>
          <cell r="AB109">
            <v>0</v>
          </cell>
          <cell r="AC109">
            <v>0</v>
          </cell>
          <cell r="AD109">
            <v>0</v>
          </cell>
          <cell r="AE109">
            <v>0</v>
          </cell>
          <cell r="AF109">
            <v>0</v>
          </cell>
        </row>
        <row r="110">
          <cell r="A110" t="str">
            <v>Utah</v>
          </cell>
          <cell r="B110">
            <v>903.978699083734</v>
          </cell>
          <cell r="C110">
            <v>434.18891408872349</v>
          </cell>
          <cell r="D110">
            <v>483.27284768211922</v>
          </cell>
          <cell r="E110">
            <v>616.79628050439987</v>
          </cell>
          <cell r="F110">
            <v>560.80063503583415</v>
          </cell>
          <cell r="G110">
            <v>492.06067313798422</v>
          </cell>
          <cell r="H110">
            <v>642.46700535244486</v>
          </cell>
          <cell r="I110">
            <v>802.91835253560748</v>
          </cell>
          <cell r="J110">
            <v>980.66230608727199</v>
          </cell>
          <cell r="K110">
            <v>1179.6475732559193</v>
          </cell>
          <cell r="L110">
            <v>1216.4490247663973</v>
          </cell>
          <cell r="M110">
            <v>883.64029755964793</v>
          </cell>
          <cell r="N110">
            <v>425.11167558740812</v>
          </cell>
          <cell r="O110">
            <v>397.54054250204115</v>
          </cell>
          <cell r="P110">
            <v>770.95389639843972</v>
          </cell>
          <cell r="Q110">
            <v>763.3567449877529</v>
          </cell>
          <cell r="R110">
            <v>401.00758570243522</v>
          </cell>
          <cell r="S110">
            <v>2000.9617492849939</v>
          </cell>
          <cell r="T110">
            <v>0</v>
          </cell>
          <cell r="U110">
            <v>0</v>
          </cell>
          <cell r="V110">
            <v>0</v>
          </cell>
          <cell r="W110">
            <v>0</v>
          </cell>
          <cell r="X110">
            <v>0</v>
          </cell>
          <cell r="Y110">
            <v>0</v>
          </cell>
          <cell r="Z110">
            <v>0</v>
          </cell>
          <cell r="AA110">
            <v>0</v>
          </cell>
          <cell r="AB110">
            <v>0</v>
          </cell>
          <cell r="AC110">
            <v>0</v>
          </cell>
          <cell r="AD110">
            <v>0</v>
          </cell>
          <cell r="AE110">
            <v>0</v>
          </cell>
          <cell r="AF110">
            <v>0</v>
          </cell>
        </row>
        <row r="111">
          <cell r="A111" t="str">
            <v>Vermont</v>
          </cell>
          <cell r="B111">
            <v>481.35097523360247</v>
          </cell>
          <cell r="C111">
            <v>461.30104327315604</v>
          </cell>
          <cell r="D111">
            <v>493.99905651818921</v>
          </cell>
          <cell r="E111">
            <v>529.35509389458412</v>
          </cell>
          <cell r="F111">
            <v>523.48074027034386</v>
          </cell>
          <cell r="G111">
            <v>368.38836977229431</v>
          </cell>
          <cell r="H111">
            <v>434.79415767032572</v>
          </cell>
          <cell r="I111">
            <v>652.73822008527623</v>
          </cell>
          <cell r="J111">
            <v>931.86589857570527</v>
          </cell>
          <cell r="K111">
            <v>864.78646466479177</v>
          </cell>
          <cell r="L111">
            <v>746.44695636396625</v>
          </cell>
          <cell r="M111">
            <v>898.27888959448433</v>
          </cell>
          <cell r="N111">
            <v>603.08253651456039</v>
          </cell>
          <cell r="O111">
            <v>598.89654359067413</v>
          </cell>
          <cell r="P111">
            <v>720.97719314161304</v>
          </cell>
          <cell r="Q111">
            <v>612.86903746711425</v>
          </cell>
          <cell r="R111">
            <v>575.59607585877711</v>
          </cell>
          <cell r="S111">
            <v>720.67291269163036</v>
          </cell>
          <cell r="T111">
            <v>0</v>
          </cell>
          <cell r="U111">
            <v>0</v>
          </cell>
          <cell r="V111">
            <v>0</v>
          </cell>
          <cell r="W111">
            <v>0</v>
          </cell>
          <cell r="X111">
            <v>0</v>
          </cell>
          <cell r="Y111">
            <v>0</v>
          </cell>
          <cell r="Z111">
            <v>0</v>
          </cell>
          <cell r="AA111">
            <v>0</v>
          </cell>
          <cell r="AB111">
            <v>0</v>
          </cell>
          <cell r="AC111">
            <v>0</v>
          </cell>
          <cell r="AD111">
            <v>0</v>
          </cell>
          <cell r="AE111">
            <v>0</v>
          </cell>
          <cell r="AF111">
            <v>0</v>
          </cell>
        </row>
        <row r="112">
          <cell r="A112" t="str">
            <v>Virginia</v>
          </cell>
          <cell r="B112">
            <v>1863.1730200489885</v>
          </cell>
          <cell r="C112">
            <v>2111.5639481085004</v>
          </cell>
          <cell r="D112">
            <v>3290.0281593032746</v>
          </cell>
          <cell r="E112">
            <v>4437.7518461398886</v>
          </cell>
          <cell r="F112">
            <v>3218.056536333122</v>
          </cell>
          <cell r="G112">
            <v>2789.5304000725755</v>
          </cell>
          <cell r="H112">
            <v>2782.5262269799509</v>
          </cell>
          <cell r="I112">
            <v>2983.9867186791253</v>
          </cell>
          <cell r="J112">
            <v>3447.9363512655359</v>
          </cell>
          <cell r="K112">
            <v>4206.2603284042452</v>
          </cell>
          <cell r="L112">
            <v>4113.0219178082189</v>
          </cell>
          <cell r="M112">
            <v>3521.3326317699352</v>
          </cell>
          <cell r="N112">
            <v>3887.2358704526901</v>
          </cell>
          <cell r="O112">
            <v>3556.6360700353807</v>
          </cell>
          <cell r="P112">
            <v>2951.3533339381288</v>
          </cell>
          <cell r="Q112">
            <v>2715.0389730563365</v>
          </cell>
          <cell r="R112">
            <v>2771.2310372138436</v>
          </cell>
          <cell r="S112">
            <v>3716.5429584142007</v>
          </cell>
          <cell r="T112">
            <v>0</v>
          </cell>
          <cell r="U112">
            <v>0</v>
          </cell>
          <cell r="V112">
            <v>0</v>
          </cell>
          <cell r="W112">
            <v>0</v>
          </cell>
          <cell r="X112">
            <v>0</v>
          </cell>
          <cell r="Y112">
            <v>0</v>
          </cell>
          <cell r="Z112">
            <v>0</v>
          </cell>
          <cell r="AA112">
            <v>0</v>
          </cell>
          <cell r="AB112">
            <v>0</v>
          </cell>
          <cell r="AC112">
            <v>0</v>
          </cell>
          <cell r="AD112">
            <v>0</v>
          </cell>
          <cell r="AE112">
            <v>0</v>
          </cell>
          <cell r="AF112">
            <v>0</v>
          </cell>
        </row>
        <row r="113">
          <cell r="A113" t="str">
            <v>Washington</v>
          </cell>
          <cell r="B113">
            <v>5980.7295473101694</v>
          </cell>
          <cell r="C113">
            <v>5504.3113308536686</v>
          </cell>
          <cell r="D113">
            <v>5667.8082373219631</v>
          </cell>
          <cell r="E113">
            <v>6855.7195318878703</v>
          </cell>
          <cell r="F113">
            <v>7695.0772747890769</v>
          </cell>
          <cell r="G113">
            <v>7961.9531343554381</v>
          </cell>
          <cell r="H113">
            <v>7716.6832441259194</v>
          </cell>
          <cell r="I113">
            <v>7011.1072121926873</v>
          </cell>
          <cell r="J113">
            <v>6780.5679034745526</v>
          </cell>
          <cell r="K113">
            <v>6384.6614714687466</v>
          </cell>
          <cell r="L113">
            <v>6838.2177084278328</v>
          </cell>
          <cell r="M113">
            <v>8398.1485983851944</v>
          </cell>
          <cell r="N113">
            <v>7799.4662251655627</v>
          </cell>
          <cell r="O113">
            <v>8898.4784178535792</v>
          </cell>
          <cell r="P113">
            <v>9545.1731652000381</v>
          </cell>
          <cell r="Q113">
            <v>10387.584486981765</v>
          </cell>
          <cell r="R113">
            <v>11747.331611670543</v>
          </cell>
          <cell r="S113">
            <v>11116.470064227959</v>
          </cell>
          <cell r="T113">
            <v>0</v>
          </cell>
          <cell r="U113">
            <v>0</v>
          </cell>
          <cell r="V113">
            <v>0</v>
          </cell>
          <cell r="W113">
            <v>0</v>
          </cell>
          <cell r="X113">
            <v>0</v>
          </cell>
          <cell r="Y113">
            <v>0</v>
          </cell>
          <cell r="Z113">
            <v>0</v>
          </cell>
          <cell r="AA113">
            <v>0</v>
          </cell>
          <cell r="AB113">
            <v>0</v>
          </cell>
          <cell r="AC113">
            <v>0</v>
          </cell>
          <cell r="AD113">
            <v>0</v>
          </cell>
          <cell r="AE113">
            <v>0</v>
          </cell>
          <cell r="AF113">
            <v>0</v>
          </cell>
        </row>
        <row r="114">
          <cell r="A114" t="str">
            <v>West Virginia</v>
          </cell>
          <cell r="B114">
            <v>484.20359248843323</v>
          </cell>
          <cell r="C114">
            <v>488.87170461761764</v>
          </cell>
          <cell r="D114">
            <v>533.01320874535054</v>
          </cell>
          <cell r="E114">
            <v>584.12727932504765</v>
          </cell>
          <cell r="F114">
            <v>454.34994103238682</v>
          </cell>
          <cell r="G114">
            <v>325.54368139345002</v>
          </cell>
          <cell r="H114">
            <v>389.29545495781542</v>
          </cell>
          <cell r="I114">
            <v>540.44454322779643</v>
          </cell>
          <cell r="J114">
            <v>926.38474099609914</v>
          </cell>
          <cell r="K114">
            <v>1178.638755329765</v>
          </cell>
          <cell r="L114">
            <v>566.42048444162208</v>
          </cell>
          <cell r="M114">
            <v>1024.4146239680667</v>
          </cell>
          <cell r="N114">
            <v>1077.9032023949924</v>
          </cell>
          <cell r="O114">
            <v>1232.6872902113762</v>
          </cell>
          <cell r="P114">
            <v>4056.09128186519</v>
          </cell>
          <cell r="Q114">
            <v>6106.1241767213996</v>
          </cell>
          <cell r="R114">
            <v>4582.9800476945411</v>
          </cell>
          <cell r="S114">
            <v>4767.7797055161791</v>
          </cell>
          <cell r="T114">
            <v>0</v>
          </cell>
          <cell r="U114">
            <v>0</v>
          </cell>
          <cell r="V114">
            <v>0</v>
          </cell>
          <cell r="W114">
            <v>0</v>
          </cell>
          <cell r="X114">
            <v>0</v>
          </cell>
          <cell r="Y114">
            <v>0</v>
          </cell>
          <cell r="Z114">
            <v>0</v>
          </cell>
          <cell r="AA114">
            <v>0</v>
          </cell>
          <cell r="AB114">
            <v>0</v>
          </cell>
          <cell r="AC114">
            <v>0</v>
          </cell>
          <cell r="AD114">
            <v>0</v>
          </cell>
          <cell r="AE114">
            <v>0</v>
          </cell>
          <cell r="AF114">
            <v>0</v>
          </cell>
        </row>
        <row r="115">
          <cell r="A115" t="str">
            <v>Wisconsin</v>
          </cell>
          <cell r="B115">
            <v>14229.492896670596</v>
          </cell>
          <cell r="C115">
            <v>12871.779170824639</v>
          </cell>
          <cell r="D115">
            <v>13448.475115667241</v>
          </cell>
          <cell r="E115">
            <v>13273.76823006441</v>
          </cell>
          <cell r="F115">
            <v>13704.460836432912</v>
          </cell>
          <cell r="G115">
            <v>13736.816601651093</v>
          </cell>
          <cell r="H115">
            <v>14749.776884695637</v>
          </cell>
          <cell r="I115">
            <v>15984.864628504038</v>
          </cell>
          <cell r="J115">
            <v>15822.241622062957</v>
          </cell>
          <cell r="K115">
            <v>15621.67366415676</v>
          </cell>
          <cell r="L115">
            <v>15158.48778009616</v>
          </cell>
          <cell r="M115">
            <v>13166.202340560647</v>
          </cell>
          <cell r="N115">
            <v>15961.976231515921</v>
          </cell>
          <cell r="O115">
            <v>20915.147709335026</v>
          </cell>
          <cell r="P115">
            <v>20931.293749433004</v>
          </cell>
          <cell r="Q115">
            <v>20443.039553660532</v>
          </cell>
          <cell r="R115">
            <v>22409.502080745147</v>
          </cell>
          <cell r="S115">
            <v>27782.431925397337</v>
          </cell>
          <cell r="T115">
            <v>0</v>
          </cell>
          <cell r="U115">
            <v>0</v>
          </cell>
          <cell r="V115">
            <v>0</v>
          </cell>
          <cell r="W115">
            <v>0</v>
          </cell>
          <cell r="X115">
            <v>0</v>
          </cell>
          <cell r="Y115">
            <v>0</v>
          </cell>
          <cell r="Z115">
            <v>0</v>
          </cell>
          <cell r="AA115">
            <v>0</v>
          </cell>
          <cell r="AB115">
            <v>0</v>
          </cell>
          <cell r="AC115">
            <v>0</v>
          </cell>
          <cell r="AD115">
            <v>0</v>
          </cell>
          <cell r="AE115">
            <v>0</v>
          </cell>
          <cell r="AF115">
            <v>0</v>
          </cell>
        </row>
        <row r="116">
          <cell r="A116" t="str">
            <v>Wyoming</v>
          </cell>
          <cell r="B116">
            <v>896.4808491336297</v>
          </cell>
          <cell r="C116">
            <v>1001.772711603012</v>
          </cell>
          <cell r="D116">
            <v>1048.7972602739726</v>
          </cell>
          <cell r="E116">
            <v>1091.7726208836068</v>
          </cell>
          <cell r="F116">
            <v>1225.9277147781911</v>
          </cell>
          <cell r="G116">
            <v>1263.6238229157216</v>
          </cell>
          <cell r="H116">
            <v>1314.2946929148145</v>
          </cell>
          <cell r="I116">
            <v>1355.6623605189152</v>
          </cell>
          <cell r="J116">
            <v>1361.548979406695</v>
          </cell>
          <cell r="K116">
            <v>1323.7250294838066</v>
          </cell>
          <cell r="L116">
            <v>1314.0408963077202</v>
          </cell>
          <cell r="M116">
            <v>1167.2089449333212</v>
          </cell>
          <cell r="N116">
            <v>1073.4813390184158</v>
          </cell>
          <cell r="O116">
            <v>1080.384087816384</v>
          </cell>
          <cell r="P116">
            <v>1115.7384740996099</v>
          </cell>
          <cell r="Q116">
            <v>1084.8234056064593</v>
          </cell>
          <cell r="R116">
            <v>1077.9983966548186</v>
          </cell>
          <cell r="S116">
            <v>1109.7794529212879</v>
          </cell>
          <cell r="T116">
            <v>0</v>
          </cell>
          <cell r="U116">
            <v>0</v>
          </cell>
          <cell r="V116">
            <v>0</v>
          </cell>
          <cell r="W116">
            <v>0</v>
          </cell>
          <cell r="X116">
            <v>0</v>
          </cell>
          <cell r="Y116">
            <v>0</v>
          </cell>
          <cell r="Z116">
            <v>0</v>
          </cell>
          <cell r="AA116">
            <v>0</v>
          </cell>
          <cell r="AB116">
            <v>0</v>
          </cell>
          <cell r="AC116">
            <v>0</v>
          </cell>
          <cell r="AD116">
            <v>0</v>
          </cell>
          <cell r="AE116">
            <v>0</v>
          </cell>
          <cell r="AF116">
            <v>0</v>
          </cell>
        </row>
        <row r="117">
          <cell r="A117" t="str">
            <v>Puerto Rico</v>
          </cell>
          <cell r="B117">
            <v>246.88442347818199</v>
          </cell>
          <cell r="C117">
            <v>262.59457497958812</v>
          </cell>
          <cell r="D117">
            <v>204.98439626236052</v>
          </cell>
          <cell r="E117">
            <v>218.79980041730929</v>
          </cell>
          <cell r="F117">
            <v>271.23474553206933</v>
          </cell>
          <cell r="G117">
            <v>248.60745713508123</v>
          </cell>
          <cell r="H117">
            <v>234.78851492334209</v>
          </cell>
          <cell r="I117">
            <v>207.23294928785265</v>
          </cell>
          <cell r="J117">
            <v>131.11637485258098</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row>
      </sheetData>
      <sheetData sheetId="31" refreshError="1"/>
      <sheetData sheetId="32"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Control"/>
      <sheetName val="Residential"/>
      <sheetName val="Commercial"/>
      <sheetName val="Transportation"/>
      <sheetName val="Electric Power"/>
      <sheetName val="Bunker Fuels"/>
      <sheetName val="Industrial"/>
      <sheetName val="Summary-MMTCO2E"/>
      <sheetName val="Summary-MMTCE"/>
      <sheetName val="Tracker"/>
      <sheetName val="Uncertainty"/>
      <sheetName val="Default State Energy Data Table"/>
      <sheetName val="SED Btu 1990-2005"/>
      <sheetName val="FF Consumption"/>
      <sheetName val="Coal CC"/>
      <sheetName val="Non-Energy Consump."/>
      <sheetName val="Variable CC's"/>
      <sheetName val="Code Key"/>
      <sheetName val="SNG"/>
      <sheetName val="Ethanol"/>
      <sheetName val="Data Sources"/>
      <sheetName val="List Data"/>
      <sheetName val="Notes"/>
    </sheetNames>
    <sheetDataSet>
      <sheetData sheetId="0">
        <row r="19">
          <cell r="D19">
            <v>41.563876651982376</v>
          </cell>
        </row>
        <row r="21">
          <cell r="D21" t="str">
            <v>variable by year</v>
          </cell>
        </row>
        <row r="22">
          <cell r="D22">
            <v>43.5</v>
          </cell>
        </row>
        <row r="26">
          <cell r="D26">
            <v>44.581497797356818</v>
          </cell>
        </row>
        <row r="27">
          <cell r="D27" t="str">
            <v>variable by year</v>
          </cell>
        </row>
        <row r="28">
          <cell r="D28">
            <v>47.33480176211453</v>
          </cell>
        </row>
        <row r="54">
          <cell r="D54">
            <v>0.5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5">
          <cell r="K5">
            <v>5.0000000000000001E-4</v>
          </cell>
        </row>
        <row r="6">
          <cell r="K6">
            <v>3.6666666666666665</v>
          </cell>
        </row>
        <row r="7">
          <cell r="K7">
            <v>0.45351473922902491</v>
          </cell>
        </row>
      </sheetData>
      <sheetData sheetId="22"/>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Control"/>
      <sheetName val="CH4 from Coal Mining"/>
      <sheetName val="CH4 from Abandoned Coal Mines"/>
      <sheetName val="Summary Abandoned Coal Mines"/>
      <sheetName val="Abandoned Data"/>
      <sheetName val="Abandoned Data Inputs"/>
      <sheetName val="Summary"/>
      <sheetName val="Uncertainty"/>
      <sheetName val="Coal codes"/>
      <sheetName val="Coal data"/>
      <sheetName val="Data Sources"/>
      <sheetName val="constants"/>
      <sheetName val="Documentation"/>
      <sheetName val="AbandonedMethods"/>
      <sheetName val="Notes"/>
    </sheetNames>
    <sheetDataSet>
      <sheetData sheetId="0"/>
      <sheetData sheetId="1"/>
      <sheetData sheetId="2"/>
      <sheetData sheetId="3"/>
      <sheetData sheetId="4"/>
      <sheetData sheetId="5"/>
      <sheetData sheetId="6"/>
      <sheetData sheetId="7"/>
      <sheetData sheetId="8">
        <row r="3">
          <cell r="A3" t="str">
            <v>XX</v>
          </cell>
          <cell r="B3" t="str">
            <v xml:space="preserve"> </v>
          </cell>
          <cell r="C3" t="str">
            <v>---</v>
          </cell>
          <cell r="D3" t="str">
            <v>---</v>
          </cell>
          <cell r="E3" t="str">
            <v>---</v>
          </cell>
          <cell r="F3" t="str">
            <v>---</v>
          </cell>
        </row>
        <row r="4">
          <cell r="A4" t="str">
            <v>AL</v>
          </cell>
          <cell r="B4" t="str">
            <v>Alabama</v>
          </cell>
          <cell r="C4" t="str">
            <v>WRB</v>
          </cell>
          <cell r="D4" t="str">
            <v>---</v>
          </cell>
          <cell r="E4" t="str">
            <v>WRB</v>
          </cell>
          <cell r="F4" t="str">
            <v>---</v>
          </cell>
        </row>
        <row r="5">
          <cell r="A5" t="str">
            <v>AK</v>
          </cell>
          <cell r="B5" t="str">
            <v>Alaska</v>
          </cell>
          <cell r="C5" t="str">
            <v>NWB1</v>
          </cell>
          <cell r="D5" t="str">
            <v>---</v>
          </cell>
          <cell r="E5" t="str">
            <v>NWB</v>
          </cell>
          <cell r="F5" t="str">
            <v>---</v>
          </cell>
        </row>
        <row r="6">
          <cell r="A6" t="str">
            <v>AZ</v>
          </cell>
          <cell r="B6" t="str">
            <v>Arizona</v>
          </cell>
          <cell r="C6" t="str">
            <v>WTB3</v>
          </cell>
          <cell r="D6" t="str">
            <v>---</v>
          </cell>
          <cell r="E6" t="str">
            <v>WTB1</v>
          </cell>
          <cell r="F6" t="str">
            <v>---</v>
          </cell>
        </row>
        <row r="7">
          <cell r="A7" t="str">
            <v>AR</v>
          </cell>
          <cell r="B7" t="str">
            <v>Arkansas</v>
          </cell>
          <cell r="C7" t="str">
            <v>WIN2</v>
          </cell>
          <cell r="D7" t="str">
            <v>---</v>
          </cell>
          <cell r="E7" t="str">
            <v>WIN2</v>
          </cell>
          <cell r="F7" t="str">
            <v>---</v>
          </cell>
        </row>
        <row r="8">
          <cell r="A8" t="str">
            <v>CA</v>
          </cell>
          <cell r="B8" t="str">
            <v>California</v>
          </cell>
          <cell r="C8" t="str">
            <v>WTB3</v>
          </cell>
          <cell r="D8" t="str">
            <v>---</v>
          </cell>
          <cell r="E8" t="str">
            <v>WTB1</v>
          </cell>
          <cell r="F8" t="str">
            <v>---</v>
          </cell>
        </row>
        <row r="9">
          <cell r="A9" t="str">
            <v>CO</v>
          </cell>
          <cell r="B9" t="str">
            <v>Colorado</v>
          </cell>
          <cell r="C9" t="str">
            <v>WTB1</v>
          </cell>
          <cell r="D9" t="str">
            <v>---</v>
          </cell>
          <cell r="E9" t="str">
            <v>WTB2</v>
          </cell>
          <cell r="F9" t="str">
            <v>---</v>
          </cell>
        </row>
        <row r="10">
          <cell r="A10" t="str">
            <v>CT</v>
          </cell>
          <cell r="B10" t="str">
            <v>Connecticut</v>
          </cell>
          <cell r="C10" t="str">
            <v>---</v>
          </cell>
          <cell r="D10" t="str">
            <v>---</v>
          </cell>
          <cell r="E10" t="str">
            <v>---</v>
          </cell>
          <cell r="F10" t="str">
            <v>---</v>
          </cell>
        </row>
        <row r="11">
          <cell r="A11" t="str">
            <v>DE</v>
          </cell>
          <cell r="B11" t="str">
            <v>Delaware</v>
          </cell>
          <cell r="C11" t="str">
            <v>---</v>
          </cell>
          <cell r="D11" t="str">
            <v>---</v>
          </cell>
          <cell r="E11" t="str">
            <v>---</v>
          </cell>
          <cell r="F11" t="str">
            <v>---</v>
          </cell>
        </row>
        <row r="12">
          <cell r="A12" t="str">
            <v>FL</v>
          </cell>
          <cell r="B12" t="str">
            <v>Florida</v>
          </cell>
          <cell r="C12" t="str">
            <v>---</v>
          </cell>
          <cell r="D12" t="str">
            <v>---</v>
          </cell>
          <cell r="E12" t="str">
            <v>---</v>
          </cell>
          <cell r="F12" t="str">
            <v>---</v>
          </cell>
        </row>
        <row r="13">
          <cell r="A13" t="str">
            <v>GA</v>
          </cell>
          <cell r="B13" t="str">
            <v>Georgia</v>
          </cell>
          <cell r="C13" t="str">
            <v>---</v>
          </cell>
          <cell r="D13" t="str">
            <v>---</v>
          </cell>
          <cell r="E13" t="str">
            <v>---</v>
          </cell>
          <cell r="F13" t="str">
            <v>---</v>
          </cell>
        </row>
        <row r="14">
          <cell r="A14" t="str">
            <v>HI</v>
          </cell>
          <cell r="B14" t="str">
            <v>Hawaii</v>
          </cell>
          <cell r="C14" t="str">
            <v>---</v>
          </cell>
          <cell r="D14" t="str">
            <v>---</v>
          </cell>
          <cell r="E14" t="str">
            <v>---</v>
          </cell>
          <cell r="F14" t="str">
            <v>---</v>
          </cell>
        </row>
        <row r="15">
          <cell r="A15" t="str">
            <v>ID</v>
          </cell>
          <cell r="B15" t="str">
            <v>Idaho</v>
          </cell>
          <cell r="C15" t="str">
            <v>---</v>
          </cell>
          <cell r="D15" t="str">
            <v>---</v>
          </cell>
          <cell r="E15" t="str">
            <v>---</v>
          </cell>
          <cell r="F15" t="str">
            <v>---</v>
          </cell>
        </row>
        <row r="16">
          <cell r="A16" t="str">
            <v>IL</v>
          </cell>
          <cell r="B16" t="str">
            <v>Illinois</v>
          </cell>
          <cell r="C16" t="str">
            <v>ILB</v>
          </cell>
          <cell r="D16" t="str">
            <v>---</v>
          </cell>
          <cell r="E16" t="str">
            <v>ILB</v>
          </cell>
          <cell r="F16" t="str">
            <v>---</v>
          </cell>
        </row>
        <row r="17">
          <cell r="A17" t="str">
            <v>IN</v>
          </cell>
          <cell r="B17" t="str">
            <v>Indiana</v>
          </cell>
          <cell r="C17" t="str">
            <v>ILB</v>
          </cell>
          <cell r="D17" t="str">
            <v>---</v>
          </cell>
          <cell r="E17" t="str">
            <v>ILB</v>
          </cell>
          <cell r="F17" t="str">
            <v>---</v>
          </cell>
        </row>
        <row r="18">
          <cell r="A18" t="str">
            <v>IA</v>
          </cell>
          <cell r="B18" t="str">
            <v>Iowa</v>
          </cell>
          <cell r="C18" t="str">
            <v>WIN1</v>
          </cell>
          <cell r="D18" t="str">
            <v>---</v>
          </cell>
          <cell r="E18" t="str">
            <v>WIN1</v>
          </cell>
          <cell r="F18" t="str">
            <v>---</v>
          </cell>
        </row>
        <row r="19">
          <cell r="A19" t="str">
            <v>KS</v>
          </cell>
          <cell r="B19" t="str">
            <v>Kansas</v>
          </cell>
          <cell r="C19" t="str">
            <v>WIN1</v>
          </cell>
          <cell r="D19" t="str">
            <v>---</v>
          </cell>
          <cell r="E19" t="str">
            <v>WIN1</v>
          </cell>
          <cell r="F19" t="str">
            <v>---</v>
          </cell>
        </row>
        <row r="20">
          <cell r="A20" t="str">
            <v>KY</v>
          </cell>
          <cell r="B20" t="str">
            <v>Kentucky</v>
          </cell>
          <cell r="C20" t="str">
            <v>CAB3</v>
          </cell>
          <cell r="D20" t="str">
            <v>ILB</v>
          </cell>
          <cell r="E20" t="str">
            <v>CAB</v>
          </cell>
          <cell r="F20" t="str">
            <v>ILB</v>
          </cell>
        </row>
        <row r="21">
          <cell r="A21" t="str">
            <v>LA</v>
          </cell>
          <cell r="B21" t="str">
            <v>Louisiana</v>
          </cell>
          <cell r="C21" t="str">
            <v>WIN3</v>
          </cell>
          <cell r="D21" t="str">
            <v>---</v>
          </cell>
          <cell r="E21" t="str">
            <v>WIN3</v>
          </cell>
          <cell r="F21" t="str">
            <v>---</v>
          </cell>
        </row>
        <row r="22">
          <cell r="A22" t="str">
            <v>ME</v>
          </cell>
          <cell r="B22" t="str">
            <v>Maine</v>
          </cell>
          <cell r="C22" t="str">
            <v>---</v>
          </cell>
          <cell r="D22" t="str">
            <v>---</v>
          </cell>
          <cell r="E22" t="str">
            <v>---</v>
          </cell>
          <cell r="F22" t="str">
            <v>---</v>
          </cell>
        </row>
        <row r="23">
          <cell r="A23" t="str">
            <v>MD</v>
          </cell>
          <cell r="B23" t="str">
            <v>Maryland</v>
          </cell>
          <cell r="C23" t="str">
            <v>NAB</v>
          </cell>
          <cell r="D23" t="str">
            <v>---</v>
          </cell>
          <cell r="E23" t="str">
            <v>NAB</v>
          </cell>
          <cell r="F23" t="str">
            <v>---</v>
          </cell>
        </row>
        <row r="24">
          <cell r="A24" t="str">
            <v>MA</v>
          </cell>
          <cell r="B24" t="str">
            <v>Massachusetts</v>
          </cell>
          <cell r="C24" t="str">
            <v>---</v>
          </cell>
          <cell r="D24" t="str">
            <v>---</v>
          </cell>
          <cell r="E24" t="str">
            <v>---</v>
          </cell>
          <cell r="F24" t="str">
            <v>---</v>
          </cell>
        </row>
        <row r="25">
          <cell r="A25" t="str">
            <v>MI</v>
          </cell>
          <cell r="B25" t="str">
            <v>Michigan</v>
          </cell>
          <cell r="C25" t="str">
            <v>---</v>
          </cell>
          <cell r="D25" t="str">
            <v>---</v>
          </cell>
          <cell r="E25" t="str">
            <v>---</v>
          </cell>
          <cell r="F25" t="str">
            <v>---</v>
          </cell>
        </row>
        <row r="26">
          <cell r="A26" t="str">
            <v>MN</v>
          </cell>
          <cell r="B26" t="str">
            <v>Minnesota</v>
          </cell>
          <cell r="C26" t="str">
            <v>---</v>
          </cell>
          <cell r="D26" t="str">
            <v>---</v>
          </cell>
          <cell r="E26" t="str">
            <v>---</v>
          </cell>
          <cell r="F26" t="str">
            <v>---</v>
          </cell>
        </row>
        <row r="27">
          <cell r="A27" t="str">
            <v>MS</v>
          </cell>
          <cell r="B27" t="str">
            <v>Mississippi</v>
          </cell>
          <cell r="C27" t="str">
            <v>WRB</v>
          </cell>
          <cell r="D27" t="str">
            <v>---</v>
          </cell>
          <cell r="E27" t="str">
            <v>WRB</v>
          </cell>
          <cell r="F27" t="str">
            <v>---</v>
          </cell>
        </row>
        <row r="28">
          <cell r="A28" t="str">
            <v>MO</v>
          </cell>
          <cell r="B28" t="str">
            <v>Missouri</v>
          </cell>
          <cell r="C28" t="str">
            <v>WIN1</v>
          </cell>
          <cell r="D28" t="str">
            <v>---</v>
          </cell>
          <cell r="E28" t="str">
            <v>WIN1</v>
          </cell>
          <cell r="F28" t="str">
            <v>---</v>
          </cell>
        </row>
        <row r="29">
          <cell r="A29" t="str">
            <v>MT</v>
          </cell>
          <cell r="B29" t="str">
            <v>Montana</v>
          </cell>
          <cell r="C29" t="str">
            <v>NGP</v>
          </cell>
          <cell r="D29" t="str">
            <v>---</v>
          </cell>
          <cell r="E29" t="str">
            <v>NGP</v>
          </cell>
          <cell r="F29" t="str">
            <v>---</v>
          </cell>
        </row>
        <row r="30">
          <cell r="A30" t="str">
            <v>NE</v>
          </cell>
          <cell r="B30" t="str">
            <v>Nebraska</v>
          </cell>
          <cell r="C30" t="str">
            <v>---</v>
          </cell>
          <cell r="D30" t="str">
            <v>---</v>
          </cell>
          <cell r="E30" t="str">
            <v>---</v>
          </cell>
          <cell r="F30" t="str">
            <v>---</v>
          </cell>
        </row>
        <row r="31">
          <cell r="A31" t="str">
            <v>NV</v>
          </cell>
          <cell r="B31" t="str">
            <v>Nevada</v>
          </cell>
          <cell r="C31" t="str">
            <v>---</v>
          </cell>
          <cell r="D31" t="str">
            <v>---</v>
          </cell>
          <cell r="E31" t="str">
            <v>---</v>
          </cell>
          <cell r="F31" t="str">
            <v>---</v>
          </cell>
        </row>
        <row r="32">
          <cell r="A32" t="str">
            <v>NH</v>
          </cell>
          <cell r="B32" t="str">
            <v>New Hampshire</v>
          </cell>
          <cell r="C32" t="str">
            <v>---</v>
          </cell>
          <cell r="D32" t="str">
            <v>---</v>
          </cell>
          <cell r="E32" t="str">
            <v>---</v>
          </cell>
          <cell r="F32" t="str">
            <v>---</v>
          </cell>
        </row>
        <row r="33">
          <cell r="A33" t="str">
            <v>NJ</v>
          </cell>
          <cell r="B33" t="str">
            <v>New Jersey</v>
          </cell>
          <cell r="C33" t="str">
            <v>---</v>
          </cell>
          <cell r="D33" t="str">
            <v>---</v>
          </cell>
          <cell r="E33" t="str">
            <v>---</v>
          </cell>
          <cell r="F33" t="str">
            <v>---</v>
          </cell>
        </row>
        <row r="34">
          <cell r="A34" t="str">
            <v>NM</v>
          </cell>
          <cell r="B34" t="str">
            <v>New Mexico</v>
          </cell>
          <cell r="C34" t="str">
            <v>WTB3</v>
          </cell>
          <cell r="D34" t="str">
            <v>---</v>
          </cell>
          <cell r="E34" t="str">
            <v>WTB1</v>
          </cell>
          <cell r="F34" t="str">
            <v>---</v>
          </cell>
        </row>
        <row r="35">
          <cell r="A35" t="str">
            <v>NY</v>
          </cell>
          <cell r="B35" t="str">
            <v>New York</v>
          </cell>
          <cell r="C35" t="str">
            <v>---</v>
          </cell>
          <cell r="D35" t="str">
            <v>---</v>
          </cell>
          <cell r="E35" t="str">
            <v>---</v>
          </cell>
          <cell r="F35" t="str">
            <v>---</v>
          </cell>
        </row>
        <row r="36">
          <cell r="A36" t="str">
            <v>NC</v>
          </cell>
          <cell r="B36" t="str">
            <v>North Carolina</v>
          </cell>
          <cell r="C36" t="str">
            <v>---</v>
          </cell>
          <cell r="D36" t="str">
            <v>---</v>
          </cell>
          <cell r="E36" t="str">
            <v>---</v>
          </cell>
          <cell r="F36" t="str">
            <v>---</v>
          </cell>
        </row>
        <row r="37">
          <cell r="A37" t="str">
            <v>ND</v>
          </cell>
          <cell r="B37" t="str">
            <v>North Dakota</v>
          </cell>
          <cell r="C37" t="str">
            <v>NGP2</v>
          </cell>
          <cell r="D37" t="str">
            <v>---</v>
          </cell>
          <cell r="E37" t="str">
            <v>NGP2</v>
          </cell>
          <cell r="F37" t="str">
            <v>---</v>
          </cell>
        </row>
        <row r="38">
          <cell r="A38" t="str">
            <v>OH</v>
          </cell>
          <cell r="B38" t="str">
            <v>Ohio</v>
          </cell>
          <cell r="C38" t="str">
            <v>NAB</v>
          </cell>
          <cell r="D38" t="str">
            <v>---</v>
          </cell>
          <cell r="E38" t="str">
            <v>NAB</v>
          </cell>
          <cell r="F38" t="str">
            <v>---</v>
          </cell>
        </row>
        <row r="39">
          <cell r="A39" t="str">
            <v>OK</v>
          </cell>
          <cell r="B39" t="str">
            <v>Oklahoma</v>
          </cell>
          <cell r="C39" t="str">
            <v>WIN2</v>
          </cell>
          <cell r="D39" t="str">
            <v>---</v>
          </cell>
          <cell r="E39" t="str">
            <v>WIN2</v>
          </cell>
          <cell r="F39" t="str">
            <v>---</v>
          </cell>
        </row>
        <row r="40">
          <cell r="A40" t="str">
            <v>OR</v>
          </cell>
          <cell r="B40" t="str">
            <v>Oregon</v>
          </cell>
          <cell r="C40" t="str">
            <v>---</v>
          </cell>
          <cell r="D40" t="str">
            <v>---</v>
          </cell>
          <cell r="E40" t="str">
            <v>---</v>
          </cell>
          <cell r="F40" t="str">
            <v>---</v>
          </cell>
        </row>
        <row r="41">
          <cell r="A41" t="str">
            <v>PA</v>
          </cell>
          <cell r="B41" t="str">
            <v>Pennsylvania</v>
          </cell>
          <cell r="C41" t="str">
            <v>NAB</v>
          </cell>
          <cell r="D41" t="str">
            <v>---</v>
          </cell>
          <cell r="E41" t="str">
            <v>NAB</v>
          </cell>
          <cell r="F41" t="str">
            <v>---</v>
          </cell>
        </row>
        <row r="42">
          <cell r="A42" t="str">
            <v>RI</v>
          </cell>
          <cell r="B42" t="str">
            <v>Rhode Island</v>
          </cell>
          <cell r="C42" t="str">
            <v>---</v>
          </cell>
          <cell r="D42" t="str">
            <v>---</v>
          </cell>
          <cell r="E42" t="str">
            <v>---</v>
          </cell>
          <cell r="F42" t="str">
            <v>---</v>
          </cell>
        </row>
        <row r="43">
          <cell r="A43" t="str">
            <v>SC</v>
          </cell>
          <cell r="B43" t="str">
            <v>South Carolina</v>
          </cell>
          <cell r="C43" t="str">
            <v>---</v>
          </cell>
          <cell r="D43" t="str">
            <v>---</v>
          </cell>
          <cell r="E43" t="str">
            <v>---</v>
          </cell>
          <cell r="F43" t="str">
            <v>---</v>
          </cell>
        </row>
        <row r="44">
          <cell r="A44" t="str">
            <v>SD</v>
          </cell>
          <cell r="B44" t="str">
            <v>South Dakota</v>
          </cell>
          <cell r="C44" t="str">
            <v>---</v>
          </cell>
          <cell r="D44" t="str">
            <v>---</v>
          </cell>
          <cell r="E44" t="str">
            <v>---</v>
          </cell>
          <cell r="F44" t="str">
            <v>---</v>
          </cell>
        </row>
        <row r="45">
          <cell r="A45" t="str">
            <v>TN</v>
          </cell>
          <cell r="B45" t="str">
            <v>Tennessee</v>
          </cell>
          <cell r="C45" t="str">
            <v>CAB3</v>
          </cell>
          <cell r="D45" t="str">
            <v>---</v>
          </cell>
          <cell r="E45" t="str">
            <v>CAB</v>
          </cell>
          <cell r="F45" t="str">
            <v>---</v>
          </cell>
        </row>
        <row r="46">
          <cell r="A46" t="str">
            <v>TX</v>
          </cell>
          <cell r="B46" t="str">
            <v>Texas</v>
          </cell>
          <cell r="C46" t="str">
            <v>WIN3</v>
          </cell>
          <cell r="D46" t="str">
            <v>---</v>
          </cell>
          <cell r="E46" t="str">
            <v>WIN3</v>
          </cell>
          <cell r="F46" t="str">
            <v>---</v>
          </cell>
        </row>
        <row r="47">
          <cell r="A47" t="str">
            <v>UT</v>
          </cell>
          <cell r="B47" t="str">
            <v>Utah</v>
          </cell>
          <cell r="C47" t="str">
            <v>WTB2</v>
          </cell>
          <cell r="D47" t="str">
            <v>---</v>
          </cell>
          <cell r="E47" t="str">
            <v>WTB3</v>
          </cell>
          <cell r="F47" t="str">
            <v>---</v>
          </cell>
        </row>
        <row r="48">
          <cell r="A48" t="str">
            <v>VT</v>
          </cell>
          <cell r="B48" t="str">
            <v>Vermont</v>
          </cell>
          <cell r="C48" t="str">
            <v>---</v>
          </cell>
          <cell r="D48" t="str">
            <v>---</v>
          </cell>
          <cell r="E48" t="str">
            <v>---</v>
          </cell>
          <cell r="F48" t="str">
            <v>---</v>
          </cell>
        </row>
        <row r="49">
          <cell r="A49" t="str">
            <v>VA</v>
          </cell>
          <cell r="B49" t="str">
            <v>Virginia</v>
          </cell>
          <cell r="C49" t="str">
            <v>CAB2</v>
          </cell>
          <cell r="D49" t="str">
            <v>---</v>
          </cell>
          <cell r="E49" t="str">
            <v>CAB</v>
          </cell>
          <cell r="F49" t="str">
            <v>---</v>
          </cell>
        </row>
        <row r="50">
          <cell r="A50" t="str">
            <v>WA</v>
          </cell>
          <cell r="B50" t="str">
            <v>Washington</v>
          </cell>
          <cell r="C50" t="str">
            <v>NWB2</v>
          </cell>
          <cell r="D50" t="str">
            <v>---</v>
          </cell>
          <cell r="E50" t="str">
            <v>NWB</v>
          </cell>
          <cell r="F50" t="str">
            <v>---</v>
          </cell>
        </row>
        <row r="51">
          <cell r="A51" t="str">
            <v>WV</v>
          </cell>
          <cell r="B51" t="str">
            <v>West Virginia</v>
          </cell>
          <cell r="C51" t="str">
            <v>CAB1</v>
          </cell>
          <cell r="D51" t="str">
            <v>NAB</v>
          </cell>
          <cell r="E51" t="str">
            <v>CAB</v>
          </cell>
          <cell r="F51" t="str">
            <v>NAB</v>
          </cell>
        </row>
        <row r="52">
          <cell r="A52" t="str">
            <v>WI</v>
          </cell>
          <cell r="B52" t="str">
            <v>Wisconsin</v>
          </cell>
          <cell r="C52" t="str">
            <v>---</v>
          </cell>
          <cell r="D52" t="str">
            <v>---</v>
          </cell>
          <cell r="E52" t="str">
            <v>---</v>
          </cell>
          <cell r="F52" t="str">
            <v>---</v>
          </cell>
        </row>
        <row r="53">
          <cell r="A53" t="str">
            <v>WY</v>
          </cell>
          <cell r="B53" t="str">
            <v>Wyoming</v>
          </cell>
          <cell r="C53" t="str">
            <v>NGP</v>
          </cell>
          <cell r="D53" t="str">
            <v>---</v>
          </cell>
          <cell r="E53" t="str">
            <v>NGP</v>
          </cell>
          <cell r="F53" t="str">
            <v>---</v>
          </cell>
        </row>
      </sheetData>
      <sheetData sheetId="9">
        <row r="4">
          <cell r="D4" t="str">
            <v>Ventilation System Emissions (mcf)</v>
          </cell>
          <cell r="E4" t="str">
            <v>Degasification Liberations (mcf)</v>
          </cell>
          <cell r="F4" t="str">
            <v>Recovered and Used Methane (mcf)</v>
          </cell>
          <cell r="G4" t="str">
            <v>Underground Coal Production ('000 short tons)</v>
          </cell>
          <cell r="H4" t="str">
            <v>2nd Basin Underground</v>
          </cell>
          <cell r="I4" t="str">
            <v>Total Underground</v>
          </cell>
          <cell r="J4" t="str">
            <v>Surface Coal Production ('000 short tons)</v>
          </cell>
          <cell r="K4" t="str">
            <v>2nd Basin Surface</v>
          </cell>
        </row>
        <row r="5">
          <cell r="C5">
            <v>1</v>
          </cell>
          <cell r="D5">
            <v>2</v>
          </cell>
          <cell r="E5">
            <v>3</v>
          </cell>
          <cell r="F5">
            <v>4</v>
          </cell>
          <cell r="G5">
            <v>5</v>
          </cell>
          <cell r="H5">
            <v>6</v>
          </cell>
          <cell r="I5">
            <v>7</v>
          </cell>
          <cell r="J5">
            <v>8</v>
          </cell>
          <cell r="K5">
            <v>9</v>
          </cell>
        </row>
        <row r="6">
          <cell r="C6" t="str">
            <v>1990AL</v>
          </cell>
          <cell r="D6">
            <v>29937.824582200035</v>
          </cell>
          <cell r="E6">
            <v>13310.027839999999</v>
          </cell>
          <cell r="F6">
            <v>13310.027839999999</v>
          </cell>
          <cell r="G6">
            <v>0</v>
          </cell>
          <cell r="H6" t="str">
            <v>---</v>
          </cell>
          <cell r="I6">
            <v>0</v>
          </cell>
          <cell r="J6">
            <v>11413</v>
          </cell>
          <cell r="K6" t="str">
            <v>---</v>
          </cell>
        </row>
        <row r="7">
          <cell r="C7" t="str">
            <v>1990AK</v>
          </cell>
          <cell r="D7">
            <v>0</v>
          </cell>
          <cell r="E7">
            <v>0</v>
          </cell>
          <cell r="F7">
            <v>0</v>
          </cell>
          <cell r="G7">
            <v>0</v>
          </cell>
          <cell r="H7" t="str">
            <v>---</v>
          </cell>
          <cell r="I7">
            <v>0</v>
          </cell>
          <cell r="J7">
            <v>1706</v>
          </cell>
          <cell r="K7" t="str">
            <v>---</v>
          </cell>
        </row>
        <row r="8">
          <cell r="C8" t="str">
            <v>1990AZ</v>
          </cell>
          <cell r="D8">
            <v>0</v>
          </cell>
          <cell r="E8">
            <v>0</v>
          </cell>
          <cell r="F8">
            <v>0</v>
          </cell>
          <cell r="G8">
            <v>0</v>
          </cell>
          <cell r="H8" t="str">
            <v>---</v>
          </cell>
          <cell r="I8">
            <v>0</v>
          </cell>
          <cell r="J8">
            <v>11304</v>
          </cell>
          <cell r="K8" t="str">
            <v>---</v>
          </cell>
        </row>
        <row r="9">
          <cell r="C9" t="str">
            <v>1990AR</v>
          </cell>
          <cell r="D9">
            <v>0</v>
          </cell>
          <cell r="E9">
            <v>0</v>
          </cell>
          <cell r="F9">
            <v>0</v>
          </cell>
          <cell r="G9">
            <v>0</v>
          </cell>
          <cell r="H9" t="str">
            <v>---</v>
          </cell>
          <cell r="I9">
            <v>0</v>
          </cell>
          <cell r="J9">
            <v>39</v>
          </cell>
          <cell r="K9" t="str">
            <v>---</v>
          </cell>
        </row>
        <row r="10">
          <cell r="C10" t="str">
            <v>1990CA</v>
          </cell>
          <cell r="D10">
            <v>0</v>
          </cell>
          <cell r="E10">
            <v>0</v>
          </cell>
          <cell r="F10">
            <v>0</v>
          </cell>
          <cell r="G10">
            <v>0</v>
          </cell>
          <cell r="H10" t="str">
            <v>---</v>
          </cell>
          <cell r="I10">
            <v>0</v>
          </cell>
          <cell r="J10">
            <v>61</v>
          </cell>
          <cell r="K10" t="str">
            <v>---</v>
          </cell>
        </row>
        <row r="11">
          <cell r="C11" t="str">
            <v>1990CO</v>
          </cell>
          <cell r="D11">
            <v>5748.6595831157174</v>
          </cell>
          <cell r="E11">
            <v>3260.666666666667</v>
          </cell>
          <cell r="F11">
            <v>0</v>
          </cell>
          <cell r="G11">
            <v>0</v>
          </cell>
          <cell r="H11" t="str">
            <v>---</v>
          </cell>
          <cell r="I11">
            <v>0</v>
          </cell>
          <cell r="J11">
            <v>8281</v>
          </cell>
          <cell r="K11" t="str">
            <v>---</v>
          </cell>
        </row>
        <row r="12">
          <cell r="C12" t="str">
            <v>1990CT</v>
          </cell>
          <cell r="D12">
            <v>0</v>
          </cell>
          <cell r="E12">
            <v>0</v>
          </cell>
          <cell r="F12">
            <v>0</v>
          </cell>
          <cell r="G12">
            <v>0</v>
          </cell>
          <cell r="H12" t="str">
            <v>---</v>
          </cell>
          <cell r="I12">
            <v>0</v>
          </cell>
          <cell r="K12" t="str">
            <v>---</v>
          </cell>
        </row>
        <row r="13">
          <cell r="C13" t="str">
            <v>1990DE</v>
          </cell>
          <cell r="D13">
            <v>0</v>
          </cell>
          <cell r="E13">
            <v>0</v>
          </cell>
          <cell r="F13">
            <v>0</v>
          </cell>
          <cell r="G13">
            <v>0</v>
          </cell>
          <cell r="H13" t="str">
            <v>---</v>
          </cell>
          <cell r="I13">
            <v>0</v>
          </cell>
          <cell r="K13" t="str">
            <v>---</v>
          </cell>
        </row>
        <row r="14">
          <cell r="C14" t="str">
            <v>1990FL</v>
          </cell>
          <cell r="D14">
            <v>0</v>
          </cell>
          <cell r="E14">
            <v>0</v>
          </cell>
          <cell r="F14">
            <v>0</v>
          </cell>
          <cell r="G14">
            <v>0</v>
          </cell>
          <cell r="H14" t="str">
            <v>---</v>
          </cell>
          <cell r="I14">
            <v>0</v>
          </cell>
          <cell r="K14" t="str">
            <v>---</v>
          </cell>
        </row>
        <row r="15">
          <cell r="C15" t="str">
            <v>1990GA</v>
          </cell>
          <cell r="D15">
            <v>0</v>
          </cell>
          <cell r="E15">
            <v>0</v>
          </cell>
          <cell r="F15">
            <v>0</v>
          </cell>
          <cell r="G15">
            <v>0</v>
          </cell>
          <cell r="H15" t="str">
            <v>---</v>
          </cell>
          <cell r="I15">
            <v>0</v>
          </cell>
          <cell r="K15" t="str">
            <v>---</v>
          </cell>
        </row>
        <row r="16">
          <cell r="C16" t="str">
            <v>1990HI</v>
          </cell>
          <cell r="D16">
            <v>0</v>
          </cell>
          <cell r="E16">
            <v>0</v>
          </cell>
          <cell r="F16">
            <v>0</v>
          </cell>
          <cell r="G16">
            <v>0</v>
          </cell>
          <cell r="H16" t="str">
            <v>---</v>
          </cell>
          <cell r="I16">
            <v>0</v>
          </cell>
          <cell r="K16" t="str">
            <v>---</v>
          </cell>
        </row>
        <row r="17">
          <cell r="C17" t="str">
            <v>1990ID</v>
          </cell>
          <cell r="D17">
            <v>0</v>
          </cell>
          <cell r="E17">
            <v>0</v>
          </cell>
          <cell r="F17">
            <v>0</v>
          </cell>
          <cell r="G17">
            <v>0</v>
          </cell>
          <cell r="H17" t="str">
            <v>---</v>
          </cell>
          <cell r="I17">
            <v>0</v>
          </cell>
          <cell r="K17" t="str">
            <v>---</v>
          </cell>
        </row>
        <row r="18">
          <cell r="C18" t="str">
            <v>1990IL</v>
          </cell>
          <cell r="D18">
            <v>8137.7129163586133</v>
          </cell>
          <cell r="E18">
            <v>0</v>
          </cell>
          <cell r="F18">
            <v>0</v>
          </cell>
          <cell r="G18">
            <v>0</v>
          </cell>
          <cell r="H18" t="str">
            <v>---</v>
          </cell>
          <cell r="I18">
            <v>0</v>
          </cell>
          <cell r="J18">
            <v>18722</v>
          </cell>
          <cell r="K18" t="str">
            <v>---</v>
          </cell>
        </row>
        <row r="19">
          <cell r="C19" t="str">
            <v>1990IN</v>
          </cell>
          <cell r="D19">
            <v>111.98687499576073</v>
          </cell>
          <cell r="E19">
            <v>0</v>
          </cell>
          <cell r="F19">
            <v>0</v>
          </cell>
          <cell r="G19">
            <v>0</v>
          </cell>
          <cell r="H19" t="str">
            <v>---</v>
          </cell>
          <cell r="I19">
            <v>0</v>
          </cell>
          <cell r="J19">
            <v>32849</v>
          </cell>
          <cell r="K19" t="str">
            <v>---</v>
          </cell>
        </row>
        <row r="20">
          <cell r="C20" t="str">
            <v>1990IA</v>
          </cell>
          <cell r="D20">
            <v>0</v>
          </cell>
          <cell r="E20">
            <v>0</v>
          </cell>
          <cell r="F20">
            <v>0</v>
          </cell>
          <cell r="G20">
            <v>0</v>
          </cell>
          <cell r="H20" t="str">
            <v>---</v>
          </cell>
          <cell r="I20">
            <v>0</v>
          </cell>
          <cell r="J20">
            <v>381</v>
          </cell>
          <cell r="K20" t="str">
            <v>---</v>
          </cell>
        </row>
        <row r="21">
          <cell r="C21" t="str">
            <v>1990KS</v>
          </cell>
          <cell r="D21">
            <v>0</v>
          </cell>
          <cell r="E21">
            <v>0</v>
          </cell>
          <cell r="F21">
            <v>0</v>
          </cell>
          <cell r="G21">
            <v>0</v>
          </cell>
          <cell r="H21" t="str">
            <v>---</v>
          </cell>
          <cell r="I21">
            <v>0</v>
          </cell>
          <cell r="J21">
            <v>721</v>
          </cell>
          <cell r="K21" t="str">
            <v>---</v>
          </cell>
        </row>
        <row r="22">
          <cell r="C22" t="str">
            <v>1990KY</v>
          </cell>
          <cell r="D22">
            <v>4330.1591665027481</v>
          </cell>
          <cell r="E22">
            <v>146</v>
          </cell>
          <cell r="F22">
            <v>0</v>
          </cell>
          <cell r="G22">
            <v>0</v>
          </cell>
          <cell r="H22">
            <v>24459</v>
          </cell>
          <cell r="I22">
            <v>24459</v>
          </cell>
          <cell r="J22">
            <v>47241</v>
          </cell>
          <cell r="K22">
            <v>20429</v>
          </cell>
        </row>
        <row r="23">
          <cell r="C23" t="str">
            <v>1990LA</v>
          </cell>
          <cell r="D23">
            <v>0</v>
          </cell>
          <cell r="E23">
            <v>0</v>
          </cell>
          <cell r="F23">
            <v>0</v>
          </cell>
          <cell r="G23">
            <v>0</v>
          </cell>
          <cell r="H23" t="str">
            <v>---</v>
          </cell>
          <cell r="I23">
            <v>0</v>
          </cell>
          <cell r="J23">
            <v>3186</v>
          </cell>
          <cell r="K23" t="str">
            <v>---</v>
          </cell>
        </row>
        <row r="24">
          <cell r="C24" t="str">
            <v>1990ME</v>
          </cell>
          <cell r="D24">
            <v>0</v>
          </cell>
          <cell r="E24">
            <v>0</v>
          </cell>
          <cell r="F24">
            <v>0</v>
          </cell>
          <cell r="G24">
            <v>0</v>
          </cell>
          <cell r="H24" t="str">
            <v>---</v>
          </cell>
          <cell r="I24">
            <v>0</v>
          </cell>
          <cell r="K24" t="str">
            <v>---</v>
          </cell>
        </row>
        <row r="25">
          <cell r="C25" t="str">
            <v>1990MD</v>
          </cell>
          <cell r="D25">
            <v>223.97374999152146</v>
          </cell>
          <cell r="E25">
            <v>0</v>
          </cell>
          <cell r="F25">
            <v>0</v>
          </cell>
          <cell r="G25">
            <v>0</v>
          </cell>
          <cell r="H25" t="str">
            <v>---</v>
          </cell>
          <cell r="I25">
            <v>0</v>
          </cell>
          <cell r="J25">
            <v>1484</v>
          </cell>
          <cell r="K25" t="str">
            <v>---</v>
          </cell>
        </row>
        <row r="26">
          <cell r="C26" t="str">
            <v>1990MA</v>
          </cell>
          <cell r="D26">
            <v>0</v>
          </cell>
          <cell r="E26">
            <v>0</v>
          </cell>
          <cell r="F26">
            <v>0</v>
          </cell>
          <cell r="G26">
            <v>0</v>
          </cell>
          <cell r="H26" t="str">
            <v>---</v>
          </cell>
          <cell r="I26">
            <v>0</v>
          </cell>
          <cell r="K26" t="str">
            <v>---</v>
          </cell>
        </row>
        <row r="27">
          <cell r="C27" t="str">
            <v>1990MI</v>
          </cell>
          <cell r="D27">
            <v>0</v>
          </cell>
          <cell r="E27">
            <v>0</v>
          </cell>
          <cell r="F27">
            <v>0</v>
          </cell>
          <cell r="G27">
            <v>0</v>
          </cell>
          <cell r="H27" t="str">
            <v>---</v>
          </cell>
          <cell r="I27">
            <v>0</v>
          </cell>
          <cell r="K27" t="str">
            <v>---</v>
          </cell>
        </row>
        <row r="28">
          <cell r="C28" t="str">
            <v>1990MN</v>
          </cell>
          <cell r="D28">
            <v>0</v>
          </cell>
          <cell r="E28">
            <v>0</v>
          </cell>
          <cell r="F28">
            <v>0</v>
          </cell>
          <cell r="G28">
            <v>0</v>
          </cell>
          <cell r="H28" t="str">
            <v>---</v>
          </cell>
          <cell r="I28">
            <v>0</v>
          </cell>
          <cell r="K28" t="str">
            <v>---</v>
          </cell>
        </row>
        <row r="29">
          <cell r="C29" t="str">
            <v>1990MS</v>
          </cell>
          <cell r="D29">
            <v>0</v>
          </cell>
          <cell r="E29">
            <v>0</v>
          </cell>
          <cell r="F29">
            <v>0</v>
          </cell>
          <cell r="G29">
            <v>0</v>
          </cell>
          <cell r="H29" t="str">
            <v>---</v>
          </cell>
          <cell r="I29">
            <v>0</v>
          </cell>
          <cell r="K29" t="str">
            <v>---</v>
          </cell>
        </row>
        <row r="30">
          <cell r="C30" t="str">
            <v>1990MO</v>
          </cell>
          <cell r="D30">
            <v>0</v>
          </cell>
          <cell r="E30">
            <v>0</v>
          </cell>
          <cell r="F30">
            <v>0</v>
          </cell>
          <cell r="G30">
            <v>0</v>
          </cell>
          <cell r="H30" t="str">
            <v>---</v>
          </cell>
          <cell r="I30">
            <v>0</v>
          </cell>
          <cell r="J30">
            <v>2646</v>
          </cell>
          <cell r="K30" t="str">
            <v>---</v>
          </cell>
        </row>
        <row r="31">
          <cell r="C31" t="str">
            <v>1990MT</v>
          </cell>
          <cell r="D31">
            <v>0</v>
          </cell>
          <cell r="E31">
            <v>0</v>
          </cell>
          <cell r="F31">
            <v>0</v>
          </cell>
          <cell r="G31">
            <v>0</v>
          </cell>
          <cell r="H31" t="str">
            <v>---</v>
          </cell>
          <cell r="I31">
            <v>0</v>
          </cell>
          <cell r="J31">
            <v>37616</v>
          </cell>
          <cell r="K31" t="str">
            <v>---</v>
          </cell>
        </row>
        <row r="32">
          <cell r="C32" t="str">
            <v>1990NE</v>
          </cell>
          <cell r="D32">
            <v>0</v>
          </cell>
          <cell r="E32">
            <v>0</v>
          </cell>
          <cell r="F32">
            <v>0</v>
          </cell>
          <cell r="G32">
            <v>0</v>
          </cell>
          <cell r="H32" t="str">
            <v>---</v>
          </cell>
          <cell r="I32">
            <v>0</v>
          </cell>
          <cell r="K32" t="str">
            <v>---</v>
          </cell>
        </row>
        <row r="33">
          <cell r="C33" t="str">
            <v>1990NV</v>
          </cell>
          <cell r="D33">
            <v>0</v>
          </cell>
          <cell r="E33">
            <v>0</v>
          </cell>
          <cell r="F33">
            <v>0</v>
          </cell>
          <cell r="G33">
            <v>0</v>
          </cell>
          <cell r="H33" t="str">
            <v>---</v>
          </cell>
          <cell r="I33">
            <v>0</v>
          </cell>
          <cell r="K33" t="str">
            <v>---</v>
          </cell>
        </row>
        <row r="34">
          <cell r="C34" t="str">
            <v>1990NH</v>
          </cell>
          <cell r="D34">
            <v>0</v>
          </cell>
          <cell r="E34">
            <v>0</v>
          </cell>
          <cell r="F34">
            <v>0</v>
          </cell>
          <cell r="G34">
            <v>0</v>
          </cell>
          <cell r="H34" t="str">
            <v>---</v>
          </cell>
          <cell r="I34">
            <v>0</v>
          </cell>
          <cell r="K34" t="str">
            <v>---</v>
          </cell>
        </row>
        <row r="35">
          <cell r="C35" t="str">
            <v>1990NJ</v>
          </cell>
          <cell r="D35">
            <v>0</v>
          </cell>
          <cell r="E35">
            <v>0</v>
          </cell>
          <cell r="F35">
            <v>0</v>
          </cell>
          <cell r="G35">
            <v>0</v>
          </cell>
          <cell r="H35" t="str">
            <v>---</v>
          </cell>
          <cell r="I35">
            <v>0</v>
          </cell>
          <cell r="K35" t="str">
            <v>---</v>
          </cell>
        </row>
        <row r="36">
          <cell r="C36" t="str">
            <v>1990NM</v>
          </cell>
          <cell r="D36">
            <v>37.328958331920248</v>
          </cell>
          <cell r="E36">
            <v>0</v>
          </cell>
          <cell r="F36">
            <v>0</v>
          </cell>
          <cell r="G36">
            <v>0</v>
          </cell>
          <cell r="H36" t="str">
            <v>---</v>
          </cell>
          <cell r="I36">
            <v>0</v>
          </cell>
          <cell r="J36">
            <v>24217</v>
          </cell>
          <cell r="K36" t="str">
            <v>---</v>
          </cell>
        </row>
        <row r="37">
          <cell r="C37" t="str">
            <v>1990NY</v>
          </cell>
          <cell r="D37">
            <v>0</v>
          </cell>
          <cell r="E37">
            <v>0</v>
          </cell>
          <cell r="F37">
            <v>0</v>
          </cell>
          <cell r="G37">
            <v>0</v>
          </cell>
          <cell r="H37" t="str">
            <v>---</v>
          </cell>
          <cell r="I37">
            <v>0</v>
          </cell>
          <cell r="K37" t="str">
            <v>---</v>
          </cell>
        </row>
        <row r="38">
          <cell r="C38" t="str">
            <v>1990NC</v>
          </cell>
          <cell r="D38">
            <v>0</v>
          </cell>
          <cell r="E38">
            <v>0</v>
          </cell>
          <cell r="F38">
            <v>0</v>
          </cell>
          <cell r="G38">
            <v>0</v>
          </cell>
          <cell r="H38" t="str">
            <v>---</v>
          </cell>
          <cell r="I38">
            <v>0</v>
          </cell>
          <cell r="K38" t="str">
            <v>---</v>
          </cell>
        </row>
        <row r="39">
          <cell r="C39" t="str">
            <v>1990ND</v>
          </cell>
          <cell r="D39">
            <v>0</v>
          </cell>
          <cell r="E39">
            <v>0</v>
          </cell>
          <cell r="F39">
            <v>0</v>
          </cell>
          <cell r="G39">
            <v>0</v>
          </cell>
          <cell r="H39" t="str">
            <v>---</v>
          </cell>
          <cell r="I39">
            <v>0</v>
          </cell>
          <cell r="J39">
            <v>29213</v>
          </cell>
          <cell r="K39" t="str">
            <v>---</v>
          </cell>
        </row>
        <row r="40">
          <cell r="C40" t="str">
            <v>1990OH</v>
          </cell>
          <cell r="D40">
            <v>1418.5004166129693</v>
          </cell>
          <cell r="E40">
            <v>0</v>
          </cell>
          <cell r="F40">
            <v>0</v>
          </cell>
          <cell r="G40">
            <v>0</v>
          </cell>
          <cell r="H40" t="str">
            <v>---</v>
          </cell>
          <cell r="I40">
            <v>0</v>
          </cell>
          <cell r="J40">
            <v>22160</v>
          </cell>
          <cell r="K40" t="str">
            <v>---</v>
          </cell>
        </row>
        <row r="41">
          <cell r="C41" t="str">
            <v>1990OK</v>
          </cell>
          <cell r="D41">
            <v>0</v>
          </cell>
          <cell r="E41">
            <v>0</v>
          </cell>
          <cell r="F41">
            <v>0</v>
          </cell>
          <cell r="G41">
            <v>0</v>
          </cell>
          <cell r="H41" t="str">
            <v>---</v>
          </cell>
          <cell r="I41">
            <v>0</v>
          </cell>
          <cell r="J41">
            <v>1582</v>
          </cell>
          <cell r="K41" t="str">
            <v>---</v>
          </cell>
        </row>
        <row r="42">
          <cell r="C42" t="str">
            <v>1990OR</v>
          </cell>
          <cell r="D42">
            <v>0</v>
          </cell>
          <cell r="E42">
            <v>0</v>
          </cell>
          <cell r="F42">
            <v>0</v>
          </cell>
          <cell r="G42">
            <v>0</v>
          </cell>
          <cell r="H42" t="str">
            <v>---</v>
          </cell>
          <cell r="I42">
            <v>0</v>
          </cell>
          <cell r="K42" t="str">
            <v>---</v>
          </cell>
        </row>
        <row r="43">
          <cell r="C43" t="str">
            <v>1990PA</v>
          </cell>
          <cell r="D43">
            <v>12579.858957857123</v>
          </cell>
          <cell r="E43">
            <v>4291.254901960785</v>
          </cell>
          <cell r="F43">
            <v>0</v>
          </cell>
          <cell r="G43">
            <v>0</v>
          </cell>
          <cell r="H43" t="str">
            <v>---</v>
          </cell>
          <cell r="I43">
            <v>0</v>
          </cell>
          <cell r="J43">
            <v>29281</v>
          </cell>
          <cell r="K43" t="str">
            <v>---</v>
          </cell>
        </row>
        <row r="44">
          <cell r="C44" t="str">
            <v>1990RI</v>
          </cell>
          <cell r="D44">
            <v>0</v>
          </cell>
          <cell r="E44">
            <v>0</v>
          </cell>
          <cell r="F44">
            <v>0</v>
          </cell>
          <cell r="G44">
            <v>0</v>
          </cell>
          <cell r="H44" t="str">
            <v>---</v>
          </cell>
          <cell r="I44">
            <v>0</v>
          </cell>
          <cell r="K44" t="str">
            <v>---</v>
          </cell>
        </row>
        <row r="45">
          <cell r="C45" t="str">
            <v>1990SC</v>
          </cell>
          <cell r="D45">
            <v>0</v>
          </cell>
          <cell r="E45">
            <v>0</v>
          </cell>
          <cell r="F45">
            <v>0</v>
          </cell>
          <cell r="G45">
            <v>0</v>
          </cell>
          <cell r="H45" t="str">
            <v>---</v>
          </cell>
          <cell r="I45">
            <v>0</v>
          </cell>
          <cell r="K45" t="str">
            <v>---</v>
          </cell>
        </row>
        <row r="46">
          <cell r="C46" t="str">
            <v>1990SD</v>
          </cell>
          <cell r="D46">
            <v>0</v>
          </cell>
          <cell r="E46">
            <v>0</v>
          </cell>
          <cell r="F46">
            <v>0</v>
          </cell>
          <cell r="G46">
            <v>0</v>
          </cell>
          <cell r="H46" t="str">
            <v>---</v>
          </cell>
          <cell r="I46">
            <v>0</v>
          </cell>
          <cell r="K46" t="str">
            <v>---</v>
          </cell>
        </row>
        <row r="47">
          <cell r="C47" t="str">
            <v>1990TN</v>
          </cell>
          <cell r="D47">
            <v>111.98687499576073</v>
          </cell>
          <cell r="E47">
            <v>0</v>
          </cell>
          <cell r="F47">
            <v>0</v>
          </cell>
          <cell r="G47">
            <v>0</v>
          </cell>
          <cell r="H47" t="str">
            <v>---</v>
          </cell>
          <cell r="I47">
            <v>0</v>
          </cell>
          <cell r="J47">
            <v>1650</v>
          </cell>
          <cell r="K47" t="str">
            <v>---</v>
          </cell>
        </row>
        <row r="48">
          <cell r="C48" t="str">
            <v>1990TX</v>
          </cell>
          <cell r="D48">
            <v>0</v>
          </cell>
          <cell r="E48">
            <v>0</v>
          </cell>
          <cell r="F48">
            <v>0</v>
          </cell>
          <cell r="G48">
            <v>0</v>
          </cell>
          <cell r="H48" t="str">
            <v>---</v>
          </cell>
          <cell r="I48">
            <v>0</v>
          </cell>
          <cell r="J48">
            <v>55755</v>
          </cell>
          <cell r="K48" t="str">
            <v>---</v>
          </cell>
        </row>
        <row r="49">
          <cell r="C49" t="str">
            <v>1990UT</v>
          </cell>
          <cell r="D49">
            <v>2874.3297915578587</v>
          </cell>
          <cell r="E49">
            <v>130.29808999999977</v>
          </cell>
          <cell r="F49">
            <v>130.29808999999977</v>
          </cell>
          <cell r="G49">
            <v>0</v>
          </cell>
          <cell r="H49" t="str">
            <v>---</v>
          </cell>
          <cell r="I49">
            <v>0</v>
          </cell>
          <cell r="K49" t="str">
            <v>---</v>
          </cell>
        </row>
        <row r="50">
          <cell r="C50" t="str">
            <v>1990VT</v>
          </cell>
          <cell r="D50">
            <v>0</v>
          </cell>
          <cell r="E50">
            <v>0</v>
          </cell>
          <cell r="F50">
            <v>0</v>
          </cell>
          <cell r="G50">
            <v>0</v>
          </cell>
          <cell r="H50" t="str">
            <v>---</v>
          </cell>
          <cell r="I50">
            <v>0</v>
          </cell>
          <cell r="K50" t="str">
            <v>---</v>
          </cell>
        </row>
        <row r="51">
          <cell r="C51" t="str">
            <v>1990VA</v>
          </cell>
          <cell r="D51">
            <v>20642.913957551897</v>
          </cell>
          <cell r="E51">
            <v>19981.142857142855</v>
          </cell>
          <cell r="F51">
            <v>0</v>
          </cell>
          <cell r="G51">
            <v>0</v>
          </cell>
          <cell r="H51" t="str">
            <v>---</v>
          </cell>
          <cell r="I51">
            <v>0</v>
          </cell>
          <cell r="J51">
            <v>7681</v>
          </cell>
          <cell r="K51" t="str">
            <v>---</v>
          </cell>
        </row>
        <row r="52">
          <cell r="C52" t="str">
            <v>1990WA</v>
          </cell>
          <cell r="D52">
            <v>0</v>
          </cell>
          <cell r="E52">
            <v>0</v>
          </cell>
          <cell r="F52">
            <v>0</v>
          </cell>
          <cell r="G52">
            <v>0</v>
          </cell>
          <cell r="H52" t="str">
            <v>---</v>
          </cell>
          <cell r="I52">
            <v>0</v>
          </cell>
          <cell r="J52">
            <v>5001</v>
          </cell>
          <cell r="K52" t="str">
            <v>---</v>
          </cell>
        </row>
        <row r="53">
          <cell r="C53" t="str">
            <v>1990WV</v>
          </cell>
          <cell r="D53">
            <v>28071.376665604024</v>
          </cell>
          <cell r="E53">
            <v>12562.952380952382</v>
          </cell>
          <cell r="F53">
            <v>365.24333333333345</v>
          </cell>
          <cell r="G53">
            <v>0</v>
          </cell>
          <cell r="H53">
            <v>48641</v>
          </cell>
          <cell r="I53">
            <v>48641</v>
          </cell>
          <cell r="J53">
            <v>37771</v>
          </cell>
          <cell r="K53">
            <v>7836</v>
          </cell>
        </row>
        <row r="54">
          <cell r="C54" t="str">
            <v>1990WI</v>
          </cell>
          <cell r="D54">
            <v>0</v>
          </cell>
          <cell r="E54">
            <v>0</v>
          </cell>
          <cell r="F54">
            <v>0</v>
          </cell>
          <cell r="G54">
            <v>0</v>
          </cell>
          <cell r="H54" t="str">
            <v>---</v>
          </cell>
          <cell r="I54">
            <v>0</v>
          </cell>
          <cell r="K54" t="str">
            <v>---</v>
          </cell>
        </row>
        <row r="55">
          <cell r="C55" t="str">
            <v>1990WY</v>
          </cell>
          <cell r="D55">
            <v>0</v>
          </cell>
          <cell r="E55">
            <v>0</v>
          </cell>
          <cell r="F55">
            <v>0</v>
          </cell>
          <cell r="G55">
            <v>0</v>
          </cell>
          <cell r="H55" t="str">
            <v>---</v>
          </cell>
          <cell r="I55">
            <v>0</v>
          </cell>
          <cell r="J55">
            <v>182527</v>
          </cell>
          <cell r="K55" t="str">
            <v>---</v>
          </cell>
        </row>
        <row r="56">
          <cell r="C56" t="str">
            <v>1991AL</v>
          </cell>
          <cell r="D56">
            <v>0</v>
          </cell>
          <cell r="E56">
            <v>0</v>
          </cell>
          <cell r="F56">
            <v>13532.753279999997</v>
          </cell>
          <cell r="G56">
            <v>0</v>
          </cell>
          <cell r="H56" t="str">
            <v>---</v>
          </cell>
          <cell r="I56">
            <v>0</v>
          </cell>
          <cell r="J56">
            <v>10104</v>
          </cell>
          <cell r="K56" t="str">
            <v>---</v>
          </cell>
        </row>
        <row r="57">
          <cell r="C57" t="str">
            <v>1991AK</v>
          </cell>
          <cell r="D57">
            <v>0</v>
          </cell>
          <cell r="E57">
            <v>0</v>
          </cell>
          <cell r="F57">
            <v>0</v>
          </cell>
          <cell r="G57">
            <v>0</v>
          </cell>
          <cell r="H57" t="str">
            <v>---</v>
          </cell>
          <cell r="I57">
            <v>0</v>
          </cell>
          <cell r="J57">
            <v>1436</v>
          </cell>
          <cell r="K57" t="str">
            <v>---</v>
          </cell>
        </row>
        <row r="58">
          <cell r="C58" t="str">
            <v>1991AZ</v>
          </cell>
          <cell r="D58">
            <v>0</v>
          </cell>
          <cell r="E58">
            <v>0</v>
          </cell>
          <cell r="F58">
            <v>0</v>
          </cell>
          <cell r="G58">
            <v>0</v>
          </cell>
          <cell r="H58" t="str">
            <v>---</v>
          </cell>
          <cell r="I58">
            <v>0</v>
          </cell>
          <cell r="J58">
            <v>13203</v>
          </cell>
          <cell r="K58" t="str">
            <v>---</v>
          </cell>
        </row>
        <row r="59">
          <cell r="C59" t="str">
            <v>1991AR</v>
          </cell>
          <cell r="D59">
            <v>0</v>
          </cell>
          <cell r="E59">
            <v>0</v>
          </cell>
          <cell r="F59">
            <v>0</v>
          </cell>
          <cell r="G59">
            <v>0</v>
          </cell>
          <cell r="H59" t="str">
            <v>---</v>
          </cell>
          <cell r="I59">
            <v>0</v>
          </cell>
          <cell r="J59">
            <v>34</v>
          </cell>
          <cell r="K59" t="str">
            <v>---</v>
          </cell>
        </row>
        <row r="60">
          <cell r="C60" t="str">
            <v>1991CA</v>
          </cell>
          <cell r="D60">
            <v>0</v>
          </cell>
          <cell r="E60">
            <v>0</v>
          </cell>
          <cell r="F60">
            <v>0</v>
          </cell>
          <cell r="G60">
            <v>0</v>
          </cell>
          <cell r="H60" t="str">
            <v>---</v>
          </cell>
          <cell r="I60">
            <v>0</v>
          </cell>
          <cell r="J60">
            <v>57</v>
          </cell>
          <cell r="K60" t="str">
            <v>---</v>
          </cell>
        </row>
        <row r="61">
          <cell r="C61" t="str">
            <v>1991CO</v>
          </cell>
          <cell r="D61">
            <v>0</v>
          </cell>
          <cell r="E61">
            <v>0</v>
          </cell>
          <cell r="F61">
            <v>0</v>
          </cell>
          <cell r="G61">
            <v>0</v>
          </cell>
          <cell r="H61" t="str">
            <v>---</v>
          </cell>
          <cell r="I61">
            <v>0</v>
          </cell>
          <cell r="J61">
            <v>8233</v>
          </cell>
          <cell r="K61" t="str">
            <v>---</v>
          </cell>
        </row>
        <row r="62">
          <cell r="C62" t="str">
            <v>1991CT</v>
          </cell>
          <cell r="D62">
            <v>0</v>
          </cell>
          <cell r="E62">
            <v>0</v>
          </cell>
          <cell r="F62">
            <v>0</v>
          </cell>
          <cell r="G62">
            <v>0</v>
          </cell>
          <cell r="H62" t="str">
            <v>---</v>
          </cell>
          <cell r="I62">
            <v>0</v>
          </cell>
          <cell r="K62" t="str">
            <v>---</v>
          </cell>
        </row>
        <row r="63">
          <cell r="C63" t="str">
            <v>1991DE</v>
          </cell>
          <cell r="D63">
            <v>0</v>
          </cell>
          <cell r="E63">
            <v>0</v>
          </cell>
          <cell r="F63">
            <v>0</v>
          </cell>
          <cell r="G63">
            <v>0</v>
          </cell>
          <cell r="H63" t="str">
            <v>---</v>
          </cell>
          <cell r="I63">
            <v>0</v>
          </cell>
          <cell r="K63" t="str">
            <v>---</v>
          </cell>
        </row>
        <row r="64">
          <cell r="C64" t="str">
            <v>1991FL</v>
          </cell>
          <cell r="D64">
            <v>0</v>
          </cell>
          <cell r="E64">
            <v>0</v>
          </cell>
          <cell r="F64">
            <v>0</v>
          </cell>
          <cell r="G64">
            <v>0</v>
          </cell>
          <cell r="H64" t="str">
            <v>---</v>
          </cell>
          <cell r="I64">
            <v>0</v>
          </cell>
          <cell r="K64" t="str">
            <v>---</v>
          </cell>
        </row>
        <row r="65">
          <cell r="C65" t="str">
            <v>1991GA</v>
          </cell>
          <cell r="D65">
            <v>0</v>
          </cell>
          <cell r="E65">
            <v>0</v>
          </cell>
          <cell r="F65">
            <v>0</v>
          </cell>
          <cell r="G65">
            <v>0</v>
          </cell>
          <cell r="H65" t="str">
            <v>---</v>
          </cell>
          <cell r="I65">
            <v>0</v>
          </cell>
          <cell r="K65" t="str">
            <v>---</v>
          </cell>
        </row>
        <row r="66">
          <cell r="C66" t="str">
            <v>1991HI</v>
          </cell>
          <cell r="D66">
            <v>0</v>
          </cell>
          <cell r="E66">
            <v>0</v>
          </cell>
          <cell r="F66">
            <v>0</v>
          </cell>
          <cell r="G66">
            <v>0</v>
          </cell>
          <cell r="H66" t="str">
            <v>---</v>
          </cell>
          <cell r="I66">
            <v>0</v>
          </cell>
          <cell r="K66" t="str">
            <v>---</v>
          </cell>
        </row>
        <row r="67">
          <cell r="C67" t="str">
            <v>1991ID</v>
          </cell>
          <cell r="D67">
            <v>0</v>
          </cell>
          <cell r="E67">
            <v>0</v>
          </cell>
          <cell r="F67">
            <v>0</v>
          </cell>
          <cell r="G67">
            <v>0</v>
          </cell>
          <cell r="H67" t="str">
            <v>---</v>
          </cell>
          <cell r="I67">
            <v>0</v>
          </cell>
          <cell r="K67" t="str">
            <v>---</v>
          </cell>
        </row>
        <row r="68">
          <cell r="C68" t="str">
            <v>1991IL</v>
          </cell>
          <cell r="D68">
            <v>0</v>
          </cell>
          <cell r="E68">
            <v>0</v>
          </cell>
          <cell r="F68">
            <v>0</v>
          </cell>
          <cell r="G68">
            <v>0</v>
          </cell>
          <cell r="H68" t="str">
            <v>---</v>
          </cell>
          <cell r="I68">
            <v>0</v>
          </cell>
          <cell r="J68">
            <v>17120</v>
          </cell>
          <cell r="K68" t="str">
            <v>---</v>
          </cell>
        </row>
        <row r="69">
          <cell r="C69" t="str">
            <v>1991IN</v>
          </cell>
          <cell r="D69">
            <v>0</v>
          </cell>
          <cell r="E69">
            <v>0</v>
          </cell>
          <cell r="F69">
            <v>0</v>
          </cell>
          <cell r="G69">
            <v>0</v>
          </cell>
          <cell r="H69" t="str">
            <v>---</v>
          </cell>
          <cell r="I69">
            <v>0</v>
          </cell>
          <cell r="J69">
            <v>28624</v>
          </cell>
          <cell r="K69" t="str">
            <v>---</v>
          </cell>
        </row>
        <row r="70">
          <cell r="C70" t="str">
            <v>1991IA</v>
          </cell>
          <cell r="D70">
            <v>0</v>
          </cell>
          <cell r="E70">
            <v>0</v>
          </cell>
          <cell r="F70">
            <v>0</v>
          </cell>
          <cell r="G70">
            <v>0</v>
          </cell>
          <cell r="H70" t="str">
            <v>---</v>
          </cell>
          <cell r="I70">
            <v>0</v>
          </cell>
          <cell r="J70">
            <v>344</v>
          </cell>
          <cell r="K70" t="str">
            <v>---</v>
          </cell>
        </row>
        <row r="71">
          <cell r="C71" t="str">
            <v>1991KS</v>
          </cell>
          <cell r="D71">
            <v>0</v>
          </cell>
          <cell r="E71">
            <v>0</v>
          </cell>
          <cell r="F71">
            <v>0</v>
          </cell>
          <cell r="G71">
            <v>0</v>
          </cell>
          <cell r="H71" t="str">
            <v>---</v>
          </cell>
          <cell r="I71">
            <v>0</v>
          </cell>
          <cell r="J71">
            <v>416</v>
          </cell>
          <cell r="K71" t="str">
            <v>---</v>
          </cell>
        </row>
        <row r="72">
          <cell r="C72" t="str">
            <v>1991KY</v>
          </cell>
          <cell r="D72">
            <v>0</v>
          </cell>
          <cell r="E72">
            <v>0</v>
          </cell>
          <cell r="F72">
            <v>0</v>
          </cell>
          <cell r="G72">
            <v>0</v>
          </cell>
          <cell r="H72">
            <v>23981</v>
          </cell>
          <cell r="I72">
            <v>23981</v>
          </cell>
          <cell r="J72">
            <v>43571</v>
          </cell>
          <cell r="K72">
            <v>17739</v>
          </cell>
        </row>
        <row r="73">
          <cell r="C73" t="str">
            <v>1991LA</v>
          </cell>
          <cell r="D73">
            <v>0</v>
          </cell>
          <cell r="E73">
            <v>0</v>
          </cell>
          <cell r="F73">
            <v>0</v>
          </cell>
          <cell r="G73">
            <v>0</v>
          </cell>
          <cell r="H73" t="str">
            <v>---</v>
          </cell>
          <cell r="I73">
            <v>0</v>
          </cell>
          <cell r="J73">
            <v>3151</v>
          </cell>
          <cell r="K73" t="str">
            <v>---</v>
          </cell>
        </row>
        <row r="74">
          <cell r="C74" t="str">
            <v>1991ME</v>
          </cell>
          <cell r="D74">
            <v>0</v>
          </cell>
          <cell r="E74">
            <v>0</v>
          </cell>
          <cell r="F74">
            <v>0</v>
          </cell>
          <cell r="G74">
            <v>0</v>
          </cell>
          <cell r="H74" t="str">
            <v>---</v>
          </cell>
          <cell r="I74">
            <v>0</v>
          </cell>
          <cell r="K74" t="str">
            <v>---</v>
          </cell>
        </row>
        <row r="75">
          <cell r="C75" t="str">
            <v>1991MD</v>
          </cell>
          <cell r="D75">
            <v>0</v>
          </cell>
          <cell r="E75">
            <v>0</v>
          </cell>
          <cell r="F75">
            <v>0</v>
          </cell>
          <cell r="G75">
            <v>0</v>
          </cell>
          <cell r="H75" t="str">
            <v>---</v>
          </cell>
          <cell r="I75">
            <v>0</v>
          </cell>
          <cell r="J75">
            <v>1112</v>
          </cell>
          <cell r="K75" t="str">
            <v>---</v>
          </cell>
        </row>
        <row r="76">
          <cell r="C76" t="str">
            <v>1991MA</v>
          </cell>
          <cell r="D76">
            <v>0</v>
          </cell>
          <cell r="E76">
            <v>0</v>
          </cell>
          <cell r="F76">
            <v>0</v>
          </cell>
          <cell r="G76">
            <v>0</v>
          </cell>
          <cell r="H76" t="str">
            <v>---</v>
          </cell>
          <cell r="I76">
            <v>0</v>
          </cell>
          <cell r="K76" t="str">
            <v>---</v>
          </cell>
        </row>
        <row r="77">
          <cell r="C77" t="str">
            <v>1991MI</v>
          </cell>
          <cell r="D77">
            <v>0</v>
          </cell>
          <cell r="E77">
            <v>0</v>
          </cell>
          <cell r="F77">
            <v>0</v>
          </cell>
          <cell r="G77">
            <v>0</v>
          </cell>
          <cell r="H77" t="str">
            <v>---</v>
          </cell>
          <cell r="I77">
            <v>0</v>
          </cell>
          <cell r="K77" t="str">
            <v>---</v>
          </cell>
        </row>
        <row r="78">
          <cell r="C78" t="str">
            <v>1991MN</v>
          </cell>
          <cell r="D78">
            <v>0</v>
          </cell>
          <cell r="E78">
            <v>0</v>
          </cell>
          <cell r="F78">
            <v>0</v>
          </cell>
          <cell r="G78">
            <v>0</v>
          </cell>
          <cell r="H78" t="str">
            <v>---</v>
          </cell>
          <cell r="I78">
            <v>0</v>
          </cell>
          <cell r="K78" t="str">
            <v>---</v>
          </cell>
        </row>
        <row r="79">
          <cell r="C79" t="str">
            <v>1991MS</v>
          </cell>
          <cell r="D79">
            <v>0</v>
          </cell>
          <cell r="E79">
            <v>0</v>
          </cell>
          <cell r="F79">
            <v>0</v>
          </cell>
          <cell r="G79">
            <v>0</v>
          </cell>
          <cell r="H79" t="str">
            <v>---</v>
          </cell>
          <cell r="I79">
            <v>0</v>
          </cell>
          <cell r="K79" t="str">
            <v>---</v>
          </cell>
        </row>
        <row r="80">
          <cell r="C80" t="str">
            <v>1991MO</v>
          </cell>
          <cell r="D80">
            <v>0</v>
          </cell>
          <cell r="E80">
            <v>0</v>
          </cell>
          <cell r="F80">
            <v>0</v>
          </cell>
          <cell r="G80">
            <v>0</v>
          </cell>
          <cell r="H80" t="str">
            <v>---</v>
          </cell>
          <cell r="I80">
            <v>0</v>
          </cell>
          <cell r="J80">
            <v>2304</v>
          </cell>
          <cell r="K80" t="str">
            <v>---</v>
          </cell>
        </row>
        <row r="81">
          <cell r="C81" t="str">
            <v>1991MT</v>
          </cell>
          <cell r="D81">
            <v>0</v>
          </cell>
          <cell r="E81">
            <v>0</v>
          </cell>
          <cell r="F81">
            <v>0</v>
          </cell>
          <cell r="G81">
            <v>0</v>
          </cell>
          <cell r="H81" t="str">
            <v>---</v>
          </cell>
          <cell r="I81">
            <v>0</v>
          </cell>
          <cell r="J81">
            <v>38227</v>
          </cell>
          <cell r="K81" t="str">
            <v>---</v>
          </cell>
        </row>
        <row r="82">
          <cell r="C82" t="str">
            <v>1991NE</v>
          </cell>
          <cell r="D82">
            <v>0</v>
          </cell>
          <cell r="E82">
            <v>0</v>
          </cell>
          <cell r="F82">
            <v>0</v>
          </cell>
          <cell r="G82">
            <v>0</v>
          </cell>
          <cell r="H82" t="str">
            <v>---</v>
          </cell>
          <cell r="I82">
            <v>0</v>
          </cell>
          <cell r="K82" t="str">
            <v>---</v>
          </cell>
        </row>
        <row r="83">
          <cell r="C83" t="str">
            <v>1991NV</v>
          </cell>
          <cell r="D83">
            <v>0</v>
          </cell>
          <cell r="E83">
            <v>0</v>
          </cell>
          <cell r="F83">
            <v>0</v>
          </cell>
          <cell r="G83">
            <v>0</v>
          </cell>
          <cell r="H83" t="str">
            <v>---</v>
          </cell>
          <cell r="I83">
            <v>0</v>
          </cell>
          <cell r="K83" t="str">
            <v>---</v>
          </cell>
        </row>
        <row r="84">
          <cell r="C84" t="str">
            <v>1991NH</v>
          </cell>
          <cell r="D84">
            <v>0</v>
          </cell>
          <cell r="E84">
            <v>0</v>
          </cell>
          <cell r="F84">
            <v>0</v>
          </cell>
          <cell r="G84">
            <v>0</v>
          </cell>
          <cell r="H84" t="str">
            <v>---</v>
          </cell>
          <cell r="I84">
            <v>0</v>
          </cell>
          <cell r="K84" t="str">
            <v>---</v>
          </cell>
        </row>
        <row r="85">
          <cell r="C85" t="str">
            <v>1991NJ</v>
          </cell>
          <cell r="D85">
            <v>0</v>
          </cell>
          <cell r="E85">
            <v>0</v>
          </cell>
          <cell r="F85">
            <v>0</v>
          </cell>
          <cell r="G85">
            <v>0</v>
          </cell>
          <cell r="H85" t="str">
            <v>---</v>
          </cell>
          <cell r="I85">
            <v>0</v>
          </cell>
          <cell r="K85" t="str">
            <v>---</v>
          </cell>
        </row>
        <row r="86">
          <cell r="C86" t="str">
            <v>1991NM</v>
          </cell>
          <cell r="D86">
            <v>0</v>
          </cell>
          <cell r="E86">
            <v>0</v>
          </cell>
          <cell r="F86">
            <v>0</v>
          </cell>
          <cell r="G86">
            <v>0</v>
          </cell>
          <cell r="H86" t="str">
            <v>---</v>
          </cell>
          <cell r="I86">
            <v>0</v>
          </cell>
          <cell r="J86">
            <v>21492</v>
          </cell>
          <cell r="K86" t="str">
            <v>---</v>
          </cell>
        </row>
        <row r="87">
          <cell r="C87" t="str">
            <v>1991NY</v>
          </cell>
          <cell r="D87">
            <v>0</v>
          </cell>
          <cell r="E87">
            <v>0</v>
          </cell>
          <cell r="F87">
            <v>0</v>
          </cell>
          <cell r="G87">
            <v>0</v>
          </cell>
          <cell r="H87" t="str">
            <v>---</v>
          </cell>
          <cell r="I87">
            <v>0</v>
          </cell>
          <cell r="K87" t="str">
            <v>---</v>
          </cell>
        </row>
        <row r="88">
          <cell r="C88" t="str">
            <v>1991NC</v>
          </cell>
          <cell r="D88">
            <v>0</v>
          </cell>
          <cell r="E88">
            <v>0</v>
          </cell>
          <cell r="F88">
            <v>0</v>
          </cell>
          <cell r="G88">
            <v>0</v>
          </cell>
          <cell r="H88" t="str">
            <v>---</v>
          </cell>
          <cell r="I88">
            <v>0</v>
          </cell>
          <cell r="K88" t="str">
            <v>---</v>
          </cell>
        </row>
        <row r="89">
          <cell r="C89" t="str">
            <v>1991ND</v>
          </cell>
          <cell r="D89">
            <v>0</v>
          </cell>
          <cell r="E89">
            <v>0</v>
          </cell>
          <cell r="F89">
            <v>0</v>
          </cell>
          <cell r="G89">
            <v>0</v>
          </cell>
          <cell r="H89" t="str">
            <v>---</v>
          </cell>
          <cell r="I89">
            <v>0</v>
          </cell>
          <cell r="J89">
            <v>29530</v>
          </cell>
          <cell r="K89" t="str">
            <v>---</v>
          </cell>
        </row>
        <row r="90">
          <cell r="C90" t="str">
            <v>1991OH</v>
          </cell>
          <cell r="D90">
            <v>0</v>
          </cell>
          <cell r="E90">
            <v>0</v>
          </cell>
          <cell r="F90">
            <v>0</v>
          </cell>
          <cell r="G90">
            <v>0</v>
          </cell>
          <cell r="H90" t="str">
            <v>---</v>
          </cell>
          <cell r="I90">
            <v>0</v>
          </cell>
          <cell r="J90">
            <v>18229</v>
          </cell>
          <cell r="K90" t="str">
            <v>---</v>
          </cell>
        </row>
        <row r="91">
          <cell r="C91" t="str">
            <v>1991OK</v>
          </cell>
          <cell r="D91">
            <v>0</v>
          </cell>
          <cell r="E91">
            <v>0</v>
          </cell>
          <cell r="F91">
            <v>0</v>
          </cell>
          <cell r="G91">
            <v>0</v>
          </cell>
          <cell r="H91" t="str">
            <v>---</v>
          </cell>
          <cell r="I91">
            <v>0</v>
          </cell>
          <cell r="J91">
            <v>1815</v>
          </cell>
          <cell r="K91" t="str">
            <v>---</v>
          </cell>
        </row>
        <row r="92">
          <cell r="C92" t="str">
            <v>1991OR</v>
          </cell>
          <cell r="D92">
            <v>0</v>
          </cell>
          <cell r="E92">
            <v>0</v>
          </cell>
          <cell r="F92">
            <v>0</v>
          </cell>
          <cell r="G92">
            <v>0</v>
          </cell>
          <cell r="H92" t="str">
            <v>---</v>
          </cell>
          <cell r="I92">
            <v>0</v>
          </cell>
          <cell r="K92" t="str">
            <v>---</v>
          </cell>
        </row>
        <row r="93">
          <cell r="C93" t="str">
            <v>1991PA</v>
          </cell>
          <cell r="D93">
            <v>0</v>
          </cell>
          <cell r="E93">
            <v>0</v>
          </cell>
          <cell r="F93">
            <v>0</v>
          </cell>
          <cell r="G93">
            <v>0</v>
          </cell>
          <cell r="H93" t="str">
            <v>---</v>
          </cell>
          <cell r="I93">
            <v>0</v>
          </cell>
          <cell r="J93">
            <v>23746</v>
          </cell>
          <cell r="K93" t="str">
            <v>---</v>
          </cell>
        </row>
        <row r="94">
          <cell r="C94" t="str">
            <v>1991RI</v>
          </cell>
          <cell r="D94">
            <v>0</v>
          </cell>
          <cell r="E94">
            <v>0</v>
          </cell>
          <cell r="F94">
            <v>0</v>
          </cell>
          <cell r="G94">
            <v>0</v>
          </cell>
          <cell r="H94" t="str">
            <v>---</v>
          </cell>
          <cell r="I94">
            <v>0</v>
          </cell>
          <cell r="K94" t="str">
            <v>---</v>
          </cell>
        </row>
        <row r="95">
          <cell r="C95" t="str">
            <v>1991SC</v>
          </cell>
          <cell r="D95">
            <v>0</v>
          </cell>
          <cell r="E95">
            <v>0</v>
          </cell>
          <cell r="F95">
            <v>0</v>
          </cell>
          <cell r="G95">
            <v>0</v>
          </cell>
          <cell r="H95" t="str">
            <v>---</v>
          </cell>
          <cell r="I95">
            <v>0</v>
          </cell>
          <cell r="K95" t="str">
            <v>---</v>
          </cell>
        </row>
        <row r="96">
          <cell r="C96" t="str">
            <v>1991SD</v>
          </cell>
          <cell r="D96">
            <v>0</v>
          </cell>
          <cell r="E96">
            <v>0</v>
          </cell>
          <cell r="F96">
            <v>0</v>
          </cell>
          <cell r="G96">
            <v>0</v>
          </cell>
          <cell r="H96" t="str">
            <v>---</v>
          </cell>
          <cell r="I96">
            <v>0</v>
          </cell>
          <cell r="K96" t="str">
            <v>---</v>
          </cell>
        </row>
        <row r="97">
          <cell r="C97" t="str">
            <v>1991TN</v>
          </cell>
          <cell r="D97">
            <v>0</v>
          </cell>
          <cell r="E97">
            <v>0</v>
          </cell>
          <cell r="F97">
            <v>0</v>
          </cell>
          <cell r="G97">
            <v>0</v>
          </cell>
          <cell r="H97" t="str">
            <v>---</v>
          </cell>
          <cell r="I97">
            <v>0</v>
          </cell>
          <cell r="J97">
            <v>1197</v>
          </cell>
          <cell r="K97" t="str">
            <v>---</v>
          </cell>
        </row>
        <row r="98">
          <cell r="C98" t="str">
            <v>1991TX</v>
          </cell>
          <cell r="D98">
            <v>0</v>
          </cell>
          <cell r="E98">
            <v>0</v>
          </cell>
          <cell r="F98">
            <v>0</v>
          </cell>
          <cell r="G98">
            <v>0</v>
          </cell>
          <cell r="H98" t="str">
            <v>---</v>
          </cell>
          <cell r="I98">
            <v>0</v>
          </cell>
          <cell r="J98">
            <v>53825</v>
          </cell>
          <cell r="K98" t="str">
            <v>---</v>
          </cell>
        </row>
        <row r="99">
          <cell r="C99" t="str">
            <v>1991UT</v>
          </cell>
          <cell r="D99">
            <v>0</v>
          </cell>
          <cell r="E99">
            <v>0</v>
          </cell>
          <cell r="F99">
            <v>130.29808999999977</v>
          </cell>
          <cell r="G99">
            <v>0</v>
          </cell>
          <cell r="H99" t="str">
            <v>---</v>
          </cell>
          <cell r="I99">
            <v>0</v>
          </cell>
          <cell r="K99" t="str">
            <v>---</v>
          </cell>
        </row>
        <row r="100">
          <cell r="C100" t="str">
            <v>1991VT</v>
          </cell>
          <cell r="D100">
            <v>0</v>
          </cell>
          <cell r="E100">
            <v>0</v>
          </cell>
          <cell r="F100">
            <v>0</v>
          </cell>
          <cell r="G100">
            <v>0</v>
          </cell>
          <cell r="H100" t="str">
            <v>---</v>
          </cell>
          <cell r="I100">
            <v>0</v>
          </cell>
          <cell r="K100" t="str">
            <v>---</v>
          </cell>
        </row>
        <row r="101">
          <cell r="C101" t="str">
            <v>1991VA</v>
          </cell>
          <cell r="D101">
            <v>0</v>
          </cell>
          <cell r="E101">
            <v>0</v>
          </cell>
          <cell r="F101">
            <v>608.20655399999998</v>
          </cell>
          <cell r="G101">
            <v>0</v>
          </cell>
          <cell r="H101" t="str">
            <v>---</v>
          </cell>
          <cell r="I101">
            <v>0</v>
          </cell>
          <cell r="J101">
            <v>7777</v>
          </cell>
          <cell r="K101" t="str">
            <v>---</v>
          </cell>
        </row>
        <row r="102">
          <cell r="C102" t="str">
            <v>1991WA</v>
          </cell>
          <cell r="D102">
            <v>0</v>
          </cell>
          <cell r="E102">
            <v>0</v>
          </cell>
          <cell r="F102">
            <v>0</v>
          </cell>
          <cell r="G102">
            <v>0</v>
          </cell>
          <cell r="H102" t="str">
            <v>---</v>
          </cell>
          <cell r="I102">
            <v>0</v>
          </cell>
          <cell r="J102">
            <v>5143</v>
          </cell>
          <cell r="K102" t="str">
            <v>---</v>
          </cell>
        </row>
        <row r="103">
          <cell r="C103" t="str">
            <v>1991WV</v>
          </cell>
          <cell r="D103">
            <v>0</v>
          </cell>
          <cell r="E103">
            <v>0</v>
          </cell>
          <cell r="F103">
            <v>365</v>
          </cell>
          <cell r="G103">
            <v>0</v>
          </cell>
          <cell r="H103">
            <v>47862.8</v>
          </cell>
          <cell r="I103">
            <v>47862.8</v>
          </cell>
          <cell r="J103">
            <v>39239.910000000003</v>
          </cell>
          <cell r="K103">
            <v>8037.09</v>
          </cell>
        </row>
        <row r="104">
          <cell r="C104" t="str">
            <v>1991WI</v>
          </cell>
          <cell r="D104">
            <v>0</v>
          </cell>
          <cell r="E104">
            <v>0</v>
          </cell>
          <cell r="F104">
            <v>0</v>
          </cell>
          <cell r="G104">
            <v>0</v>
          </cell>
          <cell r="H104" t="str">
            <v>---</v>
          </cell>
          <cell r="I104">
            <v>0</v>
          </cell>
          <cell r="K104" t="str">
            <v>---</v>
          </cell>
        </row>
        <row r="105">
          <cell r="C105" t="str">
            <v>1991WY</v>
          </cell>
          <cell r="D105">
            <v>0</v>
          </cell>
          <cell r="E105">
            <v>0</v>
          </cell>
          <cell r="F105">
            <v>0</v>
          </cell>
          <cell r="G105">
            <v>0</v>
          </cell>
          <cell r="H105" t="str">
            <v>---</v>
          </cell>
          <cell r="I105">
            <v>0</v>
          </cell>
          <cell r="J105">
            <v>191437</v>
          </cell>
          <cell r="K105" t="str">
            <v>---</v>
          </cell>
        </row>
        <row r="106">
          <cell r="C106" t="str">
            <v>1992AL</v>
          </cell>
          <cell r="D106">
            <v>0</v>
          </cell>
          <cell r="E106">
            <v>0</v>
          </cell>
          <cell r="F106">
            <v>12793.12168</v>
          </cell>
          <cell r="G106">
            <v>0</v>
          </cell>
          <cell r="H106" t="str">
            <v>---</v>
          </cell>
          <cell r="I106">
            <v>0</v>
          </cell>
          <cell r="J106">
            <v>9775</v>
          </cell>
          <cell r="K106" t="str">
            <v>---</v>
          </cell>
        </row>
        <row r="107">
          <cell r="C107" t="str">
            <v>1992AK</v>
          </cell>
          <cell r="D107">
            <v>0</v>
          </cell>
          <cell r="E107">
            <v>0</v>
          </cell>
          <cell r="F107">
            <v>0</v>
          </cell>
          <cell r="G107">
            <v>0</v>
          </cell>
          <cell r="H107" t="str">
            <v>---</v>
          </cell>
          <cell r="I107">
            <v>0</v>
          </cell>
          <cell r="J107">
            <v>1534</v>
          </cell>
          <cell r="K107" t="str">
            <v>---</v>
          </cell>
        </row>
        <row r="108">
          <cell r="C108" t="str">
            <v>1992AZ</v>
          </cell>
          <cell r="D108">
            <v>0</v>
          </cell>
          <cell r="E108">
            <v>0</v>
          </cell>
          <cell r="F108">
            <v>0</v>
          </cell>
          <cell r="G108">
            <v>0</v>
          </cell>
          <cell r="H108" t="str">
            <v>---</v>
          </cell>
          <cell r="I108">
            <v>0</v>
          </cell>
          <cell r="J108">
            <v>12512</v>
          </cell>
          <cell r="K108" t="str">
            <v>---</v>
          </cell>
        </row>
        <row r="109">
          <cell r="C109" t="str">
            <v>1992AR</v>
          </cell>
          <cell r="D109">
            <v>0</v>
          </cell>
          <cell r="E109">
            <v>0</v>
          </cell>
          <cell r="F109">
            <v>0</v>
          </cell>
          <cell r="G109">
            <v>0</v>
          </cell>
          <cell r="H109" t="str">
            <v>---</v>
          </cell>
          <cell r="I109">
            <v>0</v>
          </cell>
          <cell r="J109">
            <v>46</v>
          </cell>
          <cell r="K109" t="str">
            <v>---</v>
          </cell>
        </row>
        <row r="110">
          <cell r="C110" t="str">
            <v>1992CA</v>
          </cell>
          <cell r="D110">
            <v>0</v>
          </cell>
          <cell r="E110">
            <v>0</v>
          </cell>
          <cell r="F110">
            <v>0</v>
          </cell>
          <cell r="G110">
            <v>0</v>
          </cell>
          <cell r="H110" t="str">
            <v>---</v>
          </cell>
          <cell r="I110">
            <v>0</v>
          </cell>
          <cell r="J110">
            <v>103</v>
          </cell>
          <cell r="K110" t="str">
            <v>---</v>
          </cell>
        </row>
        <row r="111">
          <cell r="C111" t="str">
            <v>1992CO</v>
          </cell>
          <cell r="D111">
            <v>0</v>
          </cell>
          <cell r="E111">
            <v>0</v>
          </cell>
          <cell r="F111">
            <v>0</v>
          </cell>
          <cell r="G111">
            <v>0</v>
          </cell>
          <cell r="H111" t="str">
            <v>---</v>
          </cell>
          <cell r="I111">
            <v>0</v>
          </cell>
          <cell r="J111">
            <v>8981</v>
          </cell>
          <cell r="K111" t="str">
            <v>---</v>
          </cell>
        </row>
        <row r="112">
          <cell r="C112" t="str">
            <v>1992CT</v>
          </cell>
          <cell r="D112">
            <v>0</v>
          </cell>
          <cell r="E112">
            <v>0</v>
          </cell>
          <cell r="F112">
            <v>0</v>
          </cell>
          <cell r="G112">
            <v>0</v>
          </cell>
          <cell r="H112" t="str">
            <v>---</v>
          </cell>
          <cell r="I112">
            <v>0</v>
          </cell>
          <cell r="K112" t="str">
            <v>---</v>
          </cell>
        </row>
        <row r="113">
          <cell r="C113" t="str">
            <v>1992DE</v>
          </cell>
          <cell r="D113">
            <v>0</v>
          </cell>
          <cell r="E113">
            <v>0</v>
          </cell>
          <cell r="F113">
            <v>0</v>
          </cell>
          <cell r="G113">
            <v>0</v>
          </cell>
          <cell r="H113" t="str">
            <v>---</v>
          </cell>
          <cell r="I113">
            <v>0</v>
          </cell>
          <cell r="K113" t="str">
            <v>---</v>
          </cell>
        </row>
        <row r="114">
          <cell r="C114" t="str">
            <v>1992FL</v>
          </cell>
          <cell r="D114">
            <v>0</v>
          </cell>
          <cell r="E114">
            <v>0</v>
          </cell>
          <cell r="F114">
            <v>0</v>
          </cell>
          <cell r="G114">
            <v>0</v>
          </cell>
          <cell r="H114" t="str">
            <v>---</v>
          </cell>
          <cell r="I114">
            <v>0</v>
          </cell>
          <cell r="K114" t="str">
            <v>---</v>
          </cell>
        </row>
        <row r="115">
          <cell r="C115" t="str">
            <v>1992GA</v>
          </cell>
          <cell r="D115">
            <v>0</v>
          </cell>
          <cell r="E115">
            <v>0</v>
          </cell>
          <cell r="F115">
            <v>0</v>
          </cell>
          <cell r="G115">
            <v>0</v>
          </cell>
          <cell r="H115" t="str">
            <v>---</v>
          </cell>
          <cell r="I115">
            <v>0</v>
          </cell>
          <cell r="K115" t="str">
            <v>---</v>
          </cell>
        </row>
        <row r="116">
          <cell r="C116" t="str">
            <v>1992HI</v>
          </cell>
          <cell r="D116">
            <v>0</v>
          </cell>
          <cell r="E116">
            <v>0</v>
          </cell>
          <cell r="F116">
            <v>0</v>
          </cell>
          <cell r="G116">
            <v>0</v>
          </cell>
          <cell r="H116" t="str">
            <v>---</v>
          </cell>
          <cell r="I116">
            <v>0</v>
          </cell>
          <cell r="K116" t="str">
            <v>---</v>
          </cell>
        </row>
        <row r="117">
          <cell r="C117" t="str">
            <v>1992ID</v>
          </cell>
          <cell r="D117">
            <v>0</v>
          </cell>
          <cell r="E117">
            <v>0</v>
          </cell>
          <cell r="F117">
            <v>0</v>
          </cell>
          <cell r="G117">
            <v>0</v>
          </cell>
          <cell r="H117" t="str">
            <v>---</v>
          </cell>
          <cell r="I117">
            <v>0</v>
          </cell>
          <cell r="K117" t="str">
            <v>---</v>
          </cell>
        </row>
        <row r="118">
          <cell r="C118" t="str">
            <v>1992IL</v>
          </cell>
          <cell r="D118">
            <v>0</v>
          </cell>
          <cell r="E118">
            <v>0</v>
          </cell>
          <cell r="F118">
            <v>0</v>
          </cell>
          <cell r="G118">
            <v>0</v>
          </cell>
          <cell r="H118" t="str">
            <v>---</v>
          </cell>
          <cell r="I118">
            <v>0</v>
          </cell>
          <cell r="J118">
            <v>12892</v>
          </cell>
          <cell r="K118" t="str">
            <v>---</v>
          </cell>
        </row>
        <row r="119">
          <cell r="C119" t="str">
            <v>1992IN</v>
          </cell>
          <cell r="D119">
            <v>0</v>
          </cell>
          <cell r="E119">
            <v>0</v>
          </cell>
          <cell r="F119">
            <v>0</v>
          </cell>
          <cell r="G119">
            <v>0</v>
          </cell>
          <cell r="H119" t="str">
            <v>---</v>
          </cell>
          <cell r="I119">
            <v>0</v>
          </cell>
          <cell r="J119">
            <v>27820</v>
          </cell>
          <cell r="K119" t="str">
            <v>---</v>
          </cell>
        </row>
        <row r="120">
          <cell r="C120" t="str">
            <v>1992IA</v>
          </cell>
          <cell r="D120">
            <v>0</v>
          </cell>
          <cell r="E120">
            <v>0</v>
          </cell>
          <cell r="F120">
            <v>0</v>
          </cell>
          <cell r="G120">
            <v>0</v>
          </cell>
          <cell r="H120" t="str">
            <v>---</v>
          </cell>
          <cell r="I120">
            <v>0</v>
          </cell>
          <cell r="J120">
            <v>289</v>
          </cell>
          <cell r="K120" t="str">
            <v>---</v>
          </cell>
        </row>
        <row r="121">
          <cell r="C121" t="str">
            <v>1992KS</v>
          </cell>
          <cell r="D121">
            <v>0</v>
          </cell>
          <cell r="E121">
            <v>0</v>
          </cell>
          <cell r="F121">
            <v>0</v>
          </cell>
          <cell r="G121">
            <v>0</v>
          </cell>
          <cell r="H121" t="str">
            <v>---</v>
          </cell>
          <cell r="I121">
            <v>0</v>
          </cell>
          <cell r="J121">
            <v>363</v>
          </cell>
          <cell r="K121" t="str">
            <v>---</v>
          </cell>
        </row>
        <row r="122">
          <cell r="C122" t="str">
            <v>1992KY</v>
          </cell>
          <cell r="D122">
            <v>0</v>
          </cell>
          <cell r="E122">
            <v>0</v>
          </cell>
          <cell r="F122">
            <v>0</v>
          </cell>
          <cell r="G122">
            <v>0</v>
          </cell>
          <cell r="H122">
            <v>23548</v>
          </cell>
          <cell r="I122">
            <v>23548</v>
          </cell>
          <cell r="J122">
            <v>46683</v>
          </cell>
          <cell r="K122">
            <v>18102</v>
          </cell>
        </row>
        <row r="123">
          <cell r="C123" t="str">
            <v>1992LA</v>
          </cell>
          <cell r="D123">
            <v>0</v>
          </cell>
          <cell r="E123">
            <v>0</v>
          </cell>
          <cell r="F123">
            <v>0</v>
          </cell>
          <cell r="G123">
            <v>0</v>
          </cell>
          <cell r="H123" t="str">
            <v>---</v>
          </cell>
          <cell r="I123">
            <v>0</v>
          </cell>
          <cell r="J123">
            <v>3240</v>
          </cell>
          <cell r="K123" t="str">
            <v>---</v>
          </cell>
        </row>
        <row r="124">
          <cell r="C124" t="str">
            <v>1992ME</v>
          </cell>
          <cell r="D124">
            <v>0</v>
          </cell>
          <cell r="E124">
            <v>0</v>
          </cell>
          <cell r="F124">
            <v>0</v>
          </cell>
          <cell r="G124">
            <v>0</v>
          </cell>
          <cell r="H124" t="str">
            <v>---</v>
          </cell>
          <cell r="I124">
            <v>0</v>
          </cell>
          <cell r="K124" t="str">
            <v>---</v>
          </cell>
        </row>
        <row r="125">
          <cell r="C125" t="str">
            <v>1992MD</v>
          </cell>
          <cell r="D125">
            <v>0</v>
          </cell>
          <cell r="E125">
            <v>0</v>
          </cell>
          <cell r="F125">
            <v>0</v>
          </cell>
          <cell r="G125">
            <v>0</v>
          </cell>
          <cell r="H125" t="str">
            <v>---</v>
          </cell>
          <cell r="I125">
            <v>0</v>
          </cell>
          <cell r="J125">
            <v>1032</v>
          </cell>
          <cell r="K125" t="str">
            <v>---</v>
          </cell>
        </row>
        <row r="126">
          <cell r="C126" t="str">
            <v>1992MA</v>
          </cell>
          <cell r="D126">
            <v>0</v>
          </cell>
          <cell r="E126">
            <v>0</v>
          </cell>
          <cell r="F126">
            <v>0</v>
          </cell>
          <cell r="G126">
            <v>0</v>
          </cell>
          <cell r="H126" t="str">
            <v>---</v>
          </cell>
          <cell r="I126">
            <v>0</v>
          </cell>
          <cell r="K126" t="str">
            <v>---</v>
          </cell>
        </row>
        <row r="127">
          <cell r="C127" t="str">
            <v>1992MI</v>
          </cell>
          <cell r="D127">
            <v>0</v>
          </cell>
          <cell r="E127">
            <v>0</v>
          </cell>
          <cell r="F127">
            <v>0</v>
          </cell>
          <cell r="G127">
            <v>0</v>
          </cell>
          <cell r="H127" t="str">
            <v>---</v>
          </cell>
          <cell r="I127">
            <v>0</v>
          </cell>
          <cell r="K127" t="str">
            <v>---</v>
          </cell>
        </row>
        <row r="128">
          <cell r="C128" t="str">
            <v>1992MN</v>
          </cell>
          <cell r="D128">
            <v>0</v>
          </cell>
          <cell r="E128">
            <v>0</v>
          </cell>
          <cell r="F128">
            <v>0</v>
          </cell>
          <cell r="G128">
            <v>0</v>
          </cell>
          <cell r="H128" t="str">
            <v>---</v>
          </cell>
          <cell r="I128">
            <v>0</v>
          </cell>
          <cell r="K128" t="str">
            <v>---</v>
          </cell>
        </row>
        <row r="129">
          <cell r="C129" t="str">
            <v>1992MS</v>
          </cell>
          <cell r="D129">
            <v>0</v>
          </cell>
          <cell r="E129">
            <v>0</v>
          </cell>
          <cell r="F129">
            <v>0</v>
          </cell>
          <cell r="G129">
            <v>0</v>
          </cell>
          <cell r="H129" t="str">
            <v>---</v>
          </cell>
          <cell r="I129">
            <v>0</v>
          </cell>
          <cell r="K129" t="str">
            <v>---</v>
          </cell>
        </row>
        <row r="130">
          <cell r="C130" t="str">
            <v>1992MO</v>
          </cell>
          <cell r="D130">
            <v>0</v>
          </cell>
          <cell r="E130">
            <v>0</v>
          </cell>
          <cell r="F130">
            <v>0</v>
          </cell>
          <cell r="G130">
            <v>0</v>
          </cell>
          <cell r="H130" t="str">
            <v>---</v>
          </cell>
          <cell r="I130">
            <v>0</v>
          </cell>
          <cell r="J130">
            <v>2878</v>
          </cell>
          <cell r="K130" t="str">
            <v>---</v>
          </cell>
        </row>
        <row r="131">
          <cell r="C131" t="str">
            <v>1992MT</v>
          </cell>
          <cell r="D131">
            <v>0</v>
          </cell>
          <cell r="E131">
            <v>0</v>
          </cell>
          <cell r="F131">
            <v>0</v>
          </cell>
          <cell r="G131">
            <v>0</v>
          </cell>
          <cell r="H131" t="str">
            <v>---</v>
          </cell>
          <cell r="I131">
            <v>0</v>
          </cell>
          <cell r="J131">
            <v>38879</v>
          </cell>
          <cell r="K131" t="str">
            <v>---</v>
          </cell>
        </row>
        <row r="132">
          <cell r="C132" t="str">
            <v>1992NE</v>
          </cell>
          <cell r="D132">
            <v>0</v>
          </cell>
          <cell r="E132">
            <v>0</v>
          </cell>
          <cell r="F132">
            <v>0</v>
          </cell>
          <cell r="G132">
            <v>0</v>
          </cell>
          <cell r="H132" t="str">
            <v>---</v>
          </cell>
          <cell r="I132">
            <v>0</v>
          </cell>
          <cell r="K132" t="str">
            <v>---</v>
          </cell>
        </row>
        <row r="133">
          <cell r="C133" t="str">
            <v>1992NV</v>
          </cell>
          <cell r="D133">
            <v>0</v>
          </cell>
          <cell r="E133">
            <v>0</v>
          </cell>
          <cell r="F133">
            <v>0</v>
          </cell>
          <cell r="G133">
            <v>0</v>
          </cell>
          <cell r="H133" t="str">
            <v>---</v>
          </cell>
          <cell r="I133">
            <v>0</v>
          </cell>
          <cell r="K133" t="str">
            <v>---</v>
          </cell>
        </row>
        <row r="134">
          <cell r="C134" t="str">
            <v>1992NH</v>
          </cell>
          <cell r="D134">
            <v>0</v>
          </cell>
          <cell r="E134">
            <v>0</v>
          </cell>
          <cell r="F134">
            <v>0</v>
          </cell>
          <cell r="G134">
            <v>0</v>
          </cell>
          <cell r="H134" t="str">
            <v>---</v>
          </cell>
          <cell r="I134">
            <v>0</v>
          </cell>
          <cell r="K134" t="str">
            <v>---</v>
          </cell>
        </row>
        <row r="135">
          <cell r="C135" t="str">
            <v>1992NJ</v>
          </cell>
          <cell r="D135">
            <v>0</v>
          </cell>
          <cell r="E135">
            <v>0</v>
          </cell>
          <cell r="F135">
            <v>0</v>
          </cell>
          <cell r="G135">
            <v>0</v>
          </cell>
          <cell r="H135" t="str">
            <v>---</v>
          </cell>
          <cell r="I135">
            <v>0</v>
          </cell>
          <cell r="K135" t="str">
            <v>---</v>
          </cell>
        </row>
        <row r="136">
          <cell r="C136" t="str">
            <v>1992NM</v>
          </cell>
          <cell r="D136">
            <v>0</v>
          </cell>
          <cell r="E136">
            <v>0</v>
          </cell>
          <cell r="F136">
            <v>0</v>
          </cell>
          <cell r="G136">
            <v>0</v>
          </cell>
          <cell r="H136" t="str">
            <v>---</v>
          </cell>
          <cell r="I136">
            <v>0</v>
          </cell>
          <cell r="J136">
            <v>24456</v>
          </cell>
          <cell r="K136" t="str">
            <v>---</v>
          </cell>
        </row>
        <row r="137">
          <cell r="C137" t="str">
            <v>1992NY</v>
          </cell>
          <cell r="D137">
            <v>0</v>
          </cell>
          <cell r="E137">
            <v>0</v>
          </cell>
          <cell r="F137">
            <v>0</v>
          </cell>
          <cell r="G137">
            <v>0</v>
          </cell>
          <cell r="H137" t="str">
            <v>---</v>
          </cell>
          <cell r="I137">
            <v>0</v>
          </cell>
          <cell r="K137" t="str">
            <v>---</v>
          </cell>
        </row>
        <row r="138">
          <cell r="C138" t="str">
            <v>1992NC</v>
          </cell>
          <cell r="D138">
            <v>0</v>
          </cell>
          <cell r="E138">
            <v>0</v>
          </cell>
          <cell r="F138">
            <v>0</v>
          </cell>
          <cell r="G138">
            <v>0</v>
          </cell>
          <cell r="H138" t="str">
            <v>---</v>
          </cell>
          <cell r="I138">
            <v>0</v>
          </cell>
          <cell r="K138" t="str">
            <v>---</v>
          </cell>
        </row>
        <row r="139">
          <cell r="C139" t="str">
            <v>1992ND</v>
          </cell>
          <cell r="D139">
            <v>0</v>
          </cell>
          <cell r="E139">
            <v>0</v>
          </cell>
          <cell r="F139">
            <v>0</v>
          </cell>
          <cell r="G139">
            <v>0</v>
          </cell>
          <cell r="H139" t="str">
            <v>---</v>
          </cell>
          <cell r="I139">
            <v>0</v>
          </cell>
          <cell r="J139">
            <v>31744</v>
          </cell>
          <cell r="K139" t="str">
            <v>---</v>
          </cell>
        </row>
        <row r="140">
          <cell r="C140" t="str">
            <v>1992OH</v>
          </cell>
          <cell r="D140">
            <v>0</v>
          </cell>
          <cell r="E140">
            <v>0</v>
          </cell>
          <cell r="F140">
            <v>0</v>
          </cell>
          <cell r="G140">
            <v>0</v>
          </cell>
          <cell r="H140" t="str">
            <v>---</v>
          </cell>
          <cell r="I140">
            <v>0</v>
          </cell>
          <cell r="J140">
            <v>18218</v>
          </cell>
          <cell r="K140" t="str">
            <v>---</v>
          </cell>
        </row>
        <row r="141">
          <cell r="C141" t="str">
            <v>1992OK</v>
          </cell>
          <cell r="D141">
            <v>0</v>
          </cell>
          <cell r="E141">
            <v>0</v>
          </cell>
          <cell r="F141">
            <v>0</v>
          </cell>
          <cell r="G141">
            <v>0</v>
          </cell>
          <cell r="H141" t="str">
            <v>---</v>
          </cell>
          <cell r="I141">
            <v>0</v>
          </cell>
          <cell r="J141">
            <v>1675</v>
          </cell>
          <cell r="K141" t="str">
            <v>---</v>
          </cell>
        </row>
        <row r="142">
          <cell r="C142" t="str">
            <v>1992OR</v>
          </cell>
          <cell r="D142">
            <v>0</v>
          </cell>
          <cell r="E142">
            <v>0</v>
          </cell>
          <cell r="F142">
            <v>0</v>
          </cell>
          <cell r="G142">
            <v>0</v>
          </cell>
          <cell r="H142" t="str">
            <v>---</v>
          </cell>
          <cell r="I142">
            <v>0</v>
          </cell>
          <cell r="K142" t="str">
            <v>---</v>
          </cell>
        </row>
        <row r="143">
          <cell r="C143" t="str">
            <v>1992PA</v>
          </cell>
          <cell r="D143">
            <v>0</v>
          </cell>
          <cell r="E143">
            <v>0</v>
          </cell>
          <cell r="F143">
            <v>0</v>
          </cell>
          <cell r="G143">
            <v>0</v>
          </cell>
          <cell r="H143" t="str">
            <v>---</v>
          </cell>
          <cell r="I143">
            <v>0</v>
          </cell>
          <cell r="J143">
            <v>23316</v>
          </cell>
          <cell r="K143" t="str">
            <v>---</v>
          </cell>
        </row>
        <row r="144">
          <cell r="C144" t="str">
            <v>1992RI</v>
          </cell>
          <cell r="D144">
            <v>0</v>
          </cell>
          <cell r="E144">
            <v>0</v>
          </cell>
          <cell r="F144">
            <v>0</v>
          </cell>
          <cell r="G144">
            <v>0</v>
          </cell>
          <cell r="H144" t="str">
            <v>---</v>
          </cell>
          <cell r="I144">
            <v>0</v>
          </cell>
          <cell r="K144" t="str">
            <v>---</v>
          </cell>
        </row>
        <row r="145">
          <cell r="C145" t="str">
            <v>1992SC</v>
          </cell>
          <cell r="D145">
            <v>0</v>
          </cell>
          <cell r="E145">
            <v>0</v>
          </cell>
          <cell r="F145">
            <v>0</v>
          </cell>
          <cell r="G145">
            <v>0</v>
          </cell>
          <cell r="H145" t="str">
            <v>---</v>
          </cell>
          <cell r="I145">
            <v>0</v>
          </cell>
          <cell r="K145" t="str">
            <v>---</v>
          </cell>
        </row>
        <row r="146">
          <cell r="C146" t="str">
            <v>1992SD</v>
          </cell>
          <cell r="D146">
            <v>0</v>
          </cell>
          <cell r="E146">
            <v>0</v>
          </cell>
          <cell r="F146">
            <v>0</v>
          </cell>
          <cell r="G146">
            <v>0</v>
          </cell>
          <cell r="H146" t="str">
            <v>---</v>
          </cell>
          <cell r="I146">
            <v>0</v>
          </cell>
          <cell r="K146" t="str">
            <v>---</v>
          </cell>
        </row>
        <row r="147">
          <cell r="C147" t="str">
            <v>1992TN</v>
          </cell>
          <cell r="D147">
            <v>0</v>
          </cell>
          <cell r="E147">
            <v>0</v>
          </cell>
          <cell r="F147">
            <v>0</v>
          </cell>
          <cell r="G147">
            <v>0</v>
          </cell>
          <cell r="H147" t="str">
            <v>---</v>
          </cell>
          <cell r="I147">
            <v>0</v>
          </cell>
          <cell r="J147">
            <v>1428</v>
          </cell>
          <cell r="K147" t="str">
            <v>---</v>
          </cell>
        </row>
        <row r="148">
          <cell r="C148" t="str">
            <v>1992TX</v>
          </cell>
          <cell r="D148">
            <v>0</v>
          </cell>
          <cell r="E148">
            <v>0</v>
          </cell>
          <cell r="F148">
            <v>0</v>
          </cell>
          <cell r="G148">
            <v>0</v>
          </cell>
          <cell r="H148" t="str">
            <v>---</v>
          </cell>
          <cell r="I148">
            <v>0</v>
          </cell>
          <cell r="J148">
            <v>55071</v>
          </cell>
          <cell r="K148" t="str">
            <v>---</v>
          </cell>
        </row>
        <row r="149">
          <cell r="C149" t="str">
            <v>1992UT</v>
          </cell>
          <cell r="D149">
            <v>0</v>
          </cell>
          <cell r="E149">
            <v>0</v>
          </cell>
          <cell r="F149">
            <v>130.29808999999977</v>
          </cell>
          <cell r="G149">
            <v>0</v>
          </cell>
          <cell r="H149" t="str">
            <v>---</v>
          </cell>
          <cell r="I149">
            <v>0</v>
          </cell>
          <cell r="K149" t="str">
            <v>---</v>
          </cell>
        </row>
        <row r="150">
          <cell r="C150" t="str">
            <v>1992VT</v>
          </cell>
          <cell r="D150">
            <v>0</v>
          </cell>
          <cell r="E150">
            <v>0</v>
          </cell>
          <cell r="F150">
            <v>0</v>
          </cell>
          <cell r="G150">
            <v>0</v>
          </cell>
          <cell r="H150" t="str">
            <v>---</v>
          </cell>
          <cell r="I150">
            <v>0</v>
          </cell>
          <cell r="K150" t="str">
            <v>---</v>
          </cell>
        </row>
        <row r="151">
          <cell r="C151" t="str">
            <v>1992VA</v>
          </cell>
          <cell r="D151">
            <v>0</v>
          </cell>
          <cell r="E151">
            <v>0</v>
          </cell>
          <cell r="F151">
            <v>3771.9525600000002</v>
          </cell>
          <cell r="G151">
            <v>0</v>
          </cell>
          <cell r="H151" t="str">
            <v>---</v>
          </cell>
          <cell r="I151">
            <v>0</v>
          </cell>
          <cell r="J151">
            <v>8259</v>
          </cell>
          <cell r="K151" t="str">
            <v>---</v>
          </cell>
        </row>
        <row r="152">
          <cell r="C152" t="str">
            <v>1992WA</v>
          </cell>
          <cell r="D152">
            <v>0</v>
          </cell>
          <cell r="E152">
            <v>0</v>
          </cell>
          <cell r="F152">
            <v>0</v>
          </cell>
          <cell r="G152">
            <v>0</v>
          </cell>
          <cell r="H152" t="str">
            <v>---</v>
          </cell>
          <cell r="I152">
            <v>0</v>
          </cell>
          <cell r="J152">
            <v>5251</v>
          </cell>
          <cell r="K152" t="str">
            <v>---</v>
          </cell>
        </row>
        <row r="153">
          <cell r="C153" t="str">
            <v>1992WV</v>
          </cell>
          <cell r="D153">
            <v>0</v>
          </cell>
          <cell r="E153">
            <v>0</v>
          </cell>
          <cell r="F153">
            <v>365</v>
          </cell>
          <cell r="G153">
            <v>0</v>
          </cell>
          <cell r="H153">
            <v>46037.2</v>
          </cell>
          <cell r="I153">
            <v>46037.2</v>
          </cell>
          <cell r="J153">
            <v>38793.370000000003</v>
          </cell>
          <cell r="K153">
            <v>7945.63</v>
          </cell>
        </row>
        <row r="154">
          <cell r="C154" t="str">
            <v>1992WI</v>
          </cell>
          <cell r="D154">
            <v>0</v>
          </cell>
          <cell r="E154">
            <v>0</v>
          </cell>
          <cell r="F154">
            <v>0</v>
          </cell>
          <cell r="G154">
            <v>0</v>
          </cell>
          <cell r="H154" t="str">
            <v>---</v>
          </cell>
          <cell r="I154">
            <v>0</v>
          </cell>
          <cell r="K154" t="str">
            <v>---</v>
          </cell>
        </row>
        <row r="155">
          <cell r="C155" t="str">
            <v>1992WY</v>
          </cell>
          <cell r="D155">
            <v>0</v>
          </cell>
          <cell r="E155">
            <v>0</v>
          </cell>
          <cell r="F155">
            <v>0</v>
          </cell>
          <cell r="G155">
            <v>0</v>
          </cell>
          <cell r="H155" t="str">
            <v>---</v>
          </cell>
          <cell r="I155">
            <v>0</v>
          </cell>
          <cell r="J155">
            <v>187658</v>
          </cell>
          <cell r="K155" t="str">
            <v>---</v>
          </cell>
        </row>
        <row r="156">
          <cell r="C156" t="str">
            <v>1993AL</v>
          </cell>
          <cell r="D156">
            <v>23815.875415765116</v>
          </cell>
          <cell r="E156">
            <v>11281.539719999999</v>
          </cell>
          <cell r="F156">
            <v>11281.539720000001</v>
          </cell>
          <cell r="G156">
            <v>0</v>
          </cell>
          <cell r="H156" t="str">
            <v>---</v>
          </cell>
          <cell r="I156">
            <v>0</v>
          </cell>
          <cell r="J156">
            <v>9211</v>
          </cell>
          <cell r="K156" t="str">
            <v>---</v>
          </cell>
        </row>
        <row r="157">
          <cell r="C157" t="str">
            <v>1993AK</v>
          </cell>
          <cell r="D157">
            <v>0</v>
          </cell>
          <cell r="E157">
            <v>0</v>
          </cell>
          <cell r="F157">
            <v>0</v>
          </cell>
          <cell r="G157">
            <v>0</v>
          </cell>
          <cell r="H157" t="str">
            <v>---</v>
          </cell>
          <cell r="I157">
            <v>0</v>
          </cell>
          <cell r="J157">
            <v>1601</v>
          </cell>
          <cell r="K157" t="str">
            <v>---</v>
          </cell>
        </row>
        <row r="158">
          <cell r="C158" t="str">
            <v>1993AZ</v>
          </cell>
          <cell r="D158">
            <v>0</v>
          </cell>
          <cell r="E158">
            <v>0</v>
          </cell>
          <cell r="F158">
            <v>0</v>
          </cell>
          <cell r="G158">
            <v>0</v>
          </cell>
          <cell r="H158" t="str">
            <v>---</v>
          </cell>
          <cell r="I158">
            <v>0</v>
          </cell>
          <cell r="J158">
            <v>12173</v>
          </cell>
          <cell r="K158" t="str">
            <v>---</v>
          </cell>
        </row>
        <row r="159">
          <cell r="C159" t="str">
            <v>1993AR</v>
          </cell>
          <cell r="D159">
            <v>0</v>
          </cell>
          <cell r="E159">
            <v>0</v>
          </cell>
          <cell r="F159">
            <v>0</v>
          </cell>
          <cell r="G159">
            <v>0</v>
          </cell>
          <cell r="H159" t="str">
            <v>---</v>
          </cell>
          <cell r="I159">
            <v>0</v>
          </cell>
          <cell r="J159">
            <v>43</v>
          </cell>
          <cell r="K159" t="str">
            <v>---</v>
          </cell>
        </row>
        <row r="160">
          <cell r="C160" t="str">
            <v>1993CA</v>
          </cell>
          <cell r="D160">
            <v>0</v>
          </cell>
          <cell r="E160">
            <v>0</v>
          </cell>
          <cell r="F160">
            <v>0</v>
          </cell>
          <cell r="G160">
            <v>0</v>
          </cell>
          <cell r="H160" t="str">
            <v>---</v>
          </cell>
          <cell r="I160">
            <v>0</v>
          </cell>
          <cell r="J160">
            <v>0</v>
          </cell>
          <cell r="K160" t="str">
            <v>---</v>
          </cell>
        </row>
        <row r="161">
          <cell r="C161" t="str">
            <v>1993CO</v>
          </cell>
          <cell r="D161">
            <v>4516.8039581623498</v>
          </cell>
          <cell r="E161">
            <v>1192.3333333333335</v>
          </cell>
          <cell r="F161">
            <v>0</v>
          </cell>
          <cell r="G161">
            <v>0</v>
          </cell>
          <cell r="H161" t="str">
            <v>---</v>
          </cell>
          <cell r="I161">
            <v>0</v>
          </cell>
          <cell r="J161">
            <v>9043</v>
          </cell>
          <cell r="K161" t="str">
            <v>---</v>
          </cell>
        </row>
        <row r="162">
          <cell r="C162" t="str">
            <v>1993CT</v>
          </cell>
          <cell r="D162">
            <v>0</v>
          </cell>
          <cell r="E162">
            <v>0</v>
          </cell>
          <cell r="F162">
            <v>0</v>
          </cell>
          <cell r="G162">
            <v>0</v>
          </cell>
          <cell r="H162" t="str">
            <v>---</v>
          </cell>
          <cell r="I162">
            <v>0</v>
          </cell>
          <cell r="K162" t="str">
            <v>---</v>
          </cell>
        </row>
        <row r="163">
          <cell r="C163" t="str">
            <v>1993DE</v>
          </cell>
          <cell r="D163">
            <v>0</v>
          </cell>
          <cell r="E163">
            <v>0</v>
          </cell>
          <cell r="F163">
            <v>0</v>
          </cell>
          <cell r="G163">
            <v>0</v>
          </cell>
          <cell r="H163" t="str">
            <v>---</v>
          </cell>
          <cell r="I163">
            <v>0</v>
          </cell>
          <cell r="K163" t="str">
            <v>---</v>
          </cell>
        </row>
        <row r="164">
          <cell r="C164" t="str">
            <v>1993FL</v>
          </cell>
          <cell r="D164">
            <v>0</v>
          </cell>
          <cell r="E164">
            <v>0</v>
          </cell>
          <cell r="F164">
            <v>0</v>
          </cell>
          <cell r="G164">
            <v>0</v>
          </cell>
          <cell r="H164" t="str">
            <v>---</v>
          </cell>
          <cell r="I164">
            <v>0</v>
          </cell>
          <cell r="K164" t="str">
            <v>---</v>
          </cell>
        </row>
        <row r="165">
          <cell r="C165" t="str">
            <v>1993GA</v>
          </cell>
          <cell r="D165">
            <v>0</v>
          </cell>
          <cell r="E165">
            <v>0</v>
          </cell>
          <cell r="F165">
            <v>0</v>
          </cell>
          <cell r="G165">
            <v>0</v>
          </cell>
          <cell r="H165" t="str">
            <v>---</v>
          </cell>
          <cell r="I165">
            <v>0</v>
          </cell>
          <cell r="K165" t="str">
            <v>---</v>
          </cell>
        </row>
        <row r="166">
          <cell r="C166" t="str">
            <v>1993HI</v>
          </cell>
          <cell r="D166">
            <v>0</v>
          </cell>
          <cell r="E166">
            <v>0</v>
          </cell>
          <cell r="F166">
            <v>0</v>
          </cell>
          <cell r="G166">
            <v>0</v>
          </cell>
          <cell r="H166" t="str">
            <v>---</v>
          </cell>
          <cell r="I166">
            <v>0</v>
          </cell>
          <cell r="K166" t="str">
            <v>---</v>
          </cell>
        </row>
        <row r="167">
          <cell r="C167" t="str">
            <v>1993ID</v>
          </cell>
          <cell r="D167">
            <v>0</v>
          </cell>
          <cell r="E167">
            <v>0</v>
          </cell>
          <cell r="F167">
            <v>0</v>
          </cell>
          <cell r="G167">
            <v>0</v>
          </cell>
          <cell r="H167" t="str">
            <v>---</v>
          </cell>
          <cell r="I167">
            <v>0</v>
          </cell>
          <cell r="K167" t="str">
            <v>---</v>
          </cell>
        </row>
        <row r="168">
          <cell r="C168" t="str">
            <v>1993IL</v>
          </cell>
          <cell r="D168">
            <v>7353.8047913882883</v>
          </cell>
          <cell r="E168">
            <v>0</v>
          </cell>
          <cell r="F168">
            <v>0</v>
          </cell>
          <cell r="G168">
            <v>0</v>
          </cell>
          <cell r="H168" t="str">
            <v>---</v>
          </cell>
          <cell r="I168">
            <v>0</v>
          </cell>
          <cell r="J168">
            <v>8002</v>
          </cell>
          <cell r="K168" t="str">
            <v>---</v>
          </cell>
        </row>
        <row r="169">
          <cell r="C169" t="str">
            <v>1993IN</v>
          </cell>
          <cell r="D169">
            <v>149.31583332768099</v>
          </cell>
          <cell r="E169">
            <v>0</v>
          </cell>
          <cell r="F169">
            <v>0</v>
          </cell>
          <cell r="G169">
            <v>0</v>
          </cell>
          <cell r="H169" t="str">
            <v>---</v>
          </cell>
          <cell r="I169">
            <v>0</v>
          </cell>
          <cell r="J169">
            <v>26713</v>
          </cell>
          <cell r="K169" t="str">
            <v>---</v>
          </cell>
        </row>
        <row r="170">
          <cell r="C170" t="str">
            <v>1993IA</v>
          </cell>
          <cell r="D170">
            <v>0</v>
          </cell>
          <cell r="E170">
            <v>0</v>
          </cell>
          <cell r="F170">
            <v>0</v>
          </cell>
          <cell r="G170">
            <v>0</v>
          </cell>
          <cell r="H170" t="str">
            <v>---</v>
          </cell>
          <cell r="I170">
            <v>0</v>
          </cell>
          <cell r="J170">
            <v>175</v>
          </cell>
          <cell r="K170" t="str">
            <v>---</v>
          </cell>
        </row>
        <row r="171">
          <cell r="C171" t="str">
            <v>1993KS</v>
          </cell>
          <cell r="D171">
            <v>0</v>
          </cell>
          <cell r="E171">
            <v>0</v>
          </cell>
          <cell r="F171">
            <v>0</v>
          </cell>
          <cell r="G171">
            <v>0</v>
          </cell>
          <cell r="H171" t="str">
            <v>---</v>
          </cell>
          <cell r="I171">
            <v>0</v>
          </cell>
          <cell r="J171">
            <v>341</v>
          </cell>
          <cell r="K171" t="str">
            <v>---</v>
          </cell>
        </row>
        <row r="172">
          <cell r="C172" t="str">
            <v>1993KY</v>
          </cell>
          <cell r="D172">
            <v>3732.8958331920244</v>
          </cell>
          <cell r="E172">
            <v>462.33333333333348</v>
          </cell>
          <cell r="F172">
            <v>0</v>
          </cell>
          <cell r="G172">
            <v>0</v>
          </cell>
          <cell r="H172">
            <v>20288</v>
          </cell>
          <cell r="I172">
            <v>20288</v>
          </cell>
          <cell r="J172">
            <v>48272</v>
          </cell>
          <cell r="K172">
            <v>15820</v>
          </cell>
        </row>
        <row r="173">
          <cell r="C173" t="str">
            <v>1993LA</v>
          </cell>
          <cell r="D173">
            <v>0</v>
          </cell>
          <cell r="E173">
            <v>0</v>
          </cell>
          <cell r="F173">
            <v>0</v>
          </cell>
          <cell r="G173">
            <v>0</v>
          </cell>
          <cell r="H173" t="str">
            <v>---</v>
          </cell>
          <cell r="I173">
            <v>0</v>
          </cell>
          <cell r="J173">
            <v>3134</v>
          </cell>
          <cell r="K173" t="str">
            <v>---</v>
          </cell>
        </row>
        <row r="174">
          <cell r="C174" t="str">
            <v>1993ME</v>
          </cell>
          <cell r="D174">
            <v>0</v>
          </cell>
          <cell r="E174">
            <v>0</v>
          </cell>
          <cell r="F174">
            <v>0</v>
          </cell>
          <cell r="G174">
            <v>0</v>
          </cell>
          <cell r="H174" t="str">
            <v>---</v>
          </cell>
          <cell r="I174">
            <v>0</v>
          </cell>
          <cell r="K174" t="str">
            <v>---</v>
          </cell>
        </row>
        <row r="175">
          <cell r="C175" t="str">
            <v>1993MD</v>
          </cell>
          <cell r="D175">
            <v>0</v>
          </cell>
          <cell r="E175">
            <v>0</v>
          </cell>
          <cell r="F175">
            <v>0</v>
          </cell>
          <cell r="G175">
            <v>0</v>
          </cell>
          <cell r="H175" t="str">
            <v>---</v>
          </cell>
          <cell r="I175">
            <v>0</v>
          </cell>
          <cell r="J175">
            <v>827</v>
          </cell>
          <cell r="K175" t="str">
            <v>---</v>
          </cell>
        </row>
        <row r="176">
          <cell r="C176" t="str">
            <v>1993MA</v>
          </cell>
          <cell r="D176">
            <v>0</v>
          </cell>
          <cell r="E176">
            <v>0</v>
          </cell>
          <cell r="F176">
            <v>0</v>
          </cell>
          <cell r="G176">
            <v>0</v>
          </cell>
          <cell r="H176" t="str">
            <v>---</v>
          </cell>
          <cell r="I176">
            <v>0</v>
          </cell>
          <cell r="K176" t="str">
            <v>---</v>
          </cell>
        </row>
        <row r="177">
          <cell r="C177" t="str">
            <v>1993MI</v>
          </cell>
          <cell r="D177">
            <v>0</v>
          </cell>
          <cell r="E177">
            <v>0</v>
          </cell>
          <cell r="F177">
            <v>0</v>
          </cell>
          <cell r="G177">
            <v>0</v>
          </cell>
          <cell r="H177" t="str">
            <v>---</v>
          </cell>
          <cell r="I177">
            <v>0</v>
          </cell>
          <cell r="K177" t="str">
            <v>---</v>
          </cell>
        </row>
        <row r="178">
          <cell r="C178" t="str">
            <v>1993MN</v>
          </cell>
          <cell r="D178">
            <v>0</v>
          </cell>
          <cell r="E178">
            <v>0</v>
          </cell>
          <cell r="F178">
            <v>0</v>
          </cell>
          <cell r="G178">
            <v>0</v>
          </cell>
          <cell r="H178" t="str">
            <v>---</v>
          </cell>
          <cell r="I178">
            <v>0</v>
          </cell>
          <cell r="K178" t="str">
            <v>---</v>
          </cell>
        </row>
        <row r="179">
          <cell r="C179" t="str">
            <v>1993MS</v>
          </cell>
          <cell r="D179">
            <v>0</v>
          </cell>
          <cell r="E179">
            <v>0</v>
          </cell>
          <cell r="F179">
            <v>0</v>
          </cell>
          <cell r="G179">
            <v>0</v>
          </cell>
          <cell r="H179" t="str">
            <v>---</v>
          </cell>
          <cell r="I179">
            <v>0</v>
          </cell>
          <cell r="K179" t="str">
            <v>---</v>
          </cell>
        </row>
        <row r="180">
          <cell r="C180" t="str">
            <v>1993MO</v>
          </cell>
          <cell r="D180">
            <v>0</v>
          </cell>
          <cell r="E180">
            <v>0</v>
          </cell>
          <cell r="F180">
            <v>0</v>
          </cell>
          <cell r="G180">
            <v>0</v>
          </cell>
          <cell r="H180" t="str">
            <v>---</v>
          </cell>
          <cell r="I180">
            <v>0</v>
          </cell>
          <cell r="J180">
            <v>653</v>
          </cell>
          <cell r="K180" t="str">
            <v>---</v>
          </cell>
        </row>
        <row r="181">
          <cell r="C181" t="str">
            <v>1993MT</v>
          </cell>
          <cell r="D181">
            <v>0</v>
          </cell>
          <cell r="E181">
            <v>0</v>
          </cell>
          <cell r="F181">
            <v>0</v>
          </cell>
          <cell r="G181">
            <v>0</v>
          </cell>
          <cell r="H181" t="str">
            <v>---</v>
          </cell>
          <cell r="I181">
            <v>0</v>
          </cell>
          <cell r="J181">
            <v>35907</v>
          </cell>
          <cell r="K181" t="str">
            <v>---</v>
          </cell>
        </row>
        <row r="182">
          <cell r="C182" t="str">
            <v>1993NE</v>
          </cell>
          <cell r="D182">
            <v>0</v>
          </cell>
          <cell r="E182">
            <v>0</v>
          </cell>
          <cell r="F182">
            <v>0</v>
          </cell>
          <cell r="G182">
            <v>0</v>
          </cell>
          <cell r="H182" t="str">
            <v>---</v>
          </cell>
          <cell r="I182">
            <v>0</v>
          </cell>
          <cell r="K182" t="str">
            <v>---</v>
          </cell>
        </row>
        <row r="183">
          <cell r="C183" t="str">
            <v>1993NV</v>
          </cell>
          <cell r="D183">
            <v>0</v>
          </cell>
          <cell r="E183">
            <v>0</v>
          </cell>
          <cell r="F183">
            <v>0</v>
          </cell>
          <cell r="G183">
            <v>0</v>
          </cell>
          <cell r="H183" t="str">
            <v>---</v>
          </cell>
          <cell r="I183">
            <v>0</v>
          </cell>
          <cell r="K183" t="str">
            <v>---</v>
          </cell>
        </row>
        <row r="184">
          <cell r="C184" t="str">
            <v>1993NH</v>
          </cell>
          <cell r="D184">
            <v>0</v>
          </cell>
          <cell r="E184">
            <v>0</v>
          </cell>
          <cell r="F184">
            <v>0</v>
          </cell>
          <cell r="G184">
            <v>0</v>
          </cell>
          <cell r="H184" t="str">
            <v>---</v>
          </cell>
          <cell r="I184">
            <v>0</v>
          </cell>
          <cell r="K184" t="str">
            <v>---</v>
          </cell>
        </row>
        <row r="185">
          <cell r="C185" t="str">
            <v>1993NJ</v>
          </cell>
          <cell r="D185">
            <v>0</v>
          </cell>
          <cell r="E185">
            <v>0</v>
          </cell>
          <cell r="F185">
            <v>0</v>
          </cell>
          <cell r="G185">
            <v>0</v>
          </cell>
          <cell r="H185" t="str">
            <v>---</v>
          </cell>
          <cell r="I185">
            <v>0</v>
          </cell>
          <cell r="K185" t="str">
            <v>---</v>
          </cell>
        </row>
        <row r="186">
          <cell r="C186" t="str">
            <v>1993NM</v>
          </cell>
          <cell r="D186">
            <v>149.31583332768099</v>
          </cell>
          <cell r="E186">
            <v>0</v>
          </cell>
          <cell r="F186">
            <v>0</v>
          </cell>
          <cell r="G186">
            <v>0</v>
          </cell>
          <cell r="H186" t="str">
            <v>---</v>
          </cell>
          <cell r="I186">
            <v>0</v>
          </cell>
          <cell r="J186">
            <v>27549</v>
          </cell>
          <cell r="K186" t="str">
            <v>---</v>
          </cell>
        </row>
        <row r="187">
          <cell r="C187" t="str">
            <v>1993NY</v>
          </cell>
          <cell r="D187">
            <v>0</v>
          </cell>
          <cell r="E187">
            <v>0</v>
          </cell>
          <cell r="F187">
            <v>0</v>
          </cell>
          <cell r="G187">
            <v>0</v>
          </cell>
          <cell r="H187" t="str">
            <v>---</v>
          </cell>
          <cell r="I187">
            <v>0</v>
          </cell>
          <cell r="K187" t="str">
            <v>---</v>
          </cell>
        </row>
        <row r="188">
          <cell r="C188" t="str">
            <v>1993NC</v>
          </cell>
          <cell r="D188">
            <v>0</v>
          </cell>
          <cell r="E188">
            <v>0</v>
          </cell>
          <cell r="F188">
            <v>0</v>
          </cell>
          <cell r="G188">
            <v>0</v>
          </cell>
          <cell r="H188" t="str">
            <v>---</v>
          </cell>
          <cell r="I188">
            <v>0</v>
          </cell>
          <cell r="K188" t="str">
            <v>---</v>
          </cell>
        </row>
        <row r="189">
          <cell r="C189" t="str">
            <v>1993ND</v>
          </cell>
          <cell r="D189">
            <v>0</v>
          </cell>
          <cell r="E189">
            <v>0</v>
          </cell>
          <cell r="F189">
            <v>0</v>
          </cell>
          <cell r="G189">
            <v>0</v>
          </cell>
          <cell r="H189" t="str">
            <v>---</v>
          </cell>
          <cell r="I189">
            <v>0</v>
          </cell>
          <cell r="J189">
            <v>31973</v>
          </cell>
          <cell r="K189" t="str">
            <v>---</v>
          </cell>
        </row>
        <row r="190">
          <cell r="C190" t="str">
            <v>1993OH</v>
          </cell>
          <cell r="D190">
            <v>1381.1714582810491</v>
          </cell>
          <cell r="E190">
            <v>0</v>
          </cell>
          <cell r="F190">
            <v>0</v>
          </cell>
          <cell r="G190">
            <v>0</v>
          </cell>
          <cell r="H190" t="str">
            <v>---</v>
          </cell>
          <cell r="I190">
            <v>0</v>
          </cell>
          <cell r="J190">
            <v>18379</v>
          </cell>
          <cell r="K190" t="str">
            <v>---</v>
          </cell>
        </row>
        <row r="191">
          <cell r="C191" t="str">
            <v>1993OK</v>
          </cell>
          <cell r="D191">
            <v>0</v>
          </cell>
          <cell r="E191">
            <v>0</v>
          </cell>
          <cell r="F191">
            <v>0</v>
          </cell>
          <cell r="G191">
            <v>0</v>
          </cell>
          <cell r="H191" t="str">
            <v>---</v>
          </cell>
          <cell r="I191">
            <v>0</v>
          </cell>
          <cell r="J191">
            <v>1661</v>
          </cell>
          <cell r="K191" t="str">
            <v>---</v>
          </cell>
        </row>
        <row r="192">
          <cell r="C192" t="str">
            <v>1993OR</v>
          </cell>
          <cell r="D192">
            <v>0</v>
          </cell>
          <cell r="E192">
            <v>0</v>
          </cell>
          <cell r="F192">
            <v>0</v>
          </cell>
          <cell r="G192">
            <v>0</v>
          </cell>
          <cell r="H192" t="str">
            <v>---</v>
          </cell>
          <cell r="I192">
            <v>0</v>
          </cell>
          <cell r="K192" t="str">
            <v>---</v>
          </cell>
        </row>
        <row r="193">
          <cell r="C193" t="str">
            <v>1993PA</v>
          </cell>
          <cell r="D193">
            <v>15006.241249431938</v>
          </cell>
          <cell r="E193">
            <v>6619.3823529411784</v>
          </cell>
          <cell r="F193">
            <v>0</v>
          </cell>
          <cell r="G193">
            <v>0</v>
          </cell>
          <cell r="H193" t="str">
            <v>---</v>
          </cell>
          <cell r="I193">
            <v>0</v>
          </cell>
          <cell r="J193">
            <v>22766</v>
          </cell>
          <cell r="K193" t="str">
            <v>---</v>
          </cell>
        </row>
        <row r="194">
          <cell r="C194" t="str">
            <v>1993RI</v>
          </cell>
          <cell r="D194">
            <v>0</v>
          </cell>
          <cell r="E194">
            <v>0</v>
          </cell>
          <cell r="F194">
            <v>0</v>
          </cell>
          <cell r="G194">
            <v>0</v>
          </cell>
          <cell r="H194" t="str">
            <v>---</v>
          </cell>
          <cell r="I194">
            <v>0</v>
          </cell>
          <cell r="K194" t="str">
            <v>---</v>
          </cell>
        </row>
        <row r="195">
          <cell r="C195" t="str">
            <v>1993SC</v>
          </cell>
          <cell r="D195">
            <v>0</v>
          </cell>
          <cell r="E195">
            <v>0</v>
          </cell>
          <cell r="F195">
            <v>0</v>
          </cell>
          <cell r="G195">
            <v>0</v>
          </cell>
          <cell r="H195" t="str">
            <v>---</v>
          </cell>
          <cell r="I195">
            <v>0</v>
          </cell>
          <cell r="K195" t="str">
            <v>---</v>
          </cell>
        </row>
        <row r="196">
          <cell r="C196" t="str">
            <v>1993SD</v>
          </cell>
          <cell r="D196">
            <v>0</v>
          </cell>
          <cell r="E196">
            <v>0</v>
          </cell>
          <cell r="F196">
            <v>0</v>
          </cell>
          <cell r="G196">
            <v>0</v>
          </cell>
          <cell r="H196" t="str">
            <v>---</v>
          </cell>
          <cell r="I196">
            <v>0</v>
          </cell>
          <cell r="K196" t="str">
            <v>---</v>
          </cell>
        </row>
        <row r="197">
          <cell r="C197" t="str">
            <v>1993TN</v>
          </cell>
          <cell r="D197">
            <v>0</v>
          </cell>
          <cell r="E197">
            <v>0</v>
          </cell>
          <cell r="F197">
            <v>0</v>
          </cell>
          <cell r="G197">
            <v>0</v>
          </cell>
          <cell r="H197" t="str">
            <v>---</v>
          </cell>
          <cell r="I197">
            <v>0</v>
          </cell>
          <cell r="J197">
            <v>1151</v>
          </cell>
          <cell r="K197" t="str">
            <v>---</v>
          </cell>
        </row>
        <row r="198">
          <cell r="C198" t="str">
            <v>1993TX</v>
          </cell>
          <cell r="D198">
            <v>0</v>
          </cell>
          <cell r="E198">
            <v>0</v>
          </cell>
          <cell r="F198">
            <v>0</v>
          </cell>
          <cell r="G198">
            <v>0</v>
          </cell>
          <cell r="H198" t="str">
            <v>---</v>
          </cell>
          <cell r="I198">
            <v>0</v>
          </cell>
          <cell r="J198">
            <v>54567</v>
          </cell>
          <cell r="K198" t="str">
            <v>---</v>
          </cell>
        </row>
        <row r="199">
          <cell r="C199" t="str">
            <v>1993UT</v>
          </cell>
          <cell r="D199">
            <v>2799.6718748940184</v>
          </cell>
          <cell r="E199">
            <v>394.79900000000089</v>
          </cell>
          <cell r="F199">
            <v>383</v>
          </cell>
          <cell r="G199">
            <v>0</v>
          </cell>
          <cell r="H199" t="str">
            <v>---</v>
          </cell>
          <cell r="I199">
            <v>0</v>
          </cell>
          <cell r="K199" t="str">
            <v>---</v>
          </cell>
        </row>
        <row r="200">
          <cell r="C200" t="str">
            <v>1993VT</v>
          </cell>
          <cell r="D200">
            <v>0</v>
          </cell>
          <cell r="E200">
            <v>0</v>
          </cell>
          <cell r="F200">
            <v>0</v>
          </cell>
          <cell r="G200">
            <v>0</v>
          </cell>
          <cell r="H200" t="str">
            <v>---</v>
          </cell>
          <cell r="I200">
            <v>0</v>
          </cell>
          <cell r="K200" t="str">
            <v>---</v>
          </cell>
        </row>
        <row r="201">
          <cell r="C201" t="str">
            <v>1993VA</v>
          </cell>
          <cell r="D201">
            <v>18701.808124292042</v>
          </cell>
          <cell r="E201">
            <v>17958.417938931299</v>
          </cell>
          <cell r="F201">
            <v>10787.027053999998</v>
          </cell>
          <cell r="G201">
            <v>0</v>
          </cell>
          <cell r="H201" t="str">
            <v>---</v>
          </cell>
          <cell r="I201">
            <v>0</v>
          </cell>
          <cell r="J201">
            <v>9151</v>
          </cell>
          <cell r="K201" t="str">
            <v>---</v>
          </cell>
        </row>
        <row r="202">
          <cell r="C202" t="str">
            <v>1993WA</v>
          </cell>
          <cell r="D202">
            <v>0</v>
          </cell>
          <cell r="E202">
            <v>0</v>
          </cell>
          <cell r="F202">
            <v>0</v>
          </cell>
          <cell r="G202">
            <v>0</v>
          </cell>
          <cell r="H202" t="str">
            <v>---</v>
          </cell>
          <cell r="I202">
            <v>0</v>
          </cell>
          <cell r="J202">
            <v>4739</v>
          </cell>
          <cell r="K202" t="str">
            <v>---</v>
          </cell>
        </row>
        <row r="203">
          <cell r="C203" t="str">
            <v>1993WV</v>
          </cell>
          <cell r="D203">
            <v>19411.058332598528</v>
          </cell>
          <cell r="E203">
            <v>7281.042635658916</v>
          </cell>
          <cell r="F203">
            <v>138</v>
          </cell>
          <cell r="G203">
            <v>0</v>
          </cell>
          <cell r="H203">
            <v>27133</v>
          </cell>
          <cell r="I203">
            <v>27133</v>
          </cell>
          <cell r="J203">
            <v>35859</v>
          </cell>
          <cell r="K203">
            <v>6669</v>
          </cell>
        </row>
        <row r="204">
          <cell r="C204" t="str">
            <v>1993WI</v>
          </cell>
          <cell r="D204">
            <v>0</v>
          </cell>
          <cell r="E204">
            <v>0</v>
          </cell>
          <cell r="F204">
            <v>0</v>
          </cell>
          <cell r="G204">
            <v>0</v>
          </cell>
          <cell r="H204" t="str">
            <v>---</v>
          </cell>
          <cell r="I204">
            <v>0</v>
          </cell>
          <cell r="K204" t="str">
            <v>---</v>
          </cell>
        </row>
        <row r="205">
          <cell r="C205" t="str">
            <v>1993WY</v>
          </cell>
          <cell r="D205">
            <v>0</v>
          </cell>
          <cell r="E205">
            <v>0</v>
          </cell>
          <cell r="F205">
            <v>0</v>
          </cell>
          <cell r="G205">
            <v>0</v>
          </cell>
          <cell r="H205" t="str">
            <v>---</v>
          </cell>
          <cell r="I205">
            <v>0</v>
          </cell>
          <cell r="J205">
            <v>207993</v>
          </cell>
          <cell r="K205" t="str">
            <v>---</v>
          </cell>
        </row>
        <row r="206">
          <cell r="C206" t="str">
            <v>1994AL</v>
          </cell>
          <cell r="D206">
            <v>27735.416040616743</v>
          </cell>
          <cell r="E206">
            <v>11146.540950920245</v>
          </cell>
          <cell r="F206">
            <v>11145.805</v>
          </cell>
          <cell r="G206">
            <v>0</v>
          </cell>
          <cell r="H206" t="str">
            <v>---</v>
          </cell>
          <cell r="I206">
            <v>0</v>
          </cell>
          <cell r="J206">
            <v>8795</v>
          </cell>
          <cell r="K206" t="str">
            <v>---</v>
          </cell>
        </row>
        <row r="207">
          <cell r="C207" t="str">
            <v>1994AK</v>
          </cell>
          <cell r="D207">
            <v>0</v>
          </cell>
          <cell r="E207">
            <v>0</v>
          </cell>
          <cell r="F207">
            <v>0</v>
          </cell>
          <cell r="G207">
            <v>0</v>
          </cell>
          <cell r="H207" t="str">
            <v>---</v>
          </cell>
          <cell r="I207">
            <v>0</v>
          </cell>
          <cell r="J207">
            <v>1567</v>
          </cell>
          <cell r="K207" t="str">
            <v>---</v>
          </cell>
        </row>
        <row r="208">
          <cell r="C208" t="str">
            <v>1994AZ</v>
          </cell>
          <cell r="D208">
            <v>0</v>
          </cell>
          <cell r="E208">
            <v>0</v>
          </cell>
          <cell r="F208">
            <v>0</v>
          </cell>
          <cell r="G208">
            <v>0</v>
          </cell>
          <cell r="H208" t="str">
            <v>---</v>
          </cell>
          <cell r="I208">
            <v>0</v>
          </cell>
          <cell r="J208">
            <v>13056</v>
          </cell>
          <cell r="K208" t="str">
            <v>---</v>
          </cell>
        </row>
        <row r="209">
          <cell r="C209" t="str">
            <v>1994AR</v>
          </cell>
          <cell r="D209">
            <v>0</v>
          </cell>
          <cell r="E209">
            <v>0</v>
          </cell>
          <cell r="F209">
            <v>0</v>
          </cell>
          <cell r="G209">
            <v>0</v>
          </cell>
          <cell r="H209" t="str">
            <v>---</v>
          </cell>
          <cell r="I209">
            <v>0</v>
          </cell>
          <cell r="J209">
            <v>38</v>
          </cell>
          <cell r="K209" t="str">
            <v>---</v>
          </cell>
        </row>
        <row r="210">
          <cell r="C210" t="str">
            <v>1994CA</v>
          </cell>
          <cell r="D210">
            <v>0</v>
          </cell>
          <cell r="E210">
            <v>0</v>
          </cell>
          <cell r="F210">
            <v>0</v>
          </cell>
          <cell r="G210">
            <v>0</v>
          </cell>
          <cell r="H210" t="str">
            <v>---</v>
          </cell>
          <cell r="I210">
            <v>0</v>
          </cell>
          <cell r="J210">
            <v>0</v>
          </cell>
          <cell r="K210" t="str">
            <v>---</v>
          </cell>
        </row>
        <row r="211">
          <cell r="C211" t="str">
            <v>1994CO</v>
          </cell>
          <cell r="D211">
            <v>6047.2912497710795</v>
          </cell>
          <cell r="E211">
            <v>1411.333333333333</v>
          </cell>
          <cell r="F211">
            <v>0</v>
          </cell>
          <cell r="G211">
            <v>0</v>
          </cell>
          <cell r="H211" t="str">
            <v>---</v>
          </cell>
          <cell r="I211">
            <v>0</v>
          </cell>
          <cell r="J211">
            <v>8972</v>
          </cell>
          <cell r="K211" t="str">
            <v>---</v>
          </cell>
        </row>
        <row r="212">
          <cell r="C212" t="str">
            <v>1994CT</v>
          </cell>
          <cell r="D212">
            <v>0</v>
          </cell>
          <cell r="E212">
            <v>0</v>
          </cell>
          <cell r="F212">
            <v>0</v>
          </cell>
          <cell r="G212">
            <v>0</v>
          </cell>
          <cell r="H212" t="str">
            <v>---</v>
          </cell>
          <cell r="I212">
            <v>0</v>
          </cell>
          <cell r="K212" t="str">
            <v>---</v>
          </cell>
        </row>
        <row r="213">
          <cell r="C213" t="str">
            <v>1994DE</v>
          </cell>
          <cell r="D213">
            <v>0</v>
          </cell>
          <cell r="E213">
            <v>0</v>
          </cell>
          <cell r="F213">
            <v>0</v>
          </cell>
          <cell r="G213">
            <v>0</v>
          </cell>
          <cell r="H213" t="str">
            <v>---</v>
          </cell>
          <cell r="I213">
            <v>0</v>
          </cell>
          <cell r="K213" t="str">
            <v>---</v>
          </cell>
        </row>
        <row r="214">
          <cell r="C214" t="str">
            <v>1994FL</v>
          </cell>
          <cell r="D214">
            <v>0</v>
          </cell>
          <cell r="E214">
            <v>0</v>
          </cell>
          <cell r="F214">
            <v>0</v>
          </cell>
          <cell r="G214">
            <v>0</v>
          </cell>
          <cell r="H214" t="str">
            <v>---</v>
          </cell>
          <cell r="I214">
            <v>0</v>
          </cell>
          <cell r="K214" t="str">
            <v>---</v>
          </cell>
        </row>
        <row r="215">
          <cell r="C215" t="str">
            <v>1994GA</v>
          </cell>
          <cell r="D215">
            <v>0</v>
          </cell>
          <cell r="E215">
            <v>0</v>
          </cell>
          <cell r="F215">
            <v>0</v>
          </cell>
          <cell r="G215">
            <v>0</v>
          </cell>
          <cell r="H215" t="str">
            <v>---</v>
          </cell>
          <cell r="I215">
            <v>0</v>
          </cell>
          <cell r="K215" t="str">
            <v>---</v>
          </cell>
        </row>
        <row r="216">
          <cell r="C216" t="str">
            <v>1994HI</v>
          </cell>
          <cell r="D216">
            <v>0</v>
          </cell>
          <cell r="E216">
            <v>0</v>
          </cell>
          <cell r="F216">
            <v>0</v>
          </cell>
          <cell r="G216">
            <v>0</v>
          </cell>
          <cell r="H216" t="str">
            <v>---</v>
          </cell>
          <cell r="I216">
            <v>0</v>
          </cell>
          <cell r="K216" t="str">
            <v>---</v>
          </cell>
        </row>
        <row r="217">
          <cell r="C217" t="str">
            <v>1994ID</v>
          </cell>
          <cell r="D217">
            <v>0</v>
          </cell>
          <cell r="E217">
            <v>0</v>
          </cell>
          <cell r="F217">
            <v>0</v>
          </cell>
          <cell r="G217">
            <v>0</v>
          </cell>
          <cell r="H217" t="str">
            <v>---</v>
          </cell>
          <cell r="I217">
            <v>0</v>
          </cell>
          <cell r="K217" t="str">
            <v>---</v>
          </cell>
        </row>
        <row r="218">
          <cell r="C218" t="str">
            <v>1994IL</v>
          </cell>
          <cell r="D218">
            <v>8921.6210413289391</v>
          </cell>
          <cell r="E218">
            <v>0</v>
          </cell>
          <cell r="F218">
            <v>0</v>
          </cell>
          <cell r="G218">
            <v>0</v>
          </cell>
          <cell r="H218" t="str">
            <v>---</v>
          </cell>
          <cell r="I218">
            <v>0</v>
          </cell>
          <cell r="J218">
            <v>9516</v>
          </cell>
          <cell r="K218" t="str">
            <v>---</v>
          </cell>
        </row>
        <row r="219">
          <cell r="C219" t="str">
            <v>1994IN</v>
          </cell>
          <cell r="D219">
            <v>223.97374999152146</v>
          </cell>
          <cell r="E219">
            <v>0</v>
          </cell>
          <cell r="F219">
            <v>0</v>
          </cell>
          <cell r="G219">
            <v>0</v>
          </cell>
          <cell r="H219" t="str">
            <v>---</v>
          </cell>
          <cell r="I219">
            <v>0</v>
          </cell>
          <cell r="J219">
            <v>27603</v>
          </cell>
          <cell r="K219" t="str">
            <v>---</v>
          </cell>
        </row>
        <row r="220">
          <cell r="C220" t="str">
            <v>1994IA</v>
          </cell>
          <cell r="D220">
            <v>0</v>
          </cell>
          <cell r="E220">
            <v>0</v>
          </cell>
          <cell r="F220">
            <v>0</v>
          </cell>
          <cell r="G220">
            <v>0</v>
          </cell>
          <cell r="H220" t="str">
            <v>---</v>
          </cell>
          <cell r="I220">
            <v>0</v>
          </cell>
          <cell r="J220">
            <v>46</v>
          </cell>
          <cell r="K220" t="str">
            <v>---</v>
          </cell>
        </row>
        <row r="221">
          <cell r="C221" t="str">
            <v>1994KS</v>
          </cell>
          <cell r="D221">
            <v>0</v>
          </cell>
          <cell r="E221">
            <v>0</v>
          </cell>
          <cell r="F221">
            <v>0</v>
          </cell>
          <cell r="G221">
            <v>0</v>
          </cell>
          <cell r="H221" t="str">
            <v>---</v>
          </cell>
          <cell r="I221">
            <v>0</v>
          </cell>
          <cell r="J221">
            <v>284</v>
          </cell>
          <cell r="K221" t="str">
            <v>---</v>
          </cell>
        </row>
        <row r="222">
          <cell r="C222" t="str">
            <v>1994KY</v>
          </cell>
          <cell r="D222">
            <v>4666.1197914900304</v>
          </cell>
          <cell r="E222">
            <v>511</v>
          </cell>
          <cell r="F222">
            <v>0</v>
          </cell>
          <cell r="G222">
            <v>0</v>
          </cell>
          <cell r="H222">
            <v>22445</v>
          </cell>
          <cell r="I222">
            <v>22445</v>
          </cell>
          <cell r="J222">
            <v>51478</v>
          </cell>
          <cell r="K222">
            <v>14749</v>
          </cell>
        </row>
        <row r="223">
          <cell r="C223" t="str">
            <v>1994LA</v>
          </cell>
          <cell r="D223">
            <v>0</v>
          </cell>
          <cell r="E223">
            <v>0</v>
          </cell>
          <cell r="F223">
            <v>0</v>
          </cell>
          <cell r="G223">
            <v>0</v>
          </cell>
          <cell r="H223" t="str">
            <v>---</v>
          </cell>
          <cell r="I223">
            <v>0</v>
          </cell>
          <cell r="J223">
            <v>3463</v>
          </cell>
          <cell r="K223" t="str">
            <v>---</v>
          </cell>
        </row>
        <row r="224">
          <cell r="C224" t="str">
            <v>1994ME</v>
          </cell>
          <cell r="D224">
            <v>0</v>
          </cell>
          <cell r="E224">
            <v>0</v>
          </cell>
          <cell r="F224">
            <v>0</v>
          </cell>
          <cell r="G224">
            <v>0</v>
          </cell>
          <cell r="H224" t="str">
            <v>---</v>
          </cell>
          <cell r="I224">
            <v>0</v>
          </cell>
          <cell r="K224" t="str">
            <v>---</v>
          </cell>
        </row>
        <row r="225">
          <cell r="C225" t="str">
            <v>1994MD</v>
          </cell>
          <cell r="D225">
            <v>0</v>
          </cell>
          <cell r="E225">
            <v>0</v>
          </cell>
          <cell r="F225">
            <v>0</v>
          </cell>
          <cell r="G225">
            <v>0</v>
          </cell>
          <cell r="H225" t="str">
            <v>---</v>
          </cell>
          <cell r="I225">
            <v>0</v>
          </cell>
          <cell r="J225">
            <v>793</v>
          </cell>
          <cell r="K225" t="str">
            <v>---</v>
          </cell>
        </row>
        <row r="226">
          <cell r="C226" t="str">
            <v>1994MA</v>
          </cell>
          <cell r="D226">
            <v>0</v>
          </cell>
          <cell r="E226">
            <v>0</v>
          </cell>
          <cell r="F226">
            <v>0</v>
          </cell>
          <cell r="G226">
            <v>0</v>
          </cell>
          <cell r="H226" t="str">
            <v>---</v>
          </cell>
          <cell r="I226">
            <v>0</v>
          </cell>
          <cell r="K226" t="str">
            <v>---</v>
          </cell>
        </row>
        <row r="227">
          <cell r="C227" t="str">
            <v>1994MI</v>
          </cell>
          <cell r="D227">
            <v>0</v>
          </cell>
          <cell r="E227">
            <v>0</v>
          </cell>
          <cell r="F227">
            <v>0</v>
          </cell>
          <cell r="G227">
            <v>0</v>
          </cell>
          <cell r="H227" t="str">
            <v>---</v>
          </cell>
          <cell r="I227">
            <v>0</v>
          </cell>
          <cell r="K227" t="str">
            <v>---</v>
          </cell>
        </row>
        <row r="228">
          <cell r="C228" t="str">
            <v>1994MN</v>
          </cell>
          <cell r="D228">
            <v>0</v>
          </cell>
          <cell r="E228">
            <v>0</v>
          </cell>
          <cell r="F228">
            <v>0</v>
          </cell>
          <cell r="G228">
            <v>0</v>
          </cell>
          <cell r="H228" t="str">
            <v>---</v>
          </cell>
          <cell r="I228">
            <v>0</v>
          </cell>
          <cell r="K228" t="str">
            <v>---</v>
          </cell>
        </row>
        <row r="229">
          <cell r="C229" t="str">
            <v>1994MS</v>
          </cell>
          <cell r="D229">
            <v>0</v>
          </cell>
          <cell r="E229">
            <v>0</v>
          </cell>
          <cell r="F229">
            <v>0</v>
          </cell>
          <cell r="G229">
            <v>0</v>
          </cell>
          <cell r="H229" t="str">
            <v>---</v>
          </cell>
          <cell r="I229">
            <v>0</v>
          </cell>
          <cell r="K229" t="str">
            <v>---</v>
          </cell>
        </row>
        <row r="230">
          <cell r="C230" t="str">
            <v>1994MO</v>
          </cell>
          <cell r="D230">
            <v>0</v>
          </cell>
          <cell r="E230">
            <v>0</v>
          </cell>
          <cell r="F230">
            <v>0</v>
          </cell>
          <cell r="G230">
            <v>0</v>
          </cell>
          <cell r="H230" t="str">
            <v>---</v>
          </cell>
          <cell r="I230">
            <v>0</v>
          </cell>
          <cell r="J230">
            <v>838</v>
          </cell>
          <cell r="K230" t="str">
            <v>---</v>
          </cell>
        </row>
        <row r="231">
          <cell r="C231" t="str">
            <v>1994MT</v>
          </cell>
          <cell r="D231">
            <v>0</v>
          </cell>
          <cell r="E231">
            <v>0</v>
          </cell>
          <cell r="F231">
            <v>0</v>
          </cell>
          <cell r="G231">
            <v>0</v>
          </cell>
          <cell r="H231" t="str">
            <v>---</v>
          </cell>
          <cell r="I231">
            <v>0</v>
          </cell>
          <cell r="J231">
            <v>41636</v>
          </cell>
          <cell r="K231" t="str">
            <v>---</v>
          </cell>
        </row>
        <row r="232">
          <cell r="C232" t="str">
            <v>1994NE</v>
          </cell>
          <cell r="D232">
            <v>0</v>
          </cell>
          <cell r="E232">
            <v>0</v>
          </cell>
          <cell r="F232">
            <v>0</v>
          </cell>
          <cell r="G232">
            <v>0</v>
          </cell>
          <cell r="H232" t="str">
            <v>---</v>
          </cell>
          <cell r="I232">
            <v>0</v>
          </cell>
          <cell r="K232" t="str">
            <v>---</v>
          </cell>
        </row>
        <row r="233">
          <cell r="C233" t="str">
            <v>1994NV</v>
          </cell>
          <cell r="D233">
            <v>0</v>
          </cell>
          <cell r="E233">
            <v>0</v>
          </cell>
          <cell r="F233">
            <v>0</v>
          </cell>
          <cell r="G233">
            <v>0</v>
          </cell>
          <cell r="H233" t="str">
            <v>---</v>
          </cell>
          <cell r="I233">
            <v>0</v>
          </cell>
          <cell r="K233" t="str">
            <v>---</v>
          </cell>
        </row>
        <row r="234">
          <cell r="C234" t="str">
            <v>1994NH</v>
          </cell>
          <cell r="D234">
            <v>0</v>
          </cell>
          <cell r="E234">
            <v>0</v>
          </cell>
          <cell r="F234">
            <v>0</v>
          </cell>
          <cell r="G234">
            <v>0</v>
          </cell>
          <cell r="H234" t="str">
            <v>---</v>
          </cell>
          <cell r="I234">
            <v>0</v>
          </cell>
          <cell r="K234" t="str">
            <v>---</v>
          </cell>
        </row>
        <row r="235">
          <cell r="C235" t="str">
            <v>1994NJ</v>
          </cell>
          <cell r="D235">
            <v>0</v>
          </cell>
          <cell r="E235">
            <v>0</v>
          </cell>
          <cell r="F235">
            <v>0</v>
          </cell>
          <cell r="G235">
            <v>0</v>
          </cell>
          <cell r="H235" t="str">
            <v>---</v>
          </cell>
          <cell r="I235">
            <v>0</v>
          </cell>
          <cell r="K235" t="str">
            <v>---</v>
          </cell>
        </row>
        <row r="236">
          <cell r="C236" t="str">
            <v>1994NM</v>
          </cell>
          <cell r="D236">
            <v>186.64479165960122</v>
          </cell>
          <cell r="E236">
            <v>0</v>
          </cell>
          <cell r="F236">
            <v>0</v>
          </cell>
          <cell r="G236">
            <v>0</v>
          </cell>
          <cell r="H236" t="str">
            <v>---</v>
          </cell>
          <cell r="I236">
            <v>0</v>
          </cell>
          <cell r="J236">
            <v>27091</v>
          </cell>
          <cell r="K236" t="str">
            <v>---</v>
          </cell>
        </row>
        <row r="237">
          <cell r="C237" t="str">
            <v>1994NY</v>
          </cell>
          <cell r="D237">
            <v>0</v>
          </cell>
          <cell r="E237">
            <v>0</v>
          </cell>
          <cell r="F237">
            <v>0</v>
          </cell>
          <cell r="G237">
            <v>0</v>
          </cell>
          <cell r="H237" t="str">
            <v>---</v>
          </cell>
          <cell r="I237">
            <v>0</v>
          </cell>
          <cell r="K237" t="str">
            <v>---</v>
          </cell>
        </row>
        <row r="238">
          <cell r="C238" t="str">
            <v>1994NC</v>
          </cell>
          <cell r="D238">
            <v>0</v>
          </cell>
          <cell r="E238">
            <v>0</v>
          </cell>
          <cell r="F238">
            <v>0</v>
          </cell>
          <cell r="G238">
            <v>0</v>
          </cell>
          <cell r="H238" t="str">
            <v>---</v>
          </cell>
          <cell r="I238">
            <v>0</v>
          </cell>
          <cell r="K238" t="str">
            <v>---</v>
          </cell>
        </row>
        <row r="239">
          <cell r="C239" t="str">
            <v>1994ND</v>
          </cell>
          <cell r="D239">
            <v>0</v>
          </cell>
          <cell r="E239">
            <v>0</v>
          </cell>
          <cell r="F239">
            <v>0</v>
          </cell>
          <cell r="G239">
            <v>0</v>
          </cell>
          <cell r="H239" t="str">
            <v>---</v>
          </cell>
          <cell r="I239">
            <v>0</v>
          </cell>
          <cell r="J239">
            <v>32286</v>
          </cell>
          <cell r="K239" t="str">
            <v>---</v>
          </cell>
        </row>
        <row r="240">
          <cell r="C240" t="str">
            <v>1994OH</v>
          </cell>
          <cell r="D240">
            <v>1717.1320832683311</v>
          </cell>
          <cell r="E240">
            <v>0</v>
          </cell>
          <cell r="F240">
            <v>0</v>
          </cell>
          <cell r="G240">
            <v>0</v>
          </cell>
          <cell r="H240" t="str">
            <v>---</v>
          </cell>
          <cell r="I240">
            <v>0</v>
          </cell>
          <cell r="J240">
            <v>16290</v>
          </cell>
          <cell r="K240" t="str">
            <v>---</v>
          </cell>
        </row>
        <row r="241">
          <cell r="C241" t="str">
            <v>1994OK</v>
          </cell>
          <cell r="D241">
            <v>37.328958331920248</v>
          </cell>
          <cell r="E241">
            <v>0</v>
          </cell>
          <cell r="F241">
            <v>0</v>
          </cell>
          <cell r="G241">
            <v>0</v>
          </cell>
          <cell r="H241" t="str">
            <v>---</v>
          </cell>
          <cell r="I241">
            <v>0</v>
          </cell>
          <cell r="J241">
            <v>1776</v>
          </cell>
          <cell r="K241" t="str">
            <v>---</v>
          </cell>
        </row>
        <row r="242">
          <cell r="C242" t="str">
            <v>1994OR</v>
          </cell>
          <cell r="D242">
            <v>0</v>
          </cell>
          <cell r="E242">
            <v>0</v>
          </cell>
          <cell r="F242">
            <v>0</v>
          </cell>
          <cell r="G242">
            <v>0</v>
          </cell>
          <cell r="H242" t="str">
            <v>---</v>
          </cell>
          <cell r="I242">
            <v>0</v>
          </cell>
          <cell r="K242" t="str">
            <v>---</v>
          </cell>
        </row>
        <row r="243">
          <cell r="C243" t="str">
            <v>1994PA</v>
          </cell>
          <cell r="D243">
            <v>13177.122291167847</v>
          </cell>
          <cell r="E243">
            <v>5968.8235294117649</v>
          </cell>
          <cell r="F243">
            <v>0</v>
          </cell>
          <cell r="G243">
            <v>0</v>
          </cell>
          <cell r="H243" t="str">
            <v>---</v>
          </cell>
          <cell r="I243">
            <v>0</v>
          </cell>
          <cell r="J243">
            <v>22263</v>
          </cell>
          <cell r="K243" t="str">
            <v>---</v>
          </cell>
        </row>
        <row r="244">
          <cell r="C244" t="str">
            <v>1994RI</v>
          </cell>
          <cell r="D244">
            <v>0</v>
          </cell>
          <cell r="E244">
            <v>0</v>
          </cell>
          <cell r="F244">
            <v>0</v>
          </cell>
          <cell r="G244">
            <v>0</v>
          </cell>
          <cell r="H244" t="str">
            <v>---</v>
          </cell>
          <cell r="I244">
            <v>0</v>
          </cell>
          <cell r="K244" t="str">
            <v>---</v>
          </cell>
        </row>
        <row r="245">
          <cell r="C245" t="str">
            <v>1994SC</v>
          </cell>
          <cell r="D245">
            <v>0</v>
          </cell>
          <cell r="E245">
            <v>0</v>
          </cell>
          <cell r="F245">
            <v>0</v>
          </cell>
          <cell r="G245">
            <v>0</v>
          </cell>
          <cell r="H245" t="str">
            <v>---</v>
          </cell>
          <cell r="I245">
            <v>0</v>
          </cell>
          <cell r="K245" t="str">
            <v>---</v>
          </cell>
        </row>
        <row r="246">
          <cell r="C246" t="str">
            <v>1994SD</v>
          </cell>
          <cell r="D246">
            <v>0</v>
          </cell>
          <cell r="E246">
            <v>0</v>
          </cell>
          <cell r="F246">
            <v>0</v>
          </cell>
          <cell r="G246">
            <v>0</v>
          </cell>
          <cell r="H246" t="str">
            <v>---</v>
          </cell>
          <cell r="I246">
            <v>0</v>
          </cell>
          <cell r="K246" t="str">
            <v>---</v>
          </cell>
        </row>
        <row r="247">
          <cell r="C247" t="str">
            <v>1994TN</v>
          </cell>
          <cell r="D247">
            <v>0</v>
          </cell>
          <cell r="E247">
            <v>0</v>
          </cell>
          <cell r="F247">
            <v>0</v>
          </cell>
          <cell r="G247">
            <v>0</v>
          </cell>
          <cell r="H247" t="str">
            <v>---</v>
          </cell>
          <cell r="I247">
            <v>0</v>
          </cell>
          <cell r="J247">
            <v>1093</v>
          </cell>
          <cell r="K247" t="str">
            <v>---</v>
          </cell>
        </row>
        <row r="248">
          <cell r="C248" t="str">
            <v>1994TX</v>
          </cell>
          <cell r="D248">
            <v>0</v>
          </cell>
          <cell r="E248">
            <v>0</v>
          </cell>
          <cell r="F248">
            <v>0</v>
          </cell>
          <cell r="G248">
            <v>0</v>
          </cell>
          <cell r="H248" t="str">
            <v>---</v>
          </cell>
          <cell r="I248">
            <v>0</v>
          </cell>
          <cell r="J248">
            <v>52346</v>
          </cell>
          <cell r="K248" t="str">
            <v>---</v>
          </cell>
        </row>
        <row r="249">
          <cell r="C249" t="str">
            <v>1994UT</v>
          </cell>
          <cell r="D249">
            <v>1530.4872916087302</v>
          </cell>
          <cell r="E249">
            <v>311.05375757575825</v>
          </cell>
          <cell r="F249">
            <v>3.4961197609077534</v>
          </cell>
          <cell r="G249">
            <v>0</v>
          </cell>
          <cell r="H249" t="str">
            <v>---</v>
          </cell>
          <cell r="I249">
            <v>0</v>
          </cell>
          <cell r="K249" t="str">
            <v>---</v>
          </cell>
        </row>
        <row r="250">
          <cell r="C250" t="str">
            <v>1994VT</v>
          </cell>
          <cell r="D250">
            <v>0</v>
          </cell>
          <cell r="E250">
            <v>0</v>
          </cell>
          <cell r="F250">
            <v>0</v>
          </cell>
          <cell r="G250">
            <v>0</v>
          </cell>
          <cell r="H250" t="str">
            <v>---</v>
          </cell>
          <cell r="I250">
            <v>0</v>
          </cell>
          <cell r="K250" t="str">
            <v>---</v>
          </cell>
        </row>
        <row r="251">
          <cell r="C251" t="str">
            <v>1994VA</v>
          </cell>
          <cell r="D251">
            <v>17656.597290998277</v>
          </cell>
          <cell r="E251">
            <v>20347.463587668812</v>
          </cell>
          <cell r="F251">
            <v>15426.28909241096</v>
          </cell>
          <cell r="G251">
            <v>0</v>
          </cell>
          <cell r="H251" t="str">
            <v>---</v>
          </cell>
          <cell r="I251">
            <v>0</v>
          </cell>
          <cell r="J251">
            <v>9075</v>
          </cell>
          <cell r="K251" t="str">
            <v>---</v>
          </cell>
        </row>
        <row r="252">
          <cell r="C252" t="str">
            <v>1994WA</v>
          </cell>
          <cell r="D252">
            <v>0</v>
          </cell>
          <cell r="E252">
            <v>0</v>
          </cell>
          <cell r="F252">
            <v>0</v>
          </cell>
          <cell r="G252">
            <v>0</v>
          </cell>
          <cell r="H252" t="str">
            <v>---</v>
          </cell>
          <cell r="I252">
            <v>0</v>
          </cell>
          <cell r="J252">
            <v>4893</v>
          </cell>
          <cell r="K252" t="str">
            <v>---</v>
          </cell>
        </row>
        <row r="253">
          <cell r="C253" t="str">
            <v>1994WV</v>
          </cell>
          <cell r="D253">
            <v>16536.728541040669</v>
          </cell>
          <cell r="E253">
            <v>5857.2596899224809</v>
          </cell>
          <cell r="F253">
            <v>70.072888837209305</v>
          </cell>
          <cell r="G253">
            <v>0</v>
          </cell>
          <cell r="H253">
            <v>43702</v>
          </cell>
          <cell r="I253">
            <v>43702</v>
          </cell>
          <cell r="J253">
            <v>44483</v>
          </cell>
          <cell r="K253">
            <v>5614</v>
          </cell>
        </row>
        <row r="254">
          <cell r="C254" t="str">
            <v>1994WI</v>
          </cell>
          <cell r="D254">
            <v>0</v>
          </cell>
          <cell r="E254">
            <v>0</v>
          </cell>
          <cell r="F254">
            <v>0</v>
          </cell>
          <cell r="G254">
            <v>0</v>
          </cell>
          <cell r="H254" t="str">
            <v>---</v>
          </cell>
          <cell r="I254">
            <v>0</v>
          </cell>
          <cell r="K254" t="str">
            <v>---</v>
          </cell>
        </row>
        <row r="255">
          <cell r="C255" t="str">
            <v>1994WY</v>
          </cell>
          <cell r="D255">
            <v>0</v>
          </cell>
          <cell r="E255">
            <v>0</v>
          </cell>
          <cell r="F255">
            <v>0</v>
          </cell>
          <cell r="G255">
            <v>0</v>
          </cell>
          <cell r="H255" t="str">
            <v>---</v>
          </cell>
          <cell r="I255">
            <v>0</v>
          </cell>
          <cell r="J255">
            <v>234357</v>
          </cell>
          <cell r="K255" t="str">
            <v>---</v>
          </cell>
        </row>
        <row r="256">
          <cell r="C256" t="str">
            <v>1995AL</v>
          </cell>
          <cell r="D256">
            <v>31706.930931362054</v>
          </cell>
          <cell r="E256">
            <v>12486.854359999999</v>
          </cell>
          <cell r="F256">
            <v>12486.854359999999</v>
          </cell>
          <cell r="G256">
            <v>0</v>
          </cell>
          <cell r="H256" t="str">
            <v>---</v>
          </cell>
          <cell r="I256">
            <v>0</v>
          </cell>
          <cell r="J256">
            <v>7036</v>
          </cell>
          <cell r="K256" t="str">
            <v>---</v>
          </cell>
        </row>
        <row r="257">
          <cell r="C257" t="str">
            <v>1995AK</v>
          </cell>
          <cell r="D257">
            <v>0</v>
          </cell>
          <cell r="E257">
            <v>0</v>
          </cell>
          <cell r="F257">
            <v>0</v>
          </cell>
          <cell r="G257">
            <v>0</v>
          </cell>
          <cell r="H257" t="str">
            <v>---</v>
          </cell>
          <cell r="I257">
            <v>0</v>
          </cell>
          <cell r="J257">
            <v>1698</v>
          </cell>
          <cell r="K257" t="str">
            <v>---</v>
          </cell>
        </row>
        <row r="258">
          <cell r="C258" t="str">
            <v>1995AZ</v>
          </cell>
          <cell r="D258">
            <v>0</v>
          </cell>
          <cell r="E258">
            <v>0</v>
          </cell>
          <cell r="F258">
            <v>0</v>
          </cell>
          <cell r="G258">
            <v>0</v>
          </cell>
          <cell r="H258" t="str">
            <v>---</v>
          </cell>
          <cell r="I258">
            <v>0</v>
          </cell>
          <cell r="J258">
            <v>11947</v>
          </cell>
          <cell r="K258" t="str">
            <v>---</v>
          </cell>
        </row>
        <row r="259">
          <cell r="C259" t="str">
            <v>1995AR</v>
          </cell>
          <cell r="D259">
            <v>0</v>
          </cell>
          <cell r="E259">
            <v>0</v>
          </cell>
          <cell r="F259">
            <v>0</v>
          </cell>
          <cell r="G259">
            <v>0</v>
          </cell>
          <cell r="H259" t="str">
            <v>---</v>
          </cell>
          <cell r="I259">
            <v>0</v>
          </cell>
          <cell r="J259">
            <v>29</v>
          </cell>
          <cell r="K259" t="str">
            <v>---</v>
          </cell>
        </row>
        <row r="260">
          <cell r="C260" t="str">
            <v>1995CA</v>
          </cell>
          <cell r="D260">
            <v>0</v>
          </cell>
          <cell r="E260">
            <v>0</v>
          </cell>
          <cell r="F260">
            <v>0</v>
          </cell>
          <cell r="G260">
            <v>0</v>
          </cell>
          <cell r="H260" t="str">
            <v>---</v>
          </cell>
          <cell r="I260">
            <v>0</v>
          </cell>
          <cell r="J260">
            <v>0</v>
          </cell>
          <cell r="K260" t="str">
            <v>---</v>
          </cell>
        </row>
        <row r="261">
          <cell r="C261" t="str">
            <v>1995CO</v>
          </cell>
          <cell r="D261">
            <v>5828.7735028693778</v>
          </cell>
          <cell r="E261">
            <v>0</v>
          </cell>
          <cell r="F261">
            <v>0</v>
          </cell>
          <cell r="G261">
            <v>0</v>
          </cell>
          <cell r="H261" t="str">
            <v>---</v>
          </cell>
          <cell r="I261">
            <v>0</v>
          </cell>
          <cell r="J261">
            <v>8523</v>
          </cell>
          <cell r="K261" t="str">
            <v>---</v>
          </cell>
        </row>
        <row r="262">
          <cell r="C262" t="str">
            <v>1995CT</v>
          </cell>
          <cell r="D262">
            <v>0</v>
          </cell>
          <cell r="E262">
            <v>0</v>
          </cell>
          <cell r="F262">
            <v>0</v>
          </cell>
          <cell r="G262">
            <v>0</v>
          </cell>
          <cell r="H262" t="str">
            <v>---</v>
          </cell>
          <cell r="I262">
            <v>0</v>
          </cell>
          <cell r="K262" t="str">
            <v>---</v>
          </cell>
        </row>
        <row r="263">
          <cell r="C263" t="str">
            <v>1995DE</v>
          </cell>
          <cell r="D263">
            <v>0</v>
          </cell>
          <cell r="E263">
            <v>0</v>
          </cell>
          <cell r="F263">
            <v>0</v>
          </cell>
          <cell r="G263">
            <v>0</v>
          </cell>
          <cell r="H263" t="str">
            <v>---</v>
          </cell>
          <cell r="I263">
            <v>0</v>
          </cell>
          <cell r="K263" t="str">
            <v>---</v>
          </cell>
        </row>
        <row r="264">
          <cell r="C264" t="str">
            <v>1995FL</v>
          </cell>
          <cell r="D264">
            <v>0</v>
          </cell>
          <cell r="E264">
            <v>0</v>
          </cell>
          <cell r="F264">
            <v>0</v>
          </cell>
          <cell r="G264">
            <v>0</v>
          </cell>
          <cell r="H264" t="str">
            <v>---</v>
          </cell>
          <cell r="I264">
            <v>0</v>
          </cell>
          <cell r="K264" t="str">
            <v>---</v>
          </cell>
        </row>
        <row r="265">
          <cell r="C265" t="str">
            <v>1995GA</v>
          </cell>
          <cell r="D265">
            <v>0</v>
          </cell>
          <cell r="E265">
            <v>0</v>
          </cell>
          <cell r="F265">
            <v>0</v>
          </cell>
          <cell r="G265">
            <v>0</v>
          </cell>
          <cell r="H265" t="str">
            <v>---</v>
          </cell>
          <cell r="I265">
            <v>0</v>
          </cell>
          <cell r="K265" t="str">
            <v>---</v>
          </cell>
        </row>
        <row r="266">
          <cell r="C266" t="str">
            <v>1995HI</v>
          </cell>
          <cell r="D266">
            <v>0</v>
          </cell>
          <cell r="E266">
            <v>0</v>
          </cell>
          <cell r="F266">
            <v>0</v>
          </cell>
          <cell r="G266">
            <v>0</v>
          </cell>
          <cell r="H266" t="str">
            <v>---</v>
          </cell>
          <cell r="I266">
            <v>0</v>
          </cell>
          <cell r="K266" t="str">
            <v>---</v>
          </cell>
        </row>
        <row r="267">
          <cell r="C267" t="str">
            <v>1995ID</v>
          </cell>
          <cell r="D267">
            <v>0</v>
          </cell>
          <cell r="E267">
            <v>0</v>
          </cell>
          <cell r="F267">
            <v>0</v>
          </cell>
          <cell r="G267">
            <v>0</v>
          </cell>
          <cell r="H267" t="str">
            <v>---</v>
          </cell>
          <cell r="I267">
            <v>0</v>
          </cell>
          <cell r="K267" t="str">
            <v>---</v>
          </cell>
        </row>
        <row r="268">
          <cell r="C268" t="str">
            <v>1995IL</v>
          </cell>
          <cell r="D268">
            <v>10140.468970745356</v>
          </cell>
          <cell r="E268">
            <v>0</v>
          </cell>
          <cell r="F268">
            <v>0</v>
          </cell>
          <cell r="G268">
            <v>0</v>
          </cell>
          <cell r="H268" t="str">
            <v>---</v>
          </cell>
          <cell r="I268">
            <v>0</v>
          </cell>
          <cell r="J268">
            <v>7062</v>
          </cell>
          <cell r="K268" t="str">
            <v>---</v>
          </cell>
        </row>
        <row r="269">
          <cell r="C269" t="str">
            <v>1995IN</v>
          </cell>
          <cell r="D269">
            <v>159.69242473614733</v>
          </cell>
          <cell r="E269">
            <v>0</v>
          </cell>
          <cell r="F269">
            <v>0</v>
          </cell>
          <cell r="G269">
            <v>0</v>
          </cell>
          <cell r="H269" t="str">
            <v>---</v>
          </cell>
          <cell r="I269">
            <v>0</v>
          </cell>
          <cell r="J269">
            <v>22467</v>
          </cell>
          <cell r="K269" t="str">
            <v>---</v>
          </cell>
        </row>
        <row r="270">
          <cell r="C270" t="str">
            <v>1995IA</v>
          </cell>
          <cell r="D270">
            <v>0</v>
          </cell>
          <cell r="E270">
            <v>0</v>
          </cell>
          <cell r="F270">
            <v>0</v>
          </cell>
          <cell r="G270">
            <v>0</v>
          </cell>
          <cell r="H270" t="str">
            <v>---</v>
          </cell>
          <cell r="I270">
            <v>0</v>
          </cell>
          <cell r="J270">
            <v>0</v>
          </cell>
          <cell r="K270" t="str">
            <v>---</v>
          </cell>
        </row>
        <row r="271">
          <cell r="C271" t="str">
            <v>1995KS</v>
          </cell>
          <cell r="D271">
            <v>0</v>
          </cell>
          <cell r="E271">
            <v>0</v>
          </cell>
          <cell r="F271">
            <v>0</v>
          </cell>
          <cell r="G271">
            <v>0</v>
          </cell>
          <cell r="H271" t="str">
            <v>---</v>
          </cell>
          <cell r="I271">
            <v>0</v>
          </cell>
          <cell r="J271">
            <v>285</v>
          </cell>
          <cell r="K271" t="str">
            <v>---</v>
          </cell>
        </row>
        <row r="272">
          <cell r="C272" t="str">
            <v>1995KY</v>
          </cell>
          <cell r="D272">
            <v>4682.9803553875199</v>
          </cell>
          <cell r="E272">
            <v>0</v>
          </cell>
          <cell r="F272">
            <v>0</v>
          </cell>
          <cell r="G272">
            <v>0</v>
          </cell>
          <cell r="H272">
            <v>24351</v>
          </cell>
          <cell r="I272">
            <v>24351</v>
          </cell>
          <cell r="J272">
            <v>48685</v>
          </cell>
          <cell r="K272">
            <v>10847</v>
          </cell>
        </row>
        <row r="273">
          <cell r="C273" t="str">
            <v>1995LA</v>
          </cell>
          <cell r="D273">
            <v>0</v>
          </cell>
          <cell r="E273">
            <v>0</v>
          </cell>
          <cell r="F273">
            <v>0</v>
          </cell>
          <cell r="G273">
            <v>0</v>
          </cell>
          <cell r="H273" t="str">
            <v>---</v>
          </cell>
          <cell r="I273">
            <v>0</v>
          </cell>
          <cell r="J273">
            <v>3719</v>
          </cell>
          <cell r="K273" t="str">
            <v>---</v>
          </cell>
        </row>
        <row r="274">
          <cell r="C274" t="str">
            <v>1995ME</v>
          </cell>
          <cell r="D274">
            <v>0</v>
          </cell>
          <cell r="E274">
            <v>0</v>
          </cell>
          <cell r="F274">
            <v>0</v>
          </cell>
          <cell r="G274">
            <v>0</v>
          </cell>
          <cell r="H274" t="str">
            <v>---</v>
          </cell>
          <cell r="I274">
            <v>0</v>
          </cell>
          <cell r="K274" t="str">
            <v>---</v>
          </cell>
        </row>
        <row r="275">
          <cell r="C275" t="str">
            <v>1995MD</v>
          </cell>
          <cell r="D275">
            <v>0</v>
          </cell>
          <cell r="E275">
            <v>0</v>
          </cell>
          <cell r="F275">
            <v>0</v>
          </cell>
          <cell r="G275">
            <v>0</v>
          </cell>
          <cell r="H275" t="str">
            <v>---</v>
          </cell>
          <cell r="I275">
            <v>0</v>
          </cell>
          <cell r="J275">
            <v>776</v>
          </cell>
          <cell r="K275" t="str">
            <v>---</v>
          </cell>
        </row>
        <row r="276">
          <cell r="C276" t="str">
            <v>1995MA</v>
          </cell>
          <cell r="D276">
            <v>0</v>
          </cell>
          <cell r="E276">
            <v>0</v>
          </cell>
          <cell r="F276">
            <v>0</v>
          </cell>
          <cell r="G276">
            <v>0</v>
          </cell>
          <cell r="H276" t="str">
            <v>---</v>
          </cell>
          <cell r="I276">
            <v>0</v>
          </cell>
          <cell r="K276" t="str">
            <v>---</v>
          </cell>
        </row>
        <row r="277">
          <cell r="C277" t="str">
            <v>1995MI</v>
          </cell>
          <cell r="D277">
            <v>0</v>
          </cell>
          <cell r="E277">
            <v>0</v>
          </cell>
          <cell r="F277">
            <v>0</v>
          </cell>
          <cell r="G277">
            <v>0</v>
          </cell>
          <cell r="H277" t="str">
            <v>---</v>
          </cell>
          <cell r="I277">
            <v>0</v>
          </cell>
          <cell r="K277" t="str">
            <v>---</v>
          </cell>
        </row>
        <row r="278">
          <cell r="C278" t="str">
            <v>1995MN</v>
          </cell>
          <cell r="D278">
            <v>0</v>
          </cell>
          <cell r="E278">
            <v>0</v>
          </cell>
          <cell r="F278">
            <v>0</v>
          </cell>
          <cell r="G278">
            <v>0</v>
          </cell>
          <cell r="H278" t="str">
            <v>---</v>
          </cell>
          <cell r="I278">
            <v>0</v>
          </cell>
          <cell r="K278" t="str">
            <v>---</v>
          </cell>
        </row>
        <row r="279">
          <cell r="C279" t="str">
            <v>1995MS</v>
          </cell>
          <cell r="D279">
            <v>0</v>
          </cell>
          <cell r="E279">
            <v>0</v>
          </cell>
          <cell r="F279">
            <v>0</v>
          </cell>
          <cell r="G279">
            <v>0</v>
          </cell>
          <cell r="H279" t="str">
            <v>---</v>
          </cell>
          <cell r="I279">
            <v>0</v>
          </cell>
          <cell r="K279" t="str">
            <v>---</v>
          </cell>
        </row>
        <row r="280">
          <cell r="C280" t="str">
            <v>1995MO</v>
          </cell>
          <cell r="D280">
            <v>0</v>
          </cell>
          <cell r="E280">
            <v>0</v>
          </cell>
          <cell r="F280">
            <v>0</v>
          </cell>
          <cell r="G280">
            <v>0</v>
          </cell>
          <cell r="H280" t="str">
            <v>---</v>
          </cell>
          <cell r="I280">
            <v>0</v>
          </cell>
          <cell r="J280">
            <v>548</v>
          </cell>
          <cell r="K280" t="str">
            <v>---</v>
          </cell>
        </row>
        <row r="281">
          <cell r="C281" t="str">
            <v>1995MT</v>
          </cell>
          <cell r="D281">
            <v>0</v>
          </cell>
          <cell r="E281">
            <v>0</v>
          </cell>
          <cell r="F281">
            <v>0</v>
          </cell>
          <cell r="G281">
            <v>0</v>
          </cell>
          <cell r="H281" t="str">
            <v>---</v>
          </cell>
          <cell r="I281">
            <v>0</v>
          </cell>
          <cell r="J281">
            <v>39441</v>
          </cell>
          <cell r="K281" t="str">
            <v>---</v>
          </cell>
        </row>
        <row r="282">
          <cell r="C282" t="str">
            <v>1995NE</v>
          </cell>
          <cell r="D282">
            <v>0</v>
          </cell>
          <cell r="E282">
            <v>0</v>
          </cell>
          <cell r="F282">
            <v>0</v>
          </cell>
          <cell r="G282">
            <v>0</v>
          </cell>
          <cell r="H282" t="str">
            <v>---</v>
          </cell>
          <cell r="I282">
            <v>0</v>
          </cell>
          <cell r="K282" t="str">
            <v>---</v>
          </cell>
        </row>
        <row r="283">
          <cell r="C283" t="str">
            <v>1995NV</v>
          </cell>
          <cell r="D283">
            <v>0</v>
          </cell>
          <cell r="E283">
            <v>0</v>
          </cell>
          <cell r="F283">
            <v>0</v>
          </cell>
          <cell r="G283">
            <v>0</v>
          </cell>
          <cell r="H283" t="str">
            <v>---</v>
          </cell>
          <cell r="I283">
            <v>0</v>
          </cell>
          <cell r="K283" t="str">
            <v>---</v>
          </cell>
        </row>
        <row r="284">
          <cell r="C284" t="str">
            <v>1995NH</v>
          </cell>
          <cell r="D284">
            <v>0</v>
          </cell>
          <cell r="E284">
            <v>0</v>
          </cell>
          <cell r="F284">
            <v>0</v>
          </cell>
          <cell r="G284">
            <v>0</v>
          </cell>
          <cell r="H284" t="str">
            <v>---</v>
          </cell>
          <cell r="I284">
            <v>0</v>
          </cell>
          <cell r="K284" t="str">
            <v>---</v>
          </cell>
        </row>
        <row r="285">
          <cell r="C285" t="str">
            <v>1995NJ</v>
          </cell>
          <cell r="D285">
            <v>0</v>
          </cell>
          <cell r="E285">
            <v>0</v>
          </cell>
          <cell r="F285">
            <v>0</v>
          </cell>
          <cell r="G285">
            <v>0</v>
          </cell>
          <cell r="H285" t="str">
            <v>---</v>
          </cell>
          <cell r="I285">
            <v>0</v>
          </cell>
          <cell r="K285" t="str">
            <v>---</v>
          </cell>
        </row>
        <row r="286">
          <cell r="C286" t="str">
            <v>1995NM</v>
          </cell>
          <cell r="D286">
            <v>119.76931855211051</v>
          </cell>
          <cell r="E286">
            <v>0</v>
          </cell>
          <cell r="F286">
            <v>0</v>
          </cell>
          <cell r="G286">
            <v>0</v>
          </cell>
          <cell r="H286" t="str">
            <v>---</v>
          </cell>
          <cell r="I286">
            <v>0</v>
          </cell>
          <cell r="J286">
            <v>26173</v>
          </cell>
          <cell r="K286" t="str">
            <v>---</v>
          </cell>
        </row>
        <row r="287">
          <cell r="C287" t="str">
            <v>1995NY</v>
          </cell>
          <cell r="D287">
            <v>0</v>
          </cell>
          <cell r="E287">
            <v>0</v>
          </cell>
          <cell r="F287">
            <v>0</v>
          </cell>
          <cell r="G287">
            <v>0</v>
          </cell>
          <cell r="H287" t="str">
            <v>---</v>
          </cell>
          <cell r="I287">
            <v>0</v>
          </cell>
          <cell r="K287" t="str">
            <v>---</v>
          </cell>
        </row>
        <row r="288">
          <cell r="C288" t="str">
            <v>1995NC</v>
          </cell>
          <cell r="D288">
            <v>0</v>
          </cell>
          <cell r="E288">
            <v>0</v>
          </cell>
          <cell r="F288">
            <v>0</v>
          </cell>
          <cell r="G288">
            <v>0</v>
          </cell>
          <cell r="H288" t="str">
            <v>---</v>
          </cell>
          <cell r="I288">
            <v>0</v>
          </cell>
          <cell r="K288" t="str">
            <v>---</v>
          </cell>
        </row>
        <row r="289">
          <cell r="C289" t="str">
            <v>1995ND</v>
          </cell>
          <cell r="D289">
            <v>0</v>
          </cell>
          <cell r="E289">
            <v>0</v>
          </cell>
          <cell r="F289">
            <v>0</v>
          </cell>
          <cell r="G289">
            <v>0</v>
          </cell>
          <cell r="H289" t="str">
            <v>---</v>
          </cell>
          <cell r="I289">
            <v>0</v>
          </cell>
          <cell r="J289">
            <v>30112</v>
          </cell>
          <cell r="K289" t="str">
            <v>---</v>
          </cell>
        </row>
        <row r="290">
          <cell r="C290" t="str">
            <v>1995OH</v>
          </cell>
          <cell r="D290">
            <v>1796.5397782816576</v>
          </cell>
          <cell r="E290">
            <v>0</v>
          </cell>
          <cell r="F290">
            <v>0</v>
          </cell>
          <cell r="G290">
            <v>0</v>
          </cell>
          <cell r="H290" t="str">
            <v>---</v>
          </cell>
          <cell r="I290">
            <v>0</v>
          </cell>
          <cell r="J290">
            <v>13041</v>
          </cell>
          <cell r="K290" t="str">
            <v>---</v>
          </cell>
        </row>
        <row r="291">
          <cell r="C291" t="str">
            <v>1995OK</v>
          </cell>
          <cell r="D291">
            <v>0</v>
          </cell>
          <cell r="E291">
            <v>0</v>
          </cell>
          <cell r="F291">
            <v>0</v>
          </cell>
          <cell r="G291">
            <v>0</v>
          </cell>
          <cell r="H291" t="str">
            <v>---</v>
          </cell>
          <cell r="I291">
            <v>0</v>
          </cell>
          <cell r="J291">
            <v>1851</v>
          </cell>
          <cell r="K291" t="str">
            <v>---</v>
          </cell>
        </row>
        <row r="292">
          <cell r="C292" t="str">
            <v>1995OR</v>
          </cell>
          <cell r="D292">
            <v>0</v>
          </cell>
          <cell r="E292">
            <v>0</v>
          </cell>
          <cell r="F292">
            <v>0</v>
          </cell>
          <cell r="G292">
            <v>0</v>
          </cell>
          <cell r="H292" t="str">
            <v>---</v>
          </cell>
          <cell r="I292">
            <v>0</v>
          </cell>
          <cell r="K292" t="str">
            <v>---</v>
          </cell>
        </row>
        <row r="293">
          <cell r="C293" t="str">
            <v>1995PA</v>
          </cell>
          <cell r="D293">
            <v>17286.70497768795</v>
          </cell>
          <cell r="E293">
            <v>3672.1862745098047</v>
          </cell>
          <cell r="F293">
            <v>0</v>
          </cell>
          <cell r="G293">
            <v>0</v>
          </cell>
          <cell r="H293" t="str">
            <v>---</v>
          </cell>
          <cell r="I293">
            <v>0</v>
          </cell>
          <cell r="J293">
            <v>20167</v>
          </cell>
          <cell r="K293" t="str">
            <v>---</v>
          </cell>
        </row>
        <row r="294">
          <cell r="C294" t="str">
            <v>1995RI</v>
          </cell>
          <cell r="D294">
            <v>0</v>
          </cell>
          <cell r="E294">
            <v>0</v>
          </cell>
          <cell r="F294">
            <v>0</v>
          </cell>
          <cell r="G294">
            <v>0</v>
          </cell>
          <cell r="H294" t="str">
            <v>---</v>
          </cell>
          <cell r="I294">
            <v>0</v>
          </cell>
          <cell r="K294" t="str">
            <v>---</v>
          </cell>
        </row>
        <row r="295">
          <cell r="C295" t="str">
            <v>1995SC</v>
          </cell>
          <cell r="D295">
            <v>0</v>
          </cell>
          <cell r="E295">
            <v>0</v>
          </cell>
          <cell r="F295">
            <v>0</v>
          </cell>
          <cell r="G295">
            <v>0</v>
          </cell>
          <cell r="H295" t="str">
            <v>---</v>
          </cell>
          <cell r="I295">
            <v>0</v>
          </cell>
          <cell r="K295" t="str">
            <v>---</v>
          </cell>
        </row>
        <row r="296">
          <cell r="C296" t="str">
            <v>1995SD</v>
          </cell>
          <cell r="D296">
            <v>0</v>
          </cell>
          <cell r="E296">
            <v>0</v>
          </cell>
          <cell r="F296">
            <v>0</v>
          </cell>
          <cell r="G296">
            <v>0</v>
          </cell>
          <cell r="H296" t="str">
            <v>---</v>
          </cell>
          <cell r="I296">
            <v>0</v>
          </cell>
          <cell r="K296" t="str">
            <v>---</v>
          </cell>
        </row>
        <row r="297">
          <cell r="C297" t="str">
            <v>1995TN</v>
          </cell>
          <cell r="D297">
            <v>0</v>
          </cell>
          <cell r="E297">
            <v>0</v>
          </cell>
          <cell r="F297">
            <v>0</v>
          </cell>
          <cell r="G297">
            <v>0</v>
          </cell>
          <cell r="H297" t="str">
            <v>---</v>
          </cell>
          <cell r="I297">
            <v>0</v>
          </cell>
          <cell r="J297">
            <v>1258</v>
          </cell>
          <cell r="K297" t="str">
            <v>---</v>
          </cell>
        </row>
        <row r="298">
          <cell r="C298" t="str">
            <v>1995TX</v>
          </cell>
          <cell r="D298">
            <v>0</v>
          </cell>
          <cell r="E298">
            <v>0</v>
          </cell>
          <cell r="F298">
            <v>0</v>
          </cell>
          <cell r="G298">
            <v>0</v>
          </cell>
          <cell r="H298" t="str">
            <v>---</v>
          </cell>
          <cell r="I298">
            <v>0</v>
          </cell>
          <cell r="J298">
            <v>52684</v>
          </cell>
          <cell r="K298" t="str">
            <v>---</v>
          </cell>
        </row>
        <row r="299">
          <cell r="C299" t="str">
            <v>1995UT</v>
          </cell>
          <cell r="D299">
            <v>1756.6166720976207</v>
          </cell>
          <cell r="E299">
            <v>0</v>
          </cell>
          <cell r="F299">
            <v>0</v>
          </cell>
          <cell r="G299">
            <v>0</v>
          </cell>
          <cell r="H299" t="str">
            <v>---</v>
          </cell>
          <cell r="I299">
            <v>0</v>
          </cell>
          <cell r="K299" t="str">
            <v>---</v>
          </cell>
        </row>
        <row r="300">
          <cell r="C300" t="str">
            <v>1995VT</v>
          </cell>
          <cell r="D300">
            <v>0</v>
          </cell>
          <cell r="E300">
            <v>0</v>
          </cell>
          <cell r="F300">
            <v>0</v>
          </cell>
          <cell r="G300">
            <v>0</v>
          </cell>
          <cell r="H300" t="str">
            <v>---</v>
          </cell>
          <cell r="I300">
            <v>0</v>
          </cell>
          <cell r="K300" t="str">
            <v>---</v>
          </cell>
        </row>
        <row r="301">
          <cell r="C301" t="str">
            <v>1995VA</v>
          </cell>
          <cell r="D301">
            <v>14292.472013885186</v>
          </cell>
          <cell r="E301">
            <v>19740.020361990952</v>
          </cell>
          <cell r="F301">
            <v>17769.615620000004</v>
          </cell>
          <cell r="G301">
            <v>0</v>
          </cell>
          <cell r="H301" t="str">
            <v>---</v>
          </cell>
          <cell r="I301">
            <v>0</v>
          </cell>
          <cell r="J301">
            <v>8727</v>
          </cell>
          <cell r="K301" t="str">
            <v>---</v>
          </cell>
        </row>
        <row r="302">
          <cell r="C302" t="str">
            <v>1995WA</v>
          </cell>
          <cell r="D302">
            <v>0</v>
          </cell>
          <cell r="E302">
            <v>0</v>
          </cell>
          <cell r="F302">
            <v>0</v>
          </cell>
          <cell r="G302">
            <v>0</v>
          </cell>
          <cell r="H302" t="str">
            <v>---</v>
          </cell>
          <cell r="I302">
            <v>0</v>
          </cell>
          <cell r="J302">
            <v>4868</v>
          </cell>
          <cell r="K302" t="str">
            <v>---</v>
          </cell>
        </row>
        <row r="303">
          <cell r="C303" t="str">
            <v>1995WV</v>
          </cell>
          <cell r="D303">
            <v>21566.461960616696</v>
          </cell>
          <cell r="E303">
            <v>572.38636363636397</v>
          </cell>
          <cell r="F303">
            <v>0</v>
          </cell>
          <cell r="G303">
            <v>0</v>
          </cell>
          <cell r="H303">
            <v>40726</v>
          </cell>
          <cell r="I303">
            <v>40726</v>
          </cell>
          <cell r="J303">
            <v>47580</v>
          </cell>
          <cell r="K303">
            <v>5388</v>
          </cell>
        </row>
        <row r="304">
          <cell r="C304" t="str">
            <v>1995WI</v>
          </cell>
          <cell r="D304">
            <v>0</v>
          </cell>
          <cell r="E304">
            <v>0</v>
          </cell>
          <cell r="F304">
            <v>0</v>
          </cell>
          <cell r="G304">
            <v>0</v>
          </cell>
          <cell r="H304" t="str">
            <v>---</v>
          </cell>
          <cell r="I304">
            <v>0</v>
          </cell>
          <cell r="K304" t="str">
            <v>---</v>
          </cell>
        </row>
        <row r="305">
          <cell r="C305" t="str">
            <v>1995WY</v>
          </cell>
          <cell r="D305">
            <v>0</v>
          </cell>
          <cell r="E305">
            <v>0</v>
          </cell>
          <cell r="F305">
            <v>0</v>
          </cell>
          <cell r="G305">
            <v>0</v>
          </cell>
          <cell r="H305" t="str">
            <v>---</v>
          </cell>
          <cell r="I305">
            <v>0</v>
          </cell>
          <cell r="J305">
            <v>261814</v>
          </cell>
          <cell r="K305" t="str">
            <v>---</v>
          </cell>
        </row>
        <row r="306">
          <cell r="C306" t="str">
            <v>1996AL</v>
          </cell>
          <cell r="D306">
            <v>27518.329884580642</v>
          </cell>
          <cell r="E306">
            <v>17444.156080000001</v>
          </cell>
          <cell r="F306">
            <v>17444.156080000001</v>
          </cell>
          <cell r="G306">
            <v>0</v>
          </cell>
          <cell r="H306" t="str">
            <v>---</v>
          </cell>
          <cell r="I306">
            <v>0</v>
          </cell>
          <cell r="J306">
            <v>6420</v>
          </cell>
          <cell r="K306" t="str">
            <v>---</v>
          </cell>
        </row>
        <row r="307">
          <cell r="C307" t="str">
            <v>1996AK</v>
          </cell>
          <cell r="D307">
            <v>0</v>
          </cell>
          <cell r="E307">
            <v>0</v>
          </cell>
          <cell r="F307">
            <v>0</v>
          </cell>
          <cell r="G307">
            <v>0</v>
          </cell>
          <cell r="H307" t="str">
            <v>---</v>
          </cell>
          <cell r="I307">
            <v>0</v>
          </cell>
          <cell r="J307">
            <v>1481</v>
          </cell>
          <cell r="K307" t="str">
            <v>---</v>
          </cell>
        </row>
        <row r="308">
          <cell r="C308" t="str">
            <v>1996AZ</v>
          </cell>
          <cell r="D308">
            <v>0</v>
          </cell>
          <cell r="E308">
            <v>0</v>
          </cell>
          <cell r="F308">
            <v>0</v>
          </cell>
          <cell r="G308">
            <v>0</v>
          </cell>
          <cell r="H308" t="str">
            <v>---</v>
          </cell>
          <cell r="I308">
            <v>0</v>
          </cell>
          <cell r="J308">
            <v>10442</v>
          </cell>
          <cell r="K308" t="str">
            <v>---</v>
          </cell>
        </row>
        <row r="309">
          <cell r="C309" t="str">
            <v>1996AR</v>
          </cell>
          <cell r="D309">
            <v>0</v>
          </cell>
          <cell r="E309">
            <v>0</v>
          </cell>
          <cell r="F309">
            <v>0</v>
          </cell>
          <cell r="G309">
            <v>0</v>
          </cell>
          <cell r="H309" t="str">
            <v>---</v>
          </cell>
          <cell r="I309">
            <v>0</v>
          </cell>
          <cell r="J309">
            <v>21</v>
          </cell>
          <cell r="K309" t="str">
            <v>---</v>
          </cell>
        </row>
        <row r="310">
          <cell r="C310" t="str">
            <v>1996CA</v>
          </cell>
          <cell r="D310">
            <v>0</v>
          </cell>
          <cell r="E310">
            <v>0</v>
          </cell>
          <cell r="F310">
            <v>0</v>
          </cell>
          <cell r="G310">
            <v>0</v>
          </cell>
          <cell r="H310" t="str">
            <v>---</v>
          </cell>
          <cell r="I310">
            <v>0</v>
          </cell>
          <cell r="J310">
            <v>0</v>
          </cell>
          <cell r="K310" t="str">
            <v>---</v>
          </cell>
        </row>
        <row r="311">
          <cell r="C311" t="str">
            <v>1996CO</v>
          </cell>
          <cell r="D311">
            <v>4163.3783939429532</v>
          </cell>
          <cell r="E311">
            <v>97.6</v>
          </cell>
          <cell r="F311">
            <v>0</v>
          </cell>
          <cell r="G311">
            <v>0</v>
          </cell>
          <cell r="H311" t="str">
            <v>---</v>
          </cell>
          <cell r="I311">
            <v>0</v>
          </cell>
          <cell r="J311">
            <v>9305</v>
          </cell>
          <cell r="K311" t="str">
            <v>---</v>
          </cell>
        </row>
        <row r="312">
          <cell r="C312" t="str">
            <v>1996CT</v>
          </cell>
          <cell r="D312">
            <v>0</v>
          </cell>
          <cell r="E312">
            <v>0</v>
          </cell>
          <cell r="F312">
            <v>0</v>
          </cell>
          <cell r="G312">
            <v>0</v>
          </cell>
          <cell r="H312" t="str">
            <v>---</v>
          </cell>
          <cell r="I312">
            <v>0</v>
          </cell>
          <cell r="K312" t="str">
            <v>---</v>
          </cell>
        </row>
        <row r="313">
          <cell r="C313" t="str">
            <v>1996DE</v>
          </cell>
          <cell r="D313">
            <v>0</v>
          </cell>
          <cell r="E313">
            <v>0</v>
          </cell>
          <cell r="F313">
            <v>0</v>
          </cell>
          <cell r="G313">
            <v>0</v>
          </cell>
          <cell r="H313" t="str">
            <v>---</v>
          </cell>
          <cell r="I313">
            <v>0</v>
          </cell>
          <cell r="K313" t="str">
            <v>---</v>
          </cell>
        </row>
        <row r="314">
          <cell r="C314" t="str">
            <v>1996FL</v>
          </cell>
          <cell r="D314">
            <v>0</v>
          </cell>
          <cell r="E314">
            <v>0</v>
          </cell>
          <cell r="F314">
            <v>0</v>
          </cell>
          <cell r="G314">
            <v>0</v>
          </cell>
          <cell r="H314" t="str">
            <v>---</v>
          </cell>
          <cell r="I314">
            <v>0</v>
          </cell>
          <cell r="K314" t="str">
            <v>---</v>
          </cell>
        </row>
        <row r="315">
          <cell r="C315" t="str">
            <v>1996GA</v>
          </cell>
          <cell r="D315">
            <v>0</v>
          </cell>
          <cell r="E315">
            <v>0</v>
          </cell>
          <cell r="F315">
            <v>0</v>
          </cell>
          <cell r="G315">
            <v>0</v>
          </cell>
          <cell r="H315" t="str">
            <v>---</v>
          </cell>
          <cell r="I315">
            <v>0</v>
          </cell>
          <cell r="K315" t="str">
            <v>---</v>
          </cell>
        </row>
        <row r="316">
          <cell r="C316" t="str">
            <v>1996HI</v>
          </cell>
          <cell r="D316">
            <v>0</v>
          </cell>
          <cell r="E316">
            <v>0</v>
          </cell>
          <cell r="F316">
            <v>0</v>
          </cell>
          <cell r="G316">
            <v>0</v>
          </cell>
          <cell r="H316" t="str">
            <v>---</v>
          </cell>
          <cell r="I316">
            <v>0</v>
          </cell>
          <cell r="K316" t="str">
            <v>---</v>
          </cell>
        </row>
        <row r="317">
          <cell r="C317" t="str">
            <v>1996ID</v>
          </cell>
          <cell r="D317">
            <v>0</v>
          </cell>
          <cell r="E317">
            <v>0</v>
          </cell>
          <cell r="F317">
            <v>0</v>
          </cell>
          <cell r="G317">
            <v>0</v>
          </cell>
          <cell r="H317" t="str">
            <v>---</v>
          </cell>
          <cell r="I317">
            <v>0</v>
          </cell>
          <cell r="K317" t="str">
            <v>---</v>
          </cell>
        </row>
        <row r="318">
          <cell r="C318" t="str">
            <v>1996IL</v>
          </cell>
          <cell r="D318">
            <v>9447.6663554859333</v>
          </cell>
          <cell r="E318">
            <v>0</v>
          </cell>
          <cell r="F318">
            <v>0</v>
          </cell>
          <cell r="G318">
            <v>0</v>
          </cell>
          <cell r="H318" t="str">
            <v>---</v>
          </cell>
          <cell r="I318">
            <v>0</v>
          </cell>
          <cell r="J318">
            <v>7707</v>
          </cell>
          <cell r="K318" t="str">
            <v>---</v>
          </cell>
        </row>
        <row r="319">
          <cell r="C319" t="str">
            <v>1996IN</v>
          </cell>
          <cell r="D319">
            <v>0</v>
          </cell>
          <cell r="E319">
            <v>0</v>
          </cell>
          <cell r="F319">
            <v>0</v>
          </cell>
          <cell r="G319">
            <v>0</v>
          </cell>
          <cell r="H319" t="str">
            <v>---</v>
          </cell>
          <cell r="I319">
            <v>0</v>
          </cell>
          <cell r="J319">
            <v>26707</v>
          </cell>
          <cell r="K319" t="str">
            <v>---</v>
          </cell>
        </row>
        <row r="320">
          <cell r="C320" t="str">
            <v>1996IA</v>
          </cell>
          <cell r="D320">
            <v>0</v>
          </cell>
          <cell r="E320">
            <v>0</v>
          </cell>
          <cell r="F320">
            <v>0</v>
          </cell>
          <cell r="G320">
            <v>0</v>
          </cell>
          <cell r="H320" t="str">
            <v>---</v>
          </cell>
          <cell r="I320">
            <v>0</v>
          </cell>
          <cell r="J320">
            <v>0</v>
          </cell>
          <cell r="K320" t="str">
            <v>---</v>
          </cell>
        </row>
        <row r="321">
          <cell r="C321" t="str">
            <v>1996KS</v>
          </cell>
          <cell r="D321">
            <v>0</v>
          </cell>
          <cell r="E321">
            <v>0</v>
          </cell>
          <cell r="F321">
            <v>0</v>
          </cell>
          <cell r="G321">
            <v>0</v>
          </cell>
          <cell r="H321" t="str">
            <v>---</v>
          </cell>
          <cell r="I321">
            <v>0</v>
          </cell>
          <cell r="J321">
            <v>232</v>
          </cell>
          <cell r="K321" t="str">
            <v>---</v>
          </cell>
        </row>
        <row r="322">
          <cell r="C322" t="str">
            <v>1996KY</v>
          </cell>
          <cell r="D322">
            <v>3466.8131626486515</v>
          </cell>
          <cell r="E322">
            <v>24.4</v>
          </cell>
          <cell r="F322">
            <v>0</v>
          </cell>
          <cell r="G322">
            <v>0</v>
          </cell>
          <cell r="H322">
            <v>25135</v>
          </cell>
          <cell r="I322">
            <v>25135</v>
          </cell>
          <cell r="J322">
            <v>47779</v>
          </cell>
          <cell r="K322">
            <v>10340</v>
          </cell>
        </row>
        <row r="323">
          <cell r="C323" t="str">
            <v>1996LA</v>
          </cell>
          <cell r="D323">
            <v>0</v>
          </cell>
          <cell r="E323">
            <v>0</v>
          </cell>
          <cell r="F323">
            <v>0</v>
          </cell>
          <cell r="G323">
            <v>0</v>
          </cell>
          <cell r="H323" t="str">
            <v>---</v>
          </cell>
          <cell r="I323">
            <v>0</v>
          </cell>
          <cell r="J323">
            <v>3221</v>
          </cell>
          <cell r="K323" t="str">
            <v>---</v>
          </cell>
        </row>
        <row r="324">
          <cell r="C324" t="str">
            <v>1996ME</v>
          </cell>
          <cell r="D324">
            <v>0</v>
          </cell>
          <cell r="E324">
            <v>0</v>
          </cell>
          <cell r="F324">
            <v>0</v>
          </cell>
          <cell r="G324">
            <v>0</v>
          </cell>
          <cell r="H324" t="str">
            <v>---</v>
          </cell>
          <cell r="I324">
            <v>0</v>
          </cell>
          <cell r="K324" t="str">
            <v>---</v>
          </cell>
        </row>
        <row r="325">
          <cell r="C325" t="str">
            <v>1996MD</v>
          </cell>
          <cell r="D325">
            <v>0</v>
          </cell>
          <cell r="E325">
            <v>0</v>
          </cell>
          <cell r="F325">
            <v>0</v>
          </cell>
          <cell r="G325">
            <v>0</v>
          </cell>
          <cell r="H325" t="str">
            <v>---</v>
          </cell>
          <cell r="I325">
            <v>0</v>
          </cell>
          <cell r="J325">
            <v>797</v>
          </cell>
          <cell r="K325" t="str">
            <v>---</v>
          </cell>
        </row>
        <row r="326">
          <cell r="C326" t="str">
            <v>1996MA</v>
          </cell>
          <cell r="D326">
            <v>0</v>
          </cell>
          <cell r="E326">
            <v>0</v>
          </cell>
          <cell r="F326">
            <v>0</v>
          </cell>
          <cell r="G326">
            <v>0</v>
          </cell>
          <cell r="H326" t="str">
            <v>---</v>
          </cell>
          <cell r="I326">
            <v>0</v>
          </cell>
          <cell r="K326" t="str">
            <v>---</v>
          </cell>
        </row>
        <row r="327">
          <cell r="C327" t="str">
            <v>1996MI</v>
          </cell>
          <cell r="D327">
            <v>0</v>
          </cell>
          <cell r="E327">
            <v>0</v>
          </cell>
          <cell r="F327">
            <v>0</v>
          </cell>
          <cell r="G327">
            <v>0</v>
          </cell>
          <cell r="H327" t="str">
            <v>---</v>
          </cell>
          <cell r="I327">
            <v>0</v>
          </cell>
          <cell r="K327" t="str">
            <v>---</v>
          </cell>
        </row>
        <row r="328">
          <cell r="C328" t="str">
            <v>1996MN</v>
          </cell>
          <cell r="D328">
            <v>0</v>
          </cell>
          <cell r="E328">
            <v>0</v>
          </cell>
          <cell r="F328">
            <v>0</v>
          </cell>
          <cell r="G328">
            <v>0</v>
          </cell>
          <cell r="H328" t="str">
            <v>---</v>
          </cell>
          <cell r="I328">
            <v>0</v>
          </cell>
          <cell r="K328" t="str">
            <v>---</v>
          </cell>
        </row>
        <row r="329">
          <cell r="C329" t="str">
            <v>1996MS</v>
          </cell>
          <cell r="D329">
            <v>0</v>
          </cell>
          <cell r="E329">
            <v>0</v>
          </cell>
          <cell r="F329">
            <v>0</v>
          </cell>
          <cell r="G329">
            <v>0</v>
          </cell>
          <cell r="H329" t="str">
            <v>---</v>
          </cell>
          <cell r="I329">
            <v>0</v>
          </cell>
          <cell r="K329" t="str">
            <v>---</v>
          </cell>
        </row>
        <row r="330">
          <cell r="C330" t="str">
            <v>1996MO</v>
          </cell>
          <cell r="D330">
            <v>0</v>
          </cell>
          <cell r="E330">
            <v>0</v>
          </cell>
          <cell r="F330">
            <v>0</v>
          </cell>
          <cell r="G330">
            <v>0</v>
          </cell>
          <cell r="H330" t="str">
            <v>---</v>
          </cell>
          <cell r="I330">
            <v>0</v>
          </cell>
          <cell r="J330">
            <v>710</v>
          </cell>
          <cell r="K330" t="str">
            <v>---</v>
          </cell>
        </row>
        <row r="331">
          <cell r="C331" t="str">
            <v>1996MT</v>
          </cell>
          <cell r="D331">
            <v>0</v>
          </cell>
          <cell r="E331">
            <v>0</v>
          </cell>
          <cell r="F331">
            <v>0</v>
          </cell>
          <cell r="G331">
            <v>0</v>
          </cell>
          <cell r="H331" t="str">
            <v>---</v>
          </cell>
          <cell r="I331">
            <v>0</v>
          </cell>
          <cell r="J331">
            <v>37744</v>
          </cell>
          <cell r="K331" t="str">
            <v>---</v>
          </cell>
        </row>
        <row r="332">
          <cell r="C332" t="str">
            <v>1996NE</v>
          </cell>
          <cell r="D332">
            <v>0</v>
          </cell>
          <cell r="E332">
            <v>0</v>
          </cell>
          <cell r="F332">
            <v>0</v>
          </cell>
          <cell r="G332">
            <v>0</v>
          </cell>
          <cell r="H332" t="str">
            <v>---</v>
          </cell>
          <cell r="I332">
            <v>0</v>
          </cell>
          <cell r="K332" t="str">
            <v>---</v>
          </cell>
        </row>
        <row r="333">
          <cell r="C333" t="str">
            <v>1996NV</v>
          </cell>
          <cell r="D333">
            <v>0</v>
          </cell>
          <cell r="E333">
            <v>0</v>
          </cell>
          <cell r="F333">
            <v>0</v>
          </cell>
          <cell r="G333">
            <v>0</v>
          </cell>
          <cell r="H333" t="str">
            <v>---</v>
          </cell>
          <cell r="I333">
            <v>0</v>
          </cell>
          <cell r="K333" t="str">
            <v>---</v>
          </cell>
        </row>
        <row r="334">
          <cell r="C334" t="str">
            <v>1996NH</v>
          </cell>
          <cell r="D334">
            <v>0</v>
          </cell>
          <cell r="E334">
            <v>0</v>
          </cell>
          <cell r="F334">
            <v>0</v>
          </cell>
          <cell r="G334">
            <v>0</v>
          </cell>
          <cell r="H334" t="str">
            <v>---</v>
          </cell>
          <cell r="I334">
            <v>0</v>
          </cell>
          <cell r="K334" t="str">
            <v>---</v>
          </cell>
        </row>
        <row r="335">
          <cell r="C335" t="str">
            <v>1996NJ</v>
          </cell>
          <cell r="D335">
            <v>0</v>
          </cell>
          <cell r="E335">
            <v>0</v>
          </cell>
          <cell r="F335">
            <v>0</v>
          </cell>
          <cell r="G335">
            <v>0</v>
          </cell>
          <cell r="H335" t="str">
            <v>---</v>
          </cell>
          <cell r="I335">
            <v>0</v>
          </cell>
          <cell r="K335" t="str">
            <v>---</v>
          </cell>
        </row>
        <row r="336">
          <cell r="C336" t="str">
            <v>1996NM</v>
          </cell>
          <cell r="D336">
            <v>0</v>
          </cell>
          <cell r="E336">
            <v>0</v>
          </cell>
          <cell r="F336">
            <v>0</v>
          </cell>
          <cell r="G336">
            <v>0</v>
          </cell>
          <cell r="H336" t="str">
            <v>---</v>
          </cell>
          <cell r="I336">
            <v>0</v>
          </cell>
          <cell r="J336">
            <v>24067</v>
          </cell>
          <cell r="K336" t="str">
            <v>---</v>
          </cell>
        </row>
        <row r="337">
          <cell r="C337" t="str">
            <v>1996NY</v>
          </cell>
          <cell r="D337">
            <v>0</v>
          </cell>
          <cell r="E337">
            <v>0</v>
          </cell>
          <cell r="F337">
            <v>0</v>
          </cell>
          <cell r="G337">
            <v>0</v>
          </cell>
          <cell r="H337" t="str">
            <v>---</v>
          </cell>
          <cell r="I337">
            <v>0</v>
          </cell>
          <cell r="K337" t="str">
            <v>---</v>
          </cell>
        </row>
        <row r="338">
          <cell r="C338" t="str">
            <v>1996NC</v>
          </cell>
          <cell r="D338">
            <v>0</v>
          </cell>
          <cell r="E338">
            <v>0</v>
          </cell>
          <cell r="F338">
            <v>0</v>
          </cell>
          <cell r="G338">
            <v>0</v>
          </cell>
          <cell r="H338" t="str">
            <v>---</v>
          </cell>
          <cell r="I338">
            <v>0</v>
          </cell>
          <cell r="K338" t="str">
            <v>---</v>
          </cell>
        </row>
        <row r="339">
          <cell r="C339" t="str">
            <v>1996ND</v>
          </cell>
          <cell r="D339">
            <v>0</v>
          </cell>
          <cell r="E339">
            <v>0</v>
          </cell>
          <cell r="F339">
            <v>0</v>
          </cell>
          <cell r="G339">
            <v>0</v>
          </cell>
          <cell r="H339" t="str">
            <v>---</v>
          </cell>
          <cell r="I339">
            <v>0</v>
          </cell>
          <cell r="J339">
            <v>29861</v>
          </cell>
          <cell r="K339" t="str">
            <v>---</v>
          </cell>
        </row>
        <row r="340">
          <cell r="C340" t="str">
            <v>1996OH</v>
          </cell>
          <cell r="D340">
            <v>1601.2993822857513</v>
          </cell>
          <cell r="E340">
            <v>0</v>
          </cell>
          <cell r="F340">
            <v>0</v>
          </cell>
          <cell r="G340">
            <v>0</v>
          </cell>
          <cell r="H340" t="str">
            <v>---</v>
          </cell>
          <cell r="I340">
            <v>0</v>
          </cell>
          <cell r="J340">
            <v>12660</v>
          </cell>
          <cell r="K340" t="str">
            <v>---</v>
          </cell>
        </row>
        <row r="341">
          <cell r="C341" t="str">
            <v>1996OK</v>
          </cell>
          <cell r="D341">
            <v>0</v>
          </cell>
          <cell r="E341">
            <v>0</v>
          </cell>
          <cell r="F341">
            <v>0</v>
          </cell>
          <cell r="G341">
            <v>0</v>
          </cell>
          <cell r="H341" t="str">
            <v>---</v>
          </cell>
          <cell r="I341">
            <v>0</v>
          </cell>
          <cell r="J341">
            <v>1564</v>
          </cell>
          <cell r="K341" t="str">
            <v>---</v>
          </cell>
        </row>
        <row r="342">
          <cell r="C342" t="str">
            <v>1996OR</v>
          </cell>
          <cell r="D342">
            <v>0</v>
          </cell>
          <cell r="E342">
            <v>0</v>
          </cell>
          <cell r="F342">
            <v>0</v>
          </cell>
          <cell r="G342">
            <v>0</v>
          </cell>
          <cell r="H342" t="str">
            <v>---</v>
          </cell>
          <cell r="I342">
            <v>0</v>
          </cell>
          <cell r="K342" t="str">
            <v>---</v>
          </cell>
        </row>
        <row r="343">
          <cell r="C343" t="str">
            <v>1996PA</v>
          </cell>
          <cell r="D343">
            <v>15532.604008171789</v>
          </cell>
          <cell r="E343">
            <v>5919.8705882352951</v>
          </cell>
          <cell r="F343">
            <v>0</v>
          </cell>
          <cell r="G343">
            <v>0</v>
          </cell>
          <cell r="H343" t="str">
            <v>---</v>
          </cell>
          <cell r="I343">
            <v>0</v>
          </cell>
          <cell r="J343">
            <v>20694</v>
          </cell>
          <cell r="K343" t="str">
            <v>---</v>
          </cell>
        </row>
        <row r="344">
          <cell r="C344" t="str">
            <v>1996RI</v>
          </cell>
          <cell r="D344">
            <v>0</v>
          </cell>
          <cell r="E344">
            <v>0</v>
          </cell>
          <cell r="F344">
            <v>0</v>
          </cell>
          <cell r="G344">
            <v>0</v>
          </cell>
          <cell r="H344" t="str">
            <v>---</v>
          </cell>
          <cell r="I344">
            <v>0</v>
          </cell>
          <cell r="K344" t="str">
            <v>---</v>
          </cell>
        </row>
        <row r="345">
          <cell r="C345" t="str">
            <v>1996SC</v>
          </cell>
          <cell r="D345">
            <v>0</v>
          </cell>
          <cell r="E345">
            <v>0</v>
          </cell>
          <cell r="F345">
            <v>0</v>
          </cell>
          <cell r="G345">
            <v>0</v>
          </cell>
          <cell r="H345" t="str">
            <v>---</v>
          </cell>
          <cell r="I345">
            <v>0</v>
          </cell>
          <cell r="K345" t="str">
            <v>---</v>
          </cell>
        </row>
        <row r="346">
          <cell r="C346" t="str">
            <v>1996SD</v>
          </cell>
          <cell r="D346">
            <v>0</v>
          </cell>
          <cell r="E346">
            <v>0</v>
          </cell>
          <cell r="F346">
            <v>0</v>
          </cell>
          <cell r="G346">
            <v>0</v>
          </cell>
          <cell r="H346" t="str">
            <v>---</v>
          </cell>
          <cell r="I346">
            <v>0</v>
          </cell>
          <cell r="K346" t="str">
            <v>---</v>
          </cell>
        </row>
        <row r="347">
          <cell r="C347" t="str">
            <v>1996TN</v>
          </cell>
          <cell r="D347">
            <v>0</v>
          </cell>
          <cell r="E347">
            <v>0</v>
          </cell>
          <cell r="F347">
            <v>0</v>
          </cell>
          <cell r="G347">
            <v>0</v>
          </cell>
          <cell r="H347" t="str">
            <v>---</v>
          </cell>
          <cell r="I347">
            <v>0</v>
          </cell>
          <cell r="J347">
            <v>1857</v>
          </cell>
          <cell r="K347" t="str">
            <v>---</v>
          </cell>
        </row>
        <row r="348">
          <cell r="C348" t="str">
            <v>1996TX</v>
          </cell>
          <cell r="D348">
            <v>0</v>
          </cell>
          <cell r="E348">
            <v>0</v>
          </cell>
          <cell r="F348">
            <v>0</v>
          </cell>
          <cell r="G348">
            <v>0</v>
          </cell>
          <cell r="H348" t="str">
            <v>---</v>
          </cell>
          <cell r="I348">
            <v>0</v>
          </cell>
          <cell r="J348">
            <v>55164</v>
          </cell>
          <cell r="K348" t="str">
            <v>---</v>
          </cell>
        </row>
        <row r="349">
          <cell r="C349" t="str">
            <v>1996UT</v>
          </cell>
          <cell r="D349">
            <v>1921.5592587429016</v>
          </cell>
          <cell r="E349">
            <v>0</v>
          </cell>
          <cell r="F349">
            <v>0</v>
          </cell>
          <cell r="G349">
            <v>0</v>
          </cell>
          <cell r="H349" t="str">
            <v>---</v>
          </cell>
          <cell r="I349">
            <v>0</v>
          </cell>
          <cell r="K349" t="str">
            <v>---</v>
          </cell>
        </row>
        <row r="350">
          <cell r="C350" t="str">
            <v>1996VT</v>
          </cell>
          <cell r="D350">
            <v>0</v>
          </cell>
          <cell r="E350">
            <v>0</v>
          </cell>
          <cell r="F350">
            <v>0</v>
          </cell>
          <cell r="G350">
            <v>0</v>
          </cell>
          <cell r="H350" t="str">
            <v>---</v>
          </cell>
          <cell r="I350">
            <v>0</v>
          </cell>
          <cell r="K350" t="str">
            <v>---</v>
          </cell>
        </row>
        <row r="351">
          <cell r="C351" t="str">
            <v>1996VA</v>
          </cell>
          <cell r="D351">
            <v>14331.629471457474</v>
          </cell>
          <cell r="E351">
            <v>20853.124225774227</v>
          </cell>
          <cell r="F351">
            <v>19310.350493000002</v>
          </cell>
          <cell r="G351">
            <v>0</v>
          </cell>
          <cell r="H351" t="str">
            <v>---</v>
          </cell>
          <cell r="I351">
            <v>0</v>
          </cell>
          <cell r="J351">
            <v>10022</v>
          </cell>
          <cell r="K351" t="str">
            <v>---</v>
          </cell>
        </row>
        <row r="352">
          <cell r="C352" t="str">
            <v>1996WA</v>
          </cell>
          <cell r="D352">
            <v>0</v>
          </cell>
          <cell r="E352">
            <v>0</v>
          </cell>
          <cell r="F352">
            <v>0</v>
          </cell>
          <cell r="G352">
            <v>0</v>
          </cell>
          <cell r="H352" t="str">
            <v>---</v>
          </cell>
          <cell r="I352">
            <v>0</v>
          </cell>
          <cell r="J352">
            <v>4565</v>
          </cell>
          <cell r="K352" t="str">
            <v>---</v>
          </cell>
        </row>
        <row r="353">
          <cell r="C353" t="str">
            <v>1996WV</v>
          </cell>
          <cell r="D353">
            <v>20856.924454271913</v>
          </cell>
          <cell r="E353">
            <v>7276.8536585365864</v>
          </cell>
          <cell r="F353">
            <v>538.50247999999999</v>
          </cell>
          <cell r="G353">
            <v>0</v>
          </cell>
          <cell r="H353">
            <v>40274</v>
          </cell>
          <cell r="I353">
            <v>40274</v>
          </cell>
          <cell r="J353">
            <v>49211</v>
          </cell>
          <cell r="K353">
            <v>5637</v>
          </cell>
        </row>
        <row r="354">
          <cell r="C354" t="str">
            <v>1996WI</v>
          </cell>
          <cell r="D354">
            <v>0</v>
          </cell>
          <cell r="E354">
            <v>0</v>
          </cell>
          <cell r="F354">
            <v>0</v>
          </cell>
          <cell r="G354">
            <v>0</v>
          </cell>
          <cell r="H354" t="str">
            <v>---</v>
          </cell>
          <cell r="I354">
            <v>0</v>
          </cell>
          <cell r="K354" t="str">
            <v>---</v>
          </cell>
        </row>
        <row r="355">
          <cell r="C355" t="str">
            <v>1996WY</v>
          </cell>
          <cell r="D355">
            <v>0</v>
          </cell>
          <cell r="E355">
            <v>0</v>
          </cell>
          <cell r="F355">
            <v>0</v>
          </cell>
          <cell r="G355">
            <v>0</v>
          </cell>
          <cell r="H355" t="str">
            <v>---</v>
          </cell>
          <cell r="I355">
            <v>0</v>
          </cell>
          <cell r="J355">
            <v>275799</v>
          </cell>
          <cell r="K355" t="str">
            <v>---</v>
          </cell>
        </row>
        <row r="356">
          <cell r="C356" t="str">
            <v>1997AL</v>
          </cell>
          <cell r="D356">
            <v>23687.062265</v>
          </cell>
          <cell r="E356">
            <v>10805.390533571428</v>
          </cell>
          <cell r="F356">
            <v>10096.37724</v>
          </cell>
          <cell r="G356">
            <v>0</v>
          </cell>
          <cell r="H356" t="str">
            <v>---</v>
          </cell>
          <cell r="I356">
            <v>0</v>
          </cell>
          <cell r="J356">
            <v>5963</v>
          </cell>
          <cell r="K356" t="str">
            <v>---</v>
          </cell>
        </row>
        <row r="357">
          <cell r="C357" t="str">
            <v>1997AK</v>
          </cell>
          <cell r="D357">
            <v>0</v>
          </cell>
          <cell r="E357">
            <v>0</v>
          </cell>
          <cell r="F357">
            <v>0</v>
          </cell>
          <cell r="G357">
            <v>0</v>
          </cell>
          <cell r="H357" t="str">
            <v>---</v>
          </cell>
          <cell r="I357">
            <v>0</v>
          </cell>
          <cell r="J357">
            <v>1450</v>
          </cell>
          <cell r="K357" t="str">
            <v>---</v>
          </cell>
        </row>
        <row r="358">
          <cell r="C358" t="str">
            <v>1997AZ</v>
          </cell>
          <cell r="D358">
            <v>0</v>
          </cell>
          <cell r="E358">
            <v>0</v>
          </cell>
          <cell r="F358">
            <v>0</v>
          </cell>
          <cell r="G358">
            <v>0</v>
          </cell>
          <cell r="H358" t="str">
            <v>---</v>
          </cell>
          <cell r="I358">
            <v>0</v>
          </cell>
          <cell r="J358">
            <v>11723</v>
          </cell>
          <cell r="K358" t="str">
            <v>---</v>
          </cell>
        </row>
        <row r="359">
          <cell r="C359" t="str">
            <v>1997AR</v>
          </cell>
          <cell r="D359">
            <v>0</v>
          </cell>
          <cell r="E359">
            <v>0</v>
          </cell>
          <cell r="F359">
            <v>0</v>
          </cell>
          <cell r="G359">
            <v>0</v>
          </cell>
          <cell r="H359" t="str">
            <v>---</v>
          </cell>
          <cell r="I359">
            <v>0</v>
          </cell>
          <cell r="J359">
            <v>18</v>
          </cell>
          <cell r="K359" t="str">
            <v>---</v>
          </cell>
        </row>
        <row r="360">
          <cell r="C360" t="str">
            <v>1997CA</v>
          </cell>
          <cell r="D360">
            <v>0</v>
          </cell>
          <cell r="E360">
            <v>0</v>
          </cell>
          <cell r="F360">
            <v>0</v>
          </cell>
          <cell r="G360">
            <v>0</v>
          </cell>
          <cell r="H360" t="str">
            <v>---</v>
          </cell>
          <cell r="I360">
            <v>0</v>
          </cell>
          <cell r="J360">
            <v>0</v>
          </cell>
          <cell r="K360" t="str">
            <v>---</v>
          </cell>
        </row>
        <row r="361">
          <cell r="C361" t="str">
            <v>1997CO</v>
          </cell>
          <cell r="D361">
            <v>7310.4568849999996</v>
          </cell>
          <cell r="E361">
            <v>0</v>
          </cell>
          <cell r="F361">
            <v>0</v>
          </cell>
          <cell r="G361">
            <v>0</v>
          </cell>
          <cell r="H361" t="str">
            <v>---</v>
          </cell>
          <cell r="I361">
            <v>0</v>
          </cell>
          <cell r="J361">
            <v>9626</v>
          </cell>
          <cell r="K361" t="str">
            <v>---</v>
          </cell>
        </row>
        <row r="362">
          <cell r="C362" t="str">
            <v>1997CT</v>
          </cell>
          <cell r="D362">
            <v>0</v>
          </cell>
          <cell r="E362">
            <v>0</v>
          </cell>
          <cell r="F362">
            <v>0</v>
          </cell>
          <cell r="G362">
            <v>0</v>
          </cell>
          <cell r="H362" t="str">
            <v>---</v>
          </cell>
          <cell r="I362">
            <v>0</v>
          </cell>
          <cell r="K362" t="str">
            <v>---</v>
          </cell>
        </row>
        <row r="363">
          <cell r="C363" t="str">
            <v>1997DE</v>
          </cell>
          <cell r="D363">
            <v>0</v>
          </cell>
          <cell r="E363">
            <v>0</v>
          </cell>
          <cell r="F363">
            <v>0</v>
          </cell>
          <cell r="G363">
            <v>0</v>
          </cell>
          <cell r="H363" t="str">
            <v>---</v>
          </cell>
          <cell r="I363">
            <v>0</v>
          </cell>
          <cell r="K363" t="str">
            <v>---</v>
          </cell>
        </row>
        <row r="364">
          <cell r="C364" t="str">
            <v>1997FL</v>
          </cell>
          <cell r="D364">
            <v>0</v>
          </cell>
          <cell r="E364">
            <v>0</v>
          </cell>
          <cell r="F364">
            <v>0</v>
          </cell>
          <cell r="G364">
            <v>0</v>
          </cell>
          <cell r="H364" t="str">
            <v>---</v>
          </cell>
          <cell r="I364">
            <v>0</v>
          </cell>
          <cell r="K364" t="str">
            <v>---</v>
          </cell>
        </row>
        <row r="365">
          <cell r="C365" t="str">
            <v>1997GA</v>
          </cell>
          <cell r="D365">
            <v>0</v>
          </cell>
          <cell r="E365">
            <v>0</v>
          </cell>
          <cell r="F365">
            <v>0</v>
          </cell>
          <cell r="G365">
            <v>0</v>
          </cell>
          <cell r="H365" t="str">
            <v>---</v>
          </cell>
          <cell r="I365">
            <v>0</v>
          </cell>
          <cell r="K365" t="str">
            <v>---</v>
          </cell>
        </row>
        <row r="366">
          <cell r="C366" t="str">
            <v>1997HI</v>
          </cell>
          <cell r="D366">
            <v>0</v>
          </cell>
          <cell r="E366">
            <v>0</v>
          </cell>
          <cell r="F366">
            <v>0</v>
          </cell>
          <cell r="G366">
            <v>0</v>
          </cell>
          <cell r="H366" t="str">
            <v>---</v>
          </cell>
          <cell r="I366">
            <v>0</v>
          </cell>
          <cell r="K366" t="str">
            <v>---</v>
          </cell>
        </row>
        <row r="367">
          <cell r="C367" t="str">
            <v>1997ID</v>
          </cell>
          <cell r="D367">
            <v>0</v>
          </cell>
          <cell r="E367">
            <v>0</v>
          </cell>
          <cell r="F367">
            <v>0</v>
          </cell>
          <cell r="G367">
            <v>0</v>
          </cell>
          <cell r="H367" t="str">
            <v>---</v>
          </cell>
          <cell r="I367">
            <v>0</v>
          </cell>
          <cell r="K367" t="str">
            <v>---</v>
          </cell>
        </row>
        <row r="368">
          <cell r="C368" t="str">
            <v>1997IL</v>
          </cell>
          <cell r="D368">
            <v>7301.3355349999993</v>
          </cell>
          <cell r="E368">
            <v>0</v>
          </cell>
          <cell r="F368">
            <v>0</v>
          </cell>
          <cell r="G368">
            <v>0</v>
          </cell>
          <cell r="H368" t="str">
            <v>---</v>
          </cell>
          <cell r="I368">
            <v>0</v>
          </cell>
          <cell r="J368">
            <v>6334</v>
          </cell>
          <cell r="K368" t="str">
            <v>---</v>
          </cell>
        </row>
        <row r="369">
          <cell r="C369" t="str">
            <v>1997IN</v>
          </cell>
          <cell r="D369">
            <v>118.81917999999999</v>
          </cell>
          <cell r="E369">
            <v>0</v>
          </cell>
          <cell r="F369">
            <v>0</v>
          </cell>
          <cell r="G369">
            <v>0</v>
          </cell>
          <cell r="H369" t="str">
            <v>---</v>
          </cell>
          <cell r="I369">
            <v>0</v>
          </cell>
          <cell r="J369">
            <v>31967</v>
          </cell>
          <cell r="K369" t="str">
            <v>---</v>
          </cell>
        </row>
        <row r="370">
          <cell r="C370" t="str">
            <v>1997IA</v>
          </cell>
          <cell r="D370">
            <v>0</v>
          </cell>
          <cell r="E370">
            <v>0</v>
          </cell>
          <cell r="F370">
            <v>0</v>
          </cell>
          <cell r="G370">
            <v>0</v>
          </cell>
          <cell r="H370" t="str">
            <v>---</v>
          </cell>
          <cell r="I370">
            <v>0</v>
          </cell>
          <cell r="J370">
            <v>0</v>
          </cell>
          <cell r="K370" t="str">
            <v>---</v>
          </cell>
        </row>
        <row r="371">
          <cell r="C371" t="str">
            <v>1997KS</v>
          </cell>
          <cell r="D371">
            <v>0</v>
          </cell>
          <cell r="E371">
            <v>0</v>
          </cell>
          <cell r="F371">
            <v>0</v>
          </cell>
          <cell r="G371">
            <v>0</v>
          </cell>
          <cell r="H371" t="str">
            <v>---</v>
          </cell>
          <cell r="I371">
            <v>0</v>
          </cell>
          <cell r="J371">
            <v>360</v>
          </cell>
          <cell r="K371" t="str">
            <v>---</v>
          </cell>
        </row>
        <row r="372">
          <cell r="C372" t="str">
            <v>1997KY</v>
          </cell>
          <cell r="D372">
            <v>4786.0948937500025</v>
          </cell>
          <cell r="E372">
            <v>83.301111111111027</v>
          </cell>
          <cell r="F372">
            <v>0</v>
          </cell>
          <cell r="G372">
            <v>0</v>
          </cell>
          <cell r="H372">
            <v>26374</v>
          </cell>
          <cell r="I372">
            <v>26374</v>
          </cell>
          <cell r="J372">
            <v>50990</v>
          </cell>
          <cell r="K372">
            <v>8561</v>
          </cell>
        </row>
        <row r="373">
          <cell r="C373" t="str">
            <v>1997LA</v>
          </cell>
          <cell r="D373">
            <v>0</v>
          </cell>
          <cell r="E373">
            <v>0</v>
          </cell>
          <cell r="F373">
            <v>0</v>
          </cell>
          <cell r="G373">
            <v>0</v>
          </cell>
          <cell r="H373" t="str">
            <v>---</v>
          </cell>
          <cell r="I373">
            <v>0</v>
          </cell>
          <cell r="J373">
            <v>3545</v>
          </cell>
          <cell r="K373" t="str">
            <v>---</v>
          </cell>
        </row>
        <row r="374">
          <cell r="C374" t="str">
            <v>1997ME</v>
          </cell>
          <cell r="D374">
            <v>0</v>
          </cell>
          <cell r="E374">
            <v>0</v>
          </cell>
          <cell r="F374">
            <v>0</v>
          </cell>
          <cell r="G374">
            <v>0</v>
          </cell>
          <cell r="H374" t="str">
            <v>---</v>
          </cell>
          <cell r="I374">
            <v>0</v>
          </cell>
          <cell r="K374" t="str">
            <v>---</v>
          </cell>
        </row>
        <row r="375">
          <cell r="C375" t="str">
            <v>1997MD</v>
          </cell>
          <cell r="D375">
            <v>0</v>
          </cell>
          <cell r="E375">
            <v>0</v>
          </cell>
          <cell r="F375">
            <v>0</v>
          </cell>
          <cell r="G375">
            <v>0</v>
          </cell>
          <cell r="H375" t="str">
            <v>---</v>
          </cell>
          <cell r="I375">
            <v>0</v>
          </cell>
          <cell r="J375">
            <v>859</v>
          </cell>
          <cell r="K375" t="str">
            <v>---</v>
          </cell>
        </row>
        <row r="376">
          <cell r="C376" t="str">
            <v>1997MA</v>
          </cell>
          <cell r="D376">
            <v>0</v>
          </cell>
          <cell r="E376">
            <v>0</v>
          </cell>
          <cell r="F376">
            <v>0</v>
          </cell>
          <cell r="G376">
            <v>0</v>
          </cell>
          <cell r="H376" t="str">
            <v>---</v>
          </cell>
          <cell r="I376">
            <v>0</v>
          </cell>
          <cell r="K376" t="str">
            <v>---</v>
          </cell>
        </row>
        <row r="377">
          <cell r="C377" t="str">
            <v>1997MI</v>
          </cell>
          <cell r="D377">
            <v>0</v>
          </cell>
          <cell r="E377">
            <v>0</v>
          </cell>
          <cell r="F377">
            <v>0</v>
          </cell>
          <cell r="G377">
            <v>0</v>
          </cell>
          <cell r="H377" t="str">
            <v>---</v>
          </cell>
          <cell r="I377">
            <v>0</v>
          </cell>
          <cell r="K377" t="str">
            <v>---</v>
          </cell>
        </row>
        <row r="378">
          <cell r="C378" t="str">
            <v>1997MN</v>
          </cell>
          <cell r="D378">
            <v>0</v>
          </cell>
          <cell r="E378">
            <v>0</v>
          </cell>
          <cell r="F378">
            <v>0</v>
          </cell>
          <cell r="G378">
            <v>0</v>
          </cell>
          <cell r="H378" t="str">
            <v>---</v>
          </cell>
          <cell r="I378">
            <v>0</v>
          </cell>
          <cell r="K378" t="str">
            <v>---</v>
          </cell>
        </row>
        <row r="379">
          <cell r="C379" t="str">
            <v>1997MS</v>
          </cell>
          <cell r="D379">
            <v>0</v>
          </cell>
          <cell r="E379">
            <v>0</v>
          </cell>
          <cell r="F379">
            <v>0</v>
          </cell>
          <cell r="G379">
            <v>0</v>
          </cell>
          <cell r="H379" t="str">
            <v>---</v>
          </cell>
          <cell r="I379">
            <v>0</v>
          </cell>
          <cell r="K379" t="str">
            <v>---</v>
          </cell>
        </row>
        <row r="380">
          <cell r="C380" t="str">
            <v>1997MO</v>
          </cell>
          <cell r="D380">
            <v>0</v>
          </cell>
          <cell r="E380">
            <v>0</v>
          </cell>
          <cell r="F380">
            <v>0</v>
          </cell>
          <cell r="G380">
            <v>0</v>
          </cell>
          <cell r="H380" t="str">
            <v>---</v>
          </cell>
          <cell r="I380">
            <v>0</v>
          </cell>
          <cell r="J380">
            <v>401</v>
          </cell>
          <cell r="K380" t="str">
            <v>---</v>
          </cell>
        </row>
        <row r="381">
          <cell r="C381" t="str">
            <v>1997MT</v>
          </cell>
          <cell r="D381">
            <v>0</v>
          </cell>
          <cell r="E381">
            <v>0</v>
          </cell>
          <cell r="F381">
            <v>0</v>
          </cell>
          <cell r="G381">
            <v>0</v>
          </cell>
          <cell r="H381" t="str">
            <v>---</v>
          </cell>
          <cell r="I381">
            <v>0</v>
          </cell>
          <cell r="J381">
            <v>40997</v>
          </cell>
          <cell r="K381" t="str">
            <v>---</v>
          </cell>
        </row>
        <row r="382">
          <cell r="C382" t="str">
            <v>1997NE</v>
          </cell>
          <cell r="D382">
            <v>0</v>
          </cell>
          <cell r="E382">
            <v>0</v>
          </cell>
          <cell r="F382">
            <v>0</v>
          </cell>
          <cell r="G382">
            <v>0</v>
          </cell>
          <cell r="H382" t="str">
            <v>---</v>
          </cell>
          <cell r="I382">
            <v>0</v>
          </cell>
          <cell r="K382" t="str">
            <v>---</v>
          </cell>
        </row>
        <row r="383">
          <cell r="C383" t="str">
            <v>1997NV</v>
          </cell>
          <cell r="D383">
            <v>0</v>
          </cell>
          <cell r="E383">
            <v>0</v>
          </cell>
          <cell r="F383">
            <v>0</v>
          </cell>
          <cell r="G383">
            <v>0</v>
          </cell>
          <cell r="H383" t="str">
            <v>---</v>
          </cell>
          <cell r="I383">
            <v>0</v>
          </cell>
          <cell r="K383" t="str">
            <v>---</v>
          </cell>
        </row>
        <row r="384">
          <cell r="C384" t="str">
            <v>1997NH</v>
          </cell>
          <cell r="D384">
            <v>0</v>
          </cell>
          <cell r="E384">
            <v>0</v>
          </cell>
          <cell r="F384">
            <v>0</v>
          </cell>
          <cell r="G384">
            <v>0</v>
          </cell>
          <cell r="H384" t="str">
            <v>---</v>
          </cell>
          <cell r="I384">
            <v>0</v>
          </cell>
          <cell r="K384" t="str">
            <v>---</v>
          </cell>
        </row>
        <row r="385">
          <cell r="C385" t="str">
            <v>1997NJ</v>
          </cell>
          <cell r="D385">
            <v>0</v>
          </cell>
          <cell r="E385">
            <v>0</v>
          </cell>
          <cell r="F385">
            <v>0</v>
          </cell>
          <cell r="G385">
            <v>0</v>
          </cell>
          <cell r="H385" t="str">
            <v>---</v>
          </cell>
          <cell r="I385">
            <v>0</v>
          </cell>
          <cell r="K385" t="str">
            <v>---</v>
          </cell>
        </row>
        <row r="386">
          <cell r="C386" t="str">
            <v>1997NM</v>
          </cell>
          <cell r="D386">
            <v>0</v>
          </cell>
          <cell r="E386">
            <v>0</v>
          </cell>
          <cell r="F386">
            <v>0</v>
          </cell>
          <cell r="G386">
            <v>0</v>
          </cell>
          <cell r="H386" t="str">
            <v>---</v>
          </cell>
          <cell r="I386">
            <v>0</v>
          </cell>
          <cell r="J386">
            <v>27025</v>
          </cell>
          <cell r="K386" t="str">
            <v>---</v>
          </cell>
        </row>
        <row r="387">
          <cell r="C387" t="str">
            <v>1997NY</v>
          </cell>
          <cell r="D387">
            <v>0</v>
          </cell>
          <cell r="E387">
            <v>0</v>
          </cell>
          <cell r="F387">
            <v>0</v>
          </cell>
          <cell r="G387">
            <v>0</v>
          </cell>
          <cell r="H387" t="str">
            <v>---</v>
          </cell>
          <cell r="I387">
            <v>0</v>
          </cell>
          <cell r="K387" t="str">
            <v>---</v>
          </cell>
        </row>
        <row r="388">
          <cell r="C388" t="str">
            <v>1997NC</v>
          </cell>
          <cell r="D388">
            <v>0</v>
          </cell>
          <cell r="E388">
            <v>0</v>
          </cell>
          <cell r="F388">
            <v>0</v>
          </cell>
          <cell r="G388">
            <v>0</v>
          </cell>
          <cell r="H388" t="str">
            <v>---</v>
          </cell>
          <cell r="I388">
            <v>0</v>
          </cell>
          <cell r="K388" t="str">
            <v>---</v>
          </cell>
        </row>
        <row r="389">
          <cell r="C389" t="str">
            <v>1997ND</v>
          </cell>
          <cell r="D389">
            <v>0</v>
          </cell>
          <cell r="E389">
            <v>0</v>
          </cell>
          <cell r="F389">
            <v>0</v>
          </cell>
          <cell r="G389">
            <v>0</v>
          </cell>
          <cell r="H389" t="str">
            <v>---</v>
          </cell>
          <cell r="I389">
            <v>0</v>
          </cell>
          <cell r="J389">
            <v>29580</v>
          </cell>
          <cell r="K389" t="str">
            <v>---</v>
          </cell>
        </row>
        <row r="390">
          <cell r="C390" t="str">
            <v>1997OH</v>
          </cell>
          <cell r="D390">
            <v>1898.1029299999998</v>
          </cell>
          <cell r="E390">
            <v>0</v>
          </cell>
          <cell r="F390">
            <v>0</v>
          </cell>
          <cell r="G390">
            <v>0</v>
          </cell>
          <cell r="H390" t="str">
            <v>---</v>
          </cell>
          <cell r="I390">
            <v>0</v>
          </cell>
          <cell r="J390">
            <v>12205</v>
          </cell>
          <cell r="K390" t="str">
            <v>---</v>
          </cell>
        </row>
        <row r="391">
          <cell r="C391" t="str">
            <v>1997OK</v>
          </cell>
          <cell r="D391">
            <v>117.96398500000001</v>
          </cell>
          <cell r="E391">
            <v>0</v>
          </cell>
          <cell r="F391">
            <v>0</v>
          </cell>
          <cell r="G391">
            <v>0</v>
          </cell>
          <cell r="H391" t="str">
            <v>---</v>
          </cell>
          <cell r="I391">
            <v>0</v>
          </cell>
          <cell r="J391">
            <v>1409</v>
          </cell>
          <cell r="K391" t="str">
            <v>---</v>
          </cell>
        </row>
        <row r="392">
          <cell r="C392" t="str">
            <v>1997OR</v>
          </cell>
          <cell r="D392">
            <v>0</v>
          </cell>
          <cell r="E392">
            <v>0</v>
          </cell>
          <cell r="F392">
            <v>0</v>
          </cell>
          <cell r="G392">
            <v>0</v>
          </cell>
          <cell r="H392" t="str">
            <v>---</v>
          </cell>
          <cell r="I392">
            <v>0</v>
          </cell>
          <cell r="K392" t="str">
            <v>---</v>
          </cell>
        </row>
        <row r="393">
          <cell r="C393" t="str">
            <v>1997PA</v>
          </cell>
          <cell r="D393">
            <v>17768.926350000002</v>
          </cell>
          <cell r="E393">
            <v>6834.405048137256</v>
          </cell>
          <cell r="F393">
            <v>0</v>
          </cell>
          <cell r="G393">
            <v>0</v>
          </cell>
          <cell r="H393" t="str">
            <v>---</v>
          </cell>
          <cell r="I393">
            <v>0</v>
          </cell>
          <cell r="J393">
            <v>21369</v>
          </cell>
          <cell r="K393" t="str">
            <v>---</v>
          </cell>
        </row>
        <row r="394">
          <cell r="C394" t="str">
            <v>1997RI</v>
          </cell>
          <cell r="D394">
            <v>0</v>
          </cell>
          <cell r="E394">
            <v>0</v>
          </cell>
          <cell r="F394">
            <v>0</v>
          </cell>
          <cell r="G394">
            <v>0</v>
          </cell>
          <cell r="H394" t="str">
            <v>---</v>
          </cell>
          <cell r="I394">
            <v>0</v>
          </cell>
          <cell r="K394" t="str">
            <v>---</v>
          </cell>
        </row>
        <row r="395">
          <cell r="C395" t="str">
            <v>1997SC</v>
          </cell>
          <cell r="D395">
            <v>0</v>
          </cell>
          <cell r="E395">
            <v>0</v>
          </cell>
          <cell r="F395">
            <v>0</v>
          </cell>
          <cell r="G395">
            <v>0</v>
          </cell>
          <cell r="H395" t="str">
            <v>---</v>
          </cell>
          <cell r="I395">
            <v>0</v>
          </cell>
          <cell r="K395" t="str">
            <v>---</v>
          </cell>
        </row>
        <row r="396">
          <cell r="C396" t="str">
            <v>1997SD</v>
          </cell>
          <cell r="D396">
            <v>0</v>
          </cell>
          <cell r="E396">
            <v>0</v>
          </cell>
          <cell r="F396">
            <v>0</v>
          </cell>
          <cell r="G396">
            <v>0</v>
          </cell>
          <cell r="H396" t="str">
            <v>---</v>
          </cell>
          <cell r="I396">
            <v>0</v>
          </cell>
          <cell r="K396" t="str">
            <v>---</v>
          </cell>
        </row>
        <row r="397">
          <cell r="C397" t="str">
            <v>1997TN</v>
          </cell>
          <cell r="D397">
            <v>10.158649583333334</v>
          </cell>
          <cell r="E397">
            <v>0</v>
          </cell>
          <cell r="F397">
            <v>0</v>
          </cell>
          <cell r="G397">
            <v>0</v>
          </cell>
          <cell r="H397" t="str">
            <v>---</v>
          </cell>
          <cell r="I397">
            <v>0</v>
          </cell>
          <cell r="J397">
            <v>1904</v>
          </cell>
          <cell r="K397" t="str">
            <v>---</v>
          </cell>
        </row>
        <row r="398">
          <cell r="C398" t="str">
            <v>1997TX</v>
          </cell>
          <cell r="D398">
            <v>0</v>
          </cell>
          <cell r="E398">
            <v>0</v>
          </cell>
          <cell r="F398">
            <v>0</v>
          </cell>
          <cell r="G398">
            <v>0</v>
          </cell>
          <cell r="H398" t="str">
            <v>---</v>
          </cell>
          <cell r="I398">
            <v>0</v>
          </cell>
          <cell r="J398">
            <v>53328</v>
          </cell>
          <cell r="K398" t="str">
            <v>---</v>
          </cell>
        </row>
        <row r="399">
          <cell r="C399" t="str">
            <v>1997UT</v>
          </cell>
          <cell r="D399">
            <v>2704.0444649999999</v>
          </cell>
          <cell r="E399">
            <v>0</v>
          </cell>
          <cell r="F399">
            <v>0</v>
          </cell>
          <cell r="G399">
            <v>0</v>
          </cell>
          <cell r="H399" t="str">
            <v>---</v>
          </cell>
          <cell r="I399">
            <v>0</v>
          </cell>
          <cell r="K399" t="str">
            <v>---</v>
          </cell>
        </row>
        <row r="400">
          <cell r="C400" t="str">
            <v>1997VT</v>
          </cell>
          <cell r="D400">
            <v>0</v>
          </cell>
          <cell r="E400">
            <v>0</v>
          </cell>
          <cell r="F400">
            <v>0</v>
          </cell>
          <cell r="G400">
            <v>0</v>
          </cell>
          <cell r="H400" t="str">
            <v>---</v>
          </cell>
          <cell r="I400">
            <v>0</v>
          </cell>
          <cell r="K400" t="str">
            <v>---</v>
          </cell>
        </row>
        <row r="401">
          <cell r="C401" t="str">
            <v>1997VA</v>
          </cell>
          <cell r="D401">
            <v>11701.352500000005</v>
          </cell>
          <cell r="E401">
            <v>17804.24513615403</v>
          </cell>
          <cell r="F401">
            <v>16662.681623999997</v>
          </cell>
          <cell r="G401">
            <v>0</v>
          </cell>
          <cell r="H401" t="str">
            <v>---</v>
          </cell>
          <cell r="I401">
            <v>0</v>
          </cell>
          <cell r="J401">
            <v>8907</v>
          </cell>
          <cell r="K401" t="str">
            <v>---</v>
          </cell>
        </row>
        <row r="402">
          <cell r="C402" t="str">
            <v>1997WA</v>
          </cell>
          <cell r="D402">
            <v>0</v>
          </cell>
          <cell r="E402">
            <v>0</v>
          </cell>
          <cell r="F402">
            <v>0</v>
          </cell>
          <cell r="G402">
            <v>0</v>
          </cell>
          <cell r="H402" t="str">
            <v>---</v>
          </cell>
          <cell r="I402">
            <v>0</v>
          </cell>
          <cell r="J402">
            <v>4495</v>
          </cell>
          <cell r="K402" t="str">
            <v>---</v>
          </cell>
        </row>
        <row r="403">
          <cell r="C403" t="str">
            <v>1997WV</v>
          </cell>
          <cell r="D403">
            <v>18777.38944291669</v>
          </cell>
          <cell r="E403">
            <v>7234.2532962585265</v>
          </cell>
          <cell r="F403">
            <v>1432.16941</v>
          </cell>
          <cell r="G403">
            <v>0</v>
          </cell>
          <cell r="H403">
            <v>37056</v>
          </cell>
          <cell r="I403">
            <v>37056</v>
          </cell>
          <cell r="J403">
            <v>51474</v>
          </cell>
          <cell r="K403">
            <v>5746</v>
          </cell>
        </row>
        <row r="404">
          <cell r="C404" t="str">
            <v>1997WI</v>
          </cell>
          <cell r="D404">
            <v>0</v>
          </cell>
          <cell r="E404">
            <v>0</v>
          </cell>
          <cell r="F404">
            <v>0</v>
          </cell>
          <cell r="G404">
            <v>0</v>
          </cell>
          <cell r="H404" t="str">
            <v>---</v>
          </cell>
          <cell r="I404">
            <v>0</v>
          </cell>
          <cell r="K404" t="str">
            <v>---</v>
          </cell>
        </row>
        <row r="405">
          <cell r="C405" t="str">
            <v>1997WY</v>
          </cell>
          <cell r="D405">
            <v>4.6811249999999998</v>
          </cell>
          <cell r="E405">
            <v>0</v>
          </cell>
          <cell r="F405">
            <v>0</v>
          </cell>
          <cell r="G405">
            <v>0</v>
          </cell>
          <cell r="H405" t="str">
            <v>---</v>
          </cell>
          <cell r="I405">
            <v>0</v>
          </cell>
          <cell r="J405">
            <v>279035</v>
          </cell>
          <cell r="K405" t="str">
            <v>---</v>
          </cell>
        </row>
        <row r="406">
          <cell r="C406" t="str">
            <v>1998AL</v>
          </cell>
          <cell r="D406">
            <v>24521.392728238407</v>
          </cell>
          <cell r="E406">
            <v>13134.386571270074</v>
          </cell>
          <cell r="F406">
            <v>13123.532360000001</v>
          </cell>
          <cell r="G406">
            <v>0</v>
          </cell>
          <cell r="H406" t="str">
            <v>---</v>
          </cell>
          <cell r="I406">
            <v>0</v>
          </cell>
          <cell r="J406">
            <v>5697</v>
          </cell>
          <cell r="K406" t="str">
            <v>---</v>
          </cell>
        </row>
        <row r="407">
          <cell r="C407" t="str">
            <v>1998AK</v>
          </cell>
          <cell r="D407">
            <v>0</v>
          </cell>
          <cell r="E407">
            <v>0</v>
          </cell>
          <cell r="F407">
            <v>0</v>
          </cell>
          <cell r="G407">
            <v>0</v>
          </cell>
          <cell r="H407" t="str">
            <v>---</v>
          </cell>
          <cell r="I407">
            <v>0</v>
          </cell>
          <cell r="J407">
            <v>1344</v>
          </cell>
          <cell r="K407" t="str">
            <v>---</v>
          </cell>
        </row>
        <row r="408">
          <cell r="C408" t="str">
            <v>1998AZ</v>
          </cell>
          <cell r="D408">
            <v>0</v>
          </cell>
          <cell r="E408">
            <v>0</v>
          </cell>
          <cell r="F408">
            <v>0</v>
          </cell>
          <cell r="G408">
            <v>0</v>
          </cell>
          <cell r="H408" t="str">
            <v>---</v>
          </cell>
          <cell r="I408">
            <v>0</v>
          </cell>
          <cell r="J408">
            <v>11315</v>
          </cell>
          <cell r="K408" t="str">
            <v>---</v>
          </cell>
        </row>
        <row r="409">
          <cell r="C409" t="str">
            <v>1998AR</v>
          </cell>
          <cell r="D409">
            <v>0</v>
          </cell>
          <cell r="E409">
            <v>0</v>
          </cell>
          <cell r="F409">
            <v>0</v>
          </cell>
          <cell r="G409">
            <v>0</v>
          </cell>
          <cell r="H409" t="str">
            <v>---</v>
          </cell>
          <cell r="I409">
            <v>0</v>
          </cell>
          <cell r="J409">
            <v>24</v>
          </cell>
          <cell r="K409" t="str">
            <v>---</v>
          </cell>
        </row>
        <row r="410">
          <cell r="C410" t="str">
            <v>1998CA</v>
          </cell>
          <cell r="D410">
            <v>0</v>
          </cell>
          <cell r="E410">
            <v>0</v>
          </cell>
          <cell r="F410">
            <v>0</v>
          </cell>
          <cell r="G410">
            <v>0</v>
          </cell>
          <cell r="H410" t="str">
            <v>---</v>
          </cell>
          <cell r="I410">
            <v>0</v>
          </cell>
          <cell r="J410">
            <v>0</v>
          </cell>
          <cell r="K410" t="str">
            <v>---</v>
          </cell>
        </row>
        <row r="411">
          <cell r="C411" t="str">
            <v>1998CO</v>
          </cell>
          <cell r="D411">
            <v>7159.320918478983</v>
          </cell>
          <cell r="E411">
            <v>0</v>
          </cell>
          <cell r="F411">
            <v>0</v>
          </cell>
          <cell r="G411">
            <v>0</v>
          </cell>
          <cell r="H411" t="str">
            <v>---</v>
          </cell>
          <cell r="I411">
            <v>0</v>
          </cell>
          <cell r="J411">
            <v>9926</v>
          </cell>
          <cell r="K411" t="str">
            <v>---</v>
          </cell>
        </row>
        <row r="412">
          <cell r="C412" t="str">
            <v>1998CT</v>
          </cell>
          <cell r="D412">
            <v>0</v>
          </cell>
          <cell r="E412">
            <v>0</v>
          </cell>
          <cell r="F412">
            <v>0</v>
          </cell>
          <cell r="G412">
            <v>0</v>
          </cell>
          <cell r="H412" t="str">
            <v>---</v>
          </cell>
          <cell r="I412">
            <v>0</v>
          </cell>
          <cell r="K412" t="str">
            <v>---</v>
          </cell>
        </row>
        <row r="413">
          <cell r="C413" t="str">
            <v>1998DE</v>
          </cell>
          <cell r="D413">
            <v>0</v>
          </cell>
          <cell r="E413">
            <v>0</v>
          </cell>
          <cell r="F413">
            <v>0</v>
          </cell>
          <cell r="G413">
            <v>0</v>
          </cell>
          <cell r="H413" t="str">
            <v>---</v>
          </cell>
          <cell r="I413">
            <v>0</v>
          </cell>
          <cell r="K413" t="str">
            <v>---</v>
          </cell>
        </row>
        <row r="414">
          <cell r="C414" t="str">
            <v>1998FL</v>
          </cell>
          <cell r="D414">
            <v>0</v>
          </cell>
          <cell r="E414">
            <v>0</v>
          </cell>
          <cell r="F414">
            <v>0</v>
          </cell>
          <cell r="G414">
            <v>0</v>
          </cell>
          <cell r="H414" t="str">
            <v>---</v>
          </cell>
          <cell r="I414">
            <v>0</v>
          </cell>
          <cell r="K414" t="str">
            <v>---</v>
          </cell>
        </row>
        <row r="415">
          <cell r="C415" t="str">
            <v>1998GA</v>
          </cell>
          <cell r="D415">
            <v>0</v>
          </cell>
          <cell r="E415">
            <v>0</v>
          </cell>
          <cell r="F415">
            <v>0</v>
          </cell>
          <cell r="G415">
            <v>0</v>
          </cell>
          <cell r="H415" t="str">
            <v>---</v>
          </cell>
          <cell r="I415">
            <v>0</v>
          </cell>
          <cell r="K415" t="str">
            <v>---</v>
          </cell>
        </row>
        <row r="416">
          <cell r="C416" t="str">
            <v>1998HI</v>
          </cell>
          <cell r="D416">
            <v>0</v>
          </cell>
          <cell r="E416">
            <v>0</v>
          </cell>
          <cell r="F416">
            <v>0</v>
          </cell>
          <cell r="G416">
            <v>0</v>
          </cell>
          <cell r="H416" t="str">
            <v>---</v>
          </cell>
          <cell r="I416">
            <v>0</v>
          </cell>
          <cell r="K416" t="str">
            <v>---</v>
          </cell>
        </row>
        <row r="417">
          <cell r="C417" t="str">
            <v>1998ID</v>
          </cell>
          <cell r="D417">
            <v>0</v>
          </cell>
          <cell r="E417">
            <v>0</v>
          </cell>
          <cell r="F417">
            <v>0</v>
          </cell>
          <cell r="G417">
            <v>0</v>
          </cell>
          <cell r="H417" t="str">
            <v>---</v>
          </cell>
          <cell r="I417">
            <v>0</v>
          </cell>
          <cell r="K417" t="str">
            <v>---</v>
          </cell>
        </row>
        <row r="418">
          <cell r="C418" t="str">
            <v>1998IL</v>
          </cell>
          <cell r="D418">
            <v>6752.8085622443732</v>
          </cell>
          <cell r="E418">
            <v>0</v>
          </cell>
          <cell r="F418">
            <v>0</v>
          </cell>
          <cell r="G418">
            <v>0</v>
          </cell>
          <cell r="H418" t="str">
            <v>---</v>
          </cell>
          <cell r="I418">
            <v>0</v>
          </cell>
          <cell r="J418">
            <v>4482</v>
          </cell>
          <cell r="K418" t="str">
            <v>---</v>
          </cell>
        </row>
        <row r="419">
          <cell r="C419" t="str">
            <v>1998IN</v>
          </cell>
          <cell r="D419">
            <v>145.58293749448896</v>
          </cell>
          <cell r="E419">
            <v>0</v>
          </cell>
          <cell r="F419">
            <v>0</v>
          </cell>
          <cell r="G419">
            <v>0</v>
          </cell>
          <cell r="H419" t="str">
            <v>---</v>
          </cell>
          <cell r="I419">
            <v>0</v>
          </cell>
          <cell r="J419">
            <v>33359</v>
          </cell>
          <cell r="K419" t="str">
            <v>---</v>
          </cell>
        </row>
        <row r="420">
          <cell r="C420" t="str">
            <v>1998IA</v>
          </cell>
          <cell r="D420">
            <v>0</v>
          </cell>
          <cell r="E420">
            <v>0</v>
          </cell>
          <cell r="F420">
            <v>0</v>
          </cell>
          <cell r="G420">
            <v>0</v>
          </cell>
          <cell r="H420" t="str">
            <v>---</v>
          </cell>
          <cell r="I420">
            <v>0</v>
          </cell>
          <cell r="J420">
            <v>0</v>
          </cell>
          <cell r="K420" t="str">
            <v>---</v>
          </cell>
        </row>
        <row r="421">
          <cell r="C421" t="str">
            <v>1998KS</v>
          </cell>
          <cell r="D421">
            <v>0</v>
          </cell>
          <cell r="E421">
            <v>0</v>
          </cell>
          <cell r="F421">
            <v>0</v>
          </cell>
          <cell r="G421">
            <v>0</v>
          </cell>
          <cell r="H421" t="str">
            <v>---</v>
          </cell>
          <cell r="I421">
            <v>0</v>
          </cell>
          <cell r="J421">
            <v>341</v>
          </cell>
          <cell r="K421" t="str">
            <v>---</v>
          </cell>
        </row>
        <row r="422">
          <cell r="C422" t="str">
            <v>1998KY</v>
          </cell>
          <cell r="D422">
            <v>4552.2664685776745</v>
          </cell>
          <cell r="E422">
            <v>77.461111111111109</v>
          </cell>
          <cell r="F422">
            <v>0</v>
          </cell>
          <cell r="G422">
            <v>0</v>
          </cell>
          <cell r="H422">
            <v>25767</v>
          </cell>
          <cell r="I422">
            <v>25767</v>
          </cell>
          <cell r="J422">
            <v>49589</v>
          </cell>
          <cell r="K422">
            <v>7874</v>
          </cell>
        </row>
        <row r="423">
          <cell r="C423" t="str">
            <v>1998LA</v>
          </cell>
          <cell r="D423">
            <v>0</v>
          </cell>
          <cell r="E423">
            <v>0</v>
          </cell>
          <cell r="F423">
            <v>0</v>
          </cell>
          <cell r="G423">
            <v>0</v>
          </cell>
          <cell r="H423" t="str">
            <v>---</v>
          </cell>
          <cell r="I423">
            <v>0</v>
          </cell>
          <cell r="J423">
            <v>3216</v>
          </cell>
          <cell r="K423" t="str">
            <v>---</v>
          </cell>
        </row>
        <row r="424">
          <cell r="C424" t="str">
            <v>1998ME</v>
          </cell>
          <cell r="D424">
            <v>0</v>
          </cell>
          <cell r="E424">
            <v>0</v>
          </cell>
          <cell r="F424">
            <v>0</v>
          </cell>
          <cell r="G424">
            <v>0</v>
          </cell>
          <cell r="H424" t="str">
            <v>---</v>
          </cell>
          <cell r="I424">
            <v>0</v>
          </cell>
          <cell r="K424" t="str">
            <v>---</v>
          </cell>
        </row>
        <row r="425">
          <cell r="C425" t="str">
            <v>1998MD</v>
          </cell>
          <cell r="D425">
            <v>0</v>
          </cell>
          <cell r="E425">
            <v>0</v>
          </cell>
          <cell r="F425">
            <v>0</v>
          </cell>
          <cell r="G425">
            <v>0</v>
          </cell>
          <cell r="H425" t="str">
            <v>---</v>
          </cell>
          <cell r="I425">
            <v>0</v>
          </cell>
          <cell r="J425">
            <v>734</v>
          </cell>
          <cell r="K425" t="str">
            <v>---</v>
          </cell>
        </row>
        <row r="426">
          <cell r="C426" t="str">
            <v>1998MA</v>
          </cell>
          <cell r="D426">
            <v>0</v>
          </cell>
          <cell r="E426">
            <v>0</v>
          </cell>
          <cell r="F426">
            <v>0</v>
          </cell>
          <cell r="G426">
            <v>0</v>
          </cell>
          <cell r="H426" t="str">
            <v>---</v>
          </cell>
          <cell r="I426">
            <v>0</v>
          </cell>
          <cell r="K426" t="str">
            <v>---</v>
          </cell>
        </row>
        <row r="427">
          <cell r="C427" t="str">
            <v>1998MI</v>
          </cell>
          <cell r="D427">
            <v>0</v>
          </cell>
          <cell r="E427">
            <v>0</v>
          </cell>
          <cell r="F427">
            <v>0</v>
          </cell>
          <cell r="G427">
            <v>0</v>
          </cell>
          <cell r="H427" t="str">
            <v>---</v>
          </cell>
          <cell r="I427">
            <v>0</v>
          </cell>
          <cell r="K427" t="str">
            <v>---</v>
          </cell>
        </row>
        <row r="428">
          <cell r="C428" t="str">
            <v>1998MN</v>
          </cell>
          <cell r="D428">
            <v>0</v>
          </cell>
          <cell r="E428">
            <v>0</v>
          </cell>
          <cell r="F428">
            <v>0</v>
          </cell>
          <cell r="G428">
            <v>0</v>
          </cell>
          <cell r="H428" t="str">
            <v>---</v>
          </cell>
          <cell r="I428">
            <v>0</v>
          </cell>
          <cell r="K428" t="str">
            <v>---</v>
          </cell>
        </row>
        <row r="429">
          <cell r="C429" t="str">
            <v>1998MS</v>
          </cell>
          <cell r="D429">
            <v>0</v>
          </cell>
          <cell r="E429">
            <v>0</v>
          </cell>
          <cell r="F429">
            <v>0</v>
          </cell>
          <cell r="G429">
            <v>0</v>
          </cell>
          <cell r="H429" t="str">
            <v>---</v>
          </cell>
          <cell r="I429">
            <v>0</v>
          </cell>
          <cell r="K429" t="str">
            <v>---</v>
          </cell>
        </row>
        <row r="430">
          <cell r="C430" t="str">
            <v>1998MO</v>
          </cell>
          <cell r="D430">
            <v>0</v>
          </cell>
          <cell r="E430">
            <v>0</v>
          </cell>
          <cell r="F430">
            <v>0</v>
          </cell>
          <cell r="G430">
            <v>0</v>
          </cell>
          <cell r="H430" t="str">
            <v>---</v>
          </cell>
          <cell r="I430">
            <v>0</v>
          </cell>
          <cell r="J430">
            <v>372</v>
          </cell>
          <cell r="K430" t="str">
            <v>---</v>
          </cell>
        </row>
        <row r="431">
          <cell r="C431" t="str">
            <v>1998MT</v>
          </cell>
          <cell r="D431">
            <v>0</v>
          </cell>
          <cell r="E431">
            <v>0</v>
          </cell>
          <cell r="F431">
            <v>0</v>
          </cell>
          <cell r="G431">
            <v>0</v>
          </cell>
          <cell r="H431" t="str">
            <v>---</v>
          </cell>
          <cell r="I431">
            <v>0</v>
          </cell>
          <cell r="J431">
            <v>42840</v>
          </cell>
          <cell r="K431" t="str">
            <v>---</v>
          </cell>
        </row>
        <row r="432">
          <cell r="C432" t="str">
            <v>1998NE</v>
          </cell>
          <cell r="D432">
            <v>0</v>
          </cell>
          <cell r="E432">
            <v>0</v>
          </cell>
          <cell r="F432">
            <v>0</v>
          </cell>
          <cell r="G432">
            <v>0</v>
          </cell>
          <cell r="H432" t="str">
            <v>---</v>
          </cell>
          <cell r="I432">
            <v>0</v>
          </cell>
          <cell r="K432" t="str">
            <v>---</v>
          </cell>
        </row>
        <row r="433">
          <cell r="C433" t="str">
            <v>1998NV</v>
          </cell>
          <cell r="D433">
            <v>0</v>
          </cell>
          <cell r="E433">
            <v>0</v>
          </cell>
          <cell r="F433">
            <v>0</v>
          </cell>
          <cell r="G433">
            <v>0</v>
          </cell>
          <cell r="H433" t="str">
            <v>---</v>
          </cell>
          <cell r="I433">
            <v>0</v>
          </cell>
          <cell r="K433" t="str">
            <v>---</v>
          </cell>
        </row>
        <row r="434">
          <cell r="C434" t="str">
            <v>1998NH</v>
          </cell>
          <cell r="D434">
            <v>0</v>
          </cell>
          <cell r="E434">
            <v>0</v>
          </cell>
          <cell r="F434">
            <v>0</v>
          </cell>
          <cell r="G434">
            <v>0</v>
          </cell>
          <cell r="H434" t="str">
            <v>---</v>
          </cell>
          <cell r="I434">
            <v>0</v>
          </cell>
          <cell r="K434" t="str">
            <v>---</v>
          </cell>
        </row>
        <row r="435">
          <cell r="C435" t="str">
            <v>1998NJ</v>
          </cell>
          <cell r="D435">
            <v>0</v>
          </cell>
          <cell r="E435">
            <v>0</v>
          </cell>
          <cell r="F435">
            <v>0</v>
          </cell>
          <cell r="G435">
            <v>0</v>
          </cell>
          <cell r="H435" t="str">
            <v>---</v>
          </cell>
          <cell r="I435">
            <v>0</v>
          </cell>
          <cell r="K435" t="str">
            <v>---</v>
          </cell>
        </row>
        <row r="436">
          <cell r="C436" t="str">
            <v>1998NM</v>
          </cell>
          <cell r="D436">
            <v>0</v>
          </cell>
          <cell r="E436">
            <v>0</v>
          </cell>
          <cell r="F436">
            <v>0</v>
          </cell>
          <cell r="G436">
            <v>0</v>
          </cell>
          <cell r="H436" t="str">
            <v>---</v>
          </cell>
          <cell r="I436">
            <v>0</v>
          </cell>
          <cell r="J436">
            <v>28394</v>
          </cell>
          <cell r="K436" t="str">
            <v>---</v>
          </cell>
        </row>
        <row r="437">
          <cell r="C437" t="str">
            <v>1998NY</v>
          </cell>
          <cell r="D437">
            <v>0</v>
          </cell>
          <cell r="E437">
            <v>0</v>
          </cell>
          <cell r="F437">
            <v>0</v>
          </cell>
          <cell r="G437">
            <v>0</v>
          </cell>
          <cell r="H437" t="str">
            <v>---</v>
          </cell>
          <cell r="I437">
            <v>0</v>
          </cell>
          <cell r="K437" t="str">
            <v>---</v>
          </cell>
        </row>
        <row r="438">
          <cell r="C438" t="str">
            <v>1998NC</v>
          </cell>
          <cell r="D438">
            <v>0</v>
          </cell>
          <cell r="E438">
            <v>0</v>
          </cell>
          <cell r="F438">
            <v>0</v>
          </cell>
          <cell r="G438">
            <v>0</v>
          </cell>
          <cell r="H438" t="str">
            <v>---</v>
          </cell>
          <cell r="I438">
            <v>0</v>
          </cell>
          <cell r="K438" t="str">
            <v>---</v>
          </cell>
        </row>
        <row r="439">
          <cell r="C439" t="str">
            <v>1998ND</v>
          </cell>
          <cell r="D439">
            <v>0</v>
          </cell>
          <cell r="E439">
            <v>0</v>
          </cell>
          <cell r="F439">
            <v>0</v>
          </cell>
          <cell r="G439">
            <v>0</v>
          </cell>
          <cell r="H439" t="str">
            <v>---</v>
          </cell>
          <cell r="I439">
            <v>0</v>
          </cell>
          <cell r="J439">
            <v>29912</v>
          </cell>
          <cell r="K439" t="str">
            <v>---</v>
          </cell>
        </row>
        <row r="440">
          <cell r="C440" t="str">
            <v>1998OH</v>
          </cell>
          <cell r="D440">
            <v>1832.8518540972841</v>
          </cell>
          <cell r="E440">
            <v>0</v>
          </cell>
          <cell r="F440">
            <v>0</v>
          </cell>
          <cell r="G440">
            <v>0</v>
          </cell>
          <cell r="H440" t="str">
            <v>---</v>
          </cell>
          <cell r="I440">
            <v>0</v>
          </cell>
          <cell r="J440">
            <v>13444</v>
          </cell>
          <cell r="K440" t="str">
            <v>---</v>
          </cell>
        </row>
        <row r="441">
          <cell r="C441" t="str">
            <v>1998OK</v>
          </cell>
          <cell r="D441">
            <v>123.18556249533681</v>
          </cell>
          <cell r="E441">
            <v>0</v>
          </cell>
          <cell r="F441">
            <v>0</v>
          </cell>
          <cell r="G441">
            <v>0</v>
          </cell>
          <cell r="H441" t="str">
            <v>---</v>
          </cell>
          <cell r="I441">
            <v>0</v>
          </cell>
          <cell r="J441">
            <v>1415</v>
          </cell>
          <cell r="K441" t="str">
            <v>---</v>
          </cell>
        </row>
        <row r="442">
          <cell r="C442" t="str">
            <v>1998OR</v>
          </cell>
          <cell r="D442">
            <v>0</v>
          </cell>
          <cell r="E442">
            <v>0</v>
          </cell>
          <cell r="F442">
            <v>0</v>
          </cell>
          <cell r="G442">
            <v>0</v>
          </cell>
          <cell r="H442" t="str">
            <v>---</v>
          </cell>
          <cell r="I442">
            <v>0</v>
          </cell>
          <cell r="K442" t="str">
            <v>---</v>
          </cell>
        </row>
        <row r="443">
          <cell r="C443" t="str">
            <v>1998PA</v>
          </cell>
          <cell r="D443">
            <v>17902.968415988951</v>
          </cell>
          <cell r="E443">
            <v>7333.9950980392168</v>
          </cell>
          <cell r="F443">
            <v>0</v>
          </cell>
          <cell r="G443">
            <v>0</v>
          </cell>
          <cell r="H443" t="str">
            <v>---</v>
          </cell>
          <cell r="I443">
            <v>0</v>
          </cell>
          <cell r="J443">
            <v>21483</v>
          </cell>
          <cell r="K443" t="str">
            <v>---</v>
          </cell>
        </row>
        <row r="444">
          <cell r="C444" t="str">
            <v>1998RI</v>
          </cell>
          <cell r="D444">
            <v>0</v>
          </cell>
          <cell r="E444">
            <v>0</v>
          </cell>
          <cell r="F444">
            <v>0</v>
          </cell>
          <cell r="G444">
            <v>0</v>
          </cell>
          <cell r="H444" t="str">
            <v>---</v>
          </cell>
          <cell r="I444">
            <v>0</v>
          </cell>
          <cell r="K444" t="str">
            <v>---</v>
          </cell>
        </row>
        <row r="445">
          <cell r="C445" t="str">
            <v>1998SC</v>
          </cell>
          <cell r="D445">
            <v>0</v>
          </cell>
          <cell r="E445">
            <v>0</v>
          </cell>
          <cell r="F445">
            <v>0</v>
          </cell>
          <cell r="G445">
            <v>0</v>
          </cell>
          <cell r="H445" t="str">
            <v>---</v>
          </cell>
          <cell r="I445">
            <v>0</v>
          </cell>
          <cell r="K445" t="str">
            <v>---</v>
          </cell>
        </row>
        <row r="446">
          <cell r="C446" t="str">
            <v>1998SD</v>
          </cell>
          <cell r="D446">
            <v>0</v>
          </cell>
          <cell r="E446">
            <v>0</v>
          </cell>
          <cell r="F446">
            <v>0</v>
          </cell>
          <cell r="G446">
            <v>0</v>
          </cell>
          <cell r="H446" t="str">
            <v>---</v>
          </cell>
          <cell r="I446">
            <v>0</v>
          </cell>
          <cell r="K446" t="str">
            <v>---</v>
          </cell>
        </row>
        <row r="447">
          <cell r="C447" t="str">
            <v>1998TN</v>
          </cell>
          <cell r="D447">
            <v>0</v>
          </cell>
          <cell r="E447">
            <v>0</v>
          </cell>
          <cell r="F447">
            <v>0</v>
          </cell>
          <cell r="G447">
            <v>0</v>
          </cell>
          <cell r="H447" t="str">
            <v>---</v>
          </cell>
          <cell r="I447">
            <v>0</v>
          </cell>
          <cell r="J447">
            <v>1649</v>
          </cell>
          <cell r="K447" t="str">
            <v>---</v>
          </cell>
        </row>
        <row r="448">
          <cell r="C448" t="str">
            <v>1998TX</v>
          </cell>
          <cell r="D448">
            <v>0</v>
          </cell>
          <cell r="E448">
            <v>0</v>
          </cell>
          <cell r="F448">
            <v>0</v>
          </cell>
          <cell r="G448">
            <v>0</v>
          </cell>
          <cell r="H448" t="str">
            <v>---</v>
          </cell>
          <cell r="I448">
            <v>0</v>
          </cell>
          <cell r="J448">
            <v>52583</v>
          </cell>
          <cell r="K448" t="str">
            <v>---</v>
          </cell>
        </row>
        <row r="449">
          <cell r="C449" t="str">
            <v>1998UT</v>
          </cell>
          <cell r="D449">
            <v>3016.1798332191561</v>
          </cell>
          <cell r="E449">
            <v>0</v>
          </cell>
          <cell r="F449">
            <v>0</v>
          </cell>
          <cell r="G449">
            <v>0</v>
          </cell>
          <cell r="H449" t="str">
            <v>---</v>
          </cell>
          <cell r="I449">
            <v>0</v>
          </cell>
          <cell r="K449" t="str">
            <v>---</v>
          </cell>
        </row>
        <row r="450">
          <cell r="C450" t="str">
            <v>1998VT</v>
          </cell>
          <cell r="D450">
            <v>0</v>
          </cell>
          <cell r="E450">
            <v>0</v>
          </cell>
          <cell r="F450">
            <v>0</v>
          </cell>
          <cell r="G450">
            <v>0</v>
          </cell>
          <cell r="H450" t="str">
            <v>---</v>
          </cell>
          <cell r="I450">
            <v>0</v>
          </cell>
          <cell r="K450" t="str">
            <v>---</v>
          </cell>
        </row>
        <row r="451">
          <cell r="C451" t="str">
            <v>1998VA</v>
          </cell>
          <cell r="D451">
            <v>9474.0896246413595</v>
          </cell>
          <cell r="E451">
            <v>20607.818207282915</v>
          </cell>
          <cell r="F451">
            <v>19867.731800000001</v>
          </cell>
          <cell r="G451">
            <v>0</v>
          </cell>
          <cell r="H451" t="str">
            <v>---</v>
          </cell>
          <cell r="I451">
            <v>0</v>
          </cell>
          <cell r="J451">
            <v>8535</v>
          </cell>
          <cell r="K451" t="str">
            <v>---</v>
          </cell>
        </row>
        <row r="452">
          <cell r="C452" t="str">
            <v>1998WA</v>
          </cell>
          <cell r="D452">
            <v>0</v>
          </cell>
          <cell r="E452">
            <v>0</v>
          </cell>
          <cell r="F452">
            <v>0</v>
          </cell>
          <cell r="G452">
            <v>0</v>
          </cell>
          <cell r="H452" t="str">
            <v>---</v>
          </cell>
          <cell r="I452">
            <v>0</v>
          </cell>
          <cell r="J452">
            <v>4638</v>
          </cell>
          <cell r="K452" t="str">
            <v>---</v>
          </cell>
        </row>
        <row r="453">
          <cell r="C453" t="str">
            <v>1998WV</v>
          </cell>
          <cell r="D453">
            <v>20639.1810617187</v>
          </cell>
          <cell r="E453">
            <v>8258.6140522875812</v>
          </cell>
          <cell r="F453">
            <v>2118.8873100000001</v>
          </cell>
          <cell r="G453">
            <v>0</v>
          </cell>
          <cell r="H453">
            <v>39236</v>
          </cell>
          <cell r="I453">
            <v>39236</v>
          </cell>
          <cell r="J453">
            <v>48572</v>
          </cell>
          <cell r="K453">
            <v>5382</v>
          </cell>
        </row>
        <row r="454">
          <cell r="C454" t="str">
            <v>1998WI</v>
          </cell>
          <cell r="D454">
            <v>0</v>
          </cell>
          <cell r="E454">
            <v>0</v>
          </cell>
          <cell r="F454">
            <v>0</v>
          </cell>
          <cell r="G454">
            <v>0</v>
          </cell>
          <cell r="H454" t="str">
            <v>---</v>
          </cell>
          <cell r="I454">
            <v>0</v>
          </cell>
          <cell r="K454" t="str">
            <v>---</v>
          </cell>
        </row>
        <row r="455">
          <cell r="C455" t="str">
            <v>1998WY</v>
          </cell>
          <cell r="D455">
            <v>0</v>
          </cell>
          <cell r="E455">
            <v>0</v>
          </cell>
          <cell r="F455">
            <v>0</v>
          </cell>
          <cell r="G455">
            <v>0</v>
          </cell>
          <cell r="H455" t="str">
            <v>---</v>
          </cell>
          <cell r="I455">
            <v>0</v>
          </cell>
          <cell r="J455">
            <v>312686</v>
          </cell>
          <cell r="K455" t="str">
            <v>---</v>
          </cell>
        </row>
        <row r="456">
          <cell r="C456" t="str">
            <v>1999AL</v>
          </cell>
          <cell r="D456">
            <v>24083.524047004987</v>
          </cell>
          <cell r="E456">
            <v>9547.8065999999999</v>
          </cell>
          <cell r="F456">
            <v>9573.0332400000007</v>
          </cell>
          <cell r="G456">
            <v>0</v>
          </cell>
          <cell r="H456" t="str">
            <v>---</v>
          </cell>
          <cell r="I456">
            <v>0</v>
          </cell>
          <cell r="J456">
            <v>4705</v>
          </cell>
          <cell r="K456" t="str">
            <v>---</v>
          </cell>
        </row>
        <row r="457">
          <cell r="C457" t="str">
            <v>1999AK</v>
          </cell>
          <cell r="D457">
            <v>0</v>
          </cell>
          <cell r="E457">
            <v>0</v>
          </cell>
          <cell r="F457">
            <v>0</v>
          </cell>
          <cell r="G457">
            <v>0</v>
          </cell>
          <cell r="H457" t="str">
            <v>---</v>
          </cell>
          <cell r="I457">
            <v>0</v>
          </cell>
          <cell r="J457">
            <v>1565</v>
          </cell>
          <cell r="K457" t="str">
            <v>---</v>
          </cell>
        </row>
        <row r="458">
          <cell r="C458" t="str">
            <v>1999AZ</v>
          </cell>
          <cell r="D458">
            <v>0</v>
          </cell>
          <cell r="E458">
            <v>0</v>
          </cell>
          <cell r="F458">
            <v>0</v>
          </cell>
          <cell r="G458">
            <v>0</v>
          </cell>
          <cell r="H458" t="str">
            <v>---</v>
          </cell>
          <cell r="I458">
            <v>0</v>
          </cell>
          <cell r="J458">
            <v>11787</v>
          </cell>
          <cell r="K458" t="str">
            <v>---</v>
          </cell>
        </row>
        <row r="459">
          <cell r="C459" t="str">
            <v>1999AR</v>
          </cell>
          <cell r="D459">
            <v>0</v>
          </cell>
          <cell r="E459">
            <v>0</v>
          </cell>
          <cell r="F459">
            <v>0</v>
          </cell>
          <cell r="G459">
            <v>0</v>
          </cell>
          <cell r="H459" t="str">
            <v>---</v>
          </cell>
          <cell r="I459">
            <v>0</v>
          </cell>
          <cell r="J459">
            <v>22</v>
          </cell>
          <cell r="K459" t="str">
            <v>---</v>
          </cell>
        </row>
        <row r="460">
          <cell r="C460" t="str">
            <v>1999CA</v>
          </cell>
          <cell r="D460">
            <v>0</v>
          </cell>
          <cell r="E460">
            <v>0</v>
          </cell>
          <cell r="F460">
            <v>0</v>
          </cell>
          <cell r="G460">
            <v>0</v>
          </cell>
          <cell r="H460" t="str">
            <v>---</v>
          </cell>
          <cell r="I460">
            <v>0</v>
          </cell>
          <cell r="J460">
            <v>0</v>
          </cell>
          <cell r="K460" t="str">
            <v>---</v>
          </cell>
        </row>
        <row r="461">
          <cell r="C461" t="str">
            <v>1999CO</v>
          </cell>
          <cell r="D461">
            <v>7351.1917643050547</v>
          </cell>
          <cell r="E461">
            <v>0</v>
          </cell>
          <cell r="F461">
            <v>0</v>
          </cell>
          <cell r="G461">
            <v>0</v>
          </cell>
          <cell r="H461" t="str">
            <v>---</v>
          </cell>
          <cell r="I461">
            <v>0</v>
          </cell>
          <cell r="J461">
            <v>9511</v>
          </cell>
          <cell r="K461" t="str">
            <v>---</v>
          </cell>
        </row>
        <row r="462">
          <cell r="C462" t="str">
            <v>1999CT</v>
          </cell>
          <cell r="D462">
            <v>0</v>
          </cell>
          <cell r="E462">
            <v>0</v>
          </cell>
          <cell r="F462">
            <v>0</v>
          </cell>
          <cell r="G462">
            <v>0</v>
          </cell>
          <cell r="H462" t="str">
            <v>---</v>
          </cell>
          <cell r="I462">
            <v>0</v>
          </cell>
          <cell r="K462" t="str">
            <v>---</v>
          </cell>
        </row>
        <row r="463">
          <cell r="C463" t="str">
            <v>1999DE</v>
          </cell>
          <cell r="D463">
            <v>0</v>
          </cell>
          <cell r="E463">
            <v>0</v>
          </cell>
          <cell r="F463">
            <v>0</v>
          </cell>
          <cell r="G463">
            <v>0</v>
          </cell>
          <cell r="H463" t="str">
            <v>---</v>
          </cell>
          <cell r="I463">
            <v>0</v>
          </cell>
          <cell r="K463" t="str">
            <v>---</v>
          </cell>
        </row>
        <row r="464">
          <cell r="C464" t="str">
            <v>1999FL</v>
          </cell>
          <cell r="D464">
            <v>0</v>
          </cell>
          <cell r="E464">
            <v>0</v>
          </cell>
          <cell r="F464">
            <v>0</v>
          </cell>
          <cell r="G464">
            <v>0</v>
          </cell>
          <cell r="H464" t="str">
            <v>---</v>
          </cell>
          <cell r="I464">
            <v>0</v>
          </cell>
          <cell r="K464" t="str">
            <v>---</v>
          </cell>
        </row>
        <row r="465">
          <cell r="C465" t="str">
            <v>1999GA</v>
          </cell>
          <cell r="D465">
            <v>0</v>
          </cell>
          <cell r="E465">
            <v>0</v>
          </cell>
          <cell r="F465">
            <v>0</v>
          </cell>
          <cell r="G465">
            <v>0</v>
          </cell>
          <cell r="H465" t="str">
            <v>---</v>
          </cell>
          <cell r="I465">
            <v>0</v>
          </cell>
          <cell r="K465" t="str">
            <v>---</v>
          </cell>
        </row>
        <row r="466">
          <cell r="C466" t="str">
            <v>1999HI</v>
          </cell>
          <cell r="D466">
            <v>0</v>
          </cell>
          <cell r="E466">
            <v>0</v>
          </cell>
          <cell r="F466">
            <v>0</v>
          </cell>
          <cell r="G466">
            <v>0</v>
          </cell>
          <cell r="H466" t="str">
            <v>---</v>
          </cell>
          <cell r="I466">
            <v>0</v>
          </cell>
          <cell r="K466" t="str">
            <v>---</v>
          </cell>
        </row>
        <row r="467">
          <cell r="C467" t="str">
            <v>1999ID</v>
          </cell>
          <cell r="D467">
            <v>0</v>
          </cell>
          <cell r="E467">
            <v>0</v>
          </cell>
          <cell r="F467">
            <v>0</v>
          </cell>
          <cell r="G467">
            <v>0</v>
          </cell>
          <cell r="H467" t="str">
            <v>---</v>
          </cell>
          <cell r="I467">
            <v>0</v>
          </cell>
          <cell r="K467" t="str">
            <v>---</v>
          </cell>
        </row>
        <row r="468">
          <cell r="C468" t="str">
            <v>1999IL</v>
          </cell>
          <cell r="D468">
            <v>6749.8222455778168</v>
          </cell>
          <cell r="E468">
            <v>0</v>
          </cell>
          <cell r="F468">
            <v>0</v>
          </cell>
          <cell r="G468">
            <v>0</v>
          </cell>
          <cell r="H468" t="str">
            <v>---</v>
          </cell>
          <cell r="I468">
            <v>0</v>
          </cell>
          <cell r="J468">
            <v>3659</v>
          </cell>
          <cell r="K468" t="str">
            <v>---</v>
          </cell>
        </row>
        <row r="469">
          <cell r="C469" t="str">
            <v>1999IN</v>
          </cell>
          <cell r="D469">
            <v>147.8226749944042</v>
          </cell>
          <cell r="E469">
            <v>0</v>
          </cell>
          <cell r="F469">
            <v>0</v>
          </cell>
          <cell r="G469">
            <v>0</v>
          </cell>
          <cell r="H469" t="str">
            <v>---</v>
          </cell>
          <cell r="I469">
            <v>0</v>
          </cell>
          <cell r="J469">
            <v>30451</v>
          </cell>
          <cell r="K469" t="str">
            <v>---</v>
          </cell>
        </row>
        <row r="470">
          <cell r="C470" t="str">
            <v>1999IA</v>
          </cell>
          <cell r="D470">
            <v>0</v>
          </cell>
          <cell r="E470">
            <v>0</v>
          </cell>
          <cell r="F470">
            <v>0</v>
          </cell>
          <cell r="G470">
            <v>0</v>
          </cell>
          <cell r="H470" t="str">
            <v>---</v>
          </cell>
          <cell r="I470">
            <v>0</v>
          </cell>
          <cell r="J470">
            <v>0</v>
          </cell>
          <cell r="K470" t="str">
            <v>---</v>
          </cell>
        </row>
        <row r="471">
          <cell r="C471" t="str">
            <v>1999KS</v>
          </cell>
          <cell r="D471">
            <v>0</v>
          </cell>
          <cell r="E471">
            <v>0</v>
          </cell>
          <cell r="F471">
            <v>0</v>
          </cell>
          <cell r="G471">
            <v>0</v>
          </cell>
          <cell r="H471" t="str">
            <v>---</v>
          </cell>
          <cell r="I471">
            <v>0</v>
          </cell>
          <cell r="J471">
            <v>409</v>
          </cell>
          <cell r="K471" t="str">
            <v>---</v>
          </cell>
        </row>
        <row r="472">
          <cell r="C472" t="str">
            <v>1999KY</v>
          </cell>
          <cell r="D472">
            <v>4504.4854019128152</v>
          </cell>
          <cell r="E472">
            <v>80.178333333333285</v>
          </cell>
          <cell r="F472">
            <v>0</v>
          </cell>
          <cell r="G472">
            <v>0</v>
          </cell>
          <cell r="H472">
            <v>23218</v>
          </cell>
          <cell r="I472">
            <v>23218</v>
          </cell>
          <cell r="J472">
            <v>47111</v>
          </cell>
          <cell r="K472">
            <v>6364</v>
          </cell>
        </row>
        <row r="473">
          <cell r="C473" t="str">
            <v>1999LA</v>
          </cell>
          <cell r="D473">
            <v>0</v>
          </cell>
          <cell r="E473">
            <v>0</v>
          </cell>
          <cell r="F473">
            <v>0</v>
          </cell>
          <cell r="G473">
            <v>0</v>
          </cell>
          <cell r="H473" t="str">
            <v>---</v>
          </cell>
          <cell r="I473">
            <v>0</v>
          </cell>
          <cell r="J473">
            <v>2953</v>
          </cell>
          <cell r="K473" t="str">
            <v>---</v>
          </cell>
        </row>
        <row r="474">
          <cell r="C474" t="str">
            <v>1999ME</v>
          </cell>
          <cell r="D474">
            <v>0</v>
          </cell>
          <cell r="E474">
            <v>0</v>
          </cell>
          <cell r="F474">
            <v>0</v>
          </cell>
          <cell r="G474">
            <v>0</v>
          </cell>
          <cell r="H474" t="str">
            <v>---</v>
          </cell>
          <cell r="I474">
            <v>0</v>
          </cell>
          <cell r="K474" t="str">
            <v>---</v>
          </cell>
        </row>
        <row r="475">
          <cell r="C475" t="str">
            <v>1999MD</v>
          </cell>
          <cell r="D475">
            <v>0</v>
          </cell>
          <cell r="E475">
            <v>0</v>
          </cell>
          <cell r="F475">
            <v>0</v>
          </cell>
          <cell r="G475">
            <v>0</v>
          </cell>
          <cell r="H475" t="str">
            <v>---</v>
          </cell>
          <cell r="I475">
            <v>0</v>
          </cell>
          <cell r="J475">
            <v>557</v>
          </cell>
          <cell r="K475" t="str">
            <v>---</v>
          </cell>
        </row>
        <row r="476">
          <cell r="C476" t="str">
            <v>1999MA</v>
          </cell>
          <cell r="D476">
            <v>0</v>
          </cell>
          <cell r="E476">
            <v>0</v>
          </cell>
          <cell r="F476">
            <v>0</v>
          </cell>
          <cell r="G476">
            <v>0</v>
          </cell>
          <cell r="H476" t="str">
            <v>---</v>
          </cell>
          <cell r="I476">
            <v>0</v>
          </cell>
          <cell r="K476" t="str">
            <v>---</v>
          </cell>
        </row>
        <row r="477">
          <cell r="C477" t="str">
            <v>1999MI</v>
          </cell>
          <cell r="D477">
            <v>0</v>
          </cell>
          <cell r="E477">
            <v>0</v>
          </cell>
          <cell r="F477">
            <v>0</v>
          </cell>
          <cell r="G477">
            <v>0</v>
          </cell>
          <cell r="H477" t="str">
            <v>---</v>
          </cell>
          <cell r="I477">
            <v>0</v>
          </cell>
          <cell r="K477" t="str">
            <v>---</v>
          </cell>
        </row>
        <row r="478">
          <cell r="C478" t="str">
            <v>1999MN</v>
          </cell>
          <cell r="D478">
            <v>0</v>
          </cell>
          <cell r="E478">
            <v>0</v>
          </cell>
          <cell r="F478">
            <v>0</v>
          </cell>
          <cell r="G478">
            <v>0</v>
          </cell>
          <cell r="H478" t="str">
            <v>---</v>
          </cell>
          <cell r="I478">
            <v>0</v>
          </cell>
          <cell r="K478" t="str">
            <v>---</v>
          </cell>
        </row>
        <row r="479">
          <cell r="C479" t="str">
            <v>1999MS</v>
          </cell>
          <cell r="D479">
            <v>0</v>
          </cell>
          <cell r="E479">
            <v>0</v>
          </cell>
          <cell r="F479">
            <v>0</v>
          </cell>
          <cell r="G479">
            <v>0</v>
          </cell>
          <cell r="H479" t="str">
            <v>---</v>
          </cell>
          <cell r="I479">
            <v>0</v>
          </cell>
          <cell r="J479">
            <v>18</v>
          </cell>
          <cell r="K479" t="str">
            <v>---</v>
          </cell>
        </row>
        <row r="480">
          <cell r="C480" t="str">
            <v>1999MO</v>
          </cell>
          <cell r="D480">
            <v>0</v>
          </cell>
          <cell r="E480">
            <v>0</v>
          </cell>
          <cell r="F480">
            <v>0</v>
          </cell>
          <cell r="G480">
            <v>0</v>
          </cell>
          <cell r="H480" t="str">
            <v>---</v>
          </cell>
          <cell r="I480">
            <v>0</v>
          </cell>
          <cell r="J480">
            <v>392</v>
          </cell>
          <cell r="K480" t="str">
            <v>---</v>
          </cell>
        </row>
        <row r="481">
          <cell r="C481" t="str">
            <v>1999MT</v>
          </cell>
          <cell r="D481">
            <v>0</v>
          </cell>
          <cell r="E481">
            <v>0</v>
          </cell>
          <cell r="F481">
            <v>0</v>
          </cell>
          <cell r="G481">
            <v>0</v>
          </cell>
          <cell r="H481" t="str">
            <v>---</v>
          </cell>
          <cell r="I481">
            <v>0</v>
          </cell>
          <cell r="J481">
            <v>41102</v>
          </cell>
          <cell r="K481" t="str">
            <v>---</v>
          </cell>
        </row>
        <row r="482">
          <cell r="C482" t="str">
            <v>1999NE</v>
          </cell>
          <cell r="D482">
            <v>0</v>
          </cell>
          <cell r="E482">
            <v>0</v>
          </cell>
          <cell r="F482">
            <v>0</v>
          </cell>
          <cell r="G482">
            <v>0</v>
          </cell>
          <cell r="H482" t="str">
            <v>---</v>
          </cell>
          <cell r="I482">
            <v>0</v>
          </cell>
          <cell r="K482" t="str">
            <v>---</v>
          </cell>
        </row>
        <row r="483">
          <cell r="C483" t="str">
            <v>1999NV</v>
          </cell>
          <cell r="D483">
            <v>0</v>
          </cell>
          <cell r="E483">
            <v>0</v>
          </cell>
          <cell r="F483">
            <v>0</v>
          </cell>
          <cell r="G483">
            <v>0</v>
          </cell>
          <cell r="H483" t="str">
            <v>---</v>
          </cell>
          <cell r="I483">
            <v>0</v>
          </cell>
          <cell r="K483" t="str">
            <v>---</v>
          </cell>
        </row>
        <row r="484">
          <cell r="C484" t="str">
            <v>1999NH</v>
          </cell>
          <cell r="D484">
            <v>0</v>
          </cell>
          <cell r="E484">
            <v>0</v>
          </cell>
          <cell r="F484">
            <v>0</v>
          </cell>
          <cell r="G484">
            <v>0</v>
          </cell>
          <cell r="H484" t="str">
            <v>---</v>
          </cell>
          <cell r="I484">
            <v>0</v>
          </cell>
          <cell r="K484" t="str">
            <v>---</v>
          </cell>
        </row>
        <row r="485">
          <cell r="C485" t="str">
            <v>1999NJ</v>
          </cell>
          <cell r="D485">
            <v>0</v>
          </cell>
          <cell r="E485">
            <v>0</v>
          </cell>
          <cell r="F485">
            <v>0</v>
          </cell>
          <cell r="G485">
            <v>0</v>
          </cell>
          <cell r="H485" t="str">
            <v>---</v>
          </cell>
          <cell r="I485">
            <v>0</v>
          </cell>
          <cell r="K485" t="str">
            <v>---</v>
          </cell>
        </row>
        <row r="486">
          <cell r="C486" t="str">
            <v>1999NM</v>
          </cell>
          <cell r="D486">
            <v>0</v>
          </cell>
          <cell r="E486">
            <v>0</v>
          </cell>
          <cell r="F486">
            <v>0</v>
          </cell>
          <cell r="G486">
            <v>0</v>
          </cell>
          <cell r="H486" t="str">
            <v>---</v>
          </cell>
          <cell r="I486">
            <v>0</v>
          </cell>
          <cell r="J486">
            <v>29051</v>
          </cell>
          <cell r="K486" t="str">
            <v>---</v>
          </cell>
        </row>
        <row r="487">
          <cell r="C487" t="str">
            <v>1999NY</v>
          </cell>
          <cell r="D487">
            <v>0</v>
          </cell>
          <cell r="E487">
            <v>0</v>
          </cell>
          <cell r="F487">
            <v>0</v>
          </cell>
          <cell r="G487">
            <v>0</v>
          </cell>
          <cell r="H487" t="str">
            <v>---</v>
          </cell>
          <cell r="I487">
            <v>0</v>
          </cell>
          <cell r="K487" t="str">
            <v>---</v>
          </cell>
        </row>
        <row r="488">
          <cell r="C488" t="str">
            <v>1999NC</v>
          </cell>
          <cell r="D488">
            <v>0</v>
          </cell>
          <cell r="E488">
            <v>0</v>
          </cell>
          <cell r="F488">
            <v>0</v>
          </cell>
          <cell r="G488">
            <v>0</v>
          </cell>
          <cell r="H488" t="str">
            <v>---</v>
          </cell>
          <cell r="I488">
            <v>0</v>
          </cell>
          <cell r="K488" t="str">
            <v>---</v>
          </cell>
        </row>
        <row r="489">
          <cell r="C489" t="str">
            <v>1999ND</v>
          </cell>
          <cell r="D489">
            <v>0</v>
          </cell>
          <cell r="E489">
            <v>0</v>
          </cell>
          <cell r="F489">
            <v>0</v>
          </cell>
          <cell r="G489">
            <v>0</v>
          </cell>
          <cell r="H489" t="str">
            <v>---</v>
          </cell>
          <cell r="I489">
            <v>0</v>
          </cell>
          <cell r="J489">
            <v>31135</v>
          </cell>
          <cell r="K489" t="str">
            <v>---</v>
          </cell>
        </row>
        <row r="490">
          <cell r="C490" t="str">
            <v>1999OH</v>
          </cell>
          <cell r="D490">
            <v>1871.6739707624813</v>
          </cell>
          <cell r="E490">
            <v>0</v>
          </cell>
          <cell r="F490">
            <v>0</v>
          </cell>
          <cell r="G490">
            <v>0</v>
          </cell>
          <cell r="H490" t="str">
            <v>---</v>
          </cell>
          <cell r="I490">
            <v>0</v>
          </cell>
          <cell r="J490">
            <v>11048</v>
          </cell>
          <cell r="K490" t="str">
            <v>---</v>
          </cell>
        </row>
        <row r="491">
          <cell r="C491" t="str">
            <v>1999OK</v>
          </cell>
          <cell r="D491">
            <v>194.85716249262367</v>
          </cell>
          <cell r="E491">
            <v>0</v>
          </cell>
          <cell r="F491">
            <v>0</v>
          </cell>
          <cell r="G491">
            <v>0</v>
          </cell>
          <cell r="H491" t="str">
            <v>---</v>
          </cell>
          <cell r="I491">
            <v>0</v>
          </cell>
          <cell r="J491">
            <v>1461</v>
          </cell>
          <cell r="K491" t="str">
            <v>---</v>
          </cell>
        </row>
        <row r="492">
          <cell r="C492" t="str">
            <v>1999OR</v>
          </cell>
          <cell r="D492">
            <v>0</v>
          </cell>
          <cell r="E492">
            <v>0</v>
          </cell>
          <cell r="F492">
            <v>0</v>
          </cell>
          <cell r="G492">
            <v>0</v>
          </cell>
          <cell r="H492" t="str">
            <v>---</v>
          </cell>
          <cell r="I492">
            <v>0</v>
          </cell>
          <cell r="K492" t="str">
            <v>---</v>
          </cell>
        </row>
        <row r="493">
          <cell r="C493" t="str">
            <v>1999PA</v>
          </cell>
          <cell r="D493">
            <v>15831.584518150696</v>
          </cell>
          <cell r="E493">
            <v>3994.3470833333331</v>
          </cell>
          <cell r="F493">
            <v>0</v>
          </cell>
          <cell r="G493">
            <v>0</v>
          </cell>
          <cell r="H493" t="str">
            <v>---</v>
          </cell>
          <cell r="I493">
            <v>0</v>
          </cell>
          <cell r="J493">
            <v>17188</v>
          </cell>
          <cell r="K493" t="str">
            <v>---</v>
          </cell>
        </row>
        <row r="494">
          <cell r="C494" t="str">
            <v>1999RI</v>
          </cell>
          <cell r="D494">
            <v>0</v>
          </cell>
          <cell r="E494">
            <v>0</v>
          </cell>
          <cell r="F494">
            <v>0</v>
          </cell>
          <cell r="G494">
            <v>0</v>
          </cell>
          <cell r="H494" t="str">
            <v>---</v>
          </cell>
          <cell r="I494">
            <v>0</v>
          </cell>
          <cell r="K494" t="str">
            <v>---</v>
          </cell>
        </row>
        <row r="495">
          <cell r="C495" t="str">
            <v>1999SC</v>
          </cell>
          <cell r="D495">
            <v>0</v>
          </cell>
          <cell r="E495">
            <v>0</v>
          </cell>
          <cell r="F495">
            <v>0</v>
          </cell>
          <cell r="G495">
            <v>0</v>
          </cell>
          <cell r="H495" t="str">
            <v>---</v>
          </cell>
          <cell r="I495">
            <v>0</v>
          </cell>
          <cell r="K495" t="str">
            <v>---</v>
          </cell>
        </row>
        <row r="496">
          <cell r="C496" t="str">
            <v>1999SD</v>
          </cell>
          <cell r="D496">
            <v>0</v>
          </cell>
          <cell r="E496">
            <v>0</v>
          </cell>
          <cell r="F496">
            <v>0</v>
          </cell>
          <cell r="G496">
            <v>0</v>
          </cell>
          <cell r="H496" t="str">
            <v>---</v>
          </cell>
          <cell r="I496">
            <v>0</v>
          </cell>
          <cell r="K496" t="str">
            <v>---</v>
          </cell>
        </row>
        <row r="497">
          <cell r="C497" t="str">
            <v>1999TN</v>
          </cell>
          <cell r="D497">
            <v>0</v>
          </cell>
          <cell r="E497">
            <v>0</v>
          </cell>
          <cell r="F497">
            <v>0</v>
          </cell>
          <cell r="G497">
            <v>0</v>
          </cell>
          <cell r="H497" t="str">
            <v>---</v>
          </cell>
          <cell r="I497">
            <v>0</v>
          </cell>
          <cell r="J497">
            <v>1548</v>
          </cell>
          <cell r="K497" t="str">
            <v>---</v>
          </cell>
        </row>
        <row r="498">
          <cell r="C498" t="str">
            <v>1999TX</v>
          </cell>
          <cell r="D498">
            <v>0</v>
          </cell>
          <cell r="E498">
            <v>0</v>
          </cell>
          <cell r="F498">
            <v>0</v>
          </cell>
          <cell r="G498">
            <v>0</v>
          </cell>
          <cell r="H498" t="str">
            <v>---</v>
          </cell>
          <cell r="I498">
            <v>0</v>
          </cell>
          <cell r="J498">
            <v>53072</v>
          </cell>
          <cell r="K498" t="str">
            <v>---</v>
          </cell>
        </row>
        <row r="499">
          <cell r="C499" t="str">
            <v>1999UT</v>
          </cell>
          <cell r="D499">
            <v>2781.3806853113774</v>
          </cell>
          <cell r="E499">
            <v>0</v>
          </cell>
          <cell r="F499">
            <v>0</v>
          </cell>
          <cell r="G499">
            <v>0</v>
          </cell>
          <cell r="H499" t="str">
            <v>---</v>
          </cell>
          <cell r="I499">
            <v>0</v>
          </cell>
          <cell r="K499" t="str">
            <v>---</v>
          </cell>
        </row>
        <row r="500">
          <cell r="C500" t="str">
            <v>1999VT</v>
          </cell>
          <cell r="D500">
            <v>0</v>
          </cell>
          <cell r="E500">
            <v>0</v>
          </cell>
          <cell r="F500">
            <v>0</v>
          </cell>
          <cell r="G500">
            <v>0</v>
          </cell>
          <cell r="H500" t="str">
            <v>---</v>
          </cell>
          <cell r="I500">
            <v>0</v>
          </cell>
          <cell r="K500" t="str">
            <v>---</v>
          </cell>
        </row>
        <row r="501">
          <cell r="C501" t="str">
            <v>1999VA</v>
          </cell>
          <cell r="D501">
            <v>9316.188130897337</v>
          </cell>
          <cell r="E501">
            <v>19970.435032384758</v>
          </cell>
          <cell r="F501">
            <v>19455.791539999998</v>
          </cell>
          <cell r="G501">
            <v>0</v>
          </cell>
          <cell r="H501" t="str">
            <v>---</v>
          </cell>
          <cell r="I501">
            <v>0</v>
          </cell>
          <cell r="J501">
            <v>9732</v>
          </cell>
          <cell r="K501" t="str">
            <v>---</v>
          </cell>
        </row>
        <row r="502">
          <cell r="C502" t="str">
            <v>1999WA</v>
          </cell>
          <cell r="D502">
            <v>0</v>
          </cell>
          <cell r="E502">
            <v>0</v>
          </cell>
          <cell r="F502">
            <v>0</v>
          </cell>
          <cell r="G502">
            <v>0</v>
          </cell>
          <cell r="H502" t="str">
            <v>---</v>
          </cell>
          <cell r="I502">
            <v>0</v>
          </cell>
          <cell r="J502">
            <v>4101</v>
          </cell>
          <cell r="K502" t="str">
            <v>---</v>
          </cell>
        </row>
        <row r="503">
          <cell r="C503" t="str">
            <v>1999WV</v>
          </cell>
          <cell r="D503">
            <v>21198.592831280857</v>
          </cell>
          <cell r="E503">
            <v>6408.735880392157</v>
          </cell>
          <cell r="F503">
            <v>2130.6349</v>
          </cell>
          <cell r="G503">
            <v>0</v>
          </cell>
          <cell r="H503">
            <v>33653</v>
          </cell>
          <cell r="I503">
            <v>33653</v>
          </cell>
          <cell r="J503">
            <v>49116</v>
          </cell>
          <cell r="K503">
            <v>5135</v>
          </cell>
        </row>
        <row r="504">
          <cell r="C504" t="str">
            <v>1999WI</v>
          </cell>
          <cell r="D504">
            <v>0</v>
          </cell>
          <cell r="E504">
            <v>0</v>
          </cell>
          <cell r="F504">
            <v>0</v>
          </cell>
          <cell r="G504">
            <v>0</v>
          </cell>
          <cell r="H504" t="str">
            <v>---</v>
          </cell>
          <cell r="I504">
            <v>0</v>
          </cell>
          <cell r="K504" t="str">
            <v>---</v>
          </cell>
        </row>
        <row r="505">
          <cell r="C505" t="str">
            <v>1999WY</v>
          </cell>
          <cell r="D505">
            <v>0</v>
          </cell>
          <cell r="E505">
            <v>0</v>
          </cell>
          <cell r="F505">
            <v>0</v>
          </cell>
          <cell r="G505">
            <v>0</v>
          </cell>
          <cell r="H505" t="str">
            <v>---</v>
          </cell>
          <cell r="I505">
            <v>0</v>
          </cell>
          <cell r="J505">
            <v>335446</v>
          </cell>
          <cell r="K505" t="str">
            <v>---</v>
          </cell>
        </row>
        <row r="506">
          <cell r="C506" t="str">
            <v>2000AL</v>
          </cell>
          <cell r="D506">
            <v>21717.599327260072</v>
          </cell>
          <cell r="E506">
            <v>12834.863870000001</v>
          </cell>
          <cell r="F506">
            <v>12834.863870000001</v>
          </cell>
          <cell r="G506">
            <v>0</v>
          </cell>
          <cell r="H506" t="str">
            <v>---</v>
          </cell>
          <cell r="I506">
            <v>0</v>
          </cell>
          <cell r="J506">
            <v>3450</v>
          </cell>
          <cell r="K506" t="str">
            <v>---</v>
          </cell>
        </row>
        <row r="507">
          <cell r="C507" t="str">
            <v>2000AK</v>
          </cell>
          <cell r="D507">
            <v>0</v>
          </cell>
          <cell r="E507">
            <v>0</v>
          </cell>
          <cell r="F507">
            <v>0</v>
          </cell>
          <cell r="G507">
            <v>0</v>
          </cell>
          <cell r="H507" t="str">
            <v>---</v>
          </cell>
          <cell r="I507">
            <v>0</v>
          </cell>
          <cell r="J507">
            <v>1641</v>
          </cell>
          <cell r="K507" t="str">
            <v>---</v>
          </cell>
        </row>
        <row r="508">
          <cell r="C508" t="str">
            <v>2000AZ</v>
          </cell>
          <cell r="D508">
            <v>0</v>
          </cell>
          <cell r="E508">
            <v>0</v>
          </cell>
          <cell r="F508">
            <v>0</v>
          </cell>
          <cell r="G508">
            <v>0</v>
          </cell>
          <cell r="H508" t="str">
            <v>---</v>
          </cell>
          <cell r="I508">
            <v>0</v>
          </cell>
          <cell r="J508">
            <v>13111</v>
          </cell>
          <cell r="K508" t="str">
            <v>---</v>
          </cell>
        </row>
        <row r="509">
          <cell r="C509" t="str">
            <v>2000AR</v>
          </cell>
          <cell r="D509">
            <v>0</v>
          </cell>
          <cell r="E509">
            <v>0</v>
          </cell>
          <cell r="F509">
            <v>0</v>
          </cell>
          <cell r="G509">
            <v>0</v>
          </cell>
          <cell r="H509" t="str">
            <v>---</v>
          </cell>
          <cell r="I509">
            <v>0</v>
          </cell>
          <cell r="J509">
            <v>12</v>
          </cell>
          <cell r="K509" t="str">
            <v>---</v>
          </cell>
        </row>
        <row r="510">
          <cell r="C510" t="str">
            <v>2000CA</v>
          </cell>
          <cell r="D510">
            <v>0</v>
          </cell>
          <cell r="E510">
            <v>0</v>
          </cell>
          <cell r="F510">
            <v>0</v>
          </cell>
          <cell r="G510">
            <v>0</v>
          </cell>
          <cell r="H510" t="str">
            <v>---</v>
          </cell>
          <cell r="I510">
            <v>0</v>
          </cell>
          <cell r="J510">
            <v>0</v>
          </cell>
          <cell r="K510" t="str">
            <v>---</v>
          </cell>
        </row>
        <row r="511">
          <cell r="C511" t="str">
            <v>2000CO</v>
          </cell>
          <cell r="D511">
            <v>6800.8800788863873</v>
          </cell>
          <cell r="E511">
            <v>2097.1799999999998</v>
          </cell>
          <cell r="F511">
            <v>0</v>
          </cell>
          <cell r="G511">
            <v>0</v>
          </cell>
          <cell r="H511" t="str">
            <v>---</v>
          </cell>
          <cell r="I511">
            <v>0</v>
          </cell>
          <cell r="J511">
            <v>9156</v>
          </cell>
          <cell r="K511" t="str">
            <v>---</v>
          </cell>
        </row>
        <row r="512">
          <cell r="C512" t="str">
            <v>2000CT</v>
          </cell>
          <cell r="D512">
            <v>0</v>
          </cell>
          <cell r="E512">
            <v>0</v>
          </cell>
          <cell r="F512">
            <v>0</v>
          </cell>
          <cell r="G512">
            <v>0</v>
          </cell>
          <cell r="H512" t="str">
            <v>---</v>
          </cell>
          <cell r="I512">
            <v>0</v>
          </cell>
          <cell r="K512" t="str">
            <v>---</v>
          </cell>
        </row>
        <row r="513">
          <cell r="C513" t="str">
            <v>2000DE</v>
          </cell>
          <cell r="D513">
            <v>0</v>
          </cell>
          <cell r="E513">
            <v>0</v>
          </cell>
          <cell r="F513">
            <v>0</v>
          </cell>
          <cell r="G513">
            <v>0</v>
          </cell>
          <cell r="H513" t="str">
            <v>---</v>
          </cell>
          <cell r="I513">
            <v>0</v>
          </cell>
          <cell r="K513" t="str">
            <v>---</v>
          </cell>
        </row>
        <row r="514">
          <cell r="C514" t="str">
            <v>2000FL</v>
          </cell>
          <cell r="D514">
            <v>0</v>
          </cell>
          <cell r="E514">
            <v>0</v>
          </cell>
          <cell r="F514">
            <v>0</v>
          </cell>
          <cell r="G514">
            <v>0</v>
          </cell>
          <cell r="H514" t="str">
            <v>---</v>
          </cell>
          <cell r="I514">
            <v>0</v>
          </cell>
          <cell r="K514" t="str">
            <v>---</v>
          </cell>
        </row>
        <row r="515">
          <cell r="C515" t="str">
            <v>2000GA</v>
          </cell>
          <cell r="D515">
            <v>0</v>
          </cell>
          <cell r="E515">
            <v>0</v>
          </cell>
          <cell r="F515">
            <v>0</v>
          </cell>
          <cell r="G515">
            <v>0</v>
          </cell>
          <cell r="H515" t="str">
            <v>---</v>
          </cell>
          <cell r="I515">
            <v>0</v>
          </cell>
          <cell r="K515" t="str">
            <v>---</v>
          </cell>
        </row>
        <row r="516">
          <cell r="C516" t="str">
            <v>2000HI</v>
          </cell>
          <cell r="D516">
            <v>0</v>
          </cell>
          <cell r="E516">
            <v>0</v>
          </cell>
          <cell r="F516">
            <v>0</v>
          </cell>
          <cell r="G516">
            <v>0</v>
          </cell>
          <cell r="H516" t="str">
            <v>---</v>
          </cell>
          <cell r="I516">
            <v>0</v>
          </cell>
          <cell r="K516" t="str">
            <v>---</v>
          </cell>
        </row>
        <row r="517">
          <cell r="C517" t="str">
            <v>2000ID</v>
          </cell>
          <cell r="D517">
            <v>0</v>
          </cell>
          <cell r="E517">
            <v>0</v>
          </cell>
          <cell r="F517">
            <v>0</v>
          </cell>
          <cell r="G517">
            <v>0</v>
          </cell>
          <cell r="H517" t="str">
            <v>---</v>
          </cell>
          <cell r="I517">
            <v>0</v>
          </cell>
          <cell r="K517" t="str">
            <v>---</v>
          </cell>
        </row>
        <row r="518">
          <cell r="C518" t="str">
            <v>2000IL</v>
          </cell>
          <cell r="D518">
            <v>7619.1267546773324</v>
          </cell>
          <cell r="E518">
            <v>0</v>
          </cell>
          <cell r="F518">
            <v>0</v>
          </cell>
          <cell r="G518">
            <v>0</v>
          </cell>
          <cell r="H518" t="str">
            <v>---</v>
          </cell>
          <cell r="I518">
            <v>0</v>
          </cell>
          <cell r="J518">
            <v>3802</v>
          </cell>
          <cell r="K518" t="str">
            <v>---</v>
          </cell>
        </row>
        <row r="519">
          <cell r="C519" t="str">
            <v>2000IN</v>
          </cell>
          <cell r="D519">
            <v>218.22406769721857</v>
          </cell>
          <cell r="E519">
            <v>0</v>
          </cell>
          <cell r="F519">
            <v>0</v>
          </cell>
          <cell r="G519">
            <v>0</v>
          </cell>
          <cell r="H519" t="str">
            <v>---</v>
          </cell>
          <cell r="I519">
            <v>0</v>
          </cell>
          <cell r="J519">
            <v>24277</v>
          </cell>
          <cell r="K519" t="str">
            <v>---</v>
          </cell>
        </row>
        <row r="520">
          <cell r="C520" t="str">
            <v>2000IA</v>
          </cell>
          <cell r="D520">
            <v>0</v>
          </cell>
          <cell r="E520">
            <v>0</v>
          </cell>
          <cell r="F520">
            <v>0</v>
          </cell>
          <cell r="G520">
            <v>0</v>
          </cell>
          <cell r="H520" t="str">
            <v>---</v>
          </cell>
          <cell r="I520">
            <v>0</v>
          </cell>
          <cell r="J520">
            <v>0</v>
          </cell>
          <cell r="K520" t="str">
            <v>---</v>
          </cell>
        </row>
        <row r="521">
          <cell r="C521" t="str">
            <v>2000KS</v>
          </cell>
          <cell r="D521">
            <v>0</v>
          </cell>
          <cell r="E521">
            <v>0</v>
          </cell>
          <cell r="F521">
            <v>0</v>
          </cell>
          <cell r="G521">
            <v>0</v>
          </cell>
          <cell r="H521" t="str">
            <v>---</v>
          </cell>
          <cell r="I521">
            <v>0</v>
          </cell>
          <cell r="J521">
            <v>201</v>
          </cell>
          <cell r="K521" t="str">
            <v>---</v>
          </cell>
        </row>
        <row r="522">
          <cell r="C522" t="str">
            <v>2000KY</v>
          </cell>
          <cell r="D522">
            <v>4431.1375782797468</v>
          </cell>
          <cell r="E522">
            <v>0</v>
          </cell>
          <cell r="F522">
            <v>0</v>
          </cell>
          <cell r="G522">
            <v>0</v>
          </cell>
          <cell r="H522">
            <v>20390</v>
          </cell>
          <cell r="I522">
            <v>20390</v>
          </cell>
          <cell r="J522">
            <v>45114</v>
          </cell>
          <cell r="K522">
            <v>5552</v>
          </cell>
        </row>
        <row r="523">
          <cell r="C523" t="str">
            <v>2000LA</v>
          </cell>
          <cell r="D523">
            <v>0</v>
          </cell>
          <cell r="E523">
            <v>0</v>
          </cell>
          <cell r="F523">
            <v>0</v>
          </cell>
          <cell r="G523">
            <v>0</v>
          </cell>
          <cell r="H523" t="str">
            <v>---</v>
          </cell>
          <cell r="I523">
            <v>0</v>
          </cell>
          <cell r="J523">
            <v>3688</v>
          </cell>
          <cell r="K523" t="str">
            <v>---</v>
          </cell>
        </row>
        <row r="524">
          <cell r="C524" t="str">
            <v>2000ME</v>
          </cell>
          <cell r="D524">
            <v>0</v>
          </cell>
          <cell r="E524">
            <v>0</v>
          </cell>
          <cell r="F524">
            <v>0</v>
          </cell>
          <cell r="G524">
            <v>0</v>
          </cell>
          <cell r="H524" t="str">
            <v>---</v>
          </cell>
          <cell r="I524">
            <v>0</v>
          </cell>
          <cell r="K524" t="str">
            <v>---</v>
          </cell>
        </row>
        <row r="525">
          <cell r="C525" t="str">
            <v>2000MD</v>
          </cell>
          <cell r="D525">
            <v>0</v>
          </cell>
          <cell r="E525">
            <v>0</v>
          </cell>
          <cell r="F525">
            <v>0</v>
          </cell>
          <cell r="G525">
            <v>0</v>
          </cell>
          <cell r="H525" t="str">
            <v>---</v>
          </cell>
          <cell r="I525">
            <v>0</v>
          </cell>
          <cell r="J525">
            <v>1350</v>
          </cell>
          <cell r="K525" t="str">
            <v>---</v>
          </cell>
        </row>
        <row r="526">
          <cell r="C526" t="str">
            <v>2000MA</v>
          </cell>
          <cell r="D526">
            <v>0</v>
          </cell>
          <cell r="E526">
            <v>0</v>
          </cell>
          <cell r="F526">
            <v>0</v>
          </cell>
          <cell r="G526">
            <v>0</v>
          </cell>
          <cell r="H526" t="str">
            <v>---</v>
          </cell>
          <cell r="I526">
            <v>0</v>
          </cell>
          <cell r="K526" t="str">
            <v>---</v>
          </cell>
        </row>
        <row r="527">
          <cell r="C527" t="str">
            <v>2000MI</v>
          </cell>
          <cell r="D527">
            <v>0</v>
          </cell>
          <cell r="E527">
            <v>0</v>
          </cell>
          <cell r="F527">
            <v>0</v>
          </cell>
          <cell r="G527">
            <v>0</v>
          </cell>
          <cell r="H527" t="str">
            <v>---</v>
          </cell>
          <cell r="I527">
            <v>0</v>
          </cell>
          <cell r="K527" t="str">
            <v>---</v>
          </cell>
        </row>
        <row r="528">
          <cell r="C528" t="str">
            <v>2000MN</v>
          </cell>
          <cell r="D528">
            <v>0</v>
          </cell>
          <cell r="E528">
            <v>0</v>
          </cell>
          <cell r="F528">
            <v>0</v>
          </cell>
          <cell r="G528">
            <v>0</v>
          </cell>
          <cell r="H528" t="str">
            <v>---</v>
          </cell>
          <cell r="I528">
            <v>0</v>
          </cell>
          <cell r="K528" t="str">
            <v>---</v>
          </cell>
        </row>
        <row r="529">
          <cell r="C529" t="str">
            <v>2000MS</v>
          </cell>
          <cell r="D529">
            <v>0</v>
          </cell>
          <cell r="E529">
            <v>0</v>
          </cell>
          <cell r="F529">
            <v>0</v>
          </cell>
          <cell r="G529">
            <v>0</v>
          </cell>
          <cell r="H529" t="str">
            <v>---</v>
          </cell>
          <cell r="I529">
            <v>0</v>
          </cell>
          <cell r="J529">
            <v>802</v>
          </cell>
          <cell r="K529" t="str">
            <v>---</v>
          </cell>
        </row>
        <row r="530">
          <cell r="C530" t="str">
            <v>2000MO</v>
          </cell>
          <cell r="D530">
            <v>0</v>
          </cell>
          <cell r="E530">
            <v>0</v>
          </cell>
          <cell r="F530">
            <v>0</v>
          </cell>
          <cell r="G530">
            <v>0</v>
          </cell>
          <cell r="H530" t="str">
            <v>---</v>
          </cell>
          <cell r="I530">
            <v>0</v>
          </cell>
          <cell r="J530">
            <v>436</v>
          </cell>
          <cell r="K530" t="str">
            <v>---</v>
          </cell>
        </row>
        <row r="531">
          <cell r="C531" t="str">
            <v>2000MT</v>
          </cell>
          <cell r="D531">
            <v>0</v>
          </cell>
          <cell r="E531">
            <v>0</v>
          </cell>
          <cell r="F531">
            <v>0</v>
          </cell>
          <cell r="G531">
            <v>0</v>
          </cell>
          <cell r="H531" t="str">
            <v>---</v>
          </cell>
          <cell r="I531">
            <v>0</v>
          </cell>
          <cell r="J531">
            <v>38352</v>
          </cell>
          <cell r="K531" t="str">
            <v>---</v>
          </cell>
        </row>
        <row r="532">
          <cell r="C532" t="str">
            <v>2000NE</v>
          </cell>
          <cell r="D532">
            <v>0</v>
          </cell>
          <cell r="E532">
            <v>0</v>
          </cell>
          <cell r="F532">
            <v>0</v>
          </cell>
          <cell r="G532">
            <v>0</v>
          </cell>
          <cell r="H532" t="str">
            <v>---</v>
          </cell>
          <cell r="I532">
            <v>0</v>
          </cell>
          <cell r="K532" t="str">
            <v>---</v>
          </cell>
        </row>
        <row r="533">
          <cell r="C533" t="str">
            <v>2000NV</v>
          </cell>
          <cell r="D533">
            <v>0</v>
          </cell>
          <cell r="E533">
            <v>0</v>
          </cell>
          <cell r="F533">
            <v>0</v>
          </cell>
          <cell r="G533">
            <v>0</v>
          </cell>
          <cell r="H533" t="str">
            <v>---</v>
          </cell>
          <cell r="I533">
            <v>0</v>
          </cell>
          <cell r="K533" t="str">
            <v>---</v>
          </cell>
        </row>
        <row r="534">
          <cell r="C534" t="str">
            <v>2000NH</v>
          </cell>
          <cell r="D534">
            <v>0</v>
          </cell>
          <cell r="E534">
            <v>0</v>
          </cell>
          <cell r="F534">
            <v>0</v>
          </cell>
          <cell r="G534">
            <v>0</v>
          </cell>
          <cell r="H534" t="str">
            <v>---</v>
          </cell>
          <cell r="I534">
            <v>0</v>
          </cell>
          <cell r="K534" t="str">
            <v>---</v>
          </cell>
        </row>
        <row r="535">
          <cell r="C535" t="str">
            <v>2000NJ</v>
          </cell>
          <cell r="D535">
            <v>0</v>
          </cell>
          <cell r="E535">
            <v>0</v>
          </cell>
          <cell r="F535">
            <v>0</v>
          </cell>
          <cell r="G535">
            <v>0</v>
          </cell>
          <cell r="H535" t="str">
            <v>---</v>
          </cell>
          <cell r="I535">
            <v>0</v>
          </cell>
          <cell r="K535" t="str">
            <v>---</v>
          </cell>
        </row>
        <row r="536">
          <cell r="C536" t="str">
            <v>2000NM</v>
          </cell>
          <cell r="D536">
            <v>0</v>
          </cell>
          <cell r="E536">
            <v>0</v>
          </cell>
          <cell r="F536">
            <v>0</v>
          </cell>
          <cell r="G536">
            <v>0</v>
          </cell>
          <cell r="H536" t="str">
            <v>---</v>
          </cell>
          <cell r="I536">
            <v>0</v>
          </cell>
          <cell r="J536">
            <v>27320</v>
          </cell>
          <cell r="K536" t="str">
            <v>---</v>
          </cell>
        </row>
        <row r="537">
          <cell r="C537" t="str">
            <v>2000NY</v>
          </cell>
          <cell r="D537">
            <v>0</v>
          </cell>
          <cell r="E537">
            <v>0</v>
          </cell>
          <cell r="F537">
            <v>0</v>
          </cell>
          <cell r="G537">
            <v>0</v>
          </cell>
          <cell r="H537" t="str">
            <v>---</v>
          </cell>
          <cell r="I537">
            <v>0</v>
          </cell>
          <cell r="K537" t="str">
            <v>---</v>
          </cell>
        </row>
        <row r="538">
          <cell r="C538" t="str">
            <v>2000NC</v>
          </cell>
          <cell r="D538">
            <v>0</v>
          </cell>
          <cell r="E538">
            <v>0</v>
          </cell>
          <cell r="F538">
            <v>0</v>
          </cell>
          <cell r="G538">
            <v>0</v>
          </cell>
          <cell r="H538" t="str">
            <v>---</v>
          </cell>
          <cell r="I538">
            <v>0</v>
          </cell>
          <cell r="K538" t="str">
            <v>---</v>
          </cell>
        </row>
        <row r="539">
          <cell r="C539" t="str">
            <v>2000ND</v>
          </cell>
          <cell r="D539">
            <v>0</v>
          </cell>
          <cell r="E539">
            <v>0</v>
          </cell>
          <cell r="F539">
            <v>0</v>
          </cell>
          <cell r="G539">
            <v>0</v>
          </cell>
          <cell r="H539" t="str">
            <v>---</v>
          </cell>
          <cell r="I539">
            <v>0</v>
          </cell>
          <cell r="J539">
            <v>31270</v>
          </cell>
          <cell r="K539" t="str">
            <v>---</v>
          </cell>
        </row>
        <row r="540">
          <cell r="C540" t="str">
            <v>2000OH</v>
          </cell>
          <cell r="D540">
            <v>1549.652899256406</v>
          </cell>
          <cell r="E540">
            <v>0</v>
          </cell>
          <cell r="F540">
            <v>0</v>
          </cell>
          <cell r="G540">
            <v>0</v>
          </cell>
          <cell r="H540" t="str">
            <v>---</v>
          </cell>
          <cell r="I540">
            <v>0</v>
          </cell>
          <cell r="J540">
            <v>10356</v>
          </cell>
          <cell r="K540" t="str">
            <v>---</v>
          </cell>
        </row>
        <row r="541">
          <cell r="C541" t="str">
            <v>2000OK</v>
          </cell>
          <cell r="D541">
            <v>194.64239314331672</v>
          </cell>
          <cell r="E541">
            <v>0</v>
          </cell>
          <cell r="F541">
            <v>0</v>
          </cell>
          <cell r="G541">
            <v>0</v>
          </cell>
          <cell r="H541" t="str">
            <v>---</v>
          </cell>
          <cell r="I541">
            <v>0</v>
          </cell>
          <cell r="J541">
            <v>1345</v>
          </cell>
          <cell r="K541" t="str">
            <v>---</v>
          </cell>
        </row>
        <row r="542">
          <cell r="C542" t="str">
            <v>2000OR</v>
          </cell>
          <cell r="D542">
            <v>0</v>
          </cell>
          <cell r="E542">
            <v>0</v>
          </cell>
          <cell r="F542">
            <v>0</v>
          </cell>
          <cell r="G542">
            <v>0</v>
          </cell>
          <cell r="H542" t="str">
            <v>---</v>
          </cell>
          <cell r="I542">
            <v>0</v>
          </cell>
          <cell r="K542" t="str">
            <v>---</v>
          </cell>
        </row>
        <row r="543">
          <cell r="C543" t="str">
            <v>2000PA</v>
          </cell>
          <cell r="D543">
            <v>17907.100169185142</v>
          </cell>
          <cell r="E543">
            <v>2325.1729666729666</v>
          </cell>
          <cell r="F543">
            <v>0</v>
          </cell>
          <cell r="G543">
            <v>0</v>
          </cell>
          <cell r="H543" t="str">
            <v>---</v>
          </cell>
          <cell r="I543">
            <v>0</v>
          </cell>
          <cell r="J543">
            <v>17283</v>
          </cell>
          <cell r="K543" t="str">
            <v>---</v>
          </cell>
        </row>
        <row r="544">
          <cell r="C544" t="str">
            <v>2000RI</v>
          </cell>
          <cell r="D544">
            <v>0</v>
          </cell>
          <cell r="E544">
            <v>0</v>
          </cell>
          <cell r="F544">
            <v>0</v>
          </cell>
          <cell r="G544">
            <v>0</v>
          </cell>
          <cell r="H544" t="str">
            <v>---</v>
          </cell>
          <cell r="I544">
            <v>0</v>
          </cell>
          <cell r="K544" t="str">
            <v>---</v>
          </cell>
        </row>
        <row r="545">
          <cell r="C545" t="str">
            <v>2000SC</v>
          </cell>
          <cell r="D545">
            <v>0</v>
          </cell>
          <cell r="E545">
            <v>0</v>
          </cell>
          <cell r="F545">
            <v>0</v>
          </cell>
          <cell r="G545">
            <v>0</v>
          </cell>
          <cell r="H545" t="str">
            <v>---</v>
          </cell>
          <cell r="I545">
            <v>0</v>
          </cell>
          <cell r="K545" t="str">
            <v>---</v>
          </cell>
        </row>
        <row r="546">
          <cell r="C546" t="str">
            <v>2000SD</v>
          </cell>
          <cell r="D546">
            <v>0</v>
          </cell>
          <cell r="E546">
            <v>0</v>
          </cell>
          <cell r="F546">
            <v>0</v>
          </cell>
          <cell r="G546">
            <v>0</v>
          </cell>
          <cell r="H546" t="str">
            <v>---</v>
          </cell>
          <cell r="I546">
            <v>0</v>
          </cell>
          <cell r="K546" t="str">
            <v>---</v>
          </cell>
        </row>
        <row r="547">
          <cell r="C547" t="str">
            <v>2000TN</v>
          </cell>
          <cell r="D547">
            <v>0</v>
          </cell>
          <cell r="E547">
            <v>0</v>
          </cell>
          <cell r="F547">
            <v>0</v>
          </cell>
          <cell r="G547">
            <v>0</v>
          </cell>
          <cell r="H547" t="str">
            <v>---</v>
          </cell>
          <cell r="I547">
            <v>0</v>
          </cell>
          <cell r="J547">
            <v>1213</v>
          </cell>
          <cell r="K547" t="str">
            <v>---</v>
          </cell>
        </row>
        <row r="548">
          <cell r="C548" t="str">
            <v>2000TX</v>
          </cell>
          <cell r="D548">
            <v>0</v>
          </cell>
          <cell r="E548">
            <v>0</v>
          </cell>
          <cell r="F548">
            <v>0</v>
          </cell>
          <cell r="G548">
            <v>0</v>
          </cell>
          <cell r="H548" t="str">
            <v>---</v>
          </cell>
          <cell r="I548">
            <v>0</v>
          </cell>
          <cell r="J548">
            <v>48488</v>
          </cell>
          <cell r="K548" t="str">
            <v>---</v>
          </cell>
        </row>
        <row r="549">
          <cell r="C549" t="str">
            <v>2000UT</v>
          </cell>
          <cell r="D549">
            <v>1948.5409435906217</v>
          </cell>
          <cell r="E549">
            <v>0</v>
          </cell>
          <cell r="F549">
            <v>0</v>
          </cell>
          <cell r="G549">
            <v>0</v>
          </cell>
          <cell r="H549" t="str">
            <v>---</v>
          </cell>
          <cell r="I549">
            <v>0</v>
          </cell>
          <cell r="K549" t="str">
            <v>---</v>
          </cell>
        </row>
        <row r="550">
          <cell r="C550" t="str">
            <v>2000VT</v>
          </cell>
          <cell r="D550">
            <v>0</v>
          </cell>
          <cell r="E550">
            <v>0</v>
          </cell>
          <cell r="F550">
            <v>0</v>
          </cell>
          <cell r="G550">
            <v>0</v>
          </cell>
          <cell r="H550" t="str">
            <v>---</v>
          </cell>
          <cell r="I550">
            <v>0</v>
          </cell>
          <cell r="K550" t="str">
            <v>---</v>
          </cell>
        </row>
        <row r="551">
          <cell r="C551" t="str">
            <v>2000VA</v>
          </cell>
          <cell r="D551">
            <v>8291.0173233162805</v>
          </cell>
          <cell r="E551">
            <v>22567.236086086778</v>
          </cell>
          <cell r="F551">
            <v>22358.918830034891</v>
          </cell>
          <cell r="G551">
            <v>0</v>
          </cell>
          <cell r="H551" t="str">
            <v>---</v>
          </cell>
          <cell r="I551">
            <v>0</v>
          </cell>
          <cell r="J551">
            <v>9654</v>
          </cell>
          <cell r="K551" t="str">
            <v>---</v>
          </cell>
        </row>
        <row r="552">
          <cell r="C552" t="str">
            <v>2000WA</v>
          </cell>
          <cell r="D552">
            <v>0</v>
          </cell>
          <cell r="E552">
            <v>0</v>
          </cell>
          <cell r="F552">
            <v>0</v>
          </cell>
          <cell r="G552">
            <v>0</v>
          </cell>
          <cell r="H552" t="str">
            <v>---</v>
          </cell>
          <cell r="I552">
            <v>0</v>
          </cell>
          <cell r="J552">
            <v>4270</v>
          </cell>
          <cell r="K552" t="str">
            <v>---</v>
          </cell>
        </row>
        <row r="553">
          <cell r="C553" t="str">
            <v>2000WV</v>
          </cell>
          <cell r="D553">
            <v>18426.94426562664</v>
          </cell>
          <cell r="E553">
            <v>5671.4530450980392</v>
          </cell>
          <cell r="F553">
            <v>1689.0553</v>
          </cell>
          <cell r="G553">
            <v>0</v>
          </cell>
          <cell r="H553">
            <v>32281</v>
          </cell>
          <cell r="I553">
            <v>32281</v>
          </cell>
          <cell r="J553">
            <v>54498</v>
          </cell>
          <cell r="K553">
            <v>5919</v>
          </cell>
        </row>
        <row r="554">
          <cell r="C554" t="str">
            <v>2000WI</v>
          </cell>
          <cell r="D554">
            <v>0</v>
          </cell>
          <cell r="E554">
            <v>0</v>
          </cell>
          <cell r="F554">
            <v>0</v>
          </cell>
          <cell r="G554">
            <v>0</v>
          </cell>
          <cell r="H554" t="str">
            <v>---</v>
          </cell>
          <cell r="I554">
            <v>0</v>
          </cell>
          <cell r="K554" t="str">
            <v>---</v>
          </cell>
        </row>
        <row r="555">
          <cell r="C555" t="str">
            <v>2000WY</v>
          </cell>
          <cell r="D555">
            <v>0</v>
          </cell>
          <cell r="E555">
            <v>0</v>
          </cell>
          <cell r="F555">
            <v>0</v>
          </cell>
          <cell r="G555">
            <v>0</v>
          </cell>
          <cell r="H555" t="str">
            <v>---</v>
          </cell>
          <cell r="I555">
            <v>0</v>
          </cell>
          <cell r="J555">
            <v>338048</v>
          </cell>
          <cell r="K555" t="str">
            <v>---</v>
          </cell>
        </row>
        <row r="556">
          <cell r="C556" t="str">
            <v>2001AL</v>
          </cell>
          <cell r="D556">
            <v>20281.793614648897</v>
          </cell>
          <cell r="E556">
            <v>12142.0213</v>
          </cell>
          <cell r="F556">
            <v>12142.0213</v>
          </cell>
          <cell r="G556">
            <v>0</v>
          </cell>
          <cell r="I556">
            <v>0</v>
          </cell>
          <cell r="J556">
            <v>4192</v>
          </cell>
        </row>
        <row r="557">
          <cell r="C557" t="str">
            <v>2001AK</v>
          </cell>
          <cell r="D557">
            <v>0</v>
          </cell>
          <cell r="E557">
            <v>0</v>
          </cell>
          <cell r="F557">
            <v>0</v>
          </cell>
          <cell r="G557">
            <v>0</v>
          </cell>
          <cell r="I557">
            <v>0</v>
          </cell>
          <cell r="J557">
            <v>1514.241</v>
          </cell>
        </row>
        <row r="558">
          <cell r="C558" t="str">
            <v>2001AZ</v>
          </cell>
          <cell r="D558">
            <v>0</v>
          </cell>
          <cell r="E558">
            <v>0</v>
          </cell>
          <cell r="F558">
            <v>0</v>
          </cell>
          <cell r="G558">
            <v>0</v>
          </cell>
          <cell r="I558">
            <v>0</v>
          </cell>
          <cell r="J558">
            <v>13417.523999999999</v>
          </cell>
        </row>
        <row r="559">
          <cell r="C559" t="str">
            <v>2001AR</v>
          </cell>
          <cell r="D559">
            <v>0</v>
          </cell>
          <cell r="E559">
            <v>0</v>
          </cell>
          <cell r="F559">
            <v>0</v>
          </cell>
          <cell r="G559">
            <v>0</v>
          </cell>
          <cell r="I559">
            <v>0</v>
          </cell>
          <cell r="J559">
            <v>13</v>
          </cell>
        </row>
        <row r="560">
          <cell r="C560" t="str">
            <v>2001CA</v>
          </cell>
          <cell r="D560">
            <v>0</v>
          </cell>
          <cell r="E560">
            <v>0</v>
          </cell>
          <cell r="F560">
            <v>0</v>
          </cell>
          <cell r="G560">
            <v>0</v>
          </cell>
          <cell r="I560">
            <v>0</v>
          </cell>
          <cell r="J560">
            <v>0</v>
          </cell>
        </row>
        <row r="561">
          <cell r="C561" t="str">
            <v>2001CO</v>
          </cell>
          <cell r="D561">
            <v>6718.0926309956876</v>
          </cell>
          <cell r="E561">
            <v>2139.7516666666666</v>
          </cell>
          <cell r="F561">
            <v>0</v>
          </cell>
          <cell r="G561">
            <v>0</v>
          </cell>
          <cell r="I561">
            <v>0</v>
          </cell>
          <cell r="J561">
            <v>9825.0300000000007</v>
          </cell>
        </row>
        <row r="562">
          <cell r="C562" t="str">
            <v>2001CT</v>
          </cell>
          <cell r="D562">
            <v>0</v>
          </cell>
          <cell r="E562">
            <v>0</v>
          </cell>
          <cell r="F562">
            <v>0</v>
          </cell>
          <cell r="G562">
            <v>0</v>
          </cell>
          <cell r="I562">
            <v>0</v>
          </cell>
        </row>
        <row r="563">
          <cell r="C563" t="str">
            <v>2001DE</v>
          </cell>
          <cell r="D563">
            <v>0</v>
          </cell>
          <cell r="E563">
            <v>0</v>
          </cell>
          <cell r="F563">
            <v>0</v>
          </cell>
          <cell r="G563">
            <v>0</v>
          </cell>
          <cell r="I563">
            <v>0</v>
          </cell>
        </row>
        <row r="564">
          <cell r="C564" t="str">
            <v>2001FL</v>
          </cell>
          <cell r="D564">
            <v>0</v>
          </cell>
          <cell r="E564">
            <v>0</v>
          </cell>
          <cell r="F564">
            <v>0</v>
          </cell>
          <cell r="G564">
            <v>0</v>
          </cell>
          <cell r="I564">
            <v>0</v>
          </cell>
        </row>
        <row r="565">
          <cell r="C565" t="str">
            <v>2001GA</v>
          </cell>
          <cell r="D565">
            <v>0</v>
          </cell>
          <cell r="E565">
            <v>0</v>
          </cell>
          <cell r="F565">
            <v>0</v>
          </cell>
          <cell r="G565">
            <v>0</v>
          </cell>
          <cell r="I565">
            <v>0</v>
          </cell>
        </row>
        <row r="566">
          <cell r="C566" t="str">
            <v>2001HI</v>
          </cell>
          <cell r="D566">
            <v>0</v>
          </cell>
          <cell r="E566">
            <v>0</v>
          </cell>
          <cell r="F566">
            <v>0</v>
          </cell>
          <cell r="G566">
            <v>0</v>
          </cell>
          <cell r="I566">
            <v>0</v>
          </cell>
        </row>
        <row r="567">
          <cell r="C567" t="str">
            <v>2001ID</v>
          </cell>
          <cell r="D567">
            <v>0</v>
          </cell>
          <cell r="E567">
            <v>0</v>
          </cell>
          <cell r="F567">
            <v>0</v>
          </cell>
          <cell r="G567">
            <v>0</v>
          </cell>
          <cell r="I567">
            <v>0</v>
          </cell>
        </row>
        <row r="568">
          <cell r="C568" t="str">
            <v>2001IL</v>
          </cell>
          <cell r="D568">
            <v>6229.8298560141702</v>
          </cell>
          <cell r="E568">
            <v>0</v>
          </cell>
          <cell r="F568">
            <v>0</v>
          </cell>
          <cell r="G568">
            <v>0</v>
          </cell>
          <cell r="I568">
            <v>0</v>
          </cell>
          <cell r="J568">
            <v>5671.3919999999998</v>
          </cell>
        </row>
        <row r="569">
          <cell r="C569" t="str">
            <v>2001IN</v>
          </cell>
          <cell r="D569">
            <v>866.4051228838689</v>
          </cell>
          <cell r="E569">
            <v>0</v>
          </cell>
          <cell r="F569">
            <v>0</v>
          </cell>
          <cell r="G569">
            <v>0</v>
          </cell>
          <cell r="I569">
            <v>0</v>
          </cell>
          <cell r="J569">
            <v>29546.457999999999</v>
          </cell>
        </row>
        <row r="570">
          <cell r="C570" t="str">
            <v>2001IA</v>
          </cell>
          <cell r="D570">
            <v>0</v>
          </cell>
          <cell r="E570">
            <v>0</v>
          </cell>
          <cell r="F570">
            <v>0</v>
          </cell>
          <cell r="G570">
            <v>0</v>
          </cell>
          <cell r="I570">
            <v>0</v>
          </cell>
          <cell r="J570">
            <v>0</v>
          </cell>
        </row>
        <row r="571">
          <cell r="C571" t="str">
            <v>2001KS</v>
          </cell>
          <cell r="D571">
            <v>0</v>
          </cell>
          <cell r="E571">
            <v>0</v>
          </cell>
          <cell r="F571">
            <v>0</v>
          </cell>
          <cell r="G571">
            <v>0</v>
          </cell>
          <cell r="I571">
            <v>0</v>
          </cell>
          <cell r="J571">
            <v>176.06399999999999</v>
          </cell>
        </row>
        <row r="572">
          <cell r="C572" t="str">
            <v>2001KY</v>
          </cell>
          <cell r="D572">
            <v>4542.0137889262351</v>
          </cell>
          <cell r="E572">
            <v>0</v>
          </cell>
          <cell r="F572">
            <v>0</v>
          </cell>
          <cell r="G572">
            <v>0</v>
          </cell>
          <cell r="H572">
            <v>19060.519</v>
          </cell>
          <cell r="I572">
            <v>19060.519</v>
          </cell>
          <cell r="J572">
            <v>47262</v>
          </cell>
          <cell r="K572">
            <v>5676</v>
          </cell>
        </row>
        <row r="573">
          <cell r="C573" t="str">
            <v>2001LA</v>
          </cell>
          <cell r="D573">
            <v>0</v>
          </cell>
          <cell r="E573">
            <v>0</v>
          </cell>
          <cell r="F573">
            <v>0</v>
          </cell>
          <cell r="G573">
            <v>0</v>
          </cell>
          <cell r="I573">
            <v>0</v>
          </cell>
          <cell r="J573">
            <v>3715.136</v>
          </cell>
        </row>
        <row r="574">
          <cell r="C574" t="str">
            <v>2001ME</v>
          </cell>
          <cell r="D574">
            <v>0</v>
          </cell>
          <cell r="E574">
            <v>0</v>
          </cell>
          <cell r="F574">
            <v>0</v>
          </cell>
          <cell r="G574">
            <v>0</v>
          </cell>
          <cell r="I574">
            <v>0</v>
          </cell>
        </row>
        <row r="575">
          <cell r="C575" t="str">
            <v>2001MD</v>
          </cell>
          <cell r="D575">
            <v>0</v>
          </cell>
          <cell r="E575">
            <v>0</v>
          </cell>
          <cell r="F575">
            <v>0</v>
          </cell>
          <cell r="G575">
            <v>0</v>
          </cell>
          <cell r="I575">
            <v>0</v>
          </cell>
          <cell r="J575">
            <v>1399.49</v>
          </cell>
        </row>
        <row r="576">
          <cell r="C576" t="str">
            <v>2001MA</v>
          </cell>
          <cell r="D576">
            <v>0</v>
          </cell>
          <cell r="E576">
            <v>0</v>
          </cell>
          <cell r="F576">
            <v>0</v>
          </cell>
          <cell r="G576">
            <v>0</v>
          </cell>
          <cell r="I576">
            <v>0</v>
          </cell>
        </row>
        <row r="577">
          <cell r="C577" t="str">
            <v>2001MI</v>
          </cell>
          <cell r="D577">
            <v>0</v>
          </cell>
          <cell r="E577">
            <v>0</v>
          </cell>
          <cell r="F577">
            <v>0</v>
          </cell>
          <cell r="G577">
            <v>0</v>
          </cell>
          <cell r="I577">
            <v>0</v>
          </cell>
        </row>
        <row r="578">
          <cell r="C578" t="str">
            <v>2001MN</v>
          </cell>
          <cell r="D578">
            <v>0</v>
          </cell>
          <cell r="E578">
            <v>0</v>
          </cell>
          <cell r="F578">
            <v>0</v>
          </cell>
          <cell r="G578">
            <v>0</v>
          </cell>
          <cell r="I578">
            <v>0</v>
          </cell>
        </row>
        <row r="579">
          <cell r="C579" t="str">
            <v>2001MS</v>
          </cell>
          <cell r="D579">
            <v>0</v>
          </cell>
          <cell r="E579">
            <v>0</v>
          </cell>
          <cell r="F579">
            <v>0</v>
          </cell>
          <cell r="G579">
            <v>0</v>
          </cell>
          <cell r="I579">
            <v>0</v>
          </cell>
          <cell r="J579">
            <v>603.827</v>
          </cell>
        </row>
        <row r="580">
          <cell r="C580" t="str">
            <v>2001MO</v>
          </cell>
          <cell r="D580">
            <v>0</v>
          </cell>
          <cell r="E580">
            <v>0</v>
          </cell>
          <cell r="F580">
            <v>0</v>
          </cell>
          <cell r="G580">
            <v>0</v>
          </cell>
          <cell r="I580">
            <v>0</v>
          </cell>
          <cell r="J580">
            <v>366.435</v>
          </cell>
        </row>
        <row r="581">
          <cell r="C581" t="str">
            <v>2001MT</v>
          </cell>
          <cell r="D581">
            <v>0</v>
          </cell>
          <cell r="E581">
            <v>0</v>
          </cell>
          <cell r="F581">
            <v>0</v>
          </cell>
          <cell r="G581">
            <v>0</v>
          </cell>
          <cell r="I581">
            <v>0</v>
          </cell>
          <cell r="J581">
            <v>39142.82</v>
          </cell>
        </row>
        <row r="582">
          <cell r="C582" t="str">
            <v>2001NE</v>
          </cell>
          <cell r="D582">
            <v>0</v>
          </cell>
          <cell r="E582">
            <v>0</v>
          </cell>
          <cell r="F582">
            <v>0</v>
          </cell>
          <cell r="G582">
            <v>0</v>
          </cell>
          <cell r="I582">
            <v>0</v>
          </cell>
        </row>
        <row r="583">
          <cell r="C583" t="str">
            <v>2001NV</v>
          </cell>
          <cell r="D583">
            <v>0</v>
          </cell>
          <cell r="E583">
            <v>0</v>
          </cell>
          <cell r="F583">
            <v>0</v>
          </cell>
          <cell r="G583">
            <v>0</v>
          </cell>
          <cell r="I583">
            <v>0</v>
          </cell>
        </row>
        <row r="584">
          <cell r="C584" t="str">
            <v>2001NH</v>
          </cell>
          <cell r="D584">
            <v>0</v>
          </cell>
          <cell r="E584">
            <v>0</v>
          </cell>
          <cell r="F584">
            <v>0</v>
          </cell>
          <cell r="G584">
            <v>0</v>
          </cell>
          <cell r="I584">
            <v>0</v>
          </cell>
        </row>
        <row r="585">
          <cell r="C585" t="str">
            <v>2001NJ</v>
          </cell>
          <cell r="D585">
            <v>0</v>
          </cell>
          <cell r="E585">
            <v>0</v>
          </cell>
          <cell r="F585">
            <v>0</v>
          </cell>
          <cell r="G585">
            <v>0</v>
          </cell>
          <cell r="I585">
            <v>0</v>
          </cell>
        </row>
        <row r="586">
          <cell r="C586" t="str">
            <v>2001NM</v>
          </cell>
          <cell r="D586">
            <v>116.09306041227197</v>
          </cell>
          <cell r="E586">
            <v>0</v>
          </cell>
          <cell r="F586">
            <v>0</v>
          </cell>
          <cell r="G586">
            <v>0</v>
          </cell>
          <cell r="I586">
            <v>0</v>
          </cell>
          <cell r="J586">
            <v>28937.455999999998</v>
          </cell>
        </row>
        <row r="587">
          <cell r="C587" t="str">
            <v>2001NY</v>
          </cell>
          <cell r="D587">
            <v>0</v>
          </cell>
          <cell r="E587">
            <v>0</v>
          </cell>
          <cell r="F587">
            <v>0</v>
          </cell>
          <cell r="G587">
            <v>0</v>
          </cell>
          <cell r="I587">
            <v>0</v>
          </cell>
        </row>
        <row r="588">
          <cell r="C588" t="str">
            <v>2001NC</v>
          </cell>
          <cell r="D588">
            <v>0</v>
          </cell>
          <cell r="E588">
            <v>0</v>
          </cell>
          <cell r="F588">
            <v>0</v>
          </cell>
          <cell r="G588">
            <v>0</v>
          </cell>
          <cell r="I588">
            <v>0</v>
          </cell>
        </row>
        <row r="589">
          <cell r="C589" t="str">
            <v>2001ND</v>
          </cell>
          <cell r="D589">
            <v>0</v>
          </cell>
          <cell r="E589">
            <v>0</v>
          </cell>
          <cell r="F589">
            <v>0</v>
          </cell>
          <cell r="G589">
            <v>0</v>
          </cell>
          <cell r="I589">
            <v>0</v>
          </cell>
          <cell r="J589">
            <v>30475.417000000001</v>
          </cell>
        </row>
        <row r="590">
          <cell r="C590" t="str">
            <v>2001OH</v>
          </cell>
          <cell r="D590">
            <v>1309.4405410349059</v>
          </cell>
          <cell r="E590">
            <v>0</v>
          </cell>
          <cell r="F590">
            <v>0</v>
          </cell>
          <cell r="G590">
            <v>0</v>
          </cell>
          <cell r="I590">
            <v>0</v>
          </cell>
          <cell r="J590">
            <v>12505.972</v>
          </cell>
        </row>
        <row r="591">
          <cell r="C591" t="str">
            <v>2001OK</v>
          </cell>
          <cell r="D591">
            <v>350.51891873673105</v>
          </cell>
          <cell r="E591">
            <v>0</v>
          </cell>
          <cell r="F591">
            <v>0</v>
          </cell>
          <cell r="G591">
            <v>0</v>
          </cell>
          <cell r="I591">
            <v>0</v>
          </cell>
          <cell r="J591">
            <v>1299.826</v>
          </cell>
        </row>
        <row r="592">
          <cell r="C592" t="str">
            <v>2001OR</v>
          </cell>
          <cell r="D592">
            <v>0</v>
          </cell>
          <cell r="E592">
            <v>0</v>
          </cell>
          <cell r="F592">
            <v>0</v>
          </cell>
          <cell r="G592">
            <v>0</v>
          </cell>
          <cell r="I592">
            <v>0</v>
          </cell>
        </row>
        <row r="593">
          <cell r="C593" t="str">
            <v>2001PA</v>
          </cell>
          <cell r="D593">
            <v>15854.355182733163</v>
          </cell>
          <cell r="E593">
            <v>2320.35214095936</v>
          </cell>
          <cell r="F593">
            <v>0</v>
          </cell>
          <cell r="G593">
            <v>0</v>
          </cell>
          <cell r="I593">
            <v>0</v>
          </cell>
          <cell r="J593">
            <v>16011</v>
          </cell>
        </row>
        <row r="594">
          <cell r="C594" t="str">
            <v>2001RI</v>
          </cell>
          <cell r="D594">
            <v>0</v>
          </cell>
          <cell r="E594">
            <v>0</v>
          </cell>
          <cell r="F594">
            <v>0</v>
          </cell>
          <cell r="G594">
            <v>0</v>
          </cell>
          <cell r="I594">
            <v>0</v>
          </cell>
        </row>
        <row r="595">
          <cell r="C595" t="str">
            <v>2001SC</v>
          </cell>
          <cell r="D595">
            <v>0</v>
          </cell>
          <cell r="E595">
            <v>0</v>
          </cell>
          <cell r="F595">
            <v>0</v>
          </cell>
          <cell r="G595">
            <v>0</v>
          </cell>
          <cell r="I595">
            <v>0</v>
          </cell>
        </row>
        <row r="596">
          <cell r="C596" t="str">
            <v>2001SD</v>
          </cell>
          <cell r="D596">
            <v>0</v>
          </cell>
          <cell r="E596">
            <v>0</v>
          </cell>
          <cell r="F596">
            <v>0</v>
          </cell>
          <cell r="G596">
            <v>0</v>
          </cell>
          <cell r="I596">
            <v>0</v>
          </cell>
        </row>
        <row r="597">
          <cell r="C597" t="str">
            <v>2001TN</v>
          </cell>
          <cell r="D597">
            <v>0</v>
          </cell>
          <cell r="E597">
            <v>0</v>
          </cell>
          <cell r="F597">
            <v>0</v>
          </cell>
          <cell r="G597">
            <v>0</v>
          </cell>
          <cell r="I597">
            <v>0</v>
          </cell>
          <cell r="J597">
            <v>2003.194</v>
          </cell>
        </row>
        <row r="598">
          <cell r="C598" t="str">
            <v>2001TX</v>
          </cell>
          <cell r="D598">
            <v>0</v>
          </cell>
          <cell r="E598">
            <v>0</v>
          </cell>
          <cell r="F598">
            <v>0</v>
          </cell>
          <cell r="G598">
            <v>0</v>
          </cell>
          <cell r="I598">
            <v>0</v>
          </cell>
          <cell r="J598">
            <v>45042.406000000003</v>
          </cell>
        </row>
        <row r="599">
          <cell r="C599" t="str">
            <v>2001UT</v>
          </cell>
          <cell r="D599">
            <v>1208.4150845432964</v>
          </cell>
          <cell r="E599">
            <v>0</v>
          </cell>
          <cell r="F599">
            <v>0</v>
          </cell>
          <cell r="G599">
            <v>0</v>
          </cell>
          <cell r="I599">
            <v>0</v>
          </cell>
          <cell r="J599">
            <v>0</v>
          </cell>
        </row>
        <row r="600">
          <cell r="C600" t="str">
            <v>2001VT</v>
          </cell>
          <cell r="D600">
            <v>0</v>
          </cell>
          <cell r="E600">
            <v>0</v>
          </cell>
          <cell r="F600">
            <v>0</v>
          </cell>
          <cell r="G600">
            <v>0</v>
          </cell>
          <cell r="I600">
            <v>0</v>
          </cell>
        </row>
        <row r="601">
          <cell r="C601" t="str">
            <v>2001VA</v>
          </cell>
          <cell r="D601">
            <v>7850.8127697313457</v>
          </cell>
          <cell r="E601">
            <v>25839.999834974718</v>
          </cell>
          <cell r="F601">
            <v>25698.483519999998</v>
          </cell>
          <cell r="G601">
            <v>0</v>
          </cell>
          <cell r="I601">
            <v>0</v>
          </cell>
          <cell r="J601">
            <v>10271</v>
          </cell>
        </row>
        <row r="602">
          <cell r="C602" t="str">
            <v>2001WA</v>
          </cell>
          <cell r="D602">
            <v>0</v>
          </cell>
          <cell r="E602">
            <v>0</v>
          </cell>
          <cell r="F602">
            <v>0</v>
          </cell>
          <cell r="G602">
            <v>0</v>
          </cell>
          <cell r="I602">
            <v>0</v>
          </cell>
          <cell r="J602">
            <v>4624.2449999999999</v>
          </cell>
        </row>
        <row r="603">
          <cell r="C603" t="str">
            <v>2001WV</v>
          </cell>
          <cell r="D603">
            <v>20866.056243348248</v>
          </cell>
          <cell r="E603">
            <v>6852.7061239215691</v>
          </cell>
          <cell r="F603">
            <v>3005.3288200000002</v>
          </cell>
          <cell r="G603">
            <v>0</v>
          </cell>
          <cell r="H603">
            <v>32752.531999999999</v>
          </cell>
          <cell r="I603">
            <v>32752.531999999999</v>
          </cell>
          <cell r="J603">
            <v>57447</v>
          </cell>
          <cell r="K603">
            <v>5417.9660000000003</v>
          </cell>
        </row>
        <row r="604">
          <cell r="C604" t="str">
            <v>2001WI</v>
          </cell>
          <cell r="D604">
            <v>0</v>
          </cell>
          <cell r="E604">
            <v>0</v>
          </cell>
          <cell r="F604">
            <v>0</v>
          </cell>
          <cell r="G604">
            <v>0</v>
          </cell>
          <cell r="I604">
            <v>0</v>
          </cell>
        </row>
        <row r="605">
          <cell r="C605" t="str">
            <v>2001WY</v>
          </cell>
          <cell r="D605">
            <v>0</v>
          </cell>
          <cell r="E605">
            <v>0</v>
          </cell>
          <cell r="F605">
            <v>0</v>
          </cell>
          <cell r="G605">
            <v>0</v>
          </cell>
          <cell r="I605">
            <v>0</v>
          </cell>
          <cell r="J605">
            <v>368749.17200000002</v>
          </cell>
        </row>
        <row r="606">
          <cell r="C606" t="str">
            <v>2002AL</v>
          </cell>
          <cell r="D606">
            <v>17106.4236920441</v>
          </cell>
          <cell r="E606">
            <v>13060.547719999999</v>
          </cell>
          <cell r="F606">
            <v>13060.54772</v>
          </cell>
          <cell r="G606">
            <v>0</v>
          </cell>
          <cell r="I606">
            <v>0</v>
          </cell>
          <cell r="J606">
            <v>4015</v>
          </cell>
        </row>
        <row r="607">
          <cell r="C607" t="str">
            <v>2002AK</v>
          </cell>
          <cell r="D607">
            <v>0</v>
          </cell>
          <cell r="E607">
            <v>0</v>
          </cell>
          <cell r="F607">
            <v>0</v>
          </cell>
          <cell r="G607">
            <v>0</v>
          </cell>
          <cell r="I607">
            <v>0</v>
          </cell>
          <cell r="J607">
            <v>1146</v>
          </cell>
        </row>
        <row r="608">
          <cell r="C608" t="str">
            <v>2002AZ</v>
          </cell>
          <cell r="D608">
            <v>0</v>
          </cell>
          <cell r="E608">
            <v>0</v>
          </cell>
          <cell r="F608">
            <v>0</v>
          </cell>
          <cell r="G608">
            <v>0</v>
          </cell>
          <cell r="I608">
            <v>0</v>
          </cell>
          <cell r="J608">
            <v>12804</v>
          </cell>
        </row>
        <row r="609">
          <cell r="C609" t="str">
            <v>2002AR</v>
          </cell>
          <cell r="D609">
            <v>0</v>
          </cell>
          <cell r="E609">
            <v>0</v>
          </cell>
          <cell r="F609">
            <v>0</v>
          </cell>
          <cell r="G609">
            <v>0</v>
          </cell>
          <cell r="I609">
            <v>0</v>
          </cell>
          <cell r="J609">
            <v>13</v>
          </cell>
        </row>
        <row r="610">
          <cell r="C610" t="str">
            <v>2002CA</v>
          </cell>
          <cell r="D610">
            <v>0</v>
          </cell>
          <cell r="E610">
            <v>0</v>
          </cell>
          <cell r="F610">
            <v>0</v>
          </cell>
          <cell r="G610">
            <v>0</v>
          </cell>
          <cell r="I610">
            <v>0</v>
          </cell>
          <cell r="J610">
            <v>0</v>
          </cell>
        </row>
        <row r="611">
          <cell r="C611" t="str">
            <v>2002CO</v>
          </cell>
          <cell r="D611">
            <v>5574.6790240869168</v>
          </cell>
          <cell r="E611">
            <v>4138.8566666666666</v>
          </cell>
          <cell r="F611">
            <v>0</v>
          </cell>
          <cell r="G611">
            <v>0</v>
          </cell>
          <cell r="I611">
            <v>0</v>
          </cell>
          <cell r="J611">
            <v>9771</v>
          </cell>
        </row>
        <row r="612">
          <cell r="C612" t="str">
            <v>2002CT</v>
          </cell>
          <cell r="D612">
            <v>0</v>
          </cell>
          <cell r="E612">
            <v>0</v>
          </cell>
          <cell r="F612">
            <v>0</v>
          </cell>
          <cell r="G612">
            <v>0</v>
          </cell>
          <cell r="I612">
            <v>0</v>
          </cell>
        </row>
        <row r="613">
          <cell r="C613" t="str">
            <v>2002DE</v>
          </cell>
          <cell r="D613">
            <v>0</v>
          </cell>
          <cell r="E613">
            <v>0</v>
          </cell>
          <cell r="F613">
            <v>0</v>
          </cell>
          <cell r="G613">
            <v>0</v>
          </cell>
          <cell r="I613">
            <v>0</v>
          </cell>
        </row>
        <row r="614">
          <cell r="C614" t="str">
            <v>2002FL</v>
          </cell>
          <cell r="D614">
            <v>0</v>
          </cell>
          <cell r="E614">
            <v>0</v>
          </cell>
          <cell r="F614">
            <v>0</v>
          </cell>
          <cell r="G614">
            <v>0</v>
          </cell>
          <cell r="I614">
            <v>0</v>
          </cell>
        </row>
        <row r="615">
          <cell r="C615" t="str">
            <v>2002GA</v>
          </cell>
          <cell r="D615">
            <v>0</v>
          </cell>
          <cell r="E615">
            <v>0</v>
          </cell>
          <cell r="F615">
            <v>0</v>
          </cell>
          <cell r="G615">
            <v>0</v>
          </cell>
          <cell r="I615">
            <v>0</v>
          </cell>
        </row>
        <row r="616">
          <cell r="C616" t="str">
            <v>2002HI</v>
          </cell>
          <cell r="D616">
            <v>0</v>
          </cell>
          <cell r="E616">
            <v>0</v>
          </cell>
          <cell r="F616">
            <v>0</v>
          </cell>
          <cell r="G616">
            <v>0</v>
          </cell>
          <cell r="I616">
            <v>0</v>
          </cell>
        </row>
        <row r="617">
          <cell r="C617" t="str">
            <v>2002ID</v>
          </cell>
          <cell r="D617">
            <v>0</v>
          </cell>
          <cell r="E617">
            <v>0</v>
          </cell>
          <cell r="F617">
            <v>0</v>
          </cell>
          <cell r="G617">
            <v>0</v>
          </cell>
          <cell r="I617">
            <v>0</v>
          </cell>
        </row>
        <row r="618">
          <cell r="C618" t="str">
            <v>2002IL</v>
          </cell>
          <cell r="D618">
            <v>4900.1723602311713</v>
          </cell>
          <cell r="E618">
            <v>0</v>
          </cell>
          <cell r="F618">
            <v>0</v>
          </cell>
          <cell r="G618">
            <v>0</v>
          </cell>
          <cell r="I618">
            <v>0</v>
          </cell>
          <cell r="J618">
            <v>6383</v>
          </cell>
        </row>
        <row r="619">
          <cell r="C619" t="str">
            <v>2002IN</v>
          </cell>
          <cell r="D619">
            <v>1143.7592832900361</v>
          </cell>
          <cell r="E619">
            <v>0</v>
          </cell>
          <cell r="F619">
            <v>0</v>
          </cell>
          <cell r="G619">
            <v>0</v>
          </cell>
          <cell r="I619">
            <v>0</v>
          </cell>
          <cell r="J619">
            <v>27428</v>
          </cell>
        </row>
        <row r="620">
          <cell r="C620" t="str">
            <v>2002IA</v>
          </cell>
          <cell r="D620">
            <v>0</v>
          </cell>
          <cell r="E620">
            <v>0</v>
          </cell>
          <cell r="F620">
            <v>0</v>
          </cell>
          <cell r="G620">
            <v>0</v>
          </cell>
          <cell r="I620">
            <v>0</v>
          </cell>
          <cell r="J620">
            <v>0</v>
          </cell>
        </row>
        <row r="621">
          <cell r="C621" t="str">
            <v>2002KS</v>
          </cell>
          <cell r="D621">
            <v>0</v>
          </cell>
          <cell r="E621">
            <v>0</v>
          </cell>
          <cell r="F621">
            <v>0</v>
          </cell>
          <cell r="G621">
            <v>0</v>
          </cell>
          <cell r="I621">
            <v>0</v>
          </cell>
          <cell r="J621">
            <v>205</v>
          </cell>
        </row>
        <row r="622">
          <cell r="C622" t="str">
            <v>2002KY</v>
          </cell>
          <cell r="D622">
            <v>4004.7948521257954</v>
          </cell>
          <cell r="E622">
            <v>0</v>
          </cell>
          <cell r="F622">
            <v>0</v>
          </cell>
          <cell r="G622">
            <v>0</v>
          </cell>
          <cell r="H622">
            <v>19176</v>
          </cell>
          <cell r="I622">
            <v>19176</v>
          </cell>
          <cell r="J622">
            <v>42984</v>
          </cell>
          <cell r="K622">
            <v>5569</v>
          </cell>
        </row>
        <row r="623">
          <cell r="C623" t="str">
            <v>2002LA</v>
          </cell>
          <cell r="D623">
            <v>0</v>
          </cell>
          <cell r="E623">
            <v>0</v>
          </cell>
          <cell r="F623">
            <v>0</v>
          </cell>
          <cell r="G623">
            <v>0</v>
          </cell>
          <cell r="I623">
            <v>0</v>
          </cell>
          <cell r="J623">
            <v>3803</v>
          </cell>
        </row>
        <row r="624">
          <cell r="C624" t="str">
            <v>2002ME</v>
          </cell>
          <cell r="D624">
            <v>0</v>
          </cell>
          <cell r="E624">
            <v>0</v>
          </cell>
          <cell r="F624">
            <v>0</v>
          </cell>
          <cell r="G624">
            <v>0</v>
          </cell>
          <cell r="I624">
            <v>0</v>
          </cell>
        </row>
        <row r="625">
          <cell r="C625" t="str">
            <v>2002MD</v>
          </cell>
          <cell r="D625">
            <v>0</v>
          </cell>
          <cell r="E625">
            <v>0</v>
          </cell>
          <cell r="F625">
            <v>0</v>
          </cell>
          <cell r="G625">
            <v>0</v>
          </cell>
          <cell r="I625">
            <v>0</v>
          </cell>
          <cell r="J625">
            <v>1820</v>
          </cell>
        </row>
        <row r="626">
          <cell r="C626" t="str">
            <v>2002MA</v>
          </cell>
          <cell r="D626">
            <v>0</v>
          </cell>
          <cell r="E626">
            <v>0</v>
          </cell>
          <cell r="F626">
            <v>0</v>
          </cell>
          <cell r="G626">
            <v>0</v>
          </cell>
          <cell r="I626">
            <v>0</v>
          </cell>
        </row>
        <row r="627">
          <cell r="C627" t="str">
            <v>2002MI</v>
          </cell>
          <cell r="D627">
            <v>0</v>
          </cell>
          <cell r="E627">
            <v>0</v>
          </cell>
          <cell r="F627">
            <v>0</v>
          </cell>
          <cell r="G627">
            <v>0</v>
          </cell>
          <cell r="I627">
            <v>0</v>
          </cell>
        </row>
        <row r="628">
          <cell r="C628" t="str">
            <v>2002MN</v>
          </cell>
          <cell r="D628">
            <v>0</v>
          </cell>
          <cell r="E628">
            <v>0</v>
          </cell>
          <cell r="F628">
            <v>0</v>
          </cell>
          <cell r="G628">
            <v>0</v>
          </cell>
          <cell r="I628">
            <v>0</v>
          </cell>
        </row>
        <row r="629">
          <cell r="C629" t="str">
            <v>2002MS</v>
          </cell>
          <cell r="D629">
            <v>0</v>
          </cell>
          <cell r="E629">
            <v>0</v>
          </cell>
          <cell r="F629">
            <v>0</v>
          </cell>
          <cell r="G629">
            <v>0</v>
          </cell>
          <cell r="I629">
            <v>0</v>
          </cell>
          <cell r="J629">
            <v>2305</v>
          </cell>
        </row>
        <row r="630">
          <cell r="C630" t="str">
            <v>2002MO</v>
          </cell>
          <cell r="D630">
            <v>0</v>
          </cell>
          <cell r="E630">
            <v>0</v>
          </cell>
          <cell r="F630">
            <v>0</v>
          </cell>
          <cell r="G630">
            <v>0</v>
          </cell>
          <cell r="I630">
            <v>0</v>
          </cell>
          <cell r="J630">
            <v>248</v>
          </cell>
        </row>
        <row r="631">
          <cell r="C631" t="str">
            <v>2002MT</v>
          </cell>
          <cell r="D631">
            <v>0</v>
          </cell>
          <cell r="E631">
            <v>0</v>
          </cell>
          <cell r="F631">
            <v>0</v>
          </cell>
          <cell r="G631">
            <v>0</v>
          </cell>
          <cell r="I631">
            <v>0</v>
          </cell>
          <cell r="J631">
            <v>37386</v>
          </cell>
        </row>
        <row r="632">
          <cell r="C632" t="str">
            <v>2002NE</v>
          </cell>
          <cell r="D632">
            <v>0</v>
          </cell>
          <cell r="E632">
            <v>0</v>
          </cell>
          <cell r="F632">
            <v>0</v>
          </cell>
          <cell r="G632">
            <v>0</v>
          </cell>
          <cell r="I632">
            <v>0</v>
          </cell>
        </row>
        <row r="633">
          <cell r="C633" t="str">
            <v>2002NV</v>
          </cell>
          <cell r="D633">
            <v>0</v>
          </cell>
          <cell r="E633">
            <v>0</v>
          </cell>
          <cell r="F633">
            <v>0</v>
          </cell>
          <cell r="G633">
            <v>0</v>
          </cell>
          <cell r="I633">
            <v>0</v>
          </cell>
        </row>
        <row r="634">
          <cell r="C634" t="str">
            <v>2002NH</v>
          </cell>
          <cell r="D634">
            <v>0</v>
          </cell>
          <cell r="E634">
            <v>0</v>
          </cell>
          <cell r="F634">
            <v>0</v>
          </cell>
          <cell r="G634">
            <v>0</v>
          </cell>
          <cell r="I634">
            <v>0</v>
          </cell>
        </row>
        <row r="635">
          <cell r="C635" t="str">
            <v>2002NJ</v>
          </cell>
          <cell r="D635">
            <v>0</v>
          </cell>
          <cell r="E635">
            <v>0</v>
          </cell>
          <cell r="F635">
            <v>0</v>
          </cell>
          <cell r="G635">
            <v>0</v>
          </cell>
          <cell r="I635">
            <v>0</v>
          </cell>
        </row>
        <row r="636">
          <cell r="C636" t="str">
            <v>2002NM</v>
          </cell>
          <cell r="D636">
            <v>572.62622081165648</v>
          </cell>
          <cell r="E636">
            <v>186.63666666666666</v>
          </cell>
          <cell r="F636">
            <v>0</v>
          </cell>
          <cell r="G636">
            <v>0</v>
          </cell>
          <cell r="I636">
            <v>0</v>
          </cell>
          <cell r="J636">
            <v>27163</v>
          </cell>
        </row>
        <row r="637">
          <cell r="C637" t="str">
            <v>2002NY</v>
          </cell>
          <cell r="D637">
            <v>0</v>
          </cell>
          <cell r="E637">
            <v>0</v>
          </cell>
          <cell r="F637">
            <v>0</v>
          </cell>
          <cell r="G637">
            <v>0</v>
          </cell>
          <cell r="I637">
            <v>0</v>
          </cell>
        </row>
        <row r="638">
          <cell r="C638" t="str">
            <v>2002NC</v>
          </cell>
          <cell r="D638">
            <v>0</v>
          </cell>
          <cell r="E638">
            <v>0</v>
          </cell>
          <cell r="F638">
            <v>0</v>
          </cell>
          <cell r="G638">
            <v>0</v>
          </cell>
          <cell r="I638">
            <v>0</v>
          </cell>
        </row>
        <row r="639">
          <cell r="C639" t="str">
            <v>2002ND</v>
          </cell>
          <cell r="D639">
            <v>0</v>
          </cell>
          <cell r="E639">
            <v>0</v>
          </cell>
          <cell r="F639">
            <v>0</v>
          </cell>
          <cell r="G639">
            <v>0</v>
          </cell>
          <cell r="I639">
            <v>0</v>
          </cell>
          <cell r="J639">
            <v>30799</v>
          </cell>
        </row>
        <row r="640">
          <cell r="C640" t="str">
            <v>2002OH</v>
          </cell>
          <cell r="D640">
            <v>917.54579579859967</v>
          </cell>
          <cell r="E640">
            <v>0</v>
          </cell>
          <cell r="F640">
            <v>0</v>
          </cell>
          <cell r="G640">
            <v>0</v>
          </cell>
          <cell r="I640">
            <v>0</v>
          </cell>
          <cell r="J640">
            <v>10306</v>
          </cell>
        </row>
        <row r="641">
          <cell r="C641" t="str">
            <v>2002OK</v>
          </cell>
          <cell r="D641">
            <v>446.45434164976609</v>
          </cell>
          <cell r="E641">
            <v>0</v>
          </cell>
          <cell r="F641">
            <v>0</v>
          </cell>
          <cell r="G641">
            <v>0</v>
          </cell>
          <cell r="I641">
            <v>0</v>
          </cell>
          <cell r="J641">
            <v>943</v>
          </cell>
        </row>
        <row r="642">
          <cell r="C642" t="str">
            <v>2002OR</v>
          </cell>
          <cell r="D642">
            <v>0</v>
          </cell>
          <cell r="E642">
            <v>0</v>
          </cell>
          <cell r="F642">
            <v>0</v>
          </cell>
          <cell r="G642">
            <v>0</v>
          </cell>
          <cell r="I642">
            <v>0</v>
          </cell>
        </row>
        <row r="643">
          <cell r="C643" t="str">
            <v>2002PA</v>
          </cell>
          <cell r="D643">
            <v>14982.724005682832</v>
          </cell>
          <cell r="E643">
            <v>1631.1957886176378</v>
          </cell>
          <cell r="F643">
            <v>0</v>
          </cell>
          <cell r="G643">
            <v>0</v>
          </cell>
          <cell r="I643">
            <v>0</v>
          </cell>
          <cell r="J643">
            <v>12612</v>
          </cell>
        </row>
        <row r="644">
          <cell r="C644" t="str">
            <v>2002RI</v>
          </cell>
          <cell r="D644">
            <v>0</v>
          </cell>
          <cell r="E644">
            <v>0</v>
          </cell>
          <cell r="F644">
            <v>0</v>
          </cell>
          <cell r="G644">
            <v>0</v>
          </cell>
          <cell r="I644">
            <v>0</v>
          </cell>
        </row>
        <row r="645">
          <cell r="C645" t="str">
            <v>2002SC</v>
          </cell>
          <cell r="D645">
            <v>0</v>
          </cell>
          <cell r="E645">
            <v>0</v>
          </cell>
          <cell r="F645">
            <v>0</v>
          </cell>
          <cell r="G645">
            <v>0</v>
          </cell>
          <cell r="I645">
            <v>0</v>
          </cell>
        </row>
        <row r="646">
          <cell r="C646" t="str">
            <v>2002SD</v>
          </cell>
          <cell r="D646">
            <v>0</v>
          </cell>
          <cell r="E646">
            <v>0</v>
          </cell>
          <cell r="F646">
            <v>0</v>
          </cell>
          <cell r="G646">
            <v>0</v>
          </cell>
          <cell r="I646">
            <v>0</v>
          </cell>
        </row>
        <row r="647">
          <cell r="C647" t="str">
            <v>2002TN</v>
          </cell>
          <cell r="D647">
            <v>0</v>
          </cell>
          <cell r="E647">
            <v>0</v>
          </cell>
          <cell r="F647">
            <v>0</v>
          </cell>
          <cell r="G647">
            <v>0</v>
          </cell>
          <cell r="I647">
            <v>0</v>
          </cell>
          <cell r="J647">
            <v>2081</v>
          </cell>
        </row>
        <row r="648">
          <cell r="C648" t="str">
            <v>2002TX</v>
          </cell>
          <cell r="D648">
            <v>0</v>
          </cell>
          <cell r="E648">
            <v>0</v>
          </cell>
          <cell r="F648">
            <v>0</v>
          </cell>
          <cell r="G648">
            <v>0</v>
          </cell>
          <cell r="I648">
            <v>0</v>
          </cell>
          <cell r="J648">
            <v>45247</v>
          </cell>
        </row>
        <row r="649">
          <cell r="C649" t="str">
            <v>2002UT</v>
          </cell>
          <cell r="D649">
            <v>1889.9651603451218</v>
          </cell>
          <cell r="E649">
            <v>0</v>
          </cell>
          <cell r="F649">
            <v>0</v>
          </cell>
          <cell r="G649">
            <v>0</v>
          </cell>
          <cell r="I649">
            <v>0</v>
          </cell>
          <cell r="J649">
            <v>268</v>
          </cell>
        </row>
        <row r="650">
          <cell r="C650" t="str">
            <v>2002VT</v>
          </cell>
          <cell r="D650">
            <v>0</v>
          </cell>
          <cell r="E650">
            <v>0</v>
          </cell>
          <cell r="F650">
            <v>0</v>
          </cell>
          <cell r="G650">
            <v>0</v>
          </cell>
          <cell r="I650">
            <v>0</v>
          </cell>
        </row>
        <row r="651">
          <cell r="C651" t="str">
            <v>2002VA</v>
          </cell>
          <cell r="D651">
            <v>8020.8732767797028</v>
          </cell>
          <cell r="E651">
            <v>26746.574550533267</v>
          </cell>
          <cell r="F651">
            <v>26746.028540000003</v>
          </cell>
          <cell r="G651">
            <v>0</v>
          </cell>
          <cell r="I651">
            <v>0</v>
          </cell>
          <cell r="J651">
            <v>9465</v>
          </cell>
        </row>
        <row r="652">
          <cell r="C652" t="str">
            <v>2002WA</v>
          </cell>
          <cell r="D652">
            <v>0</v>
          </cell>
          <cell r="E652">
            <v>0</v>
          </cell>
          <cell r="F652">
            <v>0</v>
          </cell>
          <cell r="G652">
            <v>0</v>
          </cell>
          <cell r="I652">
            <v>0</v>
          </cell>
          <cell r="J652">
            <v>5827</v>
          </cell>
        </row>
        <row r="653">
          <cell r="C653" t="str">
            <v>2002WV</v>
          </cell>
          <cell r="D653">
            <v>20900.888763672276</v>
          </cell>
          <cell r="E653">
            <v>4827.4298126956883</v>
          </cell>
          <cell r="F653">
            <v>3476.39858</v>
          </cell>
          <cell r="G653">
            <v>0</v>
          </cell>
          <cell r="H653">
            <v>28683</v>
          </cell>
          <cell r="I653">
            <v>28683</v>
          </cell>
          <cell r="J653">
            <v>56810</v>
          </cell>
          <cell r="K653">
            <v>5350</v>
          </cell>
        </row>
        <row r="654">
          <cell r="C654" t="str">
            <v>2002WI</v>
          </cell>
          <cell r="D654">
            <v>0</v>
          </cell>
          <cell r="E654">
            <v>0</v>
          </cell>
          <cell r="F654">
            <v>0</v>
          </cell>
          <cell r="G654">
            <v>0</v>
          </cell>
          <cell r="I654">
            <v>0</v>
          </cell>
        </row>
        <row r="655">
          <cell r="C655" t="str">
            <v>2002WY</v>
          </cell>
          <cell r="D655">
            <v>0</v>
          </cell>
          <cell r="E655">
            <v>0</v>
          </cell>
          <cell r="F655">
            <v>0</v>
          </cell>
          <cell r="G655">
            <v>0</v>
          </cell>
          <cell r="I655">
            <v>0</v>
          </cell>
          <cell r="J655">
            <v>373161</v>
          </cell>
        </row>
        <row r="656">
          <cell r="C656" t="str">
            <v>2003AL</v>
          </cell>
          <cell r="D656">
            <v>17616.771771933116</v>
          </cell>
          <cell r="E656">
            <v>11087.003499999999</v>
          </cell>
          <cell r="F656">
            <v>11087.003499999999</v>
          </cell>
          <cell r="G656">
            <v>0</v>
          </cell>
          <cell r="I656">
            <v>0</v>
          </cell>
          <cell r="J656">
            <v>4742</v>
          </cell>
        </row>
        <row r="657">
          <cell r="C657" t="str">
            <v>2003AK</v>
          </cell>
          <cell r="D657">
            <v>0</v>
          </cell>
          <cell r="E657">
            <v>0</v>
          </cell>
          <cell r="F657">
            <v>0</v>
          </cell>
          <cell r="G657">
            <v>0</v>
          </cell>
          <cell r="I657">
            <v>0</v>
          </cell>
          <cell r="J657">
            <v>1081</v>
          </cell>
        </row>
        <row r="658">
          <cell r="C658" t="str">
            <v>2003AZ</v>
          </cell>
          <cell r="D658">
            <v>0</v>
          </cell>
          <cell r="E658">
            <v>0</v>
          </cell>
          <cell r="F658">
            <v>0</v>
          </cell>
          <cell r="G658">
            <v>0</v>
          </cell>
          <cell r="I658">
            <v>0</v>
          </cell>
          <cell r="J658">
            <v>12059</v>
          </cell>
        </row>
        <row r="659">
          <cell r="C659" t="str">
            <v>2003AR</v>
          </cell>
          <cell r="D659">
            <v>0</v>
          </cell>
          <cell r="E659">
            <v>0</v>
          </cell>
          <cell r="F659">
            <v>0</v>
          </cell>
          <cell r="G659">
            <v>0</v>
          </cell>
          <cell r="I659">
            <v>0</v>
          </cell>
          <cell r="J659">
            <v>7</v>
          </cell>
        </row>
        <row r="660">
          <cell r="C660" t="str">
            <v>2003CA</v>
          </cell>
          <cell r="D660">
            <v>0</v>
          </cell>
          <cell r="E660">
            <v>0</v>
          </cell>
          <cell r="F660">
            <v>0</v>
          </cell>
          <cell r="G660">
            <v>0</v>
          </cell>
          <cell r="I660">
            <v>0</v>
          </cell>
          <cell r="J660">
            <v>0</v>
          </cell>
        </row>
        <row r="661">
          <cell r="C661" t="str">
            <v>2003CO</v>
          </cell>
          <cell r="D661">
            <v>5858.3010796594835</v>
          </cell>
          <cell r="E661">
            <v>4997.4921179951098</v>
          </cell>
          <cell r="F661">
            <v>40</v>
          </cell>
          <cell r="G661">
            <v>0</v>
          </cell>
          <cell r="I661">
            <v>0</v>
          </cell>
          <cell r="J661">
            <v>8654</v>
          </cell>
        </row>
        <row r="662">
          <cell r="C662" t="str">
            <v>2003CT</v>
          </cell>
          <cell r="D662">
            <v>0</v>
          </cell>
          <cell r="E662">
            <v>0</v>
          </cell>
          <cell r="F662">
            <v>0</v>
          </cell>
          <cell r="G662">
            <v>0</v>
          </cell>
          <cell r="I662">
            <v>0</v>
          </cell>
          <cell r="J662">
            <v>0</v>
          </cell>
        </row>
        <row r="663">
          <cell r="C663" t="str">
            <v>2003DE</v>
          </cell>
          <cell r="D663">
            <v>0</v>
          </cell>
          <cell r="E663">
            <v>0</v>
          </cell>
          <cell r="F663">
            <v>0</v>
          </cell>
          <cell r="G663">
            <v>0</v>
          </cell>
          <cell r="I663">
            <v>0</v>
          </cell>
          <cell r="J663">
            <v>0</v>
          </cell>
        </row>
        <row r="664">
          <cell r="C664" t="str">
            <v>2003FL</v>
          </cell>
          <cell r="D664">
            <v>0</v>
          </cell>
          <cell r="E664">
            <v>0</v>
          </cell>
          <cell r="F664">
            <v>0</v>
          </cell>
          <cell r="G664">
            <v>0</v>
          </cell>
          <cell r="I664">
            <v>0</v>
          </cell>
          <cell r="J664">
            <v>0</v>
          </cell>
        </row>
        <row r="665">
          <cell r="C665" t="str">
            <v>2003GA</v>
          </cell>
          <cell r="D665">
            <v>0</v>
          </cell>
          <cell r="E665">
            <v>0</v>
          </cell>
          <cell r="F665">
            <v>0</v>
          </cell>
          <cell r="G665">
            <v>0</v>
          </cell>
          <cell r="I665">
            <v>0</v>
          </cell>
          <cell r="J665">
            <v>0</v>
          </cell>
        </row>
        <row r="666">
          <cell r="C666" t="str">
            <v>2003HI</v>
          </cell>
          <cell r="D666">
            <v>0</v>
          </cell>
          <cell r="E666">
            <v>0</v>
          </cell>
          <cell r="F666">
            <v>0</v>
          </cell>
          <cell r="G666">
            <v>0</v>
          </cell>
          <cell r="I666">
            <v>0</v>
          </cell>
          <cell r="J666">
            <v>0</v>
          </cell>
        </row>
        <row r="667">
          <cell r="C667" t="str">
            <v>2003ID</v>
          </cell>
          <cell r="D667">
            <v>0</v>
          </cell>
          <cell r="E667">
            <v>0</v>
          </cell>
          <cell r="F667">
            <v>0</v>
          </cell>
          <cell r="G667">
            <v>0</v>
          </cell>
          <cell r="I667">
            <v>0</v>
          </cell>
          <cell r="J667">
            <v>0</v>
          </cell>
        </row>
        <row r="668">
          <cell r="C668" t="str">
            <v>2003IL</v>
          </cell>
          <cell r="D668">
            <v>3749.8766666514398</v>
          </cell>
          <cell r="E668">
            <v>0</v>
          </cell>
          <cell r="F668">
            <v>0</v>
          </cell>
          <cell r="G668">
            <v>0</v>
          </cell>
          <cell r="I668">
            <v>0</v>
          </cell>
          <cell r="J668">
            <v>5655</v>
          </cell>
        </row>
        <row r="669">
          <cell r="C669" t="str">
            <v>2003IN</v>
          </cell>
          <cell r="D669">
            <v>1509.5177492657735</v>
          </cell>
          <cell r="E669">
            <v>0</v>
          </cell>
          <cell r="F669">
            <v>0</v>
          </cell>
          <cell r="G669">
            <v>0</v>
          </cell>
          <cell r="I669">
            <v>0</v>
          </cell>
          <cell r="J669">
            <v>26720</v>
          </cell>
        </row>
        <row r="670">
          <cell r="C670" t="str">
            <v>2003IA</v>
          </cell>
          <cell r="D670">
            <v>0</v>
          </cell>
          <cell r="E670">
            <v>0</v>
          </cell>
          <cell r="F670">
            <v>0</v>
          </cell>
          <cell r="G670">
            <v>0</v>
          </cell>
          <cell r="I670">
            <v>0</v>
          </cell>
          <cell r="J670">
            <v>0</v>
          </cell>
        </row>
        <row r="671">
          <cell r="C671" t="str">
            <v>2003KS</v>
          </cell>
          <cell r="D671">
            <v>0</v>
          </cell>
          <cell r="E671">
            <v>0</v>
          </cell>
          <cell r="F671">
            <v>0</v>
          </cell>
          <cell r="G671">
            <v>0</v>
          </cell>
          <cell r="I671">
            <v>0</v>
          </cell>
          <cell r="J671">
            <v>154</v>
          </cell>
        </row>
        <row r="672">
          <cell r="C672" t="str">
            <v>2003KY</v>
          </cell>
          <cell r="D672">
            <v>4020.7920931009453</v>
          </cell>
          <cell r="E672">
            <v>0</v>
          </cell>
          <cell r="F672">
            <v>0</v>
          </cell>
          <cell r="G672">
            <v>0</v>
          </cell>
          <cell r="H672">
            <v>17160</v>
          </cell>
          <cell r="I672">
            <v>17160</v>
          </cell>
          <cell r="J672">
            <v>39142</v>
          </cell>
          <cell r="K672">
            <v>4300</v>
          </cell>
        </row>
        <row r="673">
          <cell r="C673" t="str">
            <v>2003LA</v>
          </cell>
          <cell r="D673">
            <v>0</v>
          </cell>
          <cell r="E673">
            <v>0</v>
          </cell>
          <cell r="F673">
            <v>0</v>
          </cell>
          <cell r="G673">
            <v>0</v>
          </cell>
          <cell r="I673">
            <v>0</v>
          </cell>
          <cell r="J673">
            <v>4028</v>
          </cell>
        </row>
        <row r="674">
          <cell r="C674" t="str">
            <v>2003ME</v>
          </cell>
          <cell r="D674">
            <v>0</v>
          </cell>
          <cell r="E674">
            <v>0</v>
          </cell>
          <cell r="F674">
            <v>0</v>
          </cell>
          <cell r="G674">
            <v>0</v>
          </cell>
          <cell r="I674">
            <v>0</v>
          </cell>
          <cell r="J674">
            <v>0</v>
          </cell>
        </row>
        <row r="675">
          <cell r="C675" t="str">
            <v>2003MD</v>
          </cell>
          <cell r="D675">
            <v>0</v>
          </cell>
          <cell r="E675">
            <v>0</v>
          </cell>
          <cell r="F675">
            <v>0</v>
          </cell>
          <cell r="G675">
            <v>0</v>
          </cell>
          <cell r="I675">
            <v>0</v>
          </cell>
          <cell r="J675">
            <v>1756</v>
          </cell>
        </row>
        <row r="676">
          <cell r="C676" t="str">
            <v>2003MA</v>
          </cell>
          <cell r="D676">
            <v>0</v>
          </cell>
          <cell r="E676">
            <v>0</v>
          </cell>
          <cell r="F676">
            <v>0</v>
          </cell>
          <cell r="G676">
            <v>0</v>
          </cell>
          <cell r="I676">
            <v>0</v>
          </cell>
          <cell r="J676">
            <v>0</v>
          </cell>
        </row>
        <row r="677">
          <cell r="C677" t="str">
            <v>2003MI</v>
          </cell>
          <cell r="D677">
            <v>0</v>
          </cell>
          <cell r="E677">
            <v>0</v>
          </cell>
          <cell r="F677">
            <v>0</v>
          </cell>
          <cell r="G677">
            <v>0</v>
          </cell>
          <cell r="I677">
            <v>0</v>
          </cell>
          <cell r="J677">
            <v>0</v>
          </cell>
        </row>
        <row r="678">
          <cell r="C678" t="str">
            <v>2003MN</v>
          </cell>
          <cell r="D678">
            <v>0</v>
          </cell>
          <cell r="E678">
            <v>0</v>
          </cell>
          <cell r="F678">
            <v>0</v>
          </cell>
          <cell r="G678">
            <v>0</v>
          </cell>
          <cell r="I678">
            <v>0</v>
          </cell>
          <cell r="J678">
            <v>0</v>
          </cell>
        </row>
        <row r="679">
          <cell r="C679" t="str">
            <v>2003MS</v>
          </cell>
          <cell r="D679">
            <v>0</v>
          </cell>
          <cell r="E679">
            <v>0</v>
          </cell>
          <cell r="F679">
            <v>0</v>
          </cell>
          <cell r="G679">
            <v>0</v>
          </cell>
          <cell r="I679">
            <v>0</v>
          </cell>
          <cell r="J679">
            <v>3695</v>
          </cell>
        </row>
        <row r="680">
          <cell r="C680" t="str">
            <v>2003MO</v>
          </cell>
          <cell r="D680">
            <v>0</v>
          </cell>
          <cell r="E680">
            <v>0</v>
          </cell>
          <cell r="F680">
            <v>0</v>
          </cell>
          <cell r="G680">
            <v>0</v>
          </cell>
          <cell r="I680">
            <v>0</v>
          </cell>
          <cell r="J680">
            <v>533</v>
          </cell>
        </row>
        <row r="681">
          <cell r="C681" t="str">
            <v>2003MT</v>
          </cell>
          <cell r="D681">
            <v>0</v>
          </cell>
          <cell r="E681">
            <v>0</v>
          </cell>
          <cell r="F681">
            <v>0</v>
          </cell>
          <cell r="G681">
            <v>0</v>
          </cell>
          <cell r="I681">
            <v>0</v>
          </cell>
          <cell r="J681">
            <v>36962</v>
          </cell>
        </row>
        <row r="682">
          <cell r="C682" t="str">
            <v>2003NE</v>
          </cell>
          <cell r="D682">
            <v>0</v>
          </cell>
          <cell r="E682">
            <v>0</v>
          </cell>
          <cell r="F682">
            <v>0</v>
          </cell>
          <cell r="G682">
            <v>0</v>
          </cell>
          <cell r="I682">
            <v>0</v>
          </cell>
          <cell r="J682">
            <v>0</v>
          </cell>
        </row>
        <row r="683">
          <cell r="C683" t="str">
            <v>2003NV</v>
          </cell>
          <cell r="D683">
            <v>0</v>
          </cell>
          <cell r="E683">
            <v>0</v>
          </cell>
          <cell r="F683">
            <v>0</v>
          </cell>
          <cell r="G683">
            <v>0</v>
          </cell>
          <cell r="I683">
            <v>0</v>
          </cell>
          <cell r="J683">
            <v>0</v>
          </cell>
        </row>
        <row r="684">
          <cell r="C684" t="str">
            <v>2003NH</v>
          </cell>
          <cell r="D684">
            <v>0</v>
          </cell>
          <cell r="E684">
            <v>0</v>
          </cell>
          <cell r="F684">
            <v>0</v>
          </cell>
          <cell r="G684">
            <v>0</v>
          </cell>
          <cell r="I684">
            <v>0</v>
          </cell>
          <cell r="J684">
            <v>0</v>
          </cell>
        </row>
        <row r="685">
          <cell r="C685" t="str">
            <v>2003NJ</v>
          </cell>
          <cell r="D685">
            <v>0</v>
          </cell>
          <cell r="E685">
            <v>0</v>
          </cell>
          <cell r="F685">
            <v>0</v>
          </cell>
          <cell r="G685">
            <v>0</v>
          </cell>
          <cell r="I685">
            <v>0</v>
          </cell>
          <cell r="J685">
            <v>0</v>
          </cell>
        </row>
        <row r="686">
          <cell r="C686" t="str">
            <v>2003NM</v>
          </cell>
          <cell r="D686">
            <v>470.08767845928821</v>
          </cell>
          <cell r="E686">
            <v>853.63295642857156</v>
          </cell>
          <cell r="F686">
            <v>8</v>
          </cell>
          <cell r="G686">
            <v>0</v>
          </cell>
          <cell r="I686">
            <v>0</v>
          </cell>
          <cell r="J686">
            <v>20499</v>
          </cell>
        </row>
        <row r="687">
          <cell r="C687" t="str">
            <v>2003NY</v>
          </cell>
          <cell r="D687">
            <v>0</v>
          </cell>
          <cell r="E687">
            <v>0</v>
          </cell>
          <cell r="F687">
            <v>0</v>
          </cell>
          <cell r="G687">
            <v>0</v>
          </cell>
          <cell r="I687">
            <v>0</v>
          </cell>
          <cell r="J687">
            <v>0</v>
          </cell>
        </row>
        <row r="688">
          <cell r="C688" t="str">
            <v>2003NC</v>
          </cell>
          <cell r="D688">
            <v>0</v>
          </cell>
          <cell r="E688">
            <v>0</v>
          </cell>
          <cell r="F688">
            <v>0</v>
          </cell>
          <cell r="G688">
            <v>0</v>
          </cell>
          <cell r="I688">
            <v>0</v>
          </cell>
          <cell r="J688">
            <v>0</v>
          </cell>
        </row>
        <row r="689">
          <cell r="C689" t="str">
            <v>2003ND</v>
          </cell>
          <cell r="D689">
            <v>0</v>
          </cell>
          <cell r="E689">
            <v>0</v>
          </cell>
          <cell r="F689">
            <v>0</v>
          </cell>
          <cell r="G689">
            <v>0</v>
          </cell>
          <cell r="I689">
            <v>0</v>
          </cell>
          <cell r="J689">
            <v>30775</v>
          </cell>
        </row>
        <row r="690">
          <cell r="C690" t="str">
            <v>2003OH</v>
          </cell>
          <cell r="D690">
            <v>801.85159530610429</v>
          </cell>
          <cell r="E690">
            <v>0</v>
          </cell>
          <cell r="F690">
            <v>0</v>
          </cell>
          <cell r="G690">
            <v>0</v>
          </cell>
          <cell r="I690">
            <v>0</v>
          </cell>
          <cell r="J690">
            <v>9182</v>
          </cell>
        </row>
        <row r="691">
          <cell r="C691" t="str">
            <v>2003OK</v>
          </cell>
          <cell r="D691">
            <v>374.25565676083255</v>
          </cell>
          <cell r="E691">
            <v>0</v>
          </cell>
          <cell r="F691">
            <v>0</v>
          </cell>
          <cell r="G691">
            <v>0</v>
          </cell>
          <cell r="I691">
            <v>0</v>
          </cell>
          <cell r="J691">
            <v>1172</v>
          </cell>
        </row>
        <row r="692">
          <cell r="C692" t="str">
            <v>2003OR</v>
          </cell>
          <cell r="D692">
            <v>0</v>
          </cell>
          <cell r="E692">
            <v>0</v>
          </cell>
          <cell r="F692">
            <v>0</v>
          </cell>
          <cell r="G692">
            <v>0</v>
          </cell>
          <cell r="I692">
            <v>0</v>
          </cell>
          <cell r="J692">
            <v>0</v>
          </cell>
        </row>
        <row r="693">
          <cell r="C693" t="str">
            <v>2003PA</v>
          </cell>
          <cell r="D693">
            <v>14485.9442555683</v>
          </cell>
          <cell r="E693">
            <v>2353.52</v>
          </cell>
          <cell r="F693">
            <v>0</v>
          </cell>
          <cell r="G693">
            <v>0</v>
          </cell>
          <cell r="I693">
            <v>0</v>
          </cell>
          <cell r="J693">
            <v>11512</v>
          </cell>
        </row>
        <row r="694">
          <cell r="C694" t="str">
            <v>2003RI</v>
          </cell>
          <cell r="D694">
            <v>0</v>
          </cell>
          <cell r="E694">
            <v>0</v>
          </cell>
          <cell r="F694">
            <v>0</v>
          </cell>
          <cell r="G694">
            <v>0</v>
          </cell>
          <cell r="I694">
            <v>0</v>
          </cell>
          <cell r="J694">
            <v>0</v>
          </cell>
        </row>
        <row r="695">
          <cell r="C695" t="str">
            <v>2003SC</v>
          </cell>
          <cell r="D695">
            <v>0</v>
          </cell>
          <cell r="E695">
            <v>0</v>
          </cell>
          <cell r="F695">
            <v>0</v>
          </cell>
          <cell r="G695">
            <v>0</v>
          </cell>
          <cell r="I695">
            <v>0</v>
          </cell>
          <cell r="J695">
            <v>0</v>
          </cell>
        </row>
        <row r="696">
          <cell r="C696" t="str">
            <v>2003SD</v>
          </cell>
          <cell r="D696">
            <v>0</v>
          </cell>
          <cell r="E696">
            <v>0</v>
          </cell>
          <cell r="F696">
            <v>0</v>
          </cell>
          <cell r="G696">
            <v>0</v>
          </cell>
          <cell r="I696">
            <v>0</v>
          </cell>
          <cell r="J696">
            <v>0</v>
          </cell>
        </row>
        <row r="697">
          <cell r="C697" t="str">
            <v>2003TN</v>
          </cell>
          <cell r="D697">
            <v>0</v>
          </cell>
          <cell r="E697">
            <v>0</v>
          </cell>
          <cell r="F697">
            <v>0</v>
          </cell>
          <cell r="G697">
            <v>0</v>
          </cell>
          <cell r="I697">
            <v>0</v>
          </cell>
          <cell r="J697">
            <v>1907</v>
          </cell>
        </row>
        <row r="698">
          <cell r="C698" t="str">
            <v>2003TX</v>
          </cell>
          <cell r="D698">
            <v>0</v>
          </cell>
          <cell r="E698">
            <v>0</v>
          </cell>
          <cell r="F698">
            <v>0</v>
          </cell>
          <cell r="G698">
            <v>0</v>
          </cell>
          <cell r="I698">
            <v>0</v>
          </cell>
          <cell r="J698">
            <v>47517</v>
          </cell>
        </row>
        <row r="699">
          <cell r="C699" t="str">
            <v>2003UT</v>
          </cell>
          <cell r="D699">
            <v>2663.0803635929387</v>
          </cell>
          <cell r="E699">
            <v>0</v>
          </cell>
          <cell r="F699">
            <v>0</v>
          </cell>
          <cell r="G699">
            <v>0</v>
          </cell>
          <cell r="I699">
            <v>0</v>
          </cell>
          <cell r="J699">
            <v>25</v>
          </cell>
        </row>
        <row r="700">
          <cell r="C700" t="str">
            <v>2003VT</v>
          </cell>
          <cell r="D700">
            <v>0</v>
          </cell>
          <cell r="E700">
            <v>0</v>
          </cell>
          <cell r="F700">
            <v>0</v>
          </cell>
          <cell r="G700">
            <v>0</v>
          </cell>
          <cell r="I700">
            <v>0</v>
          </cell>
          <cell r="J700">
            <v>0</v>
          </cell>
        </row>
        <row r="701">
          <cell r="C701" t="str">
            <v>2003VA</v>
          </cell>
          <cell r="D701">
            <v>7518.6997744545006</v>
          </cell>
          <cell r="E701">
            <v>26913.726415249155</v>
          </cell>
          <cell r="F701">
            <v>25879.923170000002</v>
          </cell>
          <cell r="G701">
            <v>0</v>
          </cell>
          <cell r="I701">
            <v>0</v>
          </cell>
          <cell r="J701">
            <v>10371</v>
          </cell>
        </row>
        <row r="702">
          <cell r="C702" t="str">
            <v>2003WA</v>
          </cell>
          <cell r="D702">
            <v>0</v>
          </cell>
          <cell r="E702">
            <v>0</v>
          </cell>
          <cell r="F702">
            <v>0</v>
          </cell>
          <cell r="G702">
            <v>0</v>
          </cell>
          <cell r="I702">
            <v>0</v>
          </cell>
          <cell r="J702">
            <v>6232</v>
          </cell>
        </row>
        <row r="703">
          <cell r="C703" t="str">
            <v>2003WV</v>
          </cell>
          <cell r="D703">
            <v>18316.402691961201</v>
          </cell>
          <cell r="E703">
            <v>3545.7458192322292</v>
          </cell>
          <cell r="F703">
            <v>1222.4222199999999</v>
          </cell>
          <cell r="G703">
            <v>0</v>
          </cell>
          <cell r="H703">
            <v>30029</v>
          </cell>
          <cell r="I703">
            <v>30029</v>
          </cell>
          <cell r="J703">
            <v>47999</v>
          </cell>
          <cell r="K703">
            <v>4920</v>
          </cell>
        </row>
        <row r="704">
          <cell r="C704" t="str">
            <v>2003WI</v>
          </cell>
          <cell r="D704">
            <v>0</v>
          </cell>
          <cell r="E704">
            <v>0</v>
          </cell>
          <cell r="F704">
            <v>0</v>
          </cell>
          <cell r="G704">
            <v>0</v>
          </cell>
          <cell r="I704">
            <v>0</v>
          </cell>
          <cell r="J704">
            <v>0</v>
          </cell>
        </row>
        <row r="705">
          <cell r="C705" t="str">
            <v>2003WY</v>
          </cell>
          <cell r="D705">
            <v>0</v>
          </cell>
          <cell r="E705">
            <v>0</v>
          </cell>
          <cell r="F705">
            <v>0</v>
          </cell>
          <cell r="G705">
            <v>0</v>
          </cell>
          <cell r="I705">
            <v>0</v>
          </cell>
          <cell r="J705">
            <v>376270</v>
          </cell>
        </row>
        <row r="706">
          <cell r="C706" t="str">
            <v>2004AL</v>
          </cell>
          <cell r="D706">
            <v>20064.261922425398</v>
          </cell>
          <cell r="E706">
            <v>9552.0170100000014</v>
          </cell>
          <cell r="F706">
            <v>13206.097009999999</v>
          </cell>
          <cell r="G706">
            <v>0</v>
          </cell>
          <cell r="I706">
            <v>0</v>
          </cell>
          <cell r="J706">
            <v>6156</v>
          </cell>
        </row>
        <row r="707">
          <cell r="C707" t="str">
            <v>2004AK</v>
          </cell>
          <cell r="D707">
            <v>0</v>
          </cell>
          <cell r="E707">
            <v>0</v>
          </cell>
          <cell r="F707">
            <v>0</v>
          </cell>
          <cell r="G707">
            <v>0</v>
          </cell>
          <cell r="I707">
            <v>0</v>
          </cell>
          <cell r="J707">
            <v>1512</v>
          </cell>
        </row>
        <row r="708">
          <cell r="C708" t="str">
            <v>2004AZ</v>
          </cell>
          <cell r="D708">
            <v>0</v>
          </cell>
          <cell r="E708">
            <v>0</v>
          </cell>
          <cell r="F708">
            <v>0</v>
          </cell>
          <cell r="G708">
            <v>0</v>
          </cell>
          <cell r="I708">
            <v>0</v>
          </cell>
          <cell r="J708">
            <v>12731</v>
          </cell>
        </row>
        <row r="709">
          <cell r="C709" t="str">
            <v>2004AR</v>
          </cell>
          <cell r="D709">
            <v>0</v>
          </cell>
          <cell r="E709">
            <v>0</v>
          </cell>
          <cell r="F709">
            <v>0</v>
          </cell>
          <cell r="G709">
            <v>0</v>
          </cell>
          <cell r="I709">
            <v>0</v>
          </cell>
          <cell r="J709">
            <v>6</v>
          </cell>
        </row>
        <row r="710">
          <cell r="C710" t="str">
            <v>2004CA</v>
          </cell>
          <cell r="D710">
            <v>0</v>
          </cell>
          <cell r="E710">
            <v>0</v>
          </cell>
          <cell r="F710">
            <v>0</v>
          </cell>
          <cell r="G710">
            <v>0</v>
          </cell>
          <cell r="I710">
            <v>0</v>
          </cell>
          <cell r="J710">
            <v>0</v>
          </cell>
        </row>
        <row r="711">
          <cell r="C711" t="str">
            <v>2004CO</v>
          </cell>
          <cell r="D711">
            <v>5742.6656773899167</v>
          </cell>
          <cell r="E711">
            <v>4329.6470666666664</v>
          </cell>
          <cell r="F711">
            <v>170</v>
          </cell>
          <cell r="G711">
            <v>0</v>
          </cell>
          <cell r="I711">
            <v>0</v>
          </cell>
          <cell r="J711">
            <v>10262</v>
          </cell>
        </row>
        <row r="712">
          <cell r="C712" t="str">
            <v>2004CT</v>
          </cell>
          <cell r="D712">
            <v>0</v>
          </cell>
          <cell r="E712">
            <v>0</v>
          </cell>
          <cell r="F712">
            <v>0</v>
          </cell>
          <cell r="G712">
            <v>0</v>
          </cell>
          <cell r="I712">
            <v>0</v>
          </cell>
          <cell r="J712">
            <v>0</v>
          </cell>
        </row>
        <row r="713">
          <cell r="C713" t="str">
            <v>2004DE</v>
          </cell>
          <cell r="D713">
            <v>0</v>
          </cell>
          <cell r="E713">
            <v>0</v>
          </cell>
          <cell r="F713">
            <v>0</v>
          </cell>
          <cell r="G713">
            <v>0</v>
          </cell>
          <cell r="I713">
            <v>0</v>
          </cell>
          <cell r="J713">
            <v>0</v>
          </cell>
        </row>
        <row r="714">
          <cell r="C714" t="str">
            <v>2004FL</v>
          </cell>
          <cell r="D714">
            <v>0</v>
          </cell>
          <cell r="E714">
            <v>0</v>
          </cell>
          <cell r="F714">
            <v>0</v>
          </cell>
          <cell r="G714">
            <v>0</v>
          </cell>
          <cell r="I714">
            <v>0</v>
          </cell>
          <cell r="J714">
            <v>0</v>
          </cell>
        </row>
        <row r="715">
          <cell r="C715" t="str">
            <v>2004GA</v>
          </cell>
          <cell r="D715">
            <v>0</v>
          </cell>
          <cell r="E715">
            <v>0</v>
          </cell>
          <cell r="F715">
            <v>0</v>
          </cell>
          <cell r="G715">
            <v>0</v>
          </cell>
          <cell r="I715">
            <v>0</v>
          </cell>
          <cell r="J715">
            <v>0</v>
          </cell>
        </row>
        <row r="716">
          <cell r="C716" t="str">
            <v>2004HI</v>
          </cell>
          <cell r="D716">
            <v>0</v>
          </cell>
          <cell r="E716">
            <v>0</v>
          </cell>
          <cell r="F716">
            <v>0</v>
          </cell>
          <cell r="G716">
            <v>0</v>
          </cell>
          <cell r="I716">
            <v>0</v>
          </cell>
          <cell r="J716">
            <v>0</v>
          </cell>
        </row>
        <row r="717">
          <cell r="C717" t="str">
            <v>2004ID</v>
          </cell>
          <cell r="D717">
            <v>0</v>
          </cell>
          <cell r="E717">
            <v>0</v>
          </cell>
          <cell r="F717">
            <v>0</v>
          </cell>
          <cell r="G717">
            <v>0</v>
          </cell>
          <cell r="I717">
            <v>0</v>
          </cell>
          <cell r="J717">
            <v>0</v>
          </cell>
        </row>
        <row r="718">
          <cell r="C718" t="str">
            <v>2004IL</v>
          </cell>
          <cell r="D718">
            <v>4840.9809048509915</v>
          </cell>
          <cell r="E718">
            <v>0</v>
          </cell>
          <cell r="F718">
            <v>0</v>
          </cell>
          <cell r="G718">
            <v>0</v>
          </cell>
          <cell r="I718">
            <v>0</v>
          </cell>
          <cell r="J718">
            <v>4946</v>
          </cell>
        </row>
        <row r="719">
          <cell r="C719" t="str">
            <v>2004IN</v>
          </cell>
          <cell r="D719">
            <v>1325.0655225525795</v>
          </cell>
          <cell r="E719">
            <v>0</v>
          </cell>
          <cell r="F719">
            <v>0</v>
          </cell>
          <cell r="G719">
            <v>0</v>
          </cell>
          <cell r="I719">
            <v>0</v>
          </cell>
          <cell r="J719">
            <v>25018</v>
          </cell>
        </row>
        <row r="720">
          <cell r="C720" t="str">
            <v>2004IA</v>
          </cell>
          <cell r="D720">
            <v>0</v>
          </cell>
          <cell r="E720">
            <v>0</v>
          </cell>
          <cell r="F720">
            <v>0</v>
          </cell>
          <cell r="G720">
            <v>0</v>
          </cell>
          <cell r="I720">
            <v>0</v>
          </cell>
          <cell r="J720">
            <v>0</v>
          </cell>
        </row>
        <row r="721">
          <cell r="C721" t="str">
            <v>2004KS</v>
          </cell>
          <cell r="D721">
            <v>0</v>
          </cell>
          <cell r="E721">
            <v>0</v>
          </cell>
          <cell r="F721">
            <v>0</v>
          </cell>
          <cell r="G721">
            <v>0</v>
          </cell>
          <cell r="I721">
            <v>0</v>
          </cell>
          <cell r="J721">
            <v>71</v>
          </cell>
        </row>
        <row r="722">
          <cell r="C722" t="str">
            <v>2004KY</v>
          </cell>
          <cell r="D722">
            <v>3928.2203746971873</v>
          </cell>
          <cell r="E722">
            <v>0</v>
          </cell>
          <cell r="F722">
            <v>0</v>
          </cell>
          <cell r="G722">
            <v>0</v>
          </cell>
          <cell r="H722">
            <v>19321</v>
          </cell>
          <cell r="I722">
            <v>19321</v>
          </cell>
          <cell r="J722">
            <v>38427</v>
          </cell>
          <cell r="K722">
            <v>4052</v>
          </cell>
        </row>
        <row r="723">
          <cell r="C723" t="str">
            <v>2004LA</v>
          </cell>
          <cell r="D723">
            <v>0</v>
          </cell>
          <cell r="E723">
            <v>0</v>
          </cell>
          <cell r="F723">
            <v>0</v>
          </cell>
          <cell r="G723">
            <v>0</v>
          </cell>
          <cell r="I723">
            <v>0</v>
          </cell>
          <cell r="J723">
            <v>3805</v>
          </cell>
        </row>
        <row r="724">
          <cell r="C724" t="str">
            <v>2004ME</v>
          </cell>
          <cell r="D724">
            <v>0</v>
          </cell>
          <cell r="E724">
            <v>0</v>
          </cell>
          <cell r="F724">
            <v>0</v>
          </cell>
          <cell r="G724">
            <v>0</v>
          </cell>
          <cell r="I724">
            <v>0</v>
          </cell>
          <cell r="J724">
            <v>0</v>
          </cell>
        </row>
        <row r="725">
          <cell r="C725" t="str">
            <v>2004MD</v>
          </cell>
          <cell r="D725">
            <v>0</v>
          </cell>
          <cell r="E725">
            <v>0</v>
          </cell>
          <cell r="F725">
            <v>0</v>
          </cell>
          <cell r="G725">
            <v>0</v>
          </cell>
          <cell r="I725">
            <v>0</v>
          </cell>
          <cell r="J725">
            <v>1886</v>
          </cell>
        </row>
        <row r="726">
          <cell r="C726" t="str">
            <v>2004MA</v>
          </cell>
          <cell r="D726">
            <v>0</v>
          </cell>
          <cell r="E726">
            <v>0</v>
          </cell>
          <cell r="F726">
            <v>0</v>
          </cell>
          <cell r="G726">
            <v>0</v>
          </cell>
          <cell r="I726">
            <v>0</v>
          </cell>
          <cell r="J726">
            <v>0</v>
          </cell>
        </row>
        <row r="727">
          <cell r="C727" t="str">
            <v>2004MI</v>
          </cell>
          <cell r="D727">
            <v>0</v>
          </cell>
          <cell r="E727">
            <v>0</v>
          </cell>
          <cell r="F727">
            <v>0</v>
          </cell>
          <cell r="G727">
            <v>0</v>
          </cell>
          <cell r="I727">
            <v>0</v>
          </cell>
          <cell r="J727">
            <v>0</v>
          </cell>
        </row>
        <row r="728">
          <cell r="C728" t="str">
            <v>2004MN</v>
          </cell>
          <cell r="D728">
            <v>0</v>
          </cell>
          <cell r="E728">
            <v>0</v>
          </cell>
          <cell r="F728">
            <v>0</v>
          </cell>
          <cell r="G728">
            <v>0</v>
          </cell>
          <cell r="I728">
            <v>0</v>
          </cell>
          <cell r="J728">
            <v>0</v>
          </cell>
        </row>
        <row r="729">
          <cell r="C729" t="str">
            <v>2004MS</v>
          </cell>
          <cell r="D729">
            <v>0</v>
          </cell>
          <cell r="E729">
            <v>0</v>
          </cell>
          <cell r="F729">
            <v>0</v>
          </cell>
          <cell r="G729">
            <v>0</v>
          </cell>
          <cell r="I729">
            <v>0</v>
          </cell>
          <cell r="J729">
            <v>3586</v>
          </cell>
        </row>
        <row r="730">
          <cell r="C730" t="str">
            <v>2004MO</v>
          </cell>
          <cell r="D730">
            <v>0</v>
          </cell>
          <cell r="E730">
            <v>0</v>
          </cell>
          <cell r="F730">
            <v>0</v>
          </cell>
          <cell r="G730">
            <v>0</v>
          </cell>
          <cell r="I730">
            <v>0</v>
          </cell>
          <cell r="J730">
            <v>578</v>
          </cell>
        </row>
        <row r="731">
          <cell r="C731" t="str">
            <v>2004MT</v>
          </cell>
          <cell r="D731">
            <v>0</v>
          </cell>
          <cell r="E731">
            <v>0</v>
          </cell>
          <cell r="F731">
            <v>0</v>
          </cell>
          <cell r="G731">
            <v>0</v>
          </cell>
          <cell r="I731">
            <v>0</v>
          </cell>
          <cell r="J731">
            <v>39831</v>
          </cell>
        </row>
        <row r="732">
          <cell r="C732" t="str">
            <v>2004NE</v>
          </cell>
          <cell r="D732">
            <v>0</v>
          </cell>
          <cell r="E732">
            <v>0</v>
          </cell>
          <cell r="F732">
            <v>0</v>
          </cell>
          <cell r="G732">
            <v>0</v>
          </cell>
          <cell r="I732">
            <v>0</v>
          </cell>
          <cell r="J732">
            <v>0</v>
          </cell>
        </row>
        <row r="733">
          <cell r="C733" t="str">
            <v>2004NV</v>
          </cell>
          <cell r="D733">
            <v>0</v>
          </cell>
          <cell r="E733">
            <v>0</v>
          </cell>
          <cell r="F733">
            <v>0</v>
          </cell>
          <cell r="G733">
            <v>0</v>
          </cell>
          <cell r="I733">
            <v>0</v>
          </cell>
          <cell r="J733">
            <v>0</v>
          </cell>
        </row>
        <row r="734">
          <cell r="C734" t="str">
            <v>2004NH</v>
          </cell>
          <cell r="D734">
            <v>0</v>
          </cell>
          <cell r="E734">
            <v>0</v>
          </cell>
          <cell r="F734">
            <v>0</v>
          </cell>
          <cell r="G734">
            <v>0</v>
          </cell>
          <cell r="I734">
            <v>0</v>
          </cell>
          <cell r="J734">
            <v>0</v>
          </cell>
        </row>
        <row r="735">
          <cell r="C735" t="str">
            <v>2004NJ</v>
          </cell>
          <cell r="D735">
            <v>0</v>
          </cell>
          <cell r="E735">
            <v>0</v>
          </cell>
          <cell r="F735">
            <v>0</v>
          </cell>
          <cell r="G735">
            <v>0</v>
          </cell>
          <cell r="I735">
            <v>0</v>
          </cell>
          <cell r="J735">
            <v>0</v>
          </cell>
        </row>
        <row r="736">
          <cell r="C736" t="str">
            <v>2004NM</v>
          </cell>
          <cell r="D736">
            <v>619.11253511354971</v>
          </cell>
          <cell r="E736">
            <v>908.04599999999971</v>
          </cell>
          <cell r="F736">
            <v>69</v>
          </cell>
          <cell r="G736">
            <v>0</v>
          </cell>
          <cell r="I736">
            <v>0</v>
          </cell>
          <cell r="J736">
            <v>19565</v>
          </cell>
        </row>
        <row r="737">
          <cell r="C737" t="str">
            <v>2004NY</v>
          </cell>
          <cell r="D737">
            <v>0</v>
          </cell>
          <cell r="E737">
            <v>0</v>
          </cell>
          <cell r="F737">
            <v>0</v>
          </cell>
          <cell r="G737">
            <v>0</v>
          </cell>
          <cell r="I737">
            <v>0</v>
          </cell>
          <cell r="J737">
            <v>0</v>
          </cell>
        </row>
        <row r="738">
          <cell r="C738" t="str">
            <v>2004NC</v>
          </cell>
          <cell r="D738">
            <v>0</v>
          </cell>
          <cell r="E738">
            <v>0</v>
          </cell>
          <cell r="F738">
            <v>0</v>
          </cell>
          <cell r="G738">
            <v>0</v>
          </cell>
          <cell r="I738">
            <v>0</v>
          </cell>
          <cell r="J738">
            <v>0</v>
          </cell>
        </row>
        <row r="739">
          <cell r="C739" t="str">
            <v>2004ND</v>
          </cell>
          <cell r="D739">
            <v>0</v>
          </cell>
          <cell r="E739">
            <v>0</v>
          </cell>
          <cell r="F739">
            <v>0</v>
          </cell>
          <cell r="G739">
            <v>0</v>
          </cell>
          <cell r="I739">
            <v>0</v>
          </cell>
          <cell r="J739">
            <v>29943</v>
          </cell>
        </row>
        <row r="740">
          <cell r="C740" t="str">
            <v>2004OH</v>
          </cell>
          <cell r="D740">
            <v>1302.9810971767031</v>
          </cell>
          <cell r="E740">
            <v>0</v>
          </cell>
          <cell r="F740">
            <v>0</v>
          </cell>
          <cell r="G740">
            <v>0</v>
          </cell>
          <cell r="I740">
            <v>0</v>
          </cell>
          <cell r="J740">
            <v>8952</v>
          </cell>
        </row>
        <row r="741">
          <cell r="C741" t="str">
            <v>2004OK</v>
          </cell>
          <cell r="D741">
            <v>565.21156470463131</v>
          </cell>
          <cell r="E741">
            <v>0</v>
          </cell>
          <cell r="F741">
            <v>0</v>
          </cell>
          <cell r="G741">
            <v>0</v>
          </cell>
          <cell r="I741">
            <v>0</v>
          </cell>
          <cell r="J741">
            <v>1383</v>
          </cell>
        </row>
        <row r="742">
          <cell r="C742" t="str">
            <v>2004OR</v>
          </cell>
          <cell r="D742">
            <v>0</v>
          </cell>
          <cell r="E742">
            <v>0</v>
          </cell>
          <cell r="F742">
            <v>0</v>
          </cell>
          <cell r="G742">
            <v>0</v>
          </cell>
          <cell r="I742">
            <v>0</v>
          </cell>
          <cell r="J742">
            <v>0</v>
          </cell>
        </row>
        <row r="743">
          <cell r="C743" t="str">
            <v>2004PA</v>
          </cell>
          <cell r="D743">
            <v>14262.907963559392</v>
          </cell>
          <cell r="E743">
            <v>2096.4256800000003</v>
          </cell>
          <cell r="F743">
            <v>0</v>
          </cell>
          <cell r="G743">
            <v>0</v>
          </cell>
          <cell r="I743">
            <v>0</v>
          </cell>
          <cell r="J743">
            <v>12772</v>
          </cell>
        </row>
        <row r="744">
          <cell r="C744" t="str">
            <v>2004RI</v>
          </cell>
          <cell r="D744">
            <v>0</v>
          </cell>
          <cell r="E744">
            <v>0</v>
          </cell>
          <cell r="F744">
            <v>0</v>
          </cell>
          <cell r="G744">
            <v>0</v>
          </cell>
          <cell r="I744">
            <v>0</v>
          </cell>
          <cell r="J744">
            <v>0</v>
          </cell>
        </row>
        <row r="745">
          <cell r="C745" t="str">
            <v>2004SC</v>
          </cell>
          <cell r="D745">
            <v>0</v>
          </cell>
          <cell r="E745">
            <v>0</v>
          </cell>
          <cell r="F745">
            <v>0</v>
          </cell>
          <cell r="G745">
            <v>0</v>
          </cell>
          <cell r="I745">
            <v>0</v>
          </cell>
          <cell r="J745">
            <v>0</v>
          </cell>
        </row>
        <row r="746">
          <cell r="C746" t="str">
            <v>2004SD</v>
          </cell>
          <cell r="D746">
            <v>0</v>
          </cell>
          <cell r="E746">
            <v>0</v>
          </cell>
          <cell r="F746">
            <v>0</v>
          </cell>
          <cell r="G746">
            <v>0</v>
          </cell>
          <cell r="I746">
            <v>0</v>
          </cell>
          <cell r="J746">
            <v>0</v>
          </cell>
        </row>
        <row r="747">
          <cell r="C747" t="str">
            <v>2004TN</v>
          </cell>
          <cell r="D747">
            <v>0</v>
          </cell>
          <cell r="E747">
            <v>0</v>
          </cell>
          <cell r="F747">
            <v>0</v>
          </cell>
          <cell r="G747">
            <v>0</v>
          </cell>
          <cell r="I747">
            <v>0</v>
          </cell>
          <cell r="J747">
            <v>2061</v>
          </cell>
        </row>
        <row r="748">
          <cell r="C748" t="str">
            <v>2004TX</v>
          </cell>
          <cell r="D748">
            <v>0</v>
          </cell>
          <cell r="E748">
            <v>0</v>
          </cell>
          <cell r="F748">
            <v>0</v>
          </cell>
          <cell r="G748">
            <v>0</v>
          </cell>
          <cell r="I748">
            <v>0</v>
          </cell>
          <cell r="J748">
            <v>45863</v>
          </cell>
        </row>
        <row r="749">
          <cell r="C749" t="str">
            <v>2004UT</v>
          </cell>
          <cell r="D749">
            <v>4314.3235064805176</v>
          </cell>
          <cell r="E749">
            <v>235.82600000000002</v>
          </cell>
          <cell r="F749">
            <v>0</v>
          </cell>
          <cell r="G749">
            <v>0</v>
          </cell>
          <cell r="I749">
            <v>0</v>
          </cell>
          <cell r="J749">
            <v>0</v>
          </cell>
        </row>
        <row r="750">
          <cell r="C750" t="str">
            <v>2004VT</v>
          </cell>
          <cell r="D750">
            <v>0</v>
          </cell>
          <cell r="E750">
            <v>0</v>
          </cell>
          <cell r="F750">
            <v>0</v>
          </cell>
          <cell r="G750">
            <v>0</v>
          </cell>
          <cell r="I750">
            <v>0</v>
          </cell>
          <cell r="J750">
            <v>0</v>
          </cell>
        </row>
        <row r="751">
          <cell r="C751" t="str">
            <v>2004VA</v>
          </cell>
          <cell r="D751">
            <v>8034.1267955965541</v>
          </cell>
          <cell r="E751">
            <v>25047.262692524928</v>
          </cell>
          <cell r="F751">
            <v>24979.133579999998</v>
          </cell>
          <cell r="G751">
            <v>0</v>
          </cell>
          <cell r="I751">
            <v>0</v>
          </cell>
          <cell r="J751">
            <v>10983</v>
          </cell>
        </row>
        <row r="752">
          <cell r="C752" t="str">
            <v>2004WA</v>
          </cell>
          <cell r="D752">
            <v>0</v>
          </cell>
          <cell r="E752">
            <v>0</v>
          </cell>
          <cell r="F752">
            <v>0</v>
          </cell>
          <cell r="G752">
            <v>0</v>
          </cell>
          <cell r="I752">
            <v>0</v>
          </cell>
          <cell r="J752">
            <v>5653</v>
          </cell>
        </row>
        <row r="753">
          <cell r="C753" t="str">
            <v>2004WV</v>
          </cell>
          <cell r="D753">
            <v>19417.815180869962</v>
          </cell>
          <cell r="E753">
            <v>3258.476032162228</v>
          </cell>
          <cell r="F753">
            <v>1443.6025300000001</v>
          </cell>
          <cell r="G753">
            <v>0</v>
          </cell>
          <cell r="H753">
            <v>36082</v>
          </cell>
          <cell r="I753">
            <v>36082</v>
          </cell>
          <cell r="J753">
            <v>52497</v>
          </cell>
          <cell r="K753">
            <v>4564</v>
          </cell>
        </row>
        <row r="754">
          <cell r="C754" t="str">
            <v>2004WI</v>
          </cell>
          <cell r="D754">
            <v>0</v>
          </cell>
          <cell r="E754">
            <v>0</v>
          </cell>
          <cell r="F754">
            <v>0</v>
          </cell>
          <cell r="G754">
            <v>0</v>
          </cell>
          <cell r="I754">
            <v>0</v>
          </cell>
          <cell r="J754">
            <v>0</v>
          </cell>
        </row>
        <row r="755">
          <cell r="C755" t="str">
            <v>2004WY</v>
          </cell>
          <cell r="D755">
            <v>0</v>
          </cell>
          <cell r="E755">
            <v>0</v>
          </cell>
          <cell r="F755">
            <v>0</v>
          </cell>
          <cell r="G755">
            <v>0</v>
          </cell>
          <cell r="I755">
            <v>0</v>
          </cell>
          <cell r="J755">
            <v>396450</v>
          </cell>
        </row>
        <row r="756">
          <cell r="C756" t="str">
            <v>2005AL</v>
          </cell>
          <cell r="D756">
            <v>13665.683697816019</v>
          </cell>
          <cell r="E756">
            <v>15764.661439131653</v>
          </cell>
          <cell r="F756">
            <v>15244.57286</v>
          </cell>
          <cell r="G756">
            <v>0</v>
          </cell>
          <cell r="I756">
            <v>0</v>
          </cell>
          <cell r="J756">
            <v>8044</v>
          </cell>
        </row>
        <row r="757">
          <cell r="C757" t="str">
            <v>2005AK</v>
          </cell>
          <cell r="D757">
            <v>0</v>
          </cell>
          <cell r="E757">
            <v>0</v>
          </cell>
          <cell r="F757">
            <v>0</v>
          </cell>
          <cell r="G757">
            <v>0</v>
          </cell>
          <cell r="I757">
            <v>0</v>
          </cell>
          <cell r="J757">
            <v>1454</v>
          </cell>
        </row>
        <row r="758">
          <cell r="C758" t="str">
            <v>2005AZ</v>
          </cell>
          <cell r="D758">
            <v>0</v>
          </cell>
          <cell r="E758">
            <v>0</v>
          </cell>
          <cell r="F758">
            <v>0</v>
          </cell>
          <cell r="G758">
            <v>0</v>
          </cell>
          <cell r="I758">
            <v>0</v>
          </cell>
          <cell r="J758">
            <v>12072</v>
          </cell>
        </row>
        <row r="759">
          <cell r="C759" t="str">
            <v>2005AR</v>
          </cell>
          <cell r="D759">
            <v>0</v>
          </cell>
          <cell r="E759">
            <v>0</v>
          </cell>
          <cell r="F759">
            <v>0</v>
          </cell>
          <cell r="G759">
            <v>0</v>
          </cell>
          <cell r="I759">
            <v>0</v>
          </cell>
          <cell r="J759">
            <v>3</v>
          </cell>
        </row>
        <row r="760">
          <cell r="C760" t="str">
            <v>2005CA</v>
          </cell>
          <cell r="D760">
            <v>0</v>
          </cell>
          <cell r="E760">
            <v>0</v>
          </cell>
          <cell r="F760">
            <v>0</v>
          </cell>
          <cell r="G760">
            <v>0</v>
          </cell>
          <cell r="I760">
            <v>0</v>
          </cell>
          <cell r="J760">
            <v>0</v>
          </cell>
        </row>
        <row r="761">
          <cell r="C761" t="str">
            <v>2005CO</v>
          </cell>
          <cell r="D761">
            <v>6439.1529614360406</v>
          </cell>
          <cell r="E761">
            <v>4748.4495666666671</v>
          </cell>
          <cell r="F761">
            <v>170</v>
          </cell>
          <cell r="G761">
            <v>0</v>
          </cell>
          <cell r="I761">
            <v>0</v>
          </cell>
          <cell r="J761">
            <v>10071</v>
          </cell>
        </row>
        <row r="762">
          <cell r="C762" t="str">
            <v>2005CT</v>
          </cell>
          <cell r="D762">
            <v>0</v>
          </cell>
          <cell r="E762">
            <v>0</v>
          </cell>
          <cell r="F762">
            <v>0</v>
          </cell>
          <cell r="G762">
            <v>0</v>
          </cell>
          <cell r="I762">
            <v>0</v>
          </cell>
          <cell r="J762">
            <v>0</v>
          </cell>
        </row>
        <row r="763">
          <cell r="C763" t="str">
            <v>2005DE</v>
          </cell>
          <cell r="D763">
            <v>0</v>
          </cell>
          <cell r="E763">
            <v>0</v>
          </cell>
          <cell r="F763">
            <v>0</v>
          </cell>
          <cell r="G763">
            <v>0</v>
          </cell>
          <cell r="I763">
            <v>0</v>
          </cell>
          <cell r="J763">
            <v>0</v>
          </cell>
        </row>
        <row r="764">
          <cell r="C764" t="str">
            <v>2005FL</v>
          </cell>
          <cell r="D764">
            <v>0</v>
          </cell>
          <cell r="E764">
            <v>0</v>
          </cell>
          <cell r="F764">
            <v>0</v>
          </cell>
          <cell r="G764">
            <v>0</v>
          </cell>
          <cell r="I764">
            <v>0</v>
          </cell>
          <cell r="J764">
            <v>0</v>
          </cell>
        </row>
        <row r="765">
          <cell r="C765" t="str">
            <v>2005GA</v>
          </cell>
          <cell r="D765">
            <v>0</v>
          </cell>
          <cell r="E765">
            <v>0</v>
          </cell>
          <cell r="F765">
            <v>0</v>
          </cell>
          <cell r="G765">
            <v>0</v>
          </cell>
          <cell r="I765">
            <v>0</v>
          </cell>
          <cell r="J765">
            <v>0</v>
          </cell>
        </row>
        <row r="766">
          <cell r="C766" t="str">
            <v>2005HI</v>
          </cell>
          <cell r="D766">
            <v>0</v>
          </cell>
          <cell r="E766">
            <v>0</v>
          </cell>
          <cell r="F766">
            <v>0</v>
          </cell>
          <cell r="G766">
            <v>0</v>
          </cell>
          <cell r="I766">
            <v>0</v>
          </cell>
          <cell r="J766">
            <v>0</v>
          </cell>
        </row>
        <row r="767">
          <cell r="C767" t="str">
            <v>2005ID</v>
          </cell>
          <cell r="D767">
            <v>0</v>
          </cell>
          <cell r="E767">
            <v>0</v>
          </cell>
          <cell r="F767">
            <v>0</v>
          </cell>
          <cell r="G767">
            <v>0</v>
          </cell>
          <cell r="I767">
            <v>0</v>
          </cell>
          <cell r="J767">
            <v>0</v>
          </cell>
        </row>
        <row r="768">
          <cell r="C768" t="str">
            <v>2005IL</v>
          </cell>
          <cell r="D768">
            <v>5582.9190081219913</v>
          </cell>
          <cell r="E768">
            <v>0</v>
          </cell>
          <cell r="F768">
            <v>0</v>
          </cell>
          <cell r="G768">
            <v>0</v>
          </cell>
          <cell r="I768">
            <v>0</v>
          </cell>
          <cell r="J768">
            <v>5671</v>
          </cell>
        </row>
        <row r="769">
          <cell r="C769" t="str">
            <v>2005IN</v>
          </cell>
          <cell r="D769">
            <v>1612.946960563942</v>
          </cell>
          <cell r="E769">
            <v>0</v>
          </cell>
          <cell r="F769">
            <v>0</v>
          </cell>
          <cell r="G769">
            <v>0</v>
          </cell>
          <cell r="I769">
            <v>0</v>
          </cell>
          <cell r="J769">
            <v>23268</v>
          </cell>
        </row>
        <row r="770">
          <cell r="C770" t="str">
            <v>2005IA</v>
          </cell>
          <cell r="D770">
            <v>0</v>
          </cell>
          <cell r="E770">
            <v>0</v>
          </cell>
          <cell r="F770">
            <v>0</v>
          </cell>
          <cell r="G770">
            <v>0</v>
          </cell>
          <cell r="I770">
            <v>0</v>
          </cell>
          <cell r="J770">
            <v>0</v>
          </cell>
        </row>
        <row r="771">
          <cell r="C771" t="str">
            <v>2005KS</v>
          </cell>
          <cell r="D771">
            <v>0</v>
          </cell>
          <cell r="E771">
            <v>0</v>
          </cell>
          <cell r="F771">
            <v>0</v>
          </cell>
          <cell r="G771">
            <v>0</v>
          </cell>
          <cell r="I771">
            <v>0</v>
          </cell>
          <cell r="J771">
            <v>171</v>
          </cell>
        </row>
        <row r="772">
          <cell r="C772" t="str">
            <v>2005KY</v>
          </cell>
          <cell r="D772">
            <v>3233.6523104649186</v>
          </cell>
          <cell r="E772">
            <v>0</v>
          </cell>
          <cell r="F772">
            <v>0</v>
          </cell>
          <cell r="G772">
            <v>0</v>
          </cell>
          <cell r="H772">
            <v>21648</v>
          </cell>
          <cell r="I772">
            <v>21648</v>
          </cell>
          <cell r="J772">
            <v>41269</v>
          </cell>
          <cell r="K772">
            <v>4763</v>
          </cell>
        </row>
        <row r="773">
          <cell r="C773" t="str">
            <v>2005LA</v>
          </cell>
          <cell r="D773">
            <v>0</v>
          </cell>
          <cell r="E773">
            <v>0</v>
          </cell>
          <cell r="F773">
            <v>0</v>
          </cell>
          <cell r="G773">
            <v>0</v>
          </cell>
          <cell r="I773">
            <v>0</v>
          </cell>
          <cell r="J773">
            <v>4161</v>
          </cell>
        </row>
        <row r="774">
          <cell r="C774" t="str">
            <v>2005ME</v>
          </cell>
          <cell r="D774">
            <v>0</v>
          </cell>
          <cell r="E774">
            <v>0</v>
          </cell>
          <cell r="F774">
            <v>0</v>
          </cell>
          <cell r="G774">
            <v>0</v>
          </cell>
          <cell r="I774">
            <v>0</v>
          </cell>
          <cell r="J774">
            <v>0</v>
          </cell>
        </row>
        <row r="775">
          <cell r="C775" t="str">
            <v>2005MD</v>
          </cell>
          <cell r="D775">
            <v>0</v>
          </cell>
          <cell r="E775">
            <v>0</v>
          </cell>
          <cell r="F775">
            <v>0</v>
          </cell>
          <cell r="G775">
            <v>0</v>
          </cell>
          <cell r="I775">
            <v>0</v>
          </cell>
          <cell r="J775">
            <v>2009</v>
          </cell>
        </row>
        <row r="776">
          <cell r="C776" t="str">
            <v>2005MA</v>
          </cell>
          <cell r="D776">
            <v>0</v>
          </cell>
          <cell r="E776">
            <v>0</v>
          </cell>
          <cell r="F776">
            <v>0</v>
          </cell>
          <cell r="G776">
            <v>0</v>
          </cell>
          <cell r="I776">
            <v>0</v>
          </cell>
          <cell r="J776">
            <v>0</v>
          </cell>
        </row>
        <row r="777">
          <cell r="C777" t="str">
            <v>2005MI</v>
          </cell>
          <cell r="D777">
            <v>0</v>
          </cell>
          <cell r="E777">
            <v>0</v>
          </cell>
          <cell r="F777">
            <v>0</v>
          </cell>
          <cell r="G777">
            <v>0</v>
          </cell>
          <cell r="I777">
            <v>0</v>
          </cell>
          <cell r="J777">
            <v>0</v>
          </cell>
        </row>
        <row r="778">
          <cell r="C778" t="str">
            <v>2005MN</v>
          </cell>
          <cell r="D778">
            <v>0</v>
          </cell>
          <cell r="E778">
            <v>0</v>
          </cell>
          <cell r="F778">
            <v>0</v>
          </cell>
          <cell r="G778">
            <v>0</v>
          </cell>
          <cell r="I778">
            <v>0</v>
          </cell>
          <cell r="J778">
            <v>0</v>
          </cell>
        </row>
        <row r="779">
          <cell r="C779" t="str">
            <v>2005MS</v>
          </cell>
          <cell r="D779">
            <v>0</v>
          </cell>
          <cell r="E779">
            <v>0</v>
          </cell>
          <cell r="F779">
            <v>0</v>
          </cell>
          <cell r="G779">
            <v>0</v>
          </cell>
          <cell r="I779">
            <v>0</v>
          </cell>
          <cell r="J779">
            <v>3555</v>
          </cell>
        </row>
        <row r="780">
          <cell r="C780" t="str">
            <v>2005MO</v>
          </cell>
          <cell r="D780">
            <v>0</v>
          </cell>
          <cell r="E780">
            <v>0</v>
          </cell>
          <cell r="F780">
            <v>0</v>
          </cell>
          <cell r="G780">
            <v>0</v>
          </cell>
          <cell r="I780">
            <v>0</v>
          </cell>
          <cell r="J780">
            <v>598</v>
          </cell>
        </row>
        <row r="781">
          <cell r="C781" t="str">
            <v>2005MT</v>
          </cell>
          <cell r="D781">
            <v>0</v>
          </cell>
          <cell r="E781">
            <v>0</v>
          </cell>
          <cell r="F781">
            <v>0</v>
          </cell>
          <cell r="G781">
            <v>0</v>
          </cell>
          <cell r="I781">
            <v>0</v>
          </cell>
          <cell r="J781">
            <v>40192</v>
          </cell>
        </row>
        <row r="782">
          <cell r="C782" t="str">
            <v>2005NE</v>
          </cell>
          <cell r="D782">
            <v>0</v>
          </cell>
          <cell r="E782">
            <v>0</v>
          </cell>
          <cell r="F782">
            <v>0</v>
          </cell>
          <cell r="G782">
            <v>0</v>
          </cell>
          <cell r="I782">
            <v>0</v>
          </cell>
          <cell r="J782">
            <v>0</v>
          </cell>
        </row>
        <row r="783">
          <cell r="C783" t="str">
            <v>2005NV</v>
          </cell>
          <cell r="D783">
            <v>0</v>
          </cell>
          <cell r="E783">
            <v>0</v>
          </cell>
          <cell r="F783">
            <v>0</v>
          </cell>
          <cell r="G783">
            <v>0</v>
          </cell>
          <cell r="I783">
            <v>0</v>
          </cell>
          <cell r="J783">
            <v>0</v>
          </cell>
        </row>
        <row r="784">
          <cell r="C784" t="str">
            <v>2005NH</v>
          </cell>
          <cell r="D784">
            <v>0</v>
          </cell>
          <cell r="E784">
            <v>0</v>
          </cell>
          <cell r="F784">
            <v>0</v>
          </cell>
          <cell r="G784">
            <v>0</v>
          </cell>
          <cell r="I784">
            <v>0</v>
          </cell>
          <cell r="J784">
            <v>0</v>
          </cell>
        </row>
        <row r="785">
          <cell r="C785" t="str">
            <v>2005NJ</v>
          </cell>
          <cell r="D785">
            <v>0</v>
          </cell>
          <cell r="E785">
            <v>0</v>
          </cell>
          <cell r="F785">
            <v>0</v>
          </cell>
          <cell r="G785">
            <v>0</v>
          </cell>
          <cell r="I785">
            <v>0</v>
          </cell>
          <cell r="J785">
            <v>0</v>
          </cell>
        </row>
        <row r="786">
          <cell r="C786" t="str">
            <v>2005NM</v>
          </cell>
          <cell r="D786">
            <v>1443.1748580703684</v>
          </cell>
          <cell r="E786">
            <v>940.7510000000002</v>
          </cell>
          <cell r="F786">
            <v>2.25</v>
          </cell>
          <cell r="G786">
            <v>0</v>
          </cell>
          <cell r="I786">
            <v>0</v>
          </cell>
          <cell r="J786">
            <v>20613</v>
          </cell>
        </row>
        <row r="787">
          <cell r="C787" t="str">
            <v>2005NY</v>
          </cell>
          <cell r="D787">
            <v>0</v>
          </cell>
          <cell r="E787">
            <v>0</v>
          </cell>
          <cell r="F787">
            <v>0</v>
          </cell>
          <cell r="G787">
            <v>0</v>
          </cell>
          <cell r="I787">
            <v>0</v>
          </cell>
          <cell r="J787">
            <v>0</v>
          </cell>
        </row>
        <row r="788">
          <cell r="C788" t="str">
            <v>2005NC</v>
          </cell>
          <cell r="D788">
            <v>0</v>
          </cell>
          <cell r="E788">
            <v>0</v>
          </cell>
          <cell r="F788">
            <v>0</v>
          </cell>
          <cell r="G788">
            <v>0</v>
          </cell>
          <cell r="I788">
            <v>0</v>
          </cell>
          <cell r="J788">
            <v>0</v>
          </cell>
        </row>
        <row r="789">
          <cell r="C789" t="str">
            <v>2005ND</v>
          </cell>
          <cell r="D789">
            <v>0</v>
          </cell>
          <cell r="E789">
            <v>0</v>
          </cell>
          <cell r="F789">
            <v>0</v>
          </cell>
          <cell r="G789">
            <v>0</v>
          </cell>
          <cell r="I789">
            <v>0</v>
          </cell>
          <cell r="J789">
            <v>29956</v>
          </cell>
        </row>
        <row r="790">
          <cell r="C790" t="str">
            <v>2005OH</v>
          </cell>
          <cell r="D790">
            <v>1442.2416341120706</v>
          </cell>
          <cell r="E790">
            <v>0</v>
          </cell>
          <cell r="F790">
            <v>0</v>
          </cell>
          <cell r="G790">
            <v>0</v>
          </cell>
          <cell r="I790">
            <v>0</v>
          </cell>
          <cell r="J790">
            <v>8896</v>
          </cell>
        </row>
        <row r="791">
          <cell r="C791" t="str">
            <v>2005OK</v>
          </cell>
          <cell r="D791">
            <v>586.10197476947974</v>
          </cell>
          <cell r="E791">
            <v>0</v>
          </cell>
          <cell r="F791">
            <v>0</v>
          </cell>
          <cell r="G791">
            <v>0</v>
          </cell>
          <cell r="I791">
            <v>0</v>
          </cell>
          <cell r="J791">
            <v>1391</v>
          </cell>
        </row>
        <row r="792">
          <cell r="C792" t="str">
            <v>2005OR</v>
          </cell>
          <cell r="D792">
            <v>0</v>
          </cell>
          <cell r="E792">
            <v>0</v>
          </cell>
          <cell r="F792">
            <v>0</v>
          </cell>
          <cell r="G792">
            <v>0</v>
          </cell>
          <cell r="I792">
            <v>0</v>
          </cell>
          <cell r="J792">
            <v>0</v>
          </cell>
        </row>
        <row r="793">
          <cell r="C793" t="str">
            <v>2005PA</v>
          </cell>
          <cell r="D793">
            <v>12612.932414939203</v>
          </cell>
          <cell r="E793">
            <v>2527.5136449411762</v>
          </cell>
          <cell r="F793">
            <v>1095</v>
          </cell>
          <cell r="G793">
            <v>0</v>
          </cell>
          <cell r="I793">
            <v>0</v>
          </cell>
          <cell r="J793">
            <v>12931</v>
          </cell>
        </row>
        <row r="794">
          <cell r="C794" t="str">
            <v>2005RI</v>
          </cell>
          <cell r="D794">
            <v>0</v>
          </cell>
          <cell r="E794">
            <v>0</v>
          </cell>
          <cell r="F794">
            <v>0</v>
          </cell>
          <cell r="G794">
            <v>0</v>
          </cell>
          <cell r="I794">
            <v>0</v>
          </cell>
          <cell r="J794">
            <v>0</v>
          </cell>
        </row>
        <row r="795">
          <cell r="C795" t="str">
            <v>2005SC</v>
          </cell>
          <cell r="D795">
            <v>0</v>
          </cell>
          <cell r="E795">
            <v>0</v>
          </cell>
          <cell r="F795">
            <v>0</v>
          </cell>
          <cell r="G795">
            <v>0</v>
          </cell>
          <cell r="I795">
            <v>0</v>
          </cell>
          <cell r="J795">
            <v>0</v>
          </cell>
        </row>
        <row r="796">
          <cell r="C796" t="str">
            <v>2005SD</v>
          </cell>
          <cell r="D796">
            <v>0</v>
          </cell>
          <cell r="E796">
            <v>0</v>
          </cell>
          <cell r="F796">
            <v>0</v>
          </cell>
          <cell r="G796">
            <v>0</v>
          </cell>
          <cell r="I796">
            <v>0</v>
          </cell>
          <cell r="J796">
            <v>0</v>
          </cell>
        </row>
        <row r="797">
          <cell r="C797" t="str">
            <v>2005TN</v>
          </cell>
          <cell r="D797">
            <v>0</v>
          </cell>
          <cell r="E797">
            <v>0</v>
          </cell>
          <cell r="F797">
            <v>0</v>
          </cell>
          <cell r="G797">
            <v>0</v>
          </cell>
          <cell r="I797">
            <v>0</v>
          </cell>
          <cell r="J797">
            <v>1993</v>
          </cell>
        </row>
        <row r="798">
          <cell r="C798" t="str">
            <v>2005TX</v>
          </cell>
          <cell r="D798">
            <v>0</v>
          </cell>
          <cell r="E798">
            <v>0</v>
          </cell>
          <cell r="F798">
            <v>0</v>
          </cell>
          <cell r="G798">
            <v>0</v>
          </cell>
          <cell r="I798">
            <v>0</v>
          </cell>
          <cell r="J798">
            <v>45939</v>
          </cell>
        </row>
        <row r="799">
          <cell r="C799" t="str">
            <v>2005UT</v>
          </cell>
          <cell r="D799">
            <v>3254.2639294601436</v>
          </cell>
          <cell r="E799">
            <v>740.76750000000004</v>
          </cell>
          <cell r="F799">
            <v>0</v>
          </cell>
          <cell r="G799">
            <v>0</v>
          </cell>
          <cell r="I799">
            <v>0</v>
          </cell>
          <cell r="J799">
            <v>0</v>
          </cell>
        </row>
        <row r="800">
          <cell r="C800" t="str">
            <v>2005VT</v>
          </cell>
          <cell r="D800">
            <v>0</v>
          </cell>
          <cell r="E800">
            <v>0</v>
          </cell>
          <cell r="F800">
            <v>0</v>
          </cell>
          <cell r="G800">
            <v>0</v>
          </cell>
          <cell r="I800">
            <v>0</v>
          </cell>
          <cell r="J800">
            <v>0</v>
          </cell>
        </row>
        <row r="801">
          <cell r="C801" t="str">
            <v>2005VA</v>
          </cell>
          <cell r="D801">
            <v>6007.9982768753052</v>
          </cell>
          <cell r="E801">
            <v>16055.597495392147</v>
          </cell>
          <cell r="F801">
            <v>16056.328040000002</v>
          </cell>
          <cell r="G801">
            <v>0</v>
          </cell>
          <cell r="I801">
            <v>0</v>
          </cell>
          <cell r="J801">
            <v>11357</v>
          </cell>
        </row>
        <row r="802">
          <cell r="C802" t="str">
            <v>2005WA</v>
          </cell>
          <cell r="D802">
            <v>0</v>
          </cell>
          <cell r="E802">
            <v>0</v>
          </cell>
          <cell r="F802">
            <v>0</v>
          </cell>
          <cell r="G802">
            <v>0</v>
          </cell>
          <cell r="I802">
            <v>0</v>
          </cell>
          <cell r="J802">
            <v>5266</v>
          </cell>
        </row>
        <row r="803">
          <cell r="C803" t="str">
            <v>2005WV</v>
          </cell>
          <cell r="D803">
            <v>20645.864172513553</v>
          </cell>
          <cell r="E803">
            <v>6722.6920934453783</v>
          </cell>
          <cell r="F803">
            <v>4853.9629800000002</v>
          </cell>
          <cell r="G803">
            <v>0</v>
          </cell>
          <cell r="H803">
            <v>37590</v>
          </cell>
          <cell r="I803">
            <v>37590</v>
          </cell>
          <cell r="J803">
            <v>57603</v>
          </cell>
          <cell r="K803">
            <v>5037</v>
          </cell>
        </row>
        <row r="804">
          <cell r="C804" t="str">
            <v>2005WI</v>
          </cell>
          <cell r="D804">
            <v>0</v>
          </cell>
          <cell r="E804">
            <v>0</v>
          </cell>
          <cell r="F804">
            <v>0</v>
          </cell>
          <cell r="G804">
            <v>0</v>
          </cell>
          <cell r="I804">
            <v>0</v>
          </cell>
          <cell r="J804">
            <v>0</v>
          </cell>
        </row>
        <row r="805">
          <cell r="C805" t="str">
            <v>2005WY</v>
          </cell>
          <cell r="D805">
            <v>0</v>
          </cell>
          <cell r="E805">
            <v>0</v>
          </cell>
          <cell r="F805">
            <v>0</v>
          </cell>
          <cell r="G805">
            <v>0</v>
          </cell>
          <cell r="I805">
            <v>0</v>
          </cell>
          <cell r="J805">
            <v>403908</v>
          </cell>
        </row>
        <row r="806">
          <cell r="C806" t="str">
            <v>2006AL</v>
          </cell>
          <cell r="D806">
            <v>12670.48343433095</v>
          </cell>
          <cell r="E806">
            <v>18336.958659131655</v>
          </cell>
          <cell r="F806">
            <v>17816.870080000001</v>
          </cell>
          <cell r="G806">
            <v>0</v>
          </cell>
          <cell r="I806">
            <v>0</v>
          </cell>
          <cell r="J806">
            <v>8092</v>
          </cell>
        </row>
        <row r="807">
          <cell r="C807" t="str">
            <v>2006AK</v>
          </cell>
          <cell r="D807">
            <v>0</v>
          </cell>
          <cell r="E807">
            <v>0</v>
          </cell>
          <cell r="F807">
            <v>0</v>
          </cell>
          <cell r="G807">
            <v>0</v>
          </cell>
          <cell r="I807">
            <v>0</v>
          </cell>
          <cell r="J807">
            <v>1425</v>
          </cell>
        </row>
        <row r="808">
          <cell r="C808" t="str">
            <v>2006AZ</v>
          </cell>
          <cell r="D808">
            <v>0</v>
          </cell>
          <cell r="E808">
            <v>0</v>
          </cell>
          <cell r="F808">
            <v>0</v>
          </cell>
          <cell r="G808">
            <v>0</v>
          </cell>
          <cell r="I808">
            <v>0</v>
          </cell>
          <cell r="J808">
            <v>8216</v>
          </cell>
        </row>
        <row r="809">
          <cell r="C809" t="str">
            <v>2006AR</v>
          </cell>
          <cell r="D809">
            <v>1.2782151230680514</v>
          </cell>
          <cell r="E809">
            <v>0</v>
          </cell>
          <cell r="F809">
            <v>0</v>
          </cell>
          <cell r="G809">
            <v>0</v>
          </cell>
          <cell r="I809">
            <v>0</v>
          </cell>
          <cell r="J809">
            <v>5</v>
          </cell>
        </row>
        <row r="810">
          <cell r="C810" t="str">
            <v>2006CA</v>
          </cell>
          <cell r="D810">
            <v>0</v>
          </cell>
          <cell r="E810">
            <v>0</v>
          </cell>
          <cell r="F810">
            <v>0</v>
          </cell>
          <cell r="G810">
            <v>0</v>
          </cell>
          <cell r="I810">
            <v>0</v>
          </cell>
          <cell r="J810">
            <v>0</v>
          </cell>
        </row>
        <row r="811">
          <cell r="C811" t="str">
            <v>2006CO</v>
          </cell>
          <cell r="D811">
            <v>6642.1744886985616</v>
          </cell>
          <cell r="E811">
            <v>4184.0936716666665</v>
          </cell>
          <cell r="F811">
            <v>170</v>
          </cell>
          <cell r="G811">
            <v>0</v>
          </cell>
          <cell r="I811">
            <v>0</v>
          </cell>
          <cell r="J811">
            <v>9663</v>
          </cell>
        </row>
        <row r="812">
          <cell r="C812" t="str">
            <v>2006CT</v>
          </cell>
          <cell r="D812">
            <v>0</v>
          </cell>
          <cell r="E812">
            <v>0</v>
          </cell>
          <cell r="F812">
            <v>0</v>
          </cell>
          <cell r="G812">
            <v>0</v>
          </cell>
          <cell r="I812">
            <v>0</v>
          </cell>
        </row>
        <row r="813">
          <cell r="C813" t="str">
            <v>2006DE</v>
          </cell>
          <cell r="D813">
            <v>0</v>
          </cell>
          <cell r="E813">
            <v>0</v>
          </cell>
          <cell r="F813">
            <v>0</v>
          </cell>
          <cell r="G813">
            <v>0</v>
          </cell>
          <cell r="I813">
            <v>0</v>
          </cell>
        </row>
        <row r="814">
          <cell r="C814" t="str">
            <v>2006FL</v>
          </cell>
          <cell r="D814">
            <v>0</v>
          </cell>
          <cell r="E814">
            <v>0</v>
          </cell>
          <cell r="F814">
            <v>0</v>
          </cell>
          <cell r="G814">
            <v>0</v>
          </cell>
          <cell r="I814">
            <v>0</v>
          </cell>
        </row>
        <row r="815">
          <cell r="C815" t="str">
            <v>2006GA</v>
          </cell>
          <cell r="D815">
            <v>0</v>
          </cell>
          <cell r="E815">
            <v>0</v>
          </cell>
          <cell r="F815">
            <v>0</v>
          </cell>
          <cell r="G815">
            <v>0</v>
          </cell>
          <cell r="I815">
            <v>0</v>
          </cell>
        </row>
        <row r="816">
          <cell r="C816" t="str">
            <v>2006HI</v>
          </cell>
          <cell r="D816">
            <v>0</v>
          </cell>
          <cell r="E816">
            <v>0</v>
          </cell>
          <cell r="F816">
            <v>0</v>
          </cell>
          <cell r="G816">
            <v>0</v>
          </cell>
          <cell r="I816">
            <v>0</v>
          </cell>
        </row>
        <row r="817">
          <cell r="C817" t="str">
            <v>2006ID</v>
          </cell>
          <cell r="D817">
            <v>0</v>
          </cell>
          <cell r="E817">
            <v>0</v>
          </cell>
          <cell r="F817">
            <v>0</v>
          </cell>
          <cell r="G817">
            <v>0</v>
          </cell>
          <cell r="I817">
            <v>0</v>
          </cell>
        </row>
        <row r="818">
          <cell r="C818" t="str">
            <v>2006IL</v>
          </cell>
          <cell r="D818">
            <v>5939.5133779496782</v>
          </cell>
          <cell r="E818">
            <v>0</v>
          </cell>
          <cell r="F818">
            <v>0</v>
          </cell>
          <cell r="G818">
            <v>0</v>
          </cell>
          <cell r="I818">
            <v>0</v>
          </cell>
          <cell r="J818">
            <v>5609</v>
          </cell>
        </row>
        <row r="819">
          <cell r="C819" t="str">
            <v>2006IN</v>
          </cell>
          <cell r="D819">
            <v>1860.4479398009271</v>
          </cell>
          <cell r="E819">
            <v>0</v>
          </cell>
          <cell r="F819">
            <v>0</v>
          </cell>
          <cell r="G819">
            <v>0</v>
          </cell>
          <cell r="I819">
            <v>0</v>
          </cell>
          <cell r="J819">
            <v>24383</v>
          </cell>
        </row>
        <row r="820">
          <cell r="C820" t="str">
            <v>2006IA</v>
          </cell>
          <cell r="D820">
            <v>0</v>
          </cell>
          <cell r="E820">
            <v>0</v>
          </cell>
          <cell r="F820">
            <v>0</v>
          </cell>
          <cell r="G820">
            <v>0</v>
          </cell>
          <cell r="I820">
            <v>0</v>
          </cell>
          <cell r="J820">
            <v>0</v>
          </cell>
        </row>
        <row r="821">
          <cell r="C821" t="str">
            <v>2006KS</v>
          </cell>
          <cell r="D821">
            <v>0</v>
          </cell>
          <cell r="E821">
            <v>0</v>
          </cell>
          <cell r="F821">
            <v>0</v>
          </cell>
          <cell r="G821">
            <v>0</v>
          </cell>
          <cell r="I821">
            <v>0</v>
          </cell>
          <cell r="J821">
            <v>426</v>
          </cell>
        </row>
        <row r="822">
          <cell r="C822" t="str">
            <v>2006KY</v>
          </cell>
          <cell r="D822">
            <v>4819.2561600963436</v>
          </cell>
          <cell r="E822">
            <v>0</v>
          </cell>
          <cell r="F822">
            <v>0</v>
          </cell>
          <cell r="G822">
            <v>0</v>
          </cell>
          <cell r="H822">
            <v>23870</v>
          </cell>
          <cell r="I822">
            <v>23870</v>
          </cell>
          <cell r="J822">
            <v>44295</v>
          </cell>
          <cell r="K822">
            <v>3370</v>
          </cell>
        </row>
        <row r="823">
          <cell r="C823" t="str">
            <v>2006LA</v>
          </cell>
          <cell r="D823">
            <v>0</v>
          </cell>
          <cell r="E823">
            <v>0</v>
          </cell>
          <cell r="F823">
            <v>0</v>
          </cell>
          <cell r="G823">
            <v>0</v>
          </cell>
          <cell r="I823">
            <v>0</v>
          </cell>
          <cell r="J823">
            <v>4114</v>
          </cell>
        </row>
        <row r="824">
          <cell r="C824" t="str">
            <v>2006ME</v>
          </cell>
          <cell r="D824">
            <v>0</v>
          </cell>
          <cell r="E824">
            <v>0</v>
          </cell>
          <cell r="F824">
            <v>0</v>
          </cell>
          <cell r="G824">
            <v>0</v>
          </cell>
          <cell r="I824">
            <v>0</v>
          </cell>
        </row>
        <row r="825">
          <cell r="C825" t="str">
            <v>2006MD</v>
          </cell>
          <cell r="D825">
            <v>0</v>
          </cell>
          <cell r="E825">
            <v>0</v>
          </cell>
          <cell r="F825">
            <v>0</v>
          </cell>
          <cell r="G825">
            <v>0</v>
          </cell>
          <cell r="I825">
            <v>0</v>
          </cell>
          <cell r="J825">
            <v>2228</v>
          </cell>
        </row>
        <row r="826">
          <cell r="C826" t="str">
            <v>2006MA</v>
          </cell>
          <cell r="D826">
            <v>0</v>
          </cell>
          <cell r="E826">
            <v>0</v>
          </cell>
          <cell r="F826">
            <v>0</v>
          </cell>
          <cell r="G826">
            <v>0</v>
          </cell>
          <cell r="I826">
            <v>0</v>
          </cell>
        </row>
        <row r="827">
          <cell r="C827" t="str">
            <v>2006MI</v>
          </cell>
          <cell r="D827">
            <v>0</v>
          </cell>
          <cell r="E827">
            <v>0</v>
          </cell>
          <cell r="F827">
            <v>0</v>
          </cell>
          <cell r="G827">
            <v>0</v>
          </cell>
          <cell r="I827">
            <v>0</v>
          </cell>
        </row>
        <row r="828">
          <cell r="C828" t="str">
            <v>2006MN</v>
          </cell>
          <cell r="D828">
            <v>0</v>
          </cell>
          <cell r="E828">
            <v>0</v>
          </cell>
          <cell r="F828">
            <v>0</v>
          </cell>
          <cell r="G828">
            <v>0</v>
          </cell>
          <cell r="I828">
            <v>0</v>
          </cell>
        </row>
        <row r="829">
          <cell r="C829" t="str">
            <v>2006MS</v>
          </cell>
          <cell r="D829">
            <v>0</v>
          </cell>
          <cell r="E829">
            <v>0</v>
          </cell>
          <cell r="F829">
            <v>0</v>
          </cell>
          <cell r="G829">
            <v>0</v>
          </cell>
          <cell r="I829">
            <v>0</v>
          </cell>
          <cell r="J829">
            <v>3797</v>
          </cell>
        </row>
        <row r="830">
          <cell r="C830" t="str">
            <v>2006MO</v>
          </cell>
          <cell r="D830">
            <v>0</v>
          </cell>
          <cell r="E830">
            <v>0</v>
          </cell>
          <cell r="F830">
            <v>0</v>
          </cell>
          <cell r="G830">
            <v>0</v>
          </cell>
          <cell r="I830">
            <v>0</v>
          </cell>
          <cell r="J830">
            <v>394</v>
          </cell>
        </row>
        <row r="831">
          <cell r="C831" t="str">
            <v>2006MT</v>
          </cell>
          <cell r="D831">
            <v>0</v>
          </cell>
          <cell r="E831">
            <v>0</v>
          </cell>
          <cell r="F831">
            <v>0</v>
          </cell>
          <cell r="G831">
            <v>0</v>
          </cell>
          <cell r="I831">
            <v>0</v>
          </cell>
          <cell r="J831">
            <v>41502</v>
          </cell>
        </row>
        <row r="832">
          <cell r="C832" t="str">
            <v>2006NE</v>
          </cell>
          <cell r="D832">
            <v>0</v>
          </cell>
          <cell r="E832">
            <v>0</v>
          </cell>
          <cell r="F832">
            <v>0</v>
          </cell>
          <cell r="G832">
            <v>0</v>
          </cell>
          <cell r="I832">
            <v>0</v>
          </cell>
        </row>
        <row r="833">
          <cell r="C833" t="str">
            <v>2006NV</v>
          </cell>
          <cell r="D833">
            <v>0</v>
          </cell>
          <cell r="E833">
            <v>0</v>
          </cell>
          <cell r="F833">
            <v>0</v>
          </cell>
          <cell r="G833">
            <v>0</v>
          </cell>
          <cell r="I833">
            <v>0</v>
          </cell>
        </row>
        <row r="834">
          <cell r="C834" t="str">
            <v>2006NH</v>
          </cell>
          <cell r="D834">
            <v>0</v>
          </cell>
          <cell r="E834">
            <v>0</v>
          </cell>
          <cell r="F834">
            <v>0</v>
          </cell>
          <cell r="G834">
            <v>0</v>
          </cell>
          <cell r="I834">
            <v>0</v>
          </cell>
        </row>
        <row r="835">
          <cell r="C835" t="str">
            <v>2006NJ</v>
          </cell>
          <cell r="D835">
            <v>0</v>
          </cell>
          <cell r="E835">
            <v>0</v>
          </cell>
          <cell r="F835">
            <v>0</v>
          </cell>
          <cell r="G835">
            <v>0</v>
          </cell>
          <cell r="I835">
            <v>0</v>
          </cell>
        </row>
        <row r="836">
          <cell r="C836" t="str">
            <v>2006NM</v>
          </cell>
          <cell r="D836">
            <v>1459.6921755530766</v>
          </cell>
          <cell r="E836">
            <v>951.51801333333333</v>
          </cell>
          <cell r="F836">
            <v>0</v>
          </cell>
          <cell r="G836">
            <v>0</v>
          </cell>
          <cell r="I836">
            <v>0</v>
          </cell>
          <cell r="J836">
            <v>18919</v>
          </cell>
        </row>
        <row r="837">
          <cell r="C837" t="str">
            <v>2006NY</v>
          </cell>
          <cell r="D837">
            <v>0</v>
          </cell>
          <cell r="E837">
            <v>0</v>
          </cell>
          <cell r="F837">
            <v>0</v>
          </cell>
          <cell r="G837">
            <v>0</v>
          </cell>
          <cell r="I837">
            <v>0</v>
          </cell>
        </row>
        <row r="838">
          <cell r="C838" t="str">
            <v>2006NC</v>
          </cell>
          <cell r="D838">
            <v>0</v>
          </cell>
          <cell r="E838">
            <v>0</v>
          </cell>
          <cell r="F838">
            <v>0</v>
          </cell>
          <cell r="G838">
            <v>0</v>
          </cell>
          <cell r="I838">
            <v>0</v>
          </cell>
        </row>
        <row r="839">
          <cell r="C839" t="str">
            <v>2006ND</v>
          </cell>
          <cell r="D839">
            <v>0</v>
          </cell>
          <cell r="E839">
            <v>0</v>
          </cell>
          <cell r="F839">
            <v>0</v>
          </cell>
          <cell r="G839">
            <v>0</v>
          </cell>
          <cell r="I839">
            <v>0</v>
          </cell>
          <cell r="J839">
            <v>30411</v>
          </cell>
        </row>
        <row r="840">
          <cell r="C840" t="str">
            <v>2006OH</v>
          </cell>
          <cell r="D840">
            <v>1682.0383829613263</v>
          </cell>
          <cell r="E840">
            <v>0</v>
          </cell>
          <cell r="F840">
            <v>0</v>
          </cell>
          <cell r="G840">
            <v>0</v>
          </cell>
          <cell r="I840">
            <v>0</v>
          </cell>
          <cell r="J840">
            <v>7596</v>
          </cell>
        </row>
        <row r="841">
          <cell r="C841" t="str">
            <v>2006OK</v>
          </cell>
          <cell r="D841">
            <v>342.37449785769587</v>
          </cell>
          <cell r="E841">
            <v>0</v>
          </cell>
          <cell r="F841">
            <v>0</v>
          </cell>
          <cell r="G841">
            <v>0</v>
          </cell>
          <cell r="I841">
            <v>0</v>
          </cell>
          <cell r="J841">
            <v>1534</v>
          </cell>
        </row>
        <row r="842">
          <cell r="C842" t="str">
            <v>2006OR</v>
          </cell>
          <cell r="D842">
            <v>0</v>
          </cell>
          <cell r="E842">
            <v>0</v>
          </cell>
          <cell r="F842">
            <v>0</v>
          </cell>
          <cell r="G842">
            <v>0</v>
          </cell>
          <cell r="I842">
            <v>0</v>
          </cell>
        </row>
        <row r="843">
          <cell r="C843" t="str">
            <v>2006PA</v>
          </cell>
          <cell r="D843">
            <v>13277.451785537605</v>
          </cell>
          <cell r="E843">
            <v>2551.335962018677</v>
          </cell>
          <cell r="F843">
            <v>1095</v>
          </cell>
          <cell r="G843">
            <v>0</v>
          </cell>
          <cell r="I843">
            <v>0</v>
          </cell>
          <cell r="J843">
            <v>12228</v>
          </cell>
        </row>
        <row r="844">
          <cell r="C844" t="str">
            <v>2006RI</v>
          </cell>
          <cell r="D844">
            <v>0</v>
          </cell>
          <cell r="E844">
            <v>0</v>
          </cell>
          <cell r="F844">
            <v>0</v>
          </cell>
          <cell r="G844">
            <v>0</v>
          </cell>
          <cell r="I844">
            <v>0</v>
          </cell>
        </row>
        <row r="845">
          <cell r="C845" t="str">
            <v>2006SC</v>
          </cell>
          <cell r="D845">
            <v>0</v>
          </cell>
          <cell r="E845">
            <v>0</v>
          </cell>
          <cell r="F845">
            <v>0</v>
          </cell>
          <cell r="G845">
            <v>0</v>
          </cell>
          <cell r="I845">
            <v>0</v>
          </cell>
        </row>
        <row r="846">
          <cell r="C846" t="str">
            <v>2006SD</v>
          </cell>
          <cell r="D846">
            <v>0</v>
          </cell>
          <cell r="E846">
            <v>0</v>
          </cell>
          <cell r="F846">
            <v>0</v>
          </cell>
          <cell r="G846">
            <v>0</v>
          </cell>
          <cell r="I846">
            <v>0</v>
          </cell>
        </row>
        <row r="847">
          <cell r="C847" t="str">
            <v>2006TN</v>
          </cell>
          <cell r="D847">
            <v>0</v>
          </cell>
          <cell r="E847">
            <v>0</v>
          </cell>
          <cell r="F847">
            <v>0</v>
          </cell>
          <cell r="G847">
            <v>0</v>
          </cell>
          <cell r="I847">
            <v>0</v>
          </cell>
          <cell r="J847">
            <v>1613</v>
          </cell>
        </row>
        <row r="848">
          <cell r="C848" t="str">
            <v>2006TX</v>
          </cell>
          <cell r="D848">
            <v>0</v>
          </cell>
          <cell r="E848">
            <v>0</v>
          </cell>
          <cell r="F848">
            <v>0</v>
          </cell>
          <cell r="G848">
            <v>0</v>
          </cell>
          <cell r="I848">
            <v>0</v>
          </cell>
          <cell r="J848">
            <v>45548</v>
          </cell>
        </row>
        <row r="849">
          <cell r="C849" t="str">
            <v>2006UT</v>
          </cell>
          <cell r="D849">
            <v>3822.0638892490651</v>
          </cell>
          <cell r="E849">
            <v>782.67193333333353</v>
          </cell>
          <cell r="F849">
            <v>0</v>
          </cell>
          <cell r="G849">
            <v>0</v>
          </cell>
          <cell r="I849">
            <v>0</v>
          </cell>
          <cell r="J849">
            <v>0</v>
          </cell>
        </row>
        <row r="850">
          <cell r="C850" t="str">
            <v>2006VT</v>
          </cell>
          <cell r="D850">
            <v>0</v>
          </cell>
          <cell r="E850">
            <v>0</v>
          </cell>
          <cell r="F850">
            <v>0</v>
          </cell>
          <cell r="G850">
            <v>0</v>
          </cell>
          <cell r="I850">
            <v>0</v>
          </cell>
        </row>
        <row r="851">
          <cell r="C851" t="str">
            <v>2006VA</v>
          </cell>
          <cell r="D851">
            <v>6766.527036759604</v>
          </cell>
          <cell r="E851">
            <v>23341.138999999999</v>
          </cell>
          <cell r="F851">
            <v>23341.138999999999</v>
          </cell>
          <cell r="G851">
            <v>0</v>
          </cell>
          <cell r="I851">
            <v>0</v>
          </cell>
          <cell r="J851">
            <v>11059</v>
          </cell>
        </row>
        <row r="852">
          <cell r="C852" t="str">
            <v>2006WA</v>
          </cell>
          <cell r="D852">
            <v>0</v>
          </cell>
          <cell r="E852">
            <v>0</v>
          </cell>
          <cell r="F852">
            <v>0</v>
          </cell>
          <cell r="G852">
            <v>0</v>
          </cell>
          <cell r="I852">
            <v>0</v>
          </cell>
          <cell r="J852">
            <v>2580</v>
          </cell>
        </row>
        <row r="853">
          <cell r="C853" t="str">
            <v>2006WV</v>
          </cell>
          <cell r="D853">
            <v>21179.18174226693</v>
          </cell>
          <cell r="E853">
            <v>3692.8994530882346</v>
          </cell>
          <cell r="F853">
            <v>3574.21621</v>
          </cell>
          <cell r="G853">
            <v>0</v>
          </cell>
          <cell r="H853">
            <v>36074</v>
          </cell>
          <cell r="I853">
            <v>36074</v>
          </cell>
          <cell r="J853">
            <v>61421</v>
          </cell>
          <cell r="K853">
            <v>6324</v>
          </cell>
        </row>
        <row r="854">
          <cell r="C854" t="str">
            <v>2006WI</v>
          </cell>
          <cell r="D854">
            <v>0</v>
          </cell>
          <cell r="E854">
            <v>0</v>
          </cell>
          <cell r="F854">
            <v>0</v>
          </cell>
          <cell r="G854">
            <v>0</v>
          </cell>
          <cell r="I854">
            <v>0</v>
          </cell>
        </row>
        <row r="855">
          <cell r="C855" t="str">
            <v>2006WY</v>
          </cell>
          <cell r="D855">
            <v>0</v>
          </cell>
          <cell r="E855">
            <v>0</v>
          </cell>
          <cell r="F855">
            <v>0</v>
          </cell>
          <cell r="G855">
            <v>0</v>
          </cell>
          <cell r="I855">
            <v>0</v>
          </cell>
          <cell r="J855">
            <v>446223</v>
          </cell>
        </row>
        <row r="856">
          <cell r="C856" t="str">
            <v>2007AL</v>
          </cell>
          <cell r="D856">
            <v>15258.142775000002</v>
          </cell>
          <cell r="E856">
            <v>14208.786894229688</v>
          </cell>
          <cell r="F856">
            <v>13863.102319999996</v>
          </cell>
          <cell r="G856">
            <v>0</v>
          </cell>
          <cell r="I856">
            <v>0</v>
          </cell>
          <cell r="J856">
            <v>7865</v>
          </cell>
        </row>
        <row r="857">
          <cell r="C857" t="str">
            <v>2007AK</v>
          </cell>
          <cell r="D857">
            <v>0</v>
          </cell>
          <cell r="E857">
            <v>0</v>
          </cell>
          <cell r="F857">
            <v>0</v>
          </cell>
          <cell r="G857">
            <v>0</v>
          </cell>
          <cell r="I857">
            <v>0</v>
          </cell>
          <cell r="J857">
            <v>1324</v>
          </cell>
        </row>
        <row r="858">
          <cell r="C858" t="str">
            <v>2007AZ</v>
          </cell>
          <cell r="D858">
            <v>0</v>
          </cell>
          <cell r="E858">
            <v>0</v>
          </cell>
          <cell r="F858">
            <v>0</v>
          </cell>
          <cell r="G858">
            <v>0</v>
          </cell>
          <cell r="I858">
            <v>0</v>
          </cell>
          <cell r="J858">
            <v>7983</v>
          </cell>
        </row>
        <row r="859">
          <cell r="C859" t="str">
            <v>2007AR</v>
          </cell>
          <cell r="D859">
            <v>135.51783875000001</v>
          </cell>
          <cell r="E859">
            <v>0</v>
          </cell>
          <cell r="F859">
            <v>0</v>
          </cell>
          <cell r="G859">
            <v>0</v>
          </cell>
          <cell r="I859">
            <v>0</v>
          </cell>
          <cell r="J859">
            <v>2</v>
          </cell>
        </row>
        <row r="860">
          <cell r="C860" t="str">
            <v>2007CA</v>
          </cell>
          <cell r="D860">
            <v>0</v>
          </cell>
          <cell r="E860">
            <v>0</v>
          </cell>
          <cell r="F860">
            <v>0</v>
          </cell>
          <cell r="G860">
            <v>0</v>
          </cell>
          <cell r="I860">
            <v>0</v>
          </cell>
        </row>
        <row r="861">
          <cell r="C861" t="str">
            <v>2007CO</v>
          </cell>
          <cell r="D861">
            <v>7166.7254832499993</v>
          </cell>
          <cell r="E861">
            <v>3745.2348875000002</v>
          </cell>
          <cell r="F861">
            <v>170</v>
          </cell>
          <cell r="G861">
            <v>0</v>
          </cell>
          <cell r="I861">
            <v>0</v>
          </cell>
          <cell r="J861">
            <v>8774</v>
          </cell>
        </row>
        <row r="862">
          <cell r="C862" t="str">
            <v>2007CT</v>
          </cell>
          <cell r="D862">
            <v>0</v>
          </cell>
          <cell r="E862">
            <v>0</v>
          </cell>
          <cell r="F862">
            <v>0</v>
          </cell>
          <cell r="G862">
            <v>0</v>
          </cell>
          <cell r="I862">
            <v>0</v>
          </cell>
        </row>
        <row r="863">
          <cell r="C863" t="str">
            <v>2007DE</v>
          </cell>
          <cell r="D863">
            <v>0</v>
          </cell>
          <cell r="E863">
            <v>0</v>
          </cell>
          <cell r="F863">
            <v>0</v>
          </cell>
          <cell r="G863">
            <v>0</v>
          </cell>
          <cell r="I863">
            <v>0</v>
          </cell>
        </row>
        <row r="864">
          <cell r="C864" t="str">
            <v>2007FL</v>
          </cell>
          <cell r="D864">
            <v>0</v>
          </cell>
          <cell r="E864">
            <v>0</v>
          </cell>
          <cell r="F864">
            <v>0</v>
          </cell>
          <cell r="G864">
            <v>0</v>
          </cell>
          <cell r="I864">
            <v>0</v>
          </cell>
        </row>
        <row r="865">
          <cell r="C865" t="str">
            <v>2007GA</v>
          </cell>
          <cell r="D865">
            <v>0</v>
          </cell>
          <cell r="E865">
            <v>0</v>
          </cell>
          <cell r="F865">
            <v>0</v>
          </cell>
          <cell r="G865">
            <v>0</v>
          </cell>
          <cell r="I865">
            <v>0</v>
          </cell>
        </row>
        <row r="866">
          <cell r="C866" t="str">
            <v>2007HI</v>
          </cell>
          <cell r="D866">
            <v>0</v>
          </cell>
          <cell r="E866">
            <v>0</v>
          </cell>
          <cell r="F866">
            <v>0</v>
          </cell>
          <cell r="G866">
            <v>0</v>
          </cell>
          <cell r="I866">
            <v>0</v>
          </cell>
        </row>
        <row r="867">
          <cell r="C867" t="str">
            <v>2007ID</v>
          </cell>
          <cell r="D867">
            <v>0</v>
          </cell>
          <cell r="E867">
            <v>0</v>
          </cell>
          <cell r="F867">
            <v>0</v>
          </cell>
          <cell r="G867">
            <v>0</v>
          </cell>
          <cell r="I867">
            <v>0</v>
          </cell>
        </row>
        <row r="868">
          <cell r="C868" t="str">
            <v>2007IL</v>
          </cell>
          <cell r="D868">
            <v>3482.8197155000003</v>
          </cell>
          <cell r="E868">
            <v>0</v>
          </cell>
          <cell r="F868">
            <v>0</v>
          </cell>
          <cell r="G868">
            <v>0</v>
          </cell>
          <cell r="I868">
            <v>0</v>
          </cell>
          <cell r="J868">
            <v>5638</v>
          </cell>
        </row>
        <row r="869">
          <cell r="C869" t="str">
            <v>2007IN</v>
          </cell>
          <cell r="D869">
            <v>2179.3727990000002</v>
          </cell>
          <cell r="E869">
            <v>0</v>
          </cell>
          <cell r="F869">
            <v>0</v>
          </cell>
          <cell r="G869">
            <v>0</v>
          </cell>
          <cell r="I869">
            <v>0</v>
          </cell>
          <cell r="J869">
            <v>24399</v>
          </cell>
        </row>
        <row r="870">
          <cell r="C870" t="str">
            <v>2007IA</v>
          </cell>
          <cell r="D870">
            <v>0</v>
          </cell>
          <cell r="E870">
            <v>0</v>
          </cell>
          <cell r="F870">
            <v>0</v>
          </cell>
          <cell r="G870">
            <v>0</v>
          </cell>
          <cell r="I870">
            <v>0</v>
          </cell>
        </row>
        <row r="871">
          <cell r="C871" t="str">
            <v>2007KS</v>
          </cell>
          <cell r="D871">
            <v>0</v>
          </cell>
          <cell r="E871">
            <v>0</v>
          </cell>
          <cell r="F871">
            <v>0</v>
          </cell>
          <cell r="G871">
            <v>0</v>
          </cell>
          <cell r="I871">
            <v>0</v>
          </cell>
          <cell r="J871">
            <v>420</v>
          </cell>
        </row>
        <row r="872">
          <cell r="C872" t="str">
            <v>2007KY</v>
          </cell>
          <cell r="D872">
            <v>5126.3688512499984</v>
          </cell>
          <cell r="E872">
            <v>0</v>
          </cell>
          <cell r="F872">
            <v>0</v>
          </cell>
          <cell r="G872">
            <v>0</v>
          </cell>
          <cell r="H872">
            <v>24513</v>
          </cell>
          <cell r="I872">
            <v>24513</v>
          </cell>
          <cell r="J872">
            <v>42365</v>
          </cell>
          <cell r="K872">
            <v>3699</v>
          </cell>
        </row>
        <row r="873">
          <cell r="C873" t="str">
            <v>2007LA</v>
          </cell>
          <cell r="D873">
            <v>0</v>
          </cell>
          <cell r="E873">
            <v>0</v>
          </cell>
          <cell r="F873">
            <v>0</v>
          </cell>
          <cell r="G873">
            <v>0</v>
          </cell>
          <cell r="I873">
            <v>0</v>
          </cell>
          <cell r="J873">
            <v>3127</v>
          </cell>
        </row>
        <row r="874">
          <cell r="C874" t="str">
            <v>2007ME</v>
          </cell>
          <cell r="D874">
            <v>0</v>
          </cell>
          <cell r="E874">
            <v>0</v>
          </cell>
          <cell r="F874">
            <v>0</v>
          </cell>
          <cell r="G874">
            <v>0</v>
          </cell>
          <cell r="I874">
            <v>0</v>
          </cell>
        </row>
        <row r="875">
          <cell r="C875" t="str">
            <v>2007MD</v>
          </cell>
          <cell r="D875">
            <v>0</v>
          </cell>
          <cell r="E875">
            <v>0</v>
          </cell>
          <cell r="F875">
            <v>0</v>
          </cell>
          <cell r="G875">
            <v>0</v>
          </cell>
          <cell r="I875">
            <v>0</v>
          </cell>
          <cell r="J875">
            <v>1690</v>
          </cell>
        </row>
        <row r="876">
          <cell r="C876" t="str">
            <v>2007MA</v>
          </cell>
          <cell r="D876">
            <v>0</v>
          </cell>
          <cell r="E876">
            <v>0</v>
          </cell>
          <cell r="F876">
            <v>0</v>
          </cell>
          <cell r="G876">
            <v>0</v>
          </cell>
          <cell r="I876">
            <v>0</v>
          </cell>
        </row>
        <row r="877">
          <cell r="C877" t="str">
            <v>2007MI</v>
          </cell>
          <cell r="D877">
            <v>0</v>
          </cell>
          <cell r="E877">
            <v>0</v>
          </cell>
          <cell r="F877">
            <v>0</v>
          </cell>
          <cell r="G877">
            <v>0</v>
          </cell>
          <cell r="I877">
            <v>0</v>
          </cell>
        </row>
        <row r="878">
          <cell r="C878" t="str">
            <v>2007MN</v>
          </cell>
          <cell r="D878">
            <v>0</v>
          </cell>
          <cell r="E878">
            <v>0</v>
          </cell>
          <cell r="F878">
            <v>0</v>
          </cell>
          <cell r="G878">
            <v>0</v>
          </cell>
          <cell r="I878">
            <v>0</v>
          </cell>
        </row>
        <row r="879">
          <cell r="C879" t="str">
            <v>2007MS</v>
          </cell>
          <cell r="D879">
            <v>0</v>
          </cell>
          <cell r="E879">
            <v>0</v>
          </cell>
          <cell r="F879">
            <v>0</v>
          </cell>
          <cell r="G879">
            <v>0</v>
          </cell>
          <cell r="I879">
            <v>0</v>
          </cell>
          <cell r="J879">
            <v>3545</v>
          </cell>
        </row>
        <row r="880">
          <cell r="C880" t="str">
            <v>2007MO</v>
          </cell>
          <cell r="D880">
            <v>0</v>
          </cell>
          <cell r="E880">
            <v>0</v>
          </cell>
          <cell r="F880">
            <v>0</v>
          </cell>
          <cell r="G880">
            <v>0</v>
          </cell>
          <cell r="I880">
            <v>0</v>
          </cell>
          <cell r="J880">
            <v>236</v>
          </cell>
        </row>
        <row r="881">
          <cell r="C881" t="str">
            <v>2007MT</v>
          </cell>
          <cell r="D881">
            <v>0</v>
          </cell>
          <cell r="E881">
            <v>0</v>
          </cell>
          <cell r="F881">
            <v>0</v>
          </cell>
          <cell r="G881">
            <v>0</v>
          </cell>
          <cell r="I881">
            <v>0</v>
          </cell>
          <cell r="J881">
            <v>43343</v>
          </cell>
        </row>
        <row r="882">
          <cell r="C882" t="str">
            <v>2007NE</v>
          </cell>
          <cell r="D882">
            <v>0</v>
          </cell>
          <cell r="E882">
            <v>0</v>
          </cell>
          <cell r="F882">
            <v>0</v>
          </cell>
          <cell r="G882">
            <v>0</v>
          </cell>
          <cell r="I882">
            <v>0</v>
          </cell>
        </row>
        <row r="883">
          <cell r="C883" t="str">
            <v>2007NV</v>
          </cell>
          <cell r="D883">
            <v>0</v>
          </cell>
          <cell r="E883">
            <v>0</v>
          </cell>
          <cell r="F883">
            <v>0</v>
          </cell>
          <cell r="G883">
            <v>0</v>
          </cell>
          <cell r="I883">
            <v>0</v>
          </cell>
        </row>
        <row r="884">
          <cell r="C884" t="str">
            <v>2007NH</v>
          </cell>
          <cell r="D884">
            <v>0</v>
          </cell>
          <cell r="E884">
            <v>0</v>
          </cell>
          <cell r="F884">
            <v>0</v>
          </cell>
          <cell r="G884">
            <v>0</v>
          </cell>
          <cell r="I884">
            <v>0</v>
          </cell>
        </row>
        <row r="885">
          <cell r="C885" t="str">
            <v>2007NJ</v>
          </cell>
          <cell r="D885">
            <v>0</v>
          </cell>
          <cell r="E885">
            <v>0</v>
          </cell>
          <cell r="F885">
            <v>0</v>
          </cell>
          <cell r="G885">
            <v>0</v>
          </cell>
          <cell r="I885">
            <v>0</v>
          </cell>
        </row>
        <row r="886">
          <cell r="C886" t="str">
            <v>2007NM</v>
          </cell>
          <cell r="D886">
            <v>0</v>
          </cell>
          <cell r="E886">
            <v>0</v>
          </cell>
          <cell r="F886">
            <v>0</v>
          </cell>
          <cell r="G886">
            <v>0</v>
          </cell>
          <cell r="I886">
            <v>0</v>
          </cell>
          <cell r="J886">
            <v>17553</v>
          </cell>
        </row>
        <row r="887">
          <cell r="C887" t="str">
            <v>2007NY</v>
          </cell>
          <cell r="D887">
            <v>0</v>
          </cell>
          <cell r="E887">
            <v>0</v>
          </cell>
          <cell r="F887">
            <v>0</v>
          </cell>
          <cell r="G887">
            <v>0</v>
          </cell>
          <cell r="I887">
            <v>0</v>
          </cell>
        </row>
        <row r="888">
          <cell r="C888" t="str">
            <v>2007NC</v>
          </cell>
          <cell r="D888">
            <v>0</v>
          </cell>
          <cell r="E888">
            <v>0</v>
          </cell>
          <cell r="F888">
            <v>0</v>
          </cell>
          <cell r="G888">
            <v>0</v>
          </cell>
          <cell r="I888">
            <v>0</v>
          </cell>
        </row>
        <row r="889">
          <cell r="C889" t="str">
            <v>2007ND</v>
          </cell>
          <cell r="D889">
            <v>0</v>
          </cell>
          <cell r="E889">
            <v>0</v>
          </cell>
          <cell r="F889">
            <v>0</v>
          </cell>
          <cell r="G889">
            <v>0</v>
          </cell>
          <cell r="I889">
            <v>0</v>
          </cell>
          <cell r="J889">
            <v>29606</v>
          </cell>
        </row>
        <row r="890">
          <cell r="C890" t="str">
            <v>2007OH</v>
          </cell>
          <cell r="D890">
            <v>1023.1559687500001</v>
          </cell>
          <cell r="E890">
            <v>0</v>
          </cell>
          <cell r="F890">
            <v>0</v>
          </cell>
          <cell r="G890">
            <v>0</v>
          </cell>
          <cell r="I890">
            <v>0</v>
          </cell>
          <cell r="J890">
            <v>6783</v>
          </cell>
        </row>
        <row r="891">
          <cell r="C891" t="str">
            <v>2007OK</v>
          </cell>
          <cell r="D891">
            <v>522.45282100000009</v>
          </cell>
          <cell r="E891">
            <v>0</v>
          </cell>
          <cell r="F891">
            <v>0</v>
          </cell>
          <cell r="G891">
            <v>0</v>
          </cell>
          <cell r="I891">
            <v>0</v>
          </cell>
          <cell r="J891">
            <v>1134</v>
          </cell>
        </row>
        <row r="892">
          <cell r="C892" t="str">
            <v>2007OR</v>
          </cell>
          <cell r="D892">
            <v>0</v>
          </cell>
          <cell r="E892">
            <v>0</v>
          </cell>
          <cell r="F892">
            <v>0</v>
          </cell>
          <cell r="G892">
            <v>0</v>
          </cell>
          <cell r="I892">
            <v>0</v>
          </cell>
        </row>
        <row r="893">
          <cell r="C893" t="str">
            <v>2007PA</v>
          </cell>
          <cell r="D893">
            <v>14239.53684445</v>
          </cell>
          <cell r="E893">
            <v>2883.5001961834178</v>
          </cell>
          <cell r="F893">
            <v>1096.4000000000001</v>
          </cell>
          <cell r="G893">
            <v>0</v>
          </cell>
          <cell r="I893">
            <v>0</v>
          </cell>
          <cell r="J893">
            <v>11504</v>
          </cell>
        </row>
        <row r="894">
          <cell r="C894" t="str">
            <v>2007RI</v>
          </cell>
          <cell r="D894">
            <v>0</v>
          </cell>
          <cell r="E894">
            <v>0</v>
          </cell>
          <cell r="F894">
            <v>0</v>
          </cell>
          <cell r="G894">
            <v>0</v>
          </cell>
          <cell r="I894">
            <v>0</v>
          </cell>
        </row>
        <row r="895">
          <cell r="C895" t="str">
            <v>2007SC</v>
          </cell>
          <cell r="D895">
            <v>0</v>
          </cell>
          <cell r="E895">
            <v>0</v>
          </cell>
          <cell r="F895">
            <v>0</v>
          </cell>
          <cell r="G895">
            <v>0</v>
          </cell>
          <cell r="I895">
            <v>0</v>
          </cell>
        </row>
        <row r="896">
          <cell r="C896" t="str">
            <v>2007SD</v>
          </cell>
          <cell r="D896">
            <v>0</v>
          </cell>
          <cell r="E896">
            <v>0</v>
          </cell>
          <cell r="F896">
            <v>0</v>
          </cell>
          <cell r="G896">
            <v>0</v>
          </cell>
          <cell r="I896">
            <v>0</v>
          </cell>
        </row>
        <row r="897">
          <cell r="C897" t="str">
            <v>2007TN</v>
          </cell>
          <cell r="D897">
            <v>0</v>
          </cell>
          <cell r="E897">
            <v>0</v>
          </cell>
          <cell r="F897">
            <v>0</v>
          </cell>
          <cell r="G897">
            <v>0</v>
          </cell>
          <cell r="I897">
            <v>0</v>
          </cell>
          <cell r="J897">
            <v>1763</v>
          </cell>
        </row>
        <row r="898">
          <cell r="C898" t="str">
            <v>2007TX</v>
          </cell>
          <cell r="D898">
            <v>0</v>
          </cell>
          <cell r="E898">
            <v>0</v>
          </cell>
          <cell r="F898">
            <v>0</v>
          </cell>
          <cell r="G898">
            <v>0</v>
          </cell>
          <cell r="I898">
            <v>0</v>
          </cell>
          <cell r="J898">
            <v>41948</v>
          </cell>
        </row>
        <row r="899">
          <cell r="C899" t="str">
            <v>2007UT</v>
          </cell>
          <cell r="D899">
            <v>2742.9607105</v>
          </cell>
          <cell r="E899">
            <v>662.65558583333336</v>
          </cell>
          <cell r="F899">
            <v>0</v>
          </cell>
          <cell r="G899">
            <v>0</v>
          </cell>
          <cell r="I899">
            <v>0</v>
          </cell>
        </row>
        <row r="900">
          <cell r="C900" t="str">
            <v>2007VT</v>
          </cell>
          <cell r="D900">
            <v>0</v>
          </cell>
          <cell r="E900">
            <v>0</v>
          </cell>
          <cell r="F900">
            <v>0</v>
          </cell>
          <cell r="G900">
            <v>0</v>
          </cell>
          <cell r="I900">
            <v>0</v>
          </cell>
        </row>
        <row r="901">
          <cell r="C901" t="str">
            <v>2007VA</v>
          </cell>
          <cell r="D901">
            <v>7521.39006075</v>
          </cell>
          <cell r="E901">
            <v>19087.624219999998</v>
          </cell>
          <cell r="F901">
            <v>19087.624219999998</v>
          </cell>
          <cell r="G901">
            <v>0</v>
          </cell>
          <cell r="I901">
            <v>0</v>
          </cell>
          <cell r="J901">
            <v>9615</v>
          </cell>
        </row>
        <row r="902">
          <cell r="C902" t="str">
            <v>2007WA</v>
          </cell>
          <cell r="D902">
            <v>0</v>
          </cell>
          <cell r="E902">
            <v>0</v>
          </cell>
          <cell r="F902">
            <v>0</v>
          </cell>
          <cell r="G902">
            <v>0</v>
          </cell>
          <cell r="I902">
            <v>0</v>
          </cell>
        </row>
        <row r="903">
          <cell r="C903" t="str">
            <v>2007WV</v>
          </cell>
          <cell r="D903">
            <v>20173.045692499993</v>
          </cell>
          <cell r="E903">
            <v>3731.4691672941171</v>
          </cell>
          <cell r="F903">
            <v>2509.3002900000001</v>
          </cell>
          <cell r="G903">
            <v>0</v>
          </cell>
          <cell r="H903">
            <v>36076</v>
          </cell>
          <cell r="I903">
            <v>36076</v>
          </cell>
          <cell r="J903">
            <v>62483</v>
          </cell>
          <cell r="K903">
            <v>6144</v>
          </cell>
        </row>
        <row r="904">
          <cell r="C904" t="str">
            <v>2007WI</v>
          </cell>
          <cell r="D904">
            <v>0</v>
          </cell>
          <cell r="E904">
            <v>0</v>
          </cell>
          <cell r="F904">
            <v>0</v>
          </cell>
          <cell r="G904">
            <v>0</v>
          </cell>
          <cell r="I904">
            <v>0</v>
          </cell>
        </row>
        <row r="905">
          <cell r="C905" t="str">
            <v>2007WY</v>
          </cell>
          <cell r="D905">
            <v>0</v>
          </cell>
          <cell r="E905">
            <v>0</v>
          </cell>
          <cell r="F905">
            <v>0</v>
          </cell>
          <cell r="G905">
            <v>0</v>
          </cell>
          <cell r="I905">
            <v>0</v>
          </cell>
          <cell r="J905">
            <v>450746</v>
          </cell>
        </row>
      </sheetData>
      <sheetData sheetId="10"/>
      <sheetData sheetId="11">
        <row r="1">
          <cell r="M1">
            <v>1</v>
          </cell>
        </row>
        <row r="19">
          <cell r="B19">
            <v>19.2</v>
          </cell>
        </row>
        <row r="20">
          <cell r="B20">
            <v>9.9999999999999995E-7</v>
          </cell>
        </row>
      </sheetData>
      <sheetData sheetId="12"/>
      <sheetData sheetId="13"/>
      <sheetData sheetId="14"/>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Control"/>
      <sheetName val="Enteric Fermentation"/>
      <sheetName val="CH4 from Manure Management"/>
      <sheetName val="N2O from Manure Management"/>
      <sheetName val="Ag Soils-Plant-Residues&amp;Legumes"/>
      <sheetName val="Ag Soils-Plant-Fertilizers"/>
      <sheetName val="Ag Soils-Animals"/>
      <sheetName val="Rice Cultivation"/>
      <sheetName val="Ag. Residue Burning-CH4"/>
      <sheetName val="Ag. Residue Burning-N2O"/>
      <sheetName val="Summary"/>
      <sheetName val="Default Livestock_Crop Data "/>
      <sheetName val="Summary Figures"/>
      <sheetName val="National Adjustment"/>
      <sheetName val="Uncertainty"/>
      <sheetName val="constants"/>
      <sheetName val="FertilizerData"/>
      <sheetName val="enteric EFsNEW"/>
      <sheetName val="enteric EFs"/>
      <sheetName val="VS-CattleNEW"/>
      <sheetName val="VS-Cattle"/>
      <sheetName val="MCF"/>
      <sheetName val="manure%"/>
      <sheetName val="Documentation"/>
      <sheetName val="Data Sources"/>
      <sheetName val="Notes"/>
      <sheetName val="ListData"/>
      <sheetName val="animal data"/>
      <sheetName val="crop data"/>
    </sheetNames>
    <sheetDataSet>
      <sheetData sheetId="0">
        <row r="12">
          <cell r="C12" t="str">
            <v>varies by year</v>
          </cell>
        </row>
        <row r="13">
          <cell r="C13" t="str">
            <v>varies by year</v>
          </cell>
        </row>
        <row r="14">
          <cell r="C14" t="str">
            <v>varies by year</v>
          </cell>
        </row>
        <row r="15">
          <cell r="C15" t="str">
            <v>varies by year</v>
          </cell>
        </row>
        <row r="17">
          <cell r="C17" t="str">
            <v>varies by year</v>
          </cell>
        </row>
        <row r="18">
          <cell r="C18" t="str">
            <v>varies by year</v>
          </cell>
        </row>
        <row r="19">
          <cell r="C19" t="str">
            <v>varies by year</v>
          </cell>
        </row>
        <row r="20">
          <cell r="C20" t="str">
            <v>varies by year</v>
          </cell>
        </row>
        <row r="21">
          <cell r="C21" t="str">
            <v>varies by year</v>
          </cell>
        </row>
        <row r="22">
          <cell r="C22" t="str">
            <v>varies by year</v>
          </cell>
        </row>
        <row r="23">
          <cell r="C23" t="str">
            <v>varies by year</v>
          </cell>
        </row>
        <row r="24">
          <cell r="C24" t="str">
            <v>varies by year</v>
          </cell>
        </row>
        <row r="25">
          <cell r="C25">
            <v>53</v>
          </cell>
        </row>
        <row r="27">
          <cell r="C27">
            <v>8</v>
          </cell>
        </row>
        <row r="28">
          <cell r="C28">
            <v>5</v>
          </cell>
        </row>
        <row r="29">
          <cell r="C29">
            <v>1.5</v>
          </cell>
        </row>
        <row r="30">
          <cell r="C30">
            <v>18</v>
          </cell>
        </row>
        <row r="39">
          <cell r="F39" t="str">
            <v>varies by year</v>
          </cell>
        </row>
        <row r="40">
          <cell r="F40" t="str">
            <v>varies by year</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3">
          <cell r="B3">
            <v>0.90720000000000001</v>
          </cell>
        </row>
        <row r="4">
          <cell r="B4">
            <v>2000</v>
          </cell>
        </row>
        <row r="5">
          <cell r="B5">
            <v>0.45400000000000001</v>
          </cell>
        </row>
        <row r="10">
          <cell r="B10">
            <v>365</v>
          </cell>
        </row>
        <row r="11">
          <cell r="B11">
            <v>1.5714285714285714</v>
          </cell>
        </row>
        <row r="16">
          <cell r="B16">
            <v>0.2</v>
          </cell>
        </row>
        <row r="19">
          <cell r="G19">
            <v>1.2500000000000001E-2</v>
          </cell>
        </row>
        <row r="20">
          <cell r="B20">
            <v>4.1000000000000002E-2</v>
          </cell>
          <cell r="G20">
            <v>0.02</v>
          </cell>
        </row>
        <row r="21">
          <cell r="B21">
            <v>0.2</v>
          </cell>
          <cell r="G21">
            <v>0.3</v>
          </cell>
        </row>
        <row r="22">
          <cell r="B22">
            <v>0.1</v>
          </cell>
          <cell r="G22">
            <v>7.4999999999999997E-3</v>
          </cell>
        </row>
        <row r="23">
          <cell r="B23">
            <v>0.01</v>
          </cell>
          <cell r="G23">
            <v>0.01</v>
          </cell>
        </row>
        <row r="24">
          <cell r="B24">
            <v>0.01</v>
          </cell>
        </row>
        <row r="28">
          <cell r="G28">
            <v>4.2000000000000003E-2</v>
          </cell>
        </row>
      </sheetData>
      <sheetData sheetId="16"/>
      <sheetData sheetId="17">
        <row r="3">
          <cell r="A3" t="str">
            <v>Dairy Cows</v>
          </cell>
          <cell r="B3">
            <v>1990</v>
          </cell>
          <cell r="C3">
            <v>1991</v>
          </cell>
          <cell r="D3">
            <v>1992</v>
          </cell>
          <cell r="E3">
            <v>1993</v>
          </cell>
          <cell r="F3">
            <v>1994</v>
          </cell>
          <cell r="G3">
            <v>1995</v>
          </cell>
          <cell r="H3">
            <v>1996</v>
          </cell>
          <cell r="I3">
            <v>1997</v>
          </cell>
          <cell r="J3">
            <v>1998</v>
          </cell>
          <cell r="K3">
            <v>1999</v>
          </cell>
          <cell r="L3">
            <v>2000</v>
          </cell>
          <cell r="M3">
            <v>2001</v>
          </cell>
          <cell r="N3">
            <v>2002</v>
          </cell>
          <cell r="O3">
            <v>2003</v>
          </cell>
          <cell r="P3">
            <v>2004</v>
          </cell>
          <cell r="Q3">
            <v>2005</v>
          </cell>
          <cell r="R3">
            <v>2006</v>
          </cell>
          <cell r="S3">
            <v>2007</v>
          </cell>
          <cell r="T3">
            <v>2008</v>
          </cell>
          <cell r="U3">
            <v>2009</v>
          </cell>
          <cell r="V3">
            <v>2010</v>
          </cell>
          <cell r="W3">
            <v>2011</v>
          </cell>
          <cell r="X3">
            <v>2012</v>
          </cell>
          <cell r="Y3">
            <v>2013</v>
          </cell>
          <cell r="Z3">
            <v>2014</v>
          </cell>
          <cell r="AA3">
            <v>2015</v>
          </cell>
          <cell r="AB3">
            <v>2016</v>
          </cell>
          <cell r="AC3">
            <v>2017</v>
          </cell>
          <cell r="AD3">
            <v>2018</v>
          </cell>
          <cell r="AE3">
            <v>2019</v>
          </cell>
          <cell r="AF3">
            <v>2020</v>
          </cell>
        </row>
        <row r="4">
          <cell r="A4" t="str">
            <v>Alabama</v>
          </cell>
          <cell r="B4">
            <v>141.97145204266889</v>
          </cell>
          <cell r="C4">
            <v>144.46390784610423</v>
          </cell>
          <cell r="D4">
            <v>142.2444815176861</v>
          </cell>
          <cell r="E4">
            <v>130.69791010049971</v>
          </cell>
          <cell r="F4">
            <v>132.08420120008893</v>
          </cell>
          <cell r="G4">
            <v>135.06441608493418</v>
          </cell>
          <cell r="H4">
            <v>116.35401898315584</v>
          </cell>
          <cell r="I4">
            <v>116.04316790935493</v>
          </cell>
          <cell r="J4">
            <v>117.23646851757972</v>
          </cell>
          <cell r="K4">
            <v>117.79077635887225</v>
          </cell>
          <cell r="L4">
            <v>117.76734947005055</v>
          </cell>
          <cell r="M4">
            <v>119.02462038173971</v>
          </cell>
          <cell r="N4">
            <v>117.30207479235364</v>
          </cell>
          <cell r="O4">
            <v>117.89507858802496</v>
          </cell>
          <cell r="P4">
            <v>119.52294164932339</v>
          </cell>
          <cell r="Q4">
            <v>117.89507858802496</v>
          </cell>
          <cell r="R4">
            <v>119.87177259578502</v>
          </cell>
          <cell r="S4">
            <v>122.45667336492245</v>
          </cell>
          <cell r="T4">
            <v>122.45667336492245</v>
          </cell>
          <cell r="U4">
            <v>122.45667336492245</v>
          </cell>
          <cell r="V4">
            <v>122.45667336492245</v>
          </cell>
          <cell r="W4">
            <v>122.45667336492245</v>
          </cell>
          <cell r="X4">
            <v>122.45667336492245</v>
          </cell>
          <cell r="Y4">
            <v>122.45667336492245</v>
          </cell>
          <cell r="Z4">
            <v>122.45667336492245</v>
          </cell>
          <cell r="AA4">
            <v>122.45667336492245</v>
          </cell>
          <cell r="AB4">
            <v>122.45667336492245</v>
          </cell>
          <cell r="AC4">
            <v>122.45667336492245</v>
          </cell>
          <cell r="AD4">
            <v>122.45667336492245</v>
          </cell>
          <cell r="AE4">
            <v>122.45667336492245</v>
          </cell>
          <cell r="AF4">
            <v>122.45667336492245</v>
          </cell>
        </row>
        <row r="5">
          <cell r="A5" t="str">
            <v>Alaska</v>
          </cell>
          <cell r="B5">
            <v>126.52132554677488</v>
          </cell>
          <cell r="C5">
            <v>123.48004219430915</v>
          </cell>
          <cell r="D5">
            <v>141.41740183731144</v>
          </cell>
          <cell r="E5">
            <v>138.120471675781</v>
          </cell>
          <cell r="F5">
            <v>144.23614888336579</v>
          </cell>
          <cell r="G5">
            <v>138.120471675781</v>
          </cell>
          <cell r="H5">
            <v>137.58371164869803</v>
          </cell>
          <cell r="I5">
            <v>134.0690044798198</v>
          </cell>
          <cell r="J5">
            <v>129.38272237811637</v>
          </cell>
          <cell r="K5">
            <v>122.82192626042477</v>
          </cell>
          <cell r="L5">
            <v>124.69644027641273</v>
          </cell>
          <cell r="M5">
            <v>117.2528619881767</v>
          </cell>
          <cell r="N5">
            <v>121.97191163596628</v>
          </cell>
          <cell r="O5">
            <v>117.75425950739285</v>
          </cell>
          <cell r="P5">
            <v>114.88841556818315</v>
          </cell>
          <cell r="Q5">
            <v>115.33574311043785</v>
          </cell>
          <cell r="R5">
            <v>115.23989098629706</v>
          </cell>
          <cell r="S5">
            <v>125.43254882788297</v>
          </cell>
          <cell r="T5">
            <v>125.43254882788297</v>
          </cell>
          <cell r="U5">
            <v>125.43254882788297</v>
          </cell>
          <cell r="V5">
            <v>125.43254882788297</v>
          </cell>
          <cell r="W5">
            <v>125.43254882788297</v>
          </cell>
          <cell r="X5">
            <v>125.43254882788297</v>
          </cell>
          <cell r="Y5">
            <v>125.43254882788297</v>
          </cell>
          <cell r="Z5">
            <v>125.43254882788297</v>
          </cell>
          <cell r="AA5">
            <v>125.43254882788297</v>
          </cell>
          <cell r="AB5">
            <v>125.43254882788297</v>
          </cell>
          <cell r="AC5">
            <v>125.43254882788297</v>
          </cell>
          <cell r="AD5">
            <v>125.43254882788297</v>
          </cell>
          <cell r="AE5">
            <v>125.43254882788297</v>
          </cell>
          <cell r="AF5">
            <v>125.43254882788297</v>
          </cell>
        </row>
        <row r="6">
          <cell r="A6" t="str">
            <v>Arizona</v>
          </cell>
          <cell r="B6">
            <v>141.72773625556979</v>
          </cell>
          <cell r="C6">
            <v>144.03728053049272</v>
          </cell>
          <cell r="D6">
            <v>144.91975260354198</v>
          </cell>
          <cell r="E6">
            <v>143.4686926847335</v>
          </cell>
          <cell r="F6">
            <v>148.54518296205811</v>
          </cell>
          <cell r="G6">
            <v>149.21528826792337</v>
          </cell>
          <cell r="H6">
            <v>150.0101041944254</v>
          </cell>
          <cell r="I6">
            <v>152.24586630233304</v>
          </cell>
          <cell r="J6">
            <v>150.05959635244844</v>
          </cell>
          <cell r="K6">
            <v>156.0280791142136</v>
          </cell>
          <cell r="L6">
            <v>155.80458282426702</v>
          </cell>
          <cell r="M6">
            <v>156.5126368088408</v>
          </cell>
          <cell r="N6">
            <v>161.98554569525101</v>
          </cell>
          <cell r="O6">
            <v>160.22591789267449</v>
          </cell>
          <cell r="P6">
            <v>159.68340815100163</v>
          </cell>
          <cell r="Q6">
            <v>159.22489756710385</v>
          </cell>
          <cell r="R6">
            <v>159.97017119151542</v>
          </cell>
          <cell r="S6">
            <v>161.67485341376502</v>
          </cell>
          <cell r="T6">
            <v>161.67485341376502</v>
          </cell>
          <cell r="U6">
            <v>161.67485341376502</v>
          </cell>
          <cell r="V6">
            <v>161.67485341376502</v>
          </cell>
          <cell r="W6">
            <v>161.67485341376502</v>
          </cell>
          <cell r="X6">
            <v>161.67485341376502</v>
          </cell>
          <cell r="Y6">
            <v>161.67485341376502</v>
          </cell>
          <cell r="Z6">
            <v>161.67485341376502</v>
          </cell>
          <cell r="AA6">
            <v>161.67485341376502</v>
          </cell>
          <cell r="AB6">
            <v>161.67485341376502</v>
          </cell>
          <cell r="AC6">
            <v>161.67485341376502</v>
          </cell>
          <cell r="AD6">
            <v>161.67485341376502</v>
          </cell>
          <cell r="AE6">
            <v>161.67485341376502</v>
          </cell>
          <cell r="AF6">
            <v>161.67485341376502</v>
          </cell>
        </row>
        <row r="7">
          <cell r="A7" t="str">
            <v>Arkansas</v>
          </cell>
          <cell r="B7">
            <v>131.79012624969241</v>
          </cell>
          <cell r="C7">
            <v>131.03904552495933</v>
          </cell>
          <cell r="D7">
            <v>133.09277004372063</v>
          </cell>
          <cell r="E7">
            <v>120.78068010654431</v>
          </cell>
          <cell r="F7">
            <v>121.38883333391448</v>
          </cell>
          <cell r="G7">
            <v>120.53220126371114</v>
          </cell>
          <cell r="H7">
            <v>108.47947181573328</v>
          </cell>
          <cell r="I7">
            <v>108.19095955755184</v>
          </cell>
          <cell r="J7">
            <v>108.26610781398657</v>
          </cell>
          <cell r="K7">
            <v>109.78335677166028</v>
          </cell>
          <cell r="L7">
            <v>110.00218680741888</v>
          </cell>
          <cell r="M7">
            <v>109.4416846660132</v>
          </cell>
          <cell r="N7">
            <v>109.19631800625002</v>
          </cell>
          <cell r="O7">
            <v>108.90018659609071</v>
          </cell>
          <cell r="P7">
            <v>113.88437722390749</v>
          </cell>
          <cell r="Q7">
            <v>114.23136217283276</v>
          </cell>
          <cell r="R7">
            <v>111.66066140534303</v>
          </cell>
          <cell r="S7">
            <v>111.82465907351717</v>
          </cell>
          <cell r="T7">
            <v>111.82465907351717</v>
          </cell>
          <cell r="U7">
            <v>111.82465907351717</v>
          </cell>
          <cell r="V7">
            <v>111.82465907351717</v>
          </cell>
          <cell r="W7">
            <v>111.82465907351717</v>
          </cell>
          <cell r="X7">
            <v>111.82465907351717</v>
          </cell>
          <cell r="Y7">
            <v>111.82465907351717</v>
          </cell>
          <cell r="Z7">
            <v>111.82465907351717</v>
          </cell>
          <cell r="AA7">
            <v>111.82465907351717</v>
          </cell>
          <cell r="AB7">
            <v>111.82465907351717</v>
          </cell>
          <cell r="AC7">
            <v>111.82465907351717</v>
          </cell>
          <cell r="AD7">
            <v>111.82465907351717</v>
          </cell>
          <cell r="AE7">
            <v>111.82465907351717</v>
          </cell>
          <cell r="AF7">
            <v>111.82465907351717</v>
          </cell>
        </row>
        <row r="8">
          <cell r="A8" t="str">
            <v>California</v>
          </cell>
          <cell r="B8">
            <v>144.74750247493429</v>
          </cell>
          <cell r="C8">
            <v>145.08939396570577</v>
          </cell>
          <cell r="D8">
            <v>145.90548298539258</v>
          </cell>
          <cell r="E8">
            <v>128.52341599738637</v>
          </cell>
          <cell r="F8">
            <v>133.67537700672059</v>
          </cell>
          <cell r="G8">
            <v>131.27085373809749</v>
          </cell>
          <cell r="H8">
            <v>112.71375632570131</v>
          </cell>
          <cell r="I8">
            <v>114.9269960989831</v>
          </cell>
          <cell r="J8">
            <v>113.67401785032722</v>
          </cell>
          <cell r="K8">
            <v>118.08096202226001</v>
          </cell>
          <cell r="L8">
            <v>119.23892689283736</v>
          </cell>
          <cell r="M8">
            <v>118.33196940332512</v>
          </cell>
          <cell r="N8">
            <v>119.56760954538501</v>
          </cell>
          <cell r="O8">
            <v>118.62729422911914</v>
          </cell>
          <cell r="P8">
            <v>119.10982998438644</v>
          </cell>
          <cell r="Q8">
            <v>119.98731082062486</v>
          </cell>
          <cell r="R8">
            <v>121.34770593309484</v>
          </cell>
          <cell r="S8">
            <v>123.41833562512737</v>
          </cell>
          <cell r="T8">
            <v>123.41833562512737</v>
          </cell>
          <cell r="U8">
            <v>123.41833562512737</v>
          </cell>
          <cell r="V8">
            <v>123.41833562512737</v>
          </cell>
          <cell r="W8">
            <v>123.41833562512737</v>
          </cell>
          <cell r="X8">
            <v>123.41833562512737</v>
          </cell>
          <cell r="Y8">
            <v>123.41833562512737</v>
          </cell>
          <cell r="Z8">
            <v>123.41833562512737</v>
          </cell>
          <cell r="AA8">
            <v>123.41833562512737</v>
          </cell>
          <cell r="AB8">
            <v>123.41833562512737</v>
          </cell>
          <cell r="AC8">
            <v>123.41833562512737</v>
          </cell>
          <cell r="AD8">
            <v>123.41833562512737</v>
          </cell>
          <cell r="AE8">
            <v>123.41833562512737</v>
          </cell>
          <cell r="AF8">
            <v>123.41833562512737</v>
          </cell>
        </row>
        <row r="9">
          <cell r="A9" t="str">
            <v>Colorado</v>
          </cell>
          <cell r="B9">
            <v>132.77189301255316</v>
          </cell>
          <cell r="C9">
            <v>133.41244887033147</v>
          </cell>
          <cell r="D9">
            <v>134.90173794671713</v>
          </cell>
          <cell r="E9">
            <v>134.79698750549457</v>
          </cell>
          <cell r="F9">
            <v>138.8366973393662</v>
          </cell>
          <cell r="G9">
            <v>136.86877430448689</v>
          </cell>
          <cell r="H9">
            <v>137.95259124498102</v>
          </cell>
          <cell r="I9">
            <v>140.13842345142643</v>
          </cell>
          <cell r="J9">
            <v>141.58057150879981</v>
          </cell>
          <cell r="K9">
            <v>143.45610198928262</v>
          </cell>
          <cell r="L9">
            <v>146.64413730581197</v>
          </cell>
          <cell r="M9">
            <v>145.63577429047288</v>
          </cell>
          <cell r="N9">
            <v>146.34210210486827</v>
          </cell>
          <cell r="O9">
            <v>146.10260890251791</v>
          </cell>
          <cell r="P9">
            <v>145.63066886911906</v>
          </cell>
          <cell r="Q9">
            <v>150.28142964934969</v>
          </cell>
          <cell r="R9">
            <v>152.58702236062339</v>
          </cell>
          <cell r="S9">
            <v>151.63188589641848</v>
          </cell>
          <cell r="T9">
            <v>151.63188589641848</v>
          </cell>
          <cell r="U9">
            <v>151.63188589641848</v>
          </cell>
          <cell r="V9">
            <v>151.63188589641848</v>
          </cell>
          <cell r="W9">
            <v>151.63188589641848</v>
          </cell>
          <cell r="X9">
            <v>151.63188589641848</v>
          </cell>
          <cell r="Y9">
            <v>151.63188589641848</v>
          </cell>
          <cell r="Z9">
            <v>151.63188589641848</v>
          </cell>
          <cell r="AA9">
            <v>151.63188589641848</v>
          </cell>
          <cell r="AB9">
            <v>151.63188589641848</v>
          </cell>
          <cell r="AC9">
            <v>151.63188589641848</v>
          </cell>
          <cell r="AD9">
            <v>151.63188589641848</v>
          </cell>
          <cell r="AE9">
            <v>151.63188589641848</v>
          </cell>
          <cell r="AF9">
            <v>151.63188589641848</v>
          </cell>
        </row>
        <row r="10">
          <cell r="A10" t="str">
            <v>Connecticut</v>
          </cell>
          <cell r="B10">
            <v>135.60689994627597</v>
          </cell>
          <cell r="C10">
            <v>136.67678352292003</v>
          </cell>
          <cell r="D10">
            <v>136.95605763292883</v>
          </cell>
          <cell r="E10">
            <v>130.58214075001095</v>
          </cell>
          <cell r="F10">
            <v>130.96021048325233</v>
          </cell>
          <cell r="G10">
            <v>132.54313866303937</v>
          </cell>
          <cell r="H10">
            <v>126.74781532010621</v>
          </cell>
          <cell r="I10">
            <v>128.0783226059593</v>
          </cell>
          <cell r="J10">
            <v>130.73933717766548</v>
          </cell>
          <cell r="K10">
            <v>131.927621217026</v>
          </cell>
          <cell r="L10">
            <v>131.31588829566599</v>
          </cell>
          <cell r="M10">
            <v>132.97049748636482</v>
          </cell>
          <cell r="N10">
            <v>134.50723487531224</v>
          </cell>
          <cell r="O10">
            <v>135.09689435728981</v>
          </cell>
          <cell r="P10">
            <v>138.39897299656474</v>
          </cell>
          <cell r="Q10">
            <v>136.8023609166645</v>
          </cell>
          <cell r="R10">
            <v>137.26454058571045</v>
          </cell>
          <cell r="S10">
            <v>136.84437775580159</v>
          </cell>
          <cell r="T10">
            <v>136.84437775580159</v>
          </cell>
          <cell r="U10">
            <v>136.84437775580159</v>
          </cell>
          <cell r="V10">
            <v>136.84437775580159</v>
          </cell>
          <cell r="W10">
            <v>136.84437775580159</v>
          </cell>
          <cell r="X10">
            <v>136.84437775580159</v>
          </cell>
          <cell r="Y10">
            <v>136.84437775580159</v>
          </cell>
          <cell r="Z10">
            <v>136.84437775580159</v>
          </cell>
          <cell r="AA10">
            <v>136.84437775580159</v>
          </cell>
          <cell r="AB10">
            <v>136.84437775580159</v>
          </cell>
          <cell r="AC10">
            <v>136.84437775580159</v>
          </cell>
          <cell r="AD10">
            <v>136.84437775580159</v>
          </cell>
          <cell r="AE10">
            <v>136.84437775580159</v>
          </cell>
          <cell r="AF10">
            <v>136.84437775580159</v>
          </cell>
        </row>
        <row r="11">
          <cell r="A11" t="str">
            <v>Delaware</v>
          </cell>
          <cell r="B11">
            <v>127.04780058757517</v>
          </cell>
          <cell r="C11">
            <v>129.09454401106586</v>
          </cell>
          <cell r="D11">
            <v>130.26582025565224</v>
          </cell>
          <cell r="E11">
            <v>125.24576139810249</v>
          </cell>
          <cell r="F11">
            <v>123.56579217963008</v>
          </cell>
          <cell r="G11">
            <v>124.40577678886632</v>
          </cell>
          <cell r="H11">
            <v>117.96509466485959</v>
          </cell>
          <cell r="I11">
            <v>119.43002246718402</v>
          </cell>
          <cell r="J11">
            <v>118.5804536589022</v>
          </cell>
          <cell r="K11">
            <v>118.23256757835449</v>
          </cell>
          <cell r="L11">
            <v>119.22036650400904</v>
          </cell>
          <cell r="M11">
            <v>126.69050665647372</v>
          </cell>
          <cell r="N11">
            <v>126.69050665647372</v>
          </cell>
          <cell r="O11">
            <v>123.64476688543186</v>
          </cell>
          <cell r="P11">
            <v>128.93798209852389</v>
          </cell>
          <cell r="Q11">
            <v>130.66404831007117</v>
          </cell>
          <cell r="R11">
            <v>125.16992531222404</v>
          </cell>
          <cell r="S11">
            <v>126.49484332960154</v>
          </cell>
          <cell r="T11">
            <v>126.49484332960154</v>
          </cell>
          <cell r="U11">
            <v>126.49484332960154</v>
          </cell>
          <cell r="V11">
            <v>126.49484332960154</v>
          </cell>
          <cell r="W11">
            <v>126.49484332960154</v>
          </cell>
          <cell r="X11">
            <v>126.49484332960154</v>
          </cell>
          <cell r="Y11">
            <v>126.49484332960154</v>
          </cell>
          <cell r="Z11">
            <v>126.49484332960154</v>
          </cell>
          <cell r="AA11">
            <v>126.49484332960154</v>
          </cell>
          <cell r="AB11">
            <v>126.49484332960154</v>
          </cell>
          <cell r="AC11">
            <v>126.49484332960154</v>
          </cell>
          <cell r="AD11">
            <v>126.49484332960154</v>
          </cell>
          <cell r="AE11">
            <v>126.49484332960154</v>
          </cell>
          <cell r="AF11">
            <v>126.49484332960154</v>
          </cell>
        </row>
        <row r="12">
          <cell r="A12" t="str">
            <v>Florida</v>
          </cell>
          <cell r="B12">
            <v>151.16741469006305</v>
          </cell>
          <cell r="C12">
            <v>150.66187837997947</v>
          </cell>
          <cell r="D12">
            <v>152.25576418888525</v>
          </cell>
          <cell r="E12">
            <v>135.93793274379357</v>
          </cell>
          <cell r="F12">
            <v>138.33224764929187</v>
          </cell>
          <cell r="G12">
            <v>137.40675705300671</v>
          </cell>
          <cell r="H12">
            <v>123.58288045172793</v>
          </cell>
          <cell r="I12">
            <v>123.91486144453194</v>
          </cell>
          <cell r="J12">
            <v>120.48036276686612</v>
          </cell>
          <cell r="K12">
            <v>122.73760657511222</v>
          </cell>
          <cell r="L12">
            <v>124.75652737095297</v>
          </cell>
          <cell r="M12">
            <v>124.84579739234769</v>
          </cell>
          <cell r="N12">
            <v>123.37710277200672</v>
          </cell>
          <cell r="O12">
            <v>122.7115268483727</v>
          </cell>
          <cell r="P12">
            <v>127.09099450276813</v>
          </cell>
          <cell r="Q12">
            <v>128.13925000484355</v>
          </cell>
          <cell r="R12">
            <v>127.568890916425</v>
          </cell>
          <cell r="S12">
            <v>128.2610389801192</v>
          </cell>
          <cell r="T12">
            <v>128.2610389801192</v>
          </cell>
          <cell r="U12">
            <v>128.2610389801192</v>
          </cell>
          <cell r="V12">
            <v>128.2610389801192</v>
          </cell>
          <cell r="W12">
            <v>128.2610389801192</v>
          </cell>
          <cell r="X12">
            <v>128.2610389801192</v>
          </cell>
          <cell r="Y12">
            <v>128.2610389801192</v>
          </cell>
          <cell r="Z12">
            <v>128.2610389801192</v>
          </cell>
          <cell r="AA12">
            <v>128.2610389801192</v>
          </cell>
          <cell r="AB12">
            <v>128.2610389801192</v>
          </cell>
          <cell r="AC12">
            <v>128.2610389801192</v>
          </cell>
          <cell r="AD12">
            <v>128.2610389801192</v>
          </cell>
          <cell r="AE12">
            <v>128.2610389801192</v>
          </cell>
          <cell r="AF12">
            <v>128.2610389801192</v>
          </cell>
        </row>
        <row r="13">
          <cell r="A13" t="str">
            <v>Georgia</v>
          </cell>
          <cell r="B13">
            <v>145.80689561311053</v>
          </cell>
          <cell r="C13">
            <v>148.58933517530448</v>
          </cell>
          <cell r="D13">
            <v>155.45952509796942</v>
          </cell>
          <cell r="E13">
            <v>139.65661848551736</v>
          </cell>
          <cell r="F13">
            <v>141.6311270333434</v>
          </cell>
          <cell r="G13">
            <v>141.23888602860094</v>
          </cell>
          <cell r="H13">
            <v>123.30045782213324</v>
          </cell>
          <cell r="I13">
            <v>123.38196995492964</v>
          </cell>
          <cell r="J13">
            <v>123.82240427809141</v>
          </cell>
          <cell r="K13">
            <v>126.38572895423199</v>
          </cell>
          <cell r="L13">
            <v>127.11351034588016</v>
          </cell>
          <cell r="M13">
            <v>128.42211330011091</v>
          </cell>
          <cell r="N13">
            <v>130.9179885867332</v>
          </cell>
          <cell r="O13">
            <v>129.70871935619618</v>
          </cell>
          <cell r="P13">
            <v>129.19045796692549</v>
          </cell>
          <cell r="Q13">
            <v>130.78018141425702</v>
          </cell>
          <cell r="R13">
            <v>134.63277817380245</v>
          </cell>
          <cell r="S13">
            <v>134.37606838620627</v>
          </cell>
          <cell r="T13">
            <v>134.37606838620627</v>
          </cell>
          <cell r="U13">
            <v>134.37606838620627</v>
          </cell>
          <cell r="V13">
            <v>134.37606838620627</v>
          </cell>
          <cell r="W13">
            <v>134.37606838620627</v>
          </cell>
          <cell r="X13">
            <v>134.37606838620627</v>
          </cell>
          <cell r="Y13">
            <v>134.37606838620627</v>
          </cell>
          <cell r="Z13">
            <v>134.37606838620627</v>
          </cell>
          <cell r="AA13">
            <v>134.37606838620627</v>
          </cell>
          <cell r="AB13">
            <v>134.37606838620627</v>
          </cell>
          <cell r="AC13">
            <v>134.37606838620627</v>
          </cell>
          <cell r="AD13">
            <v>134.37606838620627</v>
          </cell>
          <cell r="AE13">
            <v>134.37606838620627</v>
          </cell>
          <cell r="AF13">
            <v>134.37606838620627</v>
          </cell>
        </row>
        <row r="14">
          <cell r="A14" t="str">
            <v>Hawaii</v>
          </cell>
          <cell r="B14">
            <v>124.79910724333854</v>
          </cell>
          <cell r="C14">
            <v>122.41801019705476</v>
          </cell>
          <cell r="D14">
            <v>122.96658144415457</v>
          </cell>
          <cell r="E14">
            <v>120.50282317105554</v>
          </cell>
          <cell r="F14">
            <v>120.34498361928772</v>
          </cell>
          <cell r="G14">
            <v>123.18409735558899</v>
          </cell>
          <cell r="H14">
            <v>121.65534050382378</v>
          </cell>
          <cell r="I14">
            <v>120.7826225157168</v>
          </cell>
          <cell r="J14">
            <v>124.90706108331165</v>
          </cell>
          <cell r="K14">
            <v>122.62575584732528</v>
          </cell>
          <cell r="L14">
            <v>124.17574422395663</v>
          </cell>
          <cell r="M14">
            <v>123.18313553461694</v>
          </cell>
          <cell r="N14">
            <v>125.56035753660319</v>
          </cell>
          <cell r="O14">
            <v>123.26964984836847</v>
          </cell>
          <cell r="P14">
            <v>119.23283038266418</v>
          </cell>
          <cell r="Q14">
            <v>117.93449864046391</v>
          </cell>
          <cell r="R14">
            <v>119.48206588564111</v>
          </cell>
          <cell r="S14">
            <v>115.20353287875871</v>
          </cell>
          <cell r="T14">
            <v>115.20353287875871</v>
          </cell>
          <cell r="U14">
            <v>115.20353287875871</v>
          </cell>
          <cell r="V14">
            <v>115.20353287875871</v>
          </cell>
          <cell r="W14">
            <v>115.20353287875871</v>
          </cell>
          <cell r="X14">
            <v>115.20353287875871</v>
          </cell>
          <cell r="Y14">
            <v>115.20353287875871</v>
          </cell>
          <cell r="Z14">
            <v>115.20353287875871</v>
          </cell>
          <cell r="AA14">
            <v>115.20353287875871</v>
          </cell>
          <cell r="AB14">
            <v>115.20353287875871</v>
          </cell>
          <cell r="AC14">
            <v>115.20353287875871</v>
          </cell>
          <cell r="AD14">
            <v>115.20353287875871</v>
          </cell>
          <cell r="AE14">
            <v>115.20353287875871</v>
          </cell>
          <cell r="AF14">
            <v>115.20353287875871</v>
          </cell>
        </row>
        <row r="15">
          <cell r="A15" t="str">
            <v>Idaho</v>
          </cell>
          <cell r="B15">
            <v>137.27382443324936</v>
          </cell>
          <cell r="C15">
            <v>136.94370101248873</v>
          </cell>
          <cell r="D15">
            <v>140.19641009190445</v>
          </cell>
          <cell r="E15">
            <v>137.87131160638168</v>
          </cell>
          <cell r="F15">
            <v>141.99569452476587</v>
          </cell>
          <cell r="G15">
            <v>142.41726606131985</v>
          </cell>
          <cell r="H15">
            <v>141.78489185623863</v>
          </cell>
          <cell r="I15">
            <v>144.29784413296437</v>
          </cell>
          <cell r="J15">
            <v>147.04454724912043</v>
          </cell>
          <cell r="K15">
            <v>149.36131148314908</v>
          </cell>
          <cell r="L15">
            <v>151.56760277979009</v>
          </cell>
          <cell r="M15">
            <v>152.96252940724682</v>
          </cell>
          <cell r="N15">
            <v>152.22044674006733</v>
          </cell>
          <cell r="O15">
            <v>155.17187650086902</v>
          </cell>
          <cell r="P15">
            <v>154.02438947539778</v>
          </cell>
          <cell r="Q15">
            <v>157.76171145432417</v>
          </cell>
          <cell r="R15">
            <v>157.82262759182913</v>
          </cell>
          <cell r="S15">
            <v>158.52427383780764</v>
          </cell>
          <cell r="T15">
            <v>158.52427383780764</v>
          </cell>
          <cell r="U15">
            <v>158.52427383780764</v>
          </cell>
          <cell r="V15">
            <v>158.52427383780764</v>
          </cell>
          <cell r="W15">
            <v>158.52427383780764</v>
          </cell>
          <cell r="X15">
            <v>158.52427383780764</v>
          </cell>
          <cell r="Y15">
            <v>158.52427383780764</v>
          </cell>
          <cell r="Z15">
            <v>158.52427383780764</v>
          </cell>
          <cell r="AA15">
            <v>158.52427383780764</v>
          </cell>
          <cell r="AB15">
            <v>158.52427383780764</v>
          </cell>
          <cell r="AC15">
            <v>158.52427383780764</v>
          </cell>
          <cell r="AD15">
            <v>158.52427383780764</v>
          </cell>
          <cell r="AE15">
            <v>158.52427383780764</v>
          </cell>
          <cell r="AF15">
            <v>158.52427383780764</v>
          </cell>
        </row>
        <row r="16">
          <cell r="A16" t="str">
            <v>Illinois</v>
          </cell>
          <cell r="B16">
            <v>122.59937852007222</v>
          </cell>
          <cell r="C16">
            <v>123.53970153075514</v>
          </cell>
          <cell r="D16">
            <v>123.56089094053932</v>
          </cell>
          <cell r="E16">
            <v>123.27617601069502</v>
          </cell>
          <cell r="F16">
            <v>124.04424214402187</v>
          </cell>
          <cell r="G16">
            <v>125.53581785428976</v>
          </cell>
          <cell r="H16">
            <v>124.41942617949823</v>
          </cell>
          <cell r="I16">
            <v>126.47070995586533</v>
          </cell>
          <cell r="J16">
            <v>126.49626486994001</v>
          </cell>
          <cell r="K16">
            <v>126.19938851124083</v>
          </cell>
          <cell r="L16">
            <v>130.00756011695768</v>
          </cell>
          <cell r="M16">
            <v>129.67267892634587</v>
          </cell>
          <cell r="N16">
            <v>131.35306329584515</v>
          </cell>
          <cell r="O16">
            <v>133.77455685789511</v>
          </cell>
          <cell r="P16">
            <v>133.95234008710636</v>
          </cell>
          <cell r="Q16">
            <v>135.3132185124071</v>
          </cell>
          <cell r="R16">
            <v>137.01162757755756</v>
          </cell>
          <cell r="S16">
            <v>134.45395051584541</v>
          </cell>
          <cell r="T16">
            <v>134.45395051584541</v>
          </cell>
          <cell r="U16">
            <v>134.45395051584541</v>
          </cell>
          <cell r="V16">
            <v>134.45395051584541</v>
          </cell>
          <cell r="W16">
            <v>134.45395051584541</v>
          </cell>
          <cell r="X16">
            <v>134.45395051584541</v>
          </cell>
          <cell r="Y16">
            <v>134.45395051584541</v>
          </cell>
          <cell r="Z16">
            <v>134.45395051584541</v>
          </cell>
          <cell r="AA16">
            <v>134.45395051584541</v>
          </cell>
          <cell r="AB16">
            <v>134.45395051584541</v>
          </cell>
          <cell r="AC16">
            <v>134.45395051584541</v>
          </cell>
          <cell r="AD16">
            <v>134.45395051584541</v>
          </cell>
          <cell r="AE16">
            <v>134.45395051584541</v>
          </cell>
          <cell r="AF16">
            <v>134.45395051584541</v>
          </cell>
        </row>
        <row r="17">
          <cell r="A17" t="str">
            <v>Indiana</v>
          </cell>
          <cell r="B17">
            <v>122.1178520461585</v>
          </cell>
          <cell r="C17">
            <v>125.60927118438396</v>
          </cell>
          <cell r="D17">
            <v>127.48618901500136</v>
          </cell>
          <cell r="E17">
            <v>124.61400085915702</v>
          </cell>
          <cell r="F17">
            <v>124.23261614079377</v>
          </cell>
          <cell r="G17">
            <v>123.461317837976</v>
          </cell>
          <cell r="H17">
            <v>122.11004611316802</v>
          </cell>
          <cell r="I17">
            <v>124.13244366021988</v>
          </cell>
          <cell r="J17">
            <v>124.63074501956281</v>
          </cell>
          <cell r="K17">
            <v>124.48399474367832</v>
          </cell>
          <cell r="L17">
            <v>126.48900160165243</v>
          </cell>
          <cell r="M17">
            <v>127.13400537745058</v>
          </cell>
          <cell r="N17">
            <v>130.42650161913028</v>
          </cell>
          <cell r="O17">
            <v>138.89724098714075</v>
          </cell>
          <cell r="P17">
            <v>140.18062045104185</v>
          </cell>
          <cell r="Q17">
            <v>141.17256822672888</v>
          </cell>
          <cell r="R17">
            <v>139.43918869374366</v>
          </cell>
          <cell r="S17">
            <v>141.22189282584293</v>
          </cell>
          <cell r="T17">
            <v>141.22189282584293</v>
          </cell>
          <cell r="U17">
            <v>141.22189282584293</v>
          </cell>
          <cell r="V17">
            <v>141.22189282584293</v>
          </cell>
          <cell r="W17">
            <v>141.22189282584293</v>
          </cell>
          <cell r="X17">
            <v>141.22189282584293</v>
          </cell>
          <cell r="Y17">
            <v>141.22189282584293</v>
          </cell>
          <cell r="Z17">
            <v>141.22189282584293</v>
          </cell>
          <cell r="AA17">
            <v>141.22189282584293</v>
          </cell>
          <cell r="AB17">
            <v>141.22189282584293</v>
          </cell>
          <cell r="AC17">
            <v>141.22189282584293</v>
          </cell>
          <cell r="AD17">
            <v>141.22189282584293</v>
          </cell>
          <cell r="AE17">
            <v>141.22189282584293</v>
          </cell>
          <cell r="AF17">
            <v>141.22189282584293</v>
          </cell>
        </row>
        <row r="18">
          <cell r="A18" t="str">
            <v>Iowa</v>
          </cell>
          <cell r="B18">
            <v>124.28852381879597</v>
          </cell>
          <cell r="C18">
            <v>124.19270759849836</v>
          </cell>
          <cell r="D18">
            <v>123.58938783326548</v>
          </cell>
          <cell r="E18">
            <v>123.38464265492108</v>
          </cell>
          <cell r="F18">
            <v>124.08644649329108</v>
          </cell>
          <cell r="G18">
            <v>126.49160929417637</v>
          </cell>
          <cell r="H18">
            <v>123.02736464141898</v>
          </cell>
          <cell r="I18">
            <v>124.44545937923348</v>
          </cell>
          <cell r="J18">
            <v>128.87662586517899</v>
          </cell>
          <cell r="K18">
            <v>130.28990993908158</v>
          </cell>
          <cell r="L18">
            <v>133.39106967067931</v>
          </cell>
          <cell r="M18">
            <v>132.10757004835352</v>
          </cell>
          <cell r="N18">
            <v>132.81465978292883</v>
          </cell>
          <cell r="O18">
            <v>135.8253345412958</v>
          </cell>
          <cell r="P18">
            <v>139.80944853257688</v>
          </cell>
          <cell r="Q18">
            <v>142.55424651680428</v>
          </cell>
          <cell r="R18">
            <v>140.50182264089736</v>
          </cell>
          <cell r="S18">
            <v>140.33289325786805</v>
          </cell>
          <cell r="T18">
            <v>140.33289325786805</v>
          </cell>
          <cell r="U18">
            <v>140.33289325786805</v>
          </cell>
          <cell r="V18">
            <v>140.33289325786805</v>
          </cell>
          <cell r="W18">
            <v>140.33289325786805</v>
          </cell>
          <cell r="X18">
            <v>140.33289325786805</v>
          </cell>
          <cell r="Y18">
            <v>140.33289325786805</v>
          </cell>
          <cell r="Z18">
            <v>140.33289325786805</v>
          </cell>
          <cell r="AA18">
            <v>140.33289325786805</v>
          </cell>
          <cell r="AB18">
            <v>140.33289325786805</v>
          </cell>
          <cell r="AC18">
            <v>140.33289325786805</v>
          </cell>
          <cell r="AD18">
            <v>140.33289325786805</v>
          </cell>
          <cell r="AE18">
            <v>140.33289325786805</v>
          </cell>
          <cell r="AF18">
            <v>140.33289325786805</v>
          </cell>
        </row>
        <row r="19">
          <cell r="A19" t="str">
            <v>Kansas</v>
          </cell>
          <cell r="B19">
            <v>113.83989413622336</v>
          </cell>
          <cell r="C19">
            <v>114.27004488171127</v>
          </cell>
          <cell r="D19">
            <v>118.49312288605238</v>
          </cell>
          <cell r="E19">
            <v>115.19572407939732</v>
          </cell>
          <cell r="F19">
            <v>119.60750005571744</v>
          </cell>
          <cell r="G19">
            <v>119.47458061089247</v>
          </cell>
          <cell r="H19">
            <v>118.76801393684998</v>
          </cell>
          <cell r="I19">
            <v>123.67779420959778</v>
          </cell>
          <cell r="J19">
            <v>124.36588043135635</v>
          </cell>
          <cell r="K19">
            <v>125.56582685478982</v>
          </cell>
          <cell r="L19">
            <v>127.90433229326558</v>
          </cell>
          <cell r="M19">
            <v>129.26568007502553</v>
          </cell>
          <cell r="N19">
            <v>135.89214437432727</v>
          </cell>
          <cell r="O19">
            <v>136.7592095394489</v>
          </cell>
          <cell r="P19">
            <v>138.44135689213908</v>
          </cell>
          <cell r="Q19">
            <v>142.0093234284758</v>
          </cell>
          <cell r="R19">
            <v>143.73763090887422</v>
          </cell>
          <cell r="S19">
            <v>138.93361294319067</v>
          </cell>
          <cell r="T19">
            <v>138.93361294319067</v>
          </cell>
          <cell r="U19">
            <v>138.93361294319067</v>
          </cell>
          <cell r="V19">
            <v>138.93361294319067</v>
          </cell>
          <cell r="W19">
            <v>138.93361294319067</v>
          </cell>
          <cell r="X19">
            <v>138.93361294319067</v>
          </cell>
          <cell r="Y19">
            <v>138.93361294319067</v>
          </cell>
          <cell r="Z19">
            <v>138.93361294319067</v>
          </cell>
          <cell r="AA19">
            <v>138.93361294319067</v>
          </cell>
          <cell r="AB19">
            <v>138.93361294319067</v>
          </cell>
          <cell r="AC19">
            <v>138.93361294319067</v>
          </cell>
          <cell r="AD19">
            <v>138.93361294319067</v>
          </cell>
          <cell r="AE19">
            <v>138.93361294319067</v>
          </cell>
          <cell r="AF19">
            <v>138.93361294319067</v>
          </cell>
        </row>
        <row r="20">
          <cell r="A20" t="str">
            <v>Kentucky</v>
          </cell>
          <cell r="B20">
            <v>135.5628419665706</v>
          </cell>
          <cell r="C20">
            <v>136.99941287183293</v>
          </cell>
          <cell r="D20">
            <v>139.29461928401813</v>
          </cell>
          <cell r="E20">
            <v>124.57727433280013</v>
          </cell>
          <cell r="F20">
            <v>125.03963443003271</v>
          </cell>
          <cell r="G20">
            <v>127.38937877169371</v>
          </cell>
          <cell r="H20">
            <v>110.79699350169071</v>
          </cell>
          <cell r="I20">
            <v>111.21862241727251</v>
          </cell>
          <cell r="J20">
            <v>111.02400793127211</v>
          </cell>
          <cell r="K20">
            <v>111.81171434607829</v>
          </cell>
          <cell r="L20">
            <v>113.50129263482992</v>
          </cell>
          <cell r="M20">
            <v>113.81815545950138</v>
          </cell>
          <cell r="N20">
            <v>114.84903220911205</v>
          </cell>
          <cell r="O20">
            <v>112.4762183198952</v>
          </cell>
          <cell r="P20">
            <v>113.65417825439116</v>
          </cell>
          <cell r="Q20">
            <v>113.53144184791908</v>
          </cell>
          <cell r="R20">
            <v>115.11157530854977</v>
          </cell>
          <cell r="S20">
            <v>117.45581753721687</v>
          </cell>
          <cell r="T20">
            <v>117.45581753721687</v>
          </cell>
          <cell r="U20">
            <v>117.45581753721687</v>
          </cell>
          <cell r="V20">
            <v>117.45581753721687</v>
          </cell>
          <cell r="W20">
            <v>117.45581753721687</v>
          </cell>
          <cell r="X20">
            <v>117.45581753721687</v>
          </cell>
          <cell r="Y20">
            <v>117.45581753721687</v>
          </cell>
          <cell r="Z20">
            <v>117.45581753721687</v>
          </cell>
          <cell r="AA20">
            <v>117.45581753721687</v>
          </cell>
          <cell r="AB20">
            <v>117.45581753721687</v>
          </cell>
          <cell r="AC20">
            <v>117.45581753721687</v>
          </cell>
          <cell r="AD20">
            <v>117.45581753721687</v>
          </cell>
          <cell r="AE20">
            <v>117.45581753721687</v>
          </cell>
          <cell r="AF20">
            <v>117.45581753721687</v>
          </cell>
        </row>
        <row r="21">
          <cell r="A21" t="str">
            <v>Louisiana</v>
          </cell>
          <cell r="B21">
            <v>130.6409614953472</v>
          </cell>
          <cell r="C21">
            <v>130.98263794342395</v>
          </cell>
          <cell r="D21">
            <v>132.56758124747606</v>
          </cell>
          <cell r="E21">
            <v>119.14510784506615</v>
          </cell>
          <cell r="F21">
            <v>118.58691826810697</v>
          </cell>
          <cell r="G21">
            <v>119.46459380887798</v>
          </cell>
          <cell r="H21">
            <v>108.843321005635</v>
          </cell>
          <cell r="I21">
            <v>108.38679895482217</v>
          </cell>
          <cell r="J21">
            <v>107.9500156684561</v>
          </cell>
          <cell r="K21">
            <v>106.8949878650775</v>
          </cell>
          <cell r="L21">
            <v>108.40344677414747</v>
          </cell>
          <cell r="M21">
            <v>106.89608326079323</v>
          </cell>
          <cell r="N21">
            <v>108.32508767749643</v>
          </cell>
          <cell r="O21">
            <v>108.35403268603012</v>
          </cell>
          <cell r="P21">
            <v>110.48679036907392</v>
          </cell>
          <cell r="Q21">
            <v>109.669271454737</v>
          </cell>
          <cell r="R21">
            <v>109.56970639662528</v>
          </cell>
          <cell r="S21">
            <v>108.21350289383173</v>
          </cell>
          <cell r="T21">
            <v>108.21350289383173</v>
          </cell>
          <cell r="U21">
            <v>108.21350289383173</v>
          </cell>
          <cell r="V21">
            <v>108.21350289383173</v>
          </cell>
          <cell r="W21">
            <v>108.21350289383173</v>
          </cell>
          <cell r="X21">
            <v>108.21350289383173</v>
          </cell>
          <cell r="Y21">
            <v>108.21350289383173</v>
          </cell>
          <cell r="Z21">
            <v>108.21350289383173</v>
          </cell>
          <cell r="AA21">
            <v>108.21350289383173</v>
          </cell>
          <cell r="AB21">
            <v>108.21350289383173</v>
          </cell>
          <cell r="AC21">
            <v>108.21350289383173</v>
          </cell>
          <cell r="AD21">
            <v>108.21350289383173</v>
          </cell>
          <cell r="AE21">
            <v>108.21350289383173</v>
          </cell>
          <cell r="AF21">
            <v>108.21350289383173</v>
          </cell>
        </row>
        <row r="22">
          <cell r="A22" t="str">
            <v>Maine</v>
          </cell>
          <cell r="B22">
            <v>131.25093220756162</v>
          </cell>
          <cell r="C22">
            <v>131.9864763978656</v>
          </cell>
          <cell r="D22">
            <v>135.83848771145534</v>
          </cell>
          <cell r="E22">
            <v>129.80568370008046</v>
          </cell>
          <cell r="F22">
            <v>130.60067352270093</v>
          </cell>
          <cell r="G22">
            <v>130.81066674909059</v>
          </cell>
          <cell r="H22">
            <v>123.44101500029811</v>
          </cell>
          <cell r="I22">
            <v>124.80397341207633</v>
          </cell>
          <cell r="J22">
            <v>126.55635089641747</v>
          </cell>
          <cell r="K22">
            <v>125.83546873814103</v>
          </cell>
          <cell r="L22">
            <v>128.72310729105081</v>
          </cell>
          <cell r="M22">
            <v>128.86133404068326</v>
          </cell>
          <cell r="N22">
            <v>130.93374580803399</v>
          </cell>
          <cell r="O22">
            <v>131.32827586341173</v>
          </cell>
          <cell r="P22">
            <v>132.0125357998858</v>
          </cell>
          <cell r="Q22">
            <v>132.13349201886535</v>
          </cell>
          <cell r="R22">
            <v>131.76306533619697</v>
          </cell>
          <cell r="S22">
            <v>131.16584782848989</v>
          </cell>
          <cell r="T22">
            <v>131.16584782848989</v>
          </cell>
          <cell r="U22">
            <v>131.16584782848989</v>
          </cell>
          <cell r="V22">
            <v>131.16584782848989</v>
          </cell>
          <cell r="W22">
            <v>131.16584782848989</v>
          </cell>
          <cell r="X22">
            <v>131.16584782848989</v>
          </cell>
          <cell r="Y22">
            <v>131.16584782848989</v>
          </cell>
          <cell r="Z22">
            <v>131.16584782848989</v>
          </cell>
          <cell r="AA22">
            <v>131.16584782848989</v>
          </cell>
          <cell r="AB22">
            <v>131.16584782848989</v>
          </cell>
          <cell r="AC22">
            <v>131.16584782848989</v>
          </cell>
          <cell r="AD22">
            <v>131.16584782848989</v>
          </cell>
          <cell r="AE22">
            <v>131.16584782848989</v>
          </cell>
          <cell r="AF22">
            <v>131.16584782848989</v>
          </cell>
        </row>
        <row r="23">
          <cell r="A23" t="str">
            <v>Maryland</v>
          </cell>
          <cell r="B23">
            <v>126.13918355889976</v>
          </cell>
          <cell r="C23">
            <v>130.63547397833725</v>
          </cell>
          <cell r="D23">
            <v>133.81484034356487</v>
          </cell>
          <cell r="E23">
            <v>124.12433846561186</v>
          </cell>
          <cell r="F23">
            <v>124.45142698139998</v>
          </cell>
          <cell r="G23">
            <v>125.35191374941124</v>
          </cell>
          <cell r="H23">
            <v>120.54948342456964</v>
          </cell>
          <cell r="I23">
            <v>121.89919999730284</v>
          </cell>
          <cell r="J23">
            <v>122.54897887452478</v>
          </cell>
          <cell r="K23">
            <v>123.70930544858514</v>
          </cell>
          <cell r="L23">
            <v>124.55247857652184</v>
          </cell>
          <cell r="M23">
            <v>123.15330056186635</v>
          </cell>
          <cell r="N23">
            <v>124.27588149896833</v>
          </cell>
          <cell r="O23">
            <v>122.34076552351364</v>
          </cell>
          <cell r="P23">
            <v>122.84282086914615</v>
          </cell>
          <cell r="Q23">
            <v>123.97327127380314</v>
          </cell>
          <cell r="R23">
            <v>129.14362824819554</v>
          </cell>
          <cell r="S23">
            <v>132.0813533203995</v>
          </cell>
          <cell r="T23">
            <v>132.0813533203995</v>
          </cell>
          <cell r="U23">
            <v>132.0813533203995</v>
          </cell>
          <cell r="V23">
            <v>132.0813533203995</v>
          </cell>
          <cell r="W23">
            <v>132.0813533203995</v>
          </cell>
          <cell r="X23">
            <v>132.0813533203995</v>
          </cell>
          <cell r="Y23">
            <v>132.0813533203995</v>
          </cell>
          <cell r="Z23">
            <v>132.0813533203995</v>
          </cell>
          <cell r="AA23">
            <v>132.0813533203995</v>
          </cell>
          <cell r="AB23">
            <v>132.0813533203995</v>
          </cell>
          <cell r="AC23">
            <v>132.0813533203995</v>
          </cell>
          <cell r="AD23">
            <v>132.0813533203995</v>
          </cell>
          <cell r="AE23">
            <v>132.0813533203995</v>
          </cell>
          <cell r="AF23">
            <v>132.0813533203995</v>
          </cell>
        </row>
        <row r="24">
          <cell r="A24" t="str">
            <v>Massachusetts</v>
          </cell>
          <cell r="B24">
            <v>132.36272196602545</v>
          </cell>
          <cell r="C24">
            <v>132.93217870644656</v>
          </cell>
          <cell r="D24">
            <v>134.92527729792022</v>
          </cell>
          <cell r="E24">
            <v>128.26700127157474</v>
          </cell>
          <cell r="F24">
            <v>129.40224624672214</v>
          </cell>
          <cell r="G24">
            <v>130.70567306181499</v>
          </cell>
          <cell r="H24">
            <v>125.40252567046424</v>
          </cell>
          <cell r="I24">
            <v>126.98320972557465</v>
          </cell>
          <cell r="J24">
            <v>127.59729514500943</v>
          </cell>
          <cell r="K24">
            <v>127.4130661823022</v>
          </cell>
          <cell r="L24">
            <v>128.57423809846065</v>
          </cell>
          <cell r="M24">
            <v>128.02101394232656</v>
          </cell>
          <cell r="N24">
            <v>128.78130461445147</v>
          </cell>
          <cell r="O24">
            <v>129.91173277326368</v>
          </cell>
          <cell r="P24">
            <v>129.66458143888266</v>
          </cell>
          <cell r="Q24">
            <v>128.25580770998866</v>
          </cell>
          <cell r="R24">
            <v>129.51783116299802</v>
          </cell>
          <cell r="S24">
            <v>128.02101394232653</v>
          </cell>
          <cell r="T24">
            <v>128.02101394232653</v>
          </cell>
          <cell r="U24">
            <v>128.02101394232653</v>
          </cell>
          <cell r="V24">
            <v>128.02101394232653</v>
          </cell>
          <cell r="W24">
            <v>128.02101394232653</v>
          </cell>
          <cell r="X24">
            <v>128.02101394232653</v>
          </cell>
          <cell r="Y24">
            <v>128.02101394232653</v>
          </cell>
          <cell r="Z24">
            <v>128.02101394232653</v>
          </cell>
          <cell r="AA24">
            <v>128.02101394232653</v>
          </cell>
          <cell r="AB24">
            <v>128.02101394232653</v>
          </cell>
          <cell r="AC24">
            <v>128.02101394232653</v>
          </cell>
          <cell r="AD24">
            <v>128.02101394232653</v>
          </cell>
          <cell r="AE24">
            <v>128.02101394232653</v>
          </cell>
          <cell r="AF24">
            <v>128.02101394232653</v>
          </cell>
        </row>
        <row r="25">
          <cell r="A25" t="str">
            <v>Michigan</v>
          </cell>
          <cell r="B25">
            <v>125.4240184741944</v>
          </cell>
          <cell r="C25">
            <v>126.63832628025544</v>
          </cell>
          <cell r="D25">
            <v>129.23504263437667</v>
          </cell>
          <cell r="E25">
            <v>127.8931468030228</v>
          </cell>
          <cell r="F25">
            <v>129.65742623761864</v>
          </cell>
          <cell r="G25">
            <v>130.32568433085322</v>
          </cell>
          <cell r="H25">
            <v>128.08663699040798</v>
          </cell>
          <cell r="I25">
            <v>130.92456720338316</v>
          </cell>
          <cell r="J25">
            <v>131.97595587605164</v>
          </cell>
          <cell r="K25">
            <v>133.17741501692325</v>
          </cell>
          <cell r="L25">
            <v>136.260944916613</v>
          </cell>
          <cell r="M25">
            <v>137.49264391558515</v>
          </cell>
          <cell r="N25">
            <v>141.32166543922713</v>
          </cell>
          <cell r="O25">
            <v>144.42326452625719</v>
          </cell>
          <cell r="P25">
            <v>143.5523841987731</v>
          </cell>
          <cell r="Q25">
            <v>146.52018565298286</v>
          </cell>
          <cell r="R25">
            <v>148.91413885932042</v>
          </cell>
          <cell r="S25">
            <v>150.69524685206397</v>
          </cell>
          <cell r="T25">
            <v>150.69524685206397</v>
          </cell>
          <cell r="U25">
            <v>150.69524685206397</v>
          </cell>
          <cell r="V25">
            <v>150.69524685206397</v>
          </cell>
          <cell r="W25">
            <v>150.69524685206397</v>
          </cell>
          <cell r="X25">
            <v>150.69524685206397</v>
          </cell>
          <cell r="Y25">
            <v>150.69524685206397</v>
          </cell>
          <cell r="Z25">
            <v>150.69524685206397</v>
          </cell>
          <cell r="AA25">
            <v>150.69524685206397</v>
          </cell>
          <cell r="AB25">
            <v>150.69524685206397</v>
          </cell>
          <cell r="AC25">
            <v>150.69524685206397</v>
          </cell>
          <cell r="AD25">
            <v>150.69524685206397</v>
          </cell>
          <cell r="AE25">
            <v>150.69524685206397</v>
          </cell>
          <cell r="AF25">
            <v>150.69524685206397</v>
          </cell>
        </row>
        <row r="26">
          <cell r="A26" t="str">
            <v>Minnesota</v>
          </cell>
          <cell r="B26">
            <v>120.21488269524147</v>
          </cell>
          <cell r="C26">
            <v>121.14844227539601</v>
          </cell>
          <cell r="D26">
            <v>124.20065076373379</v>
          </cell>
          <cell r="E26">
            <v>123.01423490310123</v>
          </cell>
          <cell r="F26">
            <v>123.31922083684758</v>
          </cell>
          <cell r="G26">
            <v>125.56076704392063</v>
          </cell>
          <cell r="H26">
            <v>124.98666185003947</v>
          </cell>
          <cell r="I26">
            <v>124.96343718819486</v>
          </cell>
          <cell r="J26">
            <v>127.54491174225194</v>
          </cell>
          <cell r="K26">
            <v>129.77136486108088</v>
          </cell>
          <cell r="L26">
            <v>131.31339676106205</v>
          </cell>
          <cell r="M26">
            <v>129.1323774122493</v>
          </cell>
          <cell r="N26">
            <v>129.48812183742956</v>
          </cell>
          <cell r="O26">
            <v>129.85221957728689</v>
          </cell>
          <cell r="P26">
            <v>130.01246195796918</v>
          </cell>
          <cell r="Q26">
            <v>132.37379719454651</v>
          </cell>
          <cell r="R26">
            <v>134.40745113900562</v>
          </cell>
          <cell r="S26">
            <v>135.2751725565453</v>
          </cell>
          <cell r="T26">
            <v>135.2751725565453</v>
          </cell>
          <cell r="U26">
            <v>135.2751725565453</v>
          </cell>
          <cell r="V26">
            <v>135.2751725565453</v>
          </cell>
          <cell r="W26">
            <v>135.2751725565453</v>
          </cell>
          <cell r="X26">
            <v>135.2751725565453</v>
          </cell>
          <cell r="Y26">
            <v>135.2751725565453</v>
          </cell>
          <cell r="Z26">
            <v>135.2751725565453</v>
          </cell>
          <cell r="AA26">
            <v>135.2751725565453</v>
          </cell>
          <cell r="AB26">
            <v>135.2751725565453</v>
          </cell>
          <cell r="AC26">
            <v>135.2751725565453</v>
          </cell>
          <cell r="AD26">
            <v>135.2751725565453</v>
          </cell>
          <cell r="AE26">
            <v>135.2751725565453</v>
          </cell>
          <cell r="AF26">
            <v>135.2751725565453</v>
          </cell>
        </row>
        <row r="27">
          <cell r="A27" t="str">
            <v>Mississippi</v>
          </cell>
          <cell r="B27">
            <v>141.29585165836772</v>
          </cell>
          <cell r="C27">
            <v>141.38540577697265</v>
          </cell>
          <cell r="D27">
            <v>143.92138485387545</v>
          </cell>
          <cell r="E27">
            <v>128.0995639812576</v>
          </cell>
          <cell r="F27">
            <v>128.98713577576214</v>
          </cell>
          <cell r="G27">
            <v>129.36712551253595</v>
          </cell>
          <cell r="H27">
            <v>113.74265073205565</v>
          </cell>
          <cell r="I27">
            <v>116.06487069373246</v>
          </cell>
          <cell r="J27">
            <v>117.23646851757971</v>
          </cell>
          <cell r="K27">
            <v>120.16435039637439</v>
          </cell>
          <cell r="L27">
            <v>122.14682263276694</v>
          </cell>
          <cell r="M27">
            <v>118.68575398780074</v>
          </cell>
          <cell r="N27">
            <v>118.12762888011869</v>
          </cell>
          <cell r="O27">
            <v>116.49226348574361</v>
          </cell>
          <cell r="P27">
            <v>118.04150077440133</v>
          </cell>
          <cell r="Q27">
            <v>122.95540775657425</v>
          </cell>
          <cell r="R27">
            <v>121.676579449611</v>
          </cell>
          <cell r="S27">
            <v>123.54277103163572</v>
          </cell>
          <cell r="T27">
            <v>123.54277103163572</v>
          </cell>
          <cell r="U27">
            <v>123.54277103163572</v>
          </cell>
          <cell r="V27">
            <v>123.54277103163572</v>
          </cell>
          <cell r="W27">
            <v>123.54277103163572</v>
          </cell>
          <cell r="X27">
            <v>123.54277103163572</v>
          </cell>
          <cell r="Y27">
            <v>123.54277103163572</v>
          </cell>
          <cell r="Z27">
            <v>123.54277103163572</v>
          </cell>
          <cell r="AA27">
            <v>123.54277103163572</v>
          </cell>
          <cell r="AB27">
            <v>123.54277103163572</v>
          </cell>
          <cell r="AC27">
            <v>123.54277103163572</v>
          </cell>
          <cell r="AD27">
            <v>123.54277103163572</v>
          </cell>
          <cell r="AE27">
            <v>123.54277103163572</v>
          </cell>
          <cell r="AF27">
            <v>123.54277103163572</v>
          </cell>
        </row>
        <row r="28">
          <cell r="A28" t="str">
            <v>Missouri</v>
          </cell>
          <cell r="B28">
            <v>118.18247468488015</v>
          </cell>
          <cell r="C28">
            <v>117.43612640360332</v>
          </cell>
          <cell r="D28">
            <v>120.85975088425421</v>
          </cell>
          <cell r="E28">
            <v>116.22882247019756</v>
          </cell>
          <cell r="F28">
            <v>117.01101876857636</v>
          </cell>
          <cell r="G28">
            <v>118.53392339569024</v>
          </cell>
          <cell r="H28">
            <v>113.93400301107813</v>
          </cell>
          <cell r="I28">
            <v>113.62089274722462</v>
          </cell>
          <cell r="J28">
            <v>115.93156863400723</v>
          </cell>
          <cell r="K28">
            <v>116.51294710030302</v>
          </cell>
          <cell r="L28">
            <v>118.88053898069629</v>
          </cell>
          <cell r="M28">
            <v>113.81669730434675</v>
          </cell>
          <cell r="N28">
            <v>116.86223130132522</v>
          </cell>
          <cell r="O28">
            <v>118.52180468312771</v>
          </cell>
          <cell r="P28">
            <v>120.59416083586675</v>
          </cell>
          <cell r="Q28">
            <v>124.13183409321216</v>
          </cell>
          <cell r="R28">
            <v>124.02949208476761</v>
          </cell>
          <cell r="S28">
            <v>119.96668897939645</v>
          </cell>
          <cell r="T28">
            <v>119.96668897939645</v>
          </cell>
          <cell r="U28">
            <v>119.96668897939645</v>
          </cell>
          <cell r="V28">
            <v>119.96668897939645</v>
          </cell>
          <cell r="W28">
            <v>119.96668897939645</v>
          </cell>
          <cell r="X28">
            <v>119.96668897939645</v>
          </cell>
          <cell r="Y28">
            <v>119.96668897939645</v>
          </cell>
          <cell r="Z28">
            <v>119.96668897939645</v>
          </cell>
          <cell r="AA28">
            <v>119.96668897939645</v>
          </cell>
          <cell r="AB28">
            <v>119.96668897939645</v>
          </cell>
          <cell r="AC28">
            <v>119.96668897939645</v>
          </cell>
          <cell r="AD28">
            <v>119.96668897939645</v>
          </cell>
          <cell r="AE28">
            <v>119.96668897939645</v>
          </cell>
          <cell r="AF28">
            <v>119.96668897939645</v>
          </cell>
        </row>
        <row r="29">
          <cell r="A29" t="str">
            <v>Montana</v>
          </cell>
          <cell r="B29">
            <v>117.81000494894541</v>
          </cell>
          <cell r="C29">
            <v>118.66630335953248</v>
          </cell>
          <cell r="D29">
            <v>120.58739251924885</v>
          </cell>
          <cell r="E29">
            <v>117.71067346807031</v>
          </cell>
          <cell r="F29">
            <v>120.40088202966454</v>
          </cell>
          <cell r="G29">
            <v>121.94314582901734</v>
          </cell>
          <cell r="H29">
            <v>121.62535921076851</v>
          </cell>
          <cell r="I29">
            <v>122.3291287530257</v>
          </cell>
          <cell r="J29">
            <v>124.88510400761986</v>
          </cell>
          <cell r="K29">
            <v>127.54611857932585</v>
          </cell>
          <cell r="L29">
            <v>131.36257676218557</v>
          </cell>
          <cell r="M29">
            <v>132.8528558982423</v>
          </cell>
          <cell r="N29">
            <v>135.78230551622582</v>
          </cell>
          <cell r="O29">
            <v>136.66931408110207</v>
          </cell>
          <cell r="P29">
            <v>137.33456494329792</v>
          </cell>
          <cell r="Q29">
            <v>138.31493931829075</v>
          </cell>
          <cell r="R29">
            <v>134.5334960949555</v>
          </cell>
          <cell r="S29">
            <v>134.00829394793485</v>
          </cell>
          <cell r="T29">
            <v>134.00829394793485</v>
          </cell>
          <cell r="U29">
            <v>134.00829394793485</v>
          </cell>
          <cell r="V29">
            <v>134.00829394793485</v>
          </cell>
          <cell r="W29">
            <v>134.00829394793485</v>
          </cell>
          <cell r="X29">
            <v>134.00829394793485</v>
          </cell>
          <cell r="Y29">
            <v>134.00829394793485</v>
          </cell>
          <cell r="Z29">
            <v>134.00829394793485</v>
          </cell>
          <cell r="AA29">
            <v>134.00829394793485</v>
          </cell>
          <cell r="AB29">
            <v>134.00829394793485</v>
          </cell>
          <cell r="AC29">
            <v>134.00829394793485</v>
          </cell>
          <cell r="AD29">
            <v>134.00829394793485</v>
          </cell>
          <cell r="AE29">
            <v>134.00829394793485</v>
          </cell>
          <cell r="AF29">
            <v>134.00829394793485</v>
          </cell>
        </row>
        <row r="30">
          <cell r="A30" t="str">
            <v>Nebraska</v>
          </cell>
          <cell r="B30">
            <v>119.14300781100333</v>
          </cell>
          <cell r="C30">
            <v>119.33645566859857</v>
          </cell>
          <cell r="D30">
            <v>119.60045280704055</v>
          </cell>
          <cell r="E30">
            <v>116.75915210201381</v>
          </cell>
          <cell r="F30">
            <v>119.57716955771943</v>
          </cell>
          <cell r="G30">
            <v>121.12251322538313</v>
          </cell>
          <cell r="H30">
            <v>121.0960527054044</v>
          </cell>
          <cell r="I30">
            <v>120.51756619891674</v>
          </cell>
          <cell r="J30">
            <v>120.22832572640351</v>
          </cell>
          <cell r="K30">
            <v>121.79257566375753</v>
          </cell>
          <cell r="L30">
            <v>126.26813373275942</v>
          </cell>
          <cell r="M30">
            <v>124.80561623684252</v>
          </cell>
          <cell r="N30">
            <v>129.68911304410219</v>
          </cell>
          <cell r="O30">
            <v>130.57807924331004</v>
          </cell>
          <cell r="P30">
            <v>128.80623108341396</v>
          </cell>
          <cell r="Q30">
            <v>131.81295720435034</v>
          </cell>
          <cell r="R30">
            <v>133.32123103503125</v>
          </cell>
          <cell r="S30">
            <v>132.89202526926047</v>
          </cell>
          <cell r="T30">
            <v>132.89202526926047</v>
          </cell>
          <cell r="U30">
            <v>132.89202526926047</v>
          </cell>
          <cell r="V30">
            <v>132.89202526926047</v>
          </cell>
          <cell r="W30">
            <v>132.89202526926047</v>
          </cell>
          <cell r="X30">
            <v>132.89202526926047</v>
          </cell>
          <cell r="Y30">
            <v>132.89202526926047</v>
          </cell>
          <cell r="Z30">
            <v>132.89202526926047</v>
          </cell>
          <cell r="AA30">
            <v>132.89202526926047</v>
          </cell>
          <cell r="AB30">
            <v>132.89202526926047</v>
          </cell>
          <cell r="AC30">
            <v>132.89202526926047</v>
          </cell>
          <cell r="AD30">
            <v>132.89202526926047</v>
          </cell>
          <cell r="AE30">
            <v>132.89202526926047</v>
          </cell>
          <cell r="AF30">
            <v>132.89202526926047</v>
          </cell>
        </row>
        <row r="31">
          <cell r="A31" t="str">
            <v>Nevada</v>
          </cell>
          <cell r="B31">
            <v>136.94858016085732</v>
          </cell>
          <cell r="C31">
            <v>141.72773625556982</v>
          </cell>
          <cell r="D31">
            <v>142.37944156067934</v>
          </cell>
          <cell r="E31">
            <v>139.22129249948895</v>
          </cell>
          <cell r="F31">
            <v>141.60374996476799</v>
          </cell>
          <cell r="G31">
            <v>140.7196349363617</v>
          </cell>
          <cell r="H31">
            <v>143.06666352941625</v>
          </cell>
          <cell r="I31">
            <v>141.15249467107031</v>
          </cell>
          <cell r="J31">
            <v>145.20793099222658</v>
          </cell>
          <cell r="K31">
            <v>140.70477340112791</v>
          </cell>
          <cell r="L31">
            <v>144.07889627929299</v>
          </cell>
          <cell r="M31">
            <v>145.3961057623832</v>
          </cell>
          <cell r="N31">
            <v>148.09540876614162</v>
          </cell>
          <cell r="O31">
            <v>145.3961057623832</v>
          </cell>
          <cell r="P31">
            <v>149.44505439148804</v>
          </cell>
          <cell r="Q31">
            <v>155.01235802194077</v>
          </cell>
          <cell r="R31">
            <v>148.55153935431389</v>
          </cell>
          <cell r="S31">
            <v>149.48879342404166</v>
          </cell>
          <cell r="T31">
            <v>149.48879342404166</v>
          </cell>
          <cell r="U31">
            <v>149.48879342404166</v>
          </cell>
          <cell r="V31">
            <v>149.48879342404166</v>
          </cell>
          <cell r="W31">
            <v>149.48879342404166</v>
          </cell>
          <cell r="X31">
            <v>149.48879342404166</v>
          </cell>
          <cell r="Y31">
            <v>149.48879342404166</v>
          </cell>
          <cell r="Z31">
            <v>149.48879342404166</v>
          </cell>
          <cell r="AA31">
            <v>149.48879342404166</v>
          </cell>
          <cell r="AB31">
            <v>149.48879342404166</v>
          </cell>
          <cell r="AC31">
            <v>149.48879342404166</v>
          </cell>
          <cell r="AD31">
            <v>149.48879342404166</v>
          </cell>
          <cell r="AE31">
            <v>149.48879342404166</v>
          </cell>
          <cell r="AF31">
            <v>149.48879342404166</v>
          </cell>
        </row>
        <row r="32">
          <cell r="A32" t="str">
            <v>New Hampshire</v>
          </cell>
          <cell r="B32">
            <v>133.37350645045086</v>
          </cell>
          <cell r="C32">
            <v>133.56265306127656</v>
          </cell>
          <cell r="D32">
            <v>136.50484212071223</v>
          </cell>
          <cell r="E32">
            <v>128.50570946973252</v>
          </cell>
          <cell r="F32">
            <v>129.23569706973228</v>
          </cell>
          <cell r="G32">
            <v>131.96564997566924</v>
          </cell>
          <cell r="H32">
            <v>125.01815640464346</v>
          </cell>
          <cell r="I32">
            <v>125.81645966386311</v>
          </cell>
          <cell r="J32">
            <v>126.81434151861806</v>
          </cell>
          <cell r="K32">
            <v>127.79121217307417</v>
          </cell>
          <cell r="L32">
            <v>129.54188228883609</v>
          </cell>
          <cell r="M32">
            <v>131.56903151744777</v>
          </cell>
          <cell r="N32">
            <v>132.89953880330074</v>
          </cell>
          <cell r="O32">
            <v>136.25352812113363</v>
          </cell>
          <cell r="P32">
            <v>135.75458719375621</v>
          </cell>
          <cell r="Q32">
            <v>135.50511673006739</v>
          </cell>
          <cell r="R32">
            <v>138.13286820251736</v>
          </cell>
          <cell r="S32">
            <v>142.84666814510655</v>
          </cell>
          <cell r="T32">
            <v>142.84666814510655</v>
          </cell>
          <cell r="U32">
            <v>142.84666814510655</v>
          </cell>
          <cell r="V32">
            <v>142.84666814510655</v>
          </cell>
          <cell r="W32">
            <v>142.84666814510655</v>
          </cell>
          <cell r="X32">
            <v>142.84666814510655</v>
          </cell>
          <cell r="Y32">
            <v>142.84666814510655</v>
          </cell>
          <cell r="Z32">
            <v>142.84666814510655</v>
          </cell>
          <cell r="AA32">
            <v>142.84666814510655</v>
          </cell>
          <cell r="AB32">
            <v>142.84666814510655</v>
          </cell>
          <cell r="AC32">
            <v>142.84666814510655</v>
          </cell>
          <cell r="AD32">
            <v>142.84666814510655</v>
          </cell>
          <cell r="AE32">
            <v>142.84666814510655</v>
          </cell>
          <cell r="AF32">
            <v>142.84666814510655</v>
          </cell>
        </row>
        <row r="33">
          <cell r="A33" t="str">
            <v>New Jersey</v>
          </cell>
          <cell r="B33">
            <v>126.48199641824742</v>
          </cell>
          <cell r="C33">
            <v>129.22502196734388</v>
          </cell>
          <cell r="D33">
            <v>129.75461403032719</v>
          </cell>
          <cell r="E33">
            <v>124.48977407942233</v>
          </cell>
          <cell r="F33">
            <v>121.25582572647284</v>
          </cell>
          <cell r="G33">
            <v>121.94060202183027</v>
          </cell>
          <cell r="H33">
            <v>114.2410457207955</v>
          </cell>
          <cell r="I33">
            <v>117.18716859936571</v>
          </cell>
          <cell r="J33">
            <v>121.69888728889289</v>
          </cell>
          <cell r="K33">
            <v>126.09821440964181</v>
          </cell>
          <cell r="L33">
            <v>121.22620758115862</v>
          </cell>
          <cell r="M33">
            <v>126.59546684654482</v>
          </cell>
          <cell r="N33">
            <v>132.62661565785945</v>
          </cell>
          <cell r="O33">
            <v>126.48581151666212</v>
          </cell>
          <cell r="P33">
            <v>126.69050665647374</v>
          </cell>
          <cell r="Q33">
            <v>124.0294920847676</v>
          </cell>
          <cell r="R33">
            <v>124.75521827572275</v>
          </cell>
          <cell r="S33">
            <v>127.22270512164579</v>
          </cell>
          <cell r="T33">
            <v>127.22270512164579</v>
          </cell>
          <cell r="U33">
            <v>127.22270512164579</v>
          </cell>
          <cell r="V33">
            <v>127.22270512164579</v>
          </cell>
          <cell r="W33">
            <v>127.22270512164579</v>
          </cell>
          <cell r="X33">
            <v>127.22270512164579</v>
          </cell>
          <cell r="Y33">
            <v>127.22270512164579</v>
          </cell>
          <cell r="Z33">
            <v>127.22270512164579</v>
          </cell>
          <cell r="AA33">
            <v>127.22270512164579</v>
          </cell>
          <cell r="AB33">
            <v>127.22270512164579</v>
          </cell>
          <cell r="AC33">
            <v>127.22270512164579</v>
          </cell>
          <cell r="AD33">
            <v>127.22270512164579</v>
          </cell>
          <cell r="AE33">
            <v>127.22270512164579</v>
          </cell>
          <cell r="AF33">
            <v>127.22270512164579</v>
          </cell>
        </row>
        <row r="34">
          <cell r="A34" t="str">
            <v>New Mexico</v>
          </cell>
          <cell r="B34">
            <v>147.44020200149467</v>
          </cell>
          <cell r="C34">
            <v>150.68311646296937</v>
          </cell>
          <cell r="D34">
            <v>150.78895645065748</v>
          </cell>
          <cell r="E34">
            <v>151.79980803596413</v>
          </cell>
          <cell r="F34">
            <v>151.00046421569525</v>
          </cell>
          <cell r="G34">
            <v>145.93637468011812</v>
          </cell>
          <cell r="H34">
            <v>144.94838217443962</v>
          </cell>
          <cell r="I34">
            <v>147.5223387366602</v>
          </cell>
          <cell r="J34">
            <v>148.39995187646915</v>
          </cell>
          <cell r="K34">
            <v>149.6549265607388</v>
          </cell>
          <cell r="L34">
            <v>152.10930743648908</v>
          </cell>
          <cell r="M34">
            <v>151.08994289396981</v>
          </cell>
          <cell r="N34">
            <v>152.07429149639725</v>
          </cell>
          <cell r="O34">
            <v>152.26409762463086</v>
          </cell>
          <cell r="P34">
            <v>150.73415410088705</v>
          </cell>
          <cell r="Q34">
            <v>152.95444917484582</v>
          </cell>
          <cell r="R34">
            <v>154.22348052522696</v>
          </cell>
          <cell r="S34">
            <v>153.67356047587597</v>
          </cell>
          <cell r="T34">
            <v>153.67356047587597</v>
          </cell>
          <cell r="U34">
            <v>153.67356047587597</v>
          </cell>
          <cell r="V34">
            <v>153.67356047587597</v>
          </cell>
          <cell r="W34">
            <v>153.67356047587597</v>
          </cell>
          <cell r="X34">
            <v>153.67356047587597</v>
          </cell>
          <cell r="Y34">
            <v>153.67356047587597</v>
          </cell>
          <cell r="Z34">
            <v>153.67356047587597</v>
          </cell>
          <cell r="AA34">
            <v>153.67356047587597</v>
          </cell>
          <cell r="AB34">
            <v>153.67356047587597</v>
          </cell>
          <cell r="AC34">
            <v>153.67356047587597</v>
          </cell>
          <cell r="AD34">
            <v>153.67356047587597</v>
          </cell>
          <cell r="AE34">
            <v>153.67356047587597</v>
          </cell>
          <cell r="AF34">
            <v>153.67356047587597</v>
          </cell>
        </row>
        <row r="35">
          <cell r="A35" t="str">
            <v>New York</v>
          </cell>
          <cell r="B35">
            <v>131.42406653702878</v>
          </cell>
          <cell r="C35">
            <v>132.95587737478593</v>
          </cell>
          <cell r="D35">
            <v>136.12656119727995</v>
          </cell>
          <cell r="E35">
            <v>129.45204539278808</v>
          </cell>
          <cell r="F35">
            <v>130.19091608370775</v>
          </cell>
          <cell r="G35">
            <v>132.80862487440496</v>
          </cell>
          <cell r="H35">
            <v>125.80053720053425</v>
          </cell>
          <cell r="I35">
            <v>126.19562340202897</v>
          </cell>
          <cell r="J35">
            <v>127.26047081072825</v>
          </cell>
          <cell r="K35">
            <v>129.15088932276217</v>
          </cell>
          <cell r="L35">
            <v>129.71837525905605</v>
          </cell>
          <cell r="M35">
            <v>130.13557046242138</v>
          </cell>
          <cell r="N35">
            <v>132.41464612683785</v>
          </cell>
          <cell r="O35">
            <v>131.26300655512432</v>
          </cell>
          <cell r="P35">
            <v>131.15938541061067</v>
          </cell>
          <cell r="Q35">
            <v>134.56267708171282</v>
          </cell>
          <cell r="R35">
            <v>135.52232389092629</v>
          </cell>
          <cell r="S35">
            <v>137.21360872431833</v>
          </cell>
          <cell r="T35">
            <v>137.21360872431833</v>
          </cell>
          <cell r="U35">
            <v>137.21360872431833</v>
          </cell>
          <cell r="V35">
            <v>137.21360872431833</v>
          </cell>
          <cell r="W35">
            <v>137.21360872431833</v>
          </cell>
          <cell r="X35">
            <v>137.21360872431833</v>
          </cell>
          <cell r="Y35">
            <v>137.21360872431833</v>
          </cell>
          <cell r="Z35">
            <v>137.21360872431833</v>
          </cell>
          <cell r="AA35">
            <v>137.21360872431833</v>
          </cell>
          <cell r="AB35">
            <v>137.21360872431833</v>
          </cell>
          <cell r="AC35">
            <v>137.21360872431833</v>
          </cell>
          <cell r="AD35">
            <v>137.21360872431833</v>
          </cell>
          <cell r="AE35">
            <v>137.21360872431833</v>
          </cell>
          <cell r="AF35">
            <v>137.21360872431833</v>
          </cell>
        </row>
        <row r="36">
          <cell r="A36" t="str">
            <v>North Carolina</v>
          </cell>
          <cell r="B36">
            <v>157.16645590054318</v>
          </cell>
          <cell r="C36">
            <v>158.19897671098528</v>
          </cell>
          <cell r="D36">
            <v>158.6074925373766</v>
          </cell>
          <cell r="E36">
            <v>142.22076628006144</v>
          </cell>
          <cell r="F36">
            <v>144.9100761849426</v>
          </cell>
          <cell r="G36">
            <v>144.67311185924609</v>
          </cell>
          <cell r="H36">
            <v>125.79753943103441</v>
          </cell>
          <cell r="I36">
            <v>127.99210405566835</v>
          </cell>
          <cell r="J36">
            <v>128.67868871524564</v>
          </cell>
          <cell r="K36">
            <v>128.58987254892509</v>
          </cell>
          <cell r="L36">
            <v>128.9415072307288</v>
          </cell>
          <cell r="M36">
            <v>130.64031412976124</v>
          </cell>
          <cell r="N36">
            <v>132.78203743192466</v>
          </cell>
          <cell r="O36">
            <v>130.20889692792593</v>
          </cell>
          <cell r="P36">
            <v>132.32145917920263</v>
          </cell>
          <cell r="Q36">
            <v>136.63704683602802</v>
          </cell>
          <cell r="R36">
            <v>135.72406467881117</v>
          </cell>
          <cell r="S36">
            <v>138.40325688525166</v>
          </cell>
          <cell r="T36">
            <v>138.40325688525166</v>
          </cell>
          <cell r="U36">
            <v>138.40325688525166</v>
          </cell>
          <cell r="V36">
            <v>138.40325688525166</v>
          </cell>
          <cell r="W36">
            <v>138.40325688525166</v>
          </cell>
          <cell r="X36">
            <v>138.40325688525166</v>
          </cell>
          <cell r="Y36">
            <v>138.40325688525166</v>
          </cell>
          <cell r="Z36">
            <v>138.40325688525166</v>
          </cell>
          <cell r="AA36">
            <v>138.40325688525166</v>
          </cell>
          <cell r="AB36">
            <v>138.40325688525166</v>
          </cell>
          <cell r="AC36">
            <v>138.40325688525166</v>
          </cell>
          <cell r="AD36">
            <v>138.40325688525166</v>
          </cell>
          <cell r="AE36">
            <v>138.40325688525166</v>
          </cell>
          <cell r="AF36">
            <v>138.40325688525166</v>
          </cell>
        </row>
        <row r="37">
          <cell r="A37" t="str">
            <v>North Dakota</v>
          </cell>
          <cell r="B37">
            <v>114.03624551564582</v>
          </cell>
          <cell r="C37">
            <v>114.02975697475792</v>
          </cell>
          <cell r="D37">
            <v>114.26624224168518</v>
          </cell>
          <cell r="E37">
            <v>113.56113756091992</v>
          </cell>
          <cell r="F37">
            <v>112.95319637582976</v>
          </cell>
          <cell r="G37">
            <v>114.22577991132071</v>
          </cell>
          <cell r="H37">
            <v>112.11652306228471</v>
          </cell>
          <cell r="I37">
            <v>111.17612447017949</v>
          </cell>
          <cell r="J37">
            <v>115.61068344743845</v>
          </cell>
          <cell r="K37">
            <v>116.48118559556291</v>
          </cell>
          <cell r="L37">
            <v>117.40100121987905</v>
          </cell>
          <cell r="M37">
            <v>116.0464428081881</v>
          </cell>
          <cell r="N37">
            <v>119.33945070429543</v>
          </cell>
          <cell r="O37">
            <v>119.46774805201902</v>
          </cell>
          <cell r="P37">
            <v>121.91633149142643</v>
          </cell>
          <cell r="Q37">
            <v>116.77217456060437</v>
          </cell>
          <cell r="R37">
            <v>118.79061790876462</v>
          </cell>
          <cell r="S37">
            <v>121.2767134037616</v>
          </cell>
          <cell r="T37">
            <v>121.2767134037616</v>
          </cell>
          <cell r="U37">
            <v>121.2767134037616</v>
          </cell>
          <cell r="V37">
            <v>121.2767134037616</v>
          </cell>
          <cell r="W37">
            <v>121.2767134037616</v>
          </cell>
          <cell r="X37">
            <v>121.2767134037616</v>
          </cell>
          <cell r="Y37">
            <v>121.2767134037616</v>
          </cell>
          <cell r="Z37">
            <v>121.2767134037616</v>
          </cell>
          <cell r="AA37">
            <v>121.2767134037616</v>
          </cell>
          <cell r="AB37">
            <v>121.2767134037616</v>
          </cell>
          <cell r="AC37">
            <v>121.2767134037616</v>
          </cell>
          <cell r="AD37">
            <v>121.2767134037616</v>
          </cell>
          <cell r="AE37">
            <v>121.2767134037616</v>
          </cell>
          <cell r="AF37">
            <v>121.2767134037616</v>
          </cell>
        </row>
        <row r="38">
          <cell r="A38" t="str">
            <v>Ohio</v>
          </cell>
          <cell r="B38">
            <v>118.73602224459022</v>
          </cell>
          <cell r="C38">
            <v>121.52766398812422</v>
          </cell>
          <cell r="D38">
            <v>123.80409954992263</v>
          </cell>
          <cell r="E38">
            <v>122.54045977620007</v>
          </cell>
          <cell r="F38">
            <v>123.36148159396137</v>
          </cell>
          <cell r="G38">
            <v>125.65539684388604</v>
          </cell>
          <cell r="H38">
            <v>122.28801287059814</v>
          </cell>
          <cell r="I38">
            <v>125.62427781168319</v>
          </cell>
          <cell r="J38">
            <v>127.03206160048913</v>
          </cell>
          <cell r="K38">
            <v>128.51841215123909</v>
          </cell>
          <cell r="L38">
            <v>128.31801602091173</v>
          </cell>
          <cell r="M38">
            <v>126.10200951988054</v>
          </cell>
          <cell r="N38">
            <v>128.34094255757415</v>
          </cell>
          <cell r="O38">
            <v>129.09565508414576</v>
          </cell>
          <cell r="P38">
            <v>129.37175382391504</v>
          </cell>
          <cell r="Q38">
            <v>130.28287688442296</v>
          </cell>
          <cell r="R38">
            <v>130.96366646912693</v>
          </cell>
          <cell r="S38">
            <v>132.18608119568589</v>
          </cell>
          <cell r="T38">
            <v>132.18608119568589</v>
          </cell>
          <cell r="U38">
            <v>132.18608119568589</v>
          </cell>
          <cell r="V38">
            <v>132.18608119568589</v>
          </cell>
          <cell r="W38">
            <v>132.18608119568589</v>
          </cell>
          <cell r="X38">
            <v>132.18608119568589</v>
          </cell>
          <cell r="Y38">
            <v>132.18608119568589</v>
          </cell>
          <cell r="Z38">
            <v>132.18608119568589</v>
          </cell>
          <cell r="AA38">
            <v>132.18608119568589</v>
          </cell>
          <cell r="AB38">
            <v>132.18608119568589</v>
          </cell>
          <cell r="AC38">
            <v>132.18608119568589</v>
          </cell>
          <cell r="AD38">
            <v>132.18608119568589</v>
          </cell>
          <cell r="AE38">
            <v>132.18608119568589</v>
          </cell>
          <cell r="AF38">
            <v>132.18608119568589</v>
          </cell>
        </row>
        <row r="39">
          <cell r="A39" t="str">
            <v>Oklahoma</v>
          </cell>
          <cell r="B39">
            <v>134.16097736504744</v>
          </cell>
          <cell r="C39">
            <v>134.29168341075155</v>
          </cell>
          <cell r="D39">
            <v>136.58073792711579</v>
          </cell>
          <cell r="E39">
            <v>124.69382558807024</v>
          </cell>
          <cell r="F39">
            <v>126.07185034611427</v>
          </cell>
          <cell r="G39">
            <v>126.9726460561545</v>
          </cell>
          <cell r="H39">
            <v>113.22339001650039</v>
          </cell>
          <cell r="I39">
            <v>114.5433068224377</v>
          </cell>
          <cell r="J39">
            <v>113.98052174087113</v>
          </cell>
          <cell r="K39">
            <v>114.5433068224377</v>
          </cell>
          <cell r="L39">
            <v>117.98233009957205</v>
          </cell>
          <cell r="M39">
            <v>121.64538527028101</v>
          </cell>
          <cell r="N39">
            <v>122.25294743655975</v>
          </cell>
          <cell r="O39">
            <v>124.0072668906997</v>
          </cell>
          <cell r="P39">
            <v>124.77318311440104</v>
          </cell>
          <cell r="Q39">
            <v>125.91899702583386</v>
          </cell>
          <cell r="R39">
            <v>126.51695894963487</v>
          </cell>
          <cell r="S39">
            <v>126.31611965729397</v>
          </cell>
          <cell r="T39">
            <v>126.31611965729397</v>
          </cell>
          <cell r="U39">
            <v>126.31611965729397</v>
          </cell>
          <cell r="V39">
            <v>126.31611965729397</v>
          </cell>
          <cell r="W39">
            <v>126.31611965729397</v>
          </cell>
          <cell r="X39">
            <v>126.31611965729397</v>
          </cell>
          <cell r="Y39">
            <v>126.31611965729397</v>
          </cell>
          <cell r="Z39">
            <v>126.31611965729397</v>
          </cell>
          <cell r="AA39">
            <v>126.31611965729397</v>
          </cell>
          <cell r="AB39">
            <v>126.31611965729397</v>
          </cell>
          <cell r="AC39">
            <v>126.31611965729397</v>
          </cell>
          <cell r="AD39">
            <v>126.31611965729397</v>
          </cell>
          <cell r="AE39">
            <v>126.31611965729397</v>
          </cell>
          <cell r="AF39">
            <v>126.31611965729397</v>
          </cell>
        </row>
        <row r="40">
          <cell r="A40" t="str">
            <v>Oregon</v>
          </cell>
          <cell r="B40">
            <v>136.39562010163945</v>
          </cell>
          <cell r="C40">
            <v>137.77407031877792</v>
          </cell>
          <cell r="D40">
            <v>138.61830221782654</v>
          </cell>
          <cell r="E40">
            <v>137.1664257689483</v>
          </cell>
          <cell r="F40">
            <v>138.10823794739025</v>
          </cell>
          <cell r="G40">
            <v>138.74464830850701</v>
          </cell>
          <cell r="H40">
            <v>136.69936400246621</v>
          </cell>
          <cell r="I40">
            <v>139.223910678121</v>
          </cell>
          <cell r="J40">
            <v>138.79214419433754</v>
          </cell>
          <cell r="K40">
            <v>142.67807193105156</v>
          </cell>
          <cell r="L40">
            <v>140.62979472097865</v>
          </cell>
          <cell r="M40">
            <v>139.80216968593675</v>
          </cell>
          <cell r="N40">
            <v>141.00826924811224</v>
          </cell>
          <cell r="O40">
            <v>140.73187828773521</v>
          </cell>
          <cell r="P40">
            <v>143.3575777199857</v>
          </cell>
          <cell r="Q40">
            <v>143.18620039815897</v>
          </cell>
          <cell r="R40">
            <v>143.70904726156701</v>
          </cell>
          <cell r="S40">
            <v>145.46945664298678</v>
          </cell>
          <cell r="T40">
            <v>145.46945664298678</v>
          </cell>
          <cell r="U40">
            <v>145.46945664298678</v>
          </cell>
          <cell r="V40">
            <v>145.46945664298678</v>
          </cell>
          <cell r="W40">
            <v>145.46945664298678</v>
          </cell>
          <cell r="X40">
            <v>145.46945664298678</v>
          </cell>
          <cell r="Y40">
            <v>145.46945664298678</v>
          </cell>
          <cell r="Z40">
            <v>145.46945664298678</v>
          </cell>
          <cell r="AA40">
            <v>145.46945664298678</v>
          </cell>
          <cell r="AB40">
            <v>145.46945664298678</v>
          </cell>
          <cell r="AC40">
            <v>145.46945664298678</v>
          </cell>
          <cell r="AD40">
            <v>145.46945664298678</v>
          </cell>
          <cell r="AE40">
            <v>145.46945664298678</v>
          </cell>
          <cell r="AF40">
            <v>145.46945664298678</v>
          </cell>
        </row>
        <row r="41">
          <cell r="A41" t="str">
            <v>Pennsylvania</v>
          </cell>
          <cell r="B41">
            <v>131.72501625832365</v>
          </cell>
          <cell r="C41">
            <v>134.09075089063094</v>
          </cell>
          <cell r="D41">
            <v>137.56408158866535</v>
          </cell>
          <cell r="E41">
            <v>130.31849201595031</v>
          </cell>
          <cell r="F41">
            <v>130.74510860180769</v>
          </cell>
          <cell r="G41">
            <v>132.77261851180279</v>
          </cell>
          <cell r="H41">
            <v>126.36041505794806</v>
          </cell>
          <cell r="I41">
            <v>128.01465499848874</v>
          </cell>
          <cell r="J41">
            <v>129.85155000822559</v>
          </cell>
          <cell r="K41">
            <v>131.18557769899897</v>
          </cell>
          <cell r="L41">
            <v>132.52635700363251</v>
          </cell>
          <cell r="M41">
            <v>132.45899877966613</v>
          </cell>
          <cell r="N41">
            <v>133.68419979827118</v>
          </cell>
          <cell r="O41">
            <v>131.92923623448615</v>
          </cell>
          <cell r="P41">
            <v>131.62900631470163</v>
          </cell>
          <cell r="Q41">
            <v>134.89411792158182</v>
          </cell>
          <cell r="R41">
            <v>137.56032133655927</v>
          </cell>
          <cell r="S41">
            <v>137.68775665780143</v>
          </cell>
          <cell r="T41">
            <v>137.68775665780143</v>
          </cell>
          <cell r="U41">
            <v>137.68775665780143</v>
          </cell>
          <cell r="V41">
            <v>137.68775665780143</v>
          </cell>
          <cell r="W41">
            <v>137.68775665780143</v>
          </cell>
          <cell r="X41">
            <v>137.68775665780143</v>
          </cell>
          <cell r="Y41">
            <v>137.68775665780143</v>
          </cell>
          <cell r="Z41">
            <v>137.68775665780143</v>
          </cell>
          <cell r="AA41">
            <v>137.68775665780143</v>
          </cell>
          <cell r="AB41">
            <v>137.68775665780143</v>
          </cell>
          <cell r="AC41">
            <v>137.68775665780143</v>
          </cell>
          <cell r="AD41">
            <v>137.68775665780143</v>
          </cell>
          <cell r="AE41">
            <v>137.68775665780143</v>
          </cell>
          <cell r="AF41">
            <v>137.68775665780143</v>
          </cell>
        </row>
        <row r="42">
          <cell r="A42" t="str">
            <v>Rhode Island</v>
          </cell>
          <cell r="B42">
            <v>129.62221755185874</v>
          </cell>
          <cell r="C42">
            <v>129.98998964701084</v>
          </cell>
          <cell r="D42">
            <v>130.62959542957427</v>
          </cell>
          <cell r="E42">
            <v>121.94060202183032</v>
          </cell>
          <cell r="F42">
            <v>124.5966813179039</v>
          </cell>
          <cell r="G42">
            <v>126.5057383119569</v>
          </cell>
          <cell r="H42">
            <v>122.22408943591374</v>
          </cell>
          <cell r="I42">
            <v>124.02027454988837</v>
          </cell>
          <cell r="J42">
            <v>123.07941435650615</v>
          </cell>
          <cell r="K42">
            <v>122.22408943591374</v>
          </cell>
          <cell r="L42">
            <v>122.44584157713271</v>
          </cell>
          <cell r="M42">
            <v>125.74014192595229</v>
          </cell>
          <cell r="N42">
            <v>125.74014192595227</v>
          </cell>
          <cell r="O42">
            <v>128.02101394232656</v>
          </cell>
          <cell r="P42">
            <v>125.35999937062056</v>
          </cell>
          <cell r="Q42">
            <v>128.02101394232659</v>
          </cell>
          <cell r="R42">
            <v>129.10960879022065</v>
          </cell>
          <cell r="S42">
            <v>125.84381868507776</v>
          </cell>
          <cell r="T42">
            <v>125.84381868507776</v>
          </cell>
          <cell r="U42">
            <v>125.84381868507776</v>
          </cell>
          <cell r="V42">
            <v>125.84381868507776</v>
          </cell>
          <cell r="W42">
            <v>125.84381868507776</v>
          </cell>
          <cell r="X42">
            <v>125.84381868507776</v>
          </cell>
          <cell r="Y42">
            <v>125.84381868507776</v>
          </cell>
          <cell r="Z42">
            <v>125.84381868507776</v>
          </cell>
          <cell r="AA42">
            <v>125.84381868507776</v>
          </cell>
          <cell r="AB42">
            <v>125.84381868507776</v>
          </cell>
          <cell r="AC42">
            <v>125.84381868507776</v>
          </cell>
          <cell r="AD42">
            <v>125.84381868507776</v>
          </cell>
          <cell r="AE42">
            <v>125.84381868507776</v>
          </cell>
          <cell r="AF42">
            <v>125.84381868507776</v>
          </cell>
        </row>
        <row r="43">
          <cell r="A43" t="str">
            <v>South Carolina</v>
          </cell>
          <cell r="B43">
            <v>144.7880185283046</v>
          </cell>
          <cell r="C43">
            <v>142.26689470042956</v>
          </cell>
          <cell r="D43">
            <v>148.06352697963416</v>
          </cell>
          <cell r="E43">
            <v>136.13125975663829</v>
          </cell>
          <cell r="F43">
            <v>137.32152430529763</v>
          </cell>
          <cell r="G43">
            <v>136.4355434218688</v>
          </cell>
          <cell r="H43">
            <v>120.66852700908341</v>
          </cell>
          <cell r="I43">
            <v>123.10137608787637</v>
          </cell>
          <cell r="J43">
            <v>121.87887036219745</v>
          </cell>
          <cell r="K43">
            <v>123.51952374464418</v>
          </cell>
          <cell r="L43">
            <v>126.33416005389142</v>
          </cell>
          <cell r="M43">
            <v>131.63779392970667</v>
          </cell>
          <cell r="N43">
            <v>134.49928952491814</v>
          </cell>
          <cell r="O43">
            <v>128.71486403140824</v>
          </cell>
          <cell r="P43">
            <v>129.2901255254348</v>
          </cell>
          <cell r="Q43">
            <v>125.80184911074406</v>
          </cell>
          <cell r="R43">
            <v>126.96460607953411</v>
          </cell>
          <cell r="S43">
            <v>133.26934756601341</v>
          </cell>
          <cell r="T43">
            <v>133.26934756601341</v>
          </cell>
          <cell r="U43">
            <v>133.26934756601341</v>
          </cell>
          <cell r="V43">
            <v>133.26934756601341</v>
          </cell>
          <cell r="W43">
            <v>133.26934756601341</v>
          </cell>
          <cell r="X43">
            <v>133.26934756601341</v>
          </cell>
          <cell r="Y43">
            <v>133.26934756601341</v>
          </cell>
          <cell r="Z43">
            <v>133.26934756601341</v>
          </cell>
          <cell r="AA43">
            <v>133.26934756601341</v>
          </cell>
          <cell r="AB43">
            <v>133.26934756601341</v>
          </cell>
          <cell r="AC43">
            <v>133.26934756601341</v>
          </cell>
          <cell r="AD43">
            <v>133.26934756601341</v>
          </cell>
          <cell r="AE43">
            <v>133.26934756601341</v>
          </cell>
          <cell r="AF43">
            <v>133.26934756601341</v>
          </cell>
        </row>
        <row r="44">
          <cell r="A44" t="str">
            <v>South Dakota</v>
          </cell>
          <cell r="B44">
            <v>112.53030843541087</v>
          </cell>
          <cell r="C44">
            <v>112.74272940506432</v>
          </cell>
          <cell r="D44">
            <v>114.63510977795667</v>
          </cell>
          <cell r="E44">
            <v>113.65191470510466</v>
          </cell>
          <cell r="F44">
            <v>114.82461687030539</v>
          </cell>
          <cell r="G44">
            <v>115.45875949917489</v>
          </cell>
          <cell r="H44">
            <v>112.88677431136431</v>
          </cell>
          <cell r="I44">
            <v>112.9675600963152</v>
          </cell>
          <cell r="J44">
            <v>116.2368038688444</v>
          </cell>
          <cell r="K44">
            <v>118.15110885660219</v>
          </cell>
          <cell r="L44">
            <v>122.28711191388868</v>
          </cell>
          <cell r="M44">
            <v>121.60766483504754</v>
          </cell>
          <cell r="N44">
            <v>119.99155427228617</v>
          </cell>
          <cell r="O44">
            <v>124.90567804620748</v>
          </cell>
          <cell r="P44">
            <v>127.37239184902813</v>
          </cell>
          <cell r="Q44">
            <v>130.97769803565808</v>
          </cell>
          <cell r="R44">
            <v>134.32860630400302</v>
          </cell>
          <cell r="S44">
            <v>137.22499303533272</v>
          </cell>
          <cell r="T44">
            <v>137.22499303533272</v>
          </cell>
          <cell r="U44">
            <v>137.22499303533272</v>
          </cell>
          <cell r="V44">
            <v>137.22499303533272</v>
          </cell>
          <cell r="W44">
            <v>137.22499303533272</v>
          </cell>
          <cell r="X44">
            <v>137.22499303533272</v>
          </cell>
          <cell r="Y44">
            <v>137.22499303533272</v>
          </cell>
          <cell r="Z44">
            <v>137.22499303533272</v>
          </cell>
          <cell r="AA44">
            <v>137.22499303533272</v>
          </cell>
          <cell r="AB44">
            <v>137.22499303533272</v>
          </cell>
          <cell r="AC44">
            <v>137.22499303533272</v>
          </cell>
          <cell r="AD44">
            <v>137.22499303533272</v>
          </cell>
          <cell r="AE44">
            <v>137.22499303533272</v>
          </cell>
          <cell r="AF44">
            <v>137.22499303533272</v>
          </cell>
        </row>
        <row r="45">
          <cell r="A45" t="str">
            <v>Tennessee</v>
          </cell>
          <cell r="B45">
            <v>140.00125438961661</v>
          </cell>
          <cell r="C45">
            <v>140.19605608099167</v>
          </cell>
          <cell r="D45">
            <v>140.1572591574996</v>
          </cell>
          <cell r="E45">
            <v>126.71079256361347</v>
          </cell>
          <cell r="F45">
            <v>130.36214017551509</v>
          </cell>
          <cell r="G45">
            <v>133.10304194862681</v>
          </cell>
          <cell r="H45">
            <v>117.81330539138609</v>
          </cell>
          <cell r="I45">
            <v>119.02823717581643</v>
          </cell>
          <cell r="J45">
            <v>119.25081189874591</v>
          </cell>
          <cell r="K45">
            <v>120.48825619072718</v>
          </cell>
          <cell r="L45">
            <v>121.20471247458867</v>
          </cell>
          <cell r="M45">
            <v>119.91474300718833</v>
          </cell>
          <cell r="N45">
            <v>121.62383727691697</v>
          </cell>
          <cell r="O45">
            <v>122.84931749588631</v>
          </cell>
          <cell r="P45">
            <v>123.42981740309632</v>
          </cell>
          <cell r="Q45">
            <v>124.78526094556888</v>
          </cell>
          <cell r="R45">
            <v>124.44471451375287</v>
          </cell>
          <cell r="S45">
            <v>125.23707545972643</v>
          </cell>
          <cell r="T45">
            <v>125.23707545972643</v>
          </cell>
          <cell r="U45">
            <v>125.23707545972643</v>
          </cell>
          <cell r="V45">
            <v>125.23707545972643</v>
          </cell>
          <cell r="W45">
            <v>125.23707545972643</v>
          </cell>
          <cell r="X45">
            <v>125.23707545972643</v>
          </cell>
          <cell r="Y45">
            <v>125.23707545972643</v>
          </cell>
          <cell r="Z45">
            <v>125.23707545972643</v>
          </cell>
          <cell r="AA45">
            <v>125.23707545972643</v>
          </cell>
          <cell r="AB45">
            <v>125.23707545972643</v>
          </cell>
          <cell r="AC45">
            <v>125.23707545972643</v>
          </cell>
          <cell r="AD45">
            <v>125.23707545972643</v>
          </cell>
          <cell r="AE45">
            <v>125.23707545972643</v>
          </cell>
          <cell r="AF45">
            <v>125.23707545972643</v>
          </cell>
        </row>
        <row r="46">
          <cell r="A46" t="str">
            <v>Texas</v>
          </cell>
          <cell r="B46">
            <v>144.02668138195949</v>
          </cell>
          <cell r="C46">
            <v>142.49795880062288</v>
          </cell>
          <cell r="D46">
            <v>144.67101815654769</v>
          </cell>
          <cell r="E46">
            <v>133.09976739602078</v>
          </cell>
          <cell r="F46">
            <v>135.23879163466592</v>
          </cell>
          <cell r="G46">
            <v>134.17744499633147</v>
          </cell>
          <cell r="H46">
            <v>121.86974019314226</v>
          </cell>
          <cell r="I46">
            <v>121.24700631418509</v>
          </cell>
          <cell r="J46">
            <v>123.89171218784902</v>
          </cell>
          <cell r="K46">
            <v>125.35163715431253</v>
          </cell>
          <cell r="L46">
            <v>126.20003777349794</v>
          </cell>
          <cell r="M46">
            <v>122.67560227359171</v>
          </cell>
          <cell r="N46">
            <v>126.87184606346658</v>
          </cell>
          <cell r="O46">
            <v>130.57447091179844</v>
          </cell>
          <cell r="P46">
            <v>135.30635828846638</v>
          </cell>
          <cell r="Q46">
            <v>140.4611058252714</v>
          </cell>
          <cell r="R46">
            <v>145.22891919604351</v>
          </cell>
          <cell r="S46">
            <v>144.49173710849772</v>
          </cell>
          <cell r="T46">
            <v>144.49173710849772</v>
          </cell>
          <cell r="U46">
            <v>144.49173710849772</v>
          </cell>
          <cell r="V46">
            <v>144.49173710849772</v>
          </cell>
          <cell r="W46">
            <v>144.49173710849772</v>
          </cell>
          <cell r="X46">
            <v>144.49173710849772</v>
          </cell>
          <cell r="Y46">
            <v>144.49173710849772</v>
          </cell>
          <cell r="Z46">
            <v>144.49173710849772</v>
          </cell>
          <cell r="AA46">
            <v>144.49173710849772</v>
          </cell>
          <cell r="AB46">
            <v>144.49173710849772</v>
          </cell>
          <cell r="AC46">
            <v>144.49173710849772</v>
          </cell>
          <cell r="AD46">
            <v>144.49173710849772</v>
          </cell>
          <cell r="AE46">
            <v>144.49173710849772</v>
          </cell>
          <cell r="AF46">
            <v>144.49173710849772</v>
          </cell>
        </row>
        <row r="47">
          <cell r="A47" t="str">
            <v>Utah</v>
          </cell>
          <cell r="B47">
            <v>134.50468980684718</v>
          </cell>
          <cell r="C47">
            <v>135.10071470662857</v>
          </cell>
          <cell r="D47">
            <v>136.95917384528056</v>
          </cell>
          <cell r="E47">
            <v>135.13058066680259</v>
          </cell>
          <cell r="F47">
            <v>135.96576078164566</v>
          </cell>
          <cell r="G47">
            <v>136.39001049667249</v>
          </cell>
          <cell r="H47">
            <v>135.47488852267765</v>
          </cell>
          <cell r="I47">
            <v>135.15045103131075</v>
          </cell>
          <cell r="J47">
            <v>134.67821874366297</v>
          </cell>
          <cell r="K47">
            <v>137.15287953360689</v>
          </cell>
          <cell r="L47">
            <v>137.89124823214823</v>
          </cell>
          <cell r="M47">
            <v>136.16166945903925</v>
          </cell>
          <cell r="N47">
            <v>139.12858388338762</v>
          </cell>
          <cell r="O47">
            <v>138.74982960068778</v>
          </cell>
          <cell r="P47">
            <v>140.68959075874741</v>
          </cell>
          <cell r="Q47">
            <v>143.18184001092874</v>
          </cell>
          <cell r="R47">
            <v>149.25084674029566</v>
          </cell>
          <cell r="S47">
            <v>149.5145208840066</v>
          </cell>
          <cell r="T47">
            <v>149.5145208840066</v>
          </cell>
          <cell r="U47">
            <v>149.5145208840066</v>
          </cell>
          <cell r="V47">
            <v>149.5145208840066</v>
          </cell>
          <cell r="W47">
            <v>149.5145208840066</v>
          </cell>
          <cell r="X47">
            <v>149.5145208840066</v>
          </cell>
          <cell r="Y47">
            <v>149.5145208840066</v>
          </cell>
          <cell r="Z47">
            <v>149.5145208840066</v>
          </cell>
          <cell r="AA47">
            <v>149.5145208840066</v>
          </cell>
          <cell r="AB47">
            <v>149.5145208840066</v>
          </cell>
          <cell r="AC47">
            <v>149.5145208840066</v>
          </cell>
          <cell r="AD47">
            <v>149.5145208840066</v>
          </cell>
          <cell r="AE47">
            <v>149.5145208840066</v>
          </cell>
          <cell r="AF47">
            <v>149.5145208840066</v>
          </cell>
        </row>
        <row r="48">
          <cell r="A48" t="str">
            <v>Vermont</v>
          </cell>
          <cell r="B48">
            <v>130.84737844373603</v>
          </cell>
          <cell r="C48">
            <v>131.5328442855822</v>
          </cell>
          <cell r="D48">
            <v>134.27769612022536</v>
          </cell>
          <cell r="E48">
            <v>128.42422846975336</v>
          </cell>
          <cell r="F48">
            <v>128.81836149981618</v>
          </cell>
          <cell r="G48">
            <v>131.58845801821059</v>
          </cell>
          <cell r="H48">
            <v>126.08768100218643</v>
          </cell>
          <cell r="I48">
            <v>125.21772943871774</v>
          </cell>
          <cell r="J48">
            <v>126.05446239461999</v>
          </cell>
          <cell r="K48">
            <v>127.96190453929425</v>
          </cell>
          <cell r="L48">
            <v>129.00456171792646</v>
          </cell>
          <cell r="M48">
            <v>129.79501994915665</v>
          </cell>
          <cell r="N48">
            <v>130.22412560862639</v>
          </cell>
          <cell r="O48">
            <v>130.80703903820489</v>
          </cell>
          <cell r="P48">
            <v>131.57209032109108</v>
          </cell>
          <cell r="Q48">
            <v>133.88268834741737</v>
          </cell>
          <cell r="R48">
            <v>133.54120350867606</v>
          </cell>
          <cell r="S48">
            <v>132.32615215670575</v>
          </cell>
          <cell r="T48">
            <v>132.32615215670575</v>
          </cell>
          <cell r="U48">
            <v>132.32615215670575</v>
          </cell>
          <cell r="V48">
            <v>132.32615215670575</v>
          </cell>
          <cell r="W48">
            <v>132.32615215670575</v>
          </cell>
          <cell r="X48">
            <v>132.32615215670575</v>
          </cell>
          <cell r="Y48">
            <v>132.32615215670575</v>
          </cell>
          <cell r="Z48">
            <v>132.32615215670575</v>
          </cell>
          <cell r="AA48">
            <v>132.32615215670575</v>
          </cell>
          <cell r="AB48">
            <v>132.32615215670575</v>
          </cell>
          <cell r="AC48">
            <v>132.32615215670575</v>
          </cell>
          <cell r="AD48">
            <v>132.32615215670575</v>
          </cell>
          <cell r="AE48">
            <v>132.32615215670575</v>
          </cell>
          <cell r="AF48">
            <v>132.32615215670575</v>
          </cell>
        </row>
        <row r="49">
          <cell r="A49" t="str">
            <v>Virginia</v>
          </cell>
          <cell r="B49">
            <v>152.07451465451811</v>
          </cell>
          <cell r="C49">
            <v>154.1043446159004</v>
          </cell>
          <cell r="D49">
            <v>155.83287152730256</v>
          </cell>
          <cell r="E49">
            <v>139.27728640883396</v>
          </cell>
          <cell r="F49">
            <v>137.86738844371621</v>
          </cell>
          <cell r="G49">
            <v>139.28916813446637</v>
          </cell>
          <cell r="H49">
            <v>119.37003950479948</v>
          </cell>
          <cell r="I49">
            <v>121.49934705163656</v>
          </cell>
          <cell r="J49">
            <v>121.43124217192998</v>
          </cell>
          <cell r="K49">
            <v>123.93201435583961</v>
          </cell>
          <cell r="L49">
            <v>125.3314914156505</v>
          </cell>
          <cell r="M49">
            <v>125.7013387791359</v>
          </cell>
          <cell r="N49">
            <v>125.3699637016319</v>
          </cell>
          <cell r="O49">
            <v>123.10794968747925</v>
          </cell>
          <cell r="P49">
            <v>127.72206079591365</v>
          </cell>
          <cell r="Q49">
            <v>129.71757673621627</v>
          </cell>
          <cell r="R49">
            <v>131.18930093305656</v>
          </cell>
          <cell r="S49">
            <v>131.85052528317345</v>
          </cell>
          <cell r="T49">
            <v>131.85052528317345</v>
          </cell>
          <cell r="U49">
            <v>131.85052528317345</v>
          </cell>
          <cell r="V49">
            <v>131.85052528317345</v>
          </cell>
          <cell r="W49">
            <v>131.85052528317345</v>
          </cell>
          <cell r="X49">
            <v>131.85052528317345</v>
          </cell>
          <cell r="Y49">
            <v>131.85052528317345</v>
          </cell>
          <cell r="Z49">
            <v>131.85052528317345</v>
          </cell>
          <cell r="AA49">
            <v>131.85052528317345</v>
          </cell>
          <cell r="AB49">
            <v>131.85052528317345</v>
          </cell>
          <cell r="AC49">
            <v>131.85052528317345</v>
          </cell>
          <cell r="AD49">
            <v>131.85052528317345</v>
          </cell>
          <cell r="AE49">
            <v>131.85052528317345</v>
          </cell>
          <cell r="AF49">
            <v>131.85052528317345</v>
          </cell>
        </row>
        <row r="50">
          <cell r="A50" t="str">
            <v>Washington</v>
          </cell>
          <cell r="B50">
            <v>146.20991808146496</v>
          </cell>
          <cell r="C50">
            <v>147.43816196055155</v>
          </cell>
          <cell r="D50">
            <v>150.07686714433621</v>
          </cell>
          <cell r="E50">
            <v>147.68663290677864</v>
          </cell>
          <cell r="F50">
            <v>150.07299729165581</v>
          </cell>
          <cell r="G50">
            <v>150.74101493055997</v>
          </cell>
          <cell r="H50">
            <v>150.40899147800235</v>
          </cell>
          <cell r="I50">
            <v>152.21213500489173</v>
          </cell>
          <cell r="J50">
            <v>154.35228592649753</v>
          </cell>
          <cell r="K50">
            <v>158.28777633962628</v>
          </cell>
          <cell r="L50">
            <v>159.27816014109064</v>
          </cell>
          <cell r="M50">
            <v>157.72805067527469</v>
          </cell>
          <cell r="N50">
            <v>159.53805211577267</v>
          </cell>
          <cell r="O50">
            <v>159.65005295165017</v>
          </cell>
          <cell r="P50">
            <v>159.95680207972458</v>
          </cell>
          <cell r="Q50">
            <v>161.71719970807899</v>
          </cell>
          <cell r="R50">
            <v>160.81100898996729</v>
          </cell>
          <cell r="S50">
            <v>161.58976709744883</v>
          </cell>
          <cell r="T50">
            <v>161.58976709744883</v>
          </cell>
          <cell r="U50">
            <v>161.58976709744883</v>
          </cell>
          <cell r="V50">
            <v>161.58976709744883</v>
          </cell>
          <cell r="W50">
            <v>161.58976709744883</v>
          </cell>
          <cell r="X50">
            <v>161.58976709744883</v>
          </cell>
          <cell r="Y50">
            <v>161.58976709744883</v>
          </cell>
          <cell r="Z50">
            <v>161.58976709744883</v>
          </cell>
          <cell r="AA50">
            <v>161.58976709744883</v>
          </cell>
          <cell r="AB50">
            <v>161.58976709744883</v>
          </cell>
          <cell r="AC50">
            <v>161.58976709744883</v>
          </cell>
          <cell r="AD50">
            <v>161.58976709744883</v>
          </cell>
          <cell r="AE50">
            <v>161.58976709744883</v>
          </cell>
          <cell r="AF50">
            <v>161.58976709744883</v>
          </cell>
        </row>
        <row r="51">
          <cell r="A51" t="str">
            <v>West Virginia</v>
          </cell>
          <cell r="B51">
            <v>116.3823637098435</v>
          </cell>
          <cell r="C51">
            <v>118.54103630054993</v>
          </cell>
          <cell r="D51">
            <v>120.076093868168</v>
          </cell>
          <cell r="E51">
            <v>113.72334499592543</v>
          </cell>
          <cell r="F51">
            <v>115.43319955387592</v>
          </cell>
          <cell r="G51">
            <v>116.70590421657799</v>
          </cell>
          <cell r="H51">
            <v>110.64867549284615</v>
          </cell>
          <cell r="I51">
            <v>119.34132272298866</v>
          </cell>
          <cell r="J51">
            <v>122.00233729469466</v>
          </cell>
          <cell r="K51">
            <v>121.33708643249878</v>
          </cell>
          <cell r="L51">
            <v>122.57628008740669</v>
          </cell>
          <cell r="M51">
            <v>122.28319883894619</v>
          </cell>
          <cell r="N51">
            <v>120.78637605681351</v>
          </cell>
          <cell r="O51">
            <v>117.64305488808851</v>
          </cell>
          <cell r="P51">
            <v>119.7309275174911</v>
          </cell>
          <cell r="Q51">
            <v>119.73092751749108</v>
          </cell>
          <cell r="R51">
            <v>121.57316709141186</v>
          </cell>
          <cell r="S51">
            <v>121.26612994315568</v>
          </cell>
          <cell r="T51">
            <v>121.26612994315568</v>
          </cell>
          <cell r="U51">
            <v>121.26612994315568</v>
          </cell>
          <cell r="V51">
            <v>121.26612994315568</v>
          </cell>
          <cell r="W51">
            <v>121.26612994315568</v>
          </cell>
          <cell r="X51">
            <v>121.26612994315568</v>
          </cell>
          <cell r="Y51">
            <v>121.26612994315568</v>
          </cell>
          <cell r="Z51">
            <v>121.26612994315568</v>
          </cell>
          <cell r="AA51">
            <v>121.26612994315568</v>
          </cell>
          <cell r="AB51">
            <v>121.26612994315568</v>
          </cell>
          <cell r="AC51">
            <v>121.26612994315568</v>
          </cell>
          <cell r="AD51">
            <v>121.26612994315568</v>
          </cell>
          <cell r="AE51">
            <v>121.26612994315568</v>
          </cell>
          <cell r="AF51">
            <v>121.26612994315568</v>
          </cell>
        </row>
        <row r="52">
          <cell r="A52" t="str">
            <v>Wisconsin</v>
          </cell>
          <cell r="B52">
            <v>119.58226427583106</v>
          </cell>
          <cell r="C52">
            <v>120.27091436695198</v>
          </cell>
          <cell r="D52">
            <v>122.72192775790271</v>
          </cell>
          <cell r="E52">
            <v>121.15339652025736</v>
          </cell>
          <cell r="F52">
            <v>121.94856662287557</v>
          </cell>
          <cell r="G52">
            <v>123.55166064175796</v>
          </cell>
          <cell r="H52">
            <v>121.99407296339648</v>
          </cell>
          <cell r="I52">
            <v>124.44908545191622</v>
          </cell>
          <cell r="J52">
            <v>126.95472948292463</v>
          </cell>
          <cell r="K52">
            <v>127.81953113335024</v>
          </cell>
          <cell r="L52">
            <v>129.43199337758404</v>
          </cell>
          <cell r="M52">
            <v>128.74702376780144</v>
          </cell>
          <cell r="N52">
            <v>129.48760462154084</v>
          </cell>
          <cell r="O52">
            <v>130.92567056641562</v>
          </cell>
          <cell r="P52">
            <v>131.19879392445907</v>
          </cell>
          <cell r="Q52">
            <v>134.00829394793482</v>
          </cell>
          <cell r="R52">
            <v>135.3008053310765</v>
          </cell>
          <cell r="S52">
            <v>137.24280639545924</v>
          </cell>
          <cell r="T52">
            <v>137.24280639545924</v>
          </cell>
          <cell r="U52">
            <v>137.24280639545924</v>
          </cell>
          <cell r="V52">
            <v>137.24280639545924</v>
          </cell>
          <cell r="W52">
            <v>137.24280639545924</v>
          </cell>
          <cell r="X52">
            <v>137.24280639545924</v>
          </cell>
          <cell r="Y52">
            <v>137.24280639545924</v>
          </cell>
          <cell r="Z52">
            <v>137.24280639545924</v>
          </cell>
          <cell r="AA52">
            <v>137.24280639545924</v>
          </cell>
          <cell r="AB52">
            <v>137.24280639545924</v>
          </cell>
          <cell r="AC52">
            <v>137.24280639545924</v>
          </cell>
          <cell r="AD52">
            <v>137.24280639545924</v>
          </cell>
          <cell r="AE52">
            <v>137.24280639545924</v>
          </cell>
          <cell r="AF52">
            <v>137.24280639545924</v>
          </cell>
        </row>
        <row r="53">
          <cell r="A53" t="str">
            <v>Wyoming</v>
          </cell>
          <cell r="B53">
            <v>112.85703768054904</v>
          </cell>
          <cell r="C53">
            <v>113.78835232864</v>
          </cell>
          <cell r="D53">
            <v>116.36405107900229</v>
          </cell>
          <cell r="E53">
            <v>116.67461366543282</v>
          </cell>
          <cell r="F53">
            <v>113.10497296307754</v>
          </cell>
          <cell r="G53">
            <v>114.58232261495763</v>
          </cell>
          <cell r="H53">
            <v>113.57578929713826</v>
          </cell>
          <cell r="I53">
            <v>111.03573094441187</v>
          </cell>
          <cell r="J53">
            <v>112.70332395322093</v>
          </cell>
          <cell r="K53">
            <v>113.57578929713826</v>
          </cell>
          <cell r="L53">
            <v>114.5261540276597</v>
          </cell>
          <cell r="M53">
            <v>116.04644280818813</v>
          </cell>
          <cell r="N53">
            <v>117.31647476528198</v>
          </cell>
          <cell r="O53">
            <v>116.88676290654473</v>
          </cell>
          <cell r="P53">
            <v>119.01688039499223</v>
          </cell>
          <cell r="Q53">
            <v>119.54920677377146</v>
          </cell>
          <cell r="R53">
            <v>130.46358544220973</v>
          </cell>
          <cell r="S53">
            <v>135.32943573317795</v>
          </cell>
          <cell r="T53">
            <v>135.32943573317795</v>
          </cell>
          <cell r="U53">
            <v>135.32943573317795</v>
          </cell>
          <cell r="V53">
            <v>135.32943573317795</v>
          </cell>
          <cell r="W53">
            <v>135.32943573317795</v>
          </cell>
          <cell r="X53">
            <v>135.32943573317795</v>
          </cell>
          <cell r="Y53">
            <v>135.32943573317795</v>
          </cell>
          <cell r="Z53">
            <v>135.32943573317795</v>
          </cell>
          <cell r="AA53">
            <v>135.32943573317795</v>
          </cell>
          <cell r="AB53">
            <v>135.32943573317795</v>
          </cell>
          <cell r="AC53">
            <v>135.32943573317795</v>
          </cell>
          <cell r="AD53">
            <v>135.32943573317795</v>
          </cell>
          <cell r="AE53">
            <v>135.32943573317795</v>
          </cell>
          <cell r="AF53">
            <v>135.32943573317795</v>
          </cell>
        </row>
        <row r="55">
          <cell r="A55" t="str">
            <v>Dairy Replacements 7-11 months</v>
          </cell>
          <cell r="B55">
            <v>1990</v>
          </cell>
          <cell r="C55">
            <v>1991</v>
          </cell>
          <cell r="D55">
            <v>1992</v>
          </cell>
          <cell r="E55">
            <v>1993</v>
          </cell>
          <cell r="F55">
            <v>1994</v>
          </cell>
          <cell r="G55">
            <v>1995</v>
          </cell>
          <cell r="H55">
            <v>1996</v>
          </cell>
          <cell r="I55">
            <v>1997</v>
          </cell>
          <cell r="J55">
            <v>1998</v>
          </cell>
          <cell r="K55">
            <v>1999</v>
          </cell>
          <cell r="L55">
            <v>2000</v>
          </cell>
          <cell r="M55">
            <v>2001</v>
          </cell>
          <cell r="N55">
            <v>2002</v>
          </cell>
          <cell r="O55">
            <v>2003</v>
          </cell>
          <cell r="P55">
            <v>2004</v>
          </cell>
          <cell r="Q55">
            <v>2005</v>
          </cell>
          <cell r="R55">
            <v>2006</v>
          </cell>
          <cell r="S55">
            <v>2007</v>
          </cell>
          <cell r="T55">
            <v>2008</v>
          </cell>
          <cell r="U55">
            <v>2009</v>
          </cell>
          <cell r="V55">
            <v>2010</v>
          </cell>
          <cell r="W55">
            <v>2011</v>
          </cell>
          <cell r="X55">
            <v>2012</v>
          </cell>
          <cell r="Y55">
            <v>2013</v>
          </cell>
          <cell r="Z55">
            <v>2014</v>
          </cell>
          <cell r="AA55">
            <v>2015</v>
          </cell>
          <cell r="AB55">
            <v>2016</v>
          </cell>
          <cell r="AC55">
            <v>2017</v>
          </cell>
          <cell r="AD55">
            <v>2018</v>
          </cell>
          <cell r="AE55">
            <v>2019</v>
          </cell>
          <cell r="AF55">
            <v>2020</v>
          </cell>
        </row>
        <row r="56">
          <cell r="A56" t="str">
            <v>Alabama</v>
          </cell>
          <cell r="B56">
            <v>53.155620432323381</v>
          </cell>
          <cell r="C56">
            <v>53.141958122684898</v>
          </cell>
          <cell r="D56">
            <v>53.13953441471952</v>
          </cell>
          <cell r="E56">
            <v>53.154614914966551</v>
          </cell>
          <cell r="F56">
            <v>53.146730697026364</v>
          </cell>
          <cell r="G56">
            <v>53.157546538335431</v>
          </cell>
          <cell r="H56">
            <v>53.157444016621263</v>
          </cell>
          <cell r="I56">
            <v>53.161185998907577</v>
          </cell>
          <cell r="J56">
            <v>53.131303776400451</v>
          </cell>
          <cell r="K56">
            <v>53.156333714745699</v>
          </cell>
          <cell r="L56">
            <v>53.142133345648688</v>
          </cell>
          <cell r="M56">
            <v>53.149968170701861</v>
          </cell>
          <cell r="N56">
            <v>53.13847151477384</v>
          </cell>
          <cell r="O56">
            <v>53.162720462242881</v>
          </cell>
          <cell r="P56">
            <v>53.136191127131724</v>
          </cell>
          <cell r="Q56">
            <v>53.124617942060745</v>
          </cell>
          <cell r="R56">
            <v>53.145218065755216</v>
          </cell>
          <cell r="S56">
            <v>53.131596292260099</v>
          </cell>
          <cell r="T56">
            <v>53.131596292260099</v>
          </cell>
          <cell r="U56">
            <v>53.131596292260099</v>
          </cell>
          <cell r="V56">
            <v>53.131596292260099</v>
          </cell>
          <cell r="W56">
            <v>53.131596292260099</v>
          </cell>
          <cell r="X56">
            <v>53.131596292260099</v>
          </cell>
          <cell r="Y56">
            <v>53.131596292260099</v>
          </cell>
          <cell r="Z56">
            <v>53.131596292260099</v>
          </cell>
          <cell r="AA56">
            <v>53.131596292260099</v>
          </cell>
          <cell r="AB56">
            <v>53.131596292260099</v>
          </cell>
          <cell r="AC56">
            <v>53.131596292260099</v>
          </cell>
          <cell r="AD56">
            <v>53.131596292260099</v>
          </cell>
          <cell r="AE56">
            <v>53.131596292260099</v>
          </cell>
          <cell r="AF56">
            <v>53.131596292260099</v>
          </cell>
        </row>
        <row r="57">
          <cell r="A57" t="str">
            <v>Alaska</v>
          </cell>
          <cell r="B57">
            <v>45.683021181627566</v>
          </cell>
          <cell r="C57">
            <v>45.671279514885107</v>
          </cell>
          <cell r="D57">
            <v>45.669196530970694</v>
          </cell>
          <cell r="E57">
            <v>45.682157019562723</v>
          </cell>
          <cell r="F57">
            <v>45.675381162330083</v>
          </cell>
          <cell r="G57">
            <v>45.684676516303959</v>
          </cell>
          <cell r="H57">
            <v>45.684588407057888</v>
          </cell>
          <cell r="I57">
            <v>45.687804342732363</v>
          </cell>
          <cell r="J57">
            <v>45.66212295301959</v>
          </cell>
          <cell r="K57">
            <v>45.68363419104675</v>
          </cell>
          <cell r="L57">
            <v>45.671430105063557</v>
          </cell>
          <cell r="M57">
            <v>45.678163513044645</v>
          </cell>
          <cell r="N57">
            <v>45.668283053142069</v>
          </cell>
          <cell r="O57">
            <v>45.689123091727836</v>
          </cell>
          <cell r="P57">
            <v>45.666323241628064</v>
          </cell>
          <cell r="Q57">
            <v>45.656377011023729</v>
          </cell>
          <cell r="R57">
            <v>45.674081176254525</v>
          </cell>
          <cell r="S57">
            <v>45.662374347098016</v>
          </cell>
          <cell r="T57">
            <v>45.662374347098016</v>
          </cell>
          <cell r="U57">
            <v>45.662374347098016</v>
          </cell>
          <cell r="V57">
            <v>45.662374347098016</v>
          </cell>
          <cell r="W57">
            <v>45.662374347098016</v>
          </cell>
          <cell r="X57">
            <v>45.662374347098016</v>
          </cell>
          <cell r="Y57">
            <v>45.662374347098016</v>
          </cell>
          <cell r="Z57">
            <v>45.662374347098016</v>
          </cell>
          <cell r="AA57">
            <v>45.662374347098016</v>
          </cell>
          <cell r="AB57">
            <v>45.662374347098016</v>
          </cell>
          <cell r="AC57">
            <v>45.662374347098016</v>
          </cell>
          <cell r="AD57">
            <v>45.662374347098016</v>
          </cell>
          <cell r="AE57">
            <v>45.662374347098016</v>
          </cell>
          <cell r="AF57">
            <v>45.662374347098016</v>
          </cell>
        </row>
        <row r="58">
          <cell r="A58" t="str">
            <v>Arizona</v>
          </cell>
          <cell r="B58">
            <v>45.683021181627566</v>
          </cell>
          <cell r="C58">
            <v>45.671279514885107</v>
          </cell>
          <cell r="D58">
            <v>45.669196530970709</v>
          </cell>
          <cell r="E58">
            <v>45.682157019562709</v>
          </cell>
          <cell r="F58">
            <v>45.675381162330076</v>
          </cell>
          <cell r="G58">
            <v>45.684676516303959</v>
          </cell>
          <cell r="H58">
            <v>45.684588407057895</v>
          </cell>
          <cell r="I58">
            <v>45.687804342732363</v>
          </cell>
          <cell r="J58">
            <v>45.66212295301959</v>
          </cell>
          <cell r="K58">
            <v>45.683634191046743</v>
          </cell>
          <cell r="L58">
            <v>45.67143010506355</v>
          </cell>
          <cell r="M58">
            <v>45.678163513044645</v>
          </cell>
          <cell r="N58">
            <v>45.66828305314209</v>
          </cell>
          <cell r="O58">
            <v>45.689123091727836</v>
          </cell>
          <cell r="P58">
            <v>45.666323241628064</v>
          </cell>
          <cell r="Q58">
            <v>45.656377011023736</v>
          </cell>
          <cell r="R58">
            <v>45.674081176254539</v>
          </cell>
          <cell r="S58">
            <v>45.662374347098023</v>
          </cell>
          <cell r="T58">
            <v>45.662374347098023</v>
          </cell>
          <cell r="U58">
            <v>45.662374347098023</v>
          </cell>
          <cell r="V58">
            <v>45.662374347098023</v>
          </cell>
          <cell r="W58">
            <v>45.662374347098023</v>
          </cell>
          <cell r="X58">
            <v>45.662374347098023</v>
          </cell>
          <cell r="Y58">
            <v>45.662374347098023</v>
          </cell>
          <cell r="Z58">
            <v>45.662374347098023</v>
          </cell>
          <cell r="AA58">
            <v>45.662374347098023</v>
          </cell>
          <cell r="AB58">
            <v>45.662374347098023</v>
          </cell>
          <cell r="AC58">
            <v>45.662374347098023</v>
          </cell>
          <cell r="AD58">
            <v>45.662374347098023</v>
          </cell>
          <cell r="AE58">
            <v>45.662374347098023</v>
          </cell>
          <cell r="AF58">
            <v>45.662374347098023</v>
          </cell>
        </row>
        <row r="59">
          <cell r="A59" t="str">
            <v>Arkansas</v>
          </cell>
          <cell r="B59">
            <v>51.673336340729342</v>
          </cell>
          <cell r="C59">
            <v>51.660035183586324</v>
          </cell>
          <cell r="D59">
            <v>51.657679003354019</v>
          </cell>
          <cell r="E59">
            <v>51.672363536988534</v>
          </cell>
          <cell r="F59">
            <v>51.664689576074544</v>
          </cell>
          <cell r="G59">
            <v>51.675215294085369</v>
          </cell>
          <cell r="H59">
            <v>51.675109773602891</v>
          </cell>
          <cell r="I59">
            <v>51.678749184584738</v>
          </cell>
          <cell r="J59">
            <v>51.649659964975775</v>
          </cell>
          <cell r="K59">
            <v>51.674032716428663</v>
          </cell>
          <cell r="L59">
            <v>51.660204454082567</v>
          </cell>
          <cell r="M59">
            <v>51.667831517916468</v>
          </cell>
          <cell r="N59">
            <v>51.656639833311488</v>
          </cell>
          <cell r="O59">
            <v>51.68024839002679</v>
          </cell>
          <cell r="P59">
            <v>51.654416159042206</v>
          </cell>
          <cell r="Q59">
            <v>51.643152218080161</v>
          </cell>
          <cell r="R59">
            <v>51.663209085569015</v>
          </cell>
          <cell r="S59">
            <v>51.649944633718945</v>
          </cell>
          <cell r="T59">
            <v>51.649944633718945</v>
          </cell>
          <cell r="U59">
            <v>51.649944633718945</v>
          </cell>
          <cell r="V59">
            <v>51.649944633718945</v>
          </cell>
          <cell r="W59">
            <v>51.649944633718945</v>
          </cell>
          <cell r="X59">
            <v>51.649944633718945</v>
          </cell>
          <cell r="Y59">
            <v>51.649944633718945</v>
          </cell>
          <cell r="Z59">
            <v>51.649944633718945</v>
          </cell>
          <cell r="AA59">
            <v>51.649944633718945</v>
          </cell>
          <cell r="AB59">
            <v>51.649944633718945</v>
          </cell>
          <cell r="AC59">
            <v>51.649944633718945</v>
          </cell>
          <cell r="AD59">
            <v>51.649944633718945</v>
          </cell>
          <cell r="AE59">
            <v>51.649944633718945</v>
          </cell>
          <cell r="AF59">
            <v>51.649944633718945</v>
          </cell>
        </row>
        <row r="60">
          <cell r="A60" t="str">
            <v>California</v>
          </cell>
          <cell r="B60">
            <v>45.683021181627559</v>
          </cell>
          <cell r="C60">
            <v>45.6712795148851</v>
          </cell>
          <cell r="D60">
            <v>45.669196530970687</v>
          </cell>
          <cell r="E60">
            <v>45.682157019562716</v>
          </cell>
          <cell r="F60">
            <v>45.675381162330083</v>
          </cell>
          <cell r="G60">
            <v>45.684676516303959</v>
          </cell>
          <cell r="H60">
            <v>45.684588407057895</v>
          </cell>
          <cell r="I60">
            <v>45.687804342732363</v>
          </cell>
          <cell r="J60">
            <v>45.662122953019576</v>
          </cell>
          <cell r="K60">
            <v>45.683634191046743</v>
          </cell>
          <cell r="L60">
            <v>45.671430105063557</v>
          </cell>
          <cell r="M60">
            <v>45.67816351304463</v>
          </cell>
          <cell r="N60">
            <v>45.668283053142083</v>
          </cell>
          <cell r="O60">
            <v>45.689123091727836</v>
          </cell>
          <cell r="P60">
            <v>45.666323241628064</v>
          </cell>
          <cell r="Q60">
            <v>45.656377011023736</v>
          </cell>
          <cell r="R60">
            <v>45.674081176254532</v>
          </cell>
          <cell r="S60">
            <v>45.662374347098023</v>
          </cell>
          <cell r="T60">
            <v>45.662374347098023</v>
          </cell>
          <cell r="U60">
            <v>45.662374347098023</v>
          </cell>
          <cell r="V60">
            <v>45.662374347098023</v>
          </cell>
          <cell r="W60">
            <v>45.662374347098023</v>
          </cell>
          <cell r="X60">
            <v>45.662374347098023</v>
          </cell>
          <cell r="Y60">
            <v>45.662374347098023</v>
          </cell>
          <cell r="Z60">
            <v>45.662374347098023</v>
          </cell>
          <cell r="AA60">
            <v>45.662374347098023</v>
          </cell>
          <cell r="AB60">
            <v>45.662374347098023</v>
          </cell>
          <cell r="AC60">
            <v>45.662374347098023</v>
          </cell>
          <cell r="AD60">
            <v>45.662374347098023</v>
          </cell>
          <cell r="AE60">
            <v>45.662374347098023</v>
          </cell>
          <cell r="AF60">
            <v>45.662374347098023</v>
          </cell>
        </row>
        <row r="61">
          <cell r="A61" t="str">
            <v>Colorado</v>
          </cell>
          <cell r="B61">
            <v>43.217831373890156</v>
          </cell>
          <cell r="C61">
            <v>43.206723321922517</v>
          </cell>
          <cell r="D61">
            <v>43.204752741929376</v>
          </cell>
          <cell r="E61">
            <v>43.217013844544852</v>
          </cell>
          <cell r="F61">
            <v>43.210603632441561</v>
          </cell>
          <cell r="G61">
            <v>43.21939738185246</v>
          </cell>
          <cell r="H61">
            <v>43.219314027239712</v>
          </cell>
          <cell r="I61">
            <v>43.222356421593098</v>
          </cell>
          <cell r="J61">
            <v>43.198060874990759</v>
          </cell>
          <cell r="K61">
            <v>43.218411303523176</v>
          </cell>
          <cell r="L61">
            <v>43.206865785813285</v>
          </cell>
          <cell r="M61">
            <v>43.21323583935115</v>
          </cell>
          <cell r="N61">
            <v>43.203888558043552</v>
          </cell>
          <cell r="O61">
            <v>43.223604007024996</v>
          </cell>
          <cell r="P61">
            <v>43.202034503706805</v>
          </cell>
          <cell r="Q61">
            <v>43.19262500087742</v>
          </cell>
          <cell r="R61">
            <v>43.209373797427418</v>
          </cell>
          <cell r="S61">
            <v>43.198298703107405</v>
          </cell>
          <cell r="T61">
            <v>43.198298703107405</v>
          </cell>
          <cell r="U61">
            <v>43.198298703107405</v>
          </cell>
          <cell r="V61">
            <v>43.198298703107405</v>
          </cell>
          <cell r="W61">
            <v>43.198298703107405</v>
          </cell>
          <cell r="X61">
            <v>43.198298703107405</v>
          </cell>
          <cell r="Y61">
            <v>43.198298703107405</v>
          </cell>
          <cell r="Z61">
            <v>43.198298703107405</v>
          </cell>
          <cell r="AA61">
            <v>43.198298703107405</v>
          </cell>
          <cell r="AB61">
            <v>43.198298703107405</v>
          </cell>
          <cell r="AC61">
            <v>43.198298703107405</v>
          </cell>
          <cell r="AD61">
            <v>43.198298703107405</v>
          </cell>
          <cell r="AE61">
            <v>43.198298703107405</v>
          </cell>
          <cell r="AF61">
            <v>43.198298703107405</v>
          </cell>
        </row>
        <row r="62">
          <cell r="A62" t="str">
            <v>Connecticut</v>
          </cell>
          <cell r="B62">
            <v>46.097137065146697</v>
          </cell>
          <cell r="C62">
            <v>46.085304347766183</v>
          </cell>
          <cell r="D62">
            <v>46.08320252754568</v>
          </cell>
          <cell r="E62">
            <v>46.096261442810736</v>
          </cell>
          <cell r="F62">
            <v>46.089431611562432</v>
          </cell>
          <cell r="G62">
            <v>46.098802316741647</v>
          </cell>
          <cell r="H62">
            <v>46.098717953856124</v>
          </cell>
          <cell r="I62">
            <v>46.101961663394079</v>
          </cell>
          <cell r="J62">
            <v>46.076078730274268</v>
          </cell>
          <cell r="K62">
            <v>46.09775331638707</v>
          </cell>
          <cell r="L62">
            <v>46.085457130361327</v>
          </cell>
          <cell r="M62">
            <v>46.092243259730516</v>
          </cell>
          <cell r="N62">
            <v>46.082285354620325</v>
          </cell>
          <cell r="O62">
            <v>46.103286522795791</v>
          </cell>
          <cell r="P62">
            <v>46.080313113387781</v>
          </cell>
          <cell r="Q62">
            <v>46.070287181897662</v>
          </cell>
          <cell r="R62">
            <v>46.088127631421713</v>
          </cell>
          <cell r="S62">
            <v>46.076332162774115</v>
          </cell>
          <cell r="T62">
            <v>46.076332162774115</v>
          </cell>
          <cell r="U62">
            <v>46.076332162774115</v>
          </cell>
          <cell r="V62">
            <v>46.076332162774115</v>
          </cell>
          <cell r="W62">
            <v>46.076332162774115</v>
          </cell>
          <cell r="X62">
            <v>46.076332162774115</v>
          </cell>
          <cell r="Y62">
            <v>46.076332162774115</v>
          </cell>
          <cell r="Z62">
            <v>46.076332162774115</v>
          </cell>
          <cell r="AA62">
            <v>46.076332162774115</v>
          </cell>
          <cell r="AB62">
            <v>46.076332162774115</v>
          </cell>
          <cell r="AC62">
            <v>46.076332162774115</v>
          </cell>
          <cell r="AD62">
            <v>46.076332162774115</v>
          </cell>
          <cell r="AE62">
            <v>46.076332162774115</v>
          </cell>
          <cell r="AF62">
            <v>46.076332162774115</v>
          </cell>
        </row>
        <row r="63">
          <cell r="A63" t="str">
            <v>Delaware</v>
          </cell>
          <cell r="B63">
            <v>46.097137065146704</v>
          </cell>
          <cell r="C63">
            <v>46.085304347766183</v>
          </cell>
          <cell r="D63">
            <v>46.08320252754568</v>
          </cell>
          <cell r="E63">
            <v>46.096261442810736</v>
          </cell>
          <cell r="F63">
            <v>46.089431611562425</v>
          </cell>
          <cell r="G63">
            <v>46.098802316741654</v>
          </cell>
          <cell r="H63">
            <v>46.098717953856109</v>
          </cell>
          <cell r="I63">
            <v>46.101961663394071</v>
          </cell>
          <cell r="J63">
            <v>46.076078730274276</v>
          </cell>
          <cell r="K63">
            <v>46.09775331638707</v>
          </cell>
          <cell r="L63">
            <v>46.085457130361327</v>
          </cell>
          <cell r="M63">
            <v>46.092243259730516</v>
          </cell>
          <cell r="N63">
            <v>46.082285354620311</v>
          </cell>
          <cell r="O63">
            <v>46.103286522795806</v>
          </cell>
          <cell r="P63">
            <v>46.080313113387774</v>
          </cell>
          <cell r="Q63">
            <v>46.070287181897648</v>
          </cell>
          <cell r="R63">
            <v>46.088127631421706</v>
          </cell>
          <cell r="S63">
            <v>46.076332162774115</v>
          </cell>
          <cell r="T63">
            <v>46.076332162774115</v>
          </cell>
          <cell r="U63">
            <v>46.076332162774115</v>
          </cell>
          <cell r="V63">
            <v>46.076332162774115</v>
          </cell>
          <cell r="W63">
            <v>46.076332162774115</v>
          </cell>
          <cell r="X63">
            <v>46.076332162774115</v>
          </cell>
          <cell r="Y63">
            <v>46.076332162774115</v>
          </cell>
          <cell r="Z63">
            <v>46.076332162774115</v>
          </cell>
          <cell r="AA63">
            <v>46.076332162774115</v>
          </cell>
          <cell r="AB63">
            <v>46.076332162774115</v>
          </cell>
          <cell r="AC63">
            <v>46.076332162774115</v>
          </cell>
          <cell r="AD63">
            <v>46.076332162774115</v>
          </cell>
          <cell r="AE63">
            <v>46.076332162774115</v>
          </cell>
          <cell r="AF63">
            <v>46.076332162774115</v>
          </cell>
        </row>
        <row r="64">
          <cell r="A64" t="str">
            <v>Florida</v>
          </cell>
          <cell r="B64">
            <v>53.155620432323381</v>
          </cell>
          <cell r="C64">
            <v>53.141958122684876</v>
          </cell>
          <cell r="D64">
            <v>53.139534414719513</v>
          </cell>
          <cell r="E64">
            <v>53.154614914966544</v>
          </cell>
          <cell r="F64">
            <v>53.146730697026371</v>
          </cell>
          <cell r="G64">
            <v>53.157546538335424</v>
          </cell>
          <cell r="H64">
            <v>53.15744401662127</v>
          </cell>
          <cell r="I64">
            <v>53.161185998907555</v>
          </cell>
          <cell r="J64">
            <v>53.131303776400443</v>
          </cell>
          <cell r="K64">
            <v>53.156333714745706</v>
          </cell>
          <cell r="L64">
            <v>53.142133345648688</v>
          </cell>
          <cell r="M64">
            <v>53.149968170701868</v>
          </cell>
          <cell r="N64">
            <v>53.138471514773862</v>
          </cell>
          <cell r="O64">
            <v>53.162720462242874</v>
          </cell>
          <cell r="P64">
            <v>53.136191127131717</v>
          </cell>
          <cell r="Q64">
            <v>53.124617942060731</v>
          </cell>
          <cell r="R64">
            <v>53.145218065755238</v>
          </cell>
          <cell r="S64">
            <v>53.131596292260092</v>
          </cell>
          <cell r="T64">
            <v>53.131596292260092</v>
          </cell>
          <cell r="U64">
            <v>53.131596292260092</v>
          </cell>
          <cell r="V64">
            <v>53.131596292260092</v>
          </cell>
          <cell r="W64">
            <v>53.131596292260092</v>
          </cell>
          <cell r="X64">
            <v>53.131596292260092</v>
          </cell>
          <cell r="Y64">
            <v>53.131596292260092</v>
          </cell>
          <cell r="Z64">
            <v>53.131596292260092</v>
          </cell>
          <cell r="AA64">
            <v>53.131596292260092</v>
          </cell>
          <cell r="AB64">
            <v>53.131596292260092</v>
          </cell>
          <cell r="AC64">
            <v>53.131596292260092</v>
          </cell>
          <cell r="AD64">
            <v>53.131596292260092</v>
          </cell>
          <cell r="AE64">
            <v>53.131596292260092</v>
          </cell>
          <cell r="AF64">
            <v>53.131596292260092</v>
          </cell>
        </row>
        <row r="65">
          <cell r="A65" t="str">
            <v>Georgia</v>
          </cell>
          <cell r="B65">
            <v>53.155620432323389</v>
          </cell>
          <cell r="C65">
            <v>53.141958122684883</v>
          </cell>
          <cell r="D65">
            <v>53.139534414719506</v>
          </cell>
          <cell r="E65">
            <v>53.15461491496653</v>
          </cell>
          <cell r="F65">
            <v>53.146730697026364</v>
          </cell>
          <cell r="G65">
            <v>53.157546538335424</v>
          </cell>
          <cell r="H65">
            <v>53.157444016621263</v>
          </cell>
          <cell r="I65">
            <v>53.161185998907577</v>
          </cell>
          <cell r="J65">
            <v>53.131303776400451</v>
          </cell>
          <cell r="K65">
            <v>53.15633371474572</v>
          </cell>
          <cell r="L65">
            <v>53.142133345648681</v>
          </cell>
          <cell r="M65">
            <v>53.149968170701875</v>
          </cell>
          <cell r="N65">
            <v>53.13847151477384</v>
          </cell>
          <cell r="O65">
            <v>53.162720462242881</v>
          </cell>
          <cell r="P65">
            <v>53.136191127131717</v>
          </cell>
          <cell r="Q65">
            <v>53.124617942060752</v>
          </cell>
          <cell r="R65">
            <v>53.14521806575523</v>
          </cell>
          <cell r="S65">
            <v>53.131596292260099</v>
          </cell>
          <cell r="T65">
            <v>53.131596292260099</v>
          </cell>
          <cell r="U65">
            <v>53.131596292260099</v>
          </cell>
          <cell r="V65">
            <v>53.131596292260099</v>
          </cell>
          <cell r="W65">
            <v>53.131596292260099</v>
          </cell>
          <cell r="X65">
            <v>53.131596292260099</v>
          </cell>
          <cell r="Y65">
            <v>53.131596292260099</v>
          </cell>
          <cell r="Z65">
            <v>53.131596292260099</v>
          </cell>
          <cell r="AA65">
            <v>53.131596292260099</v>
          </cell>
          <cell r="AB65">
            <v>53.131596292260099</v>
          </cell>
          <cell r="AC65">
            <v>53.131596292260099</v>
          </cell>
          <cell r="AD65">
            <v>53.131596292260099</v>
          </cell>
          <cell r="AE65">
            <v>53.131596292260099</v>
          </cell>
          <cell r="AF65">
            <v>53.131596292260099</v>
          </cell>
        </row>
        <row r="66">
          <cell r="A66" t="str">
            <v>Hawaii</v>
          </cell>
          <cell r="B66">
            <v>45.683021181627566</v>
          </cell>
          <cell r="C66">
            <v>45.671279514885093</v>
          </cell>
          <cell r="D66">
            <v>45.669196530970709</v>
          </cell>
          <cell r="E66">
            <v>45.682157019562723</v>
          </cell>
          <cell r="F66">
            <v>45.675381162330069</v>
          </cell>
          <cell r="G66">
            <v>45.684676516303959</v>
          </cell>
          <cell r="H66">
            <v>45.684588407057895</v>
          </cell>
          <cell r="I66">
            <v>45.687804342732356</v>
          </cell>
          <cell r="J66">
            <v>45.66212295301959</v>
          </cell>
          <cell r="K66">
            <v>45.683634191046757</v>
          </cell>
          <cell r="L66">
            <v>45.671430105063557</v>
          </cell>
          <cell r="M66">
            <v>45.678163513044638</v>
          </cell>
          <cell r="N66">
            <v>45.668283053142069</v>
          </cell>
          <cell r="O66">
            <v>45.689123091727843</v>
          </cell>
          <cell r="P66">
            <v>45.666323241628064</v>
          </cell>
          <cell r="Q66">
            <v>45.656377011023729</v>
          </cell>
          <cell r="R66">
            <v>45.674081176254539</v>
          </cell>
          <cell r="S66">
            <v>45.662374347098023</v>
          </cell>
          <cell r="T66">
            <v>45.662374347098023</v>
          </cell>
          <cell r="U66">
            <v>45.662374347098023</v>
          </cell>
          <cell r="V66">
            <v>45.662374347098023</v>
          </cell>
          <cell r="W66">
            <v>45.662374347098023</v>
          </cell>
          <cell r="X66">
            <v>45.662374347098023</v>
          </cell>
          <cell r="Y66">
            <v>45.662374347098023</v>
          </cell>
          <cell r="Z66">
            <v>45.662374347098023</v>
          </cell>
          <cell r="AA66">
            <v>45.662374347098023</v>
          </cell>
          <cell r="AB66">
            <v>45.662374347098023</v>
          </cell>
          <cell r="AC66">
            <v>45.662374347098023</v>
          </cell>
          <cell r="AD66">
            <v>45.662374347098023</v>
          </cell>
          <cell r="AE66">
            <v>45.662374347098023</v>
          </cell>
          <cell r="AF66">
            <v>45.662374347098023</v>
          </cell>
        </row>
        <row r="67">
          <cell r="A67" t="str">
            <v>Idaho</v>
          </cell>
          <cell r="B67">
            <v>45.683021181627566</v>
          </cell>
          <cell r="C67">
            <v>45.671279514885093</v>
          </cell>
          <cell r="D67">
            <v>45.669196530970709</v>
          </cell>
          <cell r="E67">
            <v>45.682157019562709</v>
          </cell>
          <cell r="F67">
            <v>45.675381162330076</v>
          </cell>
          <cell r="G67">
            <v>45.684676516303959</v>
          </cell>
          <cell r="H67">
            <v>45.684588407057895</v>
          </cell>
          <cell r="I67">
            <v>45.687804342732356</v>
          </cell>
          <cell r="J67">
            <v>45.662122953019583</v>
          </cell>
          <cell r="K67">
            <v>45.68363419104675</v>
          </cell>
          <cell r="L67">
            <v>45.671430105063557</v>
          </cell>
          <cell r="M67">
            <v>45.678163513044645</v>
          </cell>
          <cell r="N67">
            <v>45.668283053142069</v>
          </cell>
          <cell r="O67">
            <v>45.689123091727843</v>
          </cell>
          <cell r="P67">
            <v>45.666323241628056</v>
          </cell>
          <cell r="Q67">
            <v>45.656377011023721</v>
          </cell>
          <cell r="R67">
            <v>45.674081176254525</v>
          </cell>
          <cell r="S67">
            <v>45.662374347098016</v>
          </cell>
          <cell r="T67">
            <v>45.662374347098016</v>
          </cell>
          <cell r="U67">
            <v>45.662374347098016</v>
          </cell>
          <cell r="V67">
            <v>45.662374347098016</v>
          </cell>
          <cell r="W67">
            <v>45.662374347098016</v>
          </cell>
          <cell r="X67">
            <v>45.662374347098016</v>
          </cell>
          <cell r="Y67">
            <v>45.662374347098016</v>
          </cell>
          <cell r="Z67">
            <v>45.662374347098016</v>
          </cell>
          <cell r="AA67">
            <v>45.662374347098016</v>
          </cell>
          <cell r="AB67">
            <v>45.662374347098016</v>
          </cell>
          <cell r="AC67">
            <v>45.662374347098016</v>
          </cell>
          <cell r="AD67">
            <v>45.662374347098016</v>
          </cell>
          <cell r="AE67">
            <v>45.662374347098016</v>
          </cell>
          <cell r="AF67">
            <v>45.662374347098016</v>
          </cell>
        </row>
        <row r="68">
          <cell r="A68" t="str">
            <v>Illinois</v>
          </cell>
          <cell r="B68">
            <v>43.217831373890171</v>
          </cell>
          <cell r="C68">
            <v>43.206723321922532</v>
          </cell>
          <cell r="D68">
            <v>43.204752741929376</v>
          </cell>
          <cell r="E68">
            <v>43.217013844544844</v>
          </cell>
          <cell r="F68">
            <v>43.210603632441554</v>
          </cell>
          <cell r="G68">
            <v>43.219397381852453</v>
          </cell>
          <cell r="H68">
            <v>43.219314027239712</v>
          </cell>
          <cell r="I68">
            <v>43.222356421593112</v>
          </cell>
          <cell r="J68">
            <v>43.198060874990759</v>
          </cell>
          <cell r="K68">
            <v>43.218411303523183</v>
          </cell>
          <cell r="L68">
            <v>43.206865785813285</v>
          </cell>
          <cell r="M68">
            <v>43.213235839351142</v>
          </cell>
          <cell r="N68">
            <v>43.203888558043552</v>
          </cell>
          <cell r="O68">
            <v>43.223604007024996</v>
          </cell>
          <cell r="P68">
            <v>43.202034503706798</v>
          </cell>
          <cell r="Q68">
            <v>43.192625000877406</v>
          </cell>
          <cell r="R68">
            <v>43.209373797427403</v>
          </cell>
          <cell r="S68">
            <v>43.198298703107405</v>
          </cell>
          <cell r="T68">
            <v>43.198298703107405</v>
          </cell>
          <cell r="U68">
            <v>43.198298703107405</v>
          </cell>
          <cell r="V68">
            <v>43.198298703107405</v>
          </cell>
          <cell r="W68">
            <v>43.198298703107405</v>
          </cell>
          <cell r="X68">
            <v>43.198298703107405</v>
          </cell>
          <cell r="Y68">
            <v>43.198298703107405</v>
          </cell>
          <cell r="Z68">
            <v>43.198298703107405</v>
          </cell>
          <cell r="AA68">
            <v>43.198298703107405</v>
          </cell>
          <cell r="AB68">
            <v>43.198298703107405</v>
          </cell>
          <cell r="AC68">
            <v>43.198298703107405</v>
          </cell>
          <cell r="AD68">
            <v>43.198298703107405</v>
          </cell>
          <cell r="AE68">
            <v>43.198298703107405</v>
          </cell>
          <cell r="AF68">
            <v>43.198298703107405</v>
          </cell>
        </row>
        <row r="69">
          <cell r="A69" t="str">
            <v>Indiana</v>
          </cell>
          <cell r="B69">
            <v>43.217831373890171</v>
          </cell>
          <cell r="C69">
            <v>43.206723321922524</v>
          </cell>
          <cell r="D69">
            <v>43.204752741929376</v>
          </cell>
          <cell r="E69">
            <v>43.217013844544844</v>
          </cell>
          <cell r="F69">
            <v>43.210603632441561</v>
          </cell>
          <cell r="G69">
            <v>43.219397381852446</v>
          </cell>
          <cell r="H69">
            <v>43.219314027239726</v>
          </cell>
          <cell r="I69">
            <v>43.222356421593098</v>
          </cell>
          <cell r="J69">
            <v>43.198060874990759</v>
          </cell>
          <cell r="K69">
            <v>43.218411303523176</v>
          </cell>
          <cell r="L69">
            <v>43.206865785813285</v>
          </cell>
          <cell r="M69">
            <v>43.213235839351142</v>
          </cell>
          <cell r="N69">
            <v>43.203888558043552</v>
          </cell>
          <cell r="O69">
            <v>43.223604007024989</v>
          </cell>
          <cell r="P69">
            <v>43.202034503706805</v>
          </cell>
          <cell r="Q69">
            <v>43.19262500087742</v>
          </cell>
          <cell r="R69">
            <v>43.209373797427403</v>
          </cell>
          <cell r="S69">
            <v>43.198298703107398</v>
          </cell>
          <cell r="T69">
            <v>43.198298703107398</v>
          </cell>
          <cell r="U69">
            <v>43.198298703107398</v>
          </cell>
          <cell r="V69">
            <v>43.198298703107398</v>
          </cell>
          <cell r="W69">
            <v>43.198298703107398</v>
          </cell>
          <cell r="X69">
            <v>43.198298703107398</v>
          </cell>
          <cell r="Y69">
            <v>43.198298703107398</v>
          </cell>
          <cell r="Z69">
            <v>43.198298703107398</v>
          </cell>
          <cell r="AA69">
            <v>43.198298703107398</v>
          </cell>
          <cell r="AB69">
            <v>43.198298703107398</v>
          </cell>
          <cell r="AC69">
            <v>43.198298703107398</v>
          </cell>
          <cell r="AD69">
            <v>43.198298703107398</v>
          </cell>
          <cell r="AE69">
            <v>43.198298703107398</v>
          </cell>
          <cell r="AF69">
            <v>43.198298703107398</v>
          </cell>
        </row>
        <row r="70">
          <cell r="A70" t="str">
            <v>Iowa</v>
          </cell>
          <cell r="B70">
            <v>43.217831373890171</v>
          </cell>
          <cell r="C70">
            <v>43.20672332192251</v>
          </cell>
          <cell r="D70">
            <v>43.204752741929369</v>
          </cell>
          <cell r="E70">
            <v>43.217013844544859</v>
          </cell>
          <cell r="F70">
            <v>43.210603632441554</v>
          </cell>
          <cell r="G70">
            <v>43.219397381852446</v>
          </cell>
          <cell r="H70">
            <v>43.219314027239719</v>
          </cell>
          <cell r="I70">
            <v>43.222356421593098</v>
          </cell>
          <cell r="J70">
            <v>43.198060874990759</v>
          </cell>
          <cell r="K70">
            <v>43.218411303523183</v>
          </cell>
          <cell r="L70">
            <v>43.206865785813271</v>
          </cell>
          <cell r="M70">
            <v>43.213235839351142</v>
          </cell>
          <cell r="N70">
            <v>43.203888558043545</v>
          </cell>
          <cell r="O70">
            <v>43.223604007024996</v>
          </cell>
          <cell r="P70">
            <v>43.202034503706798</v>
          </cell>
          <cell r="Q70">
            <v>43.19262500087742</v>
          </cell>
          <cell r="R70">
            <v>43.209373797427403</v>
          </cell>
          <cell r="S70">
            <v>43.198298703107405</v>
          </cell>
          <cell r="T70">
            <v>43.198298703107405</v>
          </cell>
          <cell r="U70">
            <v>43.198298703107405</v>
          </cell>
          <cell r="V70">
            <v>43.198298703107405</v>
          </cell>
          <cell r="W70">
            <v>43.198298703107405</v>
          </cell>
          <cell r="X70">
            <v>43.198298703107405</v>
          </cell>
          <cell r="Y70">
            <v>43.198298703107405</v>
          </cell>
          <cell r="Z70">
            <v>43.198298703107405</v>
          </cell>
          <cell r="AA70">
            <v>43.198298703107405</v>
          </cell>
          <cell r="AB70">
            <v>43.198298703107405</v>
          </cell>
          <cell r="AC70">
            <v>43.198298703107405</v>
          </cell>
          <cell r="AD70">
            <v>43.198298703107405</v>
          </cell>
          <cell r="AE70">
            <v>43.198298703107405</v>
          </cell>
          <cell r="AF70">
            <v>43.198298703107405</v>
          </cell>
        </row>
        <row r="71">
          <cell r="A71" t="str">
            <v>Kansas</v>
          </cell>
          <cell r="B71">
            <v>43.217831373890171</v>
          </cell>
          <cell r="C71">
            <v>43.206723321922524</v>
          </cell>
          <cell r="D71">
            <v>43.204752741929383</v>
          </cell>
          <cell r="E71">
            <v>43.217013844544852</v>
          </cell>
          <cell r="F71">
            <v>43.210603632441561</v>
          </cell>
          <cell r="G71">
            <v>43.219397381852438</v>
          </cell>
          <cell r="H71">
            <v>43.219314027239719</v>
          </cell>
          <cell r="I71">
            <v>43.222356421593098</v>
          </cell>
          <cell r="J71">
            <v>43.198060874990759</v>
          </cell>
          <cell r="K71">
            <v>43.218411303523176</v>
          </cell>
          <cell r="L71">
            <v>43.206865785813271</v>
          </cell>
          <cell r="M71">
            <v>43.213235839351142</v>
          </cell>
          <cell r="N71">
            <v>43.203888558043552</v>
          </cell>
          <cell r="O71">
            <v>43.223604007024996</v>
          </cell>
          <cell r="P71">
            <v>43.202034503706805</v>
          </cell>
          <cell r="Q71">
            <v>43.192625000877406</v>
          </cell>
          <cell r="R71">
            <v>43.209373797427418</v>
          </cell>
          <cell r="S71">
            <v>43.198298703107405</v>
          </cell>
          <cell r="T71">
            <v>43.198298703107405</v>
          </cell>
          <cell r="U71">
            <v>43.198298703107405</v>
          </cell>
          <cell r="V71">
            <v>43.198298703107405</v>
          </cell>
          <cell r="W71">
            <v>43.198298703107405</v>
          </cell>
          <cell r="X71">
            <v>43.198298703107405</v>
          </cell>
          <cell r="Y71">
            <v>43.198298703107405</v>
          </cell>
          <cell r="Z71">
            <v>43.198298703107405</v>
          </cell>
          <cell r="AA71">
            <v>43.198298703107405</v>
          </cell>
          <cell r="AB71">
            <v>43.198298703107405</v>
          </cell>
          <cell r="AC71">
            <v>43.198298703107405</v>
          </cell>
          <cell r="AD71">
            <v>43.198298703107405</v>
          </cell>
          <cell r="AE71">
            <v>43.198298703107405</v>
          </cell>
          <cell r="AF71">
            <v>43.198298703107405</v>
          </cell>
        </row>
        <row r="72">
          <cell r="A72" t="str">
            <v>Kentucky</v>
          </cell>
          <cell r="B72">
            <v>53.155620432323389</v>
          </cell>
          <cell r="C72">
            <v>53.14195812268489</v>
          </cell>
          <cell r="D72">
            <v>53.139534414719513</v>
          </cell>
          <cell r="E72">
            <v>53.154614914966544</v>
          </cell>
          <cell r="F72">
            <v>53.146730697026371</v>
          </cell>
          <cell r="G72">
            <v>53.157546538335438</v>
          </cell>
          <cell r="H72">
            <v>53.157444016621263</v>
          </cell>
          <cell r="I72">
            <v>53.16118599890757</v>
          </cell>
          <cell r="J72">
            <v>53.131303776400451</v>
          </cell>
          <cell r="K72">
            <v>53.156333714745699</v>
          </cell>
          <cell r="L72">
            <v>53.142133345648688</v>
          </cell>
          <cell r="M72">
            <v>53.149968170701868</v>
          </cell>
          <cell r="N72">
            <v>53.138471514773862</v>
          </cell>
          <cell r="O72">
            <v>53.162720462242888</v>
          </cell>
          <cell r="P72">
            <v>53.136191127131717</v>
          </cell>
          <cell r="Q72">
            <v>53.124617942060738</v>
          </cell>
          <cell r="R72">
            <v>53.145218065755216</v>
          </cell>
          <cell r="S72">
            <v>53.131596292260099</v>
          </cell>
          <cell r="T72">
            <v>53.131596292260099</v>
          </cell>
          <cell r="U72">
            <v>53.131596292260099</v>
          </cell>
          <cell r="V72">
            <v>53.131596292260099</v>
          </cell>
          <cell r="W72">
            <v>53.131596292260099</v>
          </cell>
          <cell r="X72">
            <v>53.131596292260099</v>
          </cell>
          <cell r="Y72">
            <v>53.131596292260099</v>
          </cell>
          <cell r="Z72">
            <v>53.131596292260099</v>
          </cell>
          <cell r="AA72">
            <v>53.131596292260099</v>
          </cell>
          <cell r="AB72">
            <v>53.131596292260099</v>
          </cell>
          <cell r="AC72">
            <v>53.131596292260099</v>
          </cell>
          <cell r="AD72">
            <v>53.131596292260099</v>
          </cell>
          <cell r="AE72">
            <v>53.131596292260099</v>
          </cell>
          <cell r="AF72">
            <v>53.131596292260099</v>
          </cell>
        </row>
        <row r="73">
          <cell r="A73" t="str">
            <v>Louisiana</v>
          </cell>
          <cell r="B73">
            <v>51.673336340729357</v>
          </cell>
          <cell r="C73">
            <v>51.660035183586324</v>
          </cell>
          <cell r="D73">
            <v>51.657679003354026</v>
          </cell>
          <cell r="E73">
            <v>51.672363536988534</v>
          </cell>
          <cell r="F73">
            <v>51.664689576074551</v>
          </cell>
          <cell r="G73">
            <v>51.675215294085355</v>
          </cell>
          <cell r="H73">
            <v>51.675109773602898</v>
          </cell>
          <cell r="I73">
            <v>51.678749184584738</v>
          </cell>
          <cell r="J73">
            <v>51.649659964975783</v>
          </cell>
          <cell r="K73">
            <v>51.674032716428677</v>
          </cell>
          <cell r="L73">
            <v>51.660204454082574</v>
          </cell>
          <cell r="M73">
            <v>51.667831517916476</v>
          </cell>
          <cell r="N73">
            <v>51.656639833311473</v>
          </cell>
          <cell r="O73">
            <v>51.68024839002679</v>
          </cell>
          <cell r="P73">
            <v>51.654416159042206</v>
          </cell>
          <cell r="Q73">
            <v>51.643152218080154</v>
          </cell>
          <cell r="R73">
            <v>51.663209085569001</v>
          </cell>
          <cell r="S73">
            <v>51.64994463371896</v>
          </cell>
          <cell r="T73">
            <v>51.64994463371896</v>
          </cell>
          <cell r="U73">
            <v>51.64994463371896</v>
          </cell>
          <cell r="V73">
            <v>51.64994463371896</v>
          </cell>
          <cell r="W73">
            <v>51.64994463371896</v>
          </cell>
          <cell r="X73">
            <v>51.64994463371896</v>
          </cell>
          <cell r="Y73">
            <v>51.64994463371896</v>
          </cell>
          <cell r="Z73">
            <v>51.64994463371896</v>
          </cell>
          <cell r="AA73">
            <v>51.64994463371896</v>
          </cell>
          <cell r="AB73">
            <v>51.64994463371896</v>
          </cell>
          <cell r="AC73">
            <v>51.64994463371896</v>
          </cell>
          <cell r="AD73">
            <v>51.64994463371896</v>
          </cell>
          <cell r="AE73">
            <v>51.64994463371896</v>
          </cell>
          <cell r="AF73">
            <v>51.64994463371896</v>
          </cell>
        </row>
        <row r="74">
          <cell r="A74" t="str">
            <v>Maine</v>
          </cell>
          <cell r="B74">
            <v>46.097137065146697</v>
          </cell>
          <cell r="C74">
            <v>46.085304347766176</v>
          </cell>
          <cell r="D74">
            <v>46.08320252754568</v>
          </cell>
          <cell r="E74">
            <v>46.096261442810729</v>
          </cell>
          <cell r="F74">
            <v>46.089431611562432</v>
          </cell>
          <cell r="G74">
            <v>46.098802316741633</v>
          </cell>
          <cell r="H74">
            <v>46.098717953856102</v>
          </cell>
          <cell r="I74">
            <v>46.101961663394071</v>
          </cell>
          <cell r="J74">
            <v>46.076078730274276</v>
          </cell>
          <cell r="K74">
            <v>46.097753316387056</v>
          </cell>
          <cell r="L74">
            <v>46.085457130361327</v>
          </cell>
          <cell r="M74">
            <v>46.092243259730516</v>
          </cell>
          <cell r="N74">
            <v>46.082285354620332</v>
          </cell>
          <cell r="O74">
            <v>46.103286522795813</v>
          </cell>
          <cell r="P74">
            <v>46.080313113387781</v>
          </cell>
          <cell r="Q74">
            <v>46.070287181897662</v>
          </cell>
          <cell r="R74">
            <v>46.08812763142172</v>
          </cell>
          <cell r="S74">
            <v>46.076332162774108</v>
          </cell>
          <cell r="T74">
            <v>46.076332162774108</v>
          </cell>
          <cell r="U74">
            <v>46.076332162774108</v>
          </cell>
          <cell r="V74">
            <v>46.076332162774108</v>
          </cell>
          <cell r="W74">
            <v>46.076332162774108</v>
          </cell>
          <cell r="X74">
            <v>46.076332162774108</v>
          </cell>
          <cell r="Y74">
            <v>46.076332162774108</v>
          </cell>
          <cell r="Z74">
            <v>46.076332162774108</v>
          </cell>
          <cell r="AA74">
            <v>46.076332162774108</v>
          </cell>
          <cell r="AB74">
            <v>46.076332162774108</v>
          </cell>
          <cell r="AC74">
            <v>46.076332162774108</v>
          </cell>
          <cell r="AD74">
            <v>46.076332162774108</v>
          </cell>
          <cell r="AE74">
            <v>46.076332162774108</v>
          </cell>
          <cell r="AF74">
            <v>46.076332162774108</v>
          </cell>
        </row>
        <row r="75">
          <cell r="A75" t="str">
            <v>Maryland</v>
          </cell>
          <cell r="B75">
            <v>46.09713706514669</v>
          </cell>
          <cell r="C75">
            <v>46.085304347766183</v>
          </cell>
          <cell r="D75">
            <v>46.083202527545687</v>
          </cell>
          <cell r="E75">
            <v>46.096261442810722</v>
          </cell>
          <cell r="F75">
            <v>46.089431611562425</v>
          </cell>
          <cell r="G75">
            <v>46.09880231674164</v>
          </cell>
          <cell r="H75">
            <v>46.098717953856116</v>
          </cell>
          <cell r="I75">
            <v>46.101961663394079</v>
          </cell>
          <cell r="J75">
            <v>46.076078730274276</v>
          </cell>
          <cell r="K75">
            <v>46.09775331638707</v>
          </cell>
          <cell r="L75">
            <v>46.08545713036132</v>
          </cell>
          <cell r="M75">
            <v>46.092243259730509</v>
          </cell>
          <cell r="N75">
            <v>46.082285354620339</v>
          </cell>
          <cell r="O75">
            <v>46.103286522795806</v>
          </cell>
          <cell r="P75">
            <v>46.080313113387767</v>
          </cell>
          <cell r="Q75">
            <v>46.070287181897655</v>
          </cell>
          <cell r="R75">
            <v>46.088127631421706</v>
          </cell>
          <cell r="S75">
            <v>46.076332162774108</v>
          </cell>
          <cell r="T75">
            <v>46.076332162774108</v>
          </cell>
          <cell r="U75">
            <v>46.076332162774108</v>
          </cell>
          <cell r="V75">
            <v>46.076332162774108</v>
          </cell>
          <cell r="W75">
            <v>46.076332162774108</v>
          </cell>
          <cell r="X75">
            <v>46.076332162774108</v>
          </cell>
          <cell r="Y75">
            <v>46.076332162774108</v>
          </cell>
          <cell r="Z75">
            <v>46.076332162774108</v>
          </cell>
          <cell r="AA75">
            <v>46.076332162774108</v>
          </cell>
          <cell r="AB75">
            <v>46.076332162774108</v>
          </cell>
          <cell r="AC75">
            <v>46.076332162774108</v>
          </cell>
          <cell r="AD75">
            <v>46.076332162774108</v>
          </cell>
          <cell r="AE75">
            <v>46.076332162774108</v>
          </cell>
          <cell r="AF75">
            <v>46.076332162774108</v>
          </cell>
        </row>
        <row r="76">
          <cell r="A76" t="str">
            <v>Massachusetts</v>
          </cell>
          <cell r="B76">
            <v>46.09713706514669</v>
          </cell>
          <cell r="C76">
            <v>46.085304347766183</v>
          </cell>
          <cell r="D76">
            <v>46.08320252754568</v>
          </cell>
          <cell r="E76">
            <v>46.096261442810729</v>
          </cell>
          <cell r="F76">
            <v>46.089431611562425</v>
          </cell>
          <cell r="G76">
            <v>46.098802316741633</v>
          </cell>
          <cell r="H76">
            <v>46.098717953856109</v>
          </cell>
          <cell r="I76">
            <v>46.101961663394057</v>
          </cell>
          <cell r="J76">
            <v>46.076078730274261</v>
          </cell>
          <cell r="K76">
            <v>46.09775331638707</v>
          </cell>
          <cell r="L76">
            <v>46.085457130361327</v>
          </cell>
          <cell r="M76">
            <v>46.092243259730509</v>
          </cell>
          <cell r="N76">
            <v>46.082285354620325</v>
          </cell>
          <cell r="O76">
            <v>46.103286522795798</v>
          </cell>
          <cell r="P76">
            <v>46.080313113387774</v>
          </cell>
          <cell r="Q76">
            <v>46.070287181897655</v>
          </cell>
          <cell r="R76">
            <v>46.08812763142172</v>
          </cell>
          <cell r="S76">
            <v>46.076332162774101</v>
          </cell>
          <cell r="T76">
            <v>46.076332162774101</v>
          </cell>
          <cell r="U76">
            <v>46.076332162774101</v>
          </cell>
          <cell r="V76">
            <v>46.076332162774101</v>
          </cell>
          <cell r="W76">
            <v>46.076332162774101</v>
          </cell>
          <cell r="X76">
            <v>46.076332162774101</v>
          </cell>
          <cell r="Y76">
            <v>46.076332162774101</v>
          </cell>
          <cell r="Z76">
            <v>46.076332162774101</v>
          </cell>
          <cell r="AA76">
            <v>46.076332162774101</v>
          </cell>
          <cell r="AB76">
            <v>46.076332162774101</v>
          </cell>
          <cell r="AC76">
            <v>46.076332162774101</v>
          </cell>
          <cell r="AD76">
            <v>46.076332162774101</v>
          </cell>
          <cell r="AE76">
            <v>46.076332162774101</v>
          </cell>
          <cell r="AF76">
            <v>46.076332162774101</v>
          </cell>
        </row>
        <row r="77">
          <cell r="A77" t="str">
            <v>Michigan</v>
          </cell>
          <cell r="B77">
            <v>43.217831373890164</v>
          </cell>
          <cell r="C77">
            <v>43.206723321922524</v>
          </cell>
          <cell r="D77">
            <v>43.204752741929362</v>
          </cell>
          <cell r="E77">
            <v>43.217013844544852</v>
          </cell>
          <cell r="F77">
            <v>43.210603632441554</v>
          </cell>
          <cell r="G77">
            <v>43.219397381852453</v>
          </cell>
          <cell r="H77">
            <v>43.219314027239726</v>
          </cell>
          <cell r="I77">
            <v>43.222356421593112</v>
          </cell>
          <cell r="J77">
            <v>43.198060874990766</v>
          </cell>
          <cell r="K77">
            <v>43.218411303523176</v>
          </cell>
          <cell r="L77">
            <v>43.206865785813271</v>
          </cell>
          <cell r="M77">
            <v>43.213235839351135</v>
          </cell>
          <cell r="N77">
            <v>43.203888558043545</v>
          </cell>
          <cell r="O77">
            <v>43.223604007024996</v>
          </cell>
          <cell r="P77">
            <v>43.202034503706805</v>
          </cell>
          <cell r="Q77">
            <v>43.192625000877406</v>
          </cell>
          <cell r="R77">
            <v>43.209373797427411</v>
          </cell>
          <cell r="S77">
            <v>43.198298703107398</v>
          </cell>
          <cell r="T77">
            <v>43.198298703107398</v>
          </cell>
          <cell r="U77">
            <v>43.198298703107398</v>
          </cell>
          <cell r="V77">
            <v>43.198298703107398</v>
          </cell>
          <cell r="W77">
            <v>43.198298703107398</v>
          </cell>
          <cell r="X77">
            <v>43.198298703107398</v>
          </cell>
          <cell r="Y77">
            <v>43.198298703107398</v>
          </cell>
          <cell r="Z77">
            <v>43.198298703107398</v>
          </cell>
          <cell r="AA77">
            <v>43.198298703107398</v>
          </cell>
          <cell r="AB77">
            <v>43.198298703107398</v>
          </cell>
          <cell r="AC77">
            <v>43.198298703107398</v>
          </cell>
          <cell r="AD77">
            <v>43.198298703107398</v>
          </cell>
          <cell r="AE77">
            <v>43.198298703107398</v>
          </cell>
          <cell r="AF77">
            <v>43.198298703107398</v>
          </cell>
        </row>
        <row r="78">
          <cell r="A78" t="str">
            <v>Minnesota</v>
          </cell>
          <cell r="B78">
            <v>43.217831373890164</v>
          </cell>
          <cell r="C78">
            <v>43.206723321922524</v>
          </cell>
          <cell r="D78">
            <v>43.204752741929383</v>
          </cell>
          <cell r="E78">
            <v>43.217013844544852</v>
          </cell>
          <cell r="F78">
            <v>43.210603632441547</v>
          </cell>
          <cell r="G78">
            <v>43.219397381852453</v>
          </cell>
          <cell r="H78">
            <v>43.219314027239726</v>
          </cell>
          <cell r="I78">
            <v>43.222356421593105</v>
          </cell>
          <cell r="J78">
            <v>43.198060874990759</v>
          </cell>
          <cell r="K78">
            <v>43.218411303523176</v>
          </cell>
          <cell r="L78">
            <v>43.206865785813278</v>
          </cell>
          <cell r="M78">
            <v>43.21323583935115</v>
          </cell>
          <cell r="N78">
            <v>43.203888558043552</v>
          </cell>
          <cell r="O78">
            <v>43.223604007025003</v>
          </cell>
          <cell r="P78">
            <v>43.202034503706805</v>
          </cell>
          <cell r="Q78">
            <v>43.192625000877399</v>
          </cell>
          <cell r="R78">
            <v>43.209373797427403</v>
          </cell>
          <cell r="S78">
            <v>43.198298703107398</v>
          </cell>
          <cell r="T78">
            <v>43.198298703107398</v>
          </cell>
          <cell r="U78">
            <v>43.198298703107398</v>
          </cell>
          <cell r="V78">
            <v>43.198298703107398</v>
          </cell>
          <cell r="W78">
            <v>43.198298703107398</v>
          </cell>
          <cell r="X78">
            <v>43.198298703107398</v>
          </cell>
          <cell r="Y78">
            <v>43.198298703107398</v>
          </cell>
          <cell r="Z78">
            <v>43.198298703107398</v>
          </cell>
          <cell r="AA78">
            <v>43.198298703107398</v>
          </cell>
          <cell r="AB78">
            <v>43.198298703107398</v>
          </cell>
          <cell r="AC78">
            <v>43.198298703107398</v>
          </cell>
          <cell r="AD78">
            <v>43.198298703107398</v>
          </cell>
          <cell r="AE78">
            <v>43.198298703107398</v>
          </cell>
          <cell r="AF78">
            <v>43.198298703107398</v>
          </cell>
        </row>
        <row r="79">
          <cell r="A79" t="str">
            <v>Mississippi</v>
          </cell>
          <cell r="B79">
            <v>53.155620432323374</v>
          </cell>
          <cell r="C79">
            <v>53.14195812268489</v>
          </cell>
          <cell r="D79">
            <v>53.139534414719513</v>
          </cell>
          <cell r="E79">
            <v>53.154614914966558</v>
          </cell>
          <cell r="F79">
            <v>53.146730697026342</v>
          </cell>
          <cell r="G79">
            <v>53.157546538335431</v>
          </cell>
          <cell r="H79">
            <v>53.157444016621255</v>
          </cell>
          <cell r="I79">
            <v>53.161185998907591</v>
          </cell>
          <cell r="J79">
            <v>53.131303776400451</v>
          </cell>
          <cell r="K79">
            <v>53.156333714745699</v>
          </cell>
          <cell r="L79">
            <v>53.142133345648688</v>
          </cell>
          <cell r="M79">
            <v>53.149968170701868</v>
          </cell>
          <cell r="N79">
            <v>53.138471514773855</v>
          </cell>
          <cell r="O79">
            <v>53.162720462242881</v>
          </cell>
          <cell r="P79">
            <v>53.136191127131724</v>
          </cell>
          <cell r="Q79">
            <v>53.124617942060745</v>
          </cell>
          <cell r="R79">
            <v>53.14521806575523</v>
          </cell>
          <cell r="S79">
            <v>53.131596292260099</v>
          </cell>
          <cell r="T79">
            <v>53.131596292260099</v>
          </cell>
          <cell r="U79">
            <v>53.131596292260099</v>
          </cell>
          <cell r="V79">
            <v>53.131596292260099</v>
          </cell>
          <cell r="W79">
            <v>53.131596292260099</v>
          </cell>
          <cell r="X79">
            <v>53.131596292260099</v>
          </cell>
          <cell r="Y79">
            <v>53.131596292260099</v>
          </cell>
          <cell r="Z79">
            <v>53.131596292260099</v>
          </cell>
          <cell r="AA79">
            <v>53.131596292260099</v>
          </cell>
          <cell r="AB79">
            <v>53.131596292260099</v>
          </cell>
          <cell r="AC79">
            <v>53.131596292260099</v>
          </cell>
          <cell r="AD79">
            <v>53.131596292260099</v>
          </cell>
          <cell r="AE79">
            <v>53.131596292260099</v>
          </cell>
          <cell r="AF79">
            <v>53.131596292260099</v>
          </cell>
        </row>
        <row r="80">
          <cell r="A80" t="str">
            <v>Missouri</v>
          </cell>
          <cell r="B80">
            <v>43.217831373890156</v>
          </cell>
          <cell r="C80">
            <v>43.206723321922532</v>
          </cell>
          <cell r="D80">
            <v>43.204752741929369</v>
          </cell>
          <cell r="E80">
            <v>43.217013844544859</v>
          </cell>
          <cell r="F80">
            <v>43.210603632441547</v>
          </cell>
          <cell r="G80">
            <v>43.219397381852438</v>
          </cell>
          <cell r="H80">
            <v>43.219314027239719</v>
          </cell>
          <cell r="I80">
            <v>43.222356421593105</v>
          </cell>
          <cell r="J80">
            <v>43.198060874990759</v>
          </cell>
          <cell r="K80">
            <v>43.218411303523162</v>
          </cell>
          <cell r="L80">
            <v>43.206865785813278</v>
          </cell>
          <cell r="M80">
            <v>43.213235839351135</v>
          </cell>
          <cell r="N80">
            <v>43.203888558043545</v>
          </cell>
          <cell r="O80">
            <v>43.223604007024989</v>
          </cell>
          <cell r="P80">
            <v>43.202034503706798</v>
          </cell>
          <cell r="Q80">
            <v>43.192625000877413</v>
          </cell>
          <cell r="R80">
            <v>43.209373797427403</v>
          </cell>
          <cell r="S80">
            <v>43.198298703107398</v>
          </cell>
          <cell r="T80">
            <v>43.198298703107398</v>
          </cell>
          <cell r="U80">
            <v>43.198298703107398</v>
          </cell>
          <cell r="V80">
            <v>43.198298703107398</v>
          </cell>
          <cell r="W80">
            <v>43.198298703107398</v>
          </cell>
          <cell r="X80">
            <v>43.198298703107398</v>
          </cell>
          <cell r="Y80">
            <v>43.198298703107398</v>
          </cell>
          <cell r="Z80">
            <v>43.198298703107398</v>
          </cell>
          <cell r="AA80">
            <v>43.198298703107398</v>
          </cell>
          <cell r="AB80">
            <v>43.198298703107398</v>
          </cell>
          <cell r="AC80">
            <v>43.198298703107398</v>
          </cell>
          <cell r="AD80">
            <v>43.198298703107398</v>
          </cell>
          <cell r="AE80">
            <v>43.198298703107398</v>
          </cell>
          <cell r="AF80">
            <v>43.198298703107398</v>
          </cell>
        </row>
        <row r="81">
          <cell r="A81" t="str">
            <v>Montana</v>
          </cell>
          <cell r="B81">
            <v>43.217831373890156</v>
          </cell>
          <cell r="C81">
            <v>43.206723321922517</v>
          </cell>
          <cell r="D81">
            <v>43.204752741929376</v>
          </cell>
          <cell r="E81">
            <v>43.217013844544852</v>
          </cell>
          <cell r="F81">
            <v>43.210603632441554</v>
          </cell>
          <cell r="G81">
            <v>43.219397381852446</v>
          </cell>
          <cell r="H81">
            <v>43.219314027239726</v>
          </cell>
          <cell r="I81">
            <v>43.222356421593112</v>
          </cell>
          <cell r="J81">
            <v>43.198060874990759</v>
          </cell>
          <cell r="K81">
            <v>43.218411303523176</v>
          </cell>
          <cell r="L81">
            <v>43.206865785813271</v>
          </cell>
          <cell r="M81">
            <v>43.213235839351142</v>
          </cell>
          <cell r="N81">
            <v>43.203888558043545</v>
          </cell>
          <cell r="O81">
            <v>43.223604007024996</v>
          </cell>
          <cell r="P81">
            <v>43.202034503706805</v>
          </cell>
          <cell r="Q81">
            <v>43.192625000877406</v>
          </cell>
          <cell r="R81">
            <v>43.209373797427411</v>
          </cell>
          <cell r="S81">
            <v>43.198298703107405</v>
          </cell>
          <cell r="T81">
            <v>43.198298703107405</v>
          </cell>
          <cell r="U81">
            <v>43.198298703107405</v>
          </cell>
          <cell r="V81">
            <v>43.198298703107405</v>
          </cell>
          <cell r="W81">
            <v>43.198298703107405</v>
          </cell>
          <cell r="X81">
            <v>43.198298703107405</v>
          </cell>
          <cell r="Y81">
            <v>43.198298703107405</v>
          </cell>
          <cell r="Z81">
            <v>43.198298703107405</v>
          </cell>
          <cell r="AA81">
            <v>43.198298703107405</v>
          </cell>
          <cell r="AB81">
            <v>43.198298703107405</v>
          </cell>
          <cell r="AC81">
            <v>43.198298703107405</v>
          </cell>
          <cell r="AD81">
            <v>43.198298703107405</v>
          </cell>
          <cell r="AE81">
            <v>43.198298703107405</v>
          </cell>
          <cell r="AF81">
            <v>43.198298703107405</v>
          </cell>
        </row>
        <row r="82">
          <cell r="A82" t="str">
            <v>Nebraska</v>
          </cell>
          <cell r="B82">
            <v>43.217831373890171</v>
          </cell>
          <cell r="C82">
            <v>43.206723321922524</v>
          </cell>
          <cell r="D82">
            <v>43.204752741929376</v>
          </cell>
          <cell r="E82">
            <v>43.217013844544844</v>
          </cell>
          <cell r="F82">
            <v>43.210603632441554</v>
          </cell>
          <cell r="G82">
            <v>43.219397381852446</v>
          </cell>
          <cell r="H82">
            <v>43.219314027239719</v>
          </cell>
          <cell r="I82">
            <v>43.222356421593098</v>
          </cell>
          <cell r="J82">
            <v>43.198060874990759</v>
          </cell>
          <cell r="K82">
            <v>43.218411303523183</v>
          </cell>
          <cell r="L82">
            <v>43.206865785813285</v>
          </cell>
          <cell r="M82">
            <v>43.213235839351142</v>
          </cell>
          <cell r="N82">
            <v>43.203888558043552</v>
          </cell>
          <cell r="O82">
            <v>43.223604007024989</v>
          </cell>
          <cell r="P82">
            <v>43.202034503706805</v>
          </cell>
          <cell r="Q82">
            <v>43.192625000877406</v>
          </cell>
          <cell r="R82">
            <v>43.209373797427403</v>
          </cell>
          <cell r="S82">
            <v>43.198298703107405</v>
          </cell>
          <cell r="T82">
            <v>43.198298703107405</v>
          </cell>
          <cell r="U82">
            <v>43.198298703107405</v>
          </cell>
          <cell r="V82">
            <v>43.198298703107405</v>
          </cell>
          <cell r="W82">
            <v>43.198298703107405</v>
          </cell>
          <cell r="X82">
            <v>43.198298703107405</v>
          </cell>
          <cell r="Y82">
            <v>43.198298703107405</v>
          </cell>
          <cell r="Z82">
            <v>43.198298703107405</v>
          </cell>
          <cell r="AA82">
            <v>43.198298703107405</v>
          </cell>
          <cell r="AB82">
            <v>43.198298703107405</v>
          </cell>
          <cell r="AC82">
            <v>43.198298703107405</v>
          </cell>
          <cell r="AD82">
            <v>43.198298703107405</v>
          </cell>
          <cell r="AE82">
            <v>43.198298703107405</v>
          </cell>
          <cell r="AF82">
            <v>43.198298703107405</v>
          </cell>
        </row>
        <row r="83">
          <cell r="A83" t="str">
            <v>Nevada</v>
          </cell>
          <cell r="B83">
            <v>45.683021181627559</v>
          </cell>
          <cell r="C83">
            <v>45.6712795148851</v>
          </cell>
          <cell r="D83">
            <v>45.669196530970687</v>
          </cell>
          <cell r="E83">
            <v>45.682157019562723</v>
          </cell>
          <cell r="F83">
            <v>45.675381162330069</v>
          </cell>
          <cell r="G83">
            <v>45.684676516303966</v>
          </cell>
          <cell r="H83">
            <v>45.684588407057888</v>
          </cell>
          <cell r="I83">
            <v>45.687804342732356</v>
          </cell>
          <cell r="J83">
            <v>45.662122953019576</v>
          </cell>
          <cell r="K83">
            <v>45.683634191046757</v>
          </cell>
          <cell r="L83">
            <v>45.67143010506355</v>
          </cell>
          <cell r="M83">
            <v>45.678163513044638</v>
          </cell>
          <cell r="N83">
            <v>45.66828305314209</v>
          </cell>
          <cell r="O83">
            <v>45.689123091727836</v>
          </cell>
          <cell r="P83">
            <v>45.666323241628064</v>
          </cell>
          <cell r="Q83">
            <v>45.656377011023729</v>
          </cell>
          <cell r="R83">
            <v>45.674081176254532</v>
          </cell>
          <cell r="S83">
            <v>45.662374347098016</v>
          </cell>
          <cell r="T83">
            <v>45.662374347098016</v>
          </cell>
          <cell r="U83">
            <v>45.662374347098016</v>
          </cell>
          <cell r="V83">
            <v>45.662374347098016</v>
          </cell>
          <cell r="W83">
            <v>45.662374347098016</v>
          </cell>
          <cell r="X83">
            <v>45.662374347098016</v>
          </cell>
          <cell r="Y83">
            <v>45.662374347098016</v>
          </cell>
          <cell r="Z83">
            <v>45.662374347098016</v>
          </cell>
          <cell r="AA83">
            <v>45.662374347098016</v>
          </cell>
          <cell r="AB83">
            <v>45.662374347098016</v>
          </cell>
          <cell r="AC83">
            <v>45.662374347098016</v>
          </cell>
          <cell r="AD83">
            <v>45.662374347098016</v>
          </cell>
          <cell r="AE83">
            <v>45.662374347098016</v>
          </cell>
          <cell r="AF83">
            <v>45.662374347098016</v>
          </cell>
        </row>
        <row r="84">
          <cell r="A84" t="str">
            <v>New Hampshire</v>
          </cell>
          <cell r="B84">
            <v>46.097137065146704</v>
          </cell>
          <cell r="C84">
            <v>46.085304347766183</v>
          </cell>
          <cell r="D84">
            <v>46.08320252754568</v>
          </cell>
          <cell r="E84">
            <v>46.096261442810729</v>
          </cell>
          <cell r="F84">
            <v>46.089431611562432</v>
          </cell>
          <cell r="G84">
            <v>46.098802316741633</v>
          </cell>
          <cell r="H84">
            <v>46.098717953856109</v>
          </cell>
          <cell r="I84">
            <v>46.101961663394079</v>
          </cell>
          <cell r="J84">
            <v>46.076078730274276</v>
          </cell>
          <cell r="K84">
            <v>46.097753316387056</v>
          </cell>
          <cell r="L84">
            <v>46.085457130361327</v>
          </cell>
          <cell r="M84">
            <v>46.092243259730516</v>
          </cell>
          <cell r="N84">
            <v>46.082285354620325</v>
          </cell>
          <cell r="O84">
            <v>46.103286522795806</v>
          </cell>
          <cell r="P84">
            <v>46.080313113387774</v>
          </cell>
          <cell r="Q84">
            <v>46.070287181897655</v>
          </cell>
          <cell r="R84">
            <v>46.08812763142172</v>
          </cell>
          <cell r="S84">
            <v>46.076332162774115</v>
          </cell>
          <cell r="T84">
            <v>46.076332162774115</v>
          </cell>
          <cell r="U84">
            <v>46.076332162774115</v>
          </cell>
          <cell r="V84">
            <v>46.076332162774115</v>
          </cell>
          <cell r="W84">
            <v>46.076332162774115</v>
          </cell>
          <cell r="X84">
            <v>46.076332162774115</v>
          </cell>
          <cell r="Y84">
            <v>46.076332162774115</v>
          </cell>
          <cell r="Z84">
            <v>46.076332162774115</v>
          </cell>
          <cell r="AA84">
            <v>46.076332162774115</v>
          </cell>
          <cell r="AB84">
            <v>46.076332162774115</v>
          </cell>
          <cell r="AC84">
            <v>46.076332162774115</v>
          </cell>
          <cell r="AD84">
            <v>46.076332162774115</v>
          </cell>
          <cell r="AE84">
            <v>46.076332162774115</v>
          </cell>
          <cell r="AF84">
            <v>46.076332162774115</v>
          </cell>
        </row>
        <row r="85">
          <cell r="A85" t="str">
            <v>New Jersey</v>
          </cell>
          <cell r="B85">
            <v>46.09713706514669</v>
          </cell>
          <cell r="C85">
            <v>46.085304347766197</v>
          </cell>
          <cell r="D85">
            <v>46.083202527545687</v>
          </cell>
          <cell r="E85">
            <v>46.096261442810729</v>
          </cell>
          <cell r="F85">
            <v>46.089431611562418</v>
          </cell>
          <cell r="G85">
            <v>46.098802316741647</v>
          </cell>
          <cell r="H85">
            <v>46.098717953856124</v>
          </cell>
          <cell r="I85">
            <v>46.101961663394079</v>
          </cell>
          <cell r="J85">
            <v>46.076078730274276</v>
          </cell>
          <cell r="K85">
            <v>46.097753316387077</v>
          </cell>
          <cell r="L85">
            <v>46.085457130361327</v>
          </cell>
          <cell r="M85">
            <v>46.092243259730502</v>
          </cell>
          <cell r="N85">
            <v>46.082285354620311</v>
          </cell>
          <cell r="O85">
            <v>46.103286522795806</v>
          </cell>
          <cell r="P85">
            <v>46.080313113387774</v>
          </cell>
          <cell r="Q85">
            <v>46.070287181897655</v>
          </cell>
          <cell r="R85">
            <v>46.088127631421706</v>
          </cell>
          <cell r="S85">
            <v>46.076332162774115</v>
          </cell>
          <cell r="T85">
            <v>46.076332162774115</v>
          </cell>
          <cell r="U85">
            <v>46.076332162774115</v>
          </cell>
          <cell r="V85">
            <v>46.076332162774115</v>
          </cell>
          <cell r="W85">
            <v>46.076332162774115</v>
          </cell>
          <cell r="X85">
            <v>46.076332162774115</v>
          </cell>
          <cell r="Y85">
            <v>46.076332162774115</v>
          </cell>
          <cell r="Z85">
            <v>46.076332162774115</v>
          </cell>
          <cell r="AA85">
            <v>46.076332162774115</v>
          </cell>
          <cell r="AB85">
            <v>46.076332162774115</v>
          </cell>
          <cell r="AC85">
            <v>46.076332162774115</v>
          </cell>
          <cell r="AD85">
            <v>46.076332162774115</v>
          </cell>
          <cell r="AE85">
            <v>46.076332162774115</v>
          </cell>
          <cell r="AF85">
            <v>46.076332162774115</v>
          </cell>
        </row>
        <row r="86">
          <cell r="A86" t="str">
            <v>New Mexico</v>
          </cell>
          <cell r="B86">
            <v>45.683021181627566</v>
          </cell>
          <cell r="C86">
            <v>45.671279514885093</v>
          </cell>
          <cell r="D86">
            <v>45.669196530970702</v>
          </cell>
          <cell r="E86">
            <v>45.682157019562709</v>
          </cell>
          <cell r="F86">
            <v>45.675381162330069</v>
          </cell>
          <cell r="G86">
            <v>45.684676516303952</v>
          </cell>
          <cell r="H86">
            <v>45.684588407057888</v>
          </cell>
          <cell r="I86">
            <v>45.687804342732356</v>
          </cell>
          <cell r="J86">
            <v>45.662122953019576</v>
          </cell>
          <cell r="K86">
            <v>45.68363419104675</v>
          </cell>
          <cell r="L86">
            <v>45.671430105063543</v>
          </cell>
          <cell r="M86">
            <v>45.678163513044645</v>
          </cell>
          <cell r="N86">
            <v>45.668283053142083</v>
          </cell>
          <cell r="O86">
            <v>45.689123091727836</v>
          </cell>
          <cell r="P86">
            <v>45.666323241628056</v>
          </cell>
          <cell r="Q86">
            <v>45.656377011023736</v>
          </cell>
          <cell r="R86">
            <v>45.674081176254518</v>
          </cell>
          <cell r="S86">
            <v>45.662374347098023</v>
          </cell>
          <cell r="T86">
            <v>45.662374347098023</v>
          </cell>
          <cell r="U86">
            <v>45.662374347098023</v>
          </cell>
          <cell r="V86">
            <v>45.662374347098023</v>
          </cell>
          <cell r="W86">
            <v>45.662374347098023</v>
          </cell>
          <cell r="X86">
            <v>45.662374347098023</v>
          </cell>
          <cell r="Y86">
            <v>45.662374347098023</v>
          </cell>
          <cell r="Z86">
            <v>45.662374347098023</v>
          </cell>
          <cell r="AA86">
            <v>45.662374347098023</v>
          </cell>
          <cell r="AB86">
            <v>45.662374347098023</v>
          </cell>
          <cell r="AC86">
            <v>45.662374347098023</v>
          </cell>
          <cell r="AD86">
            <v>45.662374347098023</v>
          </cell>
          <cell r="AE86">
            <v>45.662374347098023</v>
          </cell>
          <cell r="AF86">
            <v>45.662374347098023</v>
          </cell>
        </row>
        <row r="87">
          <cell r="A87" t="str">
            <v>New York</v>
          </cell>
          <cell r="B87">
            <v>46.097137065146697</v>
          </cell>
          <cell r="C87">
            <v>46.085304347766183</v>
          </cell>
          <cell r="D87">
            <v>46.083202527545694</v>
          </cell>
          <cell r="E87">
            <v>46.096261442810736</v>
          </cell>
          <cell r="F87">
            <v>46.089431611562432</v>
          </cell>
          <cell r="G87">
            <v>46.098802316741647</v>
          </cell>
          <cell r="H87">
            <v>46.098717953856116</v>
          </cell>
          <cell r="I87">
            <v>46.101961663394064</v>
          </cell>
          <cell r="J87">
            <v>46.076078730274268</v>
          </cell>
          <cell r="K87">
            <v>46.09775331638707</v>
          </cell>
          <cell r="L87">
            <v>46.085457130361334</v>
          </cell>
          <cell r="M87">
            <v>46.092243259730516</v>
          </cell>
          <cell r="N87">
            <v>46.082285354620325</v>
          </cell>
          <cell r="O87">
            <v>46.103286522795813</v>
          </cell>
          <cell r="P87">
            <v>46.080313113387774</v>
          </cell>
          <cell r="Q87">
            <v>46.070287181897648</v>
          </cell>
          <cell r="R87">
            <v>46.088127631421699</v>
          </cell>
          <cell r="S87">
            <v>46.076332162774108</v>
          </cell>
          <cell r="T87">
            <v>46.076332162774108</v>
          </cell>
          <cell r="U87">
            <v>46.076332162774108</v>
          </cell>
          <cell r="V87">
            <v>46.076332162774108</v>
          </cell>
          <cell r="W87">
            <v>46.076332162774108</v>
          </cell>
          <cell r="X87">
            <v>46.076332162774108</v>
          </cell>
          <cell r="Y87">
            <v>46.076332162774108</v>
          </cell>
          <cell r="Z87">
            <v>46.076332162774108</v>
          </cell>
          <cell r="AA87">
            <v>46.076332162774108</v>
          </cell>
          <cell r="AB87">
            <v>46.076332162774108</v>
          </cell>
          <cell r="AC87">
            <v>46.076332162774108</v>
          </cell>
          <cell r="AD87">
            <v>46.076332162774108</v>
          </cell>
          <cell r="AE87">
            <v>46.076332162774108</v>
          </cell>
          <cell r="AF87">
            <v>46.076332162774108</v>
          </cell>
        </row>
        <row r="88">
          <cell r="A88" t="str">
            <v>North Carolina</v>
          </cell>
          <cell r="B88">
            <v>53.155620432323374</v>
          </cell>
          <cell r="C88">
            <v>53.141958122684883</v>
          </cell>
          <cell r="D88">
            <v>53.139534414719499</v>
          </cell>
          <cell r="E88">
            <v>53.154614914966537</v>
          </cell>
          <cell r="F88">
            <v>53.146730697026356</v>
          </cell>
          <cell r="G88">
            <v>53.157546538335438</v>
          </cell>
          <cell r="H88">
            <v>53.157444016621255</v>
          </cell>
          <cell r="I88">
            <v>53.161185998907577</v>
          </cell>
          <cell r="J88">
            <v>53.131303776400443</v>
          </cell>
          <cell r="K88">
            <v>53.156333714745706</v>
          </cell>
          <cell r="L88">
            <v>53.142133345648688</v>
          </cell>
          <cell r="M88">
            <v>53.149968170701868</v>
          </cell>
          <cell r="N88">
            <v>53.138471514773855</v>
          </cell>
          <cell r="O88">
            <v>53.162720462242881</v>
          </cell>
          <cell r="P88">
            <v>53.136191127131717</v>
          </cell>
          <cell r="Q88">
            <v>53.124617942060745</v>
          </cell>
          <cell r="R88">
            <v>53.14521806575523</v>
          </cell>
          <cell r="S88">
            <v>53.131596292260099</v>
          </cell>
          <cell r="T88">
            <v>53.131596292260099</v>
          </cell>
          <cell r="U88">
            <v>53.131596292260099</v>
          </cell>
          <cell r="V88">
            <v>53.131596292260099</v>
          </cell>
          <cell r="W88">
            <v>53.131596292260099</v>
          </cell>
          <cell r="X88">
            <v>53.131596292260099</v>
          </cell>
          <cell r="Y88">
            <v>53.131596292260099</v>
          </cell>
          <cell r="Z88">
            <v>53.131596292260099</v>
          </cell>
          <cell r="AA88">
            <v>53.131596292260099</v>
          </cell>
          <cell r="AB88">
            <v>53.131596292260099</v>
          </cell>
          <cell r="AC88">
            <v>53.131596292260099</v>
          </cell>
          <cell r="AD88">
            <v>53.131596292260099</v>
          </cell>
          <cell r="AE88">
            <v>53.131596292260099</v>
          </cell>
          <cell r="AF88">
            <v>53.131596292260099</v>
          </cell>
        </row>
        <row r="89">
          <cell r="A89" t="str">
            <v>North Dakota</v>
          </cell>
          <cell r="B89">
            <v>43.217831373890156</v>
          </cell>
          <cell r="C89">
            <v>43.206723321922517</v>
          </cell>
          <cell r="D89">
            <v>43.204752741929369</v>
          </cell>
          <cell r="E89">
            <v>43.217013844544859</v>
          </cell>
          <cell r="F89">
            <v>43.210603632441561</v>
          </cell>
          <cell r="G89">
            <v>43.219397381852438</v>
          </cell>
          <cell r="H89">
            <v>43.219314027239719</v>
          </cell>
          <cell r="I89">
            <v>43.222356421593105</v>
          </cell>
          <cell r="J89">
            <v>43.198060874990759</v>
          </cell>
          <cell r="K89">
            <v>43.218411303523183</v>
          </cell>
          <cell r="L89">
            <v>43.206865785813285</v>
          </cell>
          <cell r="M89">
            <v>43.213235839351142</v>
          </cell>
          <cell r="N89">
            <v>43.203888558043545</v>
          </cell>
          <cell r="O89">
            <v>43.223604007024989</v>
          </cell>
          <cell r="P89">
            <v>43.202034503706805</v>
          </cell>
          <cell r="Q89">
            <v>43.192625000877406</v>
          </cell>
          <cell r="R89">
            <v>43.209373797427403</v>
          </cell>
          <cell r="S89">
            <v>43.198298703107412</v>
          </cell>
          <cell r="T89">
            <v>43.198298703107412</v>
          </cell>
          <cell r="U89">
            <v>43.198298703107412</v>
          </cell>
          <cell r="V89">
            <v>43.198298703107412</v>
          </cell>
          <cell r="W89">
            <v>43.198298703107412</v>
          </cell>
          <cell r="X89">
            <v>43.198298703107412</v>
          </cell>
          <cell r="Y89">
            <v>43.198298703107412</v>
          </cell>
          <cell r="Z89">
            <v>43.198298703107412</v>
          </cell>
          <cell r="AA89">
            <v>43.198298703107412</v>
          </cell>
          <cell r="AB89">
            <v>43.198298703107412</v>
          </cell>
          <cell r="AC89">
            <v>43.198298703107412</v>
          </cell>
          <cell r="AD89">
            <v>43.198298703107412</v>
          </cell>
          <cell r="AE89">
            <v>43.198298703107412</v>
          </cell>
          <cell r="AF89">
            <v>43.198298703107412</v>
          </cell>
        </row>
        <row r="90">
          <cell r="A90" t="str">
            <v>Ohio</v>
          </cell>
          <cell r="B90">
            <v>43.217831373890156</v>
          </cell>
          <cell r="C90">
            <v>43.206723321922524</v>
          </cell>
          <cell r="D90">
            <v>43.204752741929376</v>
          </cell>
          <cell r="E90">
            <v>43.217013844544859</v>
          </cell>
          <cell r="F90">
            <v>43.210603632441554</v>
          </cell>
          <cell r="G90">
            <v>43.219397381852446</v>
          </cell>
          <cell r="H90">
            <v>43.219314027239719</v>
          </cell>
          <cell r="I90">
            <v>43.222356421593112</v>
          </cell>
          <cell r="J90">
            <v>43.198060874990759</v>
          </cell>
          <cell r="K90">
            <v>43.218411303523183</v>
          </cell>
          <cell r="L90">
            <v>43.206865785813271</v>
          </cell>
          <cell r="M90">
            <v>43.213235839351142</v>
          </cell>
          <cell r="N90">
            <v>43.203888558043545</v>
          </cell>
          <cell r="O90">
            <v>43.223604007024989</v>
          </cell>
          <cell r="P90">
            <v>43.202034503706813</v>
          </cell>
          <cell r="Q90">
            <v>43.192625000877406</v>
          </cell>
          <cell r="R90">
            <v>43.209373797427403</v>
          </cell>
          <cell r="S90">
            <v>43.198298703107405</v>
          </cell>
          <cell r="T90">
            <v>43.198298703107405</v>
          </cell>
          <cell r="U90">
            <v>43.198298703107405</v>
          </cell>
          <cell r="V90">
            <v>43.198298703107405</v>
          </cell>
          <cell r="W90">
            <v>43.198298703107405</v>
          </cell>
          <cell r="X90">
            <v>43.198298703107405</v>
          </cell>
          <cell r="Y90">
            <v>43.198298703107405</v>
          </cell>
          <cell r="Z90">
            <v>43.198298703107405</v>
          </cell>
          <cell r="AA90">
            <v>43.198298703107405</v>
          </cell>
          <cell r="AB90">
            <v>43.198298703107405</v>
          </cell>
          <cell r="AC90">
            <v>43.198298703107405</v>
          </cell>
          <cell r="AD90">
            <v>43.198298703107405</v>
          </cell>
          <cell r="AE90">
            <v>43.198298703107405</v>
          </cell>
          <cell r="AF90">
            <v>43.198298703107405</v>
          </cell>
        </row>
        <row r="91">
          <cell r="A91" t="str">
            <v>Oklahoma</v>
          </cell>
          <cell r="B91">
            <v>51.673336340729357</v>
          </cell>
          <cell r="C91">
            <v>51.660035183586309</v>
          </cell>
          <cell r="D91">
            <v>51.657679003354026</v>
          </cell>
          <cell r="E91">
            <v>51.67236353698852</v>
          </cell>
          <cell r="F91">
            <v>51.664689576074558</v>
          </cell>
          <cell r="G91">
            <v>51.675215294085369</v>
          </cell>
          <cell r="H91">
            <v>51.675109773602898</v>
          </cell>
          <cell r="I91">
            <v>51.678749184584746</v>
          </cell>
          <cell r="J91">
            <v>51.649659964975775</v>
          </cell>
          <cell r="K91">
            <v>51.674032716428677</v>
          </cell>
          <cell r="L91">
            <v>51.660204454082567</v>
          </cell>
          <cell r="M91">
            <v>51.667831517916468</v>
          </cell>
          <cell r="N91">
            <v>51.65663983331148</v>
          </cell>
          <cell r="O91">
            <v>51.68024839002679</v>
          </cell>
          <cell r="P91">
            <v>51.654416159042206</v>
          </cell>
          <cell r="Q91">
            <v>51.643152218080168</v>
          </cell>
          <cell r="R91">
            <v>51.663209085569001</v>
          </cell>
          <cell r="S91">
            <v>51.64994463371896</v>
          </cell>
          <cell r="T91">
            <v>51.64994463371896</v>
          </cell>
          <cell r="U91">
            <v>51.64994463371896</v>
          </cell>
          <cell r="V91">
            <v>51.64994463371896</v>
          </cell>
          <cell r="W91">
            <v>51.64994463371896</v>
          </cell>
          <cell r="X91">
            <v>51.64994463371896</v>
          </cell>
          <cell r="Y91">
            <v>51.64994463371896</v>
          </cell>
          <cell r="Z91">
            <v>51.64994463371896</v>
          </cell>
          <cell r="AA91">
            <v>51.64994463371896</v>
          </cell>
          <cell r="AB91">
            <v>51.64994463371896</v>
          </cell>
          <cell r="AC91">
            <v>51.64994463371896</v>
          </cell>
          <cell r="AD91">
            <v>51.64994463371896</v>
          </cell>
          <cell r="AE91">
            <v>51.64994463371896</v>
          </cell>
          <cell r="AF91">
            <v>51.64994463371896</v>
          </cell>
        </row>
        <row r="92">
          <cell r="A92" t="str">
            <v>Oregon</v>
          </cell>
          <cell r="B92">
            <v>45.683021181627566</v>
          </cell>
          <cell r="C92">
            <v>45.671279514885107</v>
          </cell>
          <cell r="D92">
            <v>45.669196530970694</v>
          </cell>
          <cell r="E92">
            <v>45.682157019562709</v>
          </cell>
          <cell r="F92">
            <v>45.675381162330069</v>
          </cell>
          <cell r="G92">
            <v>45.684676516303959</v>
          </cell>
          <cell r="H92">
            <v>45.684588407057888</v>
          </cell>
          <cell r="I92">
            <v>45.687804342732363</v>
          </cell>
          <cell r="J92">
            <v>45.662122953019576</v>
          </cell>
          <cell r="K92">
            <v>45.68363419104675</v>
          </cell>
          <cell r="L92">
            <v>45.671430105063557</v>
          </cell>
          <cell r="M92">
            <v>45.678163513044645</v>
          </cell>
          <cell r="N92">
            <v>45.668283053142076</v>
          </cell>
          <cell r="O92">
            <v>45.689123091727836</v>
          </cell>
          <cell r="P92">
            <v>45.666323241628064</v>
          </cell>
          <cell r="Q92">
            <v>45.656377011023736</v>
          </cell>
          <cell r="R92">
            <v>45.674081176254546</v>
          </cell>
          <cell r="S92">
            <v>45.662374347098016</v>
          </cell>
          <cell r="T92">
            <v>45.662374347098016</v>
          </cell>
          <cell r="U92">
            <v>45.662374347098016</v>
          </cell>
          <cell r="V92">
            <v>45.662374347098016</v>
          </cell>
          <cell r="W92">
            <v>45.662374347098016</v>
          </cell>
          <cell r="X92">
            <v>45.662374347098016</v>
          </cell>
          <cell r="Y92">
            <v>45.662374347098016</v>
          </cell>
          <cell r="Z92">
            <v>45.662374347098016</v>
          </cell>
          <cell r="AA92">
            <v>45.662374347098016</v>
          </cell>
          <cell r="AB92">
            <v>45.662374347098016</v>
          </cell>
          <cell r="AC92">
            <v>45.662374347098016</v>
          </cell>
          <cell r="AD92">
            <v>45.662374347098016</v>
          </cell>
          <cell r="AE92">
            <v>45.662374347098016</v>
          </cell>
          <cell r="AF92">
            <v>45.662374347098016</v>
          </cell>
        </row>
        <row r="93">
          <cell r="A93" t="str">
            <v>Pennsylvania</v>
          </cell>
          <cell r="B93">
            <v>46.097137065146697</v>
          </cell>
          <cell r="C93">
            <v>46.085304347766183</v>
          </cell>
          <cell r="D93">
            <v>46.083202527545687</v>
          </cell>
          <cell r="E93">
            <v>46.096261442810729</v>
          </cell>
          <cell r="F93">
            <v>46.089431611562432</v>
          </cell>
          <cell r="G93">
            <v>46.09880231674164</v>
          </cell>
          <cell r="H93">
            <v>46.098717953856116</v>
          </cell>
          <cell r="I93">
            <v>46.101961663394079</v>
          </cell>
          <cell r="J93">
            <v>46.076078730274268</v>
          </cell>
          <cell r="K93">
            <v>46.09775331638707</v>
          </cell>
          <cell r="L93">
            <v>46.08545713036132</v>
          </cell>
          <cell r="M93">
            <v>46.092243259730502</v>
          </cell>
          <cell r="N93">
            <v>46.082285354620311</v>
          </cell>
          <cell r="O93">
            <v>46.103286522795798</v>
          </cell>
          <cell r="P93">
            <v>46.080313113387788</v>
          </cell>
          <cell r="Q93">
            <v>46.070287181897655</v>
          </cell>
          <cell r="R93">
            <v>46.088127631421713</v>
          </cell>
          <cell r="S93">
            <v>46.076332162774108</v>
          </cell>
          <cell r="T93">
            <v>46.076332162774108</v>
          </cell>
          <cell r="U93">
            <v>46.076332162774108</v>
          </cell>
          <cell r="V93">
            <v>46.076332162774108</v>
          </cell>
          <cell r="W93">
            <v>46.076332162774108</v>
          </cell>
          <cell r="X93">
            <v>46.076332162774108</v>
          </cell>
          <cell r="Y93">
            <v>46.076332162774108</v>
          </cell>
          <cell r="Z93">
            <v>46.076332162774108</v>
          </cell>
          <cell r="AA93">
            <v>46.076332162774108</v>
          </cell>
          <cell r="AB93">
            <v>46.076332162774108</v>
          </cell>
          <cell r="AC93">
            <v>46.076332162774108</v>
          </cell>
          <cell r="AD93">
            <v>46.076332162774108</v>
          </cell>
          <cell r="AE93">
            <v>46.076332162774108</v>
          </cell>
          <cell r="AF93">
            <v>46.076332162774108</v>
          </cell>
        </row>
        <row r="94">
          <cell r="A94" t="str">
            <v>Rhode Island</v>
          </cell>
          <cell r="B94">
            <v>46.09713706514669</v>
          </cell>
          <cell r="C94">
            <v>46.085304347766183</v>
          </cell>
          <cell r="D94">
            <v>46.083202527545673</v>
          </cell>
          <cell r="E94">
            <v>46.096261442810736</v>
          </cell>
          <cell r="F94">
            <v>46.089431611562432</v>
          </cell>
          <cell r="G94">
            <v>46.098802316741647</v>
          </cell>
          <cell r="H94">
            <v>46.098717953856109</v>
          </cell>
          <cell r="I94">
            <v>46.101961663394071</v>
          </cell>
          <cell r="J94">
            <v>46.076078730274268</v>
          </cell>
          <cell r="K94">
            <v>46.097753316387063</v>
          </cell>
          <cell r="L94">
            <v>46.085457130361327</v>
          </cell>
          <cell r="M94">
            <v>46.092243259730509</v>
          </cell>
          <cell r="N94">
            <v>46.082285354620332</v>
          </cell>
          <cell r="O94">
            <v>46.103286522795798</v>
          </cell>
          <cell r="P94">
            <v>46.080313113387774</v>
          </cell>
          <cell r="Q94">
            <v>46.070287181897662</v>
          </cell>
          <cell r="R94">
            <v>46.088127631421713</v>
          </cell>
          <cell r="S94">
            <v>46.076332162774108</v>
          </cell>
          <cell r="T94">
            <v>46.076332162774108</v>
          </cell>
          <cell r="U94">
            <v>46.076332162774108</v>
          </cell>
          <cell r="V94">
            <v>46.076332162774108</v>
          </cell>
          <cell r="W94">
            <v>46.076332162774108</v>
          </cell>
          <cell r="X94">
            <v>46.076332162774108</v>
          </cell>
          <cell r="Y94">
            <v>46.076332162774108</v>
          </cell>
          <cell r="Z94">
            <v>46.076332162774108</v>
          </cell>
          <cell r="AA94">
            <v>46.076332162774108</v>
          </cell>
          <cell r="AB94">
            <v>46.076332162774108</v>
          </cell>
          <cell r="AC94">
            <v>46.076332162774108</v>
          </cell>
          <cell r="AD94">
            <v>46.076332162774108</v>
          </cell>
          <cell r="AE94">
            <v>46.076332162774108</v>
          </cell>
          <cell r="AF94">
            <v>46.076332162774108</v>
          </cell>
        </row>
        <row r="95">
          <cell r="A95" t="str">
            <v>South Carolina</v>
          </cell>
          <cell r="B95">
            <v>53.155620432323389</v>
          </cell>
          <cell r="C95">
            <v>53.141958122684883</v>
          </cell>
          <cell r="D95">
            <v>53.139534414719506</v>
          </cell>
          <cell r="E95">
            <v>53.154614914966558</v>
          </cell>
          <cell r="F95">
            <v>53.146730697026342</v>
          </cell>
          <cell r="G95">
            <v>53.157546538335424</v>
          </cell>
          <cell r="H95">
            <v>53.15744401662127</v>
          </cell>
          <cell r="I95">
            <v>53.161185998907555</v>
          </cell>
          <cell r="J95">
            <v>53.131303776400443</v>
          </cell>
          <cell r="K95">
            <v>53.156333714745706</v>
          </cell>
          <cell r="L95">
            <v>53.142133345648681</v>
          </cell>
          <cell r="M95">
            <v>53.149968170701868</v>
          </cell>
          <cell r="N95">
            <v>53.138471514773855</v>
          </cell>
          <cell r="O95">
            <v>53.162720462242874</v>
          </cell>
          <cell r="P95">
            <v>53.136191127131724</v>
          </cell>
          <cell r="Q95">
            <v>53.124617942060745</v>
          </cell>
          <cell r="R95">
            <v>53.145218065755216</v>
          </cell>
          <cell r="S95">
            <v>53.131596292260078</v>
          </cell>
          <cell r="T95">
            <v>53.131596292260078</v>
          </cell>
          <cell r="U95">
            <v>53.131596292260078</v>
          </cell>
          <cell r="V95">
            <v>53.131596292260078</v>
          </cell>
          <cell r="W95">
            <v>53.131596292260078</v>
          </cell>
          <cell r="X95">
            <v>53.131596292260078</v>
          </cell>
          <cell r="Y95">
            <v>53.131596292260078</v>
          </cell>
          <cell r="Z95">
            <v>53.131596292260078</v>
          </cell>
          <cell r="AA95">
            <v>53.131596292260078</v>
          </cell>
          <cell r="AB95">
            <v>53.131596292260078</v>
          </cell>
          <cell r="AC95">
            <v>53.131596292260078</v>
          </cell>
          <cell r="AD95">
            <v>53.131596292260078</v>
          </cell>
          <cell r="AE95">
            <v>53.131596292260078</v>
          </cell>
          <cell r="AF95">
            <v>53.131596292260078</v>
          </cell>
        </row>
        <row r="96">
          <cell r="A96" t="str">
            <v>South Dakota</v>
          </cell>
          <cell r="B96">
            <v>43.217831373890156</v>
          </cell>
          <cell r="C96">
            <v>43.206723321922524</v>
          </cell>
          <cell r="D96">
            <v>43.204752741929376</v>
          </cell>
          <cell r="E96">
            <v>43.217013844544844</v>
          </cell>
          <cell r="F96">
            <v>43.210603632441561</v>
          </cell>
          <cell r="G96">
            <v>43.219397381852446</v>
          </cell>
          <cell r="H96">
            <v>43.219314027239726</v>
          </cell>
          <cell r="I96">
            <v>43.222356421593098</v>
          </cell>
          <cell r="J96">
            <v>43.198060874990759</v>
          </cell>
          <cell r="K96">
            <v>43.218411303523176</v>
          </cell>
          <cell r="L96">
            <v>43.206865785813271</v>
          </cell>
          <cell r="M96">
            <v>43.213235839351142</v>
          </cell>
          <cell r="N96">
            <v>43.203888558043545</v>
          </cell>
          <cell r="O96">
            <v>43.223604007024989</v>
          </cell>
          <cell r="P96">
            <v>43.202034503706805</v>
          </cell>
          <cell r="Q96">
            <v>43.192625000877406</v>
          </cell>
          <cell r="R96">
            <v>43.209373797427403</v>
          </cell>
          <cell r="S96">
            <v>43.198298703107405</v>
          </cell>
          <cell r="T96">
            <v>43.198298703107405</v>
          </cell>
          <cell r="U96">
            <v>43.198298703107405</v>
          </cell>
          <cell r="V96">
            <v>43.198298703107405</v>
          </cell>
          <cell r="W96">
            <v>43.198298703107405</v>
          </cell>
          <cell r="X96">
            <v>43.198298703107405</v>
          </cell>
          <cell r="Y96">
            <v>43.198298703107405</v>
          </cell>
          <cell r="Z96">
            <v>43.198298703107405</v>
          </cell>
          <cell r="AA96">
            <v>43.198298703107405</v>
          </cell>
          <cell r="AB96">
            <v>43.198298703107405</v>
          </cell>
          <cell r="AC96">
            <v>43.198298703107405</v>
          </cell>
          <cell r="AD96">
            <v>43.198298703107405</v>
          </cell>
          <cell r="AE96">
            <v>43.198298703107405</v>
          </cell>
          <cell r="AF96">
            <v>43.198298703107405</v>
          </cell>
        </row>
        <row r="97">
          <cell r="A97" t="str">
            <v>Tennessee</v>
          </cell>
          <cell r="B97">
            <v>53.155620432323389</v>
          </cell>
          <cell r="C97">
            <v>53.141958122684876</v>
          </cell>
          <cell r="D97">
            <v>53.139534414719513</v>
          </cell>
          <cell r="E97">
            <v>53.154614914966551</v>
          </cell>
          <cell r="F97">
            <v>53.146730697026356</v>
          </cell>
          <cell r="G97">
            <v>53.157546538335446</v>
          </cell>
          <cell r="H97">
            <v>53.157444016621263</v>
          </cell>
          <cell r="I97">
            <v>53.161185998907577</v>
          </cell>
          <cell r="J97">
            <v>53.131303776400436</v>
          </cell>
          <cell r="K97">
            <v>53.156333714745706</v>
          </cell>
          <cell r="L97">
            <v>53.142133345648688</v>
          </cell>
          <cell r="M97">
            <v>53.149968170701882</v>
          </cell>
          <cell r="N97">
            <v>53.138471514773862</v>
          </cell>
          <cell r="O97">
            <v>53.162720462242874</v>
          </cell>
          <cell r="P97">
            <v>53.136191127131703</v>
          </cell>
          <cell r="Q97">
            <v>53.124617942060731</v>
          </cell>
          <cell r="R97">
            <v>53.145218065755238</v>
          </cell>
          <cell r="S97">
            <v>53.131596292260099</v>
          </cell>
          <cell r="T97">
            <v>53.131596292260099</v>
          </cell>
          <cell r="U97">
            <v>53.131596292260099</v>
          </cell>
          <cell r="V97">
            <v>53.131596292260099</v>
          </cell>
          <cell r="W97">
            <v>53.131596292260099</v>
          </cell>
          <cell r="X97">
            <v>53.131596292260099</v>
          </cell>
          <cell r="Y97">
            <v>53.131596292260099</v>
          </cell>
          <cell r="Z97">
            <v>53.131596292260099</v>
          </cell>
          <cell r="AA97">
            <v>53.131596292260099</v>
          </cell>
          <cell r="AB97">
            <v>53.131596292260099</v>
          </cell>
          <cell r="AC97">
            <v>53.131596292260099</v>
          </cell>
          <cell r="AD97">
            <v>53.131596292260099</v>
          </cell>
          <cell r="AE97">
            <v>53.131596292260099</v>
          </cell>
          <cell r="AF97">
            <v>53.131596292260099</v>
          </cell>
        </row>
        <row r="98">
          <cell r="A98" t="str">
            <v>Texas</v>
          </cell>
          <cell r="B98">
            <v>51.673336340729357</v>
          </cell>
          <cell r="C98">
            <v>51.660035183586317</v>
          </cell>
          <cell r="D98">
            <v>51.657679003354026</v>
          </cell>
          <cell r="E98">
            <v>51.672363536988534</v>
          </cell>
          <cell r="F98">
            <v>51.664689576074558</v>
          </cell>
          <cell r="G98">
            <v>51.675215294085376</v>
          </cell>
          <cell r="H98">
            <v>51.675109773602905</v>
          </cell>
          <cell r="I98">
            <v>51.678749184584738</v>
          </cell>
          <cell r="J98">
            <v>51.649659964975783</v>
          </cell>
          <cell r="K98">
            <v>51.674032716428655</v>
          </cell>
          <cell r="L98">
            <v>51.660204454082582</v>
          </cell>
          <cell r="M98">
            <v>51.667831517916483</v>
          </cell>
          <cell r="N98">
            <v>51.656639833311466</v>
          </cell>
          <cell r="O98">
            <v>51.68024839002679</v>
          </cell>
          <cell r="P98">
            <v>51.654416159042206</v>
          </cell>
          <cell r="Q98">
            <v>51.643152218080161</v>
          </cell>
          <cell r="R98">
            <v>51.663209085569001</v>
          </cell>
          <cell r="S98">
            <v>51.649944633718945</v>
          </cell>
          <cell r="T98">
            <v>51.649944633718945</v>
          </cell>
          <cell r="U98">
            <v>51.649944633718945</v>
          </cell>
          <cell r="V98">
            <v>51.649944633718945</v>
          </cell>
          <cell r="W98">
            <v>51.649944633718945</v>
          </cell>
          <cell r="X98">
            <v>51.649944633718945</v>
          </cell>
          <cell r="Y98">
            <v>51.649944633718945</v>
          </cell>
          <cell r="Z98">
            <v>51.649944633718945</v>
          </cell>
          <cell r="AA98">
            <v>51.649944633718945</v>
          </cell>
          <cell r="AB98">
            <v>51.649944633718945</v>
          </cell>
          <cell r="AC98">
            <v>51.649944633718945</v>
          </cell>
          <cell r="AD98">
            <v>51.649944633718945</v>
          </cell>
          <cell r="AE98">
            <v>51.649944633718945</v>
          </cell>
          <cell r="AF98">
            <v>51.649944633718945</v>
          </cell>
        </row>
        <row r="99">
          <cell r="A99" t="str">
            <v>Utah</v>
          </cell>
          <cell r="B99">
            <v>45.683021181627566</v>
          </cell>
          <cell r="C99">
            <v>45.6712795148851</v>
          </cell>
          <cell r="D99">
            <v>45.669196530970687</v>
          </cell>
          <cell r="E99">
            <v>45.682157019562709</v>
          </cell>
          <cell r="F99">
            <v>45.675381162330069</v>
          </cell>
          <cell r="G99">
            <v>45.684676516303966</v>
          </cell>
          <cell r="H99">
            <v>45.684588407057895</v>
          </cell>
          <cell r="I99">
            <v>45.687804342732363</v>
          </cell>
          <cell r="J99">
            <v>45.662122953019576</v>
          </cell>
          <cell r="K99">
            <v>45.683634191046743</v>
          </cell>
          <cell r="L99">
            <v>45.671430105063557</v>
          </cell>
          <cell r="M99">
            <v>45.678163513044638</v>
          </cell>
          <cell r="N99">
            <v>45.66828305314209</v>
          </cell>
          <cell r="O99">
            <v>45.689123091727836</v>
          </cell>
          <cell r="P99">
            <v>45.666323241628064</v>
          </cell>
          <cell r="Q99">
            <v>45.656377011023729</v>
          </cell>
          <cell r="R99">
            <v>45.674081176254532</v>
          </cell>
          <cell r="S99">
            <v>45.662374347098023</v>
          </cell>
          <cell r="T99">
            <v>45.662374347098023</v>
          </cell>
          <cell r="U99">
            <v>45.662374347098023</v>
          </cell>
          <cell r="V99">
            <v>45.662374347098023</v>
          </cell>
          <cell r="W99">
            <v>45.662374347098023</v>
          </cell>
          <cell r="X99">
            <v>45.662374347098023</v>
          </cell>
          <cell r="Y99">
            <v>45.662374347098023</v>
          </cell>
          <cell r="Z99">
            <v>45.662374347098023</v>
          </cell>
          <cell r="AA99">
            <v>45.662374347098023</v>
          </cell>
          <cell r="AB99">
            <v>45.662374347098023</v>
          </cell>
          <cell r="AC99">
            <v>45.662374347098023</v>
          </cell>
          <cell r="AD99">
            <v>45.662374347098023</v>
          </cell>
          <cell r="AE99">
            <v>45.662374347098023</v>
          </cell>
          <cell r="AF99">
            <v>45.662374347098023</v>
          </cell>
        </row>
        <row r="100">
          <cell r="A100" t="str">
            <v>Vermont</v>
          </cell>
          <cell r="B100">
            <v>46.097137065146676</v>
          </cell>
          <cell r="C100">
            <v>46.08530434776619</v>
          </cell>
          <cell r="D100">
            <v>46.08320252754568</v>
          </cell>
          <cell r="E100">
            <v>46.096261442810736</v>
          </cell>
          <cell r="F100">
            <v>46.089431611562418</v>
          </cell>
          <cell r="G100">
            <v>46.098802316741654</v>
          </cell>
          <cell r="H100">
            <v>46.098717953856116</v>
          </cell>
          <cell r="I100">
            <v>46.101961663394064</v>
          </cell>
          <cell r="J100">
            <v>46.076078730274268</v>
          </cell>
          <cell r="K100">
            <v>46.097753316387056</v>
          </cell>
          <cell r="L100">
            <v>46.085457130361313</v>
          </cell>
          <cell r="M100">
            <v>46.092243259730516</v>
          </cell>
          <cell r="N100">
            <v>46.082285354620318</v>
          </cell>
          <cell r="O100">
            <v>46.103286522795791</v>
          </cell>
          <cell r="P100">
            <v>46.080313113387774</v>
          </cell>
          <cell r="Q100">
            <v>46.070287181897655</v>
          </cell>
          <cell r="R100">
            <v>46.088127631421713</v>
          </cell>
          <cell r="S100">
            <v>46.076332162774101</v>
          </cell>
          <cell r="T100">
            <v>46.076332162774101</v>
          </cell>
          <cell r="U100">
            <v>46.076332162774101</v>
          </cell>
          <cell r="V100">
            <v>46.076332162774101</v>
          </cell>
          <cell r="W100">
            <v>46.076332162774101</v>
          </cell>
          <cell r="X100">
            <v>46.076332162774101</v>
          </cell>
          <cell r="Y100">
            <v>46.076332162774101</v>
          </cell>
          <cell r="Z100">
            <v>46.076332162774101</v>
          </cell>
          <cell r="AA100">
            <v>46.076332162774101</v>
          </cell>
          <cell r="AB100">
            <v>46.076332162774101</v>
          </cell>
          <cell r="AC100">
            <v>46.076332162774101</v>
          </cell>
          <cell r="AD100">
            <v>46.076332162774101</v>
          </cell>
          <cell r="AE100">
            <v>46.076332162774101</v>
          </cell>
          <cell r="AF100">
            <v>46.076332162774101</v>
          </cell>
        </row>
        <row r="101">
          <cell r="A101" t="str">
            <v>Virginia</v>
          </cell>
          <cell r="B101">
            <v>53.155620432323389</v>
          </cell>
          <cell r="C101">
            <v>53.141958122684876</v>
          </cell>
          <cell r="D101">
            <v>53.13953441471952</v>
          </cell>
          <cell r="E101">
            <v>53.154614914966544</v>
          </cell>
          <cell r="F101">
            <v>53.146730697026371</v>
          </cell>
          <cell r="G101">
            <v>53.157546538335446</v>
          </cell>
          <cell r="H101">
            <v>53.157444016621263</v>
          </cell>
          <cell r="I101">
            <v>53.161185998907577</v>
          </cell>
          <cell r="J101">
            <v>53.131303776400443</v>
          </cell>
          <cell r="K101">
            <v>53.15633371474572</v>
          </cell>
          <cell r="L101">
            <v>53.142133345648688</v>
          </cell>
          <cell r="M101">
            <v>53.149968170701861</v>
          </cell>
          <cell r="N101">
            <v>53.138471514773855</v>
          </cell>
          <cell r="O101">
            <v>53.162720462242881</v>
          </cell>
          <cell r="P101">
            <v>53.13619112713171</v>
          </cell>
          <cell r="Q101">
            <v>53.124617942060738</v>
          </cell>
          <cell r="R101">
            <v>53.145218065755238</v>
          </cell>
          <cell r="S101">
            <v>53.131596292260099</v>
          </cell>
          <cell r="T101">
            <v>53.131596292260099</v>
          </cell>
          <cell r="U101">
            <v>53.131596292260099</v>
          </cell>
          <cell r="V101">
            <v>53.131596292260099</v>
          </cell>
          <cell r="W101">
            <v>53.131596292260099</v>
          </cell>
          <cell r="X101">
            <v>53.131596292260099</v>
          </cell>
          <cell r="Y101">
            <v>53.131596292260099</v>
          </cell>
          <cell r="Z101">
            <v>53.131596292260099</v>
          </cell>
          <cell r="AA101">
            <v>53.131596292260099</v>
          </cell>
          <cell r="AB101">
            <v>53.131596292260099</v>
          </cell>
          <cell r="AC101">
            <v>53.131596292260099</v>
          </cell>
          <cell r="AD101">
            <v>53.131596292260099</v>
          </cell>
          <cell r="AE101">
            <v>53.131596292260099</v>
          </cell>
          <cell r="AF101">
            <v>53.131596292260099</v>
          </cell>
        </row>
        <row r="102">
          <cell r="A102" t="str">
            <v>Washington</v>
          </cell>
          <cell r="B102">
            <v>45.683021181627566</v>
          </cell>
          <cell r="C102">
            <v>45.671279514885093</v>
          </cell>
          <cell r="D102">
            <v>45.669196530970694</v>
          </cell>
          <cell r="E102">
            <v>45.682157019562709</v>
          </cell>
          <cell r="F102">
            <v>45.675381162330076</v>
          </cell>
          <cell r="G102">
            <v>45.684676516303966</v>
          </cell>
          <cell r="H102">
            <v>45.684588407057888</v>
          </cell>
          <cell r="I102">
            <v>45.687804342732363</v>
          </cell>
          <cell r="J102">
            <v>45.662122953019576</v>
          </cell>
          <cell r="K102">
            <v>45.683634191046743</v>
          </cell>
          <cell r="L102">
            <v>45.67143010506355</v>
          </cell>
          <cell r="M102">
            <v>45.678163513044652</v>
          </cell>
          <cell r="N102">
            <v>45.668283053142076</v>
          </cell>
          <cell r="O102">
            <v>45.689123091727836</v>
          </cell>
          <cell r="P102">
            <v>45.666323241628071</v>
          </cell>
          <cell r="Q102">
            <v>45.656377011023729</v>
          </cell>
          <cell r="R102">
            <v>45.674081176254539</v>
          </cell>
          <cell r="S102">
            <v>45.662374347098023</v>
          </cell>
          <cell r="T102">
            <v>45.662374347098023</v>
          </cell>
          <cell r="U102">
            <v>45.662374347098023</v>
          </cell>
          <cell r="V102">
            <v>45.662374347098023</v>
          </cell>
          <cell r="W102">
            <v>45.662374347098023</v>
          </cell>
          <cell r="X102">
            <v>45.662374347098023</v>
          </cell>
          <cell r="Y102">
            <v>45.662374347098023</v>
          </cell>
          <cell r="Z102">
            <v>45.662374347098023</v>
          </cell>
          <cell r="AA102">
            <v>45.662374347098023</v>
          </cell>
          <cell r="AB102">
            <v>45.662374347098023</v>
          </cell>
          <cell r="AC102">
            <v>45.662374347098023</v>
          </cell>
          <cell r="AD102">
            <v>45.662374347098023</v>
          </cell>
          <cell r="AE102">
            <v>45.662374347098023</v>
          </cell>
          <cell r="AF102">
            <v>45.662374347098023</v>
          </cell>
        </row>
        <row r="103">
          <cell r="A103" t="str">
            <v>West Virginia</v>
          </cell>
          <cell r="B103">
            <v>46.09713706514669</v>
          </cell>
          <cell r="C103">
            <v>46.085304347766183</v>
          </cell>
          <cell r="D103">
            <v>46.08320252754568</v>
          </cell>
          <cell r="E103">
            <v>46.096261442810729</v>
          </cell>
          <cell r="F103">
            <v>46.089431611562425</v>
          </cell>
          <cell r="G103">
            <v>46.098802316741647</v>
          </cell>
          <cell r="H103">
            <v>46.098717953856109</v>
          </cell>
          <cell r="I103">
            <v>46.101961663394071</v>
          </cell>
          <cell r="J103">
            <v>46.076078730274276</v>
          </cell>
          <cell r="K103">
            <v>46.097753316387056</v>
          </cell>
          <cell r="L103">
            <v>46.085457130361327</v>
          </cell>
          <cell r="M103">
            <v>46.092243259730502</v>
          </cell>
          <cell r="N103">
            <v>46.082285354620332</v>
          </cell>
          <cell r="O103">
            <v>46.103286522795791</v>
          </cell>
          <cell r="P103">
            <v>46.080313113387774</v>
          </cell>
          <cell r="Q103">
            <v>46.070287181897655</v>
          </cell>
          <cell r="R103">
            <v>46.08812763142172</v>
          </cell>
          <cell r="S103">
            <v>46.076332162774108</v>
          </cell>
          <cell r="T103">
            <v>46.076332162774108</v>
          </cell>
          <cell r="U103">
            <v>46.076332162774108</v>
          </cell>
          <cell r="V103">
            <v>46.076332162774108</v>
          </cell>
          <cell r="W103">
            <v>46.076332162774108</v>
          </cell>
          <cell r="X103">
            <v>46.076332162774108</v>
          </cell>
          <cell r="Y103">
            <v>46.076332162774108</v>
          </cell>
          <cell r="Z103">
            <v>46.076332162774108</v>
          </cell>
          <cell r="AA103">
            <v>46.076332162774108</v>
          </cell>
          <cell r="AB103">
            <v>46.076332162774108</v>
          </cell>
          <cell r="AC103">
            <v>46.076332162774108</v>
          </cell>
          <cell r="AD103">
            <v>46.076332162774108</v>
          </cell>
          <cell r="AE103">
            <v>46.076332162774108</v>
          </cell>
          <cell r="AF103">
            <v>46.076332162774108</v>
          </cell>
        </row>
        <row r="104">
          <cell r="A104" t="str">
            <v>Wisconsin</v>
          </cell>
          <cell r="B104">
            <v>43.217831373890164</v>
          </cell>
          <cell r="C104">
            <v>43.206723321922524</v>
          </cell>
          <cell r="D104">
            <v>43.204752741929376</v>
          </cell>
          <cell r="E104">
            <v>43.217013844544859</v>
          </cell>
          <cell r="F104">
            <v>43.210603632441547</v>
          </cell>
          <cell r="G104">
            <v>43.219397381852453</v>
          </cell>
          <cell r="H104">
            <v>43.219314027239719</v>
          </cell>
          <cell r="I104">
            <v>43.222356421593091</v>
          </cell>
          <cell r="J104">
            <v>43.198060874990759</v>
          </cell>
          <cell r="K104">
            <v>43.218411303523176</v>
          </cell>
          <cell r="L104">
            <v>43.206865785813264</v>
          </cell>
          <cell r="M104">
            <v>43.21323583935115</v>
          </cell>
          <cell r="N104">
            <v>43.203888558043552</v>
          </cell>
          <cell r="O104">
            <v>43.223604007024989</v>
          </cell>
          <cell r="P104">
            <v>43.202034503706798</v>
          </cell>
          <cell r="Q104">
            <v>43.192625000877413</v>
          </cell>
          <cell r="R104">
            <v>43.209373797427396</v>
          </cell>
          <cell r="S104">
            <v>43.198298703107405</v>
          </cell>
          <cell r="T104">
            <v>43.198298703107405</v>
          </cell>
          <cell r="U104">
            <v>43.198298703107405</v>
          </cell>
          <cell r="V104">
            <v>43.198298703107405</v>
          </cell>
          <cell r="W104">
            <v>43.198298703107405</v>
          </cell>
          <cell r="X104">
            <v>43.198298703107405</v>
          </cell>
          <cell r="Y104">
            <v>43.198298703107405</v>
          </cell>
          <cell r="Z104">
            <v>43.198298703107405</v>
          </cell>
          <cell r="AA104">
            <v>43.198298703107405</v>
          </cell>
          <cell r="AB104">
            <v>43.198298703107405</v>
          </cell>
          <cell r="AC104">
            <v>43.198298703107405</v>
          </cell>
          <cell r="AD104">
            <v>43.198298703107405</v>
          </cell>
          <cell r="AE104">
            <v>43.198298703107405</v>
          </cell>
          <cell r="AF104">
            <v>43.198298703107405</v>
          </cell>
        </row>
        <row r="105">
          <cell r="A105" t="str">
            <v>Wyoming</v>
          </cell>
          <cell r="B105">
            <v>43.217831373890164</v>
          </cell>
          <cell r="C105">
            <v>43.206723321922517</v>
          </cell>
          <cell r="D105">
            <v>43.204752741929376</v>
          </cell>
          <cell r="E105">
            <v>43.217013844544852</v>
          </cell>
          <cell r="F105">
            <v>43.210603632441554</v>
          </cell>
          <cell r="G105">
            <v>43.219397381852446</v>
          </cell>
          <cell r="H105">
            <v>43.219314027239719</v>
          </cell>
          <cell r="I105">
            <v>43.222356421593098</v>
          </cell>
          <cell r="J105">
            <v>43.198060874990759</v>
          </cell>
          <cell r="K105">
            <v>43.218411303523169</v>
          </cell>
          <cell r="L105">
            <v>43.206865785813278</v>
          </cell>
          <cell r="M105">
            <v>43.213235839351142</v>
          </cell>
          <cell r="N105">
            <v>43.203888558043545</v>
          </cell>
          <cell r="O105">
            <v>43.223604007025003</v>
          </cell>
          <cell r="P105">
            <v>43.202034503706805</v>
          </cell>
          <cell r="Q105">
            <v>43.192625000877399</v>
          </cell>
          <cell r="R105">
            <v>43.209373797427411</v>
          </cell>
          <cell r="S105">
            <v>43.198298703107405</v>
          </cell>
          <cell r="T105">
            <v>43.198298703107405</v>
          </cell>
          <cell r="U105">
            <v>43.198298703107405</v>
          </cell>
          <cell r="V105">
            <v>43.198298703107405</v>
          </cell>
          <cell r="W105">
            <v>43.198298703107405</v>
          </cell>
          <cell r="X105">
            <v>43.198298703107405</v>
          </cell>
          <cell r="Y105">
            <v>43.198298703107405</v>
          </cell>
          <cell r="Z105">
            <v>43.198298703107405</v>
          </cell>
          <cell r="AA105">
            <v>43.198298703107405</v>
          </cell>
          <cell r="AB105">
            <v>43.198298703107405</v>
          </cell>
          <cell r="AC105">
            <v>43.198298703107405</v>
          </cell>
          <cell r="AD105">
            <v>43.198298703107405</v>
          </cell>
          <cell r="AE105">
            <v>43.198298703107405</v>
          </cell>
          <cell r="AF105">
            <v>43.198298703107405</v>
          </cell>
        </row>
        <row r="107">
          <cell r="A107" t="str">
            <v>Dairy Replacements 12-24 months</v>
          </cell>
          <cell r="B107">
            <v>1990</v>
          </cell>
          <cell r="C107">
            <v>1991</v>
          </cell>
          <cell r="D107">
            <v>1992</v>
          </cell>
          <cell r="E107">
            <v>1993</v>
          </cell>
          <cell r="F107">
            <v>1994</v>
          </cell>
          <cell r="G107">
            <v>1995</v>
          </cell>
          <cell r="H107">
            <v>1996</v>
          </cell>
          <cell r="I107">
            <v>1997</v>
          </cell>
          <cell r="J107">
            <v>1998</v>
          </cell>
          <cell r="K107">
            <v>1999</v>
          </cell>
          <cell r="L107">
            <v>2000</v>
          </cell>
          <cell r="M107">
            <v>2001</v>
          </cell>
          <cell r="N107">
            <v>2002</v>
          </cell>
          <cell r="O107">
            <v>2003</v>
          </cell>
          <cell r="P107">
            <v>2004</v>
          </cell>
          <cell r="Q107">
            <v>2005</v>
          </cell>
          <cell r="R107">
            <v>2006</v>
          </cell>
          <cell r="S107">
            <v>2007</v>
          </cell>
          <cell r="T107">
            <v>2008</v>
          </cell>
          <cell r="U107">
            <v>2009</v>
          </cell>
          <cell r="V107">
            <v>2010</v>
          </cell>
          <cell r="W107">
            <v>2011</v>
          </cell>
          <cell r="X107">
            <v>2012</v>
          </cell>
          <cell r="Y107">
            <v>2013</v>
          </cell>
          <cell r="Z107">
            <v>2014</v>
          </cell>
          <cell r="AA107">
            <v>2015</v>
          </cell>
          <cell r="AB107">
            <v>2016</v>
          </cell>
          <cell r="AC107">
            <v>2017</v>
          </cell>
          <cell r="AD107">
            <v>2018</v>
          </cell>
          <cell r="AE107">
            <v>2019</v>
          </cell>
          <cell r="AF107">
            <v>2020</v>
          </cell>
        </row>
        <row r="108">
          <cell r="A108" t="str">
            <v>Alabama</v>
          </cell>
          <cell r="B108">
            <v>80.436432761131783</v>
          </cell>
          <cell r="C108">
            <v>80.377413030952027</v>
          </cell>
          <cell r="D108">
            <v>80.372320408006985</v>
          </cell>
          <cell r="E108">
            <v>80.394771171633778</v>
          </cell>
          <cell r="F108">
            <v>80.375500300465262</v>
          </cell>
          <cell r="G108">
            <v>80.364400880355817</v>
          </cell>
          <cell r="H108">
            <v>80.383200336963768</v>
          </cell>
          <cell r="I108">
            <v>80.422183860276846</v>
          </cell>
          <cell r="J108">
            <v>80.386682911988572</v>
          </cell>
          <cell r="K108">
            <v>80.419838551315195</v>
          </cell>
          <cell r="L108">
            <v>80.357640342473829</v>
          </cell>
          <cell r="M108">
            <v>80.241437612437011</v>
          </cell>
          <cell r="N108">
            <v>80.22762331497556</v>
          </cell>
          <cell r="O108">
            <v>80.275504592880395</v>
          </cell>
          <cell r="P108">
            <v>80.205328162368573</v>
          </cell>
          <cell r="Q108">
            <v>80.193808975256218</v>
          </cell>
          <cell r="R108">
            <v>80.219411945339331</v>
          </cell>
          <cell r="S108">
            <v>80.179965748154203</v>
          </cell>
          <cell r="T108">
            <v>80.179965748154203</v>
          </cell>
          <cell r="U108">
            <v>80.179965748154203</v>
          </cell>
          <cell r="V108">
            <v>80.179965748154203</v>
          </cell>
          <cell r="W108">
            <v>80.179965748154203</v>
          </cell>
          <cell r="X108">
            <v>80.179965748154203</v>
          </cell>
          <cell r="Y108">
            <v>80.179965748154203</v>
          </cell>
          <cell r="Z108">
            <v>80.179965748154203</v>
          </cell>
          <cell r="AA108">
            <v>80.179965748154203</v>
          </cell>
          <cell r="AB108">
            <v>80.179965748154203</v>
          </cell>
          <cell r="AC108">
            <v>80.179965748154203</v>
          </cell>
          <cell r="AD108">
            <v>80.179965748154203</v>
          </cell>
          <cell r="AE108">
            <v>80.179965748154203</v>
          </cell>
          <cell r="AF108">
            <v>80.179965748154203</v>
          </cell>
        </row>
        <row r="109">
          <cell r="A109" t="str">
            <v>Alaska</v>
          </cell>
          <cell r="B109">
            <v>69.12870608442509</v>
          </cell>
          <cell r="C109">
            <v>69.077983328072946</v>
          </cell>
          <cell r="D109">
            <v>69.07360662434948</v>
          </cell>
          <cell r="E109">
            <v>69.092901267173076</v>
          </cell>
          <cell r="F109">
            <v>69.076339488595053</v>
          </cell>
          <cell r="G109">
            <v>69.066800421233168</v>
          </cell>
          <cell r="H109">
            <v>69.082957056551137</v>
          </cell>
          <cell r="I109">
            <v>69.116460289262193</v>
          </cell>
          <cell r="J109">
            <v>69.085950052349688</v>
          </cell>
          <cell r="K109">
            <v>69.114444683045917</v>
          </cell>
          <cell r="L109">
            <v>69.060990277493929</v>
          </cell>
          <cell r="M109">
            <v>68.961123288181014</v>
          </cell>
          <cell r="N109">
            <v>68.949251000012666</v>
          </cell>
          <cell r="O109">
            <v>68.990401143966182</v>
          </cell>
          <cell r="P109">
            <v>68.930090092464027</v>
          </cell>
          <cell r="Q109">
            <v>68.920190268803452</v>
          </cell>
          <cell r="R109">
            <v>68.942193981959406</v>
          </cell>
          <cell r="S109">
            <v>68.908293117913672</v>
          </cell>
          <cell r="T109">
            <v>68.908293117913672</v>
          </cell>
          <cell r="U109">
            <v>68.908293117913672</v>
          </cell>
          <cell r="V109">
            <v>68.908293117913672</v>
          </cell>
          <cell r="W109">
            <v>68.908293117913672</v>
          </cell>
          <cell r="X109">
            <v>68.908293117913672</v>
          </cell>
          <cell r="Y109">
            <v>68.908293117913672</v>
          </cell>
          <cell r="Z109">
            <v>68.908293117913672</v>
          </cell>
          <cell r="AA109">
            <v>68.908293117913672</v>
          </cell>
          <cell r="AB109">
            <v>68.908293117913672</v>
          </cell>
          <cell r="AC109">
            <v>68.908293117913672</v>
          </cell>
          <cell r="AD109">
            <v>68.908293117913672</v>
          </cell>
          <cell r="AE109">
            <v>68.908293117913672</v>
          </cell>
          <cell r="AF109">
            <v>68.908293117913672</v>
          </cell>
        </row>
        <row r="110">
          <cell r="A110" t="str">
            <v>Arizona</v>
          </cell>
          <cell r="B110">
            <v>69.12870608442509</v>
          </cell>
          <cell r="C110">
            <v>69.077983328072975</v>
          </cell>
          <cell r="D110">
            <v>69.073606624349495</v>
          </cell>
          <cell r="E110">
            <v>69.092901267173062</v>
          </cell>
          <cell r="F110">
            <v>69.076339488595025</v>
          </cell>
          <cell r="G110">
            <v>69.066800421233168</v>
          </cell>
          <cell r="H110">
            <v>69.082957056551152</v>
          </cell>
          <cell r="I110">
            <v>69.116460289262164</v>
          </cell>
          <cell r="J110">
            <v>69.085950052349688</v>
          </cell>
          <cell r="K110">
            <v>69.114444683045932</v>
          </cell>
          <cell r="L110">
            <v>69.060990277493914</v>
          </cell>
          <cell r="M110">
            <v>68.961123288181014</v>
          </cell>
          <cell r="N110">
            <v>68.949251000012652</v>
          </cell>
          <cell r="O110">
            <v>68.99040114396621</v>
          </cell>
          <cell r="P110">
            <v>68.930090092464013</v>
          </cell>
          <cell r="Q110">
            <v>68.920190268803466</v>
          </cell>
          <cell r="R110">
            <v>68.942193981959406</v>
          </cell>
          <cell r="S110">
            <v>68.908293117913658</v>
          </cell>
          <cell r="T110">
            <v>68.908293117913658</v>
          </cell>
          <cell r="U110">
            <v>68.908293117913658</v>
          </cell>
          <cell r="V110">
            <v>68.908293117913658</v>
          </cell>
          <cell r="W110">
            <v>68.908293117913658</v>
          </cell>
          <cell r="X110">
            <v>68.908293117913658</v>
          </cell>
          <cell r="Y110">
            <v>68.908293117913658</v>
          </cell>
          <cell r="Z110">
            <v>68.908293117913658</v>
          </cell>
          <cell r="AA110">
            <v>68.908293117913658</v>
          </cell>
          <cell r="AB110">
            <v>68.908293117913658</v>
          </cell>
          <cell r="AC110">
            <v>68.908293117913658</v>
          </cell>
          <cell r="AD110">
            <v>68.908293117913658</v>
          </cell>
          <cell r="AE110">
            <v>68.908293117913658</v>
          </cell>
          <cell r="AF110">
            <v>68.908293117913658</v>
          </cell>
        </row>
        <row r="111">
          <cell r="A111" t="str">
            <v>Arkansas</v>
          </cell>
          <cell r="B111">
            <v>78.187146678824817</v>
          </cell>
          <cell r="C111">
            <v>78.129723002207001</v>
          </cell>
          <cell r="D111">
            <v>78.124768546032016</v>
          </cell>
          <cell r="E111">
            <v>78.146613661284675</v>
          </cell>
          <cell r="F111">
            <v>78.127863885236422</v>
          </cell>
          <cell r="G111">
            <v>78.117065319385304</v>
          </cell>
          <cell r="H111">
            <v>78.135354967657207</v>
          </cell>
          <cell r="I111">
            <v>78.173283105196106</v>
          </cell>
          <cell r="J111">
            <v>78.138740413227936</v>
          </cell>
          <cell r="K111">
            <v>78.171002022146581</v>
          </cell>
          <cell r="L111">
            <v>78.110485294106454</v>
          </cell>
          <cell r="M111">
            <v>77.998636902086616</v>
          </cell>
          <cell r="N111">
            <v>77.985195281094249</v>
          </cell>
          <cell r="O111">
            <v>78.031783872157789</v>
          </cell>
          <cell r="P111">
            <v>77.963502422498195</v>
          </cell>
          <cell r="Q111">
            <v>77.952294168329232</v>
          </cell>
          <cell r="R111">
            <v>77.97720694408838</v>
          </cell>
          <cell r="S111">
            <v>77.938825944107151</v>
          </cell>
          <cell r="T111">
            <v>77.938825944107151</v>
          </cell>
          <cell r="U111">
            <v>77.938825944107151</v>
          </cell>
          <cell r="V111">
            <v>77.938825944107151</v>
          </cell>
          <cell r="W111">
            <v>77.938825944107151</v>
          </cell>
          <cell r="X111">
            <v>77.938825944107151</v>
          </cell>
          <cell r="Y111">
            <v>77.938825944107151</v>
          </cell>
          <cell r="Z111">
            <v>77.938825944107151</v>
          </cell>
          <cell r="AA111">
            <v>77.938825944107151</v>
          </cell>
          <cell r="AB111">
            <v>77.938825944107151</v>
          </cell>
          <cell r="AC111">
            <v>77.938825944107151</v>
          </cell>
          <cell r="AD111">
            <v>77.938825944107151</v>
          </cell>
          <cell r="AE111">
            <v>77.938825944107151</v>
          </cell>
          <cell r="AF111">
            <v>77.938825944107151</v>
          </cell>
        </row>
        <row r="112">
          <cell r="A112" t="str">
            <v>California</v>
          </cell>
          <cell r="B112">
            <v>69.12870608442509</v>
          </cell>
          <cell r="C112">
            <v>69.077983328072946</v>
          </cell>
          <cell r="D112">
            <v>69.073606624349495</v>
          </cell>
          <cell r="E112">
            <v>69.09290126717309</v>
          </cell>
          <cell r="F112">
            <v>69.076339488595011</v>
          </cell>
          <cell r="G112">
            <v>69.066800421233182</v>
          </cell>
          <cell r="H112">
            <v>69.082957056551123</v>
          </cell>
          <cell r="I112">
            <v>69.116460289262179</v>
          </cell>
          <cell r="J112">
            <v>69.085950052349673</v>
          </cell>
          <cell r="K112">
            <v>69.114444683045932</v>
          </cell>
          <cell r="L112">
            <v>69.060990277493914</v>
          </cell>
          <cell r="M112">
            <v>68.961123288181</v>
          </cell>
          <cell r="N112">
            <v>68.949251000012637</v>
          </cell>
          <cell r="O112">
            <v>68.990401143966182</v>
          </cell>
          <cell r="P112">
            <v>68.930090092464027</v>
          </cell>
          <cell r="Q112">
            <v>68.920190268803452</v>
          </cell>
          <cell r="R112">
            <v>68.942193981959392</v>
          </cell>
          <cell r="S112">
            <v>68.908293117913686</v>
          </cell>
          <cell r="T112">
            <v>68.908293117913686</v>
          </cell>
          <cell r="U112">
            <v>68.908293117913686</v>
          </cell>
          <cell r="V112">
            <v>68.908293117913686</v>
          </cell>
          <cell r="W112">
            <v>68.908293117913686</v>
          </cell>
          <cell r="X112">
            <v>68.908293117913686</v>
          </cell>
          <cell r="Y112">
            <v>68.908293117913686</v>
          </cell>
          <cell r="Z112">
            <v>68.908293117913686</v>
          </cell>
          <cell r="AA112">
            <v>68.908293117913686</v>
          </cell>
          <cell r="AB112">
            <v>68.908293117913686</v>
          </cell>
          <cell r="AC112">
            <v>68.908293117913686</v>
          </cell>
          <cell r="AD112">
            <v>68.908293117913686</v>
          </cell>
          <cell r="AE112">
            <v>68.908293117913686</v>
          </cell>
          <cell r="AF112">
            <v>68.908293117913686</v>
          </cell>
        </row>
        <row r="113">
          <cell r="A113" t="str">
            <v>Colorado</v>
          </cell>
          <cell r="B113">
            <v>65.398318354947719</v>
          </cell>
          <cell r="C113">
            <v>65.350332747294246</v>
          </cell>
          <cell r="D113">
            <v>65.346192223340253</v>
          </cell>
          <cell r="E113">
            <v>65.364445670647356</v>
          </cell>
          <cell r="F113">
            <v>65.348777614215834</v>
          </cell>
          <cell r="G113">
            <v>65.339753302906175</v>
          </cell>
          <cell r="H113">
            <v>65.355038078796184</v>
          </cell>
          <cell r="I113">
            <v>65.386733378807762</v>
          </cell>
          <cell r="J113">
            <v>65.357869563763217</v>
          </cell>
          <cell r="K113">
            <v>65.384826540614569</v>
          </cell>
          <cell r="L113">
            <v>65.334256691563766</v>
          </cell>
          <cell r="M113">
            <v>65.239778817896394</v>
          </cell>
          <cell r="N113">
            <v>65.228547193218077</v>
          </cell>
          <cell r="O113">
            <v>65.267476754713698</v>
          </cell>
          <cell r="P113">
            <v>65.210420264438241</v>
          </cell>
          <cell r="Q113">
            <v>65.201054664297814</v>
          </cell>
          <cell r="R113">
            <v>65.221870992556674</v>
          </cell>
          <cell r="S113">
            <v>65.189799518563461</v>
          </cell>
          <cell r="T113">
            <v>65.189799518563461</v>
          </cell>
          <cell r="U113">
            <v>65.189799518563461</v>
          </cell>
          <cell r="V113">
            <v>65.189799518563461</v>
          </cell>
          <cell r="W113">
            <v>65.189799518563461</v>
          </cell>
          <cell r="X113">
            <v>65.189799518563461</v>
          </cell>
          <cell r="Y113">
            <v>65.189799518563461</v>
          </cell>
          <cell r="Z113">
            <v>65.189799518563461</v>
          </cell>
          <cell r="AA113">
            <v>65.189799518563461</v>
          </cell>
          <cell r="AB113">
            <v>65.189799518563461</v>
          </cell>
          <cell r="AC113">
            <v>65.189799518563461</v>
          </cell>
          <cell r="AD113">
            <v>65.189799518563461</v>
          </cell>
          <cell r="AE113">
            <v>65.189799518563461</v>
          </cell>
          <cell r="AF113">
            <v>65.189799518563461</v>
          </cell>
        </row>
        <row r="114">
          <cell r="A114" t="str">
            <v>Connecticut</v>
          </cell>
          <cell r="B114">
            <v>69.760211048019343</v>
          </cell>
          <cell r="C114">
            <v>69.709067096958165</v>
          </cell>
          <cell r="D114">
            <v>69.704653701747233</v>
          </cell>
          <cell r="E114">
            <v>69.724107415340228</v>
          </cell>
          <cell r="F114">
            <v>69.70740814225671</v>
          </cell>
          <cell r="G114">
            <v>69.697789323893787</v>
          </cell>
          <cell r="H114">
            <v>69.714081223503129</v>
          </cell>
          <cell r="I114">
            <v>69.747863566792972</v>
          </cell>
          <cell r="J114">
            <v>69.717101362598356</v>
          </cell>
          <cell r="K114">
            <v>69.745830600668171</v>
          </cell>
          <cell r="L114">
            <v>69.691932726425577</v>
          </cell>
          <cell r="M114">
            <v>69.590296118948075</v>
          </cell>
          <cell r="N114">
            <v>69.578325942965819</v>
          </cell>
          <cell r="O114">
            <v>69.619816121617504</v>
          </cell>
          <cell r="P114">
            <v>69.559006412702516</v>
          </cell>
          <cell r="Q114">
            <v>69.549024830078778</v>
          </cell>
          <cell r="R114">
            <v>69.571209567953119</v>
          </cell>
          <cell r="S114">
            <v>69.537028386842081</v>
          </cell>
          <cell r="T114">
            <v>69.537028386842081</v>
          </cell>
          <cell r="U114">
            <v>69.537028386842081</v>
          </cell>
          <cell r="V114">
            <v>69.537028386842081</v>
          </cell>
          <cell r="W114">
            <v>69.537028386842081</v>
          </cell>
          <cell r="X114">
            <v>69.537028386842081</v>
          </cell>
          <cell r="Y114">
            <v>69.537028386842081</v>
          </cell>
          <cell r="Z114">
            <v>69.537028386842081</v>
          </cell>
          <cell r="AA114">
            <v>69.537028386842081</v>
          </cell>
          <cell r="AB114">
            <v>69.537028386842081</v>
          </cell>
          <cell r="AC114">
            <v>69.537028386842081</v>
          </cell>
          <cell r="AD114">
            <v>69.537028386842081</v>
          </cell>
          <cell r="AE114">
            <v>69.537028386842081</v>
          </cell>
          <cell r="AF114">
            <v>69.537028386842081</v>
          </cell>
        </row>
        <row r="115">
          <cell r="A115" t="str">
            <v>Delaware</v>
          </cell>
          <cell r="B115">
            <v>69.760211048019315</v>
          </cell>
          <cell r="C115">
            <v>69.709067096958165</v>
          </cell>
          <cell r="D115">
            <v>69.704653701747247</v>
          </cell>
          <cell r="E115">
            <v>69.724107415340228</v>
          </cell>
          <cell r="F115">
            <v>69.707408142256725</v>
          </cell>
          <cell r="G115">
            <v>69.697789323893787</v>
          </cell>
          <cell r="H115">
            <v>69.714081223503101</v>
          </cell>
          <cell r="I115">
            <v>69.747863566792986</v>
          </cell>
          <cell r="J115">
            <v>69.717101362598356</v>
          </cell>
          <cell r="K115">
            <v>69.745830600668143</v>
          </cell>
          <cell r="L115">
            <v>69.691932726425563</v>
          </cell>
          <cell r="M115">
            <v>69.590296118948075</v>
          </cell>
          <cell r="N115">
            <v>69.578325942965819</v>
          </cell>
          <cell r="O115">
            <v>69.619816121617504</v>
          </cell>
          <cell r="P115">
            <v>69.559006412702516</v>
          </cell>
          <cell r="Q115">
            <v>69.54902483007875</v>
          </cell>
          <cell r="R115">
            <v>69.571209567953105</v>
          </cell>
          <cell r="S115">
            <v>69.537028386842096</v>
          </cell>
          <cell r="T115">
            <v>69.537028386842096</v>
          </cell>
          <cell r="U115">
            <v>69.537028386842096</v>
          </cell>
          <cell r="V115">
            <v>69.537028386842096</v>
          </cell>
          <cell r="W115">
            <v>69.537028386842096</v>
          </cell>
          <cell r="X115">
            <v>69.537028386842096</v>
          </cell>
          <cell r="Y115">
            <v>69.537028386842096</v>
          </cell>
          <cell r="Z115">
            <v>69.537028386842096</v>
          </cell>
          <cell r="AA115">
            <v>69.537028386842096</v>
          </cell>
          <cell r="AB115">
            <v>69.537028386842096</v>
          </cell>
          <cell r="AC115">
            <v>69.537028386842096</v>
          </cell>
          <cell r="AD115">
            <v>69.537028386842096</v>
          </cell>
          <cell r="AE115">
            <v>69.537028386842096</v>
          </cell>
          <cell r="AF115">
            <v>69.537028386842096</v>
          </cell>
        </row>
        <row r="116">
          <cell r="A116" t="str">
            <v>Florida</v>
          </cell>
          <cell r="B116">
            <v>80.436432761131783</v>
          </cell>
          <cell r="C116">
            <v>80.377413030952013</v>
          </cell>
          <cell r="D116">
            <v>80.372320408006971</v>
          </cell>
          <cell r="E116">
            <v>80.394771171633764</v>
          </cell>
          <cell r="F116">
            <v>80.375500300465305</v>
          </cell>
          <cell r="G116">
            <v>80.364400880355831</v>
          </cell>
          <cell r="H116">
            <v>80.383200336963782</v>
          </cell>
          <cell r="I116">
            <v>80.422183860276817</v>
          </cell>
          <cell r="J116">
            <v>80.386682911988558</v>
          </cell>
          <cell r="K116">
            <v>80.419838551315195</v>
          </cell>
          <cell r="L116">
            <v>80.357640342473829</v>
          </cell>
          <cell r="M116">
            <v>80.241437612437025</v>
          </cell>
          <cell r="N116">
            <v>80.227623314975574</v>
          </cell>
          <cell r="O116">
            <v>80.275504592880409</v>
          </cell>
          <cell r="P116">
            <v>80.205328162368559</v>
          </cell>
          <cell r="Q116">
            <v>80.193808975256218</v>
          </cell>
          <cell r="R116">
            <v>80.219411945339331</v>
          </cell>
          <cell r="S116">
            <v>80.179965748154217</v>
          </cell>
          <cell r="T116">
            <v>80.179965748154217</v>
          </cell>
          <cell r="U116">
            <v>80.179965748154217</v>
          </cell>
          <cell r="V116">
            <v>80.179965748154217</v>
          </cell>
          <cell r="W116">
            <v>80.179965748154217</v>
          </cell>
          <cell r="X116">
            <v>80.179965748154217</v>
          </cell>
          <cell r="Y116">
            <v>80.179965748154217</v>
          </cell>
          <cell r="Z116">
            <v>80.179965748154217</v>
          </cell>
          <cell r="AA116">
            <v>80.179965748154217</v>
          </cell>
          <cell r="AB116">
            <v>80.179965748154217</v>
          </cell>
          <cell r="AC116">
            <v>80.179965748154217</v>
          </cell>
          <cell r="AD116">
            <v>80.179965748154217</v>
          </cell>
          <cell r="AE116">
            <v>80.179965748154217</v>
          </cell>
          <cell r="AF116">
            <v>80.179965748154217</v>
          </cell>
        </row>
        <row r="117">
          <cell r="A117" t="str">
            <v>Georgia</v>
          </cell>
          <cell r="B117">
            <v>80.436432761131769</v>
          </cell>
          <cell r="C117">
            <v>80.377413030952042</v>
          </cell>
          <cell r="D117">
            <v>80.372320408006985</v>
          </cell>
          <cell r="E117">
            <v>80.394771171633778</v>
          </cell>
          <cell r="F117">
            <v>80.375500300465276</v>
          </cell>
          <cell r="G117">
            <v>80.364400880355817</v>
          </cell>
          <cell r="H117">
            <v>80.383200336963782</v>
          </cell>
          <cell r="I117">
            <v>80.422183860276832</v>
          </cell>
          <cell r="J117">
            <v>80.386682911988558</v>
          </cell>
          <cell r="K117">
            <v>80.419838551315209</v>
          </cell>
          <cell r="L117">
            <v>80.357640342473829</v>
          </cell>
          <cell r="M117">
            <v>80.241437612437025</v>
          </cell>
          <cell r="N117">
            <v>80.227623314975546</v>
          </cell>
          <cell r="O117">
            <v>80.275504592880409</v>
          </cell>
          <cell r="P117">
            <v>80.205328162368545</v>
          </cell>
          <cell r="Q117">
            <v>80.193808975256232</v>
          </cell>
          <cell r="R117">
            <v>80.219411945339331</v>
          </cell>
          <cell r="S117">
            <v>80.179965748154217</v>
          </cell>
          <cell r="T117">
            <v>80.179965748154217</v>
          </cell>
          <cell r="U117">
            <v>80.179965748154217</v>
          </cell>
          <cell r="V117">
            <v>80.179965748154217</v>
          </cell>
          <cell r="W117">
            <v>80.179965748154217</v>
          </cell>
          <cell r="X117">
            <v>80.179965748154217</v>
          </cell>
          <cell r="Y117">
            <v>80.179965748154217</v>
          </cell>
          <cell r="Z117">
            <v>80.179965748154217</v>
          </cell>
          <cell r="AA117">
            <v>80.179965748154217</v>
          </cell>
          <cell r="AB117">
            <v>80.179965748154217</v>
          </cell>
          <cell r="AC117">
            <v>80.179965748154217</v>
          </cell>
          <cell r="AD117">
            <v>80.179965748154217</v>
          </cell>
          <cell r="AE117">
            <v>80.179965748154217</v>
          </cell>
          <cell r="AF117">
            <v>80.179965748154217</v>
          </cell>
        </row>
        <row r="118">
          <cell r="A118" t="str">
            <v>Hawaii</v>
          </cell>
          <cell r="B118">
            <v>69.128706084425076</v>
          </cell>
          <cell r="C118">
            <v>69.077983328072946</v>
          </cell>
          <cell r="D118">
            <v>69.073606624349495</v>
          </cell>
          <cell r="E118">
            <v>69.092901267173062</v>
          </cell>
          <cell r="F118">
            <v>69.076339488595025</v>
          </cell>
          <cell r="G118">
            <v>69.066800421233168</v>
          </cell>
          <cell r="H118">
            <v>69.082957056551137</v>
          </cell>
          <cell r="I118">
            <v>69.116460289262164</v>
          </cell>
          <cell r="J118">
            <v>69.085950052349673</v>
          </cell>
          <cell r="K118">
            <v>69.114444683045932</v>
          </cell>
          <cell r="L118">
            <v>69.060990277493929</v>
          </cell>
          <cell r="M118">
            <v>68.961123288181014</v>
          </cell>
          <cell r="N118">
            <v>68.949251000012652</v>
          </cell>
          <cell r="O118">
            <v>68.990401143966196</v>
          </cell>
          <cell r="P118">
            <v>68.930090092464027</v>
          </cell>
          <cell r="Q118">
            <v>68.920190268803452</v>
          </cell>
          <cell r="R118">
            <v>68.942193981959406</v>
          </cell>
          <cell r="S118">
            <v>68.908293117913672</v>
          </cell>
          <cell r="T118">
            <v>68.908293117913672</v>
          </cell>
          <cell r="U118">
            <v>68.908293117913672</v>
          </cell>
          <cell r="V118">
            <v>68.908293117913672</v>
          </cell>
          <cell r="W118">
            <v>68.908293117913672</v>
          </cell>
          <cell r="X118">
            <v>68.908293117913672</v>
          </cell>
          <cell r="Y118">
            <v>68.908293117913672</v>
          </cell>
          <cell r="Z118">
            <v>68.908293117913672</v>
          </cell>
          <cell r="AA118">
            <v>68.908293117913672</v>
          </cell>
          <cell r="AB118">
            <v>68.908293117913672</v>
          </cell>
          <cell r="AC118">
            <v>68.908293117913672</v>
          </cell>
          <cell r="AD118">
            <v>68.908293117913672</v>
          </cell>
          <cell r="AE118">
            <v>68.908293117913672</v>
          </cell>
          <cell r="AF118">
            <v>68.908293117913672</v>
          </cell>
        </row>
        <row r="119">
          <cell r="A119" t="str">
            <v>Idaho</v>
          </cell>
          <cell r="B119">
            <v>69.128706084425104</v>
          </cell>
          <cell r="C119">
            <v>69.07798332807296</v>
          </cell>
          <cell r="D119">
            <v>69.073606624349495</v>
          </cell>
          <cell r="E119">
            <v>69.092901267173062</v>
          </cell>
          <cell r="F119">
            <v>69.076339488595025</v>
          </cell>
          <cell r="G119">
            <v>69.066800421233182</v>
          </cell>
          <cell r="H119">
            <v>69.082957056551123</v>
          </cell>
          <cell r="I119">
            <v>69.116460289262179</v>
          </cell>
          <cell r="J119">
            <v>69.085950052349673</v>
          </cell>
          <cell r="K119">
            <v>69.114444683045946</v>
          </cell>
          <cell r="L119">
            <v>69.0609902774939</v>
          </cell>
          <cell r="M119">
            <v>68.961123288181028</v>
          </cell>
          <cell r="N119">
            <v>68.949251000012652</v>
          </cell>
          <cell r="O119">
            <v>68.990401143966196</v>
          </cell>
          <cell r="P119">
            <v>68.930090092463999</v>
          </cell>
          <cell r="Q119">
            <v>68.920190268803438</v>
          </cell>
          <cell r="R119">
            <v>68.942193981959392</v>
          </cell>
          <cell r="S119">
            <v>68.908293117913672</v>
          </cell>
          <cell r="T119">
            <v>68.908293117913672</v>
          </cell>
          <cell r="U119">
            <v>68.908293117913672</v>
          </cell>
          <cell r="V119">
            <v>68.908293117913672</v>
          </cell>
          <cell r="W119">
            <v>68.908293117913672</v>
          </cell>
          <cell r="X119">
            <v>68.908293117913672</v>
          </cell>
          <cell r="Y119">
            <v>68.908293117913672</v>
          </cell>
          <cell r="Z119">
            <v>68.908293117913672</v>
          </cell>
          <cell r="AA119">
            <v>68.908293117913672</v>
          </cell>
          <cell r="AB119">
            <v>68.908293117913672</v>
          </cell>
          <cell r="AC119">
            <v>68.908293117913672</v>
          </cell>
          <cell r="AD119">
            <v>68.908293117913672</v>
          </cell>
          <cell r="AE119">
            <v>68.908293117913672</v>
          </cell>
          <cell r="AF119">
            <v>68.908293117913672</v>
          </cell>
        </row>
        <row r="120">
          <cell r="A120" t="str">
            <v>Illinois</v>
          </cell>
          <cell r="B120">
            <v>65.398318354947705</v>
          </cell>
          <cell r="C120">
            <v>65.350332747294274</v>
          </cell>
          <cell r="D120">
            <v>65.346192223340239</v>
          </cell>
          <cell r="E120">
            <v>65.364445670647356</v>
          </cell>
          <cell r="F120">
            <v>65.348777614215805</v>
          </cell>
          <cell r="G120">
            <v>65.339753302906161</v>
          </cell>
          <cell r="H120">
            <v>65.355038078796184</v>
          </cell>
          <cell r="I120">
            <v>65.386733378807762</v>
          </cell>
          <cell r="J120">
            <v>65.357869563763231</v>
          </cell>
          <cell r="K120">
            <v>65.384826540614583</v>
          </cell>
          <cell r="L120">
            <v>65.334256691563766</v>
          </cell>
          <cell r="M120">
            <v>65.239778817896379</v>
          </cell>
          <cell r="N120">
            <v>65.228547193218077</v>
          </cell>
          <cell r="O120">
            <v>65.267476754713698</v>
          </cell>
          <cell r="P120">
            <v>65.210420264438227</v>
          </cell>
          <cell r="Q120">
            <v>65.201054664297814</v>
          </cell>
          <cell r="R120">
            <v>65.22187099255666</v>
          </cell>
          <cell r="S120">
            <v>65.189799518563476</v>
          </cell>
          <cell r="T120">
            <v>65.189799518563476</v>
          </cell>
          <cell r="U120">
            <v>65.189799518563476</v>
          </cell>
          <cell r="V120">
            <v>65.189799518563476</v>
          </cell>
          <cell r="W120">
            <v>65.189799518563476</v>
          </cell>
          <cell r="X120">
            <v>65.189799518563476</v>
          </cell>
          <cell r="Y120">
            <v>65.189799518563476</v>
          </cell>
          <cell r="Z120">
            <v>65.189799518563476</v>
          </cell>
          <cell r="AA120">
            <v>65.189799518563476</v>
          </cell>
          <cell r="AB120">
            <v>65.189799518563476</v>
          </cell>
          <cell r="AC120">
            <v>65.189799518563476</v>
          </cell>
          <cell r="AD120">
            <v>65.189799518563476</v>
          </cell>
          <cell r="AE120">
            <v>65.189799518563476</v>
          </cell>
          <cell r="AF120">
            <v>65.189799518563476</v>
          </cell>
        </row>
        <row r="121">
          <cell r="A121" t="str">
            <v>Indiana</v>
          </cell>
          <cell r="B121">
            <v>65.398318354947705</v>
          </cell>
          <cell r="C121">
            <v>65.35033274729426</v>
          </cell>
          <cell r="D121">
            <v>65.346192223340253</v>
          </cell>
          <cell r="E121">
            <v>65.364445670647356</v>
          </cell>
          <cell r="F121">
            <v>65.34877761421582</v>
          </cell>
          <cell r="G121">
            <v>65.339753302906175</v>
          </cell>
          <cell r="H121">
            <v>65.355038078796198</v>
          </cell>
          <cell r="I121">
            <v>65.386733378807776</v>
          </cell>
          <cell r="J121">
            <v>65.357869563763217</v>
          </cell>
          <cell r="K121">
            <v>65.384826540614569</v>
          </cell>
          <cell r="L121">
            <v>65.334256691563766</v>
          </cell>
          <cell r="M121">
            <v>65.239778817896365</v>
          </cell>
          <cell r="N121">
            <v>65.228547193218077</v>
          </cell>
          <cell r="O121">
            <v>65.267476754713684</v>
          </cell>
          <cell r="P121">
            <v>65.210420264438241</v>
          </cell>
          <cell r="Q121">
            <v>65.201054664297814</v>
          </cell>
          <cell r="R121">
            <v>65.221870992556688</v>
          </cell>
          <cell r="S121">
            <v>65.189799518563476</v>
          </cell>
          <cell r="T121">
            <v>65.189799518563476</v>
          </cell>
          <cell r="U121">
            <v>65.189799518563476</v>
          </cell>
          <cell r="V121">
            <v>65.189799518563476</v>
          </cell>
          <cell r="W121">
            <v>65.189799518563476</v>
          </cell>
          <cell r="X121">
            <v>65.189799518563476</v>
          </cell>
          <cell r="Y121">
            <v>65.189799518563476</v>
          </cell>
          <cell r="Z121">
            <v>65.189799518563476</v>
          </cell>
          <cell r="AA121">
            <v>65.189799518563476</v>
          </cell>
          <cell r="AB121">
            <v>65.189799518563476</v>
          </cell>
          <cell r="AC121">
            <v>65.189799518563476</v>
          </cell>
          <cell r="AD121">
            <v>65.189799518563476</v>
          </cell>
          <cell r="AE121">
            <v>65.189799518563476</v>
          </cell>
          <cell r="AF121">
            <v>65.189799518563476</v>
          </cell>
        </row>
        <row r="122">
          <cell r="A122" t="str">
            <v>Iowa</v>
          </cell>
          <cell r="B122">
            <v>65.398318354947719</v>
          </cell>
          <cell r="C122">
            <v>65.35033274729426</v>
          </cell>
          <cell r="D122">
            <v>65.346192223340239</v>
          </cell>
          <cell r="E122">
            <v>65.36444567064737</v>
          </cell>
          <cell r="F122">
            <v>65.34877761421582</v>
          </cell>
          <cell r="G122">
            <v>65.339753302906175</v>
          </cell>
          <cell r="H122">
            <v>65.355038078796198</v>
          </cell>
          <cell r="I122">
            <v>65.386733378807762</v>
          </cell>
          <cell r="J122">
            <v>65.357869563763217</v>
          </cell>
          <cell r="K122">
            <v>65.384826540614583</v>
          </cell>
          <cell r="L122">
            <v>65.334256691563766</v>
          </cell>
          <cell r="M122">
            <v>65.239778817896379</v>
          </cell>
          <cell r="N122">
            <v>65.228547193218063</v>
          </cell>
          <cell r="O122">
            <v>65.267476754713698</v>
          </cell>
          <cell r="P122">
            <v>65.210420264438213</v>
          </cell>
          <cell r="Q122">
            <v>65.201054664297814</v>
          </cell>
          <cell r="R122">
            <v>65.221870992556688</v>
          </cell>
          <cell r="S122">
            <v>65.189799518563461</v>
          </cell>
          <cell r="T122">
            <v>65.189799518563461</v>
          </cell>
          <cell r="U122">
            <v>65.189799518563461</v>
          </cell>
          <cell r="V122">
            <v>65.189799518563461</v>
          </cell>
          <cell r="W122">
            <v>65.189799518563461</v>
          </cell>
          <cell r="X122">
            <v>65.189799518563461</v>
          </cell>
          <cell r="Y122">
            <v>65.189799518563461</v>
          </cell>
          <cell r="Z122">
            <v>65.189799518563461</v>
          </cell>
          <cell r="AA122">
            <v>65.189799518563461</v>
          </cell>
          <cell r="AB122">
            <v>65.189799518563461</v>
          </cell>
          <cell r="AC122">
            <v>65.189799518563461</v>
          </cell>
          <cell r="AD122">
            <v>65.189799518563461</v>
          </cell>
          <cell r="AE122">
            <v>65.189799518563461</v>
          </cell>
          <cell r="AF122">
            <v>65.189799518563461</v>
          </cell>
        </row>
        <row r="123">
          <cell r="A123" t="str">
            <v>Kansas</v>
          </cell>
          <cell r="B123">
            <v>65.398318354947705</v>
          </cell>
          <cell r="C123">
            <v>65.35033274729426</v>
          </cell>
          <cell r="D123">
            <v>65.346192223340253</v>
          </cell>
          <cell r="E123">
            <v>65.364445670647356</v>
          </cell>
          <cell r="F123">
            <v>65.348777614215834</v>
          </cell>
          <cell r="G123">
            <v>65.339753302906161</v>
          </cell>
          <cell r="H123">
            <v>65.355038078796198</v>
          </cell>
          <cell r="I123">
            <v>65.386733378807762</v>
          </cell>
          <cell r="J123">
            <v>65.357869563763217</v>
          </cell>
          <cell r="K123">
            <v>65.384826540614569</v>
          </cell>
          <cell r="L123">
            <v>65.334256691563766</v>
          </cell>
          <cell r="M123">
            <v>65.239778817896394</v>
          </cell>
          <cell r="N123">
            <v>65.228547193218077</v>
          </cell>
          <cell r="O123">
            <v>65.267476754713698</v>
          </cell>
          <cell r="P123">
            <v>65.210420264438241</v>
          </cell>
          <cell r="Q123">
            <v>65.201054664297814</v>
          </cell>
          <cell r="R123">
            <v>65.221870992556674</v>
          </cell>
          <cell r="S123">
            <v>65.189799518563461</v>
          </cell>
          <cell r="T123">
            <v>65.189799518563461</v>
          </cell>
          <cell r="U123">
            <v>65.189799518563461</v>
          </cell>
          <cell r="V123">
            <v>65.189799518563461</v>
          </cell>
          <cell r="W123">
            <v>65.189799518563461</v>
          </cell>
          <cell r="X123">
            <v>65.189799518563461</v>
          </cell>
          <cell r="Y123">
            <v>65.189799518563461</v>
          </cell>
          <cell r="Z123">
            <v>65.189799518563461</v>
          </cell>
          <cell r="AA123">
            <v>65.189799518563461</v>
          </cell>
          <cell r="AB123">
            <v>65.189799518563461</v>
          </cell>
          <cell r="AC123">
            <v>65.189799518563461</v>
          </cell>
          <cell r="AD123">
            <v>65.189799518563461</v>
          </cell>
          <cell r="AE123">
            <v>65.189799518563461</v>
          </cell>
          <cell r="AF123">
            <v>65.189799518563461</v>
          </cell>
        </row>
        <row r="124">
          <cell r="A124" t="str">
            <v>Kentucky</v>
          </cell>
          <cell r="B124">
            <v>80.436432761131798</v>
          </cell>
          <cell r="C124">
            <v>80.377413030952027</v>
          </cell>
          <cell r="D124">
            <v>80.372320408006971</v>
          </cell>
          <cell r="E124">
            <v>80.394771171633764</v>
          </cell>
          <cell r="F124">
            <v>80.375500300465305</v>
          </cell>
          <cell r="G124">
            <v>80.364400880355817</v>
          </cell>
          <cell r="H124">
            <v>80.383200336963782</v>
          </cell>
          <cell r="I124">
            <v>80.422183860276846</v>
          </cell>
          <cell r="J124">
            <v>80.386682911988558</v>
          </cell>
          <cell r="K124">
            <v>80.419838551315181</v>
          </cell>
          <cell r="L124">
            <v>80.3576403424738</v>
          </cell>
          <cell r="M124">
            <v>80.241437612437025</v>
          </cell>
          <cell r="N124">
            <v>80.227623314975574</v>
          </cell>
          <cell r="O124">
            <v>80.275504592880409</v>
          </cell>
          <cell r="P124">
            <v>80.205328162368559</v>
          </cell>
          <cell r="Q124">
            <v>80.193808975256204</v>
          </cell>
          <cell r="R124">
            <v>80.219411945339317</v>
          </cell>
          <cell r="S124">
            <v>80.179965748154203</v>
          </cell>
          <cell r="T124">
            <v>80.179965748154203</v>
          </cell>
          <cell r="U124">
            <v>80.179965748154203</v>
          </cell>
          <cell r="V124">
            <v>80.179965748154203</v>
          </cell>
          <cell r="W124">
            <v>80.179965748154203</v>
          </cell>
          <cell r="X124">
            <v>80.179965748154203</v>
          </cell>
          <cell r="Y124">
            <v>80.179965748154203</v>
          </cell>
          <cell r="Z124">
            <v>80.179965748154203</v>
          </cell>
          <cell r="AA124">
            <v>80.179965748154203</v>
          </cell>
          <cell r="AB124">
            <v>80.179965748154203</v>
          </cell>
          <cell r="AC124">
            <v>80.179965748154203</v>
          </cell>
          <cell r="AD124">
            <v>80.179965748154203</v>
          </cell>
          <cell r="AE124">
            <v>80.179965748154203</v>
          </cell>
          <cell r="AF124">
            <v>80.179965748154203</v>
          </cell>
        </row>
        <row r="125">
          <cell r="A125" t="str">
            <v>Louisiana</v>
          </cell>
          <cell r="B125">
            <v>78.187146678824803</v>
          </cell>
          <cell r="C125">
            <v>78.129723002206987</v>
          </cell>
          <cell r="D125">
            <v>78.12476854603203</v>
          </cell>
          <cell r="E125">
            <v>78.146613661284675</v>
          </cell>
          <cell r="F125">
            <v>78.127863885236422</v>
          </cell>
          <cell r="G125">
            <v>78.117065319385276</v>
          </cell>
          <cell r="H125">
            <v>78.135354967657221</v>
          </cell>
          <cell r="I125">
            <v>78.17328310519612</v>
          </cell>
          <cell r="J125">
            <v>78.13874041322795</v>
          </cell>
          <cell r="K125">
            <v>78.171002022146581</v>
          </cell>
          <cell r="L125">
            <v>78.110485294106454</v>
          </cell>
          <cell r="M125">
            <v>77.998636902086602</v>
          </cell>
          <cell r="N125">
            <v>77.985195281094263</v>
          </cell>
          <cell r="O125">
            <v>78.031783872157789</v>
          </cell>
          <cell r="P125">
            <v>77.963502422498195</v>
          </cell>
          <cell r="Q125">
            <v>77.952294168329232</v>
          </cell>
          <cell r="R125">
            <v>77.977206944088394</v>
          </cell>
          <cell r="S125">
            <v>77.938825944107165</v>
          </cell>
          <cell r="T125">
            <v>77.938825944107165</v>
          </cell>
          <cell r="U125">
            <v>77.938825944107165</v>
          </cell>
          <cell r="V125">
            <v>77.938825944107165</v>
          </cell>
          <cell r="W125">
            <v>77.938825944107165</v>
          </cell>
          <cell r="X125">
            <v>77.938825944107165</v>
          </cell>
          <cell r="Y125">
            <v>77.938825944107165</v>
          </cell>
          <cell r="Z125">
            <v>77.938825944107165</v>
          </cell>
          <cell r="AA125">
            <v>77.938825944107165</v>
          </cell>
          <cell r="AB125">
            <v>77.938825944107165</v>
          </cell>
          <cell r="AC125">
            <v>77.938825944107165</v>
          </cell>
          <cell r="AD125">
            <v>77.938825944107165</v>
          </cell>
          <cell r="AE125">
            <v>77.938825944107165</v>
          </cell>
          <cell r="AF125">
            <v>77.938825944107165</v>
          </cell>
        </row>
        <row r="126">
          <cell r="A126" t="str">
            <v>Maine</v>
          </cell>
          <cell r="B126">
            <v>69.760211048019357</v>
          </cell>
          <cell r="C126">
            <v>69.709067096958151</v>
          </cell>
          <cell r="D126">
            <v>69.704653701747247</v>
          </cell>
          <cell r="E126">
            <v>69.724107415340228</v>
          </cell>
          <cell r="F126">
            <v>69.707408142256725</v>
          </cell>
          <cell r="G126">
            <v>69.697789323893772</v>
          </cell>
          <cell r="H126">
            <v>69.714081223503115</v>
          </cell>
          <cell r="I126">
            <v>69.747863566792972</v>
          </cell>
          <cell r="J126">
            <v>69.717101362598356</v>
          </cell>
          <cell r="K126">
            <v>69.745830600668157</v>
          </cell>
          <cell r="L126">
            <v>69.691932726425563</v>
          </cell>
          <cell r="M126">
            <v>69.590296118948089</v>
          </cell>
          <cell r="N126">
            <v>69.578325942965833</v>
          </cell>
          <cell r="O126">
            <v>69.619816121617518</v>
          </cell>
          <cell r="P126">
            <v>69.559006412702502</v>
          </cell>
          <cell r="Q126">
            <v>69.549024830078778</v>
          </cell>
          <cell r="R126">
            <v>69.571209567953105</v>
          </cell>
          <cell r="S126">
            <v>69.537028386842081</v>
          </cell>
          <cell r="T126">
            <v>69.537028386842081</v>
          </cell>
          <cell r="U126">
            <v>69.537028386842081</v>
          </cell>
          <cell r="V126">
            <v>69.537028386842081</v>
          </cell>
          <cell r="W126">
            <v>69.537028386842081</v>
          </cell>
          <cell r="X126">
            <v>69.537028386842081</v>
          </cell>
          <cell r="Y126">
            <v>69.537028386842081</v>
          </cell>
          <cell r="Z126">
            <v>69.537028386842081</v>
          </cell>
          <cell r="AA126">
            <v>69.537028386842081</v>
          </cell>
          <cell r="AB126">
            <v>69.537028386842081</v>
          </cell>
          <cell r="AC126">
            <v>69.537028386842081</v>
          </cell>
          <cell r="AD126">
            <v>69.537028386842081</v>
          </cell>
          <cell r="AE126">
            <v>69.537028386842081</v>
          </cell>
          <cell r="AF126">
            <v>69.537028386842081</v>
          </cell>
        </row>
        <row r="127">
          <cell r="A127" t="str">
            <v>Maryland</v>
          </cell>
          <cell r="B127">
            <v>69.760211048019343</v>
          </cell>
          <cell r="C127">
            <v>69.709067096958151</v>
          </cell>
          <cell r="D127">
            <v>69.704653701747262</v>
          </cell>
          <cell r="E127">
            <v>69.724107415340214</v>
          </cell>
          <cell r="F127">
            <v>69.707408142256725</v>
          </cell>
          <cell r="G127">
            <v>69.697789323893772</v>
          </cell>
          <cell r="H127">
            <v>69.714081223503129</v>
          </cell>
          <cell r="I127">
            <v>69.747863566792972</v>
          </cell>
          <cell r="J127">
            <v>69.717101362598342</v>
          </cell>
          <cell r="K127">
            <v>69.745830600668143</v>
          </cell>
          <cell r="L127">
            <v>69.691932726425549</v>
          </cell>
          <cell r="M127">
            <v>69.590296118948061</v>
          </cell>
          <cell r="N127">
            <v>69.578325942965819</v>
          </cell>
          <cell r="O127">
            <v>69.61981612161749</v>
          </cell>
          <cell r="P127">
            <v>69.559006412702502</v>
          </cell>
          <cell r="Q127">
            <v>69.549024830078764</v>
          </cell>
          <cell r="R127">
            <v>69.571209567953133</v>
          </cell>
          <cell r="S127">
            <v>69.537028386842081</v>
          </cell>
          <cell r="T127">
            <v>69.537028386842081</v>
          </cell>
          <cell r="U127">
            <v>69.537028386842081</v>
          </cell>
          <cell r="V127">
            <v>69.537028386842081</v>
          </cell>
          <cell r="W127">
            <v>69.537028386842081</v>
          </cell>
          <cell r="X127">
            <v>69.537028386842081</v>
          </cell>
          <cell r="Y127">
            <v>69.537028386842081</v>
          </cell>
          <cell r="Z127">
            <v>69.537028386842081</v>
          </cell>
          <cell r="AA127">
            <v>69.537028386842081</v>
          </cell>
          <cell r="AB127">
            <v>69.537028386842081</v>
          </cell>
          <cell r="AC127">
            <v>69.537028386842081</v>
          </cell>
          <cell r="AD127">
            <v>69.537028386842081</v>
          </cell>
          <cell r="AE127">
            <v>69.537028386842081</v>
          </cell>
          <cell r="AF127">
            <v>69.537028386842081</v>
          </cell>
        </row>
        <row r="128">
          <cell r="A128" t="str">
            <v>Massachusetts</v>
          </cell>
          <cell r="B128">
            <v>69.760211048019343</v>
          </cell>
          <cell r="C128">
            <v>69.709067096958151</v>
          </cell>
          <cell r="D128">
            <v>69.704653701747247</v>
          </cell>
          <cell r="E128">
            <v>69.724107415340228</v>
          </cell>
          <cell r="F128">
            <v>69.707408142256696</v>
          </cell>
          <cell r="G128">
            <v>69.697789323893772</v>
          </cell>
          <cell r="H128">
            <v>69.714081223503115</v>
          </cell>
          <cell r="I128">
            <v>69.747863566792958</v>
          </cell>
          <cell r="J128">
            <v>69.717101362598356</v>
          </cell>
          <cell r="K128">
            <v>69.745830600668171</v>
          </cell>
          <cell r="L128">
            <v>69.691932726425563</v>
          </cell>
          <cell r="M128">
            <v>69.590296118948089</v>
          </cell>
          <cell r="N128">
            <v>69.578325942965833</v>
          </cell>
          <cell r="O128">
            <v>69.619816121617518</v>
          </cell>
          <cell r="P128">
            <v>69.559006412702516</v>
          </cell>
          <cell r="Q128">
            <v>69.549024830078764</v>
          </cell>
          <cell r="R128">
            <v>69.571209567953105</v>
          </cell>
          <cell r="S128">
            <v>69.537028386842081</v>
          </cell>
          <cell r="T128">
            <v>69.537028386842081</v>
          </cell>
          <cell r="U128">
            <v>69.537028386842081</v>
          </cell>
          <cell r="V128">
            <v>69.537028386842081</v>
          </cell>
          <cell r="W128">
            <v>69.537028386842081</v>
          </cell>
          <cell r="X128">
            <v>69.537028386842081</v>
          </cell>
          <cell r="Y128">
            <v>69.537028386842081</v>
          </cell>
          <cell r="Z128">
            <v>69.537028386842081</v>
          </cell>
          <cell r="AA128">
            <v>69.537028386842081</v>
          </cell>
          <cell r="AB128">
            <v>69.537028386842081</v>
          </cell>
          <cell r="AC128">
            <v>69.537028386842081</v>
          </cell>
          <cell r="AD128">
            <v>69.537028386842081</v>
          </cell>
          <cell r="AE128">
            <v>69.537028386842081</v>
          </cell>
          <cell r="AF128">
            <v>69.537028386842081</v>
          </cell>
        </row>
        <row r="129">
          <cell r="A129" t="str">
            <v>Michigan</v>
          </cell>
          <cell r="B129">
            <v>65.398318354947719</v>
          </cell>
          <cell r="C129">
            <v>65.35033274729426</v>
          </cell>
          <cell r="D129">
            <v>65.346192223340239</v>
          </cell>
          <cell r="E129">
            <v>65.364445670647356</v>
          </cell>
          <cell r="F129">
            <v>65.34877761421582</v>
          </cell>
          <cell r="G129">
            <v>65.339753302906161</v>
          </cell>
          <cell r="H129">
            <v>65.355038078796184</v>
          </cell>
          <cell r="I129">
            <v>65.386733378807762</v>
          </cell>
          <cell r="J129">
            <v>65.357869563763231</v>
          </cell>
          <cell r="K129">
            <v>65.384826540614554</v>
          </cell>
          <cell r="L129">
            <v>65.33425669156378</v>
          </cell>
          <cell r="M129">
            <v>65.239778817896394</v>
          </cell>
          <cell r="N129">
            <v>65.228547193218077</v>
          </cell>
          <cell r="O129">
            <v>65.267476754713698</v>
          </cell>
          <cell r="P129">
            <v>65.210420264438227</v>
          </cell>
          <cell r="Q129">
            <v>65.201054664297828</v>
          </cell>
          <cell r="R129">
            <v>65.221870992556674</v>
          </cell>
          <cell r="S129">
            <v>65.189799518563461</v>
          </cell>
          <cell r="T129">
            <v>65.189799518563461</v>
          </cell>
          <cell r="U129">
            <v>65.189799518563461</v>
          </cell>
          <cell r="V129">
            <v>65.189799518563461</v>
          </cell>
          <cell r="W129">
            <v>65.189799518563461</v>
          </cell>
          <cell r="X129">
            <v>65.189799518563461</v>
          </cell>
          <cell r="Y129">
            <v>65.189799518563461</v>
          </cell>
          <cell r="Z129">
            <v>65.189799518563461</v>
          </cell>
          <cell r="AA129">
            <v>65.189799518563461</v>
          </cell>
          <cell r="AB129">
            <v>65.189799518563461</v>
          </cell>
          <cell r="AC129">
            <v>65.189799518563461</v>
          </cell>
          <cell r="AD129">
            <v>65.189799518563461</v>
          </cell>
          <cell r="AE129">
            <v>65.189799518563461</v>
          </cell>
          <cell r="AF129">
            <v>65.189799518563461</v>
          </cell>
        </row>
        <row r="130">
          <cell r="A130" t="str">
            <v>Minnesota</v>
          </cell>
          <cell r="B130">
            <v>65.398318354947705</v>
          </cell>
          <cell r="C130">
            <v>65.35033274729426</v>
          </cell>
          <cell r="D130">
            <v>65.346192223340253</v>
          </cell>
          <cell r="E130">
            <v>65.36444567064737</v>
          </cell>
          <cell r="F130">
            <v>65.34877761421582</v>
          </cell>
          <cell r="G130">
            <v>65.339753302906161</v>
          </cell>
          <cell r="H130">
            <v>65.355038078796184</v>
          </cell>
          <cell r="I130">
            <v>65.386733378807747</v>
          </cell>
          <cell r="J130">
            <v>65.357869563763245</v>
          </cell>
          <cell r="K130">
            <v>65.384826540614554</v>
          </cell>
          <cell r="L130">
            <v>65.334256691563766</v>
          </cell>
          <cell r="M130">
            <v>65.239778817896394</v>
          </cell>
          <cell r="N130">
            <v>65.228547193218077</v>
          </cell>
          <cell r="O130">
            <v>65.267476754713698</v>
          </cell>
          <cell r="P130">
            <v>65.210420264438241</v>
          </cell>
          <cell r="Q130">
            <v>65.201054664297814</v>
          </cell>
          <cell r="R130">
            <v>65.221870992556674</v>
          </cell>
          <cell r="S130">
            <v>65.189799518563461</v>
          </cell>
          <cell r="T130">
            <v>65.189799518563461</v>
          </cell>
          <cell r="U130">
            <v>65.189799518563461</v>
          </cell>
          <cell r="V130">
            <v>65.189799518563461</v>
          </cell>
          <cell r="W130">
            <v>65.189799518563461</v>
          </cell>
          <cell r="X130">
            <v>65.189799518563461</v>
          </cell>
          <cell r="Y130">
            <v>65.189799518563461</v>
          </cell>
          <cell r="Z130">
            <v>65.189799518563461</v>
          </cell>
          <cell r="AA130">
            <v>65.189799518563461</v>
          </cell>
          <cell r="AB130">
            <v>65.189799518563461</v>
          </cell>
          <cell r="AC130">
            <v>65.189799518563461</v>
          </cell>
          <cell r="AD130">
            <v>65.189799518563461</v>
          </cell>
          <cell r="AE130">
            <v>65.189799518563461</v>
          </cell>
          <cell r="AF130">
            <v>65.189799518563461</v>
          </cell>
        </row>
        <row r="131">
          <cell r="A131" t="str">
            <v>Mississippi</v>
          </cell>
          <cell r="B131">
            <v>80.436432761131798</v>
          </cell>
          <cell r="C131">
            <v>80.377413030952027</v>
          </cell>
          <cell r="D131">
            <v>80.372320408006971</v>
          </cell>
          <cell r="E131">
            <v>80.394771171633764</v>
          </cell>
          <cell r="F131">
            <v>80.375500300465305</v>
          </cell>
          <cell r="G131">
            <v>80.364400880355802</v>
          </cell>
          <cell r="H131">
            <v>80.383200336963782</v>
          </cell>
          <cell r="I131">
            <v>80.422183860276817</v>
          </cell>
          <cell r="J131">
            <v>80.386682911988558</v>
          </cell>
          <cell r="K131">
            <v>80.419838551315195</v>
          </cell>
          <cell r="L131">
            <v>80.357640342473843</v>
          </cell>
          <cell r="M131">
            <v>80.241437612437039</v>
          </cell>
          <cell r="N131">
            <v>80.22762331497556</v>
          </cell>
          <cell r="O131">
            <v>80.275504592880424</v>
          </cell>
          <cell r="P131">
            <v>80.205328162368545</v>
          </cell>
          <cell r="Q131">
            <v>80.193808975256246</v>
          </cell>
          <cell r="R131">
            <v>80.219411945339317</v>
          </cell>
          <cell r="S131">
            <v>80.179965748154203</v>
          </cell>
          <cell r="T131">
            <v>80.179965748154203</v>
          </cell>
          <cell r="U131">
            <v>80.179965748154203</v>
          </cell>
          <cell r="V131">
            <v>80.179965748154203</v>
          </cell>
          <cell r="W131">
            <v>80.179965748154203</v>
          </cell>
          <cell r="X131">
            <v>80.179965748154203</v>
          </cell>
          <cell r="Y131">
            <v>80.179965748154203</v>
          </cell>
          <cell r="Z131">
            <v>80.179965748154203</v>
          </cell>
          <cell r="AA131">
            <v>80.179965748154203</v>
          </cell>
          <cell r="AB131">
            <v>80.179965748154203</v>
          </cell>
          <cell r="AC131">
            <v>80.179965748154203</v>
          </cell>
          <cell r="AD131">
            <v>80.179965748154203</v>
          </cell>
          <cell r="AE131">
            <v>80.179965748154203</v>
          </cell>
          <cell r="AF131">
            <v>80.179965748154203</v>
          </cell>
        </row>
        <row r="132">
          <cell r="A132" t="str">
            <v>Missouri</v>
          </cell>
          <cell r="B132">
            <v>65.398318354947705</v>
          </cell>
          <cell r="C132">
            <v>65.350332747294274</v>
          </cell>
          <cell r="D132">
            <v>65.346192223340239</v>
          </cell>
          <cell r="E132">
            <v>65.364445670647356</v>
          </cell>
          <cell r="F132">
            <v>65.34877761421582</v>
          </cell>
          <cell r="G132">
            <v>65.339753302906161</v>
          </cell>
          <cell r="H132">
            <v>65.355038078796198</v>
          </cell>
          <cell r="I132">
            <v>65.386733378807762</v>
          </cell>
          <cell r="J132">
            <v>65.357869563763245</v>
          </cell>
          <cell r="K132">
            <v>65.384826540614554</v>
          </cell>
          <cell r="L132">
            <v>65.334256691563766</v>
          </cell>
          <cell r="M132">
            <v>65.239778817896394</v>
          </cell>
          <cell r="N132">
            <v>65.228547193218063</v>
          </cell>
          <cell r="O132">
            <v>65.267476754713684</v>
          </cell>
          <cell r="P132">
            <v>65.210420264438227</v>
          </cell>
          <cell r="Q132">
            <v>65.201054664297814</v>
          </cell>
          <cell r="R132">
            <v>65.221870992556674</v>
          </cell>
          <cell r="S132">
            <v>65.189799518563476</v>
          </cell>
          <cell r="T132">
            <v>65.189799518563476</v>
          </cell>
          <cell r="U132">
            <v>65.189799518563476</v>
          </cell>
          <cell r="V132">
            <v>65.189799518563476</v>
          </cell>
          <cell r="W132">
            <v>65.189799518563476</v>
          </cell>
          <cell r="X132">
            <v>65.189799518563476</v>
          </cell>
          <cell r="Y132">
            <v>65.189799518563476</v>
          </cell>
          <cell r="Z132">
            <v>65.189799518563476</v>
          </cell>
          <cell r="AA132">
            <v>65.189799518563476</v>
          </cell>
          <cell r="AB132">
            <v>65.189799518563476</v>
          </cell>
          <cell r="AC132">
            <v>65.189799518563476</v>
          </cell>
          <cell r="AD132">
            <v>65.189799518563476</v>
          </cell>
          <cell r="AE132">
            <v>65.189799518563476</v>
          </cell>
          <cell r="AF132">
            <v>65.189799518563476</v>
          </cell>
        </row>
        <row r="133">
          <cell r="A133" t="str">
            <v>Montana</v>
          </cell>
          <cell r="B133">
            <v>65.398318354947691</v>
          </cell>
          <cell r="C133">
            <v>65.35033274729426</v>
          </cell>
          <cell r="D133">
            <v>65.346192223340239</v>
          </cell>
          <cell r="E133">
            <v>65.36444567064737</v>
          </cell>
          <cell r="F133">
            <v>65.348777614215834</v>
          </cell>
          <cell r="G133">
            <v>65.339753302906161</v>
          </cell>
          <cell r="H133">
            <v>65.355038078796198</v>
          </cell>
          <cell r="I133">
            <v>65.386733378807776</v>
          </cell>
          <cell r="J133">
            <v>65.357869563763231</v>
          </cell>
          <cell r="K133">
            <v>65.384826540614569</v>
          </cell>
          <cell r="L133">
            <v>65.334256691563766</v>
          </cell>
          <cell r="M133">
            <v>65.239778817896394</v>
          </cell>
          <cell r="N133">
            <v>65.228547193218077</v>
          </cell>
          <cell r="O133">
            <v>65.267476754713684</v>
          </cell>
          <cell r="P133">
            <v>65.210420264438241</v>
          </cell>
          <cell r="Q133">
            <v>65.201054664297814</v>
          </cell>
          <cell r="R133">
            <v>65.221870992556674</v>
          </cell>
          <cell r="S133">
            <v>65.189799518563476</v>
          </cell>
          <cell r="T133">
            <v>65.189799518563476</v>
          </cell>
          <cell r="U133">
            <v>65.189799518563476</v>
          </cell>
          <cell r="V133">
            <v>65.189799518563476</v>
          </cell>
          <cell r="W133">
            <v>65.189799518563476</v>
          </cell>
          <cell r="X133">
            <v>65.189799518563476</v>
          </cell>
          <cell r="Y133">
            <v>65.189799518563476</v>
          </cell>
          <cell r="Z133">
            <v>65.189799518563476</v>
          </cell>
          <cell r="AA133">
            <v>65.189799518563476</v>
          </cell>
          <cell r="AB133">
            <v>65.189799518563476</v>
          </cell>
          <cell r="AC133">
            <v>65.189799518563476</v>
          </cell>
          <cell r="AD133">
            <v>65.189799518563476</v>
          </cell>
          <cell r="AE133">
            <v>65.189799518563476</v>
          </cell>
          <cell r="AF133">
            <v>65.189799518563476</v>
          </cell>
        </row>
        <row r="134">
          <cell r="A134" t="str">
            <v>Nebraska</v>
          </cell>
          <cell r="B134">
            <v>65.398318354947705</v>
          </cell>
          <cell r="C134">
            <v>65.35033274729426</v>
          </cell>
          <cell r="D134">
            <v>65.346192223340253</v>
          </cell>
          <cell r="E134">
            <v>65.364445670647356</v>
          </cell>
          <cell r="F134">
            <v>65.348777614215805</v>
          </cell>
          <cell r="G134">
            <v>65.339753302906161</v>
          </cell>
          <cell r="H134">
            <v>65.355038078796198</v>
          </cell>
          <cell r="I134">
            <v>65.386733378807762</v>
          </cell>
          <cell r="J134">
            <v>65.357869563763217</v>
          </cell>
          <cell r="K134">
            <v>65.384826540614583</v>
          </cell>
          <cell r="L134">
            <v>65.334256691563766</v>
          </cell>
          <cell r="M134">
            <v>65.239778817896379</v>
          </cell>
          <cell r="N134">
            <v>65.228547193218077</v>
          </cell>
          <cell r="O134">
            <v>65.267476754713698</v>
          </cell>
          <cell r="P134">
            <v>65.210420264438241</v>
          </cell>
          <cell r="Q134">
            <v>65.201054664297814</v>
          </cell>
          <cell r="R134">
            <v>65.221870992556688</v>
          </cell>
          <cell r="S134">
            <v>65.189799518563476</v>
          </cell>
          <cell r="T134">
            <v>65.189799518563476</v>
          </cell>
          <cell r="U134">
            <v>65.189799518563476</v>
          </cell>
          <cell r="V134">
            <v>65.189799518563476</v>
          </cell>
          <cell r="W134">
            <v>65.189799518563476</v>
          </cell>
          <cell r="X134">
            <v>65.189799518563476</v>
          </cell>
          <cell r="Y134">
            <v>65.189799518563476</v>
          </cell>
          <cell r="Z134">
            <v>65.189799518563476</v>
          </cell>
          <cell r="AA134">
            <v>65.189799518563476</v>
          </cell>
          <cell r="AB134">
            <v>65.189799518563476</v>
          </cell>
          <cell r="AC134">
            <v>65.189799518563476</v>
          </cell>
          <cell r="AD134">
            <v>65.189799518563476</v>
          </cell>
          <cell r="AE134">
            <v>65.189799518563476</v>
          </cell>
          <cell r="AF134">
            <v>65.189799518563476</v>
          </cell>
        </row>
        <row r="135">
          <cell r="A135" t="str">
            <v>Nevada</v>
          </cell>
          <cell r="B135">
            <v>69.12870608442509</v>
          </cell>
          <cell r="C135">
            <v>69.07798332807296</v>
          </cell>
          <cell r="D135">
            <v>69.07360662434948</v>
          </cell>
          <cell r="E135">
            <v>69.092901267173062</v>
          </cell>
          <cell r="F135">
            <v>69.076339488595025</v>
          </cell>
          <cell r="G135">
            <v>69.066800421233168</v>
          </cell>
          <cell r="H135">
            <v>69.082957056551123</v>
          </cell>
          <cell r="I135">
            <v>69.116460289262164</v>
          </cell>
          <cell r="J135">
            <v>69.085950052349673</v>
          </cell>
          <cell r="K135">
            <v>69.114444683045932</v>
          </cell>
          <cell r="L135">
            <v>69.0609902774939</v>
          </cell>
          <cell r="M135">
            <v>68.961123288181014</v>
          </cell>
          <cell r="N135">
            <v>68.949251000012652</v>
          </cell>
          <cell r="O135">
            <v>68.990401143966196</v>
          </cell>
          <cell r="P135">
            <v>68.930090092464013</v>
          </cell>
          <cell r="Q135">
            <v>68.920190268803452</v>
          </cell>
          <cell r="R135">
            <v>68.942193981959392</v>
          </cell>
          <cell r="S135">
            <v>68.908293117913686</v>
          </cell>
          <cell r="T135">
            <v>68.908293117913686</v>
          </cell>
          <cell r="U135">
            <v>68.908293117913686</v>
          </cell>
          <cell r="V135">
            <v>68.908293117913686</v>
          </cell>
          <cell r="W135">
            <v>68.908293117913686</v>
          </cell>
          <cell r="X135">
            <v>68.908293117913686</v>
          </cell>
          <cell r="Y135">
            <v>68.908293117913686</v>
          </cell>
          <cell r="Z135">
            <v>68.908293117913686</v>
          </cell>
          <cell r="AA135">
            <v>68.908293117913686</v>
          </cell>
          <cell r="AB135">
            <v>68.908293117913686</v>
          </cell>
          <cell r="AC135">
            <v>68.908293117913686</v>
          </cell>
          <cell r="AD135">
            <v>68.908293117913686</v>
          </cell>
          <cell r="AE135">
            <v>68.908293117913686</v>
          </cell>
          <cell r="AF135">
            <v>68.908293117913686</v>
          </cell>
        </row>
        <row r="136">
          <cell r="A136" t="str">
            <v>New Hampshire</v>
          </cell>
          <cell r="B136">
            <v>69.760211048019315</v>
          </cell>
          <cell r="C136">
            <v>69.709067096958151</v>
          </cell>
          <cell r="D136">
            <v>69.704653701747247</v>
          </cell>
          <cell r="E136">
            <v>69.724107415340228</v>
          </cell>
          <cell r="F136">
            <v>69.707408142256725</v>
          </cell>
          <cell r="G136">
            <v>69.697789323893772</v>
          </cell>
          <cell r="H136">
            <v>69.714081223503129</v>
          </cell>
          <cell r="I136">
            <v>69.747863566793001</v>
          </cell>
          <cell r="J136">
            <v>69.717101362598356</v>
          </cell>
          <cell r="K136">
            <v>69.745830600668157</v>
          </cell>
          <cell r="L136">
            <v>69.691932726425563</v>
          </cell>
          <cell r="M136">
            <v>69.590296118948061</v>
          </cell>
          <cell r="N136">
            <v>69.578325942965833</v>
          </cell>
          <cell r="O136">
            <v>69.61981612161749</v>
          </cell>
          <cell r="P136">
            <v>69.559006412702502</v>
          </cell>
          <cell r="Q136">
            <v>69.549024830078764</v>
          </cell>
          <cell r="R136">
            <v>69.571209567953105</v>
          </cell>
          <cell r="S136">
            <v>69.537028386842081</v>
          </cell>
          <cell r="T136">
            <v>69.537028386842081</v>
          </cell>
          <cell r="U136">
            <v>69.537028386842081</v>
          </cell>
          <cell r="V136">
            <v>69.537028386842081</v>
          </cell>
          <cell r="W136">
            <v>69.537028386842081</v>
          </cell>
          <cell r="X136">
            <v>69.537028386842081</v>
          </cell>
          <cell r="Y136">
            <v>69.537028386842081</v>
          </cell>
          <cell r="Z136">
            <v>69.537028386842081</v>
          </cell>
          <cell r="AA136">
            <v>69.537028386842081</v>
          </cell>
          <cell r="AB136">
            <v>69.537028386842081</v>
          </cell>
          <cell r="AC136">
            <v>69.537028386842081</v>
          </cell>
          <cell r="AD136">
            <v>69.537028386842081</v>
          </cell>
          <cell r="AE136">
            <v>69.537028386842081</v>
          </cell>
          <cell r="AF136">
            <v>69.537028386842081</v>
          </cell>
        </row>
        <row r="137">
          <cell r="A137" t="str">
            <v>New Jersey</v>
          </cell>
          <cell r="B137">
            <v>69.760211048019343</v>
          </cell>
          <cell r="C137">
            <v>69.709067096958151</v>
          </cell>
          <cell r="D137">
            <v>69.704653701747247</v>
          </cell>
          <cell r="E137">
            <v>69.724107415340228</v>
          </cell>
          <cell r="F137">
            <v>69.707408142256725</v>
          </cell>
          <cell r="G137">
            <v>69.697789323893787</v>
          </cell>
          <cell r="H137">
            <v>69.714081223503129</v>
          </cell>
          <cell r="I137">
            <v>69.747863566792986</v>
          </cell>
          <cell r="J137">
            <v>69.717101362598356</v>
          </cell>
          <cell r="K137">
            <v>69.745830600668157</v>
          </cell>
          <cell r="L137">
            <v>69.691932726425563</v>
          </cell>
          <cell r="M137">
            <v>69.590296118948061</v>
          </cell>
          <cell r="N137">
            <v>69.578325942965819</v>
          </cell>
          <cell r="O137">
            <v>69.619816121617518</v>
          </cell>
          <cell r="P137">
            <v>69.559006412702502</v>
          </cell>
          <cell r="Q137">
            <v>69.549024830078778</v>
          </cell>
          <cell r="R137">
            <v>69.571209567953105</v>
          </cell>
          <cell r="S137">
            <v>69.537028386842081</v>
          </cell>
          <cell r="T137">
            <v>69.537028386842081</v>
          </cell>
          <cell r="U137">
            <v>69.537028386842081</v>
          </cell>
          <cell r="V137">
            <v>69.537028386842081</v>
          </cell>
          <cell r="W137">
            <v>69.537028386842081</v>
          </cell>
          <cell r="X137">
            <v>69.537028386842081</v>
          </cell>
          <cell r="Y137">
            <v>69.537028386842081</v>
          </cell>
          <cell r="Z137">
            <v>69.537028386842081</v>
          </cell>
          <cell r="AA137">
            <v>69.537028386842081</v>
          </cell>
          <cell r="AB137">
            <v>69.537028386842081</v>
          </cell>
          <cell r="AC137">
            <v>69.537028386842081</v>
          </cell>
          <cell r="AD137">
            <v>69.537028386842081</v>
          </cell>
          <cell r="AE137">
            <v>69.537028386842081</v>
          </cell>
          <cell r="AF137">
            <v>69.537028386842081</v>
          </cell>
        </row>
        <row r="138">
          <cell r="A138" t="str">
            <v>New Mexico</v>
          </cell>
          <cell r="B138">
            <v>69.128706084425104</v>
          </cell>
          <cell r="C138">
            <v>69.077983328072946</v>
          </cell>
          <cell r="D138">
            <v>69.073606624349495</v>
          </cell>
          <cell r="E138">
            <v>69.092901267173062</v>
          </cell>
          <cell r="F138">
            <v>69.076339488595039</v>
          </cell>
          <cell r="G138">
            <v>69.066800421233182</v>
          </cell>
          <cell r="H138">
            <v>69.082957056551123</v>
          </cell>
          <cell r="I138">
            <v>69.116460289262193</v>
          </cell>
          <cell r="J138">
            <v>69.085950052349673</v>
          </cell>
          <cell r="K138">
            <v>69.114444683045917</v>
          </cell>
          <cell r="L138">
            <v>69.0609902774939</v>
          </cell>
          <cell r="M138">
            <v>68.961123288181028</v>
          </cell>
          <cell r="N138">
            <v>68.949251000012652</v>
          </cell>
          <cell r="O138">
            <v>68.99040114396621</v>
          </cell>
          <cell r="P138">
            <v>68.930090092463999</v>
          </cell>
          <cell r="Q138">
            <v>68.920190268803466</v>
          </cell>
          <cell r="R138">
            <v>68.942193981959377</v>
          </cell>
          <cell r="S138">
            <v>68.908293117913672</v>
          </cell>
          <cell r="T138">
            <v>68.908293117913672</v>
          </cell>
          <cell r="U138">
            <v>68.908293117913672</v>
          </cell>
          <cell r="V138">
            <v>68.908293117913672</v>
          </cell>
          <cell r="W138">
            <v>68.908293117913672</v>
          </cell>
          <cell r="X138">
            <v>68.908293117913672</v>
          </cell>
          <cell r="Y138">
            <v>68.908293117913672</v>
          </cell>
          <cell r="Z138">
            <v>68.908293117913672</v>
          </cell>
          <cell r="AA138">
            <v>68.908293117913672</v>
          </cell>
          <cell r="AB138">
            <v>68.908293117913672</v>
          </cell>
          <cell r="AC138">
            <v>68.908293117913672</v>
          </cell>
          <cell r="AD138">
            <v>68.908293117913672</v>
          </cell>
          <cell r="AE138">
            <v>68.908293117913672</v>
          </cell>
          <cell r="AF138">
            <v>68.908293117913672</v>
          </cell>
        </row>
        <row r="139">
          <cell r="A139" t="str">
            <v>New York</v>
          </cell>
          <cell r="B139">
            <v>69.760211048019343</v>
          </cell>
          <cell r="C139">
            <v>69.709067096958151</v>
          </cell>
          <cell r="D139">
            <v>69.704653701747247</v>
          </cell>
          <cell r="E139">
            <v>69.724107415340242</v>
          </cell>
          <cell r="F139">
            <v>69.707408142256725</v>
          </cell>
          <cell r="G139">
            <v>69.697789323893787</v>
          </cell>
          <cell r="H139">
            <v>69.714081223503115</v>
          </cell>
          <cell r="I139">
            <v>69.747863566792972</v>
          </cell>
          <cell r="J139">
            <v>69.717101362598342</v>
          </cell>
          <cell r="K139">
            <v>69.745830600668157</v>
          </cell>
          <cell r="L139">
            <v>69.691932726425563</v>
          </cell>
          <cell r="M139">
            <v>69.590296118948061</v>
          </cell>
          <cell r="N139">
            <v>69.578325942965833</v>
          </cell>
          <cell r="O139">
            <v>69.619816121617504</v>
          </cell>
          <cell r="P139">
            <v>69.559006412702502</v>
          </cell>
          <cell r="Q139">
            <v>69.549024830078764</v>
          </cell>
          <cell r="R139">
            <v>69.571209567953119</v>
          </cell>
          <cell r="S139">
            <v>69.537028386842096</v>
          </cell>
          <cell r="T139">
            <v>69.537028386842096</v>
          </cell>
          <cell r="U139">
            <v>69.537028386842096</v>
          </cell>
          <cell r="V139">
            <v>69.537028386842096</v>
          </cell>
          <cell r="W139">
            <v>69.537028386842096</v>
          </cell>
          <cell r="X139">
            <v>69.537028386842096</v>
          </cell>
          <cell r="Y139">
            <v>69.537028386842096</v>
          </cell>
          <cell r="Z139">
            <v>69.537028386842096</v>
          </cell>
          <cell r="AA139">
            <v>69.537028386842096</v>
          </cell>
          <cell r="AB139">
            <v>69.537028386842096</v>
          </cell>
          <cell r="AC139">
            <v>69.537028386842096</v>
          </cell>
          <cell r="AD139">
            <v>69.537028386842096</v>
          </cell>
          <cell r="AE139">
            <v>69.537028386842096</v>
          </cell>
          <cell r="AF139">
            <v>69.537028386842096</v>
          </cell>
        </row>
        <row r="140">
          <cell r="A140" t="str">
            <v>North Carolina</v>
          </cell>
          <cell r="B140">
            <v>80.436432761131769</v>
          </cell>
          <cell r="C140">
            <v>80.377413030952013</v>
          </cell>
          <cell r="D140">
            <v>80.372320408006956</v>
          </cell>
          <cell r="E140">
            <v>80.394771171633778</v>
          </cell>
          <cell r="F140">
            <v>80.375500300465291</v>
          </cell>
          <cell r="G140">
            <v>80.364400880355831</v>
          </cell>
          <cell r="H140">
            <v>80.383200336963768</v>
          </cell>
          <cell r="I140">
            <v>80.422183860276832</v>
          </cell>
          <cell r="J140">
            <v>80.38668291198853</v>
          </cell>
          <cell r="K140">
            <v>80.419838551315181</v>
          </cell>
          <cell r="L140">
            <v>80.357640342473829</v>
          </cell>
          <cell r="M140">
            <v>80.241437612437039</v>
          </cell>
          <cell r="N140">
            <v>80.22762331497556</v>
          </cell>
          <cell r="O140">
            <v>80.275504592880395</v>
          </cell>
          <cell r="P140">
            <v>80.205328162368559</v>
          </cell>
          <cell r="Q140">
            <v>80.193808975256232</v>
          </cell>
          <cell r="R140">
            <v>80.219411945339317</v>
          </cell>
          <cell r="S140">
            <v>80.179965748154217</v>
          </cell>
          <cell r="T140">
            <v>80.179965748154217</v>
          </cell>
          <cell r="U140">
            <v>80.179965748154217</v>
          </cell>
          <cell r="V140">
            <v>80.179965748154217</v>
          </cell>
          <cell r="W140">
            <v>80.179965748154217</v>
          </cell>
          <cell r="X140">
            <v>80.179965748154217</v>
          </cell>
          <cell r="Y140">
            <v>80.179965748154217</v>
          </cell>
          <cell r="Z140">
            <v>80.179965748154217</v>
          </cell>
          <cell r="AA140">
            <v>80.179965748154217</v>
          </cell>
          <cell r="AB140">
            <v>80.179965748154217</v>
          </cell>
          <cell r="AC140">
            <v>80.179965748154217</v>
          </cell>
          <cell r="AD140">
            <v>80.179965748154217</v>
          </cell>
          <cell r="AE140">
            <v>80.179965748154217</v>
          </cell>
          <cell r="AF140">
            <v>80.179965748154217</v>
          </cell>
        </row>
        <row r="141">
          <cell r="A141" t="str">
            <v>North Dakota</v>
          </cell>
          <cell r="B141">
            <v>65.398318354947705</v>
          </cell>
          <cell r="C141">
            <v>65.350332747294246</v>
          </cell>
          <cell r="D141">
            <v>65.346192223340253</v>
          </cell>
          <cell r="E141">
            <v>65.364445670647356</v>
          </cell>
          <cell r="F141">
            <v>65.348777614215834</v>
          </cell>
          <cell r="G141">
            <v>65.339753302906161</v>
          </cell>
          <cell r="H141">
            <v>65.355038078796198</v>
          </cell>
          <cell r="I141">
            <v>65.386733378807747</v>
          </cell>
          <cell r="J141">
            <v>65.357869563763217</v>
          </cell>
          <cell r="K141">
            <v>65.384826540614583</v>
          </cell>
          <cell r="L141">
            <v>65.334256691563766</v>
          </cell>
          <cell r="M141">
            <v>65.239778817896394</v>
          </cell>
          <cell r="N141">
            <v>65.228547193218063</v>
          </cell>
          <cell r="O141">
            <v>65.267476754713684</v>
          </cell>
          <cell r="P141">
            <v>65.210420264438227</v>
          </cell>
          <cell r="Q141">
            <v>65.201054664297814</v>
          </cell>
          <cell r="R141">
            <v>65.221870992556688</v>
          </cell>
          <cell r="S141">
            <v>65.189799518563476</v>
          </cell>
          <cell r="T141">
            <v>65.189799518563476</v>
          </cell>
          <cell r="U141">
            <v>65.189799518563476</v>
          </cell>
          <cell r="V141">
            <v>65.189799518563476</v>
          </cell>
          <cell r="W141">
            <v>65.189799518563476</v>
          </cell>
          <cell r="X141">
            <v>65.189799518563476</v>
          </cell>
          <cell r="Y141">
            <v>65.189799518563476</v>
          </cell>
          <cell r="Z141">
            <v>65.189799518563476</v>
          </cell>
          <cell r="AA141">
            <v>65.189799518563476</v>
          </cell>
          <cell r="AB141">
            <v>65.189799518563476</v>
          </cell>
          <cell r="AC141">
            <v>65.189799518563476</v>
          </cell>
          <cell r="AD141">
            <v>65.189799518563476</v>
          </cell>
          <cell r="AE141">
            <v>65.189799518563476</v>
          </cell>
          <cell r="AF141">
            <v>65.189799518563476</v>
          </cell>
        </row>
        <row r="142">
          <cell r="A142" t="str">
            <v>Ohio</v>
          </cell>
          <cell r="B142">
            <v>65.398318354947676</v>
          </cell>
          <cell r="C142">
            <v>65.35033274729426</v>
          </cell>
          <cell r="D142">
            <v>65.346192223340253</v>
          </cell>
          <cell r="E142">
            <v>65.36444567064737</v>
          </cell>
          <cell r="F142">
            <v>65.34877761421582</v>
          </cell>
          <cell r="G142">
            <v>65.339753302906175</v>
          </cell>
          <cell r="H142">
            <v>65.355038078796198</v>
          </cell>
          <cell r="I142">
            <v>65.386733378807762</v>
          </cell>
          <cell r="J142">
            <v>65.357869563763231</v>
          </cell>
          <cell r="K142">
            <v>65.384826540614554</v>
          </cell>
          <cell r="L142">
            <v>65.334256691563766</v>
          </cell>
          <cell r="M142">
            <v>65.239778817896379</v>
          </cell>
          <cell r="N142">
            <v>65.228547193218091</v>
          </cell>
          <cell r="O142">
            <v>65.267476754713684</v>
          </cell>
          <cell r="P142">
            <v>65.210420264438241</v>
          </cell>
          <cell r="Q142">
            <v>65.201054664297814</v>
          </cell>
          <cell r="R142">
            <v>65.221870992556688</v>
          </cell>
          <cell r="S142">
            <v>65.189799518563461</v>
          </cell>
          <cell r="T142">
            <v>65.189799518563461</v>
          </cell>
          <cell r="U142">
            <v>65.189799518563461</v>
          </cell>
          <cell r="V142">
            <v>65.189799518563461</v>
          </cell>
          <cell r="W142">
            <v>65.189799518563461</v>
          </cell>
          <cell r="X142">
            <v>65.189799518563461</v>
          </cell>
          <cell r="Y142">
            <v>65.189799518563461</v>
          </cell>
          <cell r="Z142">
            <v>65.189799518563461</v>
          </cell>
          <cell r="AA142">
            <v>65.189799518563461</v>
          </cell>
          <cell r="AB142">
            <v>65.189799518563461</v>
          </cell>
          <cell r="AC142">
            <v>65.189799518563461</v>
          </cell>
          <cell r="AD142">
            <v>65.189799518563461</v>
          </cell>
          <cell r="AE142">
            <v>65.189799518563461</v>
          </cell>
          <cell r="AF142">
            <v>65.189799518563461</v>
          </cell>
        </row>
        <row r="143">
          <cell r="A143" t="str">
            <v>Oklahoma</v>
          </cell>
          <cell r="B143">
            <v>78.187146678824803</v>
          </cell>
          <cell r="C143">
            <v>78.129723002207001</v>
          </cell>
          <cell r="D143">
            <v>78.124768546032016</v>
          </cell>
          <cell r="E143">
            <v>78.14661366128469</v>
          </cell>
          <cell r="F143">
            <v>78.127863885236422</v>
          </cell>
          <cell r="G143">
            <v>78.117065319385304</v>
          </cell>
          <cell r="H143">
            <v>78.135354967657207</v>
          </cell>
          <cell r="I143">
            <v>78.173283105196134</v>
          </cell>
          <cell r="J143">
            <v>78.138740413227936</v>
          </cell>
          <cell r="K143">
            <v>78.171002022146581</v>
          </cell>
          <cell r="L143">
            <v>78.110485294106454</v>
          </cell>
          <cell r="M143">
            <v>77.998636902086616</v>
          </cell>
          <cell r="N143">
            <v>77.985195281094235</v>
          </cell>
          <cell r="O143">
            <v>78.031783872157789</v>
          </cell>
          <cell r="P143">
            <v>77.963502422498195</v>
          </cell>
          <cell r="Q143">
            <v>77.95229416832926</v>
          </cell>
          <cell r="R143">
            <v>77.97720694408838</v>
          </cell>
          <cell r="S143">
            <v>77.938825944107165</v>
          </cell>
          <cell r="T143">
            <v>77.938825944107165</v>
          </cell>
          <cell r="U143">
            <v>77.938825944107165</v>
          </cell>
          <cell r="V143">
            <v>77.938825944107165</v>
          </cell>
          <cell r="W143">
            <v>77.938825944107165</v>
          </cell>
          <cell r="X143">
            <v>77.938825944107165</v>
          </cell>
          <cell r="Y143">
            <v>77.938825944107165</v>
          </cell>
          <cell r="Z143">
            <v>77.938825944107165</v>
          </cell>
          <cell r="AA143">
            <v>77.938825944107165</v>
          </cell>
          <cell r="AB143">
            <v>77.938825944107165</v>
          </cell>
          <cell r="AC143">
            <v>77.938825944107165</v>
          </cell>
          <cell r="AD143">
            <v>77.938825944107165</v>
          </cell>
          <cell r="AE143">
            <v>77.938825944107165</v>
          </cell>
          <cell r="AF143">
            <v>77.938825944107165</v>
          </cell>
        </row>
        <row r="144">
          <cell r="A144" t="str">
            <v>Oregon</v>
          </cell>
          <cell r="B144">
            <v>69.12870608442509</v>
          </cell>
          <cell r="C144">
            <v>69.07798332807296</v>
          </cell>
          <cell r="D144">
            <v>69.07360662434948</v>
          </cell>
          <cell r="E144">
            <v>69.092901267173076</v>
          </cell>
          <cell r="F144">
            <v>69.076339488595025</v>
          </cell>
          <cell r="G144">
            <v>69.066800421233168</v>
          </cell>
          <cell r="H144">
            <v>69.082957056551137</v>
          </cell>
          <cell r="I144">
            <v>69.116460289262179</v>
          </cell>
          <cell r="J144">
            <v>69.085950052349673</v>
          </cell>
          <cell r="K144">
            <v>69.114444683045917</v>
          </cell>
          <cell r="L144">
            <v>69.0609902774939</v>
          </cell>
          <cell r="M144">
            <v>68.961123288181028</v>
          </cell>
          <cell r="N144">
            <v>68.949251000012652</v>
          </cell>
          <cell r="O144">
            <v>68.990401143966196</v>
          </cell>
          <cell r="P144">
            <v>68.930090092464027</v>
          </cell>
          <cell r="Q144">
            <v>68.920190268803452</v>
          </cell>
          <cell r="R144">
            <v>68.942193981959377</v>
          </cell>
          <cell r="S144">
            <v>68.908293117913672</v>
          </cell>
          <cell r="T144">
            <v>68.908293117913672</v>
          </cell>
          <cell r="U144">
            <v>68.908293117913672</v>
          </cell>
          <cell r="V144">
            <v>68.908293117913672</v>
          </cell>
          <cell r="W144">
            <v>68.908293117913672</v>
          </cell>
          <cell r="X144">
            <v>68.908293117913672</v>
          </cell>
          <cell r="Y144">
            <v>68.908293117913672</v>
          </cell>
          <cell r="Z144">
            <v>68.908293117913672</v>
          </cell>
          <cell r="AA144">
            <v>68.908293117913672</v>
          </cell>
          <cell r="AB144">
            <v>68.908293117913672</v>
          </cell>
          <cell r="AC144">
            <v>68.908293117913672</v>
          </cell>
          <cell r="AD144">
            <v>68.908293117913672</v>
          </cell>
          <cell r="AE144">
            <v>68.908293117913672</v>
          </cell>
          <cell r="AF144">
            <v>68.908293117913672</v>
          </cell>
        </row>
        <row r="145">
          <cell r="A145" t="str">
            <v>Pennsylvania</v>
          </cell>
          <cell r="B145">
            <v>69.760211048019357</v>
          </cell>
          <cell r="C145">
            <v>69.709067096958165</v>
          </cell>
          <cell r="D145">
            <v>69.704653701747262</v>
          </cell>
          <cell r="E145">
            <v>69.724107415340214</v>
          </cell>
          <cell r="F145">
            <v>69.707408142256725</v>
          </cell>
          <cell r="G145">
            <v>69.697789323893787</v>
          </cell>
          <cell r="H145">
            <v>69.714081223503115</v>
          </cell>
          <cell r="I145">
            <v>69.747863566792986</v>
          </cell>
          <cell r="J145">
            <v>69.717101362598342</v>
          </cell>
          <cell r="K145">
            <v>69.745830600668143</v>
          </cell>
          <cell r="L145">
            <v>69.691932726425549</v>
          </cell>
          <cell r="M145">
            <v>69.590296118948075</v>
          </cell>
          <cell r="N145">
            <v>69.578325942965819</v>
          </cell>
          <cell r="O145">
            <v>69.619816121617518</v>
          </cell>
          <cell r="P145">
            <v>69.559006412702516</v>
          </cell>
          <cell r="Q145">
            <v>69.549024830078764</v>
          </cell>
          <cell r="R145">
            <v>69.571209567953119</v>
          </cell>
          <cell r="S145">
            <v>69.537028386842067</v>
          </cell>
          <cell r="T145">
            <v>69.537028386842067</v>
          </cell>
          <cell r="U145">
            <v>69.537028386842067</v>
          </cell>
          <cell r="V145">
            <v>69.537028386842067</v>
          </cell>
          <cell r="W145">
            <v>69.537028386842067</v>
          </cell>
          <cell r="X145">
            <v>69.537028386842067</v>
          </cell>
          <cell r="Y145">
            <v>69.537028386842067</v>
          </cell>
          <cell r="Z145">
            <v>69.537028386842067</v>
          </cell>
          <cell r="AA145">
            <v>69.537028386842067</v>
          </cell>
          <cell r="AB145">
            <v>69.537028386842067</v>
          </cell>
          <cell r="AC145">
            <v>69.537028386842067</v>
          </cell>
          <cell r="AD145">
            <v>69.537028386842067</v>
          </cell>
          <cell r="AE145">
            <v>69.537028386842067</v>
          </cell>
          <cell r="AF145">
            <v>69.537028386842067</v>
          </cell>
        </row>
        <row r="146">
          <cell r="A146" t="str">
            <v>Rhode Island</v>
          </cell>
          <cell r="B146">
            <v>69.760211048019329</v>
          </cell>
          <cell r="C146">
            <v>69.709067096958151</v>
          </cell>
          <cell r="D146">
            <v>69.704653701747233</v>
          </cell>
          <cell r="E146">
            <v>69.724107415340228</v>
          </cell>
          <cell r="F146">
            <v>69.707408142256739</v>
          </cell>
          <cell r="G146">
            <v>69.697789323893801</v>
          </cell>
          <cell r="H146">
            <v>69.714081223503129</v>
          </cell>
          <cell r="I146">
            <v>69.747863566792972</v>
          </cell>
          <cell r="J146">
            <v>69.717101362598356</v>
          </cell>
          <cell r="K146">
            <v>69.745830600668157</v>
          </cell>
          <cell r="L146">
            <v>69.691932726425563</v>
          </cell>
          <cell r="M146">
            <v>69.590296118948075</v>
          </cell>
          <cell r="N146">
            <v>69.578325942965819</v>
          </cell>
          <cell r="O146">
            <v>69.619816121617518</v>
          </cell>
          <cell r="P146">
            <v>69.559006412702516</v>
          </cell>
          <cell r="Q146">
            <v>69.54902483007875</v>
          </cell>
          <cell r="R146">
            <v>69.571209567953119</v>
          </cell>
          <cell r="S146">
            <v>69.537028386842081</v>
          </cell>
          <cell r="T146">
            <v>69.537028386842081</v>
          </cell>
          <cell r="U146">
            <v>69.537028386842081</v>
          </cell>
          <cell r="V146">
            <v>69.537028386842081</v>
          </cell>
          <cell r="W146">
            <v>69.537028386842081</v>
          </cell>
          <cell r="X146">
            <v>69.537028386842081</v>
          </cell>
          <cell r="Y146">
            <v>69.537028386842081</v>
          </cell>
          <cell r="Z146">
            <v>69.537028386842081</v>
          </cell>
          <cell r="AA146">
            <v>69.537028386842081</v>
          </cell>
          <cell r="AB146">
            <v>69.537028386842081</v>
          </cell>
          <cell r="AC146">
            <v>69.537028386842081</v>
          </cell>
          <cell r="AD146">
            <v>69.537028386842081</v>
          </cell>
          <cell r="AE146">
            <v>69.537028386842081</v>
          </cell>
          <cell r="AF146">
            <v>69.537028386842081</v>
          </cell>
        </row>
        <row r="147">
          <cell r="A147" t="str">
            <v>South Carolina</v>
          </cell>
          <cell r="B147">
            <v>80.436432761131783</v>
          </cell>
          <cell r="C147">
            <v>80.377413030952042</v>
          </cell>
          <cell r="D147">
            <v>80.372320408006971</v>
          </cell>
          <cell r="E147">
            <v>80.394771171633764</v>
          </cell>
          <cell r="F147">
            <v>80.375500300465305</v>
          </cell>
          <cell r="G147">
            <v>80.364400880355831</v>
          </cell>
          <cell r="H147">
            <v>80.383200336963782</v>
          </cell>
          <cell r="I147">
            <v>80.422183860276817</v>
          </cell>
          <cell r="J147">
            <v>80.386682911988558</v>
          </cell>
          <cell r="K147">
            <v>80.419838551315195</v>
          </cell>
          <cell r="L147">
            <v>80.357640342473843</v>
          </cell>
          <cell r="M147">
            <v>80.241437612437025</v>
          </cell>
          <cell r="N147">
            <v>80.227623314975574</v>
          </cell>
          <cell r="O147">
            <v>80.275504592880395</v>
          </cell>
          <cell r="P147">
            <v>80.205328162368573</v>
          </cell>
          <cell r="Q147">
            <v>80.193808975256218</v>
          </cell>
          <cell r="R147">
            <v>80.219411945339331</v>
          </cell>
          <cell r="S147">
            <v>80.179965748154189</v>
          </cell>
          <cell r="T147">
            <v>80.179965748154189</v>
          </cell>
          <cell r="U147">
            <v>80.179965748154189</v>
          </cell>
          <cell r="V147">
            <v>80.179965748154189</v>
          </cell>
          <cell r="W147">
            <v>80.179965748154189</v>
          </cell>
          <cell r="X147">
            <v>80.179965748154189</v>
          </cell>
          <cell r="Y147">
            <v>80.179965748154189</v>
          </cell>
          <cell r="Z147">
            <v>80.179965748154189</v>
          </cell>
          <cell r="AA147">
            <v>80.179965748154189</v>
          </cell>
          <cell r="AB147">
            <v>80.179965748154189</v>
          </cell>
          <cell r="AC147">
            <v>80.179965748154189</v>
          </cell>
          <cell r="AD147">
            <v>80.179965748154189</v>
          </cell>
          <cell r="AE147">
            <v>80.179965748154189</v>
          </cell>
          <cell r="AF147">
            <v>80.179965748154189</v>
          </cell>
        </row>
        <row r="148">
          <cell r="A148" t="str">
            <v>South Dakota</v>
          </cell>
          <cell r="B148">
            <v>65.398318354947691</v>
          </cell>
          <cell r="C148">
            <v>65.35033274729426</v>
          </cell>
          <cell r="D148">
            <v>65.346192223340253</v>
          </cell>
          <cell r="E148">
            <v>65.364445670647356</v>
          </cell>
          <cell r="F148">
            <v>65.34877761421582</v>
          </cell>
          <cell r="G148">
            <v>65.339753302906175</v>
          </cell>
          <cell r="H148">
            <v>65.355038078796184</v>
          </cell>
          <cell r="I148">
            <v>65.386733378807776</v>
          </cell>
          <cell r="J148">
            <v>65.357869563763217</v>
          </cell>
          <cell r="K148">
            <v>65.384826540614554</v>
          </cell>
          <cell r="L148">
            <v>65.334256691563766</v>
          </cell>
          <cell r="M148">
            <v>65.239778817896379</v>
          </cell>
          <cell r="N148">
            <v>65.228547193218063</v>
          </cell>
          <cell r="O148">
            <v>65.267476754713684</v>
          </cell>
          <cell r="P148">
            <v>65.210420264438241</v>
          </cell>
          <cell r="Q148">
            <v>65.201054664297814</v>
          </cell>
          <cell r="R148">
            <v>65.221870992556674</v>
          </cell>
          <cell r="S148">
            <v>65.189799518563476</v>
          </cell>
          <cell r="T148">
            <v>65.189799518563476</v>
          </cell>
          <cell r="U148">
            <v>65.189799518563476</v>
          </cell>
          <cell r="V148">
            <v>65.189799518563476</v>
          </cell>
          <cell r="W148">
            <v>65.189799518563476</v>
          </cell>
          <cell r="X148">
            <v>65.189799518563476</v>
          </cell>
          <cell r="Y148">
            <v>65.189799518563476</v>
          </cell>
          <cell r="Z148">
            <v>65.189799518563476</v>
          </cell>
          <cell r="AA148">
            <v>65.189799518563476</v>
          </cell>
          <cell r="AB148">
            <v>65.189799518563476</v>
          </cell>
          <cell r="AC148">
            <v>65.189799518563476</v>
          </cell>
          <cell r="AD148">
            <v>65.189799518563476</v>
          </cell>
          <cell r="AE148">
            <v>65.189799518563476</v>
          </cell>
          <cell r="AF148">
            <v>65.189799518563476</v>
          </cell>
        </row>
        <row r="149">
          <cell r="A149" t="str">
            <v>Tennessee</v>
          </cell>
          <cell r="B149">
            <v>80.436432761131769</v>
          </cell>
          <cell r="C149">
            <v>80.377413030952013</v>
          </cell>
          <cell r="D149">
            <v>80.372320408006956</v>
          </cell>
          <cell r="E149">
            <v>80.394771171633778</v>
          </cell>
          <cell r="F149">
            <v>80.375500300465305</v>
          </cell>
          <cell r="G149">
            <v>80.364400880355817</v>
          </cell>
          <cell r="H149">
            <v>80.383200336963782</v>
          </cell>
          <cell r="I149">
            <v>80.422183860276832</v>
          </cell>
          <cell r="J149">
            <v>80.386682911988558</v>
          </cell>
          <cell r="K149">
            <v>80.419838551315195</v>
          </cell>
          <cell r="L149">
            <v>80.3576403424738</v>
          </cell>
          <cell r="M149">
            <v>80.241437612437039</v>
          </cell>
          <cell r="N149">
            <v>80.227623314975574</v>
          </cell>
          <cell r="O149">
            <v>80.275504592880409</v>
          </cell>
          <cell r="P149">
            <v>80.205328162368573</v>
          </cell>
          <cell r="Q149">
            <v>80.193808975256218</v>
          </cell>
          <cell r="R149">
            <v>80.219411945339331</v>
          </cell>
          <cell r="S149">
            <v>80.179965748154203</v>
          </cell>
          <cell r="T149">
            <v>80.179965748154203</v>
          </cell>
          <cell r="U149">
            <v>80.179965748154203</v>
          </cell>
          <cell r="V149">
            <v>80.179965748154203</v>
          </cell>
          <cell r="W149">
            <v>80.179965748154203</v>
          </cell>
          <cell r="X149">
            <v>80.179965748154203</v>
          </cell>
          <cell r="Y149">
            <v>80.179965748154203</v>
          </cell>
          <cell r="Z149">
            <v>80.179965748154203</v>
          </cell>
          <cell r="AA149">
            <v>80.179965748154203</v>
          </cell>
          <cell r="AB149">
            <v>80.179965748154203</v>
          </cell>
          <cell r="AC149">
            <v>80.179965748154203</v>
          </cell>
          <cell r="AD149">
            <v>80.179965748154203</v>
          </cell>
          <cell r="AE149">
            <v>80.179965748154203</v>
          </cell>
          <cell r="AF149">
            <v>80.179965748154203</v>
          </cell>
        </row>
        <row r="150">
          <cell r="A150" t="str">
            <v>Texas</v>
          </cell>
          <cell r="B150">
            <v>78.187146678824803</v>
          </cell>
          <cell r="C150">
            <v>78.129723002206987</v>
          </cell>
          <cell r="D150">
            <v>78.12476854603203</v>
          </cell>
          <cell r="E150">
            <v>78.146613661284661</v>
          </cell>
          <cell r="F150">
            <v>78.127863885236422</v>
          </cell>
          <cell r="G150">
            <v>78.11706531938529</v>
          </cell>
          <cell r="H150">
            <v>78.135354967657221</v>
          </cell>
          <cell r="I150">
            <v>78.17328310519612</v>
          </cell>
          <cell r="J150">
            <v>78.13874041322795</v>
          </cell>
          <cell r="K150">
            <v>78.171002022146567</v>
          </cell>
          <cell r="L150">
            <v>78.110485294106454</v>
          </cell>
          <cell r="M150">
            <v>77.998636902086602</v>
          </cell>
          <cell r="N150">
            <v>77.985195281094235</v>
          </cell>
          <cell r="O150">
            <v>78.031783872157789</v>
          </cell>
          <cell r="P150">
            <v>77.963502422498209</v>
          </cell>
          <cell r="Q150">
            <v>77.952294168329246</v>
          </cell>
          <cell r="R150">
            <v>77.977206944088394</v>
          </cell>
          <cell r="S150">
            <v>77.938825944107151</v>
          </cell>
          <cell r="T150">
            <v>77.938825944107151</v>
          </cell>
          <cell r="U150">
            <v>77.938825944107151</v>
          </cell>
          <cell r="V150">
            <v>77.938825944107151</v>
          </cell>
          <cell r="W150">
            <v>77.938825944107151</v>
          </cell>
          <cell r="X150">
            <v>77.938825944107151</v>
          </cell>
          <cell r="Y150">
            <v>77.938825944107151</v>
          </cell>
          <cell r="Z150">
            <v>77.938825944107151</v>
          </cell>
          <cell r="AA150">
            <v>77.938825944107151</v>
          </cell>
          <cell r="AB150">
            <v>77.938825944107151</v>
          </cell>
          <cell r="AC150">
            <v>77.938825944107151</v>
          </cell>
          <cell r="AD150">
            <v>77.938825944107151</v>
          </cell>
          <cell r="AE150">
            <v>77.938825944107151</v>
          </cell>
          <cell r="AF150">
            <v>77.938825944107151</v>
          </cell>
        </row>
        <row r="151">
          <cell r="A151" t="str">
            <v>Utah</v>
          </cell>
          <cell r="B151">
            <v>69.128706084425076</v>
          </cell>
          <cell r="C151">
            <v>69.07798332807296</v>
          </cell>
          <cell r="D151">
            <v>69.07360662434948</v>
          </cell>
          <cell r="E151">
            <v>69.092901267173062</v>
          </cell>
          <cell r="F151">
            <v>69.076339488595025</v>
          </cell>
          <cell r="G151">
            <v>69.066800421233182</v>
          </cell>
          <cell r="H151">
            <v>69.082957056551123</v>
          </cell>
          <cell r="I151">
            <v>69.116460289262207</v>
          </cell>
          <cell r="J151">
            <v>69.085950052349673</v>
          </cell>
          <cell r="K151">
            <v>69.114444683045932</v>
          </cell>
          <cell r="L151">
            <v>69.060990277493914</v>
          </cell>
          <cell r="M151">
            <v>68.961123288181014</v>
          </cell>
          <cell r="N151">
            <v>68.949251000012666</v>
          </cell>
          <cell r="O151">
            <v>68.990401143966196</v>
          </cell>
          <cell r="P151">
            <v>68.930090092464013</v>
          </cell>
          <cell r="Q151">
            <v>68.920190268803438</v>
          </cell>
          <cell r="R151">
            <v>68.942193981959406</v>
          </cell>
          <cell r="S151">
            <v>68.908293117913658</v>
          </cell>
          <cell r="T151">
            <v>68.908293117913658</v>
          </cell>
          <cell r="U151">
            <v>68.908293117913658</v>
          </cell>
          <cell r="V151">
            <v>68.908293117913658</v>
          </cell>
          <cell r="W151">
            <v>68.908293117913658</v>
          </cell>
          <cell r="X151">
            <v>68.908293117913658</v>
          </cell>
          <cell r="Y151">
            <v>68.908293117913658</v>
          </cell>
          <cell r="Z151">
            <v>68.908293117913658</v>
          </cell>
          <cell r="AA151">
            <v>68.908293117913658</v>
          </cell>
          <cell r="AB151">
            <v>68.908293117913658</v>
          </cell>
          <cell r="AC151">
            <v>68.908293117913658</v>
          </cell>
          <cell r="AD151">
            <v>68.908293117913658</v>
          </cell>
          <cell r="AE151">
            <v>68.908293117913658</v>
          </cell>
          <cell r="AF151">
            <v>68.908293117913658</v>
          </cell>
        </row>
        <row r="152">
          <cell r="A152" t="str">
            <v>Vermont</v>
          </cell>
          <cell r="B152">
            <v>69.760211048019329</v>
          </cell>
          <cell r="C152">
            <v>69.709067096958165</v>
          </cell>
          <cell r="D152">
            <v>69.704653701747247</v>
          </cell>
          <cell r="E152">
            <v>69.724107415340214</v>
          </cell>
          <cell r="F152">
            <v>69.707408142256725</v>
          </cell>
          <cell r="G152">
            <v>69.697789323893787</v>
          </cell>
          <cell r="H152">
            <v>69.714081223503143</v>
          </cell>
          <cell r="I152">
            <v>69.747863566792986</v>
          </cell>
          <cell r="J152">
            <v>69.717101362598342</v>
          </cell>
          <cell r="K152">
            <v>69.745830600668143</v>
          </cell>
          <cell r="L152">
            <v>69.691932726425563</v>
          </cell>
          <cell r="M152">
            <v>69.590296118948075</v>
          </cell>
          <cell r="N152">
            <v>69.578325942965819</v>
          </cell>
          <cell r="O152">
            <v>69.619816121617518</v>
          </cell>
          <cell r="P152">
            <v>69.559006412702516</v>
          </cell>
          <cell r="Q152">
            <v>69.549024830078778</v>
          </cell>
          <cell r="R152">
            <v>69.571209567953105</v>
          </cell>
          <cell r="S152">
            <v>69.537028386842081</v>
          </cell>
          <cell r="T152">
            <v>69.537028386842081</v>
          </cell>
          <cell r="U152">
            <v>69.537028386842081</v>
          </cell>
          <cell r="V152">
            <v>69.537028386842081</v>
          </cell>
          <cell r="W152">
            <v>69.537028386842081</v>
          </cell>
          <cell r="X152">
            <v>69.537028386842081</v>
          </cell>
          <cell r="Y152">
            <v>69.537028386842081</v>
          </cell>
          <cell r="Z152">
            <v>69.537028386842081</v>
          </cell>
          <cell r="AA152">
            <v>69.537028386842081</v>
          </cell>
          <cell r="AB152">
            <v>69.537028386842081</v>
          </cell>
          <cell r="AC152">
            <v>69.537028386842081</v>
          </cell>
          <cell r="AD152">
            <v>69.537028386842081</v>
          </cell>
          <cell r="AE152">
            <v>69.537028386842081</v>
          </cell>
          <cell r="AF152">
            <v>69.537028386842081</v>
          </cell>
        </row>
        <row r="153">
          <cell r="A153" t="str">
            <v>Virginia</v>
          </cell>
          <cell r="B153">
            <v>80.436432761131769</v>
          </cell>
          <cell r="C153">
            <v>80.377413030952027</v>
          </cell>
          <cell r="D153">
            <v>80.372320408006971</v>
          </cell>
          <cell r="E153">
            <v>80.394771171633778</v>
          </cell>
          <cell r="F153">
            <v>80.375500300465305</v>
          </cell>
          <cell r="G153">
            <v>80.364400880355817</v>
          </cell>
          <cell r="H153">
            <v>80.383200336963782</v>
          </cell>
          <cell r="I153">
            <v>80.422183860276832</v>
          </cell>
          <cell r="J153">
            <v>80.38668291198853</v>
          </cell>
          <cell r="K153">
            <v>80.419838551315209</v>
          </cell>
          <cell r="L153">
            <v>80.357640342473843</v>
          </cell>
          <cell r="M153">
            <v>80.241437612437025</v>
          </cell>
          <cell r="N153">
            <v>80.22762331497556</v>
          </cell>
          <cell r="O153">
            <v>80.275504592880409</v>
          </cell>
          <cell r="P153">
            <v>80.205328162368545</v>
          </cell>
          <cell r="Q153">
            <v>80.193808975256218</v>
          </cell>
          <cell r="R153">
            <v>80.219411945339331</v>
          </cell>
          <cell r="S153">
            <v>80.179965748154203</v>
          </cell>
          <cell r="T153">
            <v>80.179965748154203</v>
          </cell>
          <cell r="U153">
            <v>80.179965748154203</v>
          </cell>
          <cell r="V153">
            <v>80.179965748154203</v>
          </cell>
          <cell r="W153">
            <v>80.179965748154203</v>
          </cell>
          <cell r="X153">
            <v>80.179965748154203</v>
          </cell>
          <cell r="Y153">
            <v>80.179965748154203</v>
          </cell>
          <cell r="Z153">
            <v>80.179965748154203</v>
          </cell>
          <cell r="AA153">
            <v>80.179965748154203</v>
          </cell>
          <cell r="AB153">
            <v>80.179965748154203</v>
          </cell>
          <cell r="AC153">
            <v>80.179965748154203</v>
          </cell>
          <cell r="AD153">
            <v>80.179965748154203</v>
          </cell>
          <cell r="AE153">
            <v>80.179965748154203</v>
          </cell>
          <cell r="AF153">
            <v>80.179965748154203</v>
          </cell>
        </row>
        <row r="154">
          <cell r="A154" t="str">
            <v>Washington</v>
          </cell>
          <cell r="B154">
            <v>69.12870608442509</v>
          </cell>
          <cell r="C154">
            <v>69.077983328072946</v>
          </cell>
          <cell r="D154">
            <v>69.073606624349495</v>
          </cell>
          <cell r="E154">
            <v>69.092901267173076</v>
          </cell>
          <cell r="F154">
            <v>69.076339488595025</v>
          </cell>
          <cell r="G154">
            <v>69.066800421233168</v>
          </cell>
          <cell r="H154">
            <v>69.082957056551123</v>
          </cell>
          <cell r="I154">
            <v>69.116460289262207</v>
          </cell>
          <cell r="J154">
            <v>69.085950052349673</v>
          </cell>
          <cell r="K154">
            <v>69.114444683045903</v>
          </cell>
          <cell r="L154">
            <v>69.060990277493914</v>
          </cell>
          <cell r="M154">
            <v>68.961123288181014</v>
          </cell>
          <cell r="N154">
            <v>68.949251000012652</v>
          </cell>
          <cell r="O154">
            <v>68.990401143966196</v>
          </cell>
          <cell r="P154">
            <v>68.930090092464013</v>
          </cell>
          <cell r="Q154">
            <v>68.920190268803452</v>
          </cell>
          <cell r="R154">
            <v>68.942193981959392</v>
          </cell>
          <cell r="S154">
            <v>68.908293117913672</v>
          </cell>
          <cell r="T154">
            <v>68.908293117913672</v>
          </cell>
          <cell r="U154">
            <v>68.908293117913672</v>
          </cell>
          <cell r="V154">
            <v>68.908293117913672</v>
          </cell>
          <cell r="W154">
            <v>68.908293117913672</v>
          </cell>
          <cell r="X154">
            <v>68.908293117913672</v>
          </cell>
          <cell r="Y154">
            <v>68.908293117913672</v>
          </cell>
          <cell r="Z154">
            <v>68.908293117913672</v>
          </cell>
          <cell r="AA154">
            <v>68.908293117913672</v>
          </cell>
          <cell r="AB154">
            <v>68.908293117913672</v>
          </cell>
          <cell r="AC154">
            <v>68.908293117913672</v>
          </cell>
          <cell r="AD154">
            <v>68.908293117913672</v>
          </cell>
          <cell r="AE154">
            <v>68.908293117913672</v>
          </cell>
          <cell r="AF154">
            <v>68.908293117913672</v>
          </cell>
        </row>
        <row r="155">
          <cell r="A155" t="str">
            <v>West Virginia</v>
          </cell>
          <cell r="B155">
            <v>69.760211048019343</v>
          </cell>
          <cell r="C155">
            <v>69.709067096958151</v>
          </cell>
          <cell r="D155">
            <v>69.704653701747247</v>
          </cell>
          <cell r="E155">
            <v>69.724107415340228</v>
          </cell>
          <cell r="F155">
            <v>69.707408142256696</v>
          </cell>
          <cell r="G155">
            <v>69.697789323893801</v>
          </cell>
          <cell r="H155">
            <v>69.714081223503129</v>
          </cell>
          <cell r="I155">
            <v>69.747863566792986</v>
          </cell>
          <cell r="J155">
            <v>69.717101362598356</v>
          </cell>
          <cell r="K155">
            <v>69.745830600668157</v>
          </cell>
          <cell r="L155">
            <v>69.691932726425563</v>
          </cell>
          <cell r="M155">
            <v>69.590296118948075</v>
          </cell>
          <cell r="N155">
            <v>69.578325942965833</v>
          </cell>
          <cell r="O155">
            <v>69.619816121617504</v>
          </cell>
          <cell r="P155">
            <v>69.559006412702502</v>
          </cell>
          <cell r="Q155">
            <v>69.549024830078764</v>
          </cell>
          <cell r="R155">
            <v>69.571209567953119</v>
          </cell>
          <cell r="S155">
            <v>69.537028386842081</v>
          </cell>
          <cell r="T155">
            <v>69.537028386842081</v>
          </cell>
          <cell r="U155">
            <v>69.537028386842081</v>
          </cell>
          <cell r="V155">
            <v>69.537028386842081</v>
          </cell>
          <cell r="W155">
            <v>69.537028386842081</v>
          </cell>
          <cell r="X155">
            <v>69.537028386842081</v>
          </cell>
          <cell r="Y155">
            <v>69.537028386842081</v>
          </cell>
          <cell r="Z155">
            <v>69.537028386842081</v>
          </cell>
          <cell r="AA155">
            <v>69.537028386842081</v>
          </cell>
          <cell r="AB155">
            <v>69.537028386842081</v>
          </cell>
          <cell r="AC155">
            <v>69.537028386842081</v>
          </cell>
          <cell r="AD155">
            <v>69.537028386842081</v>
          </cell>
          <cell r="AE155">
            <v>69.537028386842081</v>
          </cell>
          <cell r="AF155">
            <v>69.537028386842081</v>
          </cell>
        </row>
        <row r="156">
          <cell r="A156" t="str">
            <v>Wisconsin</v>
          </cell>
          <cell r="B156">
            <v>65.398318354947719</v>
          </cell>
          <cell r="C156">
            <v>65.350332747294274</v>
          </cell>
          <cell r="D156">
            <v>65.346192223340239</v>
          </cell>
          <cell r="E156">
            <v>65.364445670647385</v>
          </cell>
          <cell r="F156">
            <v>65.34877761421582</v>
          </cell>
          <cell r="G156">
            <v>65.339753302906161</v>
          </cell>
          <cell r="H156">
            <v>65.355038078796198</v>
          </cell>
          <cell r="I156">
            <v>65.386733378807747</v>
          </cell>
          <cell r="J156">
            <v>65.357869563763217</v>
          </cell>
          <cell r="K156">
            <v>65.384826540614569</v>
          </cell>
          <cell r="L156">
            <v>65.334256691563766</v>
          </cell>
          <cell r="M156">
            <v>65.239778817896379</v>
          </cell>
          <cell r="N156">
            <v>65.228547193218091</v>
          </cell>
          <cell r="O156">
            <v>65.267476754713684</v>
          </cell>
          <cell r="P156">
            <v>65.210420264438241</v>
          </cell>
          <cell r="Q156">
            <v>65.201054664297828</v>
          </cell>
          <cell r="R156">
            <v>65.221870992556674</v>
          </cell>
          <cell r="S156">
            <v>65.189799518563476</v>
          </cell>
          <cell r="T156">
            <v>65.189799518563476</v>
          </cell>
          <cell r="U156">
            <v>65.189799518563476</v>
          </cell>
          <cell r="V156">
            <v>65.189799518563476</v>
          </cell>
          <cell r="W156">
            <v>65.189799518563476</v>
          </cell>
          <cell r="X156">
            <v>65.189799518563476</v>
          </cell>
          <cell r="Y156">
            <v>65.189799518563476</v>
          </cell>
          <cell r="Z156">
            <v>65.189799518563476</v>
          </cell>
          <cell r="AA156">
            <v>65.189799518563476</v>
          </cell>
          <cell r="AB156">
            <v>65.189799518563476</v>
          </cell>
          <cell r="AC156">
            <v>65.189799518563476</v>
          </cell>
          <cell r="AD156">
            <v>65.189799518563476</v>
          </cell>
          <cell r="AE156">
            <v>65.189799518563476</v>
          </cell>
          <cell r="AF156">
            <v>65.189799518563476</v>
          </cell>
        </row>
        <row r="157">
          <cell r="A157" t="str">
            <v>Wyoming</v>
          </cell>
          <cell r="B157">
            <v>65.398318354947705</v>
          </cell>
          <cell r="C157">
            <v>65.35033274729426</v>
          </cell>
          <cell r="D157">
            <v>65.346192223340239</v>
          </cell>
          <cell r="E157">
            <v>65.36444567064737</v>
          </cell>
          <cell r="F157">
            <v>65.348777614215834</v>
          </cell>
          <cell r="G157">
            <v>65.339753302906161</v>
          </cell>
          <cell r="H157">
            <v>65.355038078796184</v>
          </cell>
          <cell r="I157">
            <v>65.386733378807733</v>
          </cell>
          <cell r="J157">
            <v>65.357869563763231</v>
          </cell>
          <cell r="K157">
            <v>65.384826540614569</v>
          </cell>
          <cell r="L157">
            <v>65.33425669156378</v>
          </cell>
          <cell r="M157">
            <v>65.239778817896379</v>
          </cell>
          <cell r="N157">
            <v>65.228547193218091</v>
          </cell>
          <cell r="O157">
            <v>65.267476754713698</v>
          </cell>
          <cell r="P157">
            <v>65.210420264438241</v>
          </cell>
          <cell r="Q157">
            <v>65.201054664297814</v>
          </cell>
          <cell r="R157">
            <v>65.221870992556674</v>
          </cell>
          <cell r="S157">
            <v>65.189799518563476</v>
          </cell>
          <cell r="T157">
            <v>65.189799518563476</v>
          </cell>
          <cell r="U157">
            <v>65.189799518563476</v>
          </cell>
          <cell r="V157">
            <v>65.189799518563476</v>
          </cell>
          <cell r="W157">
            <v>65.189799518563476</v>
          </cell>
          <cell r="X157">
            <v>65.189799518563476</v>
          </cell>
          <cell r="Y157">
            <v>65.189799518563476</v>
          </cell>
          <cell r="Z157">
            <v>65.189799518563476</v>
          </cell>
          <cell r="AA157">
            <v>65.189799518563476</v>
          </cell>
          <cell r="AB157">
            <v>65.189799518563476</v>
          </cell>
          <cell r="AC157">
            <v>65.189799518563476</v>
          </cell>
          <cell r="AD157">
            <v>65.189799518563476</v>
          </cell>
          <cell r="AE157">
            <v>65.189799518563476</v>
          </cell>
          <cell r="AF157">
            <v>65.189799518563476</v>
          </cell>
        </row>
        <row r="159">
          <cell r="A159" t="str">
            <v>Dairy Replacements Total</v>
          </cell>
          <cell r="B159">
            <v>1990</v>
          </cell>
          <cell r="C159">
            <v>1991</v>
          </cell>
          <cell r="D159">
            <v>1992</v>
          </cell>
          <cell r="E159">
            <v>1993</v>
          </cell>
          <cell r="F159">
            <v>1994</v>
          </cell>
          <cell r="G159">
            <v>1995</v>
          </cell>
          <cell r="H159">
            <v>1996</v>
          </cell>
          <cell r="I159">
            <v>1997</v>
          </cell>
          <cell r="J159">
            <v>1998</v>
          </cell>
          <cell r="K159">
            <v>1999</v>
          </cell>
          <cell r="L159">
            <v>2000</v>
          </cell>
          <cell r="M159">
            <v>2001</v>
          </cell>
          <cell r="N159">
            <v>2002</v>
          </cell>
          <cell r="O159">
            <v>2003</v>
          </cell>
          <cell r="P159">
            <v>2004</v>
          </cell>
          <cell r="Q159">
            <v>2005</v>
          </cell>
          <cell r="R159">
            <v>2006</v>
          </cell>
          <cell r="S159">
            <v>2007</v>
          </cell>
          <cell r="T159">
            <v>2008</v>
          </cell>
          <cell r="U159">
            <v>2009</v>
          </cell>
          <cell r="V159">
            <v>2010</v>
          </cell>
          <cell r="W159">
            <v>2011</v>
          </cell>
          <cell r="X159">
            <v>2012</v>
          </cell>
          <cell r="Y159">
            <v>2013</v>
          </cell>
          <cell r="Z159">
            <v>2014</v>
          </cell>
          <cell r="AA159">
            <v>2015</v>
          </cell>
          <cell r="AB159">
            <v>2016</v>
          </cell>
          <cell r="AC159">
            <v>2017</v>
          </cell>
          <cell r="AD159">
            <v>2018</v>
          </cell>
          <cell r="AE159">
            <v>2019</v>
          </cell>
          <cell r="AF159">
            <v>2020</v>
          </cell>
        </row>
        <row r="160">
          <cell r="A160" t="str">
            <v>Alabama</v>
          </cell>
          <cell r="B160">
            <v>72.413326629084423</v>
          </cell>
          <cell r="C160">
            <v>72.267763861597601</v>
          </cell>
          <cell r="D160">
            <v>72.254413249327655</v>
          </cell>
          <cell r="E160">
            <v>72.350762297460506</v>
          </cell>
          <cell r="F160">
            <v>72.292391132043292</v>
          </cell>
          <cell r="G160">
            <v>72.311407341445246</v>
          </cell>
          <cell r="H160">
            <v>72.334024961840456</v>
          </cell>
          <cell r="I160">
            <v>72.405535848512699</v>
          </cell>
          <cell r="J160">
            <v>72.238095209812911</v>
          </cell>
          <cell r="K160">
            <v>72.392048414539616</v>
          </cell>
          <cell r="L160">
            <v>72.235780687428203</v>
          </cell>
          <cell r="M160">
            <v>72.209538020847447</v>
          </cell>
          <cell r="N160">
            <v>72.144954730330824</v>
          </cell>
          <cell r="O160">
            <v>72.313442032928933</v>
          </cell>
          <cell r="P160">
            <v>72.096971787375011</v>
          </cell>
          <cell r="Q160">
            <v>72.037790895741765</v>
          </cell>
          <cell r="R160">
            <v>72.159194941673235</v>
          </cell>
          <cell r="S160">
            <v>72.041558853077021</v>
          </cell>
          <cell r="T160">
            <v>72.041558853077021</v>
          </cell>
          <cell r="U160">
            <v>72.041558853077021</v>
          </cell>
          <cell r="V160">
            <v>72.041558853077021</v>
          </cell>
          <cell r="W160">
            <v>72.041558853077021</v>
          </cell>
          <cell r="X160">
            <v>72.041558853077021</v>
          </cell>
          <cell r="Y160">
            <v>72.041558853077021</v>
          </cell>
          <cell r="Z160">
            <v>72.041558853077021</v>
          </cell>
          <cell r="AA160">
            <v>72.041558853077021</v>
          </cell>
          <cell r="AB160">
            <v>72.041558853077021</v>
          </cell>
          <cell r="AC160">
            <v>72.041558853077021</v>
          </cell>
          <cell r="AD160">
            <v>72.041558853077021</v>
          </cell>
          <cell r="AE160">
            <v>72.041558853077021</v>
          </cell>
          <cell r="AF160">
            <v>72.041558853077021</v>
          </cell>
        </row>
        <row r="161">
          <cell r="A161" t="str">
            <v>Alaska</v>
          </cell>
          <cell r="B161">
            <v>62.233485515239742</v>
          </cell>
          <cell r="C161">
            <v>62.10838591267138</v>
          </cell>
          <cell r="D161">
            <v>62.096912124986183</v>
          </cell>
          <cell r="E161">
            <v>62.179716456322851</v>
          </cell>
          <cell r="F161">
            <v>62.129551089716983</v>
          </cell>
          <cell r="G161">
            <v>62.145894006793974</v>
          </cell>
          <cell r="H161">
            <v>62.165332049717577</v>
          </cell>
          <cell r="I161">
            <v>62.226789959981716</v>
          </cell>
          <cell r="J161">
            <v>62.082888069980704</v>
          </cell>
          <cell r="K161">
            <v>62.215198584942399</v>
          </cell>
          <cell r="L161">
            <v>62.080898922374772</v>
          </cell>
          <cell r="M161">
            <v>62.058345441039734</v>
          </cell>
          <cell r="N161">
            <v>62.002841247792567</v>
          </cell>
          <cell r="O161">
            <v>62.147642662032915</v>
          </cell>
          <cell r="P161">
            <v>61.96160373082671</v>
          </cell>
          <cell r="Q161">
            <v>61.910742469044031</v>
          </cell>
          <cell r="R161">
            <v>62.015079575011676</v>
          </cell>
          <cell r="S161">
            <v>61.913980728203803</v>
          </cell>
          <cell r="T161">
            <v>61.913980728203803</v>
          </cell>
          <cell r="U161">
            <v>61.913980728203803</v>
          </cell>
          <cell r="V161">
            <v>61.913980728203803</v>
          </cell>
          <cell r="W161">
            <v>61.913980728203803</v>
          </cell>
          <cell r="X161">
            <v>61.913980728203803</v>
          </cell>
          <cell r="Y161">
            <v>61.913980728203803</v>
          </cell>
          <cell r="Z161">
            <v>61.913980728203803</v>
          </cell>
          <cell r="AA161">
            <v>61.913980728203803</v>
          </cell>
          <cell r="AB161">
            <v>61.913980728203803</v>
          </cell>
          <cell r="AC161">
            <v>61.913980728203803</v>
          </cell>
          <cell r="AD161">
            <v>61.913980728203803</v>
          </cell>
          <cell r="AE161">
            <v>61.913980728203803</v>
          </cell>
          <cell r="AF161">
            <v>61.913980728203803</v>
          </cell>
        </row>
        <row r="162">
          <cell r="A162" t="str">
            <v>Arizona</v>
          </cell>
          <cell r="B162">
            <v>62.233485515239749</v>
          </cell>
          <cell r="C162">
            <v>62.108385912671409</v>
          </cell>
          <cell r="D162">
            <v>62.096912124986204</v>
          </cell>
          <cell r="E162">
            <v>62.179716456322843</v>
          </cell>
          <cell r="F162">
            <v>62.129551089716969</v>
          </cell>
          <cell r="G162">
            <v>62.145894006793988</v>
          </cell>
          <cell r="H162">
            <v>62.165332049717584</v>
          </cell>
          <cell r="I162">
            <v>62.226789959981694</v>
          </cell>
          <cell r="J162">
            <v>62.08288806998069</v>
          </cell>
          <cell r="K162">
            <v>62.215198584942407</v>
          </cell>
          <cell r="L162">
            <v>62.08089892237475</v>
          </cell>
          <cell r="M162">
            <v>62.058345441039741</v>
          </cell>
          <cell r="N162">
            <v>62.002841247792546</v>
          </cell>
          <cell r="O162">
            <v>62.147642662032929</v>
          </cell>
          <cell r="P162">
            <v>61.961603730826702</v>
          </cell>
          <cell r="Q162">
            <v>61.910742469044045</v>
          </cell>
          <cell r="R162">
            <v>62.015079575011669</v>
          </cell>
          <cell r="S162">
            <v>61.913980728203796</v>
          </cell>
          <cell r="T162">
            <v>61.913980728203796</v>
          </cell>
          <cell r="U162">
            <v>61.913980728203796</v>
          </cell>
          <cell r="V162">
            <v>61.913980728203796</v>
          </cell>
          <cell r="W162">
            <v>61.913980728203796</v>
          </cell>
          <cell r="X162">
            <v>61.913980728203796</v>
          </cell>
          <cell r="Y162">
            <v>61.913980728203796</v>
          </cell>
          <cell r="Z162">
            <v>61.913980728203796</v>
          </cell>
          <cell r="AA162">
            <v>61.913980728203796</v>
          </cell>
          <cell r="AB162">
            <v>61.913980728203796</v>
          </cell>
          <cell r="AC162">
            <v>61.913980728203796</v>
          </cell>
          <cell r="AD162">
            <v>61.913980728203796</v>
          </cell>
          <cell r="AE162">
            <v>61.913980728203796</v>
          </cell>
          <cell r="AF162">
            <v>61.913980728203796</v>
          </cell>
        </row>
        <row r="163">
          <cell r="A163" t="str">
            <v>Arkansas</v>
          </cell>
          <cell r="B163">
            <v>70.389610749776281</v>
          </cell>
          <cell r="C163">
            <v>70.248089207054562</v>
          </cell>
          <cell r="D163">
            <v>70.235110259844461</v>
          </cell>
          <cell r="E163">
            <v>70.328776607402219</v>
          </cell>
          <cell r="F163">
            <v>70.272028678605565</v>
          </cell>
          <cell r="G163">
            <v>70.290506440738753</v>
          </cell>
          <cell r="H163">
            <v>70.312499597554222</v>
          </cell>
          <cell r="I163">
            <v>70.382029323606972</v>
          </cell>
          <cell r="J163">
            <v>70.219254351090228</v>
          </cell>
          <cell r="K163">
            <v>70.36891971020664</v>
          </cell>
          <cell r="L163">
            <v>70.21699027877284</v>
          </cell>
          <cell r="M163">
            <v>70.192253956850735</v>
          </cell>
          <cell r="N163">
            <v>70.129468030332333</v>
          </cell>
          <cell r="O163">
            <v>70.293273026183158</v>
          </cell>
          <cell r="P163">
            <v>70.082813538812758</v>
          </cell>
          <cell r="Q163">
            <v>70.025280866025426</v>
          </cell>
          <cell r="R163">
            <v>70.143306739450821</v>
          </cell>
          <cell r="S163">
            <v>70.028936467434576</v>
          </cell>
          <cell r="T163">
            <v>70.028936467434576</v>
          </cell>
          <cell r="U163">
            <v>70.028936467434576</v>
          </cell>
          <cell r="V163">
            <v>70.028936467434576</v>
          </cell>
          <cell r="W163">
            <v>70.028936467434576</v>
          </cell>
          <cell r="X163">
            <v>70.028936467434576</v>
          </cell>
          <cell r="Y163">
            <v>70.028936467434576</v>
          </cell>
          <cell r="Z163">
            <v>70.028936467434576</v>
          </cell>
          <cell r="AA163">
            <v>70.028936467434576</v>
          </cell>
          <cell r="AB163">
            <v>70.028936467434576</v>
          </cell>
          <cell r="AC163">
            <v>70.028936467434576</v>
          </cell>
          <cell r="AD163">
            <v>70.028936467434576</v>
          </cell>
          <cell r="AE163">
            <v>70.028936467434576</v>
          </cell>
          <cell r="AF163">
            <v>70.028936467434576</v>
          </cell>
        </row>
        <row r="164">
          <cell r="A164" t="str">
            <v>California</v>
          </cell>
          <cell r="B164">
            <v>62.233485515239757</v>
          </cell>
          <cell r="C164">
            <v>62.108385912671388</v>
          </cell>
          <cell r="D164">
            <v>62.096912124986183</v>
          </cell>
          <cell r="E164">
            <v>62.179716456322865</v>
          </cell>
          <cell r="F164">
            <v>62.129551089716969</v>
          </cell>
          <cell r="G164">
            <v>62.145894006793988</v>
          </cell>
          <cell r="H164">
            <v>62.16533204971757</v>
          </cell>
          <cell r="I164">
            <v>62.226789959981701</v>
          </cell>
          <cell r="J164">
            <v>62.082888069980683</v>
          </cell>
          <cell r="K164">
            <v>62.215198584942399</v>
          </cell>
          <cell r="L164">
            <v>62.080898922374757</v>
          </cell>
          <cell r="M164">
            <v>62.058345441039734</v>
          </cell>
          <cell r="N164">
            <v>62.002841247792546</v>
          </cell>
          <cell r="O164">
            <v>62.147642662032915</v>
          </cell>
          <cell r="P164">
            <v>61.961603730826717</v>
          </cell>
          <cell r="Q164">
            <v>61.910742469044038</v>
          </cell>
          <cell r="R164">
            <v>62.015079575011669</v>
          </cell>
          <cell r="S164">
            <v>61.913980728203818</v>
          </cell>
          <cell r="T164">
            <v>61.913980728203818</v>
          </cell>
          <cell r="U164">
            <v>61.913980728203818</v>
          </cell>
          <cell r="V164">
            <v>61.913980728203818</v>
          </cell>
          <cell r="W164">
            <v>61.913980728203818</v>
          </cell>
          <cell r="X164">
            <v>61.913980728203818</v>
          </cell>
          <cell r="Y164">
            <v>61.913980728203818</v>
          </cell>
          <cell r="Z164">
            <v>61.913980728203818</v>
          </cell>
          <cell r="AA164">
            <v>61.913980728203818</v>
          </cell>
          <cell r="AB164">
            <v>61.913980728203818</v>
          </cell>
          <cell r="AC164">
            <v>61.913980728203818</v>
          </cell>
          <cell r="AD164">
            <v>61.913980728203818</v>
          </cell>
          <cell r="AE164">
            <v>61.913980728203818</v>
          </cell>
          <cell r="AF164">
            <v>61.913980728203818</v>
          </cell>
        </row>
        <row r="165">
          <cell r="A165" t="str">
            <v>Colorado</v>
          </cell>
          <cell r="B165">
            <v>58.875184110825593</v>
          </cell>
          <cell r="C165">
            <v>58.756835249719288</v>
          </cell>
          <cell r="D165">
            <v>58.745980621269318</v>
          </cell>
          <cell r="E165">
            <v>58.824316588028324</v>
          </cell>
          <cell r="F165">
            <v>58.776858291735678</v>
          </cell>
          <cell r="G165">
            <v>58.792319297074698</v>
          </cell>
          <cell r="H165">
            <v>58.810708406191829</v>
          </cell>
          <cell r="I165">
            <v>58.868849867366819</v>
          </cell>
          <cell r="J165">
            <v>58.732713345403376</v>
          </cell>
          <cell r="K165">
            <v>58.857883996921245</v>
          </cell>
          <cell r="L165">
            <v>58.730831538036284</v>
          </cell>
          <cell r="M165">
            <v>58.709495108701738</v>
          </cell>
          <cell r="N165">
            <v>58.656986084511672</v>
          </cell>
          <cell r="O165">
            <v>58.793973589748269</v>
          </cell>
          <cell r="P165">
            <v>58.617973864907754</v>
          </cell>
          <cell r="Q165">
            <v>58.569857225983057</v>
          </cell>
          <cell r="R165">
            <v>58.668563995699984</v>
          </cell>
          <cell r="S165">
            <v>58.572920739180979</v>
          </cell>
          <cell r="T165">
            <v>58.572920739180979</v>
          </cell>
          <cell r="U165">
            <v>58.572920739180979</v>
          </cell>
          <cell r="V165">
            <v>58.572920739180979</v>
          </cell>
          <cell r="W165">
            <v>58.572920739180979</v>
          </cell>
          <cell r="X165">
            <v>58.572920739180979</v>
          </cell>
          <cell r="Y165">
            <v>58.572920739180979</v>
          </cell>
          <cell r="Z165">
            <v>58.572920739180979</v>
          </cell>
          <cell r="AA165">
            <v>58.572920739180979</v>
          </cell>
          <cell r="AB165">
            <v>58.572920739180979</v>
          </cell>
          <cell r="AC165">
            <v>58.572920739180979</v>
          </cell>
          <cell r="AD165">
            <v>58.572920739180979</v>
          </cell>
          <cell r="AE165">
            <v>58.572920739180979</v>
          </cell>
          <cell r="AF165">
            <v>58.572920739180979</v>
          </cell>
        </row>
        <row r="166">
          <cell r="A166" t="str">
            <v>Connecticut</v>
          </cell>
          <cell r="B166">
            <v>62.801057790893147</v>
          </cell>
          <cell r="C166">
            <v>62.674838052454191</v>
          </cell>
          <cell r="D166">
            <v>62.663260741338753</v>
          </cell>
          <cell r="E166">
            <v>62.746812538989907</v>
          </cell>
          <cell r="F166">
            <v>62.69619590552314</v>
          </cell>
          <cell r="G166">
            <v>62.712693307118549</v>
          </cell>
          <cell r="H166">
            <v>62.732302709508026</v>
          </cell>
          <cell r="I166">
            <v>62.794307668207416</v>
          </cell>
          <cell r="J166">
            <v>62.649104057175606</v>
          </cell>
          <cell r="K166">
            <v>62.782609888053962</v>
          </cell>
          <cell r="L166">
            <v>62.647107812310992</v>
          </cell>
          <cell r="M166">
            <v>62.623748897543024</v>
          </cell>
          <cell r="N166">
            <v>62.567744344558456</v>
          </cell>
          <cell r="O166">
            <v>62.713845898987856</v>
          </cell>
          <cell r="P166">
            <v>62.526140450178445</v>
          </cell>
          <cell r="Q166">
            <v>62.474819749184036</v>
          </cell>
          <cell r="R166">
            <v>62.580097028641497</v>
          </cell>
          <cell r="S166">
            <v>62.478093014615439</v>
          </cell>
          <cell r="T166">
            <v>62.478093014615439</v>
          </cell>
          <cell r="U166">
            <v>62.478093014615439</v>
          </cell>
          <cell r="V166">
            <v>62.478093014615439</v>
          </cell>
          <cell r="W166">
            <v>62.478093014615439</v>
          </cell>
          <cell r="X166">
            <v>62.478093014615439</v>
          </cell>
          <cell r="Y166">
            <v>62.478093014615439</v>
          </cell>
          <cell r="Z166">
            <v>62.478093014615439</v>
          </cell>
          <cell r="AA166">
            <v>62.478093014615439</v>
          </cell>
          <cell r="AB166">
            <v>62.478093014615439</v>
          </cell>
          <cell r="AC166">
            <v>62.478093014615439</v>
          </cell>
          <cell r="AD166">
            <v>62.478093014615439</v>
          </cell>
          <cell r="AE166">
            <v>62.478093014615439</v>
          </cell>
          <cell r="AF166">
            <v>62.478093014615439</v>
          </cell>
        </row>
        <row r="167">
          <cell r="A167" t="str">
            <v>Delaware</v>
          </cell>
          <cell r="B167">
            <v>62.801057790893132</v>
          </cell>
          <cell r="C167">
            <v>62.674838052454191</v>
          </cell>
          <cell r="D167">
            <v>62.663260741338753</v>
          </cell>
          <cell r="E167">
            <v>62.7468125389899</v>
          </cell>
          <cell r="F167">
            <v>62.696195905523147</v>
          </cell>
          <cell r="G167">
            <v>62.712693307118535</v>
          </cell>
          <cell r="H167">
            <v>62.732302709507991</v>
          </cell>
          <cell r="I167">
            <v>62.794307668207431</v>
          </cell>
          <cell r="J167">
            <v>62.649104057175599</v>
          </cell>
          <cell r="K167">
            <v>62.78260988805394</v>
          </cell>
          <cell r="L167">
            <v>62.647107812310999</v>
          </cell>
          <cell r="M167">
            <v>62.623748897543031</v>
          </cell>
          <cell r="N167">
            <v>62.567744344558449</v>
          </cell>
          <cell r="O167">
            <v>62.713845898987856</v>
          </cell>
          <cell r="P167">
            <v>62.526140450178424</v>
          </cell>
          <cell r="Q167">
            <v>62.474819749184014</v>
          </cell>
          <cell r="R167">
            <v>62.580097028641482</v>
          </cell>
          <cell r="S167">
            <v>62.478093014615439</v>
          </cell>
          <cell r="T167">
            <v>62.478093014615439</v>
          </cell>
          <cell r="U167">
            <v>62.478093014615439</v>
          </cell>
          <cell r="V167">
            <v>62.478093014615439</v>
          </cell>
          <cell r="W167">
            <v>62.478093014615439</v>
          </cell>
          <cell r="X167">
            <v>62.478093014615439</v>
          </cell>
          <cell r="Y167">
            <v>62.478093014615439</v>
          </cell>
          <cell r="Z167">
            <v>62.478093014615439</v>
          </cell>
          <cell r="AA167">
            <v>62.478093014615439</v>
          </cell>
          <cell r="AB167">
            <v>62.478093014615439</v>
          </cell>
          <cell r="AC167">
            <v>62.478093014615439</v>
          </cell>
          <cell r="AD167">
            <v>62.478093014615439</v>
          </cell>
          <cell r="AE167">
            <v>62.478093014615439</v>
          </cell>
          <cell r="AF167">
            <v>62.478093014615439</v>
          </cell>
        </row>
        <row r="168">
          <cell r="A168" t="str">
            <v>Florida</v>
          </cell>
          <cell r="B168">
            <v>72.413326629084438</v>
          </cell>
          <cell r="C168">
            <v>72.267763861597572</v>
          </cell>
          <cell r="D168">
            <v>72.254413249327641</v>
          </cell>
          <cell r="E168">
            <v>72.350762297460491</v>
          </cell>
          <cell r="F168">
            <v>72.292391132043321</v>
          </cell>
          <cell r="G168">
            <v>72.311407341445246</v>
          </cell>
          <cell r="H168">
            <v>72.334024961840484</v>
          </cell>
          <cell r="I168">
            <v>72.405535848512685</v>
          </cell>
          <cell r="J168">
            <v>72.238095209812911</v>
          </cell>
          <cell r="K168">
            <v>72.392048414539616</v>
          </cell>
          <cell r="L168">
            <v>72.235780687428203</v>
          </cell>
          <cell r="M168">
            <v>72.209538020847432</v>
          </cell>
          <cell r="N168">
            <v>72.144954730330838</v>
          </cell>
          <cell r="O168">
            <v>72.313442032928947</v>
          </cell>
          <cell r="P168">
            <v>72.096971787375011</v>
          </cell>
          <cell r="Q168">
            <v>72.037790895741765</v>
          </cell>
          <cell r="R168">
            <v>72.159194941673235</v>
          </cell>
          <cell r="S168">
            <v>72.041558853077035</v>
          </cell>
          <cell r="T168">
            <v>72.041558853077035</v>
          </cell>
          <cell r="U168">
            <v>72.041558853077035</v>
          </cell>
          <cell r="V168">
            <v>72.041558853077035</v>
          </cell>
          <cell r="W168">
            <v>72.041558853077035</v>
          </cell>
          <cell r="X168">
            <v>72.041558853077035</v>
          </cell>
          <cell r="Y168">
            <v>72.041558853077035</v>
          </cell>
          <cell r="Z168">
            <v>72.041558853077035</v>
          </cell>
          <cell r="AA168">
            <v>72.041558853077035</v>
          </cell>
          <cell r="AB168">
            <v>72.041558853077035</v>
          </cell>
          <cell r="AC168">
            <v>72.041558853077035</v>
          </cell>
          <cell r="AD168">
            <v>72.041558853077035</v>
          </cell>
          <cell r="AE168">
            <v>72.041558853077035</v>
          </cell>
          <cell r="AF168">
            <v>72.041558853077035</v>
          </cell>
        </row>
        <row r="169">
          <cell r="A169" t="str">
            <v>Georgia</v>
          </cell>
          <cell r="B169">
            <v>72.413326629084423</v>
          </cell>
          <cell r="C169">
            <v>72.267763861597601</v>
          </cell>
          <cell r="D169">
            <v>72.254413249327641</v>
          </cell>
          <cell r="E169">
            <v>72.350762297460491</v>
          </cell>
          <cell r="F169">
            <v>72.292391132043306</v>
          </cell>
          <cell r="G169">
            <v>72.311407341445246</v>
          </cell>
          <cell r="H169">
            <v>72.33402496184047</v>
          </cell>
          <cell r="I169">
            <v>72.405535848512713</v>
          </cell>
          <cell r="J169">
            <v>72.238095209812897</v>
          </cell>
          <cell r="K169">
            <v>72.39204841453963</v>
          </cell>
          <cell r="L169">
            <v>72.235780687428203</v>
          </cell>
          <cell r="M169">
            <v>72.209538020847461</v>
          </cell>
          <cell r="N169">
            <v>72.144954730330809</v>
          </cell>
          <cell r="O169">
            <v>72.313442032928961</v>
          </cell>
          <cell r="P169">
            <v>72.096971787374997</v>
          </cell>
          <cell r="Q169">
            <v>72.037790895741779</v>
          </cell>
          <cell r="R169">
            <v>72.159194941673235</v>
          </cell>
          <cell r="S169">
            <v>72.041558853077035</v>
          </cell>
          <cell r="T169">
            <v>72.041558853077035</v>
          </cell>
          <cell r="U169">
            <v>72.041558853077035</v>
          </cell>
          <cell r="V169">
            <v>72.041558853077035</v>
          </cell>
          <cell r="W169">
            <v>72.041558853077035</v>
          </cell>
          <cell r="X169">
            <v>72.041558853077035</v>
          </cell>
          <cell r="Y169">
            <v>72.041558853077035</v>
          </cell>
          <cell r="Z169">
            <v>72.041558853077035</v>
          </cell>
          <cell r="AA169">
            <v>72.041558853077035</v>
          </cell>
          <cell r="AB169">
            <v>72.041558853077035</v>
          </cell>
          <cell r="AC169">
            <v>72.041558853077035</v>
          </cell>
          <cell r="AD169">
            <v>72.041558853077035</v>
          </cell>
          <cell r="AE169">
            <v>72.041558853077035</v>
          </cell>
          <cell r="AF169">
            <v>72.041558853077035</v>
          </cell>
        </row>
        <row r="170">
          <cell r="A170" t="str">
            <v>Hawaii</v>
          </cell>
          <cell r="B170">
            <v>62.233485515239749</v>
          </cell>
          <cell r="C170">
            <v>62.108385912671402</v>
          </cell>
          <cell r="D170">
            <v>62.096912124986204</v>
          </cell>
          <cell r="E170">
            <v>62.179716456322843</v>
          </cell>
          <cell r="F170">
            <v>62.129551089716969</v>
          </cell>
          <cell r="G170">
            <v>62.145894006793981</v>
          </cell>
          <cell r="H170">
            <v>62.165332049717577</v>
          </cell>
          <cell r="I170">
            <v>62.226789959981701</v>
          </cell>
          <cell r="J170">
            <v>62.08288806998069</v>
          </cell>
          <cell r="K170">
            <v>62.215198584942407</v>
          </cell>
          <cell r="L170">
            <v>62.080898922374772</v>
          </cell>
          <cell r="M170">
            <v>62.058345441039741</v>
          </cell>
          <cell r="N170">
            <v>62.002841247792546</v>
          </cell>
          <cell r="O170">
            <v>62.147642662032936</v>
          </cell>
          <cell r="P170">
            <v>61.96160373082671</v>
          </cell>
          <cell r="Q170">
            <v>61.910742469044031</v>
          </cell>
          <cell r="R170">
            <v>62.015079575011676</v>
          </cell>
          <cell r="S170">
            <v>61.913980728203803</v>
          </cell>
          <cell r="T170">
            <v>61.913980728203803</v>
          </cell>
          <cell r="U170">
            <v>61.913980728203803</v>
          </cell>
          <cell r="V170">
            <v>61.913980728203803</v>
          </cell>
          <cell r="W170">
            <v>61.913980728203803</v>
          </cell>
          <cell r="X170">
            <v>61.913980728203803</v>
          </cell>
          <cell r="Y170">
            <v>61.913980728203803</v>
          </cell>
          <cell r="Z170">
            <v>61.913980728203803</v>
          </cell>
          <cell r="AA170">
            <v>61.913980728203803</v>
          </cell>
          <cell r="AB170">
            <v>61.913980728203803</v>
          </cell>
          <cell r="AC170">
            <v>61.913980728203803</v>
          </cell>
          <cell r="AD170">
            <v>61.913980728203803</v>
          </cell>
          <cell r="AE170">
            <v>61.913980728203803</v>
          </cell>
          <cell r="AF170">
            <v>61.913980728203803</v>
          </cell>
        </row>
        <row r="171">
          <cell r="A171" t="str">
            <v>Idaho</v>
          </cell>
          <cell r="B171">
            <v>62.233485515239757</v>
          </cell>
          <cell r="C171">
            <v>62.108385912671402</v>
          </cell>
          <cell r="D171">
            <v>62.096912124986197</v>
          </cell>
          <cell r="E171">
            <v>62.179716456322843</v>
          </cell>
          <cell r="F171">
            <v>62.129551089716962</v>
          </cell>
          <cell r="G171">
            <v>62.145894006793995</v>
          </cell>
          <cell r="H171">
            <v>62.165332049717577</v>
          </cell>
          <cell r="I171">
            <v>62.226789959981701</v>
          </cell>
          <cell r="J171">
            <v>62.082888069980683</v>
          </cell>
          <cell r="K171">
            <v>62.215198584942414</v>
          </cell>
          <cell r="L171">
            <v>62.080898922374743</v>
          </cell>
          <cell r="M171">
            <v>62.058345441039748</v>
          </cell>
          <cell r="N171">
            <v>62.002841247792546</v>
          </cell>
          <cell r="O171">
            <v>62.147642662032922</v>
          </cell>
          <cell r="P171">
            <v>61.961603730826688</v>
          </cell>
          <cell r="Q171">
            <v>61.910742469044024</v>
          </cell>
          <cell r="R171">
            <v>62.015079575011669</v>
          </cell>
          <cell r="S171">
            <v>61.913980728203811</v>
          </cell>
          <cell r="T171">
            <v>61.913980728203811</v>
          </cell>
          <cell r="U171">
            <v>61.913980728203811</v>
          </cell>
          <cell r="V171">
            <v>61.913980728203811</v>
          </cell>
          <cell r="W171">
            <v>61.913980728203811</v>
          </cell>
          <cell r="X171">
            <v>61.913980728203811</v>
          </cell>
          <cell r="Y171">
            <v>61.913980728203811</v>
          </cell>
          <cell r="Z171">
            <v>61.913980728203811</v>
          </cell>
          <cell r="AA171">
            <v>61.913980728203811</v>
          </cell>
          <cell r="AB171">
            <v>61.913980728203811</v>
          </cell>
          <cell r="AC171">
            <v>61.913980728203811</v>
          </cell>
          <cell r="AD171">
            <v>61.913980728203811</v>
          </cell>
          <cell r="AE171">
            <v>61.913980728203811</v>
          </cell>
          <cell r="AF171">
            <v>61.913980728203811</v>
          </cell>
        </row>
        <row r="172">
          <cell r="A172" t="str">
            <v>Illinois</v>
          </cell>
          <cell r="B172">
            <v>58.875184110825579</v>
          </cell>
          <cell r="C172">
            <v>58.756835249719316</v>
          </cell>
          <cell r="D172">
            <v>58.745980621269318</v>
          </cell>
          <cell r="E172">
            <v>58.824316588028331</v>
          </cell>
          <cell r="F172">
            <v>58.776858291735657</v>
          </cell>
          <cell r="G172">
            <v>58.792319297074684</v>
          </cell>
          <cell r="H172">
            <v>58.810708406191829</v>
          </cell>
          <cell r="I172">
            <v>58.868849867366819</v>
          </cell>
          <cell r="J172">
            <v>58.732713345403397</v>
          </cell>
          <cell r="K172">
            <v>58.857883996921245</v>
          </cell>
          <cell r="L172">
            <v>58.730831538036284</v>
          </cell>
          <cell r="M172">
            <v>58.709495108701724</v>
          </cell>
          <cell r="N172">
            <v>58.656986084511672</v>
          </cell>
          <cell r="O172">
            <v>58.793973589748269</v>
          </cell>
          <cell r="P172">
            <v>58.617973864907746</v>
          </cell>
          <cell r="Q172">
            <v>58.569857225983043</v>
          </cell>
          <cell r="R172">
            <v>58.668563995699969</v>
          </cell>
          <cell r="S172">
            <v>58.572920739181001</v>
          </cell>
          <cell r="T172">
            <v>58.572920739181001</v>
          </cell>
          <cell r="U172">
            <v>58.572920739181001</v>
          </cell>
          <cell r="V172">
            <v>58.572920739181001</v>
          </cell>
          <cell r="W172">
            <v>58.572920739181001</v>
          </cell>
          <cell r="X172">
            <v>58.572920739181001</v>
          </cell>
          <cell r="Y172">
            <v>58.572920739181001</v>
          </cell>
          <cell r="Z172">
            <v>58.572920739181001</v>
          </cell>
          <cell r="AA172">
            <v>58.572920739181001</v>
          </cell>
          <cell r="AB172">
            <v>58.572920739181001</v>
          </cell>
          <cell r="AC172">
            <v>58.572920739181001</v>
          </cell>
          <cell r="AD172">
            <v>58.572920739181001</v>
          </cell>
          <cell r="AE172">
            <v>58.572920739181001</v>
          </cell>
          <cell r="AF172">
            <v>58.572920739181001</v>
          </cell>
        </row>
        <row r="173">
          <cell r="A173" t="str">
            <v>Indiana</v>
          </cell>
          <cell r="B173">
            <v>58.875184110825586</v>
          </cell>
          <cell r="C173">
            <v>58.756835249719302</v>
          </cell>
          <cell r="D173">
            <v>58.745980621269318</v>
          </cell>
          <cell r="E173">
            <v>58.824316588028331</v>
          </cell>
          <cell r="F173">
            <v>58.776858291735664</v>
          </cell>
          <cell r="G173">
            <v>58.792319297074691</v>
          </cell>
          <cell r="H173">
            <v>58.81070840619185</v>
          </cell>
          <cell r="I173">
            <v>58.868849867366819</v>
          </cell>
          <cell r="J173">
            <v>58.732713345403383</v>
          </cell>
          <cell r="K173">
            <v>58.857883996921245</v>
          </cell>
          <cell r="L173">
            <v>58.730831538036284</v>
          </cell>
          <cell r="M173">
            <v>58.709495108701724</v>
          </cell>
          <cell r="N173">
            <v>58.656986084511679</v>
          </cell>
          <cell r="O173">
            <v>58.793973589748262</v>
          </cell>
          <cell r="P173">
            <v>58.617973864907768</v>
          </cell>
          <cell r="Q173">
            <v>58.569857225983057</v>
          </cell>
          <cell r="R173">
            <v>58.668563995699998</v>
          </cell>
          <cell r="S173">
            <v>58.572920739180987</v>
          </cell>
          <cell r="T173">
            <v>58.572920739180987</v>
          </cell>
          <cell r="U173">
            <v>58.572920739180987</v>
          </cell>
          <cell r="V173">
            <v>58.572920739180987</v>
          </cell>
          <cell r="W173">
            <v>58.572920739180987</v>
          </cell>
          <cell r="X173">
            <v>58.572920739180987</v>
          </cell>
          <cell r="Y173">
            <v>58.572920739180987</v>
          </cell>
          <cell r="Z173">
            <v>58.572920739180987</v>
          </cell>
          <cell r="AA173">
            <v>58.572920739180987</v>
          </cell>
          <cell r="AB173">
            <v>58.572920739180987</v>
          </cell>
          <cell r="AC173">
            <v>58.572920739180987</v>
          </cell>
          <cell r="AD173">
            <v>58.572920739180987</v>
          </cell>
          <cell r="AE173">
            <v>58.572920739180987</v>
          </cell>
          <cell r="AF173">
            <v>58.572920739180987</v>
          </cell>
        </row>
        <row r="174">
          <cell r="A174" t="str">
            <v>Iowa</v>
          </cell>
          <cell r="B174">
            <v>58.875184110825593</v>
          </cell>
          <cell r="C174">
            <v>58.756835249719295</v>
          </cell>
          <cell r="D174">
            <v>58.745980621269311</v>
          </cell>
          <cell r="E174">
            <v>58.824316588028331</v>
          </cell>
          <cell r="F174">
            <v>58.776858291735657</v>
          </cell>
          <cell r="G174">
            <v>58.792319297074698</v>
          </cell>
          <cell r="H174">
            <v>58.810708406191843</v>
          </cell>
          <cell r="I174">
            <v>58.868849867366812</v>
          </cell>
          <cell r="J174">
            <v>58.732713345403383</v>
          </cell>
          <cell r="K174">
            <v>58.857883996921245</v>
          </cell>
          <cell r="L174">
            <v>58.730831538036284</v>
          </cell>
          <cell r="M174">
            <v>58.709495108701738</v>
          </cell>
          <cell r="N174">
            <v>58.656986084511672</v>
          </cell>
          <cell r="O174">
            <v>58.793973589748269</v>
          </cell>
          <cell r="P174">
            <v>58.617973864907761</v>
          </cell>
          <cell r="Q174">
            <v>58.569857225983057</v>
          </cell>
          <cell r="R174">
            <v>58.668563995699984</v>
          </cell>
          <cell r="S174">
            <v>58.572920739180979</v>
          </cell>
          <cell r="T174">
            <v>58.572920739180979</v>
          </cell>
          <cell r="U174">
            <v>58.572920739180979</v>
          </cell>
          <cell r="V174">
            <v>58.572920739180979</v>
          </cell>
          <cell r="W174">
            <v>58.572920739180979</v>
          </cell>
          <cell r="X174">
            <v>58.572920739180979</v>
          </cell>
          <cell r="Y174">
            <v>58.572920739180979</v>
          </cell>
          <cell r="Z174">
            <v>58.572920739180979</v>
          </cell>
          <cell r="AA174">
            <v>58.572920739180979</v>
          </cell>
          <cell r="AB174">
            <v>58.572920739180979</v>
          </cell>
          <cell r="AC174">
            <v>58.572920739180979</v>
          </cell>
          <cell r="AD174">
            <v>58.572920739180979</v>
          </cell>
          <cell r="AE174">
            <v>58.572920739180979</v>
          </cell>
          <cell r="AF174">
            <v>58.572920739180979</v>
          </cell>
        </row>
        <row r="175">
          <cell r="A175" t="str">
            <v>Kansas</v>
          </cell>
          <cell r="B175">
            <v>58.875184110825579</v>
          </cell>
          <cell r="C175">
            <v>58.756835249719302</v>
          </cell>
          <cell r="D175">
            <v>58.745980621269325</v>
          </cell>
          <cell r="E175">
            <v>58.824316588028324</v>
          </cell>
          <cell r="F175">
            <v>58.776858291735678</v>
          </cell>
          <cell r="G175">
            <v>58.792319297074691</v>
          </cell>
          <cell r="H175">
            <v>58.810708406191836</v>
          </cell>
          <cell r="I175">
            <v>58.868849867366819</v>
          </cell>
          <cell r="J175">
            <v>58.732713345403383</v>
          </cell>
          <cell r="K175">
            <v>58.857883996921245</v>
          </cell>
          <cell r="L175">
            <v>58.730831538036277</v>
          </cell>
          <cell r="M175">
            <v>58.709495108701738</v>
          </cell>
          <cell r="N175">
            <v>58.656986084511672</v>
          </cell>
          <cell r="O175">
            <v>58.793973589748269</v>
          </cell>
          <cell r="P175">
            <v>58.617973864907768</v>
          </cell>
          <cell r="Q175">
            <v>58.569857225983036</v>
          </cell>
          <cell r="R175">
            <v>58.668563995699984</v>
          </cell>
          <cell r="S175">
            <v>58.572920739180979</v>
          </cell>
          <cell r="T175">
            <v>58.572920739180979</v>
          </cell>
          <cell r="U175">
            <v>58.572920739180979</v>
          </cell>
          <cell r="V175">
            <v>58.572920739180979</v>
          </cell>
          <cell r="W175">
            <v>58.572920739180979</v>
          </cell>
          <cell r="X175">
            <v>58.572920739180979</v>
          </cell>
          <cell r="Y175">
            <v>58.572920739180979</v>
          </cell>
          <cell r="Z175">
            <v>58.572920739180979</v>
          </cell>
          <cell r="AA175">
            <v>58.572920739180979</v>
          </cell>
          <cell r="AB175">
            <v>58.572920739180979</v>
          </cell>
          <cell r="AC175">
            <v>58.572920739180979</v>
          </cell>
          <cell r="AD175">
            <v>58.572920739180979</v>
          </cell>
          <cell r="AE175">
            <v>58.572920739180979</v>
          </cell>
          <cell r="AF175">
            <v>58.572920739180979</v>
          </cell>
        </row>
        <row r="176">
          <cell r="A176" t="str">
            <v>Kentucky</v>
          </cell>
          <cell r="B176">
            <v>72.413326629084452</v>
          </cell>
          <cell r="C176">
            <v>72.267763861597587</v>
          </cell>
          <cell r="D176">
            <v>72.254413249327641</v>
          </cell>
          <cell r="E176">
            <v>72.350762297460491</v>
          </cell>
          <cell r="F176">
            <v>72.292391132043321</v>
          </cell>
          <cell r="G176">
            <v>72.311407341445246</v>
          </cell>
          <cell r="H176">
            <v>72.33402496184047</v>
          </cell>
          <cell r="I176">
            <v>72.405535848512699</v>
          </cell>
          <cell r="J176">
            <v>72.238095209812897</v>
          </cell>
          <cell r="K176">
            <v>72.392048414539616</v>
          </cell>
          <cell r="L176">
            <v>72.235780687428189</v>
          </cell>
          <cell r="M176">
            <v>72.209538020847432</v>
          </cell>
          <cell r="N176">
            <v>72.144954730330838</v>
          </cell>
          <cell r="O176">
            <v>72.313442032928947</v>
          </cell>
          <cell r="P176">
            <v>72.096971787375011</v>
          </cell>
          <cell r="Q176">
            <v>72.03779089574175</v>
          </cell>
          <cell r="R176">
            <v>72.159194941673221</v>
          </cell>
          <cell r="S176">
            <v>72.041558853077021</v>
          </cell>
          <cell r="T176">
            <v>72.041558853077021</v>
          </cell>
          <cell r="U176">
            <v>72.041558853077021</v>
          </cell>
          <cell r="V176">
            <v>72.041558853077021</v>
          </cell>
          <cell r="W176">
            <v>72.041558853077021</v>
          </cell>
          <cell r="X176">
            <v>72.041558853077021</v>
          </cell>
          <cell r="Y176">
            <v>72.041558853077021</v>
          </cell>
          <cell r="Z176">
            <v>72.041558853077021</v>
          </cell>
          <cell r="AA176">
            <v>72.041558853077021</v>
          </cell>
          <cell r="AB176">
            <v>72.041558853077021</v>
          </cell>
          <cell r="AC176">
            <v>72.041558853077021</v>
          </cell>
          <cell r="AD176">
            <v>72.041558853077021</v>
          </cell>
          <cell r="AE176">
            <v>72.041558853077021</v>
          </cell>
          <cell r="AF176">
            <v>72.041558853077021</v>
          </cell>
        </row>
        <row r="177">
          <cell r="A177" t="str">
            <v>Louisiana</v>
          </cell>
          <cell r="B177">
            <v>70.389610749776267</v>
          </cell>
          <cell r="C177">
            <v>70.248089207054562</v>
          </cell>
          <cell r="D177">
            <v>70.235110259844475</v>
          </cell>
          <cell r="E177">
            <v>70.328776607402219</v>
          </cell>
          <cell r="F177">
            <v>70.272028678605579</v>
          </cell>
          <cell r="G177">
            <v>70.290506440738739</v>
          </cell>
          <cell r="H177">
            <v>70.312499597554236</v>
          </cell>
          <cell r="I177">
            <v>70.382029323606986</v>
          </cell>
          <cell r="J177">
            <v>70.219254351090228</v>
          </cell>
          <cell r="K177">
            <v>70.36891971020664</v>
          </cell>
          <cell r="L177">
            <v>70.21699027877284</v>
          </cell>
          <cell r="M177">
            <v>70.192253956850706</v>
          </cell>
          <cell r="N177">
            <v>70.129468030332333</v>
          </cell>
          <cell r="O177">
            <v>70.293273026183158</v>
          </cell>
          <cell r="P177">
            <v>70.082813538812758</v>
          </cell>
          <cell r="Q177">
            <v>70.025280866025426</v>
          </cell>
          <cell r="R177">
            <v>70.143306739450821</v>
          </cell>
          <cell r="S177">
            <v>70.028936467434576</v>
          </cell>
          <cell r="T177">
            <v>70.028936467434576</v>
          </cell>
          <cell r="U177">
            <v>70.028936467434576</v>
          </cell>
          <cell r="V177">
            <v>70.028936467434576</v>
          </cell>
          <cell r="W177">
            <v>70.028936467434576</v>
          </cell>
          <cell r="X177">
            <v>70.028936467434576</v>
          </cell>
          <cell r="Y177">
            <v>70.028936467434576</v>
          </cell>
          <cell r="Z177">
            <v>70.028936467434576</v>
          </cell>
          <cell r="AA177">
            <v>70.028936467434576</v>
          </cell>
          <cell r="AB177">
            <v>70.028936467434576</v>
          </cell>
          <cell r="AC177">
            <v>70.028936467434576</v>
          </cell>
          <cell r="AD177">
            <v>70.028936467434576</v>
          </cell>
          <cell r="AE177">
            <v>70.028936467434576</v>
          </cell>
          <cell r="AF177">
            <v>70.028936467434576</v>
          </cell>
        </row>
        <row r="178">
          <cell r="A178" t="str">
            <v>Maine</v>
          </cell>
          <cell r="B178">
            <v>62.801057790893161</v>
          </cell>
          <cell r="C178">
            <v>62.674838052454177</v>
          </cell>
          <cell r="D178">
            <v>62.663260741338767</v>
          </cell>
          <cell r="E178">
            <v>62.7468125389899</v>
          </cell>
          <cell r="F178">
            <v>62.696195905523155</v>
          </cell>
          <cell r="G178">
            <v>62.712693307118535</v>
          </cell>
          <cell r="H178">
            <v>62.732302709507991</v>
          </cell>
          <cell r="I178">
            <v>62.794307668207409</v>
          </cell>
          <cell r="J178">
            <v>62.649104057175613</v>
          </cell>
          <cell r="K178">
            <v>62.782609888053948</v>
          </cell>
          <cell r="L178">
            <v>62.647107812310992</v>
          </cell>
          <cell r="M178">
            <v>62.623748897543038</v>
          </cell>
          <cell r="N178">
            <v>62.56774434455847</v>
          </cell>
          <cell r="O178">
            <v>62.713845898987863</v>
          </cell>
          <cell r="P178">
            <v>62.526140450178438</v>
          </cell>
          <cell r="Q178">
            <v>62.474819749184036</v>
          </cell>
          <cell r="R178">
            <v>62.580097028641482</v>
          </cell>
          <cell r="S178">
            <v>62.478093014615425</v>
          </cell>
          <cell r="T178">
            <v>62.478093014615425</v>
          </cell>
          <cell r="U178">
            <v>62.478093014615425</v>
          </cell>
          <cell r="V178">
            <v>62.478093014615425</v>
          </cell>
          <cell r="W178">
            <v>62.478093014615425</v>
          </cell>
          <cell r="X178">
            <v>62.478093014615425</v>
          </cell>
          <cell r="Y178">
            <v>62.478093014615425</v>
          </cell>
          <cell r="Z178">
            <v>62.478093014615425</v>
          </cell>
          <cell r="AA178">
            <v>62.478093014615425</v>
          </cell>
          <cell r="AB178">
            <v>62.478093014615425</v>
          </cell>
          <cell r="AC178">
            <v>62.478093014615425</v>
          </cell>
          <cell r="AD178">
            <v>62.478093014615425</v>
          </cell>
          <cell r="AE178">
            <v>62.478093014615425</v>
          </cell>
          <cell r="AF178">
            <v>62.478093014615425</v>
          </cell>
        </row>
        <row r="179">
          <cell r="A179" t="str">
            <v>Maryland</v>
          </cell>
          <cell r="B179">
            <v>62.801057790893132</v>
          </cell>
          <cell r="C179">
            <v>62.674838052454177</v>
          </cell>
          <cell r="D179">
            <v>62.663260741338775</v>
          </cell>
          <cell r="E179">
            <v>62.746812538989893</v>
          </cell>
          <cell r="F179">
            <v>62.69619590552314</v>
          </cell>
          <cell r="G179">
            <v>62.712693307118535</v>
          </cell>
          <cell r="H179">
            <v>62.732302709508019</v>
          </cell>
          <cell r="I179">
            <v>62.794307668207431</v>
          </cell>
          <cell r="J179">
            <v>62.649104057175599</v>
          </cell>
          <cell r="K179">
            <v>62.78260988805394</v>
          </cell>
          <cell r="L179">
            <v>62.647107812310971</v>
          </cell>
          <cell r="M179">
            <v>62.62374889754301</v>
          </cell>
          <cell r="N179">
            <v>62.567744344558456</v>
          </cell>
          <cell r="O179">
            <v>62.713845898987842</v>
          </cell>
          <cell r="P179">
            <v>62.526140450178424</v>
          </cell>
          <cell r="Q179">
            <v>62.474819749184029</v>
          </cell>
          <cell r="R179">
            <v>62.580097028641497</v>
          </cell>
          <cell r="S179">
            <v>62.478093014615425</v>
          </cell>
          <cell r="T179">
            <v>62.478093014615425</v>
          </cell>
          <cell r="U179">
            <v>62.478093014615425</v>
          </cell>
          <cell r="V179">
            <v>62.478093014615425</v>
          </cell>
          <cell r="W179">
            <v>62.478093014615425</v>
          </cell>
          <cell r="X179">
            <v>62.478093014615425</v>
          </cell>
          <cell r="Y179">
            <v>62.478093014615425</v>
          </cell>
          <cell r="Z179">
            <v>62.478093014615425</v>
          </cell>
          <cell r="AA179">
            <v>62.478093014615425</v>
          </cell>
          <cell r="AB179">
            <v>62.478093014615425</v>
          </cell>
          <cell r="AC179">
            <v>62.478093014615425</v>
          </cell>
          <cell r="AD179">
            <v>62.478093014615425</v>
          </cell>
          <cell r="AE179">
            <v>62.478093014615425</v>
          </cell>
          <cell r="AF179">
            <v>62.478093014615425</v>
          </cell>
        </row>
        <row r="180">
          <cell r="A180" t="str">
            <v>Massachusetts</v>
          </cell>
          <cell r="B180">
            <v>62.80105779089314</v>
          </cell>
          <cell r="C180">
            <v>62.674838052454177</v>
          </cell>
          <cell r="D180">
            <v>62.663260741338767</v>
          </cell>
          <cell r="E180">
            <v>62.746812538989907</v>
          </cell>
          <cell r="F180">
            <v>62.696195905523126</v>
          </cell>
          <cell r="G180">
            <v>62.712693307118535</v>
          </cell>
          <cell r="H180">
            <v>62.732302709507998</v>
          </cell>
          <cell r="I180">
            <v>62.794307668207409</v>
          </cell>
          <cell r="J180">
            <v>62.649104057175599</v>
          </cell>
          <cell r="K180">
            <v>62.782609888053962</v>
          </cell>
          <cell r="L180">
            <v>62.647107812310999</v>
          </cell>
          <cell r="M180">
            <v>62.623748897543031</v>
          </cell>
          <cell r="N180">
            <v>62.56774434455847</v>
          </cell>
          <cell r="O180">
            <v>62.71384589898787</v>
          </cell>
          <cell r="P180">
            <v>62.526140450178438</v>
          </cell>
          <cell r="Q180">
            <v>62.474819749184043</v>
          </cell>
          <cell r="R180">
            <v>62.580097028641482</v>
          </cell>
          <cell r="S180">
            <v>62.478093014615439</v>
          </cell>
          <cell r="T180">
            <v>62.478093014615439</v>
          </cell>
          <cell r="U180">
            <v>62.478093014615439</v>
          </cell>
          <cell r="V180">
            <v>62.478093014615439</v>
          </cell>
          <cell r="W180">
            <v>62.478093014615439</v>
          </cell>
          <cell r="X180">
            <v>62.478093014615439</v>
          </cell>
          <cell r="Y180">
            <v>62.478093014615439</v>
          </cell>
          <cell r="Z180">
            <v>62.478093014615439</v>
          </cell>
          <cell r="AA180">
            <v>62.478093014615439</v>
          </cell>
          <cell r="AB180">
            <v>62.478093014615439</v>
          </cell>
          <cell r="AC180">
            <v>62.478093014615439</v>
          </cell>
          <cell r="AD180">
            <v>62.478093014615439</v>
          </cell>
          <cell r="AE180">
            <v>62.478093014615439</v>
          </cell>
          <cell r="AF180">
            <v>62.478093014615439</v>
          </cell>
        </row>
        <row r="181">
          <cell r="A181" t="str">
            <v>Michigan</v>
          </cell>
          <cell r="B181">
            <v>58.875184110825586</v>
          </cell>
          <cell r="C181">
            <v>58.756835249719309</v>
          </cell>
          <cell r="D181">
            <v>58.745980621269311</v>
          </cell>
          <cell r="E181">
            <v>58.824316588028324</v>
          </cell>
          <cell r="F181">
            <v>58.776858291735657</v>
          </cell>
          <cell r="G181">
            <v>58.792319297074684</v>
          </cell>
          <cell r="H181">
            <v>58.810708406191836</v>
          </cell>
          <cell r="I181">
            <v>58.868849867366819</v>
          </cell>
          <cell r="J181">
            <v>58.732713345403397</v>
          </cell>
          <cell r="K181">
            <v>58.857883996921238</v>
          </cell>
          <cell r="L181">
            <v>58.730831538036284</v>
          </cell>
          <cell r="M181">
            <v>58.709495108701731</v>
          </cell>
          <cell r="N181">
            <v>58.656986084511665</v>
          </cell>
          <cell r="O181">
            <v>58.793973589748269</v>
          </cell>
          <cell r="P181">
            <v>58.617973864907754</v>
          </cell>
          <cell r="Q181">
            <v>58.569857225983057</v>
          </cell>
          <cell r="R181">
            <v>58.668563995699976</v>
          </cell>
          <cell r="S181">
            <v>58.572920739180979</v>
          </cell>
          <cell r="T181">
            <v>58.572920739180979</v>
          </cell>
          <cell r="U181">
            <v>58.572920739180979</v>
          </cell>
          <cell r="V181">
            <v>58.572920739180979</v>
          </cell>
          <cell r="W181">
            <v>58.572920739180979</v>
          </cell>
          <cell r="X181">
            <v>58.572920739180979</v>
          </cell>
          <cell r="Y181">
            <v>58.572920739180979</v>
          </cell>
          <cell r="Z181">
            <v>58.572920739180979</v>
          </cell>
          <cell r="AA181">
            <v>58.572920739180979</v>
          </cell>
          <cell r="AB181">
            <v>58.572920739180979</v>
          </cell>
          <cell r="AC181">
            <v>58.572920739180979</v>
          </cell>
          <cell r="AD181">
            <v>58.572920739180979</v>
          </cell>
          <cell r="AE181">
            <v>58.572920739180979</v>
          </cell>
          <cell r="AF181">
            <v>58.572920739180979</v>
          </cell>
        </row>
        <row r="182">
          <cell r="A182" t="str">
            <v>Minnesota</v>
          </cell>
          <cell r="B182">
            <v>58.8751841108256</v>
          </cell>
          <cell r="C182">
            <v>58.756835249719302</v>
          </cell>
          <cell r="D182">
            <v>58.745980621269332</v>
          </cell>
          <cell r="E182">
            <v>58.824316588028339</v>
          </cell>
          <cell r="F182">
            <v>58.776858291735664</v>
          </cell>
          <cell r="G182">
            <v>58.792319297074691</v>
          </cell>
          <cell r="H182">
            <v>58.810708406191836</v>
          </cell>
          <cell r="I182">
            <v>58.868849867366812</v>
          </cell>
          <cell r="J182">
            <v>58.732713345403397</v>
          </cell>
          <cell r="K182">
            <v>58.857883996921238</v>
          </cell>
          <cell r="L182">
            <v>58.730831538036284</v>
          </cell>
          <cell r="M182">
            <v>58.709495108701738</v>
          </cell>
          <cell r="N182">
            <v>58.656986084511679</v>
          </cell>
          <cell r="O182">
            <v>58.793973589748262</v>
          </cell>
          <cell r="P182">
            <v>58.617973864907768</v>
          </cell>
          <cell r="Q182">
            <v>58.569857225983043</v>
          </cell>
          <cell r="R182">
            <v>58.668563995699984</v>
          </cell>
          <cell r="S182">
            <v>58.572920739180979</v>
          </cell>
          <cell r="T182">
            <v>58.572920739180979</v>
          </cell>
          <cell r="U182">
            <v>58.572920739180979</v>
          </cell>
          <cell r="V182">
            <v>58.572920739180979</v>
          </cell>
          <cell r="W182">
            <v>58.572920739180979</v>
          </cell>
          <cell r="X182">
            <v>58.572920739180979</v>
          </cell>
          <cell r="Y182">
            <v>58.572920739180979</v>
          </cell>
          <cell r="Z182">
            <v>58.572920739180979</v>
          </cell>
          <cell r="AA182">
            <v>58.572920739180979</v>
          </cell>
          <cell r="AB182">
            <v>58.572920739180979</v>
          </cell>
          <cell r="AC182">
            <v>58.572920739180979</v>
          </cell>
          <cell r="AD182">
            <v>58.572920739180979</v>
          </cell>
          <cell r="AE182">
            <v>58.572920739180979</v>
          </cell>
          <cell r="AF182">
            <v>58.572920739180979</v>
          </cell>
        </row>
        <row r="183">
          <cell r="A183" t="str">
            <v>Mississippi</v>
          </cell>
          <cell r="B183">
            <v>72.413326629084452</v>
          </cell>
          <cell r="C183">
            <v>72.267763861597587</v>
          </cell>
          <cell r="D183">
            <v>72.254413249327627</v>
          </cell>
          <cell r="E183">
            <v>72.350762297460491</v>
          </cell>
          <cell r="F183">
            <v>72.292391132043306</v>
          </cell>
          <cell r="G183">
            <v>72.311407341445218</v>
          </cell>
          <cell r="H183">
            <v>72.33402496184047</v>
          </cell>
          <cell r="I183">
            <v>72.405535848512699</v>
          </cell>
          <cell r="J183">
            <v>72.238095209812897</v>
          </cell>
          <cell r="K183">
            <v>72.392048414539616</v>
          </cell>
          <cell r="L183">
            <v>72.235780687428218</v>
          </cell>
          <cell r="M183">
            <v>72.209538020847461</v>
          </cell>
          <cell r="N183">
            <v>72.144954730330838</v>
          </cell>
          <cell r="O183">
            <v>72.313442032928947</v>
          </cell>
          <cell r="P183">
            <v>72.096971787374997</v>
          </cell>
          <cell r="Q183">
            <v>72.037790895741793</v>
          </cell>
          <cell r="R183">
            <v>72.159194941673235</v>
          </cell>
          <cell r="S183">
            <v>72.041558853077021</v>
          </cell>
          <cell r="T183">
            <v>72.041558853077021</v>
          </cell>
          <cell r="U183">
            <v>72.041558853077021</v>
          </cell>
          <cell r="V183">
            <v>72.041558853077021</v>
          </cell>
          <cell r="W183">
            <v>72.041558853077021</v>
          </cell>
          <cell r="X183">
            <v>72.041558853077021</v>
          </cell>
          <cell r="Y183">
            <v>72.041558853077021</v>
          </cell>
          <cell r="Z183">
            <v>72.041558853077021</v>
          </cell>
          <cell r="AA183">
            <v>72.041558853077021</v>
          </cell>
          <cell r="AB183">
            <v>72.041558853077021</v>
          </cell>
          <cell r="AC183">
            <v>72.041558853077021</v>
          </cell>
          <cell r="AD183">
            <v>72.041558853077021</v>
          </cell>
          <cell r="AE183">
            <v>72.041558853077021</v>
          </cell>
          <cell r="AF183">
            <v>72.041558853077021</v>
          </cell>
        </row>
        <row r="184">
          <cell r="A184" t="str">
            <v>Missouri</v>
          </cell>
          <cell r="B184">
            <v>58.875184110825579</v>
          </cell>
          <cell r="C184">
            <v>58.756835249719316</v>
          </cell>
          <cell r="D184">
            <v>58.745980621269311</v>
          </cell>
          <cell r="E184">
            <v>58.824316588028324</v>
          </cell>
          <cell r="F184">
            <v>58.776858291735657</v>
          </cell>
          <cell r="G184">
            <v>58.792319297074691</v>
          </cell>
          <cell r="H184">
            <v>58.810708406191836</v>
          </cell>
          <cell r="I184">
            <v>58.868849867366819</v>
          </cell>
          <cell r="J184">
            <v>58.732713345403397</v>
          </cell>
          <cell r="K184">
            <v>58.857883996921224</v>
          </cell>
          <cell r="L184">
            <v>58.73083153803627</v>
          </cell>
          <cell r="M184">
            <v>58.709495108701731</v>
          </cell>
          <cell r="N184">
            <v>58.656986084511672</v>
          </cell>
          <cell r="O184">
            <v>58.793973589748262</v>
          </cell>
          <cell r="P184">
            <v>58.617973864907761</v>
          </cell>
          <cell r="Q184">
            <v>58.569857225983043</v>
          </cell>
          <cell r="R184">
            <v>58.668563995699991</v>
          </cell>
          <cell r="S184">
            <v>58.572920739181001</v>
          </cell>
          <cell r="T184">
            <v>58.572920739181001</v>
          </cell>
          <cell r="U184">
            <v>58.572920739181001</v>
          </cell>
          <cell r="V184">
            <v>58.572920739181001</v>
          </cell>
          <cell r="W184">
            <v>58.572920739181001</v>
          </cell>
          <cell r="X184">
            <v>58.572920739181001</v>
          </cell>
          <cell r="Y184">
            <v>58.572920739181001</v>
          </cell>
          <cell r="Z184">
            <v>58.572920739181001</v>
          </cell>
          <cell r="AA184">
            <v>58.572920739181001</v>
          </cell>
          <cell r="AB184">
            <v>58.572920739181001</v>
          </cell>
          <cell r="AC184">
            <v>58.572920739181001</v>
          </cell>
          <cell r="AD184">
            <v>58.572920739181001</v>
          </cell>
          <cell r="AE184">
            <v>58.572920739181001</v>
          </cell>
          <cell r="AF184">
            <v>58.572920739181001</v>
          </cell>
        </row>
        <row r="185">
          <cell r="A185" t="str">
            <v>Montana</v>
          </cell>
          <cell r="B185">
            <v>58.875184110825572</v>
          </cell>
          <cell r="C185">
            <v>58.756835249719302</v>
          </cell>
          <cell r="D185">
            <v>58.745980621269304</v>
          </cell>
          <cell r="E185">
            <v>58.824316588028331</v>
          </cell>
          <cell r="F185">
            <v>58.776858291735671</v>
          </cell>
          <cell r="G185">
            <v>58.792319297074698</v>
          </cell>
          <cell r="H185">
            <v>58.81070840619185</v>
          </cell>
          <cell r="I185">
            <v>58.868849867366819</v>
          </cell>
          <cell r="J185">
            <v>58.73271334540339</v>
          </cell>
          <cell r="K185">
            <v>58.857883996921245</v>
          </cell>
          <cell r="L185">
            <v>58.730831538036284</v>
          </cell>
          <cell r="M185">
            <v>58.709495108701738</v>
          </cell>
          <cell r="N185">
            <v>58.656986084511672</v>
          </cell>
          <cell r="O185">
            <v>58.793973589748255</v>
          </cell>
          <cell r="P185">
            <v>58.617973864907761</v>
          </cell>
          <cell r="Q185">
            <v>58.56985722598305</v>
          </cell>
          <cell r="R185">
            <v>58.668563995699984</v>
          </cell>
          <cell r="S185">
            <v>58.572920739180994</v>
          </cell>
          <cell r="T185">
            <v>58.572920739180994</v>
          </cell>
          <cell r="U185">
            <v>58.572920739180994</v>
          </cell>
          <cell r="V185">
            <v>58.572920739180994</v>
          </cell>
          <cell r="W185">
            <v>58.572920739180994</v>
          </cell>
          <cell r="X185">
            <v>58.572920739180994</v>
          </cell>
          <cell r="Y185">
            <v>58.572920739180994</v>
          </cell>
          <cell r="Z185">
            <v>58.572920739180994</v>
          </cell>
          <cell r="AA185">
            <v>58.572920739180994</v>
          </cell>
          <cell r="AB185">
            <v>58.572920739180994</v>
          </cell>
          <cell r="AC185">
            <v>58.572920739180994</v>
          </cell>
          <cell r="AD185">
            <v>58.572920739180994</v>
          </cell>
          <cell r="AE185">
            <v>58.572920739180994</v>
          </cell>
          <cell r="AF185">
            <v>58.572920739180994</v>
          </cell>
        </row>
        <row r="186">
          <cell r="A186" t="str">
            <v>Nebraska</v>
          </cell>
          <cell r="B186">
            <v>58.875184110825586</v>
          </cell>
          <cell r="C186">
            <v>58.756835249719302</v>
          </cell>
          <cell r="D186">
            <v>58.745980621269318</v>
          </cell>
          <cell r="E186">
            <v>58.824316588028331</v>
          </cell>
          <cell r="F186">
            <v>58.776858291735657</v>
          </cell>
          <cell r="G186">
            <v>58.792319297074691</v>
          </cell>
          <cell r="H186">
            <v>58.810708406191843</v>
          </cell>
          <cell r="I186">
            <v>58.868849867366812</v>
          </cell>
          <cell r="J186">
            <v>58.732713345403383</v>
          </cell>
          <cell r="K186">
            <v>58.857883996921245</v>
          </cell>
          <cell r="L186">
            <v>58.730831538036284</v>
          </cell>
          <cell r="M186">
            <v>58.709495108701724</v>
          </cell>
          <cell r="N186">
            <v>58.656986084511672</v>
          </cell>
          <cell r="O186">
            <v>58.793973589748269</v>
          </cell>
          <cell r="P186">
            <v>58.617973864907768</v>
          </cell>
          <cell r="Q186">
            <v>58.56985722598305</v>
          </cell>
          <cell r="R186">
            <v>58.668563995699984</v>
          </cell>
          <cell r="S186">
            <v>58.572920739180994</v>
          </cell>
          <cell r="T186">
            <v>58.572920739180994</v>
          </cell>
          <cell r="U186">
            <v>58.572920739180994</v>
          </cell>
          <cell r="V186">
            <v>58.572920739180994</v>
          </cell>
          <cell r="W186">
            <v>58.572920739180994</v>
          </cell>
          <cell r="X186">
            <v>58.572920739180994</v>
          </cell>
          <cell r="Y186">
            <v>58.572920739180994</v>
          </cell>
          <cell r="Z186">
            <v>58.572920739180994</v>
          </cell>
          <cell r="AA186">
            <v>58.572920739180994</v>
          </cell>
          <cell r="AB186">
            <v>58.572920739180994</v>
          </cell>
          <cell r="AC186">
            <v>58.572920739180994</v>
          </cell>
          <cell r="AD186">
            <v>58.572920739180994</v>
          </cell>
          <cell r="AE186">
            <v>58.572920739180994</v>
          </cell>
          <cell r="AF186">
            <v>58.572920739180994</v>
          </cell>
        </row>
        <row r="187">
          <cell r="A187" t="str">
            <v>Nevada</v>
          </cell>
          <cell r="B187">
            <v>62.233485515239749</v>
          </cell>
          <cell r="C187">
            <v>62.108385912671402</v>
          </cell>
          <cell r="D187">
            <v>62.096912124986176</v>
          </cell>
          <cell r="E187">
            <v>62.179716456322843</v>
          </cell>
          <cell r="F187">
            <v>62.129551089716969</v>
          </cell>
          <cell r="G187">
            <v>62.145894006793981</v>
          </cell>
          <cell r="H187">
            <v>62.16533204971757</v>
          </cell>
          <cell r="I187">
            <v>62.226789959981701</v>
          </cell>
          <cell r="J187">
            <v>62.08288806998069</v>
          </cell>
          <cell r="K187">
            <v>62.215198584942407</v>
          </cell>
          <cell r="L187">
            <v>62.08089892237475</v>
          </cell>
          <cell r="M187">
            <v>62.058345441039741</v>
          </cell>
          <cell r="N187">
            <v>62.00284124779256</v>
          </cell>
          <cell r="O187">
            <v>62.147642662032915</v>
          </cell>
          <cell r="P187">
            <v>61.961603730826688</v>
          </cell>
          <cell r="Q187">
            <v>61.910742469044031</v>
          </cell>
          <cell r="R187">
            <v>62.015079575011654</v>
          </cell>
          <cell r="S187">
            <v>61.913980728203811</v>
          </cell>
          <cell r="T187">
            <v>61.913980728203811</v>
          </cell>
          <cell r="U187">
            <v>61.913980728203811</v>
          </cell>
          <cell r="V187">
            <v>61.913980728203811</v>
          </cell>
          <cell r="W187">
            <v>61.913980728203811</v>
          </cell>
          <cell r="X187">
            <v>61.913980728203811</v>
          </cell>
          <cell r="Y187">
            <v>61.913980728203811</v>
          </cell>
          <cell r="Z187">
            <v>61.913980728203811</v>
          </cell>
          <cell r="AA187">
            <v>61.913980728203811</v>
          </cell>
          <cell r="AB187">
            <v>61.913980728203811</v>
          </cell>
          <cell r="AC187">
            <v>61.913980728203811</v>
          </cell>
          <cell r="AD187">
            <v>61.913980728203811</v>
          </cell>
          <cell r="AE187">
            <v>61.913980728203811</v>
          </cell>
          <cell r="AF187">
            <v>61.913980728203811</v>
          </cell>
        </row>
        <row r="188">
          <cell r="A188" t="str">
            <v>New Hampshire</v>
          </cell>
          <cell r="B188">
            <v>62.801057790893132</v>
          </cell>
          <cell r="C188">
            <v>62.674838052454177</v>
          </cell>
          <cell r="D188">
            <v>62.663260741338753</v>
          </cell>
          <cell r="E188">
            <v>62.746812538989893</v>
          </cell>
          <cell r="F188">
            <v>62.696195905523155</v>
          </cell>
          <cell r="G188">
            <v>62.712693307118535</v>
          </cell>
          <cell r="H188">
            <v>62.732302709508012</v>
          </cell>
          <cell r="I188">
            <v>62.794307668207431</v>
          </cell>
          <cell r="J188">
            <v>62.649104057175599</v>
          </cell>
          <cell r="K188">
            <v>62.782609888053948</v>
          </cell>
          <cell r="L188">
            <v>62.647107812310999</v>
          </cell>
          <cell r="M188">
            <v>62.623748897543017</v>
          </cell>
          <cell r="N188">
            <v>62.567744344558463</v>
          </cell>
          <cell r="O188">
            <v>62.713845898987842</v>
          </cell>
          <cell r="P188">
            <v>62.526140450178417</v>
          </cell>
          <cell r="Q188">
            <v>62.474819749184029</v>
          </cell>
          <cell r="R188">
            <v>62.580097028641482</v>
          </cell>
          <cell r="S188">
            <v>62.478093014615439</v>
          </cell>
          <cell r="T188">
            <v>62.478093014615439</v>
          </cell>
          <cell r="U188">
            <v>62.478093014615439</v>
          </cell>
          <cell r="V188">
            <v>62.478093014615439</v>
          </cell>
          <cell r="W188">
            <v>62.478093014615439</v>
          </cell>
          <cell r="X188">
            <v>62.478093014615439</v>
          </cell>
          <cell r="Y188">
            <v>62.478093014615439</v>
          </cell>
          <cell r="Z188">
            <v>62.478093014615439</v>
          </cell>
          <cell r="AA188">
            <v>62.478093014615439</v>
          </cell>
          <cell r="AB188">
            <v>62.478093014615439</v>
          </cell>
          <cell r="AC188">
            <v>62.478093014615439</v>
          </cell>
          <cell r="AD188">
            <v>62.478093014615439</v>
          </cell>
          <cell r="AE188">
            <v>62.478093014615439</v>
          </cell>
          <cell r="AF188">
            <v>62.478093014615439</v>
          </cell>
        </row>
        <row r="189">
          <cell r="A189" t="str">
            <v>New Jersey</v>
          </cell>
          <cell r="B189">
            <v>62.80105779089314</v>
          </cell>
          <cell r="C189">
            <v>62.674838052454184</v>
          </cell>
          <cell r="D189">
            <v>62.66326074133876</v>
          </cell>
          <cell r="E189">
            <v>62.746812538989893</v>
          </cell>
          <cell r="F189">
            <v>62.69619590552314</v>
          </cell>
          <cell r="G189">
            <v>62.712693307118549</v>
          </cell>
          <cell r="H189">
            <v>62.732302709508026</v>
          </cell>
          <cell r="I189">
            <v>62.794307668207423</v>
          </cell>
          <cell r="J189">
            <v>62.649104057175606</v>
          </cell>
          <cell r="K189">
            <v>62.782609888053948</v>
          </cell>
          <cell r="L189">
            <v>62.647107812310999</v>
          </cell>
          <cell r="M189">
            <v>62.623748897543024</v>
          </cell>
          <cell r="N189">
            <v>62.567744344558449</v>
          </cell>
          <cell r="O189">
            <v>62.713845898987863</v>
          </cell>
          <cell r="P189">
            <v>62.526140450178424</v>
          </cell>
          <cell r="Q189">
            <v>62.474819749184029</v>
          </cell>
          <cell r="R189">
            <v>62.580097028641482</v>
          </cell>
          <cell r="S189">
            <v>62.478093014615439</v>
          </cell>
          <cell r="T189">
            <v>62.478093014615439</v>
          </cell>
          <cell r="U189">
            <v>62.478093014615439</v>
          </cell>
          <cell r="V189">
            <v>62.478093014615439</v>
          </cell>
          <cell r="W189">
            <v>62.478093014615439</v>
          </cell>
          <cell r="X189">
            <v>62.478093014615439</v>
          </cell>
          <cell r="Y189">
            <v>62.478093014615439</v>
          </cell>
          <cell r="Z189">
            <v>62.478093014615439</v>
          </cell>
          <cell r="AA189">
            <v>62.478093014615439</v>
          </cell>
          <cell r="AB189">
            <v>62.478093014615439</v>
          </cell>
          <cell r="AC189">
            <v>62.478093014615439</v>
          </cell>
          <cell r="AD189">
            <v>62.478093014615439</v>
          </cell>
          <cell r="AE189">
            <v>62.478093014615439</v>
          </cell>
          <cell r="AF189">
            <v>62.478093014615439</v>
          </cell>
        </row>
        <row r="190">
          <cell r="A190" t="str">
            <v>New Mexico</v>
          </cell>
          <cell r="B190">
            <v>62.233485515239764</v>
          </cell>
          <cell r="C190">
            <v>62.108385912671402</v>
          </cell>
          <cell r="D190">
            <v>62.09691212498619</v>
          </cell>
          <cell r="E190">
            <v>62.179716456322836</v>
          </cell>
          <cell r="F190">
            <v>62.129551089716969</v>
          </cell>
          <cell r="G190">
            <v>62.145894006793988</v>
          </cell>
          <cell r="H190">
            <v>62.16533204971757</v>
          </cell>
          <cell r="I190">
            <v>62.22678995998173</v>
          </cell>
          <cell r="J190">
            <v>62.082888069980683</v>
          </cell>
          <cell r="K190">
            <v>62.215198584942392</v>
          </cell>
          <cell r="L190">
            <v>62.080898922374743</v>
          </cell>
          <cell r="M190">
            <v>62.058345441039748</v>
          </cell>
          <cell r="N190">
            <v>62.002841247792553</v>
          </cell>
          <cell r="O190">
            <v>62.147642662032929</v>
          </cell>
          <cell r="P190">
            <v>61.961603730826702</v>
          </cell>
          <cell r="Q190">
            <v>61.910742469044045</v>
          </cell>
          <cell r="R190">
            <v>62.015079575011647</v>
          </cell>
          <cell r="S190">
            <v>61.913980728203803</v>
          </cell>
          <cell r="T190">
            <v>61.913980728203803</v>
          </cell>
          <cell r="U190">
            <v>61.913980728203803</v>
          </cell>
          <cell r="V190">
            <v>61.913980728203803</v>
          </cell>
          <cell r="W190">
            <v>61.913980728203803</v>
          </cell>
          <cell r="X190">
            <v>61.913980728203803</v>
          </cell>
          <cell r="Y190">
            <v>61.913980728203803</v>
          </cell>
          <cell r="Z190">
            <v>61.913980728203803</v>
          </cell>
          <cell r="AA190">
            <v>61.913980728203803</v>
          </cell>
          <cell r="AB190">
            <v>61.913980728203803</v>
          </cell>
          <cell r="AC190">
            <v>61.913980728203803</v>
          </cell>
          <cell r="AD190">
            <v>61.913980728203803</v>
          </cell>
          <cell r="AE190">
            <v>61.913980728203803</v>
          </cell>
          <cell r="AF190">
            <v>61.913980728203803</v>
          </cell>
        </row>
        <row r="191">
          <cell r="A191" t="str">
            <v>New York</v>
          </cell>
          <cell r="B191">
            <v>62.801057790893147</v>
          </cell>
          <cell r="C191">
            <v>62.674838052454184</v>
          </cell>
          <cell r="D191">
            <v>62.663260741338753</v>
          </cell>
          <cell r="E191">
            <v>62.746812538989914</v>
          </cell>
          <cell r="F191">
            <v>62.696195905523155</v>
          </cell>
          <cell r="G191">
            <v>62.712693307118535</v>
          </cell>
          <cell r="H191">
            <v>62.732302709508012</v>
          </cell>
          <cell r="I191">
            <v>62.794307668207416</v>
          </cell>
          <cell r="J191">
            <v>62.649104057175585</v>
          </cell>
          <cell r="K191">
            <v>62.782609888053955</v>
          </cell>
          <cell r="L191">
            <v>62.647107812310992</v>
          </cell>
          <cell r="M191">
            <v>62.62374889754301</v>
          </cell>
          <cell r="N191">
            <v>62.567744344558456</v>
          </cell>
          <cell r="O191">
            <v>62.713845898987856</v>
          </cell>
          <cell r="P191">
            <v>62.526140450178431</v>
          </cell>
          <cell r="Q191">
            <v>62.474819749184029</v>
          </cell>
          <cell r="R191">
            <v>62.580097028641475</v>
          </cell>
          <cell r="S191">
            <v>62.478093014615432</v>
          </cell>
          <cell r="T191">
            <v>62.478093014615432</v>
          </cell>
          <cell r="U191">
            <v>62.478093014615432</v>
          </cell>
          <cell r="V191">
            <v>62.478093014615432</v>
          </cell>
          <cell r="W191">
            <v>62.478093014615432</v>
          </cell>
          <cell r="X191">
            <v>62.478093014615432</v>
          </cell>
          <cell r="Y191">
            <v>62.478093014615432</v>
          </cell>
          <cell r="Z191">
            <v>62.478093014615432</v>
          </cell>
          <cell r="AA191">
            <v>62.478093014615432</v>
          </cell>
          <cell r="AB191">
            <v>62.478093014615432</v>
          </cell>
          <cell r="AC191">
            <v>62.478093014615432</v>
          </cell>
          <cell r="AD191">
            <v>62.478093014615432</v>
          </cell>
          <cell r="AE191">
            <v>62.478093014615432</v>
          </cell>
          <cell r="AF191">
            <v>62.478093014615432</v>
          </cell>
        </row>
        <row r="192">
          <cell r="A192" t="str">
            <v>North Carolina</v>
          </cell>
          <cell r="B192">
            <v>72.413326629084423</v>
          </cell>
          <cell r="C192">
            <v>72.267763861597587</v>
          </cell>
          <cell r="D192">
            <v>72.254413249327641</v>
          </cell>
          <cell r="E192">
            <v>72.350762297460506</v>
          </cell>
          <cell r="F192">
            <v>72.292391132043306</v>
          </cell>
          <cell r="G192">
            <v>72.311407341445246</v>
          </cell>
          <cell r="H192">
            <v>72.33402496184047</v>
          </cell>
          <cell r="I192">
            <v>72.405535848512713</v>
          </cell>
          <cell r="J192">
            <v>72.238095209812883</v>
          </cell>
          <cell r="K192">
            <v>72.392048414539602</v>
          </cell>
          <cell r="L192">
            <v>72.235780687428203</v>
          </cell>
          <cell r="M192">
            <v>72.209538020847461</v>
          </cell>
          <cell r="N192">
            <v>72.144954730330838</v>
          </cell>
          <cell r="O192">
            <v>72.313442032928933</v>
          </cell>
          <cell r="P192">
            <v>72.096971787374997</v>
          </cell>
          <cell r="Q192">
            <v>72.037790895741793</v>
          </cell>
          <cell r="R192">
            <v>72.159194941673235</v>
          </cell>
          <cell r="S192">
            <v>72.041558853077035</v>
          </cell>
          <cell r="T192">
            <v>72.041558853077035</v>
          </cell>
          <cell r="U192">
            <v>72.041558853077035</v>
          </cell>
          <cell r="V192">
            <v>72.041558853077035</v>
          </cell>
          <cell r="W192">
            <v>72.041558853077035</v>
          </cell>
          <cell r="X192">
            <v>72.041558853077035</v>
          </cell>
          <cell r="Y192">
            <v>72.041558853077035</v>
          </cell>
          <cell r="Z192">
            <v>72.041558853077035</v>
          </cell>
          <cell r="AA192">
            <v>72.041558853077035</v>
          </cell>
          <cell r="AB192">
            <v>72.041558853077035</v>
          </cell>
          <cell r="AC192">
            <v>72.041558853077035</v>
          </cell>
          <cell r="AD192">
            <v>72.041558853077035</v>
          </cell>
          <cell r="AE192">
            <v>72.041558853077035</v>
          </cell>
          <cell r="AF192">
            <v>72.041558853077035</v>
          </cell>
        </row>
        <row r="193">
          <cell r="A193" t="str">
            <v>North Dakota</v>
          </cell>
          <cell r="B193">
            <v>58.875184110825579</v>
          </cell>
          <cell r="C193">
            <v>58.756835249719288</v>
          </cell>
          <cell r="D193">
            <v>58.745980621269318</v>
          </cell>
          <cell r="E193">
            <v>58.824316588028324</v>
          </cell>
          <cell r="F193">
            <v>58.776858291735678</v>
          </cell>
          <cell r="G193">
            <v>58.792319297074691</v>
          </cell>
          <cell r="H193">
            <v>58.810708406191836</v>
          </cell>
          <cell r="I193">
            <v>58.868849867366812</v>
          </cell>
          <cell r="J193">
            <v>58.732713345403383</v>
          </cell>
          <cell r="K193">
            <v>58.857883996921245</v>
          </cell>
          <cell r="L193">
            <v>58.730831538036284</v>
          </cell>
          <cell r="M193">
            <v>58.709495108701745</v>
          </cell>
          <cell r="N193">
            <v>58.656986084511672</v>
          </cell>
          <cell r="O193">
            <v>58.793973589748255</v>
          </cell>
          <cell r="P193">
            <v>58.617973864907761</v>
          </cell>
          <cell r="Q193">
            <v>58.56985722598305</v>
          </cell>
          <cell r="R193">
            <v>58.668563995699984</v>
          </cell>
          <cell r="S193">
            <v>58.572920739180994</v>
          </cell>
          <cell r="T193">
            <v>58.572920739180994</v>
          </cell>
          <cell r="U193">
            <v>58.572920739180994</v>
          </cell>
          <cell r="V193">
            <v>58.572920739180994</v>
          </cell>
          <cell r="W193">
            <v>58.572920739180994</v>
          </cell>
          <cell r="X193">
            <v>58.572920739180994</v>
          </cell>
          <cell r="Y193">
            <v>58.572920739180994</v>
          </cell>
          <cell r="Z193">
            <v>58.572920739180994</v>
          </cell>
          <cell r="AA193">
            <v>58.572920739180994</v>
          </cell>
          <cell r="AB193">
            <v>58.572920739180994</v>
          </cell>
          <cell r="AC193">
            <v>58.572920739180994</v>
          </cell>
          <cell r="AD193">
            <v>58.572920739180994</v>
          </cell>
          <cell r="AE193">
            <v>58.572920739180994</v>
          </cell>
          <cell r="AF193">
            <v>58.572920739180994</v>
          </cell>
        </row>
        <row r="194">
          <cell r="A194" t="str">
            <v>Ohio</v>
          </cell>
          <cell r="B194">
            <v>58.875184110825565</v>
          </cell>
          <cell r="C194">
            <v>58.756835249719309</v>
          </cell>
          <cell r="D194">
            <v>58.745980621269339</v>
          </cell>
          <cell r="E194">
            <v>58.824316588028324</v>
          </cell>
          <cell r="F194">
            <v>58.776858291735671</v>
          </cell>
          <cell r="G194">
            <v>58.792319297074691</v>
          </cell>
          <cell r="H194">
            <v>58.810708406191836</v>
          </cell>
          <cell r="I194">
            <v>58.868849867366819</v>
          </cell>
          <cell r="J194">
            <v>58.732713345403383</v>
          </cell>
          <cell r="K194">
            <v>58.857883996921238</v>
          </cell>
          <cell r="L194">
            <v>58.730831538036284</v>
          </cell>
          <cell r="M194">
            <v>58.709495108701738</v>
          </cell>
          <cell r="N194">
            <v>58.656986084511686</v>
          </cell>
          <cell r="O194">
            <v>58.793973589748262</v>
          </cell>
          <cell r="P194">
            <v>58.617973864907775</v>
          </cell>
          <cell r="Q194">
            <v>58.56985722598305</v>
          </cell>
          <cell r="R194">
            <v>58.668563995699984</v>
          </cell>
          <cell r="S194">
            <v>58.572920739180987</v>
          </cell>
          <cell r="T194">
            <v>58.572920739180987</v>
          </cell>
          <cell r="U194">
            <v>58.572920739180987</v>
          </cell>
          <cell r="V194">
            <v>58.572920739180987</v>
          </cell>
          <cell r="W194">
            <v>58.572920739180987</v>
          </cell>
          <cell r="X194">
            <v>58.572920739180987</v>
          </cell>
          <cell r="Y194">
            <v>58.572920739180987</v>
          </cell>
          <cell r="Z194">
            <v>58.572920739180987</v>
          </cell>
          <cell r="AA194">
            <v>58.572920739180987</v>
          </cell>
          <cell r="AB194">
            <v>58.572920739180987</v>
          </cell>
          <cell r="AC194">
            <v>58.572920739180987</v>
          </cell>
          <cell r="AD194">
            <v>58.572920739180987</v>
          </cell>
          <cell r="AE194">
            <v>58.572920739180987</v>
          </cell>
          <cell r="AF194">
            <v>58.572920739180987</v>
          </cell>
        </row>
        <row r="195">
          <cell r="A195" t="str">
            <v>Oklahoma</v>
          </cell>
          <cell r="B195">
            <v>70.389610749776281</v>
          </cell>
          <cell r="C195">
            <v>70.248089207054576</v>
          </cell>
          <cell r="D195">
            <v>70.235110259844461</v>
          </cell>
          <cell r="E195">
            <v>70.328776607402219</v>
          </cell>
          <cell r="F195">
            <v>70.272028678605565</v>
          </cell>
          <cell r="G195">
            <v>70.290506440738753</v>
          </cell>
          <cell r="H195">
            <v>70.312499597554222</v>
          </cell>
          <cell r="I195">
            <v>70.382029323606986</v>
          </cell>
          <cell r="J195">
            <v>70.219254351090228</v>
          </cell>
          <cell r="K195">
            <v>70.36891971020664</v>
          </cell>
          <cell r="L195">
            <v>70.21699027877284</v>
          </cell>
          <cell r="M195">
            <v>70.192253956850706</v>
          </cell>
          <cell r="N195">
            <v>70.129468030332333</v>
          </cell>
          <cell r="O195">
            <v>70.293273026183144</v>
          </cell>
          <cell r="P195">
            <v>70.082813538812758</v>
          </cell>
          <cell r="Q195">
            <v>70.02528086602544</v>
          </cell>
          <cell r="R195">
            <v>70.143306739450807</v>
          </cell>
          <cell r="S195">
            <v>70.028936467434576</v>
          </cell>
          <cell r="T195">
            <v>70.028936467434576</v>
          </cell>
          <cell r="U195">
            <v>70.028936467434576</v>
          </cell>
          <cell r="V195">
            <v>70.028936467434576</v>
          </cell>
          <cell r="W195">
            <v>70.028936467434576</v>
          </cell>
          <cell r="X195">
            <v>70.028936467434576</v>
          </cell>
          <cell r="Y195">
            <v>70.028936467434576</v>
          </cell>
          <cell r="Z195">
            <v>70.028936467434576</v>
          </cell>
          <cell r="AA195">
            <v>70.028936467434576</v>
          </cell>
          <cell r="AB195">
            <v>70.028936467434576</v>
          </cell>
          <cell r="AC195">
            <v>70.028936467434576</v>
          </cell>
          <cell r="AD195">
            <v>70.028936467434576</v>
          </cell>
          <cell r="AE195">
            <v>70.028936467434576</v>
          </cell>
          <cell r="AF195">
            <v>70.028936467434576</v>
          </cell>
        </row>
        <row r="196">
          <cell r="A196" t="str">
            <v>Oregon</v>
          </cell>
          <cell r="B196">
            <v>62.233485515239757</v>
          </cell>
          <cell r="C196">
            <v>62.108385912671409</v>
          </cell>
          <cell r="D196">
            <v>62.096912124986183</v>
          </cell>
          <cell r="E196">
            <v>62.179716456322843</v>
          </cell>
          <cell r="F196">
            <v>62.129551089716976</v>
          </cell>
          <cell r="G196">
            <v>62.145894006793988</v>
          </cell>
          <cell r="H196">
            <v>62.16533204971757</v>
          </cell>
          <cell r="I196">
            <v>62.226789959981708</v>
          </cell>
          <cell r="J196">
            <v>62.082888069980683</v>
          </cell>
          <cell r="K196">
            <v>62.215198584942392</v>
          </cell>
          <cell r="L196">
            <v>62.080898922374757</v>
          </cell>
          <cell r="M196">
            <v>62.058345441039748</v>
          </cell>
          <cell r="N196">
            <v>62.00284124779256</v>
          </cell>
          <cell r="O196">
            <v>62.147642662032922</v>
          </cell>
          <cell r="P196">
            <v>61.96160373082671</v>
          </cell>
          <cell r="Q196">
            <v>61.910742469044038</v>
          </cell>
          <cell r="R196">
            <v>62.015079575011661</v>
          </cell>
          <cell r="S196">
            <v>61.913980728203811</v>
          </cell>
          <cell r="T196">
            <v>61.913980728203811</v>
          </cell>
          <cell r="U196">
            <v>61.913980728203811</v>
          </cell>
          <cell r="V196">
            <v>61.913980728203811</v>
          </cell>
          <cell r="W196">
            <v>61.913980728203811</v>
          </cell>
          <cell r="X196">
            <v>61.913980728203811</v>
          </cell>
          <cell r="Y196">
            <v>61.913980728203811</v>
          </cell>
          <cell r="Z196">
            <v>61.913980728203811</v>
          </cell>
          <cell r="AA196">
            <v>61.913980728203811</v>
          </cell>
          <cell r="AB196">
            <v>61.913980728203811</v>
          </cell>
          <cell r="AC196">
            <v>61.913980728203811</v>
          </cell>
          <cell r="AD196">
            <v>61.913980728203811</v>
          </cell>
          <cell r="AE196">
            <v>61.913980728203811</v>
          </cell>
          <cell r="AF196">
            <v>61.913980728203811</v>
          </cell>
        </row>
        <row r="197">
          <cell r="A197" t="str">
            <v>Pennsylvania</v>
          </cell>
          <cell r="B197">
            <v>62.801057790893154</v>
          </cell>
          <cell r="C197">
            <v>62.674838052454177</v>
          </cell>
          <cell r="D197">
            <v>62.663260741338775</v>
          </cell>
          <cell r="E197">
            <v>62.746812538989886</v>
          </cell>
          <cell r="F197">
            <v>62.696195905523147</v>
          </cell>
          <cell r="G197">
            <v>62.712693307118528</v>
          </cell>
          <cell r="H197">
            <v>62.732302709508005</v>
          </cell>
          <cell r="I197">
            <v>62.794307668207438</v>
          </cell>
          <cell r="J197">
            <v>62.649104057175585</v>
          </cell>
          <cell r="K197">
            <v>62.78260988805394</v>
          </cell>
          <cell r="L197">
            <v>62.647107812310971</v>
          </cell>
          <cell r="M197">
            <v>62.623748897543024</v>
          </cell>
          <cell r="N197">
            <v>62.567744344558463</v>
          </cell>
          <cell r="O197">
            <v>62.713845898987849</v>
          </cell>
          <cell r="P197">
            <v>62.526140450178445</v>
          </cell>
          <cell r="Q197">
            <v>62.474819749184029</v>
          </cell>
          <cell r="R197">
            <v>62.580097028641489</v>
          </cell>
          <cell r="S197">
            <v>62.478093014615418</v>
          </cell>
          <cell r="T197">
            <v>62.478093014615418</v>
          </cell>
          <cell r="U197">
            <v>62.478093014615418</v>
          </cell>
          <cell r="V197">
            <v>62.478093014615418</v>
          </cell>
          <cell r="W197">
            <v>62.478093014615418</v>
          </cell>
          <cell r="X197">
            <v>62.478093014615418</v>
          </cell>
          <cell r="Y197">
            <v>62.478093014615418</v>
          </cell>
          <cell r="Z197">
            <v>62.478093014615418</v>
          </cell>
          <cell r="AA197">
            <v>62.478093014615418</v>
          </cell>
          <cell r="AB197">
            <v>62.478093014615418</v>
          </cell>
          <cell r="AC197">
            <v>62.478093014615418</v>
          </cell>
          <cell r="AD197">
            <v>62.478093014615418</v>
          </cell>
          <cell r="AE197">
            <v>62.478093014615418</v>
          </cell>
          <cell r="AF197">
            <v>62.478093014615418</v>
          </cell>
        </row>
        <row r="198">
          <cell r="A198" t="str">
            <v>Rhode Island</v>
          </cell>
          <cell r="B198">
            <v>62.801057790893132</v>
          </cell>
          <cell r="C198">
            <v>62.674838052454177</v>
          </cell>
          <cell r="D198">
            <v>62.663260741338739</v>
          </cell>
          <cell r="E198">
            <v>62.7468125389899</v>
          </cell>
          <cell r="F198">
            <v>62.696195905523147</v>
          </cell>
          <cell r="G198">
            <v>62.712693307118549</v>
          </cell>
          <cell r="H198">
            <v>62.732302709508012</v>
          </cell>
          <cell r="I198">
            <v>62.794307668207416</v>
          </cell>
          <cell r="J198">
            <v>62.649104057175606</v>
          </cell>
          <cell r="K198">
            <v>62.782609888053955</v>
          </cell>
          <cell r="L198">
            <v>62.647107812310992</v>
          </cell>
          <cell r="M198">
            <v>62.623748897543038</v>
          </cell>
          <cell r="N198">
            <v>62.567744344558456</v>
          </cell>
          <cell r="O198">
            <v>62.713845898987856</v>
          </cell>
          <cell r="P198">
            <v>62.526140450178424</v>
          </cell>
          <cell r="Q198">
            <v>62.474819749184022</v>
          </cell>
          <cell r="R198">
            <v>62.580097028641482</v>
          </cell>
          <cell r="S198">
            <v>62.478093014615425</v>
          </cell>
          <cell r="T198">
            <v>62.478093014615425</v>
          </cell>
          <cell r="U198">
            <v>62.478093014615425</v>
          </cell>
          <cell r="V198">
            <v>62.478093014615425</v>
          </cell>
          <cell r="W198">
            <v>62.478093014615425</v>
          </cell>
          <cell r="X198">
            <v>62.478093014615425</v>
          </cell>
          <cell r="Y198">
            <v>62.478093014615425</v>
          </cell>
          <cell r="Z198">
            <v>62.478093014615425</v>
          </cell>
          <cell r="AA198">
            <v>62.478093014615425</v>
          </cell>
          <cell r="AB198">
            <v>62.478093014615425</v>
          </cell>
          <cell r="AC198">
            <v>62.478093014615425</v>
          </cell>
          <cell r="AD198">
            <v>62.478093014615425</v>
          </cell>
          <cell r="AE198">
            <v>62.478093014615425</v>
          </cell>
          <cell r="AF198">
            <v>62.478093014615425</v>
          </cell>
        </row>
        <row r="199">
          <cell r="A199" t="str">
            <v>South Carolina</v>
          </cell>
          <cell r="B199">
            <v>72.413326629084452</v>
          </cell>
          <cell r="C199">
            <v>72.267763861597587</v>
          </cell>
          <cell r="D199">
            <v>72.254413249327641</v>
          </cell>
          <cell r="E199">
            <v>72.350762297460491</v>
          </cell>
          <cell r="F199">
            <v>72.292391132043306</v>
          </cell>
          <cell r="G199">
            <v>72.311407341445246</v>
          </cell>
          <cell r="H199">
            <v>72.334024961840484</v>
          </cell>
          <cell r="I199">
            <v>72.405535848512685</v>
          </cell>
          <cell r="J199">
            <v>72.238095209812911</v>
          </cell>
          <cell r="K199">
            <v>72.392048414539616</v>
          </cell>
          <cell r="L199">
            <v>72.235780687428203</v>
          </cell>
          <cell r="M199">
            <v>72.209538020847432</v>
          </cell>
          <cell r="N199">
            <v>72.144954730330809</v>
          </cell>
          <cell r="O199">
            <v>72.313442032928947</v>
          </cell>
          <cell r="P199">
            <v>72.096971787375011</v>
          </cell>
          <cell r="Q199">
            <v>72.037790895741765</v>
          </cell>
          <cell r="R199">
            <v>72.159194941673235</v>
          </cell>
          <cell r="S199">
            <v>72.041558853077021</v>
          </cell>
          <cell r="T199">
            <v>72.041558853077021</v>
          </cell>
          <cell r="U199">
            <v>72.041558853077021</v>
          </cell>
          <cell r="V199">
            <v>72.041558853077021</v>
          </cell>
          <cell r="W199">
            <v>72.041558853077021</v>
          </cell>
          <cell r="X199">
            <v>72.041558853077021</v>
          </cell>
          <cell r="Y199">
            <v>72.041558853077021</v>
          </cell>
          <cell r="Z199">
            <v>72.041558853077021</v>
          </cell>
          <cell r="AA199">
            <v>72.041558853077021</v>
          </cell>
          <cell r="AB199">
            <v>72.041558853077021</v>
          </cell>
          <cell r="AC199">
            <v>72.041558853077021</v>
          </cell>
          <cell r="AD199">
            <v>72.041558853077021</v>
          </cell>
          <cell r="AE199">
            <v>72.041558853077021</v>
          </cell>
          <cell r="AF199">
            <v>72.041558853077021</v>
          </cell>
        </row>
        <row r="200">
          <cell r="A200" t="str">
            <v>South Dakota</v>
          </cell>
          <cell r="B200">
            <v>58.875184110825565</v>
          </cell>
          <cell r="C200">
            <v>58.756835249719309</v>
          </cell>
          <cell r="D200">
            <v>58.745980621269318</v>
          </cell>
          <cell r="E200">
            <v>58.824316588028331</v>
          </cell>
          <cell r="F200">
            <v>58.776858291735664</v>
          </cell>
          <cell r="G200">
            <v>58.792319297074691</v>
          </cell>
          <cell r="H200">
            <v>58.810708406191829</v>
          </cell>
          <cell r="I200">
            <v>58.868849867366819</v>
          </cell>
          <cell r="J200">
            <v>58.732713345403383</v>
          </cell>
          <cell r="K200">
            <v>58.857883996921231</v>
          </cell>
          <cell r="L200">
            <v>58.730831538036284</v>
          </cell>
          <cell r="M200">
            <v>58.709495108701724</v>
          </cell>
          <cell r="N200">
            <v>58.656986084511672</v>
          </cell>
          <cell r="O200">
            <v>58.793973589748255</v>
          </cell>
          <cell r="P200">
            <v>58.617973864907768</v>
          </cell>
          <cell r="Q200">
            <v>58.56985722598305</v>
          </cell>
          <cell r="R200">
            <v>58.668563995699976</v>
          </cell>
          <cell r="S200">
            <v>58.572920739180994</v>
          </cell>
          <cell r="T200">
            <v>58.572920739180994</v>
          </cell>
          <cell r="U200">
            <v>58.572920739180994</v>
          </cell>
          <cell r="V200">
            <v>58.572920739180994</v>
          </cell>
          <cell r="W200">
            <v>58.572920739180994</v>
          </cell>
          <cell r="X200">
            <v>58.572920739180994</v>
          </cell>
          <cell r="Y200">
            <v>58.572920739180994</v>
          </cell>
          <cell r="Z200">
            <v>58.572920739180994</v>
          </cell>
          <cell r="AA200">
            <v>58.572920739180994</v>
          </cell>
          <cell r="AB200">
            <v>58.572920739180994</v>
          </cell>
          <cell r="AC200">
            <v>58.572920739180994</v>
          </cell>
          <cell r="AD200">
            <v>58.572920739180994</v>
          </cell>
          <cell r="AE200">
            <v>58.572920739180994</v>
          </cell>
          <cell r="AF200">
            <v>58.572920739180994</v>
          </cell>
        </row>
        <row r="201">
          <cell r="A201" t="str">
            <v>Tennessee</v>
          </cell>
          <cell r="B201">
            <v>72.413326629084423</v>
          </cell>
          <cell r="C201">
            <v>72.267763861597572</v>
          </cell>
          <cell r="D201">
            <v>72.254413249327627</v>
          </cell>
          <cell r="E201">
            <v>72.35076229746052</v>
          </cell>
          <cell r="F201">
            <v>72.292391132043306</v>
          </cell>
          <cell r="G201">
            <v>72.311407341445246</v>
          </cell>
          <cell r="H201">
            <v>72.33402496184047</v>
          </cell>
          <cell r="I201">
            <v>72.405535848512699</v>
          </cell>
          <cell r="J201">
            <v>72.238095209812897</v>
          </cell>
          <cell r="K201">
            <v>72.392048414539616</v>
          </cell>
          <cell r="L201">
            <v>72.235780687428189</v>
          </cell>
          <cell r="M201">
            <v>72.209538020847461</v>
          </cell>
          <cell r="N201">
            <v>72.144954730330838</v>
          </cell>
          <cell r="O201">
            <v>72.313442032928947</v>
          </cell>
          <cell r="P201">
            <v>72.096971787375011</v>
          </cell>
          <cell r="Q201">
            <v>72.037790895741765</v>
          </cell>
          <cell r="R201">
            <v>72.159194941673235</v>
          </cell>
          <cell r="S201">
            <v>72.041558853077021</v>
          </cell>
          <cell r="T201">
            <v>72.041558853077021</v>
          </cell>
          <cell r="U201">
            <v>72.041558853077021</v>
          </cell>
          <cell r="V201">
            <v>72.041558853077021</v>
          </cell>
          <cell r="W201">
            <v>72.041558853077021</v>
          </cell>
          <cell r="X201">
            <v>72.041558853077021</v>
          </cell>
          <cell r="Y201">
            <v>72.041558853077021</v>
          </cell>
          <cell r="Z201">
            <v>72.041558853077021</v>
          </cell>
          <cell r="AA201">
            <v>72.041558853077021</v>
          </cell>
          <cell r="AB201">
            <v>72.041558853077021</v>
          </cell>
          <cell r="AC201">
            <v>72.041558853077021</v>
          </cell>
          <cell r="AD201">
            <v>72.041558853077021</v>
          </cell>
          <cell r="AE201">
            <v>72.041558853077021</v>
          </cell>
          <cell r="AF201">
            <v>72.041558853077021</v>
          </cell>
        </row>
        <row r="202">
          <cell r="A202" t="str">
            <v>Texas</v>
          </cell>
          <cell r="B202">
            <v>70.389610749776281</v>
          </cell>
          <cell r="C202">
            <v>70.248089207054562</v>
          </cell>
          <cell r="D202">
            <v>70.235110259844475</v>
          </cell>
          <cell r="E202">
            <v>70.328776607402204</v>
          </cell>
          <cell r="F202">
            <v>70.272028678605565</v>
          </cell>
          <cell r="G202">
            <v>70.290506440738739</v>
          </cell>
          <cell r="H202">
            <v>70.312499597554236</v>
          </cell>
          <cell r="I202">
            <v>70.382029323606986</v>
          </cell>
          <cell r="J202">
            <v>70.219254351090228</v>
          </cell>
          <cell r="K202">
            <v>70.368919710206654</v>
          </cell>
          <cell r="L202">
            <v>70.21699027877284</v>
          </cell>
          <cell r="M202">
            <v>70.192253956850706</v>
          </cell>
          <cell r="N202">
            <v>70.129468030332305</v>
          </cell>
          <cell r="O202">
            <v>70.293273026183158</v>
          </cell>
          <cell r="P202">
            <v>70.082813538812758</v>
          </cell>
          <cell r="Q202">
            <v>70.02528086602544</v>
          </cell>
          <cell r="R202">
            <v>70.143306739450821</v>
          </cell>
          <cell r="S202">
            <v>70.028936467434562</v>
          </cell>
          <cell r="T202">
            <v>70.028936467434562</v>
          </cell>
          <cell r="U202">
            <v>70.028936467434562</v>
          </cell>
          <cell r="V202">
            <v>70.028936467434562</v>
          </cell>
          <cell r="W202">
            <v>70.028936467434562</v>
          </cell>
          <cell r="X202">
            <v>70.028936467434562</v>
          </cell>
          <cell r="Y202">
            <v>70.028936467434562</v>
          </cell>
          <cell r="Z202">
            <v>70.028936467434562</v>
          </cell>
          <cell r="AA202">
            <v>70.028936467434562</v>
          </cell>
          <cell r="AB202">
            <v>70.028936467434562</v>
          </cell>
          <cell r="AC202">
            <v>70.028936467434562</v>
          </cell>
          <cell r="AD202">
            <v>70.028936467434562</v>
          </cell>
          <cell r="AE202">
            <v>70.028936467434562</v>
          </cell>
          <cell r="AF202">
            <v>70.028936467434562</v>
          </cell>
        </row>
        <row r="203">
          <cell r="A203" t="str">
            <v>Utah</v>
          </cell>
          <cell r="B203">
            <v>62.233485515239749</v>
          </cell>
          <cell r="C203">
            <v>62.108385912671402</v>
          </cell>
          <cell r="D203">
            <v>62.096912124986176</v>
          </cell>
          <cell r="E203">
            <v>62.179716456322843</v>
          </cell>
          <cell r="F203">
            <v>62.129551089716976</v>
          </cell>
          <cell r="G203">
            <v>62.145894006793995</v>
          </cell>
          <cell r="H203">
            <v>62.165332049717577</v>
          </cell>
          <cell r="I203">
            <v>62.22678995998173</v>
          </cell>
          <cell r="J203">
            <v>62.082888069980683</v>
          </cell>
          <cell r="K203">
            <v>62.215198584942392</v>
          </cell>
          <cell r="L203">
            <v>62.080898922374764</v>
          </cell>
          <cell r="M203">
            <v>62.058345441039734</v>
          </cell>
          <cell r="N203">
            <v>62.00284124779256</v>
          </cell>
          <cell r="O203">
            <v>62.147642662032922</v>
          </cell>
          <cell r="P203">
            <v>61.961603730826688</v>
          </cell>
          <cell r="Q203">
            <v>61.910742469044024</v>
          </cell>
          <cell r="R203">
            <v>62.015079575011669</v>
          </cell>
          <cell r="S203">
            <v>61.913980728203796</v>
          </cell>
          <cell r="T203">
            <v>61.913980728203796</v>
          </cell>
          <cell r="U203">
            <v>61.913980728203796</v>
          </cell>
          <cell r="V203">
            <v>61.913980728203796</v>
          </cell>
          <cell r="W203">
            <v>61.913980728203796</v>
          </cell>
          <cell r="X203">
            <v>61.913980728203796</v>
          </cell>
          <cell r="Y203">
            <v>61.913980728203796</v>
          </cell>
          <cell r="Z203">
            <v>61.913980728203796</v>
          </cell>
          <cell r="AA203">
            <v>61.913980728203796</v>
          </cell>
          <cell r="AB203">
            <v>61.913980728203796</v>
          </cell>
          <cell r="AC203">
            <v>61.913980728203796</v>
          </cell>
          <cell r="AD203">
            <v>61.913980728203796</v>
          </cell>
          <cell r="AE203">
            <v>61.913980728203796</v>
          </cell>
          <cell r="AF203">
            <v>61.913980728203796</v>
          </cell>
        </row>
        <row r="204">
          <cell r="A204" t="str">
            <v>Vermont</v>
          </cell>
          <cell r="B204">
            <v>62.801057790893125</v>
          </cell>
          <cell r="C204">
            <v>62.674838052454191</v>
          </cell>
          <cell r="D204">
            <v>62.663260741338753</v>
          </cell>
          <cell r="E204">
            <v>62.746812538989893</v>
          </cell>
          <cell r="F204">
            <v>62.69619590552314</v>
          </cell>
          <cell r="G204">
            <v>62.712693307118549</v>
          </cell>
          <cell r="H204">
            <v>62.732302709508012</v>
          </cell>
          <cell r="I204">
            <v>62.794307668207423</v>
          </cell>
          <cell r="J204">
            <v>62.649104057175599</v>
          </cell>
          <cell r="K204">
            <v>62.782609888053926</v>
          </cell>
          <cell r="L204">
            <v>62.647107812310985</v>
          </cell>
          <cell r="M204">
            <v>62.623748897543031</v>
          </cell>
          <cell r="N204">
            <v>62.567744344558442</v>
          </cell>
          <cell r="O204">
            <v>62.713845898987856</v>
          </cell>
          <cell r="P204">
            <v>62.526140450178438</v>
          </cell>
          <cell r="Q204">
            <v>62.474819749184043</v>
          </cell>
          <cell r="R204">
            <v>62.580097028641482</v>
          </cell>
          <cell r="S204">
            <v>62.478093014615425</v>
          </cell>
          <cell r="T204">
            <v>62.478093014615425</v>
          </cell>
          <cell r="U204">
            <v>62.478093014615425</v>
          </cell>
          <cell r="V204">
            <v>62.478093014615425</v>
          </cell>
          <cell r="W204">
            <v>62.478093014615425</v>
          </cell>
          <cell r="X204">
            <v>62.478093014615425</v>
          </cell>
          <cell r="Y204">
            <v>62.478093014615425</v>
          </cell>
          <cell r="Z204">
            <v>62.478093014615425</v>
          </cell>
          <cell r="AA204">
            <v>62.478093014615425</v>
          </cell>
          <cell r="AB204">
            <v>62.478093014615425</v>
          </cell>
          <cell r="AC204">
            <v>62.478093014615425</v>
          </cell>
          <cell r="AD204">
            <v>62.478093014615425</v>
          </cell>
          <cell r="AE204">
            <v>62.478093014615425</v>
          </cell>
          <cell r="AF204">
            <v>62.478093014615425</v>
          </cell>
        </row>
        <row r="205">
          <cell r="A205" t="str">
            <v>Virginia</v>
          </cell>
          <cell r="B205">
            <v>72.413326629084438</v>
          </cell>
          <cell r="C205">
            <v>72.267763861597587</v>
          </cell>
          <cell r="D205">
            <v>72.254413249327627</v>
          </cell>
          <cell r="E205">
            <v>72.350762297460506</v>
          </cell>
          <cell r="F205">
            <v>72.292391132043321</v>
          </cell>
          <cell r="G205">
            <v>72.311407341445246</v>
          </cell>
          <cell r="H205">
            <v>72.33402496184047</v>
          </cell>
          <cell r="I205">
            <v>72.405535848512713</v>
          </cell>
          <cell r="J205">
            <v>72.238095209812883</v>
          </cell>
          <cell r="K205">
            <v>72.392048414539644</v>
          </cell>
          <cell r="L205">
            <v>72.235780687428218</v>
          </cell>
          <cell r="M205">
            <v>72.209538020847447</v>
          </cell>
          <cell r="N205">
            <v>72.144954730330838</v>
          </cell>
          <cell r="O205">
            <v>72.313442032928961</v>
          </cell>
          <cell r="P205">
            <v>72.096971787374983</v>
          </cell>
          <cell r="Q205">
            <v>72.037790895741779</v>
          </cell>
          <cell r="R205">
            <v>72.159194941673235</v>
          </cell>
          <cell r="S205">
            <v>72.041558853077021</v>
          </cell>
          <cell r="T205">
            <v>72.041558853077021</v>
          </cell>
          <cell r="U205">
            <v>72.041558853077021</v>
          </cell>
          <cell r="V205">
            <v>72.041558853077021</v>
          </cell>
          <cell r="W205">
            <v>72.041558853077021</v>
          </cell>
          <cell r="X205">
            <v>72.041558853077021</v>
          </cell>
          <cell r="Y205">
            <v>72.041558853077021</v>
          </cell>
          <cell r="Z205">
            <v>72.041558853077021</v>
          </cell>
          <cell r="AA205">
            <v>72.041558853077021</v>
          </cell>
          <cell r="AB205">
            <v>72.041558853077021</v>
          </cell>
          <cell r="AC205">
            <v>72.041558853077021</v>
          </cell>
          <cell r="AD205">
            <v>72.041558853077021</v>
          </cell>
          <cell r="AE205">
            <v>72.041558853077021</v>
          </cell>
          <cell r="AF205">
            <v>72.041558853077021</v>
          </cell>
        </row>
        <row r="206">
          <cell r="A206" t="str">
            <v>Washington</v>
          </cell>
          <cell r="B206">
            <v>62.233485515239757</v>
          </cell>
          <cell r="C206">
            <v>62.108385912671395</v>
          </cell>
          <cell r="D206">
            <v>62.09691212498619</v>
          </cell>
          <cell r="E206">
            <v>62.179716456322843</v>
          </cell>
          <cell r="F206">
            <v>62.129551089716969</v>
          </cell>
          <cell r="G206">
            <v>62.145894006793988</v>
          </cell>
          <cell r="H206">
            <v>62.16533204971757</v>
          </cell>
          <cell r="I206">
            <v>62.22678995998173</v>
          </cell>
          <cell r="J206">
            <v>62.082888069980683</v>
          </cell>
          <cell r="K206">
            <v>62.215198584942378</v>
          </cell>
          <cell r="L206">
            <v>62.08089892237475</v>
          </cell>
          <cell r="M206">
            <v>62.058345441039741</v>
          </cell>
          <cell r="N206">
            <v>62.002841247792553</v>
          </cell>
          <cell r="O206">
            <v>62.147642662032929</v>
          </cell>
          <cell r="P206">
            <v>61.961603730826702</v>
          </cell>
          <cell r="Q206">
            <v>61.910742469044031</v>
          </cell>
          <cell r="R206">
            <v>62.015079575011661</v>
          </cell>
          <cell r="S206">
            <v>61.913980728203796</v>
          </cell>
          <cell r="T206">
            <v>61.913980728203796</v>
          </cell>
          <cell r="U206">
            <v>61.913980728203796</v>
          </cell>
          <cell r="V206">
            <v>61.913980728203796</v>
          </cell>
          <cell r="W206">
            <v>61.913980728203796</v>
          </cell>
          <cell r="X206">
            <v>61.913980728203796</v>
          </cell>
          <cell r="Y206">
            <v>61.913980728203796</v>
          </cell>
          <cell r="Z206">
            <v>61.913980728203796</v>
          </cell>
          <cell r="AA206">
            <v>61.913980728203796</v>
          </cell>
          <cell r="AB206">
            <v>61.913980728203796</v>
          </cell>
          <cell r="AC206">
            <v>61.913980728203796</v>
          </cell>
          <cell r="AD206">
            <v>61.913980728203796</v>
          </cell>
          <cell r="AE206">
            <v>61.913980728203796</v>
          </cell>
          <cell r="AF206">
            <v>61.913980728203796</v>
          </cell>
        </row>
        <row r="207">
          <cell r="A207" t="str">
            <v>West Virginia</v>
          </cell>
          <cell r="B207">
            <v>62.801057790893132</v>
          </cell>
          <cell r="C207">
            <v>62.674838052454184</v>
          </cell>
          <cell r="D207">
            <v>62.663260741338767</v>
          </cell>
          <cell r="E207">
            <v>62.746812538989907</v>
          </cell>
          <cell r="F207">
            <v>62.696195905523126</v>
          </cell>
          <cell r="G207">
            <v>62.712693307118549</v>
          </cell>
          <cell r="H207">
            <v>62.732302709508012</v>
          </cell>
          <cell r="I207">
            <v>62.794307668207416</v>
          </cell>
          <cell r="J207">
            <v>62.649104057175599</v>
          </cell>
          <cell r="K207">
            <v>62.782609888053948</v>
          </cell>
          <cell r="L207">
            <v>62.647107812310999</v>
          </cell>
          <cell r="M207">
            <v>62.62374889754301</v>
          </cell>
          <cell r="N207">
            <v>62.56774434455847</v>
          </cell>
          <cell r="O207">
            <v>62.713845898987842</v>
          </cell>
          <cell r="P207">
            <v>62.526140450178417</v>
          </cell>
          <cell r="Q207">
            <v>62.474819749184029</v>
          </cell>
          <cell r="R207">
            <v>62.580097028641497</v>
          </cell>
          <cell r="S207">
            <v>62.478093014615425</v>
          </cell>
          <cell r="T207">
            <v>62.478093014615425</v>
          </cell>
          <cell r="U207">
            <v>62.478093014615425</v>
          </cell>
          <cell r="V207">
            <v>62.478093014615425</v>
          </cell>
          <cell r="W207">
            <v>62.478093014615425</v>
          </cell>
          <cell r="X207">
            <v>62.478093014615425</v>
          </cell>
          <cell r="Y207">
            <v>62.478093014615425</v>
          </cell>
          <cell r="Z207">
            <v>62.478093014615425</v>
          </cell>
          <cell r="AA207">
            <v>62.478093014615425</v>
          </cell>
          <cell r="AB207">
            <v>62.478093014615425</v>
          </cell>
          <cell r="AC207">
            <v>62.478093014615425</v>
          </cell>
          <cell r="AD207">
            <v>62.478093014615425</v>
          </cell>
          <cell r="AE207">
            <v>62.478093014615425</v>
          </cell>
          <cell r="AF207">
            <v>62.478093014615425</v>
          </cell>
        </row>
        <row r="208">
          <cell r="A208" t="str">
            <v>Wisconsin</v>
          </cell>
          <cell r="B208">
            <v>58.875184110825586</v>
          </cell>
          <cell r="C208">
            <v>58.756835249719309</v>
          </cell>
          <cell r="D208">
            <v>58.745980621269318</v>
          </cell>
          <cell r="E208">
            <v>58.824316588028339</v>
          </cell>
          <cell r="F208">
            <v>58.776858291735664</v>
          </cell>
          <cell r="G208">
            <v>58.792319297074705</v>
          </cell>
          <cell r="H208">
            <v>58.81070840619185</v>
          </cell>
          <cell r="I208">
            <v>58.868849867366812</v>
          </cell>
          <cell r="J208">
            <v>58.73271334540339</v>
          </cell>
          <cell r="K208">
            <v>58.857883996921245</v>
          </cell>
          <cell r="L208">
            <v>58.73083153803627</v>
          </cell>
          <cell r="M208">
            <v>58.709495108701731</v>
          </cell>
          <cell r="N208">
            <v>58.656986084511679</v>
          </cell>
          <cell r="O208">
            <v>58.793973589748255</v>
          </cell>
          <cell r="P208">
            <v>58.617973864907754</v>
          </cell>
          <cell r="Q208">
            <v>58.56985722598305</v>
          </cell>
          <cell r="R208">
            <v>58.668563995699976</v>
          </cell>
          <cell r="S208">
            <v>58.572920739180987</v>
          </cell>
          <cell r="T208">
            <v>58.572920739180987</v>
          </cell>
          <cell r="U208">
            <v>58.572920739180987</v>
          </cell>
          <cell r="V208">
            <v>58.572920739180987</v>
          </cell>
          <cell r="W208">
            <v>58.572920739180987</v>
          </cell>
          <cell r="X208">
            <v>58.572920739180987</v>
          </cell>
          <cell r="Y208">
            <v>58.572920739180987</v>
          </cell>
          <cell r="Z208">
            <v>58.572920739180987</v>
          </cell>
          <cell r="AA208">
            <v>58.572920739180987</v>
          </cell>
          <cell r="AB208">
            <v>58.572920739180987</v>
          </cell>
          <cell r="AC208">
            <v>58.572920739180987</v>
          </cell>
          <cell r="AD208">
            <v>58.572920739180987</v>
          </cell>
          <cell r="AE208">
            <v>58.572920739180987</v>
          </cell>
          <cell r="AF208">
            <v>58.572920739180987</v>
          </cell>
        </row>
        <row r="209">
          <cell r="A209" t="str">
            <v>Wyoming</v>
          </cell>
          <cell r="B209">
            <v>58.875184110825579</v>
          </cell>
          <cell r="C209">
            <v>58.756835249719302</v>
          </cell>
          <cell r="D209">
            <v>58.745980621269304</v>
          </cell>
          <cell r="E209">
            <v>58.824316588028331</v>
          </cell>
          <cell r="F209">
            <v>58.776858291735671</v>
          </cell>
          <cell r="G209">
            <v>58.792319297074684</v>
          </cell>
          <cell r="H209">
            <v>58.810708406191829</v>
          </cell>
          <cell r="I209">
            <v>58.868849867366791</v>
          </cell>
          <cell r="J209">
            <v>58.73271334540339</v>
          </cell>
          <cell r="K209">
            <v>58.857883996921238</v>
          </cell>
          <cell r="L209">
            <v>58.730831538036298</v>
          </cell>
          <cell r="M209">
            <v>58.709495108701731</v>
          </cell>
          <cell r="N209">
            <v>58.656986084511679</v>
          </cell>
          <cell r="O209">
            <v>58.793973589748269</v>
          </cell>
          <cell r="P209">
            <v>58.617973864907761</v>
          </cell>
          <cell r="Q209">
            <v>58.569857225983036</v>
          </cell>
          <cell r="R209">
            <v>58.668563995699969</v>
          </cell>
          <cell r="S209">
            <v>58.572920739180994</v>
          </cell>
          <cell r="T209">
            <v>58.572920739180994</v>
          </cell>
          <cell r="U209">
            <v>58.572920739180994</v>
          </cell>
          <cell r="V209">
            <v>58.572920739180994</v>
          </cell>
          <cell r="W209">
            <v>58.572920739180994</v>
          </cell>
          <cell r="X209">
            <v>58.572920739180994</v>
          </cell>
          <cell r="Y209">
            <v>58.572920739180994</v>
          </cell>
          <cell r="Z209">
            <v>58.572920739180994</v>
          </cell>
          <cell r="AA209">
            <v>58.572920739180994</v>
          </cell>
          <cell r="AB209">
            <v>58.572920739180994</v>
          </cell>
          <cell r="AC209">
            <v>58.572920739180994</v>
          </cell>
          <cell r="AD209">
            <v>58.572920739180994</v>
          </cell>
          <cell r="AE209">
            <v>58.572920739180994</v>
          </cell>
          <cell r="AF209">
            <v>58.572920739180994</v>
          </cell>
        </row>
        <row r="211">
          <cell r="A211" t="str">
            <v>Beef Cows</v>
          </cell>
          <cell r="B211">
            <v>1990</v>
          </cell>
          <cell r="C211">
            <v>1991</v>
          </cell>
          <cell r="D211">
            <v>1992</v>
          </cell>
          <cell r="E211">
            <v>1993</v>
          </cell>
          <cell r="F211">
            <v>1994</v>
          </cell>
          <cell r="G211">
            <v>1995</v>
          </cell>
          <cell r="H211">
            <v>1996</v>
          </cell>
          <cell r="I211">
            <v>1997</v>
          </cell>
          <cell r="J211">
            <v>1998</v>
          </cell>
          <cell r="K211">
            <v>1999</v>
          </cell>
          <cell r="L211">
            <v>2000</v>
          </cell>
          <cell r="M211">
            <v>2001</v>
          </cell>
          <cell r="N211">
            <v>2002</v>
          </cell>
          <cell r="O211">
            <v>2003</v>
          </cell>
          <cell r="P211">
            <v>2004</v>
          </cell>
          <cell r="Q211">
            <v>2005</v>
          </cell>
          <cell r="R211">
            <v>2006</v>
          </cell>
          <cell r="S211">
            <v>2007</v>
          </cell>
          <cell r="T211">
            <v>2008</v>
          </cell>
          <cell r="U211">
            <v>2009</v>
          </cell>
          <cell r="V211">
            <v>2010</v>
          </cell>
          <cell r="W211">
            <v>2011</v>
          </cell>
          <cell r="X211">
            <v>2012</v>
          </cell>
          <cell r="Y211">
            <v>2013</v>
          </cell>
          <cell r="Z211">
            <v>2014</v>
          </cell>
          <cell r="AA211">
            <v>2015</v>
          </cell>
          <cell r="AB211">
            <v>2016</v>
          </cell>
          <cell r="AC211">
            <v>2017</v>
          </cell>
          <cell r="AD211">
            <v>2018</v>
          </cell>
          <cell r="AE211">
            <v>2019</v>
          </cell>
          <cell r="AF211">
            <v>2020</v>
          </cell>
        </row>
        <row r="212">
          <cell r="A212" t="str">
            <v>Alabama</v>
          </cell>
          <cell r="B212">
            <v>88.857829555935496</v>
          </cell>
          <cell r="C212">
            <v>89.039633167365992</v>
          </cell>
          <cell r="D212">
            <v>90.760059951011144</v>
          </cell>
          <cell r="E212">
            <v>91.528928240711636</v>
          </cell>
          <cell r="F212">
            <v>91.524643679662972</v>
          </cell>
          <cell r="G212">
            <v>91.614498585922462</v>
          </cell>
          <cell r="H212">
            <v>91.74432741146731</v>
          </cell>
          <cell r="I212">
            <v>91.79410335265446</v>
          </cell>
          <cell r="J212">
            <v>92.242505668757801</v>
          </cell>
          <cell r="K212">
            <v>92.063248907820082</v>
          </cell>
          <cell r="L212">
            <v>91.164872302080298</v>
          </cell>
          <cell r="M212">
            <v>91.164872302080326</v>
          </cell>
          <cell r="N212">
            <v>91.344828479120451</v>
          </cell>
          <cell r="O212">
            <v>92.779448500403873</v>
          </cell>
          <cell r="P212">
            <v>93.44889881444729</v>
          </cell>
          <cell r="Q212">
            <v>93.627097764863251</v>
          </cell>
          <cell r="R212">
            <v>94.249740276839489</v>
          </cell>
          <cell r="S212">
            <v>94.560451585467874</v>
          </cell>
          <cell r="T212">
            <v>94.560451585467874</v>
          </cell>
          <cell r="U212">
            <v>94.560451585467874</v>
          </cell>
          <cell r="V212">
            <v>94.560451585467874</v>
          </cell>
          <cell r="W212">
            <v>94.560451585467874</v>
          </cell>
          <cell r="X212">
            <v>94.560451585467874</v>
          </cell>
          <cell r="Y212">
            <v>94.560451585467874</v>
          </cell>
          <cell r="Z212">
            <v>94.560451585467874</v>
          </cell>
          <cell r="AA212">
            <v>94.560451585467874</v>
          </cell>
          <cell r="AB212">
            <v>94.560451585467874</v>
          </cell>
          <cell r="AC212">
            <v>94.560451585467874</v>
          </cell>
          <cell r="AD212">
            <v>94.560451585467874</v>
          </cell>
          <cell r="AE212">
            <v>94.560451585467874</v>
          </cell>
          <cell r="AF212">
            <v>94.560451585467874</v>
          </cell>
        </row>
        <row r="213">
          <cell r="A213" t="str">
            <v>Alaska</v>
          </cell>
          <cell r="B213">
            <v>101.49401708739363</v>
          </cell>
          <cell r="C213">
            <v>101.70167440850187</v>
          </cell>
          <cell r="D213">
            <v>103.66675757843203</v>
          </cell>
          <cell r="E213">
            <v>104.54496416667295</v>
          </cell>
          <cell r="F213">
            <v>104.54007031191128</v>
          </cell>
          <cell r="G213">
            <v>104.64270319678894</v>
          </cell>
          <cell r="H213">
            <v>104.7909945640678</v>
          </cell>
          <cell r="I213">
            <v>104.84784898253194</v>
          </cell>
          <cell r="J213">
            <v>105.36001715679474</v>
          </cell>
          <cell r="K213">
            <v>105.15526886563613</v>
          </cell>
          <cell r="L213">
            <v>104.12913699825273</v>
          </cell>
          <cell r="M213">
            <v>104.12913699825275</v>
          </cell>
          <cell r="N213">
            <v>104.3346841672391</v>
          </cell>
          <cell r="O213">
            <v>105.97331690992164</v>
          </cell>
          <cell r="P213">
            <v>106.73796761039711</v>
          </cell>
          <cell r="Q213">
            <v>106.94150766318549</v>
          </cell>
          <cell r="R213">
            <v>107.65269417388089</v>
          </cell>
          <cell r="S213">
            <v>108.00759074320712</v>
          </cell>
          <cell r="T213">
            <v>108.00759074320712</v>
          </cell>
          <cell r="U213">
            <v>108.00759074320712</v>
          </cell>
          <cell r="V213">
            <v>108.00759074320712</v>
          </cell>
          <cell r="W213">
            <v>108.00759074320712</v>
          </cell>
          <cell r="X213">
            <v>108.00759074320712</v>
          </cell>
          <cell r="Y213">
            <v>108.00759074320712</v>
          </cell>
          <cell r="Z213">
            <v>108.00759074320712</v>
          </cell>
          <cell r="AA213">
            <v>108.00759074320712</v>
          </cell>
          <cell r="AB213">
            <v>108.00759074320712</v>
          </cell>
          <cell r="AC213">
            <v>108.00759074320712</v>
          </cell>
          <cell r="AD213">
            <v>108.00759074320712</v>
          </cell>
          <cell r="AE213">
            <v>108.00759074320712</v>
          </cell>
          <cell r="AF213">
            <v>108.00759074320712</v>
          </cell>
        </row>
        <row r="214">
          <cell r="A214" t="str">
            <v>Arizona</v>
          </cell>
          <cell r="B214">
            <v>101.49401708739363</v>
          </cell>
          <cell r="C214">
            <v>101.70167440850189</v>
          </cell>
          <cell r="D214">
            <v>103.666757578432</v>
          </cell>
          <cell r="E214">
            <v>104.54496416667298</v>
          </cell>
          <cell r="F214">
            <v>104.54007031191129</v>
          </cell>
          <cell r="G214">
            <v>104.64270319678891</v>
          </cell>
          <cell r="H214">
            <v>104.79099456406777</v>
          </cell>
          <cell r="I214">
            <v>104.84784898253194</v>
          </cell>
          <cell r="J214">
            <v>105.36001715679475</v>
          </cell>
          <cell r="K214">
            <v>105.15526886563612</v>
          </cell>
          <cell r="L214">
            <v>104.12913699825275</v>
          </cell>
          <cell r="M214">
            <v>104.12913699825272</v>
          </cell>
          <cell r="N214">
            <v>104.33468416723908</v>
          </cell>
          <cell r="O214">
            <v>105.97331690992161</v>
          </cell>
          <cell r="P214">
            <v>106.73796761039706</v>
          </cell>
          <cell r="Q214">
            <v>106.94150766318548</v>
          </cell>
          <cell r="R214">
            <v>107.6526941738809</v>
          </cell>
          <cell r="S214">
            <v>108.00759074320712</v>
          </cell>
          <cell r="T214">
            <v>108.00759074320712</v>
          </cell>
          <cell r="U214">
            <v>108.00759074320712</v>
          </cell>
          <cell r="V214">
            <v>108.00759074320712</v>
          </cell>
          <cell r="W214">
            <v>108.00759074320712</v>
          </cell>
          <cell r="X214">
            <v>108.00759074320712</v>
          </cell>
          <cell r="Y214">
            <v>108.00759074320712</v>
          </cell>
          <cell r="Z214">
            <v>108.00759074320712</v>
          </cell>
          <cell r="AA214">
            <v>108.00759074320712</v>
          </cell>
          <cell r="AB214">
            <v>108.00759074320712</v>
          </cell>
          <cell r="AC214">
            <v>108.00759074320712</v>
          </cell>
          <cell r="AD214">
            <v>108.00759074320712</v>
          </cell>
          <cell r="AE214">
            <v>108.00759074320712</v>
          </cell>
          <cell r="AF214">
            <v>108.00759074320712</v>
          </cell>
        </row>
        <row r="215">
          <cell r="A215" t="str">
            <v>Arkansas</v>
          </cell>
          <cell r="B215">
            <v>88.724782849633598</v>
          </cell>
          <cell r="C215">
            <v>88.906314246766115</v>
          </cell>
          <cell r="D215">
            <v>90.624165037748099</v>
          </cell>
          <cell r="E215">
            <v>91.391882102013113</v>
          </cell>
          <cell r="F215">
            <v>91.387603956231828</v>
          </cell>
          <cell r="G215">
            <v>91.47732432286351</v>
          </cell>
          <cell r="H215">
            <v>91.606958755885913</v>
          </cell>
          <cell r="I215">
            <v>91.656660167624622</v>
          </cell>
          <cell r="J215">
            <v>92.104391091555144</v>
          </cell>
          <cell r="K215">
            <v>91.925402731519725</v>
          </cell>
          <cell r="L215">
            <v>91.028371263839347</v>
          </cell>
          <cell r="M215">
            <v>91.028371263839333</v>
          </cell>
          <cell r="N215">
            <v>91.208057992742511</v>
          </cell>
          <cell r="O215">
            <v>92.640529959435966</v>
          </cell>
          <cell r="P215">
            <v>93.30897790644245</v>
          </cell>
          <cell r="Q215">
            <v>93.486910039814447</v>
          </cell>
          <cell r="R215">
            <v>94.108620270011627</v>
          </cell>
          <cell r="S215">
            <v>94.418866351023837</v>
          </cell>
          <cell r="T215">
            <v>94.418866351023837</v>
          </cell>
          <cell r="U215">
            <v>94.418866351023837</v>
          </cell>
          <cell r="V215">
            <v>94.418866351023837</v>
          </cell>
          <cell r="W215">
            <v>94.418866351023837</v>
          </cell>
          <cell r="X215">
            <v>94.418866351023837</v>
          </cell>
          <cell r="Y215">
            <v>94.418866351023837</v>
          </cell>
          <cell r="Z215">
            <v>94.418866351023837</v>
          </cell>
          <cell r="AA215">
            <v>94.418866351023837</v>
          </cell>
          <cell r="AB215">
            <v>94.418866351023837</v>
          </cell>
          <cell r="AC215">
            <v>94.418866351023837</v>
          </cell>
          <cell r="AD215">
            <v>94.418866351023837</v>
          </cell>
          <cell r="AE215">
            <v>94.418866351023837</v>
          </cell>
          <cell r="AF215">
            <v>94.418866351023837</v>
          </cell>
        </row>
        <row r="216">
          <cell r="A216" t="str">
            <v>California</v>
          </cell>
          <cell r="B216">
            <v>87.767908974417438</v>
          </cell>
          <cell r="C216">
            <v>87.947482602301406</v>
          </cell>
          <cell r="D216">
            <v>89.646806816033873</v>
          </cell>
          <cell r="E216">
            <v>90.406244249977362</v>
          </cell>
          <cell r="F216">
            <v>90.402012242893804</v>
          </cell>
          <cell r="G216">
            <v>90.490764998536207</v>
          </cell>
          <cell r="H216">
            <v>90.619001357668722</v>
          </cell>
          <cell r="I216">
            <v>90.668166752514225</v>
          </cell>
          <cell r="J216">
            <v>91.111069014029596</v>
          </cell>
          <cell r="K216">
            <v>90.934010997244172</v>
          </cell>
          <cell r="L216">
            <v>90.046653782338581</v>
          </cell>
          <cell r="M216">
            <v>90.046653782338609</v>
          </cell>
          <cell r="N216">
            <v>90.224402636263704</v>
          </cell>
          <cell r="O216">
            <v>91.641425762645824</v>
          </cell>
          <cell r="P216">
            <v>92.302664671130174</v>
          </cell>
          <cell r="Q216">
            <v>92.478677852383967</v>
          </cell>
          <cell r="R216">
            <v>93.09368309826759</v>
          </cell>
          <cell r="S216">
            <v>93.400583255398374</v>
          </cell>
          <cell r="T216">
            <v>93.400583255398374</v>
          </cell>
          <cell r="U216">
            <v>93.400583255398374</v>
          </cell>
          <cell r="V216">
            <v>93.400583255398374</v>
          </cell>
          <cell r="W216">
            <v>93.400583255398374</v>
          </cell>
          <cell r="X216">
            <v>93.400583255398374</v>
          </cell>
          <cell r="Y216">
            <v>93.400583255398374</v>
          </cell>
          <cell r="Z216">
            <v>93.400583255398374</v>
          </cell>
          <cell r="AA216">
            <v>93.400583255398374</v>
          </cell>
          <cell r="AB216">
            <v>93.400583255398374</v>
          </cell>
          <cell r="AC216">
            <v>93.400583255398374</v>
          </cell>
          <cell r="AD216">
            <v>93.400583255398374</v>
          </cell>
          <cell r="AE216">
            <v>93.400583255398374</v>
          </cell>
          <cell r="AF216">
            <v>93.400583255398374</v>
          </cell>
        </row>
        <row r="217">
          <cell r="A217" t="str">
            <v>Colorado</v>
          </cell>
          <cell r="B217">
            <v>85.364359107623969</v>
          </cell>
          <cell r="C217">
            <v>85.539015059167866</v>
          </cell>
          <cell r="D217">
            <v>87.191802782111395</v>
          </cell>
          <cell r="E217">
            <v>87.93044279972672</v>
          </cell>
          <cell r="F217">
            <v>87.926326687395303</v>
          </cell>
          <cell r="G217">
            <v>88.012648922856755</v>
          </cell>
          <cell r="H217">
            <v>88.137373491774525</v>
          </cell>
          <cell r="I217">
            <v>88.185192477897118</v>
          </cell>
          <cell r="J217">
            <v>88.615965731394567</v>
          </cell>
          <cell r="K217">
            <v>88.443756500203236</v>
          </cell>
          <cell r="L217">
            <v>87.580699822254786</v>
          </cell>
          <cell r="M217">
            <v>87.580699822254772</v>
          </cell>
          <cell r="N217">
            <v>87.753580971808631</v>
          </cell>
          <cell r="O217">
            <v>89.131798505275782</v>
          </cell>
          <cell r="P217">
            <v>89.77492919278302</v>
          </cell>
          <cell r="Q217">
            <v>89.94612220156948</v>
          </cell>
          <cell r="R217">
            <v>90.544285348853577</v>
          </cell>
          <cell r="S217">
            <v>90.842780955387099</v>
          </cell>
          <cell r="T217">
            <v>90.842780955387099</v>
          </cell>
          <cell r="U217">
            <v>90.842780955387099</v>
          </cell>
          <cell r="V217">
            <v>90.842780955387099</v>
          </cell>
          <cell r="W217">
            <v>90.842780955387099</v>
          </cell>
          <cell r="X217">
            <v>90.842780955387099</v>
          </cell>
          <cell r="Y217">
            <v>90.842780955387099</v>
          </cell>
          <cell r="Z217">
            <v>90.842780955387099</v>
          </cell>
          <cell r="AA217">
            <v>90.842780955387099</v>
          </cell>
          <cell r="AB217">
            <v>90.842780955387099</v>
          </cell>
          <cell r="AC217">
            <v>90.842780955387099</v>
          </cell>
          <cell r="AD217">
            <v>90.842780955387099</v>
          </cell>
          <cell r="AE217">
            <v>90.842780955387099</v>
          </cell>
          <cell r="AF217">
            <v>90.842780955387099</v>
          </cell>
        </row>
        <row r="218">
          <cell r="A218" t="str">
            <v>Connecticut</v>
          </cell>
          <cell r="B218">
            <v>88.125654006065119</v>
          </cell>
          <cell r="C218">
            <v>88.305959582265274</v>
          </cell>
          <cell r="D218">
            <v>90.012210300248867</v>
          </cell>
          <cell r="E218">
            <v>90.774743227431472</v>
          </cell>
          <cell r="F218">
            <v>90.770493970540642</v>
          </cell>
          <cell r="G218">
            <v>90.859608485483761</v>
          </cell>
          <cell r="H218">
            <v>90.988367540450056</v>
          </cell>
          <cell r="I218">
            <v>91.037733335144864</v>
          </cell>
          <cell r="J218">
            <v>91.482440881592055</v>
          </cell>
          <cell r="K218">
            <v>91.30466117020822</v>
          </cell>
          <cell r="L218">
            <v>90.413687056613341</v>
          </cell>
          <cell r="M218">
            <v>90.413687056613341</v>
          </cell>
          <cell r="N218">
            <v>90.59216042101292</v>
          </cell>
          <cell r="O218">
            <v>92.014959382653231</v>
          </cell>
          <cell r="P218">
            <v>92.678893523791615</v>
          </cell>
          <cell r="Q218">
            <v>92.855624140858012</v>
          </cell>
          <cell r="R218">
            <v>93.47313616938834</v>
          </cell>
          <cell r="S218">
            <v>93.781287262170935</v>
          </cell>
          <cell r="T218">
            <v>93.781287262170935</v>
          </cell>
          <cell r="U218">
            <v>93.781287262170935</v>
          </cell>
          <cell r="V218">
            <v>93.781287262170935</v>
          </cell>
          <cell r="W218">
            <v>93.781287262170935</v>
          </cell>
          <cell r="X218">
            <v>93.781287262170935</v>
          </cell>
          <cell r="Y218">
            <v>93.781287262170935</v>
          </cell>
          <cell r="Z218">
            <v>93.781287262170935</v>
          </cell>
          <cell r="AA218">
            <v>93.781287262170935</v>
          </cell>
          <cell r="AB218">
            <v>93.781287262170935</v>
          </cell>
          <cell r="AC218">
            <v>93.781287262170935</v>
          </cell>
          <cell r="AD218">
            <v>93.781287262170935</v>
          </cell>
          <cell r="AE218">
            <v>93.781287262170935</v>
          </cell>
          <cell r="AF218">
            <v>93.781287262170935</v>
          </cell>
        </row>
        <row r="219">
          <cell r="A219" t="str">
            <v>Delaware</v>
          </cell>
          <cell r="B219">
            <v>88.125654006065133</v>
          </cell>
          <cell r="C219">
            <v>88.305959582265288</v>
          </cell>
          <cell r="D219">
            <v>90.012210300248881</v>
          </cell>
          <cell r="E219">
            <v>90.774743227431458</v>
          </cell>
          <cell r="F219">
            <v>90.770493970540656</v>
          </cell>
          <cell r="G219">
            <v>90.859608485483761</v>
          </cell>
          <cell r="H219">
            <v>90.988367540450056</v>
          </cell>
          <cell r="I219">
            <v>91.037733335144864</v>
          </cell>
          <cell r="J219">
            <v>91.482440881592041</v>
          </cell>
          <cell r="K219">
            <v>91.304661170208234</v>
          </cell>
          <cell r="L219">
            <v>90.413687056613341</v>
          </cell>
          <cell r="M219">
            <v>90.413687056613341</v>
          </cell>
          <cell r="N219">
            <v>90.59216042101292</v>
          </cell>
          <cell r="O219">
            <v>92.014959382653259</v>
          </cell>
          <cell r="P219">
            <v>92.678893523791601</v>
          </cell>
          <cell r="Q219">
            <v>92.855624140858026</v>
          </cell>
          <cell r="R219">
            <v>93.473136169388326</v>
          </cell>
          <cell r="S219">
            <v>93.781287262170935</v>
          </cell>
          <cell r="T219">
            <v>93.781287262170935</v>
          </cell>
          <cell r="U219">
            <v>93.781287262170935</v>
          </cell>
          <cell r="V219">
            <v>93.781287262170935</v>
          </cell>
          <cell r="W219">
            <v>93.781287262170935</v>
          </cell>
          <cell r="X219">
            <v>93.781287262170935</v>
          </cell>
          <cell r="Y219">
            <v>93.781287262170935</v>
          </cell>
          <cell r="Z219">
            <v>93.781287262170935</v>
          </cell>
          <cell r="AA219">
            <v>93.781287262170935</v>
          </cell>
          <cell r="AB219">
            <v>93.781287262170935</v>
          </cell>
          <cell r="AC219">
            <v>93.781287262170935</v>
          </cell>
          <cell r="AD219">
            <v>93.781287262170935</v>
          </cell>
          <cell r="AE219">
            <v>93.781287262170935</v>
          </cell>
          <cell r="AF219">
            <v>93.781287262170935</v>
          </cell>
        </row>
        <row r="220">
          <cell r="A220" t="str">
            <v>Florida</v>
          </cell>
          <cell r="B220">
            <v>88.857829555935524</v>
          </cell>
          <cell r="C220">
            <v>89.039633167365992</v>
          </cell>
          <cell r="D220">
            <v>90.760059951011158</v>
          </cell>
          <cell r="E220">
            <v>91.528928240711622</v>
          </cell>
          <cell r="F220">
            <v>91.524643679662958</v>
          </cell>
          <cell r="G220">
            <v>91.614498585922476</v>
          </cell>
          <cell r="H220">
            <v>91.744327411467282</v>
          </cell>
          <cell r="I220">
            <v>91.794103352654474</v>
          </cell>
          <cell r="J220">
            <v>92.242505668757815</v>
          </cell>
          <cell r="K220">
            <v>92.063248907820096</v>
          </cell>
          <cell r="L220">
            <v>91.164872302080312</v>
          </cell>
          <cell r="M220">
            <v>91.164872302080312</v>
          </cell>
          <cell r="N220">
            <v>91.344828479120466</v>
          </cell>
          <cell r="O220">
            <v>92.779448500403873</v>
          </cell>
          <cell r="P220">
            <v>93.448898814447276</v>
          </cell>
          <cell r="Q220">
            <v>93.627097764863251</v>
          </cell>
          <cell r="R220">
            <v>94.249740276839475</v>
          </cell>
          <cell r="S220">
            <v>94.560451585467874</v>
          </cell>
          <cell r="T220">
            <v>94.560451585467874</v>
          </cell>
          <cell r="U220">
            <v>94.560451585467874</v>
          </cell>
          <cell r="V220">
            <v>94.560451585467874</v>
          </cell>
          <cell r="W220">
            <v>94.560451585467874</v>
          </cell>
          <cell r="X220">
            <v>94.560451585467874</v>
          </cell>
          <cell r="Y220">
            <v>94.560451585467874</v>
          </cell>
          <cell r="Z220">
            <v>94.560451585467874</v>
          </cell>
          <cell r="AA220">
            <v>94.560451585467874</v>
          </cell>
          <cell r="AB220">
            <v>94.560451585467874</v>
          </cell>
          <cell r="AC220">
            <v>94.560451585467874</v>
          </cell>
          <cell r="AD220">
            <v>94.560451585467874</v>
          </cell>
          <cell r="AE220">
            <v>94.560451585467874</v>
          </cell>
          <cell r="AF220">
            <v>94.560451585467874</v>
          </cell>
        </row>
        <row r="221">
          <cell r="A221" t="str">
            <v>Georgia</v>
          </cell>
          <cell r="B221">
            <v>88.857829555935524</v>
          </cell>
          <cell r="C221">
            <v>89.039633167365992</v>
          </cell>
          <cell r="D221">
            <v>90.760059951011144</v>
          </cell>
          <cell r="E221">
            <v>91.528928240711593</v>
          </cell>
          <cell r="F221">
            <v>91.524643679662972</v>
          </cell>
          <cell r="G221">
            <v>91.61449858592249</v>
          </cell>
          <cell r="H221">
            <v>91.74432741146731</v>
          </cell>
          <cell r="I221">
            <v>91.79410335265446</v>
          </cell>
          <cell r="J221">
            <v>92.242505668757815</v>
          </cell>
          <cell r="K221">
            <v>92.063248907820096</v>
          </cell>
          <cell r="L221">
            <v>91.164872302080326</v>
          </cell>
          <cell r="M221">
            <v>91.164872302080298</v>
          </cell>
          <cell r="N221">
            <v>91.344828479120437</v>
          </cell>
          <cell r="O221">
            <v>92.779448500403873</v>
          </cell>
          <cell r="P221">
            <v>93.44889881444729</v>
          </cell>
          <cell r="Q221">
            <v>93.627097764863237</v>
          </cell>
          <cell r="R221">
            <v>94.249740276839503</v>
          </cell>
          <cell r="S221">
            <v>94.56045158546786</v>
          </cell>
          <cell r="T221">
            <v>94.56045158546786</v>
          </cell>
          <cell r="U221">
            <v>94.56045158546786</v>
          </cell>
          <cell r="V221">
            <v>94.56045158546786</v>
          </cell>
          <cell r="W221">
            <v>94.56045158546786</v>
          </cell>
          <cell r="X221">
            <v>94.56045158546786</v>
          </cell>
          <cell r="Y221">
            <v>94.56045158546786</v>
          </cell>
          <cell r="Z221">
            <v>94.56045158546786</v>
          </cell>
          <cell r="AA221">
            <v>94.56045158546786</v>
          </cell>
          <cell r="AB221">
            <v>94.56045158546786</v>
          </cell>
          <cell r="AC221">
            <v>94.56045158546786</v>
          </cell>
          <cell r="AD221">
            <v>94.56045158546786</v>
          </cell>
          <cell r="AE221">
            <v>94.56045158546786</v>
          </cell>
          <cell r="AF221">
            <v>94.56045158546786</v>
          </cell>
        </row>
        <row r="222">
          <cell r="A222" t="str">
            <v>Hawaii</v>
          </cell>
          <cell r="B222">
            <v>101.49401708739363</v>
          </cell>
          <cell r="C222">
            <v>101.70167440850187</v>
          </cell>
          <cell r="D222">
            <v>103.666757578432</v>
          </cell>
          <cell r="E222">
            <v>104.54496416667298</v>
          </cell>
          <cell r="F222">
            <v>104.54007031191128</v>
          </cell>
          <cell r="G222">
            <v>104.64270319678894</v>
          </cell>
          <cell r="H222">
            <v>104.79099456406779</v>
          </cell>
          <cell r="I222">
            <v>104.84784898253194</v>
          </cell>
          <cell r="J222">
            <v>105.36001715679475</v>
          </cell>
          <cell r="K222">
            <v>105.15526886563613</v>
          </cell>
          <cell r="L222">
            <v>104.12913699825272</v>
          </cell>
          <cell r="M222">
            <v>104.12913699825273</v>
          </cell>
          <cell r="N222">
            <v>104.33468416723909</v>
          </cell>
          <cell r="O222">
            <v>105.97331690992159</v>
          </cell>
          <cell r="P222">
            <v>106.73796761039711</v>
          </cell>
          <cell r="Q222">
            <v>106.94150766318548</v>
          </cell>
          <cell r="R222">
            <v>107.65269417388092</v>
          </cell>
          <cell r="S222">
            <v>108.00759074320713</v>
          </cell>
          <cell r="T222">
            <v>108.00759074320713</v>
          </cell>
          <cell r="U222">
            <v>108.00759074320713</v>
          </cell>
          <cell r="V222">
            <v>108.00759074320713</v>
          </cell>
          <cell r="W222">
            <v>108.00759074320713</v>
          </cell>
          <cell r="X222">
            <v>108.00759074320713</v>
          </cell>
          <cell r="Y222">
            <v>108.00759074320713</v>
          </cell>
          <cell r="Z222">
            <v>108.00759074320713</v>
          </cell>
          <cell r="AA222">
            <v>108.00759074320713</v>
          </cell>
          <cell r="AB222">
            <v>108.00759074320713</v>
          </cell>
          <cell r="AC222">
            <v>108.00759074320713</v>
          </cell>
          <cell r="AD222">
            <v>108.00759074320713</v>
          </cell>
          <cell r="AE222">
            <v>108.00759074320713</v>
          </cell>
          <cell r="AF222">
            <v>108.00759074320713</v>
          </cell>
        </row>
        <row r="223">
          <cell r="A223" t="str">
            <v>Idaho</v>
          </cell>
          <cell r="B223">
            <v>101.49401708739363</v>
          </cell>
          <cell r="C223">
            <v>101.70167440850189</v>
          </cell>
          <cell r="D223">
            <v>103.666757578432</v>
          </cell>
          <cell r="E223">
            <v>104.54496416667297</v>
          </cell>
          <cell r="F223">
            <v>104.54007031191126</v>
          </cell>
          <cell r="G223">
            <v>104.64270319678896</v>
          </cell>
          <cell r="H223">
            <v>104.79099456406779</v>
          </cell>
          <cell r="I223">
            <v>104.84784898253196</v>
          </cell>
          <cell r="J223">
            <v>105.36001715679475</v>
          </cell>
          <cell r="K223">
            <v>105.15526886563612</v>
          </cell>
          <cell r="L223">
            <v>104.12913699825275</v>
          </cell>
          <cell r="M223">
            <v>104.12913699825275</v>
          </cell>
          <cell r="N223">
            <v>104.3346841672391</v>
          </cell>
          <cell r="O223">
            <v>105.97331690992159</v>
          </cell>
          <cell r="P223">
            <v>106.73796761039709</v>
          </cell>
          <cell r="Q223">
            <v>106.94150766318546</v>
          </cell>
          <cell r="R223">
            <v>107.65269417388089</v>
          </cell>
          <cell r="S223">
            <v>108.00759074320712</v>
          </cell>
          <cell r="T223">
            <v>108.00759074320712</v>
          </cell>
          <cell r="U223">
            <v>108.00759074320712</v>
          </cell>
          <cell r="V223">
            <v>108.00759074320712</v>
          </cell>
          <cell r="W223">
            <v>108.00759074320712</v>
          </cell>
          <cell r="X223">
            <v>108.00759074320712</v>
          </cell>
          <cell r="Y223">
            <v>108.00759074320712</v>
          </cell>
          <cell r="Z223">
            <v>108.00759074320712</v>
          </cell>
          <cell r="AA223">
            <v>108.00759074320712</v>
          </cell>
          <cell r="AB223">
            <v>108.00759074320712</v>
          </cell>
          <cell r="AC223">
            <v>108.00759074320712</v>
          </cell>
          <cell r="AD223">
            <v>108.00759074320712</v>
          </cell>
          <cell r="AE223">
            <v>108.00759074320712</v>
          </cell>
          <cell r="AF223">
            <v>108.00759074320712</v>
          </cell>
        </row>
        <row r="224">
          <cell r="A224" t="str">
            <v>Illinois</v>
          </cell>
          <cell r="B224">
            <v>88.139908545264788</v>
          </cell>
          <cell r="C224">
            <v>88.320243286331078</v>
          </cell>
          <cell r="D224">
            <v>90.026769994524528</v>
          </cell>
          <cell r="E224">
            <v>90.78942626326554</v>
          </cell>
          <cell r="F224">
            <v>90.785176319047082</v>
          </cell>
          <cell r="G224">
            <v>90.87430524848007</v>
          </cell>
          <cell r="H224">
            <v>91.00308513053713</v>
          </cell>
          <cell r="I224">
            <v>91.052458910269465</v>
          </cell>
          <cell r="J224">
            <v>91.497238389245553</v>
          </cell>
          <cell r="K224">
            <v>91.319429921560371</v>
          </cell>
          <cell r="L224">
            <v>90.428311690732329</v>
          </cell>
          <cell r="M224">
            <v>90.428311690732301</v>
          </cell>
          <cell r="N224">
            <v>90.606813923633311</v>
          </cell>
          <cell r="O224">
            <v>92.029843026471468</v>
          </cell>
          <cell r="P224">
            <v>92.693884560574418</v>
          </cell>
          <cell r="Q224">
            <v>92.870643764248612</v>
          </cell>
          <cell r="R224">
            <v>93.488255676853726</v>
          </cell>
          <cell r="S224">
            <v>93.79645661382628</v>
          </cell>
          <cell r="T224">
            <v>93.79645661382628</v>
          </cell>
          <cell r="U224">
            <v>93.79645661382628</v>
          </cell>
          <cell r="V224">
            <v>93.79645661382628</v>
          </cell>
          <cell r="W224">
            <v>93.79645661382628</v>
          </cell>
          <cell r="X224">
            <v>93.79645661382628</v>
          </cell>
          <cell r="Y224">
            <v>93.79645661382628</v>
          </cell>
          <cell r="Z224">
            <v>93.79645661382628</v>
          </cell>
          <cell r="AA224">
            <v>93.79645661382628</v>
          </cell>
          <cell r="AB224">
            <v>93.79645661382628</v>
          </cell>
          <cell r="AC224">
            <v>93.79645661382628</v>
          </cell>
          <cell r="AD224">
            <v>93.79645661382628</v>
          </cell>
          <cell r="AE224">
            <v>93.79645661382628</v>
          </cell>
          <cell r="AF224">
            <v>93.79645661382628</v>
          </cell>
        </row>
        <row r="225">
          <cell r="A225" t="str">
            <v>Indiana</v>
          </cell>
          <cell r="B225">
            <v>88.13990854526476</v>
          </cell>
          <cell r="C225">
            <v>88.320243286331078</v>
          </cell>
          <cell r="D225">
            <v>90.026769994524528</v>
          </cell>
          <cell r="E225">
            <v>90.789426263265526</v>
          </cell>
          <cell r="F225">
            <v>90.785176319047082</v>
          </cell>
          <cell r="G225">
            <v>90.874305248480056</v>
          </cell>
          <cell r="H225">
            <v>91.003085130537144</v>
          </cell>
          <cell r="I225">
            <v>91.052458910269493</v>
          </cell>
          <cell r="J225">
            <v>91.497238389245524</v>
          </cell>
          <cell r="K225">
            <v>91.319429921560356</v>
          </cell>
          <cell r="L225">
            <v>90.428311690732315</v>
          </cell>
          <cell r="M225">
            <v>90.428311690732315</v>
          </cell>
          <cell r="N225">
            <v>90.606813923633311</v>
          </cell>
          <cell r="O225">
            <v>92.029843026471468</v>
          </cell>
          <cell r="P225">
            <v>92.693884560574404</v>
          </cell>
          <cell r="Q225">
            <v>92.870643764248612</v>
          </cell>
          <cell r="R225">
            <v>93.488255676853726</v>
          </cell>
          <cell r="S225">
            <v>93.79645661382628</v>
          </cell>
          <cell r="T225">
            <v>93.79645661382628</v>
          </cell>
          <cell r="U225">
            <v>93.79645661382628</v>
          </cell>
          <cell r="V225">
            <v>93.79645661382628</v>
          </cell>
          <cell r="W225">
            <v>93.79645661382628</v>
          </cell>
          <cell r="X225">
            <v>93.79645661382628</v>
          </cell>
          <cell r="Y225">
            <v>93.79645661382628</v>
          </cell>
          <cell r="Z225">
            <v>93.79645661382628</v>
          </cell>
          <cell r="AA225">
            <v>93.79645661382628</v>
          </cell>
          <cell r="AB225">
            <v>93.79645661382628</v>
          </cell>
          <cell r="AC225">
            <v>93.79645661382628</v>
          </cell>
          <cell r="AD225">
            <v>93.79645661382628</v>
          </cell>
          <cell r="AE225">
            <v>93.79645661382628</v>
          </cell>
          <cell r="AF225">
            <v>93.79645661382628</v>
          </cell>
        </row>
        <row r="226">
          <cell r="A226" t="str">
            <v>Iowa</v>
          </cell>
          <cell r="B226">
            <v>88.13990854526476</v>
          </cell>
          <cell r="C226">
            <v>88.320243286331078</v>
          </cell>
          <cell r="D226">
            <v>90.026769994524528</v>
          </cell>
          <cell r="E226">
            <v>90.78942626326554</v>
          </cell>
          <cell r="F226">
            <v>90.785176319047096</v>
          </cell>
          <cell r="G226">
            <v>90.874305248480056</v>
          </cell>
          <cell r="H226">
            <v>91.00308513053713</v>
          </cell>
          <cell r="I226">
            <v>91.052458910269479</v>
          </cell>
          <cell r="J226">
            <v>91.497238389245553</v>
          </cell>
          <cell r="K226">
            <v>91.319429921560371</v>
          </cell>
          <cell r="L226">
            <v>90.428311690732315</v>
          </cell>
          <cell r="M226">
            <v>90.428311690732301</v>
          </cell>
          <cell r="N226">
            <v>90.606813923633325</v>
          </cell>
          <cell r="O226">
            <v>92.029843026471454</v>
          </cell>
          <cell r="P226">
            <v>92.693884560574446</v>
          </cell>
          <cell r="Q226">
            <v>92.870643764248626</v>
          </cell>
          <cell r="R226">
            <v>93.488255676853726</v>
          </cell>
          <cell r="S226">
            <v>93.79645661382628</v>
          </cell>
          <cell r="T226">
            <v>93.79645661382628</v>
          </cell>
          <cell r="U226">
            <v>93.79645661382628</v>
          </cell>
          <cell r="V226">
            <v>93.79645661382628</v>
          </cell>
          <cell r="W226">
            <v>93.79645661382628</v>
          </cell>
          <cell r="X226">
            <v>93.79645661382628</v>
          </cell>
          <cell r="Y226">
            <v>93.79645661382628</v>
          </cell>
          <cell r="Z226">
            <v>93.79645661382628</v>
          </cell>
          <cell r="AA226">
            <v>93.79645661382628</v>
          </cell>
          <cell r="AB226">
            <v>93.79645661382628</v>
          </cell>
          <cell r="AC226">
            <v>93.79645661382628</v>
          </cell>
          <cell r="AD226">
            <v>93.79645661382628</v>
          </cell>
          <cell r="AE226">
            <v>93.79645661382628</v>
          </cell>
          <cell r="AF226">
            <v>93.79645661382628</v>
          </cell>
        </row>
        <row r="227">
          <cell r="A227" t="str">
            <v>Kansas</v>
          </cell>
          <cell r="B227">
            <v>85.364359107623983</v>
          </cell>
          <cell r="C227">
            <v>85.539015059167852</v>
          </cell>
          <cell r="D227">
            <v>87.191802782111395</v>
          </cell>
          <cell r="E227">
            <v>87.93044279972672</v>
          </cell>
          <cell r="F227">
            <v>87.926326687395317</v>
          </cell>
          <cell r="G227">
            <v>88.012648922856755</v>
          </cell>
          <cell r="H227">
            <v>88.137373491774497</v>
          </cell>
          <cell r="I227">
            <v>88.185192477897118</v>
          </cell>
          <cell r="J227">
            <v>88.615965731394553</v>
          </cell>
          <cell r="K227">
            <v>88.44375650020325</v>
          </cell>
          <cell r="L227">
            <v>87.580699822254786</v>
          </cell>
          <cell r="M227">
            <v>87.580699822254758</v>
          </cell>
          <cell r="N227">
            <v>87.753580971808645</v>
          </cell>
          <cell r="O227">
            <v>89.131798505275782</v>
          </cell>
          <cell r="P227">
            <v>89.774929192783034</v>
          </cell>
          <cell r="Q227">
            <v>89.94612220156948</v>
          </cell>
          <cell r="R227">
            <v>90.544285348853577</v>
          </cell>
          <cell r="S227">
            <v>90.842780955387099</v>
          </cell>
          <cell r="T227">
            <v>90.842780955387099</v>
          </cell>
          <cell r="U227">
            <v>90.842780955387099</v>
          </cell>
          <cell r="V227">
            <v>90.842780955387099</v>
          </cell>
          <cell r="W227">
            <v>90.842780955387099</v>
          </cell>
          <cell r="X227">
            <v>90.842780955387099</v>
          </cell>
          <cell r="Y227">
            <v>90.842780955387099</v>
          </cell>
          <cell r="Z227">
            <v>90.842780955387099</v>
          </cell>
          <cell r="AA227">
            <v>90.842780955387099</v>
          </cell>
          <cell r="AB227">
            <v>90.842780955387099</v>
          </cell>
          <cell r="AC227">
            <v>90.842780955387099</v>
          </cell>
          <cell r="AD227">
            <v>90.842780955387099</v>
          </cell>
          <cell r="AE227">
            <v>90.842780955387099</v>
          </cell>
          <cell r="AF227">
            <v>90.842780955387099</v>
          </cell>
        </row>
        <row r="228">
          <cell r="A228" t="str">
            <v>Kentucky</v>
          </cell>
          <cell r="B228">
            <v>88.857829555935496</v>
          </cell>
          <cell r="C228">
            <v>89.039633167366006</v>
          </cell>
          <cell r="D228">
            <v>90.760059951011144</v>
          </cell>
          <cell r="E228">
            <v>91.528928240711622</v>
          </cell>
          <cell r="F228">
            <v>91.524643679662958</v>
          </cell>
          <cell r="G228">
            <v>91.61449858592249</v>
          </cell>
          <cell r="H228">
            <v>91.744327411467296</v>
          </cell>
          <cell r="I228">
            <v>91.794103352654489</v>
          </cell>
          <cell r="J228">
            <v>92.242505668757801</v>
          </cell>
          <cell r="K228">
            <v>92.063248907820096</v>
          </cell>
          <cell r="L228">
            <v>91.164872302080283</v>
          </cell>
          <cell r="M228">
            <v>91.164872302080326</v>
          </cell>
          <cell r="N228">
            <v>91.344828479120451</v>
          </cell>
          <cell r="O228">
            <v>92.779448500403873</v>
          </cell>
          <cell r="P228">
            <v>93.448898814447261</v>
          </cell>
          <cell r="Q228">
            <v>93.627097764863251</v>
          </cell>
          <cell r="R228">
            <v>94.249740276839489</v>
          </cell>
          <cell r="S228">
            <v>94.56045158546786</v>
          </cell>
          <cell r="T228">
            <v>94.56045158546786</v>
          </cell>
          <cell r="U228">
            <v>94.56045158546786</v>
          </cell>
          <cell r="V228">
            <v>94.56045158546786</v>
          </cell>
          <cell r="W228">
            <v>94.56045158546786</v>
          </cell>
          <cell r="X228">
            <v>94.56045158546786</v>
          </cell>
          <cell r="Y228">
            <v>94.56045158546786</v>
          </cell>
          <cell r="Z228">
            <v>94.56045158546786</v>
          </cell>
          <cell r="AA228">
            <v>94.56045158546786</v>
          </cell>
          <cell r="AB228">
            <v>94.56045158546786</v>
          </cell>
          <cell r="AC228">
            <v>94.56045158546786</v>
          </cell>
          <cell r="AD228">
            <v>94.56045158546786</v>
          </cell>
          <cell r="AE228">
            <v>94.56045158546786</v>
          </cell>
          <cell r="AF228">
            <v>94.56045158546786</v>
          </cell>
        </row>
        <row r="229">
          <cell r="A229" t="str">
            <v>Louisiana</v>
          </cell>
          <cell r="B229">
            <v>88.724782849633613</v>
          </cell>
          <cell r="C229">
            <v>88.906314246766129</v>
          </cell>
          <cell r="D229">
            <v>90.624165037748099</v>
          </cell>
          <cell r="E229">
            <v>91.391882102013142</v>
          </cell>
          <cell r="F229">
            <v>91.3876039562318</v>
          </cell>
          <cell r="G229">
            <v>91.477324322863495</v>
          </cell>
          <cell r="H229">
            <v>91.606958755885898</v>
          </cell>
          <cell r="I229">
            <v>91.656660167624622</v>
          </cell>
          <cell r="J229">
            <v>92.104391091555144</v>
          </cell>
          <cell r="K229">
            <v>91.925402731519696</v>
          </cell>
          <cell r="L229">
            <v>91.028371263839333</v>
          </cell>
          <cell r="M229">
            <v>91.028371263839347</v>
          </cell>
          <cell r="N229">
            <v>91.208057992742496</v>
          </cell>
          <cell r="O229">
            <v>92.64052995943598</v>
          </cell>
          <cell r="P229">
            <v>93.308977906442479</v>
          </cell>
          <cell r="Q229">
            <v>93.486910039814447</v>
          </cell>
          <cell r="R229">
            <v>94.108620270011642</v>
          </cell>
          <cell r="S229">
            <v>94.418866351023823</v>
          </cell>
          <cell r="T229">
            <v>94.418866351023823</v>
          </cell>
          <cell r="U229">
            <v>94.418866351023823</v>
          </cell>
          <cell r="V229">
            <v>94.418866351023823</v>
          </cell>
          <cell r="W229">
            <v>94.418866351023823</v>
          </cell>
          <cell r="X229">
            <v>94.418866351023823</v>
          </cell>
          <cell r="Y229">
            <v>94.418866351023823</v>
          </cell>
          <cell r="Z229">
            <v>94.418866351023823</v>
          </cell>
          <cell r="AA229">
            <v>94.418866351023823</v>
          </cell>
          <cell r="AB229">
            <v>94.418866351023823</v>
          </cell>
          <cell r="AC229">
            <v>94.418866351023823</v>
          </cell>
          <cell r="AD229">
            <v>94.418866351023823</v>
          </cell>
          <cell r="AE229">
            <v>94.418866351023823</v>
          </cell>
          <cell r="AF229">
            <v>94.418866351023823</v>
          </cell>
        </row>
        <row r="230">
          <cell r="A230" t="str">
            <v>Maine</v>
          </cell>
          <cell r="B230">
            <v>88.125654006065133</v>
          </cell>
          <cell r="C230">
            <v>88.305959582265274</v>
          </cell>
          <cell r="D230">
            <v>90.012210300248867</v>
          </cell>
          <cell r="E230">
            <v>90.774743227431458</v>
          </cell>
          <cell r="F230">
            <v>90.770493970540656</v>
          </cell>
          <cell r="G230">
            <v>90.859608485483776</v>
          </cell>
          <cell r="H230">
            <v>90.988367540450071</v>
          </cell>
          <cell r="I230">
            <v>91.037733335144864</v>
          </cell>
          <cell r="J230">
            <v>91.482440881592041</v>
          </cell>
          <cell r="K230">
            <v>91.304661170208234</v>
          </cell>
          <cell r="L230">
            <v>90.413687056613327</v>
          </cell>
          <cell r="M230">
            <v>90.413687056613355</v>
          </cell>
          <cell r="N230">
            <v>90.59216042101292</v>
          </cell>
          <cell r="O230">
            <v>92.014959382653245</v>
          </cell>
          <cell r="P230">
            <v>92.678893523791629</v>
          </cell>
          <cell r="Q230">
            <v>92.855624140858012</v>
          </cell>
          <cell r="R230">
            <v>93.473136169388326</v>
          </cell>
          <cell r="S230">
            <v>93.781287262170949</v>
          </cell>
          <cell r="T230">
            <v>93.781287262170949</v>
          </cell>
          <cell r="U230">
            <v>93.781287262170949</v>
          </cell>
          <cell r="V230">
            <v>93.781287262170949</v>
          </cell>
          <cell r="W230">
            <v>93.781287262170949</v>
          </cell>
          <cell r="X230">
            <v>93.781287262170949</v>
          </cell>
          <cell r="Y230">
            <v>93.781287262170949</v>
          </cell>
          <cell r="Z230">
            <v>93.781287262170949</v>
          </cell>
          <cell r="AA230">
            <v>93.781287262170949</v>
          </cell>
          <cell r="AB230">
            <v>93.781287262170949</v>
          </cell>
          <cell r="AC230">
            <v>93.781287262170949</v>
          </cell>
          <cell r="AD230">
            <v>93.781287262170949</v>
          </cell>
          <cell r="AE230">
            <v>93.781287262170949</v>
          </cell>
          <cell r="AF230">
            <v>93.781287262170949</v>
          </cell>
        </row>
        <row r="231">
          <cell r="A231" t="str">
            <v>Maryland</v>
          </cell>
          <cell r="B231">
            <v>88.125654006065119</v>
          </cell>
          <cell r="C231">
            <v>88.305959582265302</v>
          </cell>
          <cell r="D231">
            <v>90.012210300248881</v>
          </cell>
          <cell r="E231">
            <v>90.774743227431458</v>
          </cell>
          <cell r="F231">
            <v>90.770493970540656</v>
          </cell>
          <cell r="G231">
            <v>90.859608485483776</v>
          </cell>
          <cell r="H231">
            <v>90.988367540450071</v>
          </cell>
          <cell r="I231">
            <v>91.037733335144878</v>
          </cell>
          <cell r="J231">
            <v>91.482440881592041</v>
          </cell>
          <cell r="K231">
            <v>91.304661170208234</v>
          </cell>
          <cell r="L231">
            <v>90.413687056613355</v>
          </cell>
          <cell r="M231">
            <v>90.413687056613341</v>
          </cell>
          <cell r="N231">
            <v>90.59216042101292</v>
          </cell>
          <cell r="O231">
            <v>92.014959382653259</v>
          </cell>
          <cell r="P231">
            <v>92.678893523791615</v>
          </cell>
          <cell r="Q231">
            <v>92.855624140857998</v>
          </cell>
          <cell r="R231">
            <v>93.473136169388326</v>
          </cell>
          <cell r="S231">
            <v>93.781287262170935</v>
          </cell>
          <cell r="T231">
            <v>93.781287262170935</v>
          </cell>
          <cell r="U231">
            <v>93.781287262170935</v>
          </cell>
          <cell r="V231">
            <v>93.781287262170935</v>
          </cell>
          <cell r="W231">
            <v>93.781287262170935</v>
          </cell>
          <cell r="X231">
            <v>93.781287262170935</v>
          </cell>
          <cell r="Y231">
            <v>93.781287262170935</v>
          </cell>
          <cell r="Z231">
            <v>93.781287262170935</v>
          </cell>
          <cell r="AA231">
            <v>93.781287262170935</v>
          </cell>
          <cell r="AB231">
            <v>93.781287262170935</v>
          </cell>
          <cell r="AC231">
            <v>93.781287262170935</v>
          </cell>
          <cell r="AD231">
            <v>93.781287262170935</v>
          </cell>
          <cell r="AE231">
            <v>93.781287262170935</v>
          </cell>
          <cell r="AF231">
            <v>93.781287262170935</v>
          </cell>
        </row>
        <row r="232">
          <cell r="A232" t="str">
            <v>Massachusetts</v>
          </cell>
          <cell r="B232">
            <v>88.125654006065119</v>
          </cell>
          <cell r="C232">
            <v>88.305959582265288</v>
          </cell>
          <cell r="D232">
            <v>90.012210300248853</v>
          </cell>
          <cell r="E232">
            <v>90.774743227431458</v>
          </cell>
          <cell r="F232">
            <v>90.770493970540642</v>
          </cell>
          <cell r="G232">
            <v>90.859608485483761</v>
          </cell>
          <cell r="H232">
            <v>90.988367540450056</v>
          </cell>
          <cell r="I232">
            <v>91.037733335144864</v>
          </cell>
          <cell r="J232">
            <v>91.482440881592055</v>
          </cell>
          <cell r="K232">
            <v>91.30466117020822</v>
          </cell>
          <cell r="L232">
            <v>90.413687056613341</v>
          </cell>
          <cell r="M232">
            <v>90.413687056613327</v>
          </cell>
          <cell r="N232">
            <v>90.59216042101292</v>
          </cell>
          <cell r="O232">
            <v>92.014959382653245</v>
          </cell>
          <cell r="P232">
            <v>92.678893523791615</v>
          </cell>
          <cell r="Q232">
            <v>92.855624140858012</v>
          </cell>
          <cell r="R232">
            <v>93.473136169388326</v>
          </cell>
          <cell r="S232">
            <v>93.781287262170935</v>
          </cell>
          <cell r="T232">
            <v>93.781287262170935</v>
          </cell>
          <cell r="U232">
            <v>93.781287262170935</v>
          </cell>
          <cell r="V232">
            <v>93.781287262170935</v>
          </cell>
          <cell r="W232">
            <v>93.781287262170935</v>
          </cell>
          <cell r="X232">
            <v>93.781287262170935</v>
          </cell>
          <cell r="Y232">
            <v>93.781287262170935</v>
          </cell>
          <cell r="Z232">
            <v>93.781287262170935</v>
          </cell>
          <cell r="AA232">
            <v>93.781287262170935</v>
          </cell>
          <cell r="AB232">
            <v>93.781287262170935</v>
          </cell>
          <cell r="AC232">
            <v>93.781287262170935</v>
          </cell>
          <cell r="AD232">
            <v>93.781287262170935</v>
          </cell>
          <cell r="AE232">
            <v>93.781287262170935</v>
          </cell>
          <cell r="AF232">
            <v>93.781287262170935</v>
          </cell>
        </row>
        <row r="233">
          <cell r="A233" t="str">
            <v>Michigan</v>
          </cell>
          <cell r="B233">
            <v>88.139908545264774</v>
          </cell>
          <cell r="C233">
            <v>88.320243286331092</v>
          </cell>
          <cell r="D233">
            <v>90.026769994524543</v>
          </cell>
          <cell r="E233">
            <v>90.789426263265526</v>
          </cell>
          <cell r="F233">
            <v>90.785176319047096</v>
          </cell>
          <cell r="G233">
            <v>90.874305248480056</v>
          </cell>
          <cell r="H233">
            <v>91.00308513053713</v>
          </cell>
          <cell r="I233">
            <v>91.052458910269479</v>
          </cell>
          <cell r="J233">
            <v>91.497238389245567</v>
          </cell>
          <cell r="K233">
            <v>91.319429921560371</v>
          </cell>
          <cell r="L233">
            <v>90.428311690732301</v>
          </cell>
          <cell r="M233">
            <v>90.428311690732315</v>
          </cell>
          <cell r="N233">
            <v>90.606813923633325</v>
          </cell>
          <cell r="O233">
            <v>92.029843026471454</v>
          </cell>
          <cell r="P233">
            <v>92.693884560574418</v>
          </cell>
          <cell r="Q233">
            <v>92.870643764248612</v>
          </cell>
          <cell r="R233">
            <v>93.488255676853726</v>
          </cell>
          <cell r="S233">
            <v>93.79645661382628</v>
          </cell>
          <cell r="T233">
            <v>93.79645661382628</v>
          </cell>
          <cell r="U233">
            <v>93.79645661382628</v>
          </cell>
          <cell r="V233">
            <v>93.79645661382628</v>
          </cell>
          <cell r="W233">
            <v>93.79645661382628</v>
          </cell>
          <cell r="X233">
            <v>93.79645661382628</v>
          </cell>
          <cell r="Y233">
            <v>93.79645661382628</v>
          </cell>
          <cell r="Z233">
            <v>93.79645661382628</v>
          </cell>
          <cell r="AA233">
            <v>93.79645661382628</v>
          </cell>
          <cell r="AB233">
            <v>93.79645661382628</v>
          </cell>
          <cell r="AC233">
            <v>93.79645661382628</v>
          </cell>
          <cell r="AD233">
            <v>93.79645661382628</v>
          </cell>
          <cell r="AE233">
            <v>93.79645661382628</v>
          </cell>
          <cell r="AF233">
            <v>93.79645661382628</v>
          </cell>
        </row>
        <row r="234">
          <cell r="A234" t="str">
            <v>Minnesota</v>
          </cell>
          <cell r="B234">
            <v>88.139908545264774</v>
          </cell>
          <cell r="C234">
            <v>88.320243286331092</v>
          </cell>
          <cell r="D234">
            <v>90.026769994524528</v>
          </cell>
          <cell r="E234">
            <v>90.789426263265554</v>
          </cell>
          <cell r="F234">
            <v>90.785176319047068</v>
          </cell>
          <cell r="G234">
            <v>90.874305248480056</v>
          </cell>
          <cell r="H234">
            <v>91.00308513053713</v>
          </cell>
          <cell r="I234">
            <v>91.052458910269479</v>
          </cell>
          <cell r="J234">
            <v>91.497238389245538</v>
          </cell>
          <cell r="K234">
            <v>91.319429921560371</v>
          </cell>
          <cell r="L234">
            <v>90.428311690732315</v>
          </cell>
          <cell r="M234">
            <v>90.428311690732301</v>
          </cell>
          <cell r="N234">
            <v>90.606813923633325</v>
          </cell>
          <cell r="O234">
            <v>92.029843026471468</v>
          </cell>
          <cell r="P234">
            <v>92.693884560574418</v>
          </cell>
          <cell r="Q234">
            <v>92.870643764248598</v>
          </cell>
          <cell r="R234">
            <v>93.488255676853726</v>
          </cell>
          <cell r="S234">
            <v>93.79645661382628</v>
          </cell>
          <cell r="T234">
            <v>93.79645661382628</v>
          </cell>
          <cell r="U234">
            <v>93.79645661382628</v>
          </cell>
          <cell r="V234">
            <v>93.79645661382628</v>
          </cell>
          <cell r="W234">
            <v>93.79645661382628</v>
          </cell>
          <cell r="X234">
            <v>93.79645661382628</v>
          </cell>
          <cell r="Y234">
            <v>93.79645661382628</v>
          </cell>
          <cell r="Z234">
            <v>93.79645661382628</v>
          </cell>
          <cell r="AA234">
            <v>93.79645661382628</v>
          </cell>
          <cell r="AB234">
            <v>93.79645661382628</v>
          </cell>
          <cell r="AC234">
            <v>93.79645661382628</v>
          </cell>
          <cell r="AD234">
            <v>93.79645661382628</v>
          </cell>
          <cell r="AE234">
            <v>93.79645661382628</v>
          </cell>
          <cell r="AF234">
            <v>93.79645661382628</v>
          </cell>
        </row>
        <row r="235">
          <cell r="A235" t="str">
            <v>Mississippi</v>
          </cell>
          <cell r="B235">
            <v>88.85782955593551</v>
          </cell>
          <cell r="C235">
            <v>89.039633167365992</v>
          </cell>
          <cell r="D235">
            <v>90.760059951011158</v>
          </cell>
          <cell r="E235">
            <v>91.528928240711622</v>
          </cell>
          <cell r="F235">
            <v>91.524643679662958</v>
          </cell>
          <cell r="G235">
            <v>91.614498585922476</v>
          </cell>
          <cell r="H235">
            <v>91.744327411467282</v>
          </cell>
          <cell r="I235">
            <v>91.794103352654474</v>
          </cell>
          <cell r="J235">
            <v>92.242505668757815</v>
          </cell>
          <cell r="K235">
            <v>92.063248907820096</v>
          </cell>
          <cell r="L235">
            <v>91.164872302080326</v>
          </cell>
          <cell r="M235">
            <v>91.164872302080326</v>
          </cell>
          <cell r="N235">
            <v>91.344828479120451</v>
          </cell>
          <cell r="O235">
            <v>92.779448500403873</v>
          </cell>
          <cell r="P235">
            <v>93.448898814447276</v>
          </cell>
          <cell r="Q235">
            <v>93.627097764863237</v>
          </cell>
          <cell r="R235">
            <v>94.249740276839489</v>
          </cell>
          <cell r="S235">
            <v>94.56045158546786</v>
          </cell>
          <cell r="T235">
            <v>94.56045158546786</v>
          </cell>
          <cell r="U235">
            <v>94.56045158546786</v>
          </cell>
          <cell r="V235">
            <v>94.56045158546786</v>
          </cell>
          <cell r="W235">
            <v>94.56045158546786</v>
          </cell>
          <cell r="X235">
            <v>94.56045158546786</v>
          </cell>
          <cell r="Y235">
            <v>94.56045158546786</v>
          </cell>
          <cell r="Z235">
            <v>94.56045158546786</v>
          </cell>
          <cell r="AA235">
            <v>94.56045158546786</v>
          </cell>
          <cell r="AB235">
            <v>94.56045158546786</v>
          </cell>
          <cell r="AC235">
            <v>94.56045158546786</v>
          </cell>
          <cell r="AD235">
            <v>94.56045158546786</v>
          </cell>
          <cell r="AE235">
            <v>94.56045158546786</v>
          </cell>
          <cell r="AF235">
            <v>94.56045158546786</v>
          </cell>
        </row>
        <row r="236">
          <cell r="A236" t="str">
            <v>Missouri</v>
          </cell>
          <cell r="B236">
            <v>88.139908545264774</v>
          </cell>
          <cell r="C236">
            <v>88.320243286331092</v>
          </cell>
          <cell r="D236">
            <v>90.026769994524528</v>
          </cell>
          <cell r="E236">
            <v>90.78942626326554</v>
          </cell>
          <cell r="F236">
            <v>90.785176319047082</v>
          </cell>
          <cell r="G236">
            <v>90.87430524848007</v>
          </cell>
          <cell r="H236">
            <v>91.003085130537116</v>
          </cell>
          <cell r="I236">
            <v>91.052458910269479</v>
          </cell>
          <cell r="J236">
            <v>91.497238389245567</v>
          </cell>
          <cell r="K236">
            <v>91.319429921560371</v>
          </cell>
          <cell r="L236">
            <v>90.428311690732329</v>
          </cell>
          <cell r="M236">
            <v>90.428311690732315</v>
          </cell>
          <cell r="N236">
            <v>90.606813923633325</v>
          </cell>
          <cell r="O236">
            <v>92.029843026471468</v>
          </cell>
          <cell r="P236">
            <v>92.693884560574418</v>
          </cell>
          <cell r="Q236">
            <v>92.870643764248598</v>
          </cell>
          <cell r="R236">
            <v>93.488255676853726</v>
          </cell>
          <cell r="S236">
            <v>93.796456613826265</v>
          </cell>
          <cell r="T236">
            <v>93.796456613826265</v>
          </cell>
          <cell r="U236">
            <v>93.796456613826265</v>
          </cell>
          <cell r="V236">
            <v>93.796456613826265</v>
          </cell>
          <cell r="W236">
            <v>93.796456613826265</v>
          </cell>
          <cell r="X236">
            <v>93.796456613826265</v>
          </cell>
          <cell r="Y236">
            <v>93.796456613826265</v>
          </cell>
          <cell r="Z236">
            <v>93.796456613826265</v>
          </cell>
          <cell r="AA236">
            <v>93.796456613826265</v>
          </cell>
          <cell r="AB236">
            <v>93.796456613826265</v>
          </cell>
          <cell r="AC236">
            <v>93.796456613826265</v>
          </cell>
          <cell r="AD236">
            <v>93.796456613826265</v>
          </cell>
          <cell r="AE236">
            <v>93.796456613826265</v>
          </cell>
          <cell r="AF236">
            <v>93.796456613826265</v>
          </cell>
        </row>
        <row r="237">
          <cell r="A237" t="str">
            <v>Montana</v>
          </cell>
          <cell r="B237">
            <v>85.364359107623997</v>
          </cell>
          <cell r="C237">
            <v>85.539015059167852</v>
          </cell>
          <cell r="D237">
            <v>87.191802782111381</v>
          </cell>
          <cell r="E237">
            <v>87.93044279972672</v>
          </cell>
          <cell r="F237">
            <v>87.926326687395331</v>
          </cell>
          <cell r="G237">
            <v>88.012648922856741</v>
          </cell>
          <cell r="H237">
            <v>88.137373491774511</v>
          </cell>
          <cell r="I237">
            <v>88.185192477897132</v>
          </cell>
          <cell r="J237">
            <v>88.615965731394567</v>
          </cell>
          <cell r="K237">
            <v>88.443756500203236</v>
          </cell>
          <cell r="L237">
            <v>87.580699822254786</v>
          </cell>
          <cell r="M237">
            <v>87.580699822254772</v>
          </cell>
          <cell r="N237">
            <v>87.753580971808631</v>
          </cell>
          <cell r="O237">
            <v>89.131798505275782</v>
          </cell>
          <cell r="P237">
            <v>89.77492919278302</v>
          </cell>
          <cell r="Q237">
            <v>89.946122201569494</v>
          </cell>
          <cell r="R237">
            <v>90.544285348853563</v>
          </cell>
          <cell r="S237">
            <v>90.842780955387084</v>
          </cell>
          <cell r="T237">
            <v>90.842780955387084</v>
          </cell>
          <cell r="U237">
            <v>90.842780955387084</v>
          </cell>
          <cell r="V237">
            <v>90.842780955387084</v>
          </cell>
          <cell r="W237">
            <v>90.842780955387084</v>
          </cell>
          <cell r="X237">
            <v>90.842780955387084</v>
          </cell>
          <cell r="Y237">
            <v>90.842780955387084</v>
          </cell>
          <cell r="Z237">
            <v>90.842780955387084</v>
          </cell>
          <cell r="AA237">
            <v>90.842780955387084</v>
          </cell>
          <cell r="AB237">
            <v>90.842780955387084</v>
          </cell>
          <cell r="AC237">
            <v>90.842780955387084</v>
          </cell>
          <cell r="AD237">
            <v>90.842780955387084</v>
          </cell>
          <cell r="AE237">
            <v>90.842780955387084</v>
          </cell>
          <cell r="AF237">
            <v>90.842780955387084</v>
          </cell>
        </row>
        <row r="238">
          <cell r="A238" t="str">
            <v>Nebraska</v>
          </cell>
          <cell r="B238">
            <v>85.364359107623969</v>
          </cell>
          <cell r="C238">
            <v>85.539015059167852</v>
          </cell>
          <cell r="D238">
            <v>87.191802782111381</v>
          </cell>
          <cell r="E238">
            <v>87.93044279972672</v>
          </cell>
          <cell r="F238">
            <v>87.926326687395303</v>
          </cell>
          <cell r="G238">
            <v>88.012648922856741</v>
          </cell>
          <cell r="H238">
            <v>88.137373491774497</v>
          </cell>
          <cell r="I238">
            <v>88.185192477897118</v>
          </cell>
          <cell r="J238">
            <v>88.615965731394567</v>
          </cell>
          <cell r="K238">
            <v>88.443756500203264</v>
          </cell>
          <cell r="L238">
            <v>87.580699822254786</v>
          </cell>
          <cell r="M238">
            <v>87.580699822254786</v>
          </cell>
          <cell r="N238">
            <v>87.753580971808645</v>
          </cell>
          <cell r="O238">
            <v>89.131798505275782</v>
          </cell>
          <cell r="P238">
            <v>89.77492919278302</v>
          </cell>
          <cell r="Q238">
            <v>89.94612220156948</v>
          </cell>
          <cell r="R238">
            <v>90.544285348853577</v>
          </cell>
          <cell r="S238">
            <v>90.842780955387084</v>
          </cell>
          <cell r="T238">
            <v>90.842780955387084</v>
          </cell>
          <cell r="U238">
            <v>90.842780955387084</v>
          </cell>
          <cell r="V238">
            <v>90.842780955387084</v>
          </cell>
          <cell r="W238">
            <v>90.842780955387084</v>
          </cell>
          <cell r="X238">
            <v>90.842780955387084</v>
          </cell>
          <cell r="Y238">
            <v>90.842780955387084</v>
          </cell>
          <cell r="Z238">
            <v>90.842780955387084</v>
          </cell>
          <cell r="AA238">
            <v>90.842780955387084</v>
          </cell>
          <cell r="AB238">
            <v>90.842780955387084</v>
          </cell>
          <cell r="AC238">
            <v>90.842780955387084</v>
          </cell>
          <cell r="AD238">
            <v>90.842780955387084</v>
          </cell>
          <cell r="AE238">
            <v>90.842780955387084</v>
          </cell>
          <cell r="AF238">
            <v>90.842780955387084</v>
          </cell>
        </row>
        <row r="239">
          <cell r="A239" t="str">
            <v>Nevada</v>
          </cell>
          <cell r="B239">
            <v>101.49401708739363</v>
          </cell>
          <cell r="C239">
            <v>101.70167440850189</v>
          </cell>
          <cell r="D239">
            <v>103.666757578432</v>
          </cell>
          <cell r="E239">
            <v>104.54496416667295</v>
          </cell>
          <cell r="F239">
            <v>104.54007031191129</v>
          </cell>
          <cell r="G239">
            <v>104.64270319678891</v>
          </cell>
          <cell r="H239">
            <v>104.79099456406779</v>
          </cell>
          <cell r="I239">
            <v>104.84784898253197</v>
          </cell>
          <cell r="J239">
            <v>105.36001715679474</v>
          </cell>
          <cell r="K239">
            <v>105.15526886563613</v>
          </cell>
          <cell r="L239">
            <v>104.12913699825275</v>
          </cell>
          <cell r="M239">
            <v>104.12913699825272</v>
          </cell>
          <cell r="N239">
            <v>104.33468416723912</v>
          </cell>
          <cell r="O239">
            <v>105.97331690992159</v>
          </cell>
          <cell r="P239">
            <v>106.73796761039712</v>
          </cell>
          <cell r="Q239">
            <v>106.94150766318548</v>
          </cell>
          <cell r="R239">
            <v>107.65269417388089</v>
          </cell>
          <cell r="S239">
            <v>108.00759074320709</v>
          </cell>
          <cell r="T239">
            <v>108.00759074320709</v>
          </cell>
          <cell r="U239">
            <v>108.00759074320709</v>
          </cell>
          <cell r="V239">
            <v>108.00759074320709</v>
          </cell>
          <cell r="W239">
            <v>108.00759074320709</v>
          </cell>
          <cell r="X239">
            <v>108.00759074320709</v>
          </cell>
          <cell r="Y239">
            <v>108.00759074320709</v>
          </cell>
          <cell r="Z239">
            <v>108.00759074320709</v>
          </cell>
          <cell r="AA239">
            <v>108.00759074320709</v>
          </cell>
          <cell r="AB239">
            <v>108.00759074320709</v>
          </cell>
          <cell r="AC239">
            <v>108.00759074320709</v>
          </cell>
          <cell r="AD239">
            <v>108.00759074320709</v>
          </cell>
          <cell r="AE239">
            <v>108.00759074320709</v>
          </cell>
          <cell r="AF239">
            <v>108.00759074320709</v>
          </cell>
        </row>
        <row r="240">
          <cell r="A240" t="str">
            <v>New Hampshire</v>
          </cell>
          <cell r="B240">
            <v>88.125654006065119</v>
          </cell>
          <cell r="C240">
            <v>88.305959582265288</v>
          </cell>
          <cell r="D240">
            <v>90.012210300248881</v>
          </cell>
          <cell r="E240">
            <v>90.774743227431458</v>
          </cell>
          <cell r="F240">
            <v>90.770493970540656</v>
          </cell>
          <cell r="G240">
            <v>90.859608485483776</v>
          </cell>
          <cell r="H240">
            <v>90.988367540450071</v>
          </cell>
          <cell r="I240">
            <v>91.037733335144864</v>
          </cell>
          <cell r="J240">
            <v>91.482440881592055</v>
          </cell>
          <cell r="K240">
            <v>91.304661170208234</v>
          </cell>
          <cell r="L240">
            <v>90.413687056613327</v>
          </cell>
          <cell r="M240">
            <v>90.413687056613341</v>
          </cell>
          <cell r="N240">
            <v>90.59216042101292</v>
          </cell>
          <cell r="O240">
            <v>92.014959382653259</v>
          </cell>
          <cell r="P240">
            <v>92.678893523791629</v>
          </cell>
          <cell r="Q240">
            <v>92.855624140858026</v>
          </cell>
          <cell r="R240">
            <v>93.473136169388326</v>
          </cell>
          <cell r="S240">
            <v>93.781287262170935</v>
          </cell>
          <cell r="T240">
            <v>93.781287262170935</v>
          </cell>
          <cell r="U240">
            <v>93.781287262170935</v>
          </cell>
          <cell r="V240">
            <v>93.781287262170935</v>
          </cell>
          <cell r="W240">
            <v>93.781287262170935</v>
          </cell>
          <cell r="X240">
            <v>93.781287262170935</v>
          </cell>
          <cell r="Y240">
            <v>93.781287262170935</v>
          </cell>
          <cell r="Z240">
            <v>93.781287262170935</v>
          </cell>
          <cell r="AA240">
            <v>93.781287262170935</v>
          </cell>
          <cell r="AB240">
            <v>93.781287262170935</v>
          </cell>
          <cell r="AC240">
            <v>93.781287262170935</v>
          </cell>
          <cell r="AD240">
            <v>93.781287262170935</v>
          </cell>
          <cell r="AE240">
            <v>93.781287262170935</v>
          </cell>
          <cell r="AF240">
            <v>93.781287262170935</v>
          </cell>
        </row>
        <row r="241">
          <cell r="A241" t="str">
            <v>New Jersey</v>
          </cell>
          <cell r="B241">
            <v>88.125654006065119</v>
          </cell>
          <cell r="C241">
            <v>88.305959582265274</v>
          </cell>
          <cell r="D241">
            <v>90.012210300248867</v>
          </cell>
          <cell r="E241">
            <v>90.774743227431472</v>
          </cell>
          <cell r="F241">
            <v>90.770493970540656</v>
          </cell>
          <cell r="G241">
            <v>90.859608485483761</v>
          </cell>
          <cell r="H241">
            <v>90.988367540450056</v>
          </cell>
          <cell r="I241">
            <v>91.037733335144878</v>
          </cell>
          <cell r="J241">
            <v>91.482440881592069</v>
          </cell>
          <cell r="K241">
            <v>91.304661170208234</v>
          </cell>
          <cell r="L241">
            <v>90.413687056613327</v>
          </cell>
          <cell r="M241">
            <v>90.413687056613341</v>
          </cell>
          <cell r="N241">
            <v>90.59216042101292</v>
          </cell>
          <cell r="O241">
            <v>92.014959382653245</v>
          </cell>
          <cell r="P241">
            <v>92.678893523791629</v>
          </cell>
          <cell r="Q241">
            <v>92.855624140857998</v>
          </cell>
          <cell r="R241">
            <v>93.47313616938834</v>
          </cell>
          <cell r="S241">
            <v>93.781287262170949</v>
          </cell>
          <cell r="T241">
            <v>93.781287262170949</v>
          </cell>
          <cell r="U241">
            <v>93.781287262170949</v>
          </cell>
          <cell r="V241">
            <v>93.781287262170949</v>
          </cell>
          <cell r="W241">
            <v>93.781287262170949</v>
          </cell>
          <cell r="X241">
            <v>93.781287262170949</v>
          </cell>
          <cell r="Y241">
            <v>93.781287262170949</v>
          </cell>
          <cell r="Z241">
            <v>93.781287262170949</v>
          </cell>
          <cell r="AA241">
            <v>93.781287262170949</v>
          </cell>
          <cell r="AB241">
            <v>93.781287262170949</v>
          </cell>
          <cell r="AC241">
            <v>93.781287262170949</v>
          </cell>
          <cell r="AD241">
            <v>93.781287262170949</v>
          </cell>
          <cell r="AE241">
            <v>93.781287262170949</v>
          </cell>
          <cell r="AF241">
            <v>93.781287262170949</v>
          </cell>
        </row>
        <row r="242">
          <cell r="A242" t="str">
            <v>New Mexico</v>
          </cell>
          <cell r="B242">
            <v>101.49401708739364</v>
          </cell>
          <cell r="C242">
            <v>101.7016744085019</v>
          </cell>
          <cell r="D242">
            <v>103.66675757843198</v>
          </cell>
          <cell r="E242">
            <v>104.544964166673</v>
          </cell>
          <cell r="F242">
            <v>104.54007031191129</v>
          </cell>
          <cell r="G242">
            <v>104.64270319678893</v>
          </cell>
          <cell r="H242">
            <v>104.79099456406779</v>
          </cell>
          <cell r="I242">
            <v>104.84784898253193</v>
          </cell>
          <cell r="J242">
            <v>105.36001715679474</v>
          </cell>
          <cell r="K242">
            <v>105.15526886563613</v>
          </cell>
          <cell r="L242">
            <v>104.12913699825275</v>
          </cell>
          <cell r="M242">
            <v>104.12913699825276</v>
          </cell>
          <cell r="N242">
            <v>104.3346841672391</v>
          </cell>
          <cell r="O242">
            <v>105.97331690992159</v>
          </cell>
          <cell r="P242">
            <v>106.73796761039711</v>
          </cell>
          <cell r="Q242">
            <v>106.94150766318546</v>
          </cell>
          <cell r="R242">
            <v>107.65269417388089</v>
          </cell>
          <cell r="S242">
            <v>108.0075907432071</v>
          </cell>
          <cell r="T242">
            <v>108.0075907432071</v>
          </cell>
          <cell r="U242">
            <v>108.0075907432071</v>
          </cell>
          <cell r="V242">
            <v>108.0075907432071</v>
          </cell>
          <cell r="W242">
            <v>108.0075907432071</v>
          </cell>
          <cell r="X242">
            <v>108.0075907432071</v>
          </cell>
          <cell r="Y242">
            <v>108.0075907432071</v>
          </cell>
          <cell r="Z242">
            <v>108.0075907432071</v>
          </cell>
          <cell r="AA242">
            <v>108.0075907432071</v>
          </cell>
          <cell r="AB242">
            <v>108.0075907432071</v>
          </cell>
          <cell r="AC242">
            <v>108.0075907432071</v>
          </cell>
          <cell r="AD242">
            <v>108.0075907432071</v>
          </cell>
          <cell r="AE242">
            <v>108.0075907432071</v>
          </cell>
          <cell r="AF242">
            <v>108.0075907432071</v>
          </cell>
        </row>
        <row r="243">
          <cell r="A243" t="str">
            <v>New York</v>
          </cell>
          <cell r="B243">
            <v>88.125654006065119</v>
          </cell>
          <cell r="C243">
            <v>88.305959582265288</v>
          </cell>
          <cell r="D243">
            <v>90.012210300248881</v>
          </cell>
          <cell r="E243">
            <v>90.774743227431458</v>
          </cell>
          <cell r="F243">
            <v>90.770493970540656</v>
          </cell>
          <cell r="G243">
            <v>90.859608485483761</v>
          </cell>
          <cell r="H243">
            <v>90.988367540450042</v>
          </cell>
          <cell r="I243">
            <v>91.037733335144864</v>
          </cell>
          <cell r="J243">
            <v>91.482440881592055</v>
          </cell>
          <cell r="K243">
            <v>91.304661170208234</v>
          </cell>
          <cell r="L243">
            <v>90.413687056613327</v>
          </cell>
          <cell r="M243">
            <v>90.413687056613327</v>
          </cell>
          <cell r="N243">
            <v>90.592160421012906</v>
          </cell>
          <cell r="O243">
            <v>92.014959382653259</v>
          </cell>
          <cell r="P243">
            <v>92.678893523791601</v>
          </cell>
          <cell r="Q243">
            <v>92.855624140857998</v>
          </cell>
          <cell r="R243">
            <v>93.473136169388326</v>
          </cell>
          <cell r="S243">
            <v>93.781287262170935</v>
          </cell>
          <cell r="T243">
            <v>93.781287262170935</v>
          </cell>
          <cell r="U243">
            <v>93.781287262170935</v>
          </cell>
          <cell r="V243">
            <v>93.781287262170935</v>
          </cell>
          <cell r="W243">
            <v>93.781287262170935</v>
          </cell>
          <cell r="X243">
            <v>93.781287262170935</v>
          </cell>
          <cell r="Y243">
            <v>93.781287262170935</v>
          </cell>
          <cell r="Z243">
            <v>93.781287262170935</v>
          </cell>
          <cell r="AA243">
            <v>93.781287262170935</v>
          </cell>
          <cell r="AB243">
            <v>93.781287262170935</v>
          </cell>
          <cell r="AC243">
            <v>93.781287262170935</v>
          </cell>
          <cell r="AD243">
            <v>93.781287262170935</v>
          </cell>
          <cell r="AE243">
            <v>93.781287262170935</v>
          </cell>
          <cell r="AF243">
            <v>93.781287262170935</v>
          </cell>
        </row>
        <row r="244">
          <cell r="A244" t="str">
            <v>North Carolina</v>
          </cell>
          <cell r="B244">
            <v>88.85782955593551</v>
          </cell>
          <cell r="C244">
            <v>89.039633167365992</v>
          </cell>
          <cell r="D244">
            <v>90.760059951011144</v>
          </cell>
          <cell r="E244">
            <v>91.528928240711622</v>
          </cell>
          <cell r="F244">
            <v>91.524643679662944</v>
          </cell>
          <cell r="G244">
            <v>91.614498585922476</v>
          </cell>
          <cell r="H244">
            <v>91.744327411467282</v>
          </cell>
          <cell r="I244">
            <v>91.794103352654474</v>
          </cell>
          <cell r="J244">
            <v>92.242505668757829</v>
          </cell>
          <cell r="K244">
            <v>92.063248907820082</v>
          </cell>
          <cell r="L244">
            <v>91.164872302080312</v>
          </cell>
          <cell r="M244">
            <v>91.164872302080298</v>
          </cell>
          <cell r="N244">
            <v>91.344828479120437</v>
          </cell>
          <cell r="O244">
            <v>92.779448500403873</v>
          </cell>
          <cell r="P244">
            <v>93.448898814447276</v>
          </cell>
          <cell r="Q244">
            <v>93.627097764863251</v>
          </cell>
          <cell r="R244">
            <v>94.249740276839489</v>
          </cell>
          <cell r="S244">
            <v>94.560451585467874</v>
          </cell>
          <cell r="T244">
            <v>94.560451585467874</v>
          </cell>
          <cell r="U244">
            <v>94.560451585467874</v>
          </cell>
          <cell r="V244">
            <v>94.560451585467874</v>
          </cell>
          <cell r="W244">
            <v>94.560451585467874</v>
          </cell>
          <cell r="X244">
            <v>94.560451585467874</v>
          </cell>
          <cell r="Y244">
            <v>94.560451585467874</v>
          </cell>
          <cell r="Z244">
            <v>94.560451585467874</v>
          </cell>
          <cell r="AA244">
            <v>94.560451585467874</v>
          </cell>
          <cell r="AB244">
            <v>94.560451585467874</v>
          </cell>
          <cell r="AC244">
            <v>94.560451585467874</v>
          </cell>
          <cell r="AD244">
            <v>94.560451585467874</v>
          </cell>
          <cell r="AE244">
            <v>94.560451585467874</v>
          </cell>
          <cell r="AF244">
            <v>94.560451585467874</v>
          </cell>
        </row>
        <row r="245">
          <cell r="A245" t="str">
            <v>North Dakota</v>
          </cell>
          <cell r="B245">
            <v>85.364359107623983</v>
          </cell>
          <cell r="C245">
            <v>85.539015059167838</v>
          </cell>
          <cell r="D245">
            <v>87.191802782111409</v>
          </cell>
          <cell r="E245">
            <v>87.93044279972672</v>
          </cell>
          <cell r="F245">
            <v>87.926326687395317</v>
          </cell>
          <cell r="G245">
            <v>88.012648922856769</v>
          </cell>
          <cell r="H245">
            <v>88.137373491774511</v>
          </cell>
          <cell r="I245">
            <v>88.185192477897118</v>
          </cell>
          <cell r="J245">
            <v>88.615965731394567</v>
          </cell>
          <cell r="K245">
            <v>88.443756500203222</v>
          </cell>
          <cell r="L245">
            <v>87.580699822254786</v>
          </cell>
          <cell r="M245">
            <v>87.580699822254772</v>
          </cell>
          <cell r="N245">
            <v>87.753580971808645</v>
          </cell>
          <cell r="O245">
            <v>89.131798505275796</v>
          </cell>
          <cell r="P245">
            <v>89.774929192783034</v>
          </cell>
          <cell r="Q245">
            <v>89.946122201569466</v>
          </cell>
          <cell r="R245">
            <v>90.544285348853563</v>
          </cell>
          <cell r="S245">
            <v>90.842780955387084</v>
          </cell>
          <cell r="T245">
            <v>90.842780955387084</v>
          </cell>
          <cell r="U245">
            <v>90.842780955387084</v>
          </cell>
          <cell r="V245">
            <v>90.842780955387084</v>
          </cell>
          <cell r="W245">
            <v>90.842780955387084</v>
          </cell>
          <cell r="X245">
            <v>90.842780955387084</v>
          </cell>
          <cell r="Y245">
            <v>90.842780955387084</v>
          </cell>
          <cell r="Z245">
            <v>90.842780955387084</v>
          </cell>
          <cell r="AA245">
            <v>90.842780955387084</v>
          </cell>
          <cell r="AB245">
            <v>90.842780955387084</v>
          </cell>
          <cell r="AC245">
            <v>90.842780955387084</v>
          </cell>
          <cell r="AD245">
            <v>90.842780955387084</v>
          </cell>
          <cell r="AE245">
            <v>90.842780955387084</v>
          </cell>
          <cell r="AF245">
            <v>90.842780955387084</v>
          </cell>
        </row>
        <row r="246">
          <cell r="A246" t="str">
            <v>Ohio</v>
          </cell>
          <cell r="B246">
            <v>88.139908545264774</v>
          </cell>
          <cell r="C246">
            <v>88.320243286331092</v>
          </cell>
          <cell r="D246">
            <v>90.026769994524514</v>
          </cell>
          <cell r="E246">
            <v>90.789426263265526</v>
          </cell>
          <cell r="F246">
            <v>90.785176319047082</v>
          </cell>
          <cell r="G246">
            <v>90.874305248480056</v>
          </cell>
          <cell r="H246">
            <v>91.003085130537102</v>
          </cell>
          <cell r="I246">
            <v>91.052458910269479</v>
          </cell>
          <cell r="J246">
            <v>91.497238389245538</v>
          </cell>
          <cell r="K246">
            <v>91.319429921560356</v>
          </cell>
          <cell r="L246">
            <v>90.428311690732301</v>
          </cell>
          <cell r="M246">
            <v>90.428311690732315</v>
          </cell>
          <cell r="N246">
            <v>90.606813923633311</v>
          </cell>
          <cell r="O246">
            <v>92.029843026471468</v>
          </cell>
          <cell r="P246">
            <v>92.693884560574418</v>
          </cell>
          <cell r="Q246">
            <v>92.870643764248612</v>
          </cell>
          <cell r="R246">
            <v>93.488255676853726</v>
          </cell>
          <cell r="S246">
            <v>93.796456613826265</v>
          </cell>
          <cell r="T246">
            <v>93.796456613826265</v>
          </cell>
          <cell r="U246">
            <v>93.796456613826265</v>
          </cell>
          <cell r="V246">
            <v>93.796456613826265</v>
          </cell>
          <cell r="W246">
            <v>93.796456613826265</v>
          </cell>
          <cell r="X246">
            <v>93.796456613826265</v>
          </cell>
          <cell r="Y246">
            <v>93.796456613826265</v>
          </cell>
          <cell r="Z246">
            <v>93.796456613826265</v>
          </cell>
          <cell r="AA246">
            <v>93.796456613826265</v>
          </cell>
          <cell r="AB246">
            <v>93.796456613826265</v>
          </cell>
          <cell r="AC246">
            <v>93.796456613826265</v>
          </cell>
          <cell r="AD246">
            <v>93.796456613826265</v>
          </cell>
          <cell r="AE246">
            <v>93.796456613826265</v>
          </cell>
          <cell r="AF246">
            <v>93.796456613826265</v>
          </cell>
        </row>
        <row r="247">
          <cell r="A247" t="str">
            <v>Oklahoma</v>
          </cell>
          <cell r="B247">
            <v>88.724782849633584</v>
          </cell>
          <cell r="C247">
            <v>88.906314246766101</v>
          </cell>
          <cell r="D247">
            <v>90.624165037748099</v>
          </cell>
          <cell r="E247">
            <v>91.391882102013142</v>
          </cell>
          <cell r="F247">
            <v>91.387603956231814</v>
          </cell>
          <cell r="G247">
            <v>91.477324322863524</v>
          </cell>
          <cell r="H247">
            <v>91.606958755885913</v>
          </cell>
          <cell r="I247">
            <v>91.656660167624651</v>
          </cell>
          <cell r="J247">
            <v>92.104391091555129</v>
          </cell>
          <cell r="K247">
            <v>91.925402731519711</v>
          </cell>
          <cell r="L247">
            <v>91.028371263839347</v>
          </cell>
          <cell r="M247">
            <v>91.028371263839347</v>
          </cell>
          <cell r="N247">
            <v>91.208057992742482</v>
          </cell>
          <cell r="O247">
            <v>92.640529959435952</v>
          </cell>
          <cell r="P247">
            <v>93.30897790644245</v>
          </cell>
          <cell r="Q247">
            <v>93.486910039814447</v>
          </cell>
          <cell r="R247">
            <v>94.108620270011627</v>
          </cell>
          <cell r="S247">
            <v>94.418866351023823</v>
          </cell>
          <cell r="T247">
            <v>94.418866351023823</v>
          </cell>
          <cell r="U247">
            <v>94.418866351023823</v>
          </cell>
          <cell r="V247">
            <v>94.418866351023823</v>
          </cell>
          <cell r="W247">
            <v>94.418866351023823</v>
          </cell>
          <cell r="X247">
            <v>94.418866351023823</v>
          </cell>
          <cell r="Y247">
            <v>94.418866351023823</v>
          </cell>
          <cell r="Z247">
            <v>94.418866351023823</v>
          </cell>
          <cell r="AA247">
            <v>94.418866351023823</v>
          </cell>
          <cell r="AB247">
            <v>94.418866351023823</v>
          </cell>
          <cell r="AC247">
            <v>94.418866351023823</v>
          </cell>
          <cell r="AD247">
            <v>94.418866351023823</v>
          </cell>
          <cell r="AE247">
            <v>94.418866351023823</v>
          </cell>
          <cell r="AF247">
            <v>94.418866351023823</v>
          </cell>
        </row>
        <row r="248">
          <cell r="A248" t="str">
            <v>Oregon</v>
          </cell>
          <cell r="B248">
            <v>101.49401708739364</v>
          </cell>
          <cell r="C248">
            <v>101.70167440850189</v>
          </cell>
          <cell r="D248">
            <v>103.666757578432</v>
          </cell>
          <cell r="E248">
            <v>104.54496416667298</v>
          </cell>
          <cell r="F248">
            <v>104.54007031191128</v>
          </cell>
          <cell r="G248">
            <v>104.64270319678894</v>
          </cell>
          <cell r="H248">
            <v>104.7909945640678</v>
          </cell>
          <cell r="I248">
            <v>104.84784898253194</v>
          </cell>
          <cell r="J248">
            <v>105.36001715679473</v>
          </cell>
          <cell r="K248">
            <v>105.15526886563612</v>
          </cell>
          <cell r="L248">
            <v>104.12913699825275</v>
          </cell>
          <cell r="M248">
            <v>104.12913699825273</v>
          </cell>
          <cell r="N248">
            <v>104.33468416723909</v>
          </cell>
          <cell r="O248">
            <v>105.97331690992161</v>
          </cell>
          <cell r="P248">
            <v>106.73796761039709</v>
          </cell>
          <cell r="Q248">
            <v>106.94150766318548</v>
          </cell>
          <cell r="R248">
            <v>107.65269417388087</v>
          </cell>
          <cell r="S248">
            <v>108.00759074320712</v>
          </cell>
          <cell r="T248">
            <v>108.00759074320712</v>
          </cell>
          <cell r="U248">
            <v>108.00759074320712</v>
          </cell>
          <cell r="V248">
            <v>108.00759074320712</v>
          </cell>
          <cell r="W248">
            <v>108.00759074320712</v>
          </cell>
          <cell r="X248">
            <v>108.00759074320712</v>
          </cell>
          <cell r="Y248">
            <v>108.00759074320712</v>
          </cell>
          <cell r="Z248">
            <v>108.00759074320712</v>
          </cell>
          <cell r="AA248">
            <v>108.00759074320712</v>
          </cell>
          <cell r="AB248">
            <v>108.00759074320712</v>
          </cell>
          <cell r="AC248">
            <v>108.00759074320712</v>
          </cell>
          <cell r="AD248">
            <v>108.00759074320712</v>
          </cell>
          <cell r="AE248">
            <v>108.00759074320712</v>
          </cell>
          <cell r="AF248">
            <v>108.00759074320712</v>
          </cell>
        </row>
        <row r="249">
          <cell r="A249" t="str">
            <v>Pennsylvania</v>
          </cell>
          <cell r="B249">
            <v>88.125654006065147</v>
          </cell>
          <cell r="C249">
            <v>88.305959582265288</v>
          </cell>
          <cell r="D249">
            <v>90.012210300248853</v>
          </cell>
          <cell r="E249">
            <v>90.774743227431443</v>
          </cell>
          <cell r="F249">
            <v>90.770493970540656</v>
          </cell>
          <cell r="G249">
            <v>90.859608485483747</v>
          </cell>
          <cell r="H249">
            <v>90.988367540450056</v>
          </cell>
          <cell r="I249">
            <v>91.037733335144864</v>
          </cell>
          <cell r="J249">
            <v>91.482440881592055</v>
          </cell>
          <cell r="K249">
            <v>91.30466117020822</v>
          </cell>
          <cell r="L249">
            <v>90.413687056613327</v>
          </cell>
          <cell r="M249">
            <v>90.413687056613355</v>
          </cell>
          <cell r="N249">
            <v>90.592160421012949</v>
          </cell>
          <cell r="O249">
            <v>92.014959382653245</v>
          </cell>
          <cell r="P249">
            <v>92.678893523791615</v>
          </cell>
          <cell r="Q249">
            <v>92.855624140858041</v>
          </cell>
          <cell r="R249">
            <v>93.47313616938834</v>
          </cell>
          <cell r="S249">
            <v>93.781287262170949</v>
          </cell>
          <cell r="T249">
            <v>93.781287262170949</v>
          </cell>
          <cell r="U249">
            <v>93.781287262170949</v>
          </cell>
          <cell r="V249">
            <v>93.781287262170949</v>
          </cell>
          <cell r="W249">
            <v>93.781287262170949</v>
          </cell>
          <cell r="X249">
            <v>93.781287262170949</v>
          </cell>
          <cell r="Y249">
            <v>93.781287262170949</v>
          </cell>
          <cell r="Z249">
            <v>93.781287262170949</v>
          </cell>
          <cell r="AA249">
            <v>93.781287262170949</v>
          </cell>
          <cell r="AB249">
            <v>93.781287262170949</v>
          </cell>
          <cell r="AC249">
            <v>93.781287262170949</v>
          </cell>
          <cell r="AD249">
            <v>93.781287262170949</v>
          </cell>
          <cell r="AE249">
            <v>93.781287262170949</v>
          </cell>
          <cell r="AF249">
            <v>93.781287262170949</v>
          </cell>
        </row>
        <row r="250">
          <cell r="A250" t="str">
            <v>Rhode Island</v>
          </cell>
          <cell r="B250">
            <v>88.125654006065133</v>
          </cell>
          <cell r="C250">
            <v>88.305959582265288</v>
          </cell>
          <cell r="D250">
            <v>90.012210300248881</v>
          </cell>
          <cell r="E250">
            <v>90.774743227431472</v>
          </cell>
          <cell r="F250">
            <v>90.770493970540642</v>
          </cell>
          <cell r="G250">
            <v>90.859608485483776</v>
          </cell>
          <cell r="H250">
            <v>90.988367540450056</v>
          </cell>
          <cell r="I250">
            <v>91.037733335144864</v>
          </cell>
          <cell r="J250">
            <v>91.482440881592012</v>
          </cell>
          <cell r="K250">
            <v>91.304661170208234</v>
          </cell>
          <cell r="L250">
            <v>90.413687056613341</v>
          </cell>
          <cell r="M250">
            <v>90.413687056613341</v>
          </cell>
          <cell r="N250">
            <v>90.592160421012949</v>
          </cell>
          <cell r="O250">
            <v>92.014959382653245</v>
          </cell>
          <cell r="P250">
            <v>92.678893523791601</v>
          </cell>
          <cell r="Q250">
            <v>92.855624140858012</v>
          </cell>
          <cell r="R250">
            <v>93.473136169388326</v>
          </cell>
          <cell r="S250">
            <v>93.781287262170963</v>
          </cell>
          <cell r="T250">
            <v>93.781287262170963</v>
          </cell>
          <cell r="U250">
            <v>93.781287262170963</v>
          </cell>
          <cell r="V250">
            <v>93.781287262170963</v>
          </cell>
          <cell r="W250">
            <v>93.781287262170963</v>
          </cell>
          <cell r="X250">
            <v>93.781287262170963</v>
          </cell>
          <cell r="Y250">
            <v>93.781287262170963</v>
          </cell>
          <cell r="Z250">
            <v>93.781287262170963</v>
          </cell>
          <cell r="AA250">
            <v>93.781287262170963</v>
          </cell>
          <cell r="AB250">
            <v>93.781287262170963</v>
          </cell>
          <cell r="AC250">
            <v>93.781287262170963</v>
          </cell>
          <cell r="AD250">
            <v>93.781287262170963</v>
          </cell>
          <cell r="AE250">
            <v>93.781287262170963</v>
          </cell>
          <cell r="AF250">
            <v>93.781287262170963</v>
          </cell>
        </row>
        <row r="251">
          <cell r="A251" t="str">
            <v>South Carolina</v>
          </cell>
          <cell r="B251">
            <v>88.857829555935524</v>
          </cell>
          <cell r="C251">
            <v>89.039633167365977</v>
          </cell>
          <cell r="D251">
            <v>90.760059951011158</v>
          </cell>
          <cell r="E251">
            <v>91.528928240711622</v>
          </cell>
          <cell r="F251">
            <v>91.524643679662944</v>
          </cell>
          <cell r="G251">
            <v>91.614498585922462</v>
          </cell>
          <cell r="H251">
            <v>91.744327411467296</v>
          </cell>
          <cell r="I251">
            <v>91.794103352654489</v>
          </cell>
          <cell r="J251">
            <v>92.242505668757829</v>
          </cell>
          <cell r="K251">
            <v>92.063248907820096</v>
          </cell>
          <cell r="L251">
            <v>91.164872302080298</v>
          </cell>
          <cell r="M251">
            <v>91.164872302080298</v>
          </cell>
          <cell r="N251">
            <v>91.344828479120451</v>
          </cell>
          <cell r="O251">
            <v>92.779448500403873</v>
          </cell>
          <cell r="P251">
            <v>93.448898814447276</v>
          </cell>
          <cell r="Q251">
            <v>93.627097764863251</v>
          </cell>
          <cell r="R251">
            <v>94.249740276839489</v>
          </cell>
          <cell r="S251">
            <v>94.56045158546786</v>
          </cell>
          <cell r="T251">
            <v>94.56045158546786</v>
          </cell>
          <cell r="U251">
            <v>94.56045158546786</v>
          </cell>
          <cell r="V251">
            <v>94.56045158546786</v>
          </cell>
          <cell r="W251">
            <v>94.56045158546786</v>
          </cell>
          <cell r="X251">
            <v>94.56045158546786</v>
          </cell>
          <cell r="Y251">
            <v>94.56045158546786</v>
          </cell>
          <cell r="Z251">
            <v>94.56045158546786</v>
          </cell>
          <cell r="AA251">
            <v>94.56045158546786</v>
          </cell>
          <cell r="AB251">
            <v>94.56045158546786</v>
          </cell>
          <cell r="AC251">
            <v>94.56045158546786</v>
          </cell>
          <cell r="AD251">
            <v>94.56045158546786</v>
          </cell>
          <cell r="AE251">
            <v>94.56045158546786</v>
          </cell>
          <cell r="AF251">
            <v>94.56045158546786</v>
          </cell>
        </row>
        <row r="252">
          <cell r="A252" t="str">
            <v>South Dakota</v>
          </cell>
          <cell r="B252">
            <v>85.364359107623969</v>
          </cell>
          <cell r="C252">
            <v>85.539015059167852</v>
          </cell>
          <cell r="D252">
            <v>87.191802782111381</v>
          </cell>
          <cell r="E252">
            <v>87.93044279972672</v>
          </cell>
          <cell r="F252">
            <v>87.926326687395317</v>
          </cell>
          <cell r="G252">
            <v>88.012648922856741</v>
          </cell>
          <cell r="H252">
            <v>88.137373491774497</v>
          </cell>
          <cell r="I252">
            <v>88.185192477897118</v>
          </cell>
          <cell r="J252">
            <v>88.615965731394567</v>
          </cell>
          <cell r="K252">
            <v>88.44375650020325</v>
          </cell>
          <cell r="L252">
            <v>87.580699822254786</v>
          </cell>
          <cell r="M252">
            <v>87.580699822254772</v>
          </cell>
          <cell r="N252">
            <v>87.75358097180866</v>
          </cell>
          <cell r="O252">
            <v>89.131798505275782</v>
          </cell>
          <cell r="P252">
            <v>89.774929192783034</v>
          </cell>
          <cell r="Q252">
            <v>89.946122201569466</v>
          </cell>
          <cell r="R252">
            <v>90.544285348853563</v>
          </cell>
          <cell r="S252">
            <v>90.842780955387099</v>
          </cell>
          <cell r="T252">
            <v>90.842780955387099</v>
          </cell>
          <cell r="U252">
            <v>90.842780955387099</v>
          </cell>
          <cell r="V252">
            <v>90.842780955387099</v>
          </cell>
          <cell r="W252">
            <v>90.842780955387099</v>
          </cell>
          <cell r="X252">
            <v>90.842780955387099</v>
          </cell>
          <cell r="Y252">
            <v>90.842780955387099</v>
          </cell>
          <cell r="Z252">
            <v>90.842780955387099</v>
          </cell>
          <cell r="AA252">
            <v>90.842780955387099</v>
          </cell>
          <cell r="AB252">
            <v>90.842780955387099</v>
          </cell>
          <cell r="AC252">
            <v>90.842780955387099</v>
          </cell>
          <cell r="AD252">
            <v>90.842780955387099</v>
          </cell>
          <cell r="AE252">
            <v>90.842780955387099</v>
          </cell>
          <cell r="AF252">
            <v>90.842780955387099</v>
          </cell>
        </row>
        <row r="253">
          <cell r="A253" t="str">
            <v>Tennessee</v>
          </cell>
          <cell r="B253">
            <v>88.85782955593551</v>
          </cell>
          <cell r="C253">
            <v>89.039633167365977</v>
          </cell>
          <cell r="D253">
            <v>90.760059951011158</v>
          </cell>
          <cell r="E253">
            <v>91.528928240711608</v>
          </cell>
          <cell r="F253">
            <v>91.524643679662972</v>
          </cell>
          <cell r="G253">
            <v>91.614498585922476</v>
          </cell>
          <cell r="H253">
            <v>91.744327411467324</v>
          </cell>
          <cell r="I253">
            <v>91.79410335265446</v>
          </cell>
          <cell r="J253">
            <v>92.242505668757815</v>
          </cell>
          <cell r="K253">
            <v>92.06324890782011</v>
          </cell>
          <cell r="L253">
            <v>91.164872302080312</v>
          </cell>
          <cell r="M253">
            <v>91.164872302080298</v>
          </cell>
          <cell r="N253">
            <v>91.344828479120451</v>
          </cell>
          <cell r="O253">
            <v>92.779448500403873</v>
          </cell>
          <cell r="P253">
            <v>93.448898814447276</v>
          </cell>
          <cell r="Q253">
            <v>93.627097764863251</v>
          </cell>
          <cell r="R253">
            <v>94.249740276839475</v>
          </cell>
          <cell r="S253">
            <v>94.56045158546786</v>
          </cell>
          <cell r="T253">
            <v>94.56045158546786</v>
          </cell>
          <cell r="U253">
            <v>94.56045158546786</v>
          </cell>
          <cell r="V253">
            <v>94.56045158546786</v>
          </cell>
          <cell r="W253">
            <v>94.56045158546786</v>
          </cell>
          <cell r="X253">
            <v>94.56045158546786</v>
          </cell>
          <cell r="Y253">
            <v>94.56045158546786</v>
          </cell>
          <cell r="Z253">
            <v>94.56045158546786</v>
          </cell>
          <cell r="AA253">
            <v>94.56045158546786</v>
          </cell>
          <cell r="AB253">
            <v>94.56045158546786</v>
          </cell>
          <cell r="AC253">
            <v>94.56045158546786</v>
          </cell>
          <cell r="AD253">
            <v>94.56045158546786</v>
          </cell>
          <cell r="AE253">
            <v>94.56045158546786</v>
          </cell>
          <cell r="AF253">
            <v>94.56045158546786</v>
          </cell>
        </row>
        <row r="254">
          <cell r="A254" t="str">
            <v>Texas</v>
          </cell>
          <cell r="B254">
            <v>88.724782849633584</v>
          </cell>
          <cell r="C254">
            <v>88.906314246766115</v>
          </cell>
          <cell r="D254">
            <v>90.624165037748114</v>
          </cell>
          <cell r="E254">
            <v>91.391882102013142</v>
          </cell>
          <cell r="F254">
            <v>91.387603956231828</v>
          </cell>
          <cell r="G254">
            <v>91.47732432286351</v>
          </cell>
          <cell r="H254">
            <v>91.606958755885913</v>
          </cell>
          <cell r="I254">
            <v>91.656660167624622</v>
          </cell>
          <cell r="J254">
            <v>92.104391091555129</v>
          </cell>
          <cell r="K254">
            <v>91.925402731519696</v>
          </cell>
          <cell r="L254">
            <v>91.028371263839333</v>
          </cell>
          <cell r="M254">
            <v>91.028371263839333</v>
          </cell>
          <cell r="N254">
            <v>91.208057992742468</v>
          </cell>
          <cell r="O254">
            <v>92.640529959435966</v>
          </cell>
          <cell r="P254">
            <v>93.308977906442479</v>
          </cell>
          <cell r="Q254">
            <v>93.486910039814447</v>
          </cell>
          <cell r="R254">
            <v>94.108620270011656</v>
          </cell>
          <cell r="S254">
            <v>94.418866351023837</v>
          </cell>
          <cell r="T254">
            <v>94.418866351023837</v>
          </cell>
          <cell r="U254">
            <v>94.418866351023837</v>
          </cell>
          <cell r="V254">
            <v>94.418866351023837</v>
          </cell>
          <cell r="W254">
            <v>94.418866351023837</v>
          </cell>
          <cell r="X254">
            <v>94.418866351023837</v>
          </cell>
          <cell r="Y254">
            <v>94.418866351023837</v>
          </cell>
          <cell r="Z254">
            <v>94.418866351023837</v>
          </cell>
          <cell r="AA254">
            <v>94.418866351023837</v>
          </cell>
          <cell r="AB254">
            <v>94.418866351023837</v>
          </cell>
          <cell r="AC254">
            <v>94.418866351023837</v>
          </cell>
          <cell r="AD254">
            <v>94.418866351023837</v>
          </cell>
          <cell r="AE254">
            <v>94.418866351023837</v>
          </cell>
          <cell r="AF254">
            <v>94.418866351023837</v>
          </cell>
        </row>
        <row r="255">
          <cell r="A255" t="str">
            <v>Utah</v>
          </cell>
          <cell r="B255">
            <v>101.49401708739366</v>
          </cell>
          <cell r="C255">
            <v>101.70167440850187</v>
          </cell>
          <cell r="D255">
            <v>103.666757578432</v>
          </cell>
          <cell r="E255">
            <v>104.54496416667298</v>
          </cell>
          <cell r="F255">
            <v>104.54007031191128</v>
          </cell>
          <cell r="G255">
            <v>104.64270319678893</v>
          </cell>
          <cell r="H255">
            <v>104.79099456406776</v>
          </cell>
          <cell r="I255">
            <v>104.84784898253194</v>
          </cell>
          <cell r="J255">
            <v>105.36001715679474</v>
          </cell>
          <cell r="K255">
            <v>105.15526886563612</v>
          </cell>
          <cell r="L255">
            <v>104.12913699825273</v>
          </cell>
          <cell r="M255">
            <v>104.12913699825273</v>
          </cell>
          <cell r="N255">
            <v>104.33468416723909</v>
          </cell>
          <cell r="O255">
            <v>105.97331690992159</v>
          </cell>
          <cell r="P255">
            <v>106.73796761039711</v>
          </cell>
          <cell r="Q255">
            <v>106.94150766318548</v>
          </cell>
          <cell r="R255">
            <v>107.65269417388089</v>
          </cell>
          <cell r="S255">
            <v>108.00759074320713</v>
          </cell>
          <cell r="T255">
            <v>108.00759074320713</v>
          </cell>
          <cell r="U255">
            <v>108.00759074320713</v>
          </cell>
          <cell r="V255">
            <v>108.00759074320713</v>
          </cell>
          <cell r="W255">
            <v>108.00759074320713</v>
          </cell>
          <cell r="X255">
            <v>108.00759074320713</v>
          </cell>
          <cell r="Y255">
            <v>108.00759074320713</v>
          </cell>
          <cell r="Z255">
            <v>108.00759074320713</v>
          </cell>
          <cell r="AA255">
            <v>108.00759074320713</v>
          </cell>
          <cell r="AB255">
            <v>108.00759074320713</v>
          </cell>
          <cell r="AC255">
            <v>108.00759074320713</v>
          </cell>
          <cell r="AD255">
            <v>108.00759074320713</v>
          </cell>
          <cell r="AE255">
            <v>108.00759074320713</v>
          </cell>
          <cell r="AF255">
            <v>108.00759074320713</v>
          </cell>
        </row>
        <row r="256">
          <cell r="A256" t="str">
            <v>Vermont</v>
          </cell>
          <cell r="B256">
            <v>88.125654006065119</v>
          </cell>
          <cell r="C256">
            <v>88.305959582265274</v>
          </cell>
          <cell r="D256">
            <v>90.012210300248867</v>
          </cell>
          <cell r="E256">
            <v>90.774743227431486</v>
          </cell>
          <cell r="F256">
            <v>90.770493970540656</v>
          </cell>
          <cell r="G256">
            <v>90.859608485483776</v>
          </cell>
          <cell r="H256">
            <v>90.988367540450071</v>
          </cell>
          <cell r="I256">
            <v>91.037733335144864</v>
          </cell>
          <cell r="J256">
            <v>91.482440881592069</v>
          </cell>
          <cell r="K256">
            <v>91.304661170208234</v>
          </cell>
          <cell r="L256">
            <v>90.413687056613355</v>
          </cell>
          <cell r="M256">
            <v>90.413687056613341</v>
          </cell>
          <cell r="N256">
            <v>90.59216042101292</v>
          </cell>
          <cell r="O256">
            <v>92.014959382653245</v>
          </cell>
          <cell r="P256">
            <v>92.678893523791629</v>
          </cell>
          <cell r="Q256">
            <v>92.855624140857998</v>
          </cell>
          <cell r="R256">
            <v>93.47313616938834</v>
          </cell>
          <cell r="S256">
            <v>93.781287262170935</v>
          </cell>
          <cell r="T256">
            <v>93.781287262170935</v>
          </cell>
          <cell r="U256">
            <v>93.781287262170935</v>
          </cell>
          <cell r="V256">
            <v>93.781287262170935</v>
          </cell>
          <cell r="W256">
            <v>93.781287262170935</v>
          </cell>
          <cell r="X256">
            <v>93.781287262170935</v>
          </cell>
          <cell r="Y256">
            <v>93.781287262170935</v>
          </cell>
          <cell r="Z256">
            <v>93.781287262170935</v>
          </cell>
          <cell r="AA256">
            <v>93.781287262170935</v>
          </cell>
          <cell r="AB256">
            <v>93.781287262170935</v>
          </cell>
          <cell r="AC256">
            <v>93.781287262170935</v>
          </cell>
          <cell r="AD256">
            <v>93.781287262170935</v>
          </cell>
          <cell r="AE256">
            <v>93.781287262170935</v>
          </cell>
          <cell r="AF256">
            <v>93.781287262170935</v>
          </cell>
        </row>
        <row r="257">
          <cell r="A257" t="str">
            <v>Virginia</v>
          </cell>
          <cell r="B257">
            <v>88.857829555935496</v>
          </cell>
          <cell r="C257">
            <v>89.039633167365992</v>
          </cell>
          <cell r="D257">
            <v>90.760059951011158</v>
          </cell>
          <cell r="E257">
            <v>91.528928240711636</v>
          </cell>
          <cell r="F257">
            <v>91.524643679662944</v>
          </cell>
          <cell r="G257">
            <v>91.614498585922476</v>
          </cell>
          <cell r="H257">
            <v>91.744327411467282</v>
          </cell>
          <cell r="I257">
            <v>91.794103352654474</v>
          </cell>
          <cell r="J257">
            <v>92.242505668757829</v>
          </cell>
          <cell r="K257">
            <v>92.063248907820068</v>
          </cell>
          <cell r="L257">
            <v>91.164872302080312</v>
          </cell>
          <cell r="M257">
            <v>91.164872302080326</v>
          </cell>
          <cell r="N257">
            <v>91.344828479120451</v>
          </cell>
          <cell r="O257">
            <v>92.779448500403873</v>
          </cell>
          <cell r="P257">
            <v>93.44889881444729</v>
          </cell>
          <cell r="Q257">
            <v>93.627097764863251</v>
          </cell>
          <cell r="R257">
            <v>94.249740276839489</v>
          </cell>
          <cell r="S257">
            <v>94.560451585467874</v>
          </cell>
          <cell r="T257">
            <v>94.560451585467874</v>
          </cell>
          <cell r="U257">
            <v>94.560451585467874</v>
          </cell>
          <cell r="V257">
            <v>94.560451585467874</v>
          </cell>
          <cell r="W257">
            <v>94.560451585467874</v>
          </cell>
          <cell r="X257">
            <v>94.560451585467874</v>
          </cell>
          <cell r="Y257">
            <v>94.560451585467874</v>
          </cell>
          <cell r="Z257">
            <v>94.560451585467874</v>
          </cell>
          <cell r="AA257">
            <v>94.560451585467874</v>
          </cell>
          <cell r="AB257">
            <v>94.560451585467874</v>
          </cell>
          <cell r="AC257">
            <v>94.560451585467874</v>
          </cell>
          <cell r="AD257">
            <v>94.560451585467874</v>
          </cell>
          <cell r="AE257">
            <v>94.560451585467874</v>
          </cell>
          <cell r="AF257">
            <v>94.560451585467874</v>
          </cell>
        </row>
        <row r="258">
          <cell r="A258" t="str">
            <v>Washington</v>
          </cell>
          <cell r="B258">
            <v>101.49401708739363</v>
          </cell>
          <cell r="C258">
            <v>101.70167440850187</v>
          </cell>
          <cell r="D258">
            <v>103.666757578432</v>
          </cell>
          <cell r="E258">
            <v>104.54496416667298</v>
          </cell>
          <cell r="F258">
            <v>104.54007031191129</v>
          </cell>
          <cell r="G258">
            <v>104.64270319678893</v>
          </cell>
          <cell r="H258">
            <v>104.79099456406782</v>
          </cell>
          <cell r="I258">
            <v>104.84784898253196</v>
          </cell>
          <cell r="J258">
            <v>105.36001715679475</v>
          </cell>
          <cell r="K258">
            <v>105.15526886563612</v>
          </cell>
          <cell r="L258">
            <v>104.12913699825273</v>
          </cell>
          <cell r="M258">
            <v>104.12913699825275</v>
          </cell>
          <cell r="N258">
            <v>104.33468416723912</v>
          </cell>
          <cell r="O258">
            <v>105.97331690992161</v>
          </cell>
          <cell r="P258">
            <v>106.73796761039709</v>
          </cell>
          <cell r="Q258">
            <v>106.94150766318548</v>
          </cell>
          <cell r="R258">
            <v>107.65269417388089</v>
          </cell>
          <cell r="S258">
            <v>108.00759074320712</v>
          </cell>
          <cell r="T258">
            <v>108.00759074320712</v>
          </cell>
          <cell r="U258">
            <v>108.00759074320712</v>
          </cell>
          <cell r="V258">
            <v>108.00759074320712</v>
          </cell>
          <cell r="W258">
            <v>108.00759074320712</v>
          </cell>
          <cell r="X258">
            <v>108.00759074320712</v>
          </cell>
          <cell r="Y258">
            <v>108.00759074320712</v>
          </cell>
          <cell r="Z258">
            <v>108.00759074320712</v>
          </cell>
          <cell r="AA258">
            <v>108.00759074320712</v>
          </cell>
          <cell r="AB258">
            <v>108.00759074320712</v>
          </cell>
          <cell r="AC258">
            <v>108.00759074320712</v>
          </cell>
          <cell r="AD258">
            <v>108.00759074320712</v>
          </cell>
          <cell r="AE258">
            <v>108.00759074320712</v>
          </cell>
          <cell r="AF258">
            <v>108.00759074320712</v>
          </cell>
        </row>
        <row r="259">
          <cell r="A259" t="str">
            <v>West Virginia</v>
          </cell>
          <cell r="B259">
            <v>88.125654006065147</v>
          </cell>
          <cell r="C259">
            <v>88.305959582265288</v>
          </cell>
          <cell r="D259">
            <v>90.012210300248881</v>
          </cell>
          <cell r="E259">
            <v>90.774743227431458</v>
          </cell>
          <cell r="F259">
            <v>90.770493970540628</v>
          </cell>
          <cell r="G259">
            <v>90.859608485483761</v>
          </cell>
          <cell r="H259">
            <v>90.988367540450042</v>
          </cell>
          <cell r="I259">
            <v>91.037733335144864</v>
          </cell>
          <cell r="J259">
            <v>91.482440881592041</v>
          </cell>
          <cell r="K259">
            <v>91.30466117020822</v>
          </cell>
          <cell r="L259">
            <v>90.413687056613341</v>
          </cell>
          <cell r="M259">
            <v>90.413687056613341</v>
          </cell>
          <cell r="N259">
            <v>90.592160421012949</v>
          </cell>
          <cell r="O259">
            <v>92.014959382653245</v>
          </cell>
          <cell r="P259">
            <v>92.678893523791601</v>
          </cell>
          <cell r="Q259">
            <v>92.855624140858012</v>
          </cell>
          <cell r="R259">
            <v>93.473136169388326</v>
          </cell>
          <cell r="S259">
            <v>93.78128726217092</v>
          </cell>
          <cell r="T259">
            <v>93.78128726217092</v>
          </cell>
          <cell r="U259">
            <v>93.78128726217092</v>
          </cell>
          <cell r="V259">
            <v>93.78128726217092</v>
          </cell>
          <cell r="W259">
            <v>93.78128726217092</v>
          </cell>
          <cell r="X259">
            <v>93.78128726217092</v>
          </cell>
          <cell r="Y259">
            <v>93.78128726217092</v>
          </cell>
          <cell r="Z259">
            <v>93.78128726217092</v>
          </cell>
          <cell r="AA259">
            <v>93.78128726217092</v>
          </cell>
          <cell r="AB259">
            <v>93.78128726217092</v>
          </cell>
          <cell r="AC259">
            <v>93.78128726217092</v>
          </cell>
          <cell r="AD259">
            <v>93.78128726217092</v>
          </cell>
          <cell r="AE259">
            <v>93.78128726217092</v>
          </cell>
          <cell r="AF259">
            <v>93.78128726217092</v>
          </cell>
        </row>
        <row r="260">
          <cell r="A260" t="str">
            <v>Wisconsin</v>
          </cell>
          <cell r="B260">
            <v>88.13990854526476</v>
          </cell>
          <cell r="C260">
            <v>88.320243286331092</v>
          </cell>
          <cell r="D260">
            <v>90.026769994524528</v>
          </cell>
          <cell r="E260">
            <v>90.789426263265526</v>
          </cell>
          <cell r="F260">
            <v>90.785176319047082</v>
          </cell>
          <cell r="G260">
            <v>90.874305248480042</v>
          </cell>
          <cell r="H260">
            <v>91.003085130537102</v>
          </cell>
          <cell r="I260">
            <v>91.052458910269479</v>
          </cell>
          <cell r="J260">
            <v>91.497238389245553</v>
          </cell>
          <cell r="K260">
            <v>91.319429921560371</v>
          </cell>
          <cell r="L260">
            <v>90.428311690732315</v>
          </cell>
          <cell r="M260">
            <v>90.428311690732301</v>
          </cell>
          <cell r="N260">
            <v>90.606813923633311</v>
          </cell>
          <cell r="O260">
            <v>92.029843026471454</v>
          </cell>
          <cell r="P260">
            <v>92.693884560574418</v>
          </cell>
          <cell r="Q260">
            <v>92.870643764248612</v>
          </cell>
          <cell r="R260">
            <v>93.488255676853726</v>
          </cell>
          <cell r="S260">
            <v>93.796456613826251</v>
          </cell>
          <cell r="T260">
            <v>93.796456613826251</v>
          </cell>
          <cell r="U260">
            <v>93.796456613826251</v>
          </cell>
          <cell r="V260">
            <v>93.796456613826251</v>
          </cell>
          <cell r="W260">
            <v>93.796456613826251</v>
          </cell>
          <cell r="X260">
            <v>93.796456613826251</v>
          </cell>
          <cell r="Y260">
            <v>93.796456613826251</v>
          </cell>
          <cell r="Z260">
            <v>93.796456613826251</v>
          </cell>
          <cell r="AA260">
            <v>93.796456613826251</v>
          </cell>
          <cell r="AB260">
            <v>93.796456613826251</v>
          </cell>
          <cell r="AC260">
            <v>93.796456613826251</v>
          </cell>
          <cell r="AD260">
            <v>93.796456613826251</v>
          </cell>
          <cell r="AE260">
            <v>93.796456613826251</v>
          </cell>
          <cell r="AF260">
            <v>93.796456613826251</v>
          </cell>
        </row>
        <row r="261">
          <cell r="A261" t="str">
            <v>Wyoming</v>
          </cell>
          <cell r="B261">
            <v>85.364359107623983</v>
          </cell>
          <cell r="C261">
            <v>85.539015059167852</v>
          </cell>
          <cell r="D261">
            <v>87.191802782111409</v>
          </cell>
          <cell r="E261">
            <v>87.93044279972672</v>
          </cell>
          <cell r="F261">
            <v>87.926326687395317</v>
          </cell>
          <cell r="G261">
            <v>88.012648922856741</v>
          </cell>
          <cell r="H261">
            <v>88.137373491774511</v>
          </cell>
          <cell r="I261">
            <v>88.185192477897118</v>
          </cell>
          <cell r="J261">
            <v>88.615965731394553</v>
          </cell>
          <cell r="K261">
            <v>88.443756500203236</v>
          </cell>
          <cell r="L261">
            <v>87.5806998222548</v>
          </cell>
          <cell r="M261">
            <v>87.5806998222548</v>
          </cell>
          <cell r="N261">
            <v>87.753580971808645</v>
          </cell>
          <cell r="O261">
            <v>89.131798505275782</v>
          </cell>
          <cell r="P261">
            <v>89.77492919278302</v>
          </cell>
          <cell r="Q261">
            <v>89.94612220156948</v>
          </cell>
          <cell r="R261">
            <v>90.544285348853577</v>
          </cell>
          <cell r="S261">
            <v>90.842780955387099</v>
          </cell>
          <cell r="T261">
            <v>90.842780955387099</v>
          </cell>
          <cell r="U261">
            <v>90.842780955387099</v>
          </cell>
          <cell r="V261">
            <v>90.842780955387099</v>
          </cell>
          <cell r="W261">
            <v>90.842780955387099</v>
          </cell>
          <cell r="X261">
            <v>90.842780955387099</v>
          </cell>
          <cell r="Y261">
            <v>90.842780955387099</v>
          </cell>
          <cell r="Z261">
            <v>90.842780955387099</v>
          </cell>
          <cell r="AA261">
            <v>90.842780955387099</v>
          </cell>
          <cell r="AB261">
            <v>90.842780955387099</v>
          </cell>
          <cell r="AC261">
            <v>90.842780955387099</v>
          </cell>
          <cell r="AD261">
            <v>90.842780955387099</v>
          </cell>
          <cell r="AE261">
            <v>90.842780955387099</v>
          </cell>
          <cell r="AF261">
            <v>90.842780955387099</v>
          </cell>
        </row>
        <row r="263">
          <cell r="A263" t="str">
            <v>Beef Replacements 7-11 months</v>
          </cell>
          <cell r="B263">
            <v>1990</v>
          </cell>
          <cell r="C263">
            <v>1991</v>
          </cell>
          <cell r="D263">
            <v>1992</v>
          </cell>
          <cell r="E263">
            <v>1993</v>
          </cell>
          <cell r="F263">
            <v>1994</v>
          </cell>
          <cell r="G263">
            <v>1995</v>
          </cell>
          <cell r="H263">
            <v>1996</v>
          </cell>
          <cell r="I263">
            <v>1997</v>
          </cell>
          <cell r="J263">
            <v>1998</v>
          </cell>
          <cell r="K263">
            <v>1999</v>
          </cell>
          <cell r="L263">
            <v>2000</v>
          </cell>
          <cell r="M263">
            <v>2001</v>
          </cell>
          <cell r="N263">
            <v>2002</v>
          </cell>
          <cell r="O263">
            <v>2003</v>
          </cell>
          <cell r="P263">
            <v>2004</v>
          </cell>
          <cell r="Q263">
            <v>2005</v>
          </cell>
          <cell r="R263">
            <v>2006</v>
          </cell>
          <cell r="S263">
            <v>2007</v>
          </cell>
          <cell r="T263">
            <v>2008</v>
          </cell>
          <cell r="U263">
            <v>2009</v>
          </cell>
          <cell r="V263">
            <v>2010</v>
          </cell>
          <cell r="W263">
            <v>2011</v>
          </cell>
          <cell r="X263">
            <v>2012</v>
          </cell>
          <cell r="Y263">
            <v>2013</v>
          </cell>
          <cell r="Z263">
            <v>2014</v>
          </cell>
          <cell r="AA263">
            <v>2015</v>
          </cell>
          <cell r="AB263">
            <v>2016</v>
          </cell>
          <cell r="AC263">
            <v>2017</v>
          </cell>
          <cell r="AD263">
            <v>2018</v>
          </cell>
          <cell r="AE263">
            <v>2019</v>
          </cell>
          <cell r="AF263">
            <v>2020</v>
          </cell>
        </row>
        <row r="264">
          <cell r="A264" t="str">
            <v>Alabama</v>
          </cell>
          <cell r="B264">
            <v>54.052413519197323</v>
          </cell>
          <cell r="C264">
            <v>54.238345164012088</v>
          </cell>
          <cell r="D264">
            <v>55.990791422660649</v>
          </cell>
          <cell r="E264">
            <v>56.847596457639916</v>
          </cell>
          <cell r="F264">
            <v>56.876392734225796</v>
          </cell>
          <cell r="G264">
            <v>57.062536361547899</v>
          </cell>
          <cell r="H264">
            <v>57.167497874768102</v>
          </cell>
          <cell r="I264">
            <v>57.255931302978667</v>
          </cell>
          <cell r="J264">
            <v>57.697427826175968</v>
          </cell>
          <cell r="K264">
            <v>57.471132838635022</v>
          </cell>
          <cell r="L264">
            <v>56.503914765676534</v>
          </cell>
          <cell r="M264">
            <v>56.528812479166007</v>
          </cell>
          <cell r="N264">
            <v>56.693562009224785</v>
          </cell>
          <cell r="O264">
            <v>58.249126121384165</v>
          </cell>
          <cell r="P264">
            <v>58.873818023632637</v>
          </cell>
          <cell r="Q264">
            <v>59.039949600757716</v>
          </cell>
          <cell r="R264">
            <v>59.766667580792948</v>
          </cell>
          <cell r="S264">
            <v>60.141551331225131</v>
          </cell>
          <cell r="T264">
            <v>60.141551331225131</v>
          </cell>
          <cell r="U264">
            <v>60.141551331225131</v>
          </cell>
          <cell r="V264">
            <v>60.141551331225131</v>
          </cell>
          <cell r="W264">
            <v>60.141551331225131</v>
          </cell>
          <cell r="X264">
            <v>60.141551331225131</v>
          </cell>
          <cell r="Y264">
            <v>60.141551331225131</v>
          </cell>
          <cell r="Z264">
            <v>60.141551331225131</v>
          </cell>
          <cell r="AA264">
            <v>60.141551331225131</v>
          </cell>
          <cell r="AB264">
            <v>60.141551331225131</v>
          </cell>
          <cell r="AC264">
            <v>60.141551331225131</v>
          </cell>
          <cell r="AD264">
            <v>60.141551331225131</v>
          </cell>
          <cell r="AE264">
            <v>60.141551331225131</v>
          </cell>
          <cell r="AF264">
            <v>60.141551331225131</v>
          </cell>
        </row>
        <row r="265">
          <cell r="A265" t="str">
            <v>Alaska</v>
          </cell>
          <cell r="B265">
            <v>62.997442293063607</v>
          </cell>
          <cell r="C265">
            <v>63.221205623977944</v>
          </cell>
          <cell r="D265">
            <v>65.330223332803513</v>
          </cell>
          <cell r="E265">
            <v>66.359140585431746</v>
          </cell>
          <cell r="F265">
            <v>66.392431666763969</v>
          </cell>
          <cell r="G265">
            <v>66.613438075685565</v>
          </cell>
          <cell r="H265">
            <v>66.740159623334407</v>
          </cell>
          <cell r="I265">
            <v>66.84578441041586</v>
          </cell>
          <cell r="J265">
            <v>67.37750437583928</v>
          </cell>
          <cell r="K265">
            <v>67.106579138870273</v>
          </cell>
          <cell r="L265">
            <v>65.944396155713008</v>
          </cell>
          <cell r="M265">
            <v>65.973566223972483</v>
          </cell>
          <cell r="N265">
            <v>66.172399676457445</v>
          </cell>
          <cell r="O265">
            <v>68.041136391214224</v>
          </cell>
          <cell r="P265">
            <v>68.794415441173101</v>
          </cell>
          <cell r="Q265">
            <v>68.994752460364083</v>
          </cell>
          <cell r="R265">
            <v>69.866225235003924</v>
          </cell>
          <cell r="S265">
            <v>70.315470644735683</v>
          </cell>
          <cell r="T265">
            <v>70.315470644735683</v>
          </cell>
          <cell r="U265">
            <v>70.315470644735683</v>
          </cell>
          <cell r="V265">
            <v>70.315470644735683</v>
          </cell>
          <cell r="W265">
            <v>70.315470644735683</v>
          </cell>
          <cell r="X265">
            <v>70.315470644735683</v>
          </cell>
          <cell r="Y265">
            <v>70.315470644735683</v>
          </cell>
          <cell r="Z265">
            <v>70.315470644735683</v>
          </cell>
          <cell r="AA265">
            <v>70.315470644735683</v>
          </cell>
          <cell r="AB265">
            <v>70.315470644735683</v>
          </cell>
          <cell r="AC265">
            <v>70.315470644735683</v>
          </cell>
          <cell r="AD265">
            <v>70.315470644735683</v>
          </cell>
          <cell r="AE265">
            <v>70.315470644735683</v>
          </cell>
          <cell r="AF265">
            <v>70.315470644735683</v>
          </cell>
        </row>
        <row r="266">
          <cell r="A266" t="str">
            <v>Arizona</v>
          </cell>
          <cell r="B266">
            <v>62.997442293063607</v>
          </cell>
          <cell r="C266">
            <v>63.22120562397793</v>
          </cell>
          <cell r="D266">
            <v>65.330223332803499</v>
          </cell>
          <cell r="E266">
            <v>66.359140585431732</v>
          </cell>
          <cell r="F266">
            <v>66.392431666763954</v>
          </cell>
          <cell r="G266">
            <v>66.613438075685579</v>
          </cell>
          <cell r="H266">
            <v>66.740159623334392</v>
          </cell>
          <cell r="I266">
            <v>66.845784410415874</v>
          </cell>
          <cell r="J266">
            <v>67.37750437583928</v>
          </cell>
          <cell r="K266">
            <v>67.106579138870288</v>
          </cell>
          <cell r="L266">
            <v>65.944396155713008</v>
          </cell>
          <cell r="M266">
            <v>65.973566223972483</v>
          </cell>
          <cell r="N266">
            <v>66.172399676457431</v>
          </cell>
          <cell r="O266">
            <v>68.041136391214238</v>
          </cell>
          <cell r="P266">
            <v>68.794415441173101</v>
          </cell>
          <cell r="Q266">
            <v>68.994752460364083</v>
          </cell>
          <cell r="R266">
            <v>69.86622523500391</v>
          </cell>
          <cell r="S266">
            <v>70.315470644735683</v>
          </cell>
          <cell r="T266">
            <v>70.315470644735683</v>
          </cell>
          <cell r="U266">
            <v>70.315470644735683</v>
          </cell>
          <cell r="V266">
            <v>70.315470644735683</v>
          </cell>
          <cell r="W266">
            <v>70.315470644735683</v>
          </cell>
          <cell r="X266">
            <v>70.315470644735683</v>
          </cell>
          <cell r="Y266">
            <v>70.315470644735683</v>
          </cell>
          <cell r="Z266">
            <v>70.315470644735683</v>
          </cell>
          <cell r="AA266">
            <v>70.315470644735683</v>
          </cell>
          <cell r="AB266">
            <v>70.315470644735683</v>
          </cell>
          <cell r="AC266">
            <v>70.315470644735683</v>
          </cell>
          <cell r="AD266">
            <v>70.315470644735683</v>
          </cell>
          <cell r="AE266">
            <v>70.315470644735683</v>
          </cell>
          <cell r="AF266">
            <v>70.315470644735683</v>
          </cell>
        </row>
        <row r="267">
          <cell r="A267" t="str">
            <v>Arkansas</v>
          </cell>
          <cell r="B267">
            <v>53.961096804486907</v>
          </cell>
          <cell r="C267">
            <v>54.14665418112088</v>
          </cell>
          <cell r="D267">
            <v>55.895572884318376</v>
          </cell>
          <cell r="E267">
            <v>56.750672159242555</v>
          </cell>
          <cell r="F267">
            <v>56.779422092263196</v>
          </cell>
          <cell r="G267">
            <v>56.965216680083842</v>
          </cell>
          <cell r="H267">
            <v>57.069963476524201</v>
          </cell>
          <cell r="I267">
            <v>57.158225727518733</v>
          </cell>
          <cell r="J267">
            <v>57.598830210618374</v>
          </cell>
          <cell r="K267">
            <v>57.372978694362516</v>
          </cell>
          <cell r="L267">
            <v>56.407691930673828</v>
          </cell>
          <cell r="M267">
            <v>56.432546286340028</v>
          </cell>
          <cell r="N267">
            <v>56.596959397977749</v>
          </cell>
          <cell r="O267">
            <v>58.149420706290208</v>
          </cell>
          <cell r="P267">
            <v>58.772842534454156</v>
          </cell>
          <cell r="Q267">
            <v>58.938636271339639</v>
          </cell>
          <cell r="R267">
            <v>59.663917915815162</v>
          </cell>
          <cell r="S267">
            <v>60.03806337211816</v>
          </cell>
          <cell r="T267">
            <v>60.03806337211816</v>
          </cell>
          <cell r="U267">
            <v>60.03806337211816</v>
          </cell>
          <cell r="V267">
            <v>60.03806337211816</v>
          </cell>
          <cell r="W267">
            <v>60.03806337211816</v>
          </cell>
          <cell r="X267">
            <v>60.03806337211816</v>
          </cell>
          <cell r="Y267">
            <v>60.03806337211816</v>
          </cell>
          <cell r="Z267">
            <v>60.03806337211816</v>
          </cell>
          <cell r="AA267">
            <v>60.03806337211816</v>
          </cell>
          <cell r="AB267">
            <v>60.03806337211816</v>
          </cell>
          <cell r="AC267">
            <v>60.03806337211816</v>
          </cell>
          <cell r="AD267">
            <v>60.03806337211816</v>
          </cell>
          <cell r="AE267">
            <v>60.03806337211816</v>
          </cell>
          <cell r="AF267">
            <v>60.03806337211816</v>
          </cell>
        </row>
        <row r="268">
          <cell r="A268" t="str">
            <v>California</v>
          </cell>
          <cell r="B268">
            <v>53.30601369261008</v>
          </cell>
          <cell r="C268">
            <v>53.488893234736487</v>
          </cell>
          <cell r="D268">
            <v>55.212572790352581</v>
          </cell>
          <cell r="E268">
            <v>56.055465731850639</v>
          </cell>
          <cell r="F268">
            <v>56.083882936829156</v>
          </cell>
          <cell r="G268">
            <v>56.26717766654717</v>
          </cell>
          <cell r="H268">
            <v>56.370388534601723</v>
          </cell>
          <cell r="I268">
            <v>56.457425363280187</v>
          </cell>
          <cell r="J268">
            <v>56.891647758149986</v>
          </cell>
          <cell r="K268">
            <v>56.668970402979227</v>
          </cell>
          <cell r="L268">
            <v>55.717503419524924</v>
          </cell>
          <cell r="M268">
            <v>55.742046889360331</v>
          </cell>
          <cell r="N268">
            <v>55.904053448450703</v>
          </cell>
          <cell r="O268">
            <v>57.434311839317225</v>
          </cell>
          <cell r="P268">
            <v>58.048647715884591</v>
          </cell>
          <cell r="Q268">
            <v>58.212024593125967</v>
          </cell>
          <cell r="R268">
            <v>58.927026850700436</v>
          </cell>
          <cell r="S268">
            <v>59.295888309341372</v>
          </cell>
          <cell r="T268">
            <v>59.295888309341372</v>
          </cell>
          <cell r="U268">
            <v>59.295888309341372</v>
          </cell>
          <cell r="V268">
            <v>59.295888309341372</v>
          </cell>
          <cell r="W268">
            <v>59.295888309341372</v>
          </cell>
          <cell r="X268">
            <v>59.295888309341372</v>
          </cell>
          <cell r="Y268">
            <v>59.295888309341372</v>
          </cell>
          <cell r="Z268">
            <v>59.295888309341372</v>
          </cell>
          <cell r="AA268">
            <v>59.295888309341372</v>
          </cell>
          <cell r="AB268">
            <v>59.295888309341372</v>
          </cell>
          <cell r="AC268">
            <v>59.295888309341372</v>
          </cell>
          <cell r="AD268">
            <v>59.295888309341372</v>
          </cell>
          <cell r="AE268">
            <v>59.295888309341372</v>
          </cell>
          <cell r="AF268">
            <v>59.295888309341372</v>
          </cell>
        </row>
        <row r="269">
          <cell r="A269" t="str">
            <v>Colorado</v>
          </cell>
          <cell r="B269">
            <v>51.672797068572876</v>
          </cell>
          <cell r="C269">
            <v>51.849054481769564</v>
          </cell>
          <cell r="D269">
            <v>53.510319091142236</v>
          </cell>
          <cell r="E269">
            <v>54.323012152579814</v>
          </cell>
          <cell r="F269">
            <v>54.350597745451822</v>
          </cell>
          <cell r="G269">
            <v>54.52769105574361</v>
          </cell>
          <cell r="H269">
            <v>54.62710626271916</v>
          </cell>
          <cell r="I269">
            <v>54.711107521800308</v>
          </cell>
          <cell r="J269">
            <v>55.129549908936212</v>
          </cell>
          <cell r="K269">
            <v>54.914731185495803</v>
          </cell>
          <cell r="L269">
            <v>53.997451548532553</v>
          </cell>
          <cell r="M269">
            <v>54.02122110015754</v>
          </cell>
          <cell r="N269">
            <v>54.177280018678168</v>
          </cell>
          <cell r="O269">
            <v>55.652610360009483</v>
          </cell>
          <cell r="P269">
            <v>56.244486750342723</v>
          </cell>
          <cell r="Q269">
            <v>56.401889468812342</v>
          </cell>
          <cell r="R269">
            <v>57.091451345711967</v>
          </cell>
          <cell r="S269">
            <v>57.44723343305315</v>
          </cell>
          <cell r="T269">
            <v>57.44723343305315</v>
          </cell>
          <cell r="U269">
            <v>57.44723343305315</v>
          </cell>
          <cell r="V269">
            <v>57.44723343305315</v>
          </cell>
          <cell r="W269">
            <v>57.44723343305315</v>
          </cell>
          <cell r="X269">
            <v>57.44723343305315</v>
          </cell>
          <cell r="Y269">
            <v>57.44723343305315</v>
          </cell>
          <cell r="Z269">
            <v>57.44723343305315</v>
          </cell>
          <cell r="AA269">
            <v>57.44723343305315</v>
          </cell>
          <cell r="AB269">
            <v>57.44723343305315</v>
          </cell>
          <cell r="AC269">
            <v>57.44723343305315</v>
          </cell>
          <cell r="AD269">
            <v>57.44723343305315</v>
          </cell>
          <cell r="AE269">
            <v>57.44723343305315</v>
          </cell>
          <cell r="AF269">
            <v>57.44723343305315</v>
          </cell>
        </row>
        <row r="270">
          <cell r="A270" t="str">
            <v>Connecticut</v>
          </cell>
          <cell r="B270">
            <v>53.55059705694056</v>
          </cell>
          <cell r="C270">
            <v>53.734474947676283</v>
          </cell>
          <cell r="D270">
            <v>55.467564146800321</v>
          </cell>
          <cell r="E270">
            <v>56.315008231068774</v>
          </cell>
          <cell r="F270">
            <v>56.34354971988575</v>
          </cell>
          <cell r="G270">
            <v>56.527776966978607</v>
          </cell>
          <cell r="H270">
            <v>56.631560389016769</v>
          </cell>
          <cell r="I270">
            <v>56.719054217876781</v>
          </cell>
          <cell r="J270">
            <v>57.15565591107849</v>
          </cell>
          <cell r="K270">
            <v>56.931794922126791</v>
          </cell>
          <cell r="L270">
            <v>55.975175338677609</v>
          </cell>
          <cell r="M270">
            <v>55.999834850264662</v>
          </cell>
          <cell r="N270">
            <v>56.16273852139647</v>
          </cell>
          <cell r="O270">
            <v>57.701275168797437</v>
          </cell>
          <cell r="P270">
            <v>58.318998207745793</v>
          </cell>
          <cell r="Q270">
            <v>58.483276067378931</v>
          </cell>
          <cell r="R270">
            <v>59.202111218634663</v>
          </cell>
          <cell r="S270">
            <v>59.572942986011284</v>
          </cell>
          <cell r="T270">
            <v>59.572942986011284</v>
          </cell>
          <cell r="U270">
            <v>59.572942986011284</v>
          </cell>
          <cell r="V270">
            <v>59.572942986011284</v>
          </cell>
          <cell r="W270">
            <v>59.572942986011284</v>
          </cell>
          <cell r="X270">
            <v>59.572942986011284</v>
          </cell>
          <cell r="Y270">
            <v>59.572942986011284</v>
          </cell>
          <cell r="Z270">
            <v>59.572942986011284</v>
          </cell>
          <cell r="AA270">
            <v>59.572942986011284</v>
          </cell>
          <cell r="AB270">
            <v>59.572942986011284</v>
          </cell>
          <cell r="AC270">
            <v>59.572942986011284</v>
          </cell>
          <cell r="AD270">
            <v>59.572942986011284</v>
          </cell>
          <cell r="AE270">
            <v>59.572942986011284</v>
          </cell>
          <cell r="AF270">
            <v>59.572942986011284</v>
          </cell>
        </row>
        <row r="271">
          <cell r="A271" t="str">
            <v>Delaware</v>
          </cell>
          <cell r="B271">
            <v>53.55059705694056</v>
          </cell>
          <cell r="C271">
            <v>53.734474947676283</v>
          </cell>
          <cell r="D271">
            <v>55.467564146800321</v>
          </cell>
          <cell r="E271">
            <v>56.315008231068774</v>
          </cell>
          <cell r="F271">
            <v>56.34354971988575</v>
          </cell>
          <cell r="G271">
            <v>56.5277769669786</v>
          </cell>
          <cell r="H271">
            <v>56.631560389016769</v>
          </cell>
          <cell r="I271">
            <v>56.719054217876781</v>
          </cell>
          <cell r="J271">
            <v>57.15565591107849</v>
          </cell>
          <cell r="K271">
            <v>56.931794922126798</v>
          </cell>
          <cell r="L271">
            <v>55.975175338677573</v>
          </cell>
          <cell r="M271">
            <v>55.999834850264662</v>
          </cell>
          <cell r="N271">
            <v>56.162738521396463</v>
          </cell>
          <cell r="O271">
            <v>57.701275168797437</v>
          </cell>
          <cell r="P271">
            <v>58.318998207745786</v>
          </cell>
          <cell r="Q271">
            <v>58.483276067378938</v>
          </cell>
          <cell r="R271">
            <v>59.20211121863467</v>
          </cell>
          <cell r="S271">
            <v>59.572942986011299</v>
          </cell>
          <cell r="T271">
            <v>59.572942986011299</v>
          </cell>
          <cell r="U271">
            <v>59.572942986011299</v>
          </cell>
          <cell r="V271">
            <v>59.572942986011299</v>
          </cell>
          <cell r="W271">
            <v>59.572942986011299</v>
          </cell>
          <cell r="X271">
            <v>59.572942986011299</v>
          </cell>
          <cell r="Y271">
            <v>59.572942986011299</v>
          </cell>
          <cell r="Z271">
            <v>59.572942986011299</v>
          </cell>
          <cell r="AA271">
            <v>59.572942986011299</v>
          </cell>
          <cell r="AB271">
            <v>59.572942986011299</v>
          </cell>
          <cell r="AC271">
            <v>59.572942986011299</v>
          </cell>
          <cell r="AD271">
            <v>59.572942986011299</v>
          </cell>
          <cell r="AE271">
            <v>59.572942986011299</v>
          </cell>
          <cell r="AF271">
            <v>59.572942986011299</v>
          </cell>
        </row>
        <row r="272">
          <cell r="A272" t="str">
            <v>Florida</v>
          </cell>
          <cell r="B272">
            <v>54.052413519197337</v>
          </cell>
          <cell r="C272">
            <v>54.238345164012102</v>
          </cell>
          <cell r="D272">
            <v>55.990791422660671</v>
          </cell>
          <cell r="E272">
            <v>56.847596457639916</v>
          </cell>
          <cell r="F272">
            <v>56.876392734225782</v>
          </cell>
          <cell r="G272">
            <v>57.062536361547899</v>
          </cell>
          <cell r="H272">
            <v>57.167497874768102</v>
          </cell>
          <cell r="I272">
            <v>57.255931302978674</v>
          </cell>
          <cell r="J272">
            <v>57.697427826175961</v>
          </cell>
          <cell r="K272">
            <v>57.471132838635015</v>
          </cell>
          <cell r="L272">
            <v>56.503914765676534</v>
          </cell>
          <cell r="M272">
            <v>56.528812479166</v>
          </cell>
          <cell r="N272">
            <v>56.69356200922477</v>
          </cell>
          <cell r="O272">
            <v>58.249126121384151</v>
          </cell>
          <cell r="P272">
            <v>58.87381802363263</v>
          </cell>
          <cell r="Q272">
            <v>59.039949600757716</v>
          </cell>
          <cell r="R272">
            <v>59.766667580792955</v>
          </cell>
          <cell r="S272">
            <v>60.141551331225131</v>
          </cell>
          <cell r="T272">
            <v>60.141551331225131</v>
          </cell>
          <cell r="U272">
            <v>60.141551331225131</v>
          </cell>
          <cell r="V272">
            <v>60.141551331225131</v>
          </cell>
          <cell r="W272">
            <v>60.141551331225131</v>
          </cell>
          <cell r="X272">
            <v>60.141551331225131</v>
          </cell>
          <cell r="Y272">
            <v>60.141551331225131</v>
          </cell>
          <cell r="Z272">
            <v>60.141551331225131</v>
          </cell>
          <cell r="AA272">
            <v>60.141551331225131</v>
          </cell>
          <cell r="AB272">
            <v>60.141551331225131</v>
          </cell>
          <cell r="AC272">
            <v>60.141551331225131</v>
          </cell>
          <cell r="AD272">
            <v>60.141551331225131</v>
          </cell>
          <cell r="AE272">
            <v>60.141551331225131</v>
          </cell>
          <cell r="AF272">
            <v>60.141551331225131</v>
          </cell>
        </row>
        <row r="273">
          <cell r="A273" t="str">
            <v>Georgia</v>
          </cell>
          <cell r="B273">
            <v>54.052413519197344</v>
          </cell>
          <cell r="C273">
            <v>54.238345164012095</v>
          </cell>
          <cell r="D273">
            <v>55.990791422660649</v>
          </cell>
          <cell r="E273">
            <v>56.847596457639924</v>
          </cell>
          <cell r="F273">
            <v>56.876392734225796</v>
          </cell>
          <cell r="G273">
            <v>57.062536361547899</v>
          </cell>
          <cell r="H273">
            <v>57.167497874768081</v>
          </cell>
          <cell r="I273">
            <v>57.255931302978674</v>
          </cell>
          <cell r="J273">
            <v>57.697427826175975</v>
          </cell>
          <cell r="K273">
            <v>57.471132838635022</v>
          </cell>
          <cell r="L273">
            <v>56.503914765676534</v>
          </cell>
          <cell r="M273">
            <v>56.528812479166007</v>
          </cell>
          <cell r="N273">
            <v>56.693562009224777</v>
          </cell>
          <cell r="O273">
            <v>58.249126121384158</v>
          </cell>
          <cell r="P273">
            <v>58.873818023632637</v>
          </cell>
          <cell r="Q273">
            <v>59.039949600757723</v>
          </cell>
          <cell r="R273">
            <v>59.766667580792948</v>
          </cell>
          <cell r="S273">
            <v>60.141551331225109</v>
          </cell>
          <cell r="T273">
            <v>60.141551331225109</v>
          </cell>
          <cell r="U273">
            <v>60.141551331225109</v>
          </cell>
          <cell r="V273">
            <v>60.141551331225109</v>
          </cell>
          <cell r="W273">
            <v>60.141551331225109</v>
          </cell>
          <cell r="X273">
            <v>60.141551331225109</v>
          </cell>
          <cell r="Y273">
            <v>60.141551331225109</v>
          </cell>
          <cell r="Z273">
            <v>60.141551331225109</v>
          </cell>
          <cell r="AA273">
            <v>60.141551331225109</v>
          </cell>
          <cell r="AB273">
            <v>60.141551331225109</v>
          </cell>
          <cell r="AC273">
            <v>60.141551331225109</v>
          </cell>
          <cell r="AD273">
            <v>60.141551331225109</v>
          </cell>
          <cell r="AE273">
            <v>60.141551331225109</v>
          </cell>
          <cell r="AF273">
            <v>60.141551331225109</v>
          </cell>
        </row>
        <row r="274">
          <cell r="A274" t="str">
            <v>Hawaii</v>
          </cell>
          <cell r="B274">
            <v>62.9974422930636</v>
          </cell>
          <cell r="C274">
            <v>63.221205623977916</v>
          </cell>
          <cell r="D274">
            <v>65.330223332803513</v>
          </cell>
          <cell r="E274">
            <v>66.359140585431732</v>
          </cell>
          <cell r="F274">
            <v>66.392431666763954</v>
          </cell>
          <cell r="G274">
            <v>66.613438075685579</v>
          </cell>
          <cell r="H274">
            <v>66.740159623334378</v>
          </cell>
          <cell r="I274">
            <v>66.845784410415874</v>
          </cell>
          <cell r="J274">
            <v>67.37750437583928</v>
          </cell>
          <cell r="K274">
            <v>67.106579138870288</v>
          </cell>
          <cell r="L274">
            <v>65.944396155712994</v>
          </cell>
          <cell r="M274">
            <v>65.973566223972512</v>
          </cell>
          <cell r="N274">
            <v>66.172399676457445</v>
          </cell>
          <cell r="O274">
            <v>68.041136391214209</v>
          </cell>
          <cell r="P274">
            <v>68.794415441173129</v>
          </cell>
          <cell r="Q274">
            <v>68.994752460364097</v>
          </cell>
          <cell r="R274">
            <v>69.86622523500391</v>
          </cell>
          <cell r="S274">
            <v>70.315470644735697</v>
          </cell>
          <cell r="T274">
            <v>70.315470644735697</v>
          </cell>
          <cell r="U274">
            <v>70.315470644735697</v>
          </cell>
          <cell r="V274">
            <v>70.315470644735697</v>
          </cell>
          <cell r="W274">
            <v>70.315470644735697</v>
          </cell>
          <cell r="X274">
            <v>70.315470644735697</v>
          </cell>
          <cell r="Y274">
            <v>70.315470644735697</v>
          </cell>
          <cell r="Z274">
            <v>70.315470644735697</v>
          </cell>
          <cell r="AA274">
            <v>70.315470644735697</v>
          </cell>
          <cell r="AB274">
            <v>70.315470644735697</v>
          </cell>
          <cell r="AC274">
            <v>70.315470644735697</v>
          </cell>
          <cell r="AD274">
            <v>70.315470644735697</v>
          </cell>
          <cell r="AE274">
            <v>70.315470644735697</v>
          </cell>
          <cell r="AF274">
            <v>70.315470644735697</v>
          </cell>
        </row>
        <row r="275">
          <cell r="A275" t="str">
            <v>Idaho</v>
          </cell>
          <cell r="B275">
            <v>62.9974422930636</v>
          </cell>
          <cell r="C275">
            <v>63.22120562397793</v>
          </cell>
          <cell r="D275">
            <v>65.330223332803513</v>
          </cell>
          <cell r="E275">
            <v>66.359140585431732</v>
          </cell>
          <cell r="F275">
            <v>66.39243166676394</v>
          </cell>
          <cell r="G275">
            <v>66.613438075685579</v>
          </cell>
          <cell r="H275">
            <v>66.740159623334392</v>
          </cell>
          <cell r="I275">
            <v>66.845784410415874</v>
          </cell>
          <cell r="J275">
            <v>67.37750437583928</v>
          </cell>
          <cell r="K275">
            <v>67.106579138870273</v>
          </cell>
          <cell r="L275">
            <v>65.944396155713022</v>
          </cell>
          <cell r="M275">
            <v>65.973566223972497</v>
          </cell>
          <cell r="N275">
            <v>66.172399676457431</v>
          </cell>
          <cell r="O275">
            <v>68.041136391214209</v>
          </cell>
          <cell r="P275">
            <v>68.794415441173101</v>
          </cell>
          <cell r="Q275">
            <v>68.994752460364083</v>
          </cell>
          <cell r="R275">
            <v>69.866225235003924</v>
          </cell>
          <cell r="S275">
            <v>70.315470644735669</v>
          </cell>
          <cell r="T275">
            <v>70.315470644735669</v>
          </cell>
          <cell r="U275">
            <v>70.315470644735669</v>
          </cell>
          <cell r="V275">
            <v>70.315470644735669</v>
          </cell>
          <cell r="W275">
            <v>70.315470644735669</v>
          </cell>
          <cell r="X275">
            <v>70.315470644735669</v>
          </cell>
          <cell r="Y275">
            <v>70.315470644735669</v>
          </cell>
          <cell r="Z275">
            <v>70.315470644735669</v>
          </cell>
          <cell r="AA275">
            <v>70.315470644735669</v>
          </cell>
          <cell r="AB275">
            <v>70.315470644735669</v>
          </cell>
          <cell r="AC275">
            <v>70.315470644735669</v>
          </cell>
          <cell r="AD275">
            <v>70.315470644735669</v>
          </cell>
          <cell r="AE275">
            <v>70.315470644735669</v>
          </cell>
          <cell r="AF275">
            <v>70.315470644735669</v>
          </cell>
        </row>
        <row r="276">
          <cell r="A276" t="str">
            <v>Illinois</v>
          </cell>
          <cell r="B276">
            <v>53.56035796273413</v>
          </cell>
          <cell r="C276">
            <v>53.744275730784821</v>
          </cell>
          <cell r="D276">
            <v>55.477740781903137</v>
          </cell>
          <cell r="E276">
            <v>56.325366644465333</v>
          </cell>
          <cell r="F276">
            <v>56.353913091900523</v>
          </cell>
          <cell r="G276">
            <v>56.538177574241757</v>
          </cell>
          <cell r="H276">
            <v>56.641983867643255</v>
          </cell>
          <cell r="I276">
            <v>56.729495947244963</v>
          </cell>
          <cell r="J276">
            <v>57.166192679051129</v>
          </cell>
          <cell r="K276">
            <v>56.942284417780634</v>
          </cell>
          <cell r="L276">
            <v>55.985459030253253</v>
          </cell>
          <cell r="M276">
            <v>56.010123173621139</v>
          </cell>
          <cell r="N276">
            <v>56.173062680690272</v>
          </cell>
          <cell r="O276">
            <v>57.711929974868355</v>
          </cell>
          <cell r="P276">
            <v>58.3297883143509</v>
          </cell>
          <cell r="Q276">
            <v>58.494102163850386</v>
          </cell>
          <cell r="R276">
            <v>59.21309040047521</v>
          </cell>
          <cell r="S276">
            <v>59.584000860453934</v>
          </cell>
          <cell r="T276">
            <v>59.584000860453934</v>
          </cell>
          <cell r="U276">
            <v>59.584000860453934</v>
          </cell>
          <cell r="V276">
            <v>59.584000860453934</v>
          </cell>
          <cell r="W276">
            <v>59.584000860453934</v>
          </cell>
          <cell r="X276">
            <v>59.584000860453934</v>
          </cell>
          <cell r="Y276">
            <v>59.584000860453934</v>
          </cell>
          <cell r="Z276">
            <v>59.584000860453934</v>
          </cell>
          <cell r="AA276">
            <v>59.584000860453934</v>
          </cell>
          <cell r="AB276">
            <v>59.584000860453934</v>
          </cell>
          <cell r="AC276">
            <v>59.584000860453934</v>
          </cell>
          <cell r="AD276">
            <v>59.584000860453934</v>
          </cell>
          <cell r="AE276">
            <v>59.584000860453934</v>
          </cell>
          <cell r="AF276">
            <v>59.584000860453934</v>
          </cell>
        </row>
        <row r="277">
          <cell r="A277" t="str">
            <v>Indiana</v>
          </cell>
          <cell r="B277">
            <v>53.560357962734138</v>
          </cell>
          <cell r="C277">
            <v>53.7442757307848</v>
          </cell>
          <cell r="D277">
            <v>55.477740781903137</v>
          </cell>
          <cell r="E277">
            <v>56.325366644465326</v>
          </cell>
          <cell r="F277">
            <v>56.353913091900516</v>
          </cell>
          <cell r="G277">
            <v>56.538177574241757</v>
          </cell>
          <cell r="H277">
            <v>56.641983867643269</v>
          </cell>
          <cell r="I277">
            <v>56.72949594724497</v>
          </cell>
          <cell r="J277">
            <v>57.166192679051129</v>
          </cell>
          <cell r="K277">
            <v>56.942284417780641</v>
          </cell>
          <cell r="L277">
            <v>55.985459030253267</v>
          </cell>
          <cell r="M277">
            <v>56.010123173621139</v>
          </cell>
          <cell r="N277">
            <v>56.173062680690272</v>
          </cell>
          <cell r="O277">
            <v>57.711929974868333</v>
          </cell>
          <cell r="P277">
            <v>58.329788314350907</v>
          </cell>
          <cell r="Q277">
            <v>58.494102163850386</v>
          </cell>
          <cell r="R277">
            <v>59.21309040047521</v>
          </cell>
          <cell r="S277">
            <v>59.584000860453948</v>
          </cell>
          <cell r="T277">
            <v>59.584000860453948</v>
          </cell>
          <cell r="U277">
            <v>59.584000860453948</v>
          </cell>
          <cell r="V277">
            <v>59.584000860453948</v>
          </cell>
          <cell r="W277">
            <v>59.584000860453948</v>
          </cell>
          <cell r="X277">
            <v>59.584000860453948</v>
          </cell>
          <cell r="Y277">
            <v>59.584000860453948</v>
          </cell>
          <cell r="Z277">
            <v>59.584000860453948</v>
          </cell>
          <cell r="AA277">
            <v>59.584000860453948</v>
          </cell>
          <cell r="AB277">
            <v>59.584000860453948</v>
          </cell>
          <cell r="AC277">
            <v>59.584000860453948</v>
          </cell>
          <cell r="AD277">
            <v>59.584000860453948</v>
          </cell>
          <cell r="AE277">
            <v>59.584000860453948</v>
          </cell>
          <cell r="AF277">
            <v>59.584000860453948</v>
          </cell>
        </row>
        <row r="278">
          <cell r="A278" t="str">
            <v>Iowa</v>
          </cell>
          <cell r="B278">
            <v>53.560357962734145</v>
          </cell>
          <cell r="C278">
            <v>53.744275730784807</v>
          </cell>
          <cell r="D278">
            <v>55.477740781903151</v>
          </cell>
          <cell r="E278">
            <v>56.325366644465312</v>
          </cell>
          <cell r="F278">
            <v>56.353913091900537</v>
          </cell>
          <cell r="G278">
            <v>56.538177574241757</v>
          </cell>
          <cell r="H278">
            <v>56.641983867643269</v>
          </cell>
          <cell r="I278">
            <v>56.72949594724497</v>
          </cell>
          <cell r="J278">
            <v>57.166192679051129</v>
          </cell>
          <cell r="K278">
            <v>56.942284417780627</v>
          </cell>
          <cell r="L278">
            <v>55.985459030253253</v>
          </cell>
          <cell r="M278">
            <v>56.010123173621139</v>
          </cell>
          <cell r="N278">
            <v>56.173062680690251</v>
          </cell>
          <cell r="O278">
            <v>57.71192997486834</v>
          </cell>
          <cell r="P278">
            <v>58.329788314350893</v>
          </cell>
          <cell r="Q278">
            <v>58.494102163850393</v>
          </cell>
          <cell r="R278">
            <v>59.21309040047521</v>
          </cell>
          <cell r="S278">
            <v>59.584000860453941</v>
          </cell>
          <cell r="T278">
            <v>59.584000860453941</v>
          </cell>
          <cell r="U278">
            <v>59.584000860453941</v>
          </cell>
          <cell r="V278">
            <v>59.584000860453941</v>
          </cell>
          <cell r="W278">
            <v>59.584000860453941</v>
          </cell>
          <cell r="X278">
            <v>59.584000860453941</v>
          </cell>
          <cell r="Y278">
            <v>59.584000860453941</v>
          </cell>
          <cell r="Z278">
            <v>59.584000860453941</v>
          </cell>
          <cell r="AA278">
            <v>59.584000860453941</v>
          </cell>
          <cell r="AB278">
            <v>59.584000860453941</v>
          </cell>
          <cell r="AC278">
            <v>59.584000860453941</v>
          </cell>
          <cell r="AD278">
            <v>59.584000860453941</v>
          </cell>
          <cell r="AE278">
            <v>59.584000860453941</v>
          </cell>
          <cell r="AF278">
            <v>59.584000860453941</v>
          </cell>
        </row>
        <row r="279">
          <cell r="A279" t="str">
            <v>Kansas</v>
          </cell>
          <cell r="B279">
            <v>51.672797068572862</v>
          </cell>
          <cell r="C279">
            <v>51.849054481769564</v>
          </cell>
          <cell r="D279">
            <v>53.510319091142229</v>
          </cell>
          <cell r="E279">
            <v>54.3230121525798</v>
          </cell>
          <cell r="F279">
            <v>54.350597745451829</v>
          </cell>
          <cell r="G279">
            <v>54.527691055743603</v>
          </cell>
          <cell r="H279">
            <v>54.627106262719167</v>
          </cell>
          <cell r="I279">
            <v>54.711107521800322</v>
          </cell>
          <cell r="J279">
            <v>55.129549908936205</v>
          </cell>
          <cell r="K279">
            <v>54.914731185495803</v>
          </cell>
          <cell r="L279">
            <v>53.997451548532567</v>
          </cell>
          <cell r="M279">
            <v>54.021221100157547</v>
          </cell>
          <cell r="N279">
            <v>54.177280018678168</v>
          </cell>
          <cell r="O279">
            <v>55.652610360009476</v>
          </cell>
          <cell r="P279">
            <v>56.24448675034273</v>
          </cell>
          <cell r="Q279">
            <v>56.40188946881235</v>
          </cell>
          <cell r="R279">
            <v>57.091451345711974</v>
          </cell>
          <cell r="S279">
            <v>57.447233433053157</v>
          </cell>
          <cell r="T279">
            <v>57.447233433053157</v>
          </cell>
          <cell r="U279">
            <v>57.447233433053157</v>
          </cell>
          <cell r="V279">
            <v>57.447233433053157</v>
          </cell>
          <cell r="W279">
            <v>57.447233433053157</v>
          </cell>
          <cell r="X279">
            <v>57.447233433053157</v>
          </cell>
          <cell r="Y279">
            <v>57.447233433053157</v>
          </cell>
          <cell r="Z279">
            <v>57.447233433053157</v>
          </cell>
          <cell r="AA279">
            <v>57.447233433053157</v>
          </cell>
          <cell r="AB279">
            <v>57.447233433053157</v>
          </cell>
          <cell r="AC279">
            <v>57.447233433053157</v>
          </cell>
          <cell r="AD279">
            <v>57.447233433053157</v>
          </cell>
          <cell r="AE279">
            <v>57.447233433053157</v>
          </cell>
          <cell r="AF279">
            <v>57.447233433053157</v>
          </cell>
        </row>
        <row r="280">
          <cell r="A280" t="str">
            <v>Kentucky</v>
          </cell>
          <cell r="B280">
            <v>54.052413519197316</v>
          </cell>
          <cell r="C280">
            <v>54.238345164012095</v>
          </cell>
          <cell r="D280">
            <v>55.990791422660656</v>
          </cell>
          <cell r="E280">
            <v>56.847596457639916</v>
          </cell>
          <cell r="F280">
            <v>56.876392734225789</v>
          </cell>
          <cell r="G280">
            <v>57.062536361547913</v>
          </cell>
          <cell r="H280">
            <v>57.167497874768102</v>
          </cell>
          <cell r="I280">
            <v>57.255931302978667</v>
          </cell>
          <cell r="J280">
            <v>57.697427826175961</v>
          </cell>
          <cell r="K280">
            <v>57.471132838635036</v>
          </cell>
          <cell r="L280">
            <v>56.503914765676534</v>
          </cell>
          <cell r="M280">
            <v>56.528812479166007</v>
          </cell>
          <cell r="N280">
            <v>56.693562009224777</v>
          </cell>
          <cell r="O280">
            <v>58.249126121384144</v>
          </cell>
          <cell r="P280">
            <v>58.873818023632637</v>
          </cell>
          <cell r="Q280">
            <v>59.039949600757737</v>
          </cell>
          <cell r="R280">
            <v>59.766667580792948</v>
          </cell>
          <cell r="S280">
            <v>60.141551331225124</v>
          </cell>
          <cell r="T280">
            <v>60.141551331225124</v>
          </cell>
          <cell r="U280">
            <v>60.141551331225124</v>
          </cell>
          <cell r="V280">
            <v>60.141551331225124</v>
          </cell>
          <cell r="W280">
            <v>60.141551331225124</v>
          </cell>
          <cell r="X280">
            <v>60.141551331225124</v>
          </cell>
          <cell r="Y280">
            <v>60.141551331225124</v>
          </cell>
          <cell r="Z280">
            <v>60.141551331225124</v>
          </cell>
          <cell r="AA280">
            <v>60.141551331225124</v>
          </cell>
          <cell r="AB280">
            <v>60.141551331225124</v>
          </cell>
          <cell r="AC280">
            <v>60.141551331225124</v>
          </cell>
          <cell r="AD280">
            <v>60.141551331225124</v>
          </cell>
          <cell r="AE280">
            <v>60.141551331225124</v>
          </cell>
          <cell r="AF280">
            <v>60.141551331225124</v>
          </cell>
        </row>
        <row r="281">
          <cell r="A281" t="str">
            <v>Louisiana</v>
          </cell>
          <cell r="B281">
            <v>53.961096804486921</v>
          </cell>
          <cell r="C281">
            <v>54.146654181120887</v>
          </cell>
          <cell r="D281">
            <v>55.895572884318376</v>
          </cell>
          <cell r="E281">
            <v>56.750672159242541</v>
          </cell>
          <cell r="F281">
            <v>56.779422092263189</v>
          </cell>
          <cell r="G281">
            <v>56.965216680083834</v>
          </cell>
          <cell r="H281">
            <v>57.069963476524194</v>
          </cell>
          <cell r="I281">
            <v>57.15822572751874</v>
          </cell>
          <cell r="J281">
            <v>57.598830210618367</v>
          </cell>
          <cell r="K281">
            <v>57.372978694362516</v>
          </cell>
          <cell r="L281">
            <v>56.407691930673835</v>
          </cell>
          <cell r="M281">
            <v>56.43254628634002</v>
          </cell>
          <cell r="N281">
            <v>56.59695939797777</v>
          </cell>
          <cell r="O281">
            <v>58.149420706290215</v>
          </cell>
          <cell r="P281">
            <v>58.772842534454156</v>
          </cell>
          <cell r="Q281">
            <v>58.938636271339618</v>
          </cell>
          <cell r="R281">
            <v>59.663917915815155</v>
          </cell>
          <cell r="S281">
            <v>60.03806337211816</v>
          </cell>
          <cell r="T281">
            <v>60.03806337211816</v>
          </cell>
          <cell r="U281">
            <v>60.03806337211816</v>
          </cell>
          <cell r="V281">
            <v>60.03806337211816</v>
          </cell>
          <cell r="W281">
            <v>60.03806337211816</v>
          </cell>
          <cell r="X281">
            <v>60.03806337211816</v>
          </cell>
          <cell r="Y281">
            <v>60.03806337211816</v>
          </cell>
          <cell r="Z281">
            <v>60.03806337211816</v>
          </cell>
          <cell r="AA281">
            <v>60.03806337211816</v>
          </cell>
          <cell r="AB281">
            <v>60.03806337211816</v>
          </cell>
          <cell r="AC281">
            <v>60.03806337211816</v>
          </cell>
          <cell r="AD281">
            <v>60.03806337211816</v>
          </cell>
          <cell r="AE281">
            <v>60.03806337211816</v>
          </cell>
          <cell r="AF281">
            <v>60.03806337211816</v>
          </cell>
        </row>
        <row r="282">
          <cell r="A282" t="str">
            <v>Maine</v>
          </cell>
          <cell r="B282">
            <v>53.550597056940546</v>
          </cell>
          <cell r="C282">
            <v>53.734474947676283</v>
          </cell>
          <cell r="D282">
            <v>55.467564146800321</v>
          </cell>
          <cell r="E282">
            <v>56.315008231068767</v>
          </cell>
          <cell r="F282">
            <v>56.343549719885743</v>
          </cell>
          <cell r="G282">
            <v>56.527776966978578</v>
          </cell>
          <cell r="H282">
            <v>56.631560389016748</v>
          </cell>
          <cell r="I282">
            <v>56.719054217876781</v>
          </cell>
          <cell r="J282">
            <v>57.155655911078505</v>
          </cell>
          <cell r="K282">
            <v>56.931794922126784</v>
          </cell>
          <cell r="L282">
            <v>55.975175338677609</v>
          </cell>
          <cell r="M282">
            <v>55.999834850264669</v>
          </cell>
          <cell r="N282">
            <v>56.16273852139647</v>
          </cell>
          <cell r="O282">
            <v>57.701275168797437</v>
          </cell>
          <cell r="P282">
            <v>58.318998207745793</v>
          </cell>
          <cell r="Q282">
            <v>58.483276067378931</v>
          </cell>
          <cell r="R282">
            <v>59.202111218634663</v>
          </cell>
          <cell r="S282">
            <v>59.572942986011284</v>
          </cell>
          <cell r="T282">
            <v>59.572942986011284</v>
          </cell>
          <cell r="U282">
            <v>59.572942986011284</v>
          </cell>
          <cell r="V282">
            <v>59.572942986011284</v>
          </cell>
          <cell r="W282">
            <v>59.572942986011284</v>
          </cell>
          <cell r="X282">
            <v>59.572942986011284</v>
          </cell>
          <cell r="Y282">
            <v>59.572942986011284</v>
          </cell>
          <cell r="Z282">
            <v>59.572942986011284</v>
          </cell>
          <cell r="AA282">
            <v>59.572942986011284</v>
          </cell>
          <cell r="AB282">
            <v>59.572942986011284</v>
          </cell>
          <cell r="AC282">
            <v>59.572942986011284</v>
          </cell>
          <cell r="AD282">
            <v>59.572942986011284</v>
          </cell>
          <cell r="AE282">
            <v>59.572942986011284</v>
          </cell>
          <cell r="AF282">
            <v>59.572942986011284</v>
          </cell>
        </row>
        <row r="283">
          <cell r="A283" t="str">
            <v>Maryland</v>
          </cell>
          <cell r="B283">
            <v>53.550597056940546</v>
          </cell>
          <cell r="C283">
            <v>53.734474947676276</v>
          </cell>
          <cell r="D283">
            <v>55.467564146800321</v>
          </cell>
          <cell r="E283">
            <v>56.315008231068774</v>
          </cell>
          <cell r="F283">
            <v>56.34354971988575</v>
          </cell>
          <cell r="G283">
            <v>56.5277769669786</v>
          </cell>
          <cell r="H283">
            <v>56.631560389016755</v>
          </cell>
          <cell r="I283">
            <v>56.719054217876774</v>
          </cell>
          <cell r="J283">
            <v>57.155655911078512</v>
          </cell>
          <cell r="K283">
            <v>56.931794922126791</v>
          </cell>
          <cell r="L283">
            <v>55.975175338677587</v>
          </cell>
          <cell r="M283">
            <v>55.999834850264669</v>
          </cell>
          <cell r="N283">
            <v>56.162738521396477</v>
          </cell>
          <cell r="O283">
            <v>57.701275168797444</v>
          </cell>
          <cell r="P283">
            <v>58.3189982077458</v>
          </cell>
          <cell r="Q283">
            <v>58.483276067378931</v>
          </cell>
          <cell r="R283">
            <v>59.202111218634663</v>
          </cell>
          <cell r="S283">
            <v>59.572942986011284</v>
          </cell>
          <cell r="T283">
            <v>59.572942986011284</v>
          </cell>
          <cell r="U283">
            <v>59.572942986011284</v>
          </cell>
          <cell r="V283">
            <v>59.572942986011284</v>
          </cell>
          <cell r="W283">
            <v>59.572942986011284</v>
          </cell>
          <cell r="X283">
            <v>59.572942986011284</v>
          </cell>
          <cell r="Y283">
            <v>59.572942986011284</v>
          </cell>
          <cell r="Z283">
            <v>59.572942986011284</v>
          </cell>
          <cell r="AA283">
            <v>59.572942986011284</v>
          </cell>
          <cell r="AB283">
            <v>59.572942986011284</v>
          </cell>
          <cell r="AC283">
            <v>59.572942986011284</v>
          </cell>
          <cell r="AD283">
            <v>59.572942986011284</v>
          </cell>
          <cell r="AE283">
            <v>59.572942986011284</v>
          </cell>
          <cell r="AF283">
            <v>59.572942986011284</v>
          </cell>
        </row>
        <row r="284">
          <cell r="A284" t="str">
            <v>Massachusetts</v>
          </cell>
          <cell r="B284">
            <v>53.550597056940553</v>
          </cell>
          <cell r="C284">
            <v>53.734474947676276</v>
          </cell>
          <cell r="D284">
            <v>55.467564146800321</v>
          </cell>
          <cell r="E284">
            <v>56.315008231068767</v>
          </cell>
          <cell r="F284">
            <v>56.343549719885758</v>
          </cell>
          <cell r="G284">
            <v>56.527776966978607</v>
          </cell>
          <cell r="H284">
            <v>56.631560389016762</v>
          </cell>
          <cell r="I284">
            <v>56.719054217876781</v>
          </cell>
          <cell r="J284">
            <v>57.15565591107849</v>
          </cell>
          <cell r="K284">
            <v>56.931794922126784</v>
          </cell>
          <cell r="L284">
            <v>55.975175338677609</v>
          </cell>
          <cell r="M284">
            <v>55.999834850264662</v>
          </cell>
          <cell r="N284">
            <v>56.16273852139647</v>
          </cell>
          <cell r="O284">
            <v>57.701275168797437</v>
          </cell>
          <cell r="P284">
            <v>58.318998207745793</v>
          </cell>
          <cell r="Q284">
            <v>58.483276067378931</v>
          </cell>
          <cell r="R284">
            <v>59.202111218634663</v>
          </cell>
          <cell r="S284">
            <v>59.572942986011284</v>
          </cell>
          <cell r="T284">
            <v>59.572942986011284</v>
          </cell>
          <cell r="U284">
            <v>59.572942986011284</v>
          </cell>
          <cell r="V284">
            <v>59.572942986011284</v>
          </cell>
          <cell r="W284">
            <v>59.572942986011284</v>
          </cell>
          <cell r="X284">
            <v>59.572942986011284</v>
          </cell>
          <cell r="Y284">
            <v>59.572942986011284</v>
          </cell>
          <cell r="Z284">
            <v>59.572942986011284</v>
          </cell>
          <cell r="AA284">
            <v>59.572942986011284</v>
          </cell>
          <cell r="AB284">
            <v>59.572942986011284</v>
          </cell>
          <cell r="AC284">
            <v>59.572942986011284</v>
          </cell>
          <cell r="AD284">
            <v>59.572942986011284</v>
          </cell>
          <cell r="AE284">
            <v>59.572942986011284</v>
          </cell>
          <cell r="AF284">
            <v>59.572942986011284</v>
          </cell>
        </row>
        <row r="285">
          <cell r="A285" t="str">
            <v>Michigan</v>
          </cell>
          <cell r="B285">
            <v>53.560357962734145</v>
          </cell>
          <cell r="C285">
            <v>53.7442757307848</v>
          </cell>
          <cell r="D285">
            <v>55.477740781903144</v>
          </cell>
          <cell r="E285">
            <v>56.325366644465312</v>
          </cell>
          <cell r="F285">
            <v>56.353913091900516</v>
          </cell>
          <cell r="G285">
            <v>56.538177574241757</v>
          </cell>
          <cell r="H285">
            <v>56.641983867643255</v>
          </cell>
          <cell r="I285">
            <v>56.72949594724497</v>
          </cell>
          <cell r="J285">
            <v>57.166192679051129</v>
          </cell>
          <cell r="K285">
            <v>56.942284417780648</v>
          </cell>
          <cell r="L285">
            <v>55.985459030253267</v>
          </cell>
          <cell r="M285">
            <v>56.010123173621146</v>
          </cell>
          <cell r="N285">
            <v>56.173062680690272</v>
          </cell>
          <cell r="O285">
            <v>57.711929974868355</v>
          </cell>
          <cell r="P285">
            <v>58.329788314350886</v>
          </cell>
          <cell r="Q285">
            <v>58.4941021638504</v>
          </cell>
          <cell r="R285">
            <v>59.213090400475224</v>
          </cell>
          <cell r="S285">
            <v>59.584000860453941</v>
          </cell>
          <cell r="T285">
            <v>59.584000860453941</v>
          </cell>
          <cell r="U285">
            <v>59.584000860453941</v>
          </cell>
          <cell r="V285">
            <v>59.584000860453941</v>
          </cell>
          <cell r="W285">
            <v>59.584000860453941</v>
          </cell>
          <cell r="X285">
            <v>59.584000860453941</v>
          </cell>
          <cell r="Y285">
            <v>59.584000860453941</v>
          </cell>
          <cell r="Z285">
            <v>59.584000860453941</v>
          </cell>
          <cell r="AA285">
            <v>59.584000860453941</v>
          </cell>
          <cell r="AB285">
            <v>59.584000860453941</v>
          </cell>
          <cell r="AC285">
            <v>59.584000860453941</v>
          </cell>
          <cell r="AD285">
            <v>59.584000860453941</v>
          </cell>
          <cell r="AE285">
            <v>59.584000860453941</v>
          </cell>
          <cell r="AF285">
            <v>59.584000860453941</v>
          </cell>
        </row>
        <row r="286">
          <cell r="A286" t="str">
            <v>Minnesota</v>
          </cell>
          <cell r="B286">
            <v>53.560357962734145</v>
          </cell>
          <cell r="C286">
            <v>53.744275730784807</v>
          </cell>
          <cell r="D286">
            <v>55.477740781903137</v>
          </cell>
          <cell r="E286">
            <v>56.325366644465326</v>
          </cell>
          <cell r="F286">
            <v>56.35391309190053</v>
          </cell>
          <cell r="G286">
            <v>56.538177574241764</v>
          </cell>
          <cell r="H286">
            <v>56.641983867643269</v>
          </cell>
          <cell r="I286">
            <v>56.729495947244963</v>
          </cell>
          <cell r="J286">
            <v>57.166192679051129</v>
          </cell>
          <cell r="K286">
            <v>56.942284417780641</v>
          </cell>
          <cell r="L286">
            <v>55.98545903025326</v>
          </cell>
          <cell r="M286">
            <v>56.010123173621153</v>
          </cell>
          <cell r="N286">
            <v>56.173062680690265</v>
          </cell>
          <cell r="O286">
            <v>57.711929974868326</v>
          </cell>
          <cell r="P286">
            <v>58.329788314350893</v>
          </cell>
          <cell r="Q286">
            <v>58.4941021638504</v>
          </cell>
          <cell r="R286">
            <v>59.213090400475188</v>
          </cell>
          <cell r="S286">
            <v>59.584000860453941</v>
          </cell>
          <cell r="T286">
            <v>59.584000860453941</v>
          </cell>
          <cell r="U286">
            <v>59.584000860453941</v>
          </cell>
          <cell r="V286">
            <v>59.584000860453941</v>
          </cell>
          <cell r="W286">
            <v>59.584000860453941</v>
          </cell>
          <cell r="X286">
            <v>59.584000860453941</v>
          </cell>
          <cell r="Y286">
            <v>59.584000860453941</v>
          </cell>
          <cell r="Z286">
            <v>59.584000860453941</v>
          </cell>
          <cell r="AA286">
            <v>59.584000860453941</v>
          </cell>
          <cell r="AB286">
            <v>59.584000860453941</v>
          </cell>
          <cell r="AC286">
            <v>59.584000860453941</v>
          </cell>
          <cell r="AD286">
            <v>59.584000860453941</v>
          </cell>
          <cell r="AE286">
            <v>59.584000860453941</v>
          </cell>
          <cell r="AF286">
            <v>59.584000860453941</v>
          </cell>
        </row>
        <row r="287">
          <cell r="A287" t="str">
            <v>Mississippi</v>
          </cell>
          <cell r="B287">
            <v>54.052413519197323</v>
          </cell>
          <cell r="C287">
            <v>54.238345164012088</v>
          </cell>
          <cell r="D287">
            <v>55.990791422660664</v>
          </cell>
          <cell r="E287">
            <v>56.847596457639909</v>
          </cell>
          <cell r="F287">
            <v>56.876392734225796</v>
          </cell>
          <cell r="G287">
            <v>57.06253636154792</v>
          </cell>
          <cell r="H287">
            <v>57.167497874768102</v>
          </cell>
          <cell r="I287">
            <v>57.255931302978659</v>
          </cell>
          <cell r="J287">
            <v>57.697427826175961</v>
          </cell>
          <cell r="K287">
            <v>57.471132838635029</v>
          </cell>
          <cell r="L287">
            <v>56.503914765676541</v>
          </cell>
          <cell r="M287">
            <v>56.528812479166014</v>
          </cell>
          <cell r="N287">
            <v>56.693562009224799</v>
          </cell>
          <cell r="O287">
            <v>58.249126121384151</v>
          </cell>
          <cell r="P287">
            <v>58.873818023632637</v>
          </cell>
          <cell r="Q287">
            <v>59.03994960075773</v>
          </cell>
          <cell r="R287">
            <v>59.766667580792976</v>
          </cell>
          <cell r="S287">
            <v>60.141551331225145</v>
          </cell>
          <cell r="T287">
            <v>60.141551331225145</v>
          </cell>
          <cell r="U287">
            <v>60.141551331225145</v>
          </cell>
          <cell r="V287">
            <v>60.141551331225145</v>
          </cell>
          <cell r="W287">
            <v>60.141551331225145</v>
          </cell>
          <cell r="X287">
            <v>60.141551331225145</v>
          </cell>
          <cell r="Y287">
            <v>60.141551331225145</v>
          </cell>
          <cell r="Z287">
            <v>60.141551331225145</v>
          </cell>
          <cell r="AA287">
            <v>60.141551331225145</v>
          </cell>
          <cell r="AB287">
            <v>60.141551331225145</v>
          </cell>
          <cell r="AC287">
            <v>60.141551331225145</v>
          </cell>
          <cell r="AD287">
            <v>60.141551331225145</v>
          </cell>
          <cell r="AE287">
            <v>60.141551331225145</v>
          </cell>
          <cell r="AF287">
            <v>60.141551331225145</v>
          </cell>
        </row>
        <row r="288">
          <cell r="A288" t="str">
            <v>Missouri</v>
          </cell>
          <cell r="B288">
            <v>53.560357962734145</v>
          </cell>
          <cell r="C288">
            <v>53.744275730784807</v>
          </cell>
          <cell r="D288">
            <v>55.477740781903137</v>
          </cell>
          <cell r="E288">
            <v>56.325366644465326</v>
          </cell>
          <cell r="F288">
            <v>56.35391309190053</v>
          </cell>
          <cell r="G288">
            <v>56.538177574241729</v>
          </cell>
          <cell r="H288">
            <v>56.641983867643255</v>
          </cell>
          <cell r="I288">
            <v>56.72949594724497</v>
          </cell>
          <cell r="J288">
            <v>57.166192679051122</v>
          </cell>
          <cell r="K288">
            <v>56.942284417780634</v>
          </cell>
          <cell r="L288">
            <v>55.985459030253246</v>
          </cell>
          <cell r="M288">
            <v>56.010123173621146</v>
          </cell>
          <cell r="N288">
            <v>56.173062680690251</v>
          </cell>
          <cell r="O288">
            <v>57.711929974868326</v>
          </cell>
          <cell r="P288">
            <v>58.329788314350893</v>
          </cell>
          <cell r="Q288">
            <v>58.494102163850393</v>
          </cell>
          <cell r="R288">
            <v>59.213090400475224</v>
          </cell>
          <cell r="S288">
            <v>59.584000860453948</v>
          </cell>
          <cell r="T288">
            <v>59.584000860453948</v>
          </cell>
          <cell r="U288">
            <v>59.584000860453948</v>
          </cell>
          <cell r="V288">
            <v>59.584000860453948</v>
          </cell>
          <cell r="W288">
            <v>59.584000860453948</v>
          </cell>
          <cell r="X288">
            <v>59.584000860453948</v>
          </cell>
          <cell r="Y288">
            <v>59.584000860453948</v>
          </cell>
          <cell r="Z288">
            <v>59.584000860453948</v>
          </cell>
          <cell r="AA288">
            <v>59.584000860453948</v>
          </cell>
          <cell r="AB288">
            <v>59.584000860453948</v>
          </cell>
          <cell r="AC288">
            <v>59.584000860453948</v>
          </cell>
          <cell r="AD288">
            <v>59.584000860453948</v>
          </cell>
          <cell r="AE288">
            <v>59.584000860453948</v>
          </cell>
          <cell r="AF288">
            <v>59.584000860453948</v>
          </cell>
        </row>
        <row r="289">
          <cell r="A289" t="str">
            <v>Montana</v>
          </cell>
          <cell r="B289">
            <v>51.672797068572855</v>
          </cell>
          <cell r="C289">
            <v>51.849054481769556</v>
          </cell>
          <cell r="D289">
            <v>53.510319091142243</v>
          </cell>
          <cell r="E289">
            <v>54.323012152579807</v>
          </cell>
          <cell r="F289">
            <v>54.350597745451822</v>
          </cell>
          <cell r="G289">
            <v>54.527691055743624</v>
          </cell>
          <cell r="H289">
            <v>54.62710626271916</v>
          </cell>
          <cell r="I289">
            <v>54.711107521800322</v>
          </cell>
          <cell r="J289">
            <v>55.129549908936212</v>
          </cell>
          <cell r="K289">
            <v>54.91473118549581</v>
          </cell>
          <cell r="L289">
            <v>53.997451548532567</v>
          </cell>
          <cell r="M289">
            <v>54.02122110015754</v>
          </cell>
          <cell r="N289">
            <v>54.177280018678175</v>
          </cell>
          <cell r="O289">
            <v>55.652610360009483</v>
          </cell>
          <cell r="P289">
            <v>56.244486750342723</v>
          </cell>
          <cell r="Q289">
            <v>56.401889468812342</v>
          </cell>
          <cell r="R289">
            <v>57.091451345711974</v>
          </cell>
          <cell r="S289">
            <v>57.44723343305315</v>
          </cell>
          <cell r="T289">
            <v>57.44723343305315</v>
          </cell>
          <cell r="U289">
            <v>57.44723343305315</v>
          </cell>
          <cell r="V289">
            <v>57.44723343305315</v>
          </cell>
          <cell r="W289">
            <v>57.44723343305315</v>
          </cell>
          <cell r="X289">
            <v>57.44723343305315</v>
          </cell>
          <cell r="Y289">
            <v>57.44723343305315</v>
          </cell>
          <cell r="Z289">
            <v>57.44723343305315</v>
          </cell>
          <cell r="AA289">
            <v>57.44723343305315</v>
          </cell>
          <cell r="AB289">
            <v>57.44723343305315</v>
          </cell>
          <cell r="AC289">
            <v>57.44723343305315</v>
          </cell>
          <cell r="AD289">
            <v>57.44723343305315</v>
          </cell>
          <cell r="AE289">
            <v>57.44723343305315</v>
          </cell>
          <cell r="AF289">
            <v>57.44723343305315</v>
          </cell>
        </row>
        <row r="290">
          <cell r="A290" t="str">
            <v>Nebraska</v>
          </cell>
          <cell r="B290">
            <v>51.672797068572883</v>
          </cell>
          <cell r="C290">
            <v>51.849054481769542</v>
          </cell>
          <cell r="D290">
            <v>53.510319091142243</v>
          </cell>
          <cell r="E290">
            <v>54.3230121525798</v>
          </cell>
          <cell r="F290">
            <v>54.350597745451807</v>
          </cell>
          <cell r="G290">
            <v>54.52769105574361</v>
          </cell>
          <cell r="H290">
            <v>54.627106262719167</v>
          </cell>
          <cell r="I290">
            <v>54.711107521800315</v>
          </cell>
          <cell r="J290">
            <v>55.129549908936212</v>
          </cell>
          <cell r="K290">
            <v>54.91473118549581</v>
          </cell>
          <cell r="L290">
            <v>53.99745154853256</v>
          </cell>
          <cell r="M290">
            <v>54.02122110015754</v>
          </cell>
          <cell r="N290">
            <v>54.177280018678175</v>
          </cell>
          <cell r="O290">
            <v>55.652610360009483</v>
          </cell>
          <cell r="P290">
            <v>56.244486750342723</v>
          </cell>
          <cell r="Q290">
            <v>56.401889468812335</v>
          </cell>
          <cell r="R290">
            <v>57.09145134571196</v>
          </cell>
          <cell r="S290">
            <v>57.447233433053157</v>
          </cell>
          <cell r="T290">
            <v>57.447233433053157</v>
          </cell>
          <cell r="U290">
            <v>57.447233433053157</v>
          </cell>
          <cell r="V290">
            <v>57.447233433053157</v>
          </cell>
          <cell r="W290">
            <v>57.447233433053157</v>
          </cell>
          <cell r="X290">
            <v>57.447233433053157</v>
          </cell>
          <cell r="Y290">
            <v>57.447233433053157</v>
          </cell>
          <cell r="Z290">
            <v>57.447233433053157</v>
          </cell>
          <cell r="AA290">
            <v>57.447233433053157</v>
          </cell>
          <cell r="AB290">
            <v>57.447233433053157</v>
          </cell>
          <cell r="AC290">
            <v>57.447233433053157</v>
          </cell>
          <cell r="AD290">
            <v>57.447233433053157</v>
          </cell>
          <cell r="AE290">
            <v>57.447233433053157</v>
          </cell>
          <cell r="AF290">
            <v>57.447233433053157</v>
          </cell>
        </row>
        <row r="291">
          <cell r="A291" t="str">
            <v>Nevada</v>
          </cell>
          <cell r="B291">
            <v>62.997442293063607</v>
          </cell>
          <cell r="C291">
            <v>63.221205623977937</v>
          </cell>
          <cell r="D291">
            <v>65.330223332803499</v>
          </cell>
          <cell r="E291">
            <v>66.359140585431746</v>
          </cell>
          <cell r="F291">
            <v>66.392431666763954</v>
          </cell>
          <cell r="G291">
            <v>66.613438075685579</v>
          </cell>
          <cell r="H291">
            <v>66.740159623334378</v>
          </cell>
          <cell r="I291">
            <v>66.84578441041586</v>
          </cell>
          <cell r="J291">
            <v>67.37750437583928</v>
          </cell>
          <cell r="K291">
            <v>67.106579138870259</v>
          </cell>
          <cell r="L291">
            <v>65.944396155713008</v>
          </cell>
          <cell r="M291">
            <v>65.973566223972497</v>
          </cell>
          <cell r="N291">
            <v>66.172399676457445</v>
          </cell>
          <cell r="O291">
            <v>68.041136391214224</v>
          </cell>
          <cell r="P291">
            <v>68.794415441173129</v>
          </cell>
          <cell r="Q291">
            <v>68.994752460364097</v>
          </cell>
          <cell r="R291">
            <v>69.866225235003924</v>
          </cell>
          <cell r="S291">
            <v>70.315470644735669</v>
          </cell>
          <cell r="T291">
            <v>70.315470644735669</v>
          </cell>
          <cell r="U291">
            <v>70.315470644735669</v>
          </cell>
          <cell r="V291">
            <v>70.315470644735669</v>
          </cell>
          <cell r="W291">
            <v>70.315470644735669</v>
          </cell>
          <cell r="X291">
            <v>70.315470644735669</v>
          </cell>
          <cell r="Y291">
            <v>70.315470644735669</v>
          </cell>
          <cell r="Z291">
            <v>70.315470644735669</v>
          </cell>
          <cell r="AA291">
            <v>70.315470644735669</v>
          </cell>
          <cell r="AB291">
            <v>70.315470644735669</v>
          </cell>
          <cell r="AC291">
            <v>70.315470644735669</v>
          </cell>
          <cell r="AD291">
            <v>70.315470644735669</v>
          </cell>
          <cell r="AE291">
            <v>70.315470644735669</v>
          </cell>
          <cell r="AF291">
            <v>70.315470644735669</v>
          </cell>
        </row>
        <row r="292">
          <cell r="A292" t="str">
            <v>New Hampshire</v>
          </cell>
          <cell r="B292">
            <v>53.55059705694056</v>
          </cell>
          <cell r="C292">
            <v>53.734474947676283</v>
          </cell>
          <cell r="D292">
            <v>55.467564146800321</v>
          </cell>
          <cell r="E292">
            <v>56.315008231068774</v>
          </cell>
          <cell r="F292">
            <v>56.34354971988575</v>
          </cell>
          <cell r="G292">
            <v>56.5277769669786</v>
          </cell>
          <cell r="H292">
            <v>56.631560389016769</v>
          </cell>
          <cell r="I292">
            <v>56.719054217876781</v>
          </cell>
          <cell r="J292">
            <v>57.155655911078497</v>
          </cell>
          <cell r="K292">
            <v>56.931794922126784</v>
          </cell>
          <cell r="L292">
            <v>55.975175338677609</v>
          </cell>
          <cell r="M292">
            <v>55.999834850264669</v>
          </cell>
          <cell r="N292">
            <v>56.16273852139647</v>
          </cell>
          <cell r="O292">
            <v>57.701275168797444</v>
          </cell>
          <cell r="P292">
            <v>58.318998207745786</v>
          </cell>
          <cell r="Q292">
            <v>58.483276067378931</v>
          </cell>
          <cell r="R292">
            <v>59.202111218634663</v>
          </cell>
          <cell r="S292">
            <v>59.572942986011284</v>
          </cell>
          <cell r="T292">
            <v>59.572942986011284</v>
          </cell>
          <cell r="U292">
            <v>59.572942986011284</v>
          </cell>
          <cell r="V292">
            <v>59.572942986011284</v>
          </cell>
          <cell r="W292">
            <v>59.572942986011284</v>
          </cell>
          <cell r="X292">
            <v>59.572942986011284</v>
          </cell>
          <cell r="Y292">
            <v>59.572942986011284</v>
          </cell>
          <cell r="Z292">
            <v>59.572942986011284</v>
          </cell>
          <cell r="AA292">
            <v>59.572942986011284</v>
          </cell>
          <cell r="AB292">
            <v>59.572942986011284</v>
          </cell>
          <cell r="AC292">
            <v>59.572942986011284</v>
          </cell>
          <cell r="AD292">
            <v>59.572942986011284</v>
          </cell>
          <cell r="AE292">
            <v>59.572942986011284</v>
          </cell>
          <cell r="AF292">
            <v>59.572942986011284</v>
          </cell>
        </row>
        <row r="293">
          <cell r="A293" t="str">
            <v>New Jersey</v>
          </cell>
          <cell r="B293">
            <v>53.55059705694056</v>
          </cell>
          <cell r="C293">
            <v>53.734474947676283</v>
          </cell>
          <cell r="D293">
            <v>55.467564146800321</v>
          </cell>
          <cell r="E293">
            <v>56.315008231068788</v>
          </cell>
          <cell r="F293">
            <v>56.34354971988575</v>
          </cell>
          <cell r="G293">
            <v>56.5277769669786</v>
          </cell>
          <cell r="H293">
            <v>56.631560389016769</v>
          </cell>
          <cell r="I293">
            <v>56.719054217876788</v>
          </cell>
          <cell r="J293">
            <v>57.15565591107849</v>
          </cell>
          <cell r="K293">
            <v>56.931794922126784</v>
          </cell>
          <cell r="L293">
            <v>55.975175338677587</v>
          </cell>
          <cell r="M293">
            <v>55.999834850264669</v>
          </cell>
          <cell r="N293">
            <v>56.162738521396477</v>
          </cell>
          <cell r="O293">
            <v>57.701275168797444</v>
          </cell>
          <cell r="P293">
            <v>58.318998207745778</v>
          </cell>
          <cell r="Q293">
            <v>58.483276067378931</v>
          </cell>
          <cell r="R293">
            <v>59.202111218634663</v>
          </cell>
          <cell r="S293">
            <v>59.572942986011284</v>
          </cell>
          <cell r="T293">
            <v>59.572942986011284</v>
          </cell>
          <cell r="U293">
            <v>59.572942986011284</v>
          </cell>
          <cell r="V293">
            <v>59.572942986011284</v>
          </cell>
          <cell r="W293">
            <v>59.572942986011284</v>
          </cell>
          <cell r="X293">
            <v>59.572942986011284</v>
          </cell>
          <cell r="Y293">
            <v>59.572942986011284</v>
          </cell>
          <cell r="Z293">
            <v>59.572942986011284</v>
          </cell>
          <cell r="AA293">
            <v>59.572942986011284</v>
          </cell>
          <cell r="AB293">
            <v>59.572942986011284</v>
          </cell>
          <cell r="AC293">
            <v>59.572942986011284</v>
          </cell>
          <cell r="AD293">
            <v>59.572942986011284</v>
          </cell>
          <cell r="AE293">
            <v>59.572942986011284</v>
          </cell>
          <cell r="AF293">
            <v>59.572942986011284</v>
          </cell>
        </row>
        <row r="294">
          <cell r="A294" t="str">
            <v>New Mexico</v>
          </cell>
          <cell r="B294">
            <v>62.997442293063614</v>
          </cell>
          <cell r="C294">
            <v>63.221205623977916</v>
          </cell>
          <cell r="D294">
            <v>65.330223332803513</v>
          </cell>
          <cell r="E294">
            <v>66.359140585431746</v>
          </cell>
          <cell r="F294">
            <v>66.392431666763954</v>
          </cell>
          <cell r="G294">
            <v>66.613438075685579</v>
          </cell>
          <cell r="H294">
            <v>66.740159623334378</v>
          </cell>
          <cell r="I294">
            <v>66.845784410415874</v>
          </cell>
          <cell r="J294">
            <v>67.377504375839266</v>
          </cell>
          <cell r="K294">
            <v>67.106579138870273</v>
          </cell>
          <cell r="L294">
            <v>65.944396155713022</v>
          </cell>
          <cell r="M294">
            <v>65.973566223972512</v>
          </cell>
          <cell r="N294">
            <v>66.172399676457431</v>
          </cell>
          <cell r="O294">
            <v>68.041136391214209</v>
          </cell>
          <cell r="P294">
            <v>68.794415441173115</v>
          </cell>
          <cell r="Q294">
            <v>68.994752460364083</v>
          </cell>
          <cell r="R294">
            <v>69.866225235003924</v>
          </cell>
          <cell r="S294">
            <v>70.315470644735669</v>
          </cell>
          <cell r="T294">
            <v>70.315470644735669</v>
          </cell>
          <cell r="U294">
            <v>70.315470644735669</v>
          </cell>
          <cell r="V294">
            <v>70.315470644735669</v>
          </cell>
          <cell r="W294">
            <v>70.315470644735669</v>
          </cell>
          <cell r="X294">
            <v>70.315470644735669</v>
          </cell>
          <cell r="Y294">
            <v>70.315470644735669</v>
          </cell>
          <cell r="Z294">
            <v>70.315470644735669</v>
          </cell>
          <cell r="AA294">
            <v>70.315470644735669</v>
          </cell>
          <cell r="AB294">
            <v>70.315470644735669</v>
          </cell>
          <cell r="AC294">
            <v>70.315470644735669</v>
          </cell>
          <cell r="AD294">
            <v>70.315470644735669</v>
          </cell>
          <cell r="AE294">
            <v>70.315470644735669</v>
          </cell>
          <cell r="AF294">
            <v>70.315470644735669</v>
          </cell>
        </row>
        <row r="295">
          <cell r="A295" t="str">
            <v>New York</v>
          </cell>
          <cell r="B295">
            <v>53.550597056940553</v>
          </cell>
          <cell r="C295">
            <v>53.734474947676276</v>
          </cell>
          <cell r="D295">
            <v>55.467564146800306</v>
          </cell>
          <cell r="E295">
            <v>56.315008231068781</v>
          </cell>
          <cell r="F295">
            <v>56.34354971988575</v>
          </cell>
          <cell r="G295">
            <v>56.527776966978607</v>
          </cell>
          <cell r="H295">
            <v>56.631560389016748</v>
          </cell>
          <cell r="I295">
            <v>56.719054217876781</v>
          </cell>
          <cell r="J295">
            <v>57.155655911078497</v>
          </cell>
          <cell r="K295">
            <v>56.931794922126791</v>
          </cell>
          <cell r="L295">
            <v>55.975175338677595</v>
          </cell>
          <cell r="M295">
            <v>55.999834850264669</v>
          </cell>
          <cell r="N295">
            <v>56.16273852139647</v>
          </cell>
          <cell r="O295">
            <v>57.701275168797437</v>
          </cell>
          <cell r="P295">
            <v>58.318998207745778</v>
          </cell>
          <cell r="Q295">
            <v>58.483276067378938</v>
          </cell>
          <cell r="R295">
            <v>59.202111218634677</v>
          </cell>
          <cell r="S295">
            <v>59.572942986011277</v>
          </cell>
          <cell r="T295">
            <v>59.572942986011277</v>
          </cell>
          <cell r="U295">
            <v>59.572942986011277</v>
          </cell>
          <cell r="V295">
            <v>59.572942986011277</v>
          </cell>
          <cell r="W295">
            <v>59.572942986011277</v>
          </cell>
          <cell r="X295">
            <v>59.572942986011277</v>
          </cell>
          <cell r="Y295">
            <v>59.572942986011277</v>
          </cell>
          <cell r="Z295">
            <v>59.572942986011277</v>
          </cell>
          <cell r="AA295">
            <v>59.572942986011277</v>
          </cell>
          <cell r="AB295">
            <v>59.572942986011277</v>
          </cell>
          <cell r="AC295">
            <v>59.572942986011277</v>
          </cell>
          <cell r="AD295">
            <v>59.572942986011277</v>
          </cell>
          <cell r="AE295">
            <v>59.572942986011277</v>
          </cell>
          <cell r="AF295">
            <v>59.572942986011277</v>
          </cell>
        </row>
        <row r="296">
          <cell r="A296" t="str">
            <v>North Carolina</v>
          </cell>
          <cell r="B296">
            <v>54.052413519197323</v>
          </cell>
          <cell r="C296">
            <v>54.238345164012095</v>
          </cell>
          <cell r="D296">
            <v>55.990791422660656</v>
          </cell>
          <cell r="E296">
            <v>56.847596457639916</v>
          </cell>
          <cell r="F296">
            <v>56.876392734225796</v>
          </cell>
          <cell r="G296">
            <v>57.062536361547906</v>
          </cell>
          <cell r="H296">
            <v>57.16749787476811</v>
          </cell>
          <cell r="I296">
            <v>57.255931302978659</v>
          </cell>
          <cell r="J296">
            <v>57.697427826175947</v>
          </cell>
          <cell r="K296">
            <v>57.471132838635022</v>
          </cell>
          <cell r="L296">
            <v>56.503914765676534</v>
          </cell>
          <cell r="M296">
            <v>56.528812479166007</v>
          </cell>
          <cell r="N296">
            <v>56.693562009224777</v>
          </cell>
          <cell r="O296">
            <v>58.249126121384151</v>
          </cell>
          <cell r="P296">
            <v>58.87381802363263</v>
          </cell>
          <cell r="Q296">
            <v>59.039949600757723</v>
          </cell>
          <cell r="R296">
            <v>59.766667580792962</v>
          </cell>
          <cell r="S296">
            <v>60.141551331225116</v>
          </cell>
          <cell r="T296">
            <v>60.141551331225116</v>
          </cell>
          <cell r="U296">
            <v>60.141551331225116</v>
          </cell>
          <cell r="V296">
            <v>60.141551331225116</v>
          </cell>
          <cell r="W296">
            <v>60.141551331225116</v>
          </cell>
          <cell r="X296">
            <v>60.141551331225116</v>
          </cell>
          <cell r="Y296">
            <v>60.141551331225116</v>
          </cell>
          <cell r="Z296">
            <v>60.141551331225116</v>
          </cell>
          <cell r="AA296">
            <v>60.141551331225116</v>
          </cell>
          <cell r="AB296">
            <v>60.141551331225116</v>
          </cell>
          <cell r="AC296">
            <v>60.141551331225116</v>
          </cell>
          <cell r="AD296">
            <v>60.141551331225116</v>
          </cell>
          <cell r="AE296">
            <v>60.141551331225116</v>
          </cell>
          <cell r="AF296">
            <v>60.141551331225116</v>
          </cell>
        </row>
        <row r="297">
          <cell r="A297" t="str">
            <v>North Dakota</v>
          </cell>
          <cell r="B297">
            <v>51.672797068572876</v>
          </cell>
          <cell r="C297">
            <v>51.849054481769542</v>
          </cell>
          <cell r="D297">
            <v>53.510319091142222</v>
          </cell>
          <cell r="E297">
            <v>54.3230121525798</v>
          </cell>
          <cell r="F297">
            <v>54.350597745451815</v>
          </cell>
          <cell r="G297">
            <v>54.527691055743624</v>
          </cell>
          <cell r="H297">
            <v>54.62710626271916</v>
          </cell>
          <cell r="I297">
            <v>54.711107521800315</v>
          </cell>
          <cell r="J297">
            <v>55.129549908936191</v>
          </cell>
          <cell r="K297">
            <v>54.91473118549581</v>
          </cell>
          <cell r="L297">
            <v>53.997451548532567</v>
          </cell>
          <cell r="M297">
            <v>54.02122110015754</v>
          </cell>
          <cell r="N297">
            <v>54.177280018678168</v>
          </cell>
          <cell r="O297">
            <v>55.652610360009476</v>
          </cell>
          <cell r="P297">
            <v>56.244486750342723</v>
          </cell>
          <cell r="Q297">
            <v>56.401889468812335</v>
          </cell>
          <cell r="R297">
            <v>57.09145134571196</v>
          </cell>
          <cell r="S297">
            <v>57.447233433053157</v>
          </cell>
          <cell r="T297">
            <v>57.447233433053157</v>
          </cell>
          <cell r="U297">
            <v>57.447233433053157</v>
          </cell>
          <cell r="V297">
            <v>57.447233433053157</v>
          </cell>
          <cell r="W297">
            <v>57.447233433053157</v>
          </cell>
          <cell r="X297">
            <v>57.447233433053157</v>
          </cell>
          <cell r="Y297">
            <v>57.447233433053157</v>
          </cell>
          <cell r="Z297">
            <v>57.447233433053157</v>
          </cell>
          <cell r="AA297">
            <v>57.447233433053157</v>
          </cell>
          <cell r="AB297">
            <v>57.447233433053157</v>
          </cell>
          <cell r="AC297">
            <v>57.447233433053157</v>
          </cell>
          <cell r="AD297">
            <v>57.447233433053157</v>
          </cell>
          <cell r="AE297">
            <v>57.447233433053157</v>
          </cell>
          <cell r="AF297">
            <v>57.447233433053157</v>
          </cell>
        </row>
        <row r="298">
          <cell r="A298" t="str">
            <v>Ohio</v>
          </cell>
          <cell r="B298">
            <v>53.560357962734145</v>
          </cell>
          <cell r="C298">
            <v>53.744275730784807</v>
          </cell>
          <cell r="D298">
            <v>55.477740781903137</v>
          </cell>
          <cell r="E298">
            <v>56.325366644465333</v>
          </cell>
          <cell r="F298">
            <v>56.353913091900523</v>
          </cell>
          <cell r="G298">
            <v>56.538177574241757</v>
          </cell>
          <cell r="H298">
            <v>56.641983867643255</v>
          </cell>
          <cell r="I298">
            <v>56.72949594724497</v>
          </cell>
          <cell r="J298">
            <v>57.166192679051122</v>
          </cell>
          <cell r="K298">
            <v>56.942284417780634</v>
          </cell>
          <cell r="L298">
            <v>55.985459030253267</v>
          </cell>
          <cell r="M298">
            <v>56.010123173621139</v>
          </cell>
          <cell r="N298">
            <v>56.173062680690251</v>
          </cell>
          <cell r="O298">
            <v>57.711929974868355</v>
          </cell>
          <cell r="P298">
            <v>58.329788314350893</v>
          </cell>
          <cell r="Q298">
            <v>58.494102163850393</v>
          </cell>
          <cell r="R298">
            <v>59.21309040047521</v>
          </cell>
          <cell r="S298">
            <v>59.584000860453934</v>
          </cell>
          <cell r="T298">
            <v>59.584000860453934</v>
          </cell>
          <cell r="U298">
            <v>59.584000860453934</v>
          </cell>
          <cell r="V298">
            <v>59.584000860453934</v>
          </cell>
          <cell r="W298">
            <v>59.584000860453934</v>
          </cell>
          <cell r="X298">
            <v>59.584000860453934</v>
          </cell>
          <cell r="Y298">
            <v>59.584000860453934</v>
          </cell>
          <cell r="Z298">
            <v>59.584000860453934</v>
          </cell>
          <cell r="AA298">
            <v>59.584000860453934</v>
          </cell>
          <cell r="AB298">
            <v>59.584000860453934</v>
          </cell>
          <cell r="AC298">
            <v>59.584000860453934</v>
          </cell>
          <cell r="AD298">
            <v>59.584000860453934</v>
          </cell>
          <cell r="AE298">
            <v>59.584000860453934</v>
          </cell>
          <cell r="AF298">
            <v>59.584000860453934</v>
          </cell>
        </row>
        <row r="299">
          <cell r="A299" t="str">
            <v>Oklahoma</v>
          </cell>
          <cell r="B299">
            <v>53.9610968044869</v>
          </cell>
          <cell r="C299">
            <v>54.146654181120873</v>
          </cell>
          <cell r="D299">
            <v>55.895572884318369</v>
          </cell>
          <cell r="E299">
            <v>56.750672159242555</v>
          </cell>
          <cell r="F299">
            <v>56.779422092263196</v>
          </cell>
          <cell r="G299">
            <v>56.965216680083842</v>
          </cell>
          <cell r="H299">
            <v>57.069963476524201</v>
          </cell>
          <cell r="I299">
            <v>57.15822572751874</v>
          </cell>
          <cell r="J299">
            <v>57.598830210618374</v>
          </cell>
          <cell r="K299">
            <v>57.372978694362523</v>
          </cell>
          <cell r="L299">
            <v>56.407691930673835</v>
          </cell>
          <cell r="M299">
            <v>56.432546286340028</v>
          </cell>
          <cell r="N299">
            <v>56.596959397977749</v>
          </cell>
          <cell r="O299">
            <v>58.149420706290201</v>
          </cell>
          <cell r="P299">
            <v>58.772842534454171</v>
          </cell>
          <cell r="Q299">
            <v>58.938636271339618</v>
          </cell>
          <cell r="R299">
            <v>59.663917915815176</v>
          </cell>
          <cell r="S299">
            <v>60.03806337211816</v>
          </cell>
          <cell r="T299">
            <v>60.03806337211816</v>
          </cell>
          <cell r="U299">
            <v>60.03806337211816</v>
          </cell>
          <cell r="V299">
            <v>60.03806337211816</v>
          </cell>
          <cell r="W299">
            <v>60.03806337211816</v>
          </cell>
          <cell r="X299">
            <v>60.03806337211816</v>
          </cell>
          <cell r="Y299">
            <v>60.03806337211816</v>
          </cell>
          <cell r="Z299">
            <v>60.03806337211816</v>
          </cell>
          <cell r="AA299">
            <v>60.03806337211816</v>
          </cell>
          <cell r="AB299">
            <v>60.03806337211816</v>
          </cell>
          <cell r="AC299">
            <v>60.03806337211816</v>
          </cell>
          <cell r="AD299">
            <v>60.03806337211816</v>
          </cell>
          <cell r="AE299">
            <v>60.03806337211816</v>
          </cell>
          <cell r="AF299">
            <v>60.03806337211816</v>
          </cell>
        </row>
        <row r="300">
          <cell r="A300" t="str">
            <v>Oregon</v>
          </cell>
          <cell r="B300">
            <v>62.9974422930636</v>
          </cell>
          <cell r="C300">
            <v>63.22120562397793</v>
          </cell>
          <cell r="D300">
            <v>65.330223332803513</v>
          </cell>
          <cell r="E300">
            <v>66.359140585431746</v>
          </cell>
          <cell r="F300">
            <v>66.39243166676394</v>
          </cell>
          <cell r="G300">
            <v>66.613438075685579</v>
          </cell>
          <cell r="H300">
            <v>66.740159623334392</v>
          </cell>
          <cell r="I300">
            <v>66.845784410415874</v>
          </cell>
          <cell r="J300">
            <v>67.377504375839266</v>
          </cell>
          <cell r="K300">
            <v>67.106579138870288</v>
          </cell>
          <cell r="L300">
            <v>65.944396155713008</v>
          </cell>
          <cell r="M300">
            <v>65.973566223972497</v>
          </cell>
          <cell r="N300">
            <v>66.172399676457431</v>
          </cell>
          <cell r="O300">
            <v>68.041136391214224</v>
          </cell>
          <cell r="P300">
            <v>68.794415441173115</v>
          </cell>
          <cell r="Q300">
            <v>68.994752460364097</v>
          </cell>
          <cell r="R300">
            <v>69.866225235003924</v>
          </cell>
          <cell r="S300">
            <v>70.315470644735655</v>
          </cell>
          <cell r="T300">
            <v>70.315470644735655</v>
          </cell>
          <cell r="U300">
            <v>70.315470644735655</v>
          </cell>
          <cell r="V300">
            <v>70.315470644735655</v>
          </cell>
          <cell r="W300">
            <v>70.315470644735655</v>
          </cell>
          <cell r="X300">
            <v>70.315470644735655</v>
          </cell>
          <cell r="Y300">
            <v>70.315470644735655</v>
          </cell>
          <cell r="Z300">
            <v>70.315470644735655</v>
          </cell>
          <cell r="AA300">
            <v>70.315470644735655</v>
          </cell>
          <cell r="AB300">
            <v>70.315470644735655</v>
          </cell>
          <cell r="AC300">
            <v>70.315470644735655</v>
          </cell>
          <cell r="AD300">
            <v>70.315470644735655</v>
          </cell>
          <cell r="AE300">
            <v>70.315470644735655</v>
          </cell>
          <cell r="AF300">
            <v>70.315470644735655</v>
          </cell>
        </row>
        <row r="301">
          <cell r="A301" t="str">
            <v>Pennsylvania</v>
          </cell>
          <cell r="B301">
            <v>53.550597056940546</v>
          </cell>
          <cell r="C301">
            <v>53.734474947676276</v>
          </cell>
          <cell r="D301">
            <v>55.467564146800321</v>
          </cell>
          <cell r="E301">
            <v>56.315008231068774</v>
          </cell>
          <cell r="F301">
            <v>56.343549719885736</v>
          </cell>
          <cell r="G301">
            <v>56.5277769669786</v>
          </cell>
          <cell r="H301">
            <v>56.631560389016755</v>
          </cell>
          <cell r="I301">
            <v>56.719054217876796</v>
          </cell>
          <cell r="J301">
            <v>57.155655911078497</v>
          </cell>
          <cell r="K301">
            <v>56.931794922126791</v>
          </cell>
          <cell r="L301">
            <v>55.975175338677587</v>
          </cell>
          <cell r="M301">
            <v>55.999834850264662</v>
          </cell>
          <cell r="N301">
            <v>56.16273852139647</v>
          </cell>
          <cell r="O301">
            <v>57.701275168797444</v>
          </cell>
          <cell r="P301">
            <v>58.3189982077458</v>
          </cell>
          <cell r="Q301">
            <v>58.483276067378931</v>
          </cell>
          <cell r="R301">
            <v>59.202111218634656</v>
          </cell>
          <cell r="S301">
            <v>59.572942986011292</v>
          </cell>
          <cell r="T301">
            <v>59.572942986011292</v>
          </cell>
          <cell r="U301">
            <v>59.572942986011292</v>
          </cell>
          <cell r="V301">
            <v>59.572942986011292</v>
          </cell>
          <cell r="W301">
            <v>59.572942986011292</v>
          </cell>
          <cell r="X301">
            <v>59.572942986011292</v>
          </cell>
          <cell r="Y301">
            <v>59.572942986011292</v>
          </cell>
          <cell r="Z301">
            <v>59.572942986011292</v>
          </cell>
          <cell r="AA301">
            <v>59.572942986011292</v>
          </cell>
          <cell r="AB301">
            <v>59.572942986011292</v>
          </cell>
          <cell r="AC301">
            <v>59.572942986011292</v>
          </cell>
          <cell r="AD301">
            <v>59.572942986011292</v>
          </cell>
          <cell r="AE301">
            <v>59.572942986011292</v>
          </cell>
          <cell r="AF301">
            <v>59.572942986011292</v>
          </cell>
        </row>
        <row r="302">
          <cell r="A302" t="str">
            <v>Rhode Island</v>
          </cell>
          <cell r="B302">
            <v>53.550597056940553</v>
          </cell>
          <cell r="C302">
            <v>53.734474947676276</v>
          </cell>
          <cell r="D302">
            <v>55.467564146800328</v>
          </cell>
          <cell r="E302">
            <v>56.315008231068774</v>
          </cell>
          <cell r="F302">
            <v>56.34354971988575</v>
          </cell>
          <cell r="G302">
            <v>56.527776966978607</v>
          </cell>
          <cell r="H302">
            <v>56.631560389016769</v>
          </cell>
          <cell r="I302">
            <v>56.719054217876781</v>
          </cell>
          <cell r="J302">
            <v>57.155655911078497</v>
          </cell>
          <cell r="K302">
            <v>56.931794922126784</v>
          </cell>
          <cell r="L302">
            <v>55.975175338677587</v>
          </cell>
          <cell r="M302">
            <v>55.999834850264669</v>
          </cell>
          <cell r="N302">
            <v>56.16273852139647</v>
          </cell>
          <cell r="O302">
            <v>57.701275168797437</v>
          </cell>
          <cell r="P302">
            <v>58.318998207745786</v>
          </cell>
          <cell r="Q302">
            <v>58.48327606737891</v>
          </cell>
          <cell r="R302">
            <v>59.202111218634649</v>
          </cell>
          <cell r="S302">
            <v>59.572942986011299</v>
          </cell>
          <cell r="T302">
            <v>59.572942986011299</v>
          </cell>
          <cell r="U302">
            <v>59.572942986011299</v>
          </cell>
          <cell r="V302">
            <v>59.572942986011299</v>
          </cell>
          <cell r="W302">
            <v>59.572942986011299</v>
          </cell>
          <cell r="X302">
            <v>59.572942986011299</v>
          </cell>
          <cell r="Y302">
            <v>59.572942986011299</v>
          </cell>
          <cell r="Z302">
            <v>59.572942986011299</v>
          </cell>
          <cell r="AA302">
            <v>59.572942986011299</v>
          </cell>
          <cell r="AB302">
            <v>59.572942986011299</v>
          </cell>
          <cell r="AC302">
            <v>59.572942986011299</v>
          </cell>
          <cell r="AD302">
            <v>59.572942986011299</v>
          </cell>
          <cell r="AE302">
            <v>59.572942986011299</v>
          </cell>
          <cell r="AF302">
            <v>59.572942986011299</v>
          </cell>
        </row>
        <row r="303">
          <cell r="A303" t="str">
            <v>South Carolina</v>
          </cell>
          <cell r="B303">
            <v>54.05241351919733</v>
          </cell>
          <cell r="C303">
            <v>54.238345164012109</v>
          </cell>
          <cell r="D303">
            <v>55.990791422660649</v>
          </cell>
          <cell r="E303">
            <v>56.847596457639916</v>
          </cell>
          <cell r="F303">
            <v>56.876392734225789</v>
          </cell>
          <cell r="G303">
            <v>57.062536361547892</v>
          </cell>
          <cell r="H303">
            <v>57.167497874768102</v>
          </cell>
          <cell r="I303">
            <v>57.255931302978667</v>
          </cell>
          <cell r="J303">
            <v>57.697427826175968</v>
          </cell>
          <cell r="K303">
            <v>57.471132838635036</v>
          </cell>
          <cell r="L303">
            <v>56.503914765676541</v>
          </cell>
          <cell r="M303">
            <v>56.528812479166014</v>
          </cell>
          <cell r="N303">
            <v>56.693562009224792</v>
          </cell>
          <cell r="O303">
            <v>58.249126121384144</v>
          </cell>
          <cell r="P303">
            <v>58.873818023632644</v>
          </cell>
          <cell r="Q303">
            <v>59.039949600757723</v>
          </cell>
          <cell r="R303">
            <v>59.766667580792955</v>
          </cell>
          <cell r="S303">
            <v>60.141551331225131</v>
          </cell>
          <cell r="T303">
            <v>60.141551331225131</v>
          </cell>
          <cell r="U303">
            <v>60.141551331225131</v>
          </cell>
          <cell r="V303">
            <v>60.141551331225131</v>
          </cell>
          <cell r="W303">
            <v>60.141551331225131</v>
          </cell>
          <cell r="X303">
            <v>60.141551331225131</v>
          </cell>
          <cell r="Y303">
            <v>60.141551331225131</v>
          </cell>
          <cell r="Z303">
            <v>60.141551331225131</v>
          </cell>
          <cell r="AA303">
            <v>60.141551331225131</v>
          </cell>
          <cell r="AB303">
            <v>60.141551331225131</v>
          </cell>
          <cell r="AC303">
            <v>60.141551331225131</v>
          </cell>
          <cell r="AD303">
            <v>60.141551331225131</v>
          </cell>
          <cell r="AE303">
            <v>60.141551331225131</v>
          </cell>
          <cell r="AF303">
            <v>60.141551331225131</v>
          </cell>
        </row>
        <row r="304">
          <cell r="A304" t="str">
            <v>South Dakota</v>
          </cell>
          <cell r="B304">
            <v>51.672797068572862</v>
          </cell>
          <cell r="C304">
            <v>51.849054481769564</v>
          </cell>
          <cell r="D304">
            <v>53.510319091142236</v>
          </cell>
          <cell r="E304">
            <v>54.323012152579807</v>
          </cell>
          <cell r="F304">
            <v>54.350597745451829</v>
          </cell>
          <cell r="G304">
            <v>54.52769105574361</v>
          </cell>
          <cell r="H304">
            <v>54.62710626271916</v>
          </cell>
          <cell r="I304">
            <v>54.711107521800315</v>
          </cell>
          <cell r="J304">
            <v>55.129549908936198</v>
          </cell>
          <cell r="K304">
            <v>54.914731185495803</v>
          </cell>
          <cell r="L304">
            <v>53.99745154853256</v>
          </cell>
          <cell r="M304">
            <v>54.021221100157547</v>
          </cell>
          <cell r="N304">
            <v>54.177280018678182</v>
          </cell>
          <cell r="O304">
            <v>55.652610360009483</v>
          </cell>
          <cell r="P304">
            <v>56.244486750342723</v>
          </cell>
          <cell r="Q304">
            <v>56.401889468812335</v>
          </cell>
          <cell r="R304">
            <v>57.09145134571196</v>
          </cell>
          <cell r="S304">
            <v>57.447233433053157</v>
          </cell>
          <cell r="T304">
            <v>57.447233433053157</v>
          </cell>
          <cell r="U304">
            <v>57.447233433053157</v>
          </cell>
          <cell r="V304">
            <v>57.447233433053157</v>
          </cell>
          <cell r="W304">
            <v>57.447233433053157</v>
          </cell>
          <cell r="X304">
            <v>57.447233433053157</v>
          </cell>
          <cell r="Y304">
            <v>57.447233433053157</v>
          </cell>
          <cell r="Z304">
            <v>57.447233433053157</v>
          </cell>
          <cell r="AA304">
            <v>57.447233433053157</v>
          </cell>
          <cell r="AB304">
            <v>57.447233433053157</v>
          </cell>
          <cell r="AC304">
            <v>57.447233433053157</v>
          </cell>
          <cell r="AD304">
            <v>57.447233433053157</v>
          </cell>
          <cell r="AE304">
            <v>57.447233433053157</v>
          </cell>
          <cell r="AF304">
            <v>57.447233433053157</v>
          </cell>
        </row>
        <row r="305">
          <cell r="A305" t="str">
            <v>Tennessee</v>
          </cell>
          <cell r="B305">
            <v>54.05241351919733</v>
          </cell>
          <cell r="C305">
            <v>54.238345164012095</v>
          </cell>
          <cell r="D305">
            <v>55.990791422660649</v>
          </cell>
          <cell r="E305">
            <v>56.847596457639909</v>
          </cell>
          <cell r="F305">
            <v>56.876392734225796</v>
          </cell>
          <cell r="G305">
            <v>57.062536361547913</v>
          </cell>
          <cell r="H305">
            <v>57.167497874768095</v>
          </cell>
          <cell r="I305">
            <v>57.255931302978667</v>
          </cell>
          <cell r="J305">
            <v>57.697427826175975</v>
          </cell>
          <cell r="K305">
            <v>57.471132838635029</v>
          </cell>
          <cell r="L305">
            <v>56.503914765676534</v>
          </cell>
          <cell r="M305">
            <v>56.528812479166007</v>
          </cell>
          <cell r="N305">
            <v>56.693562009224792</v>
          </cell>
          <cell r="O305">
            <v>58.249126121384144</v>
          </cell>
          <cell r="P305">
            <v>58.873818023632637</v>
          </cell>
          <cell r="Q305">
            <v>59.039949600757716</v>
          </cell>
          <cell r="R305">
            <v>59.766667580792955</v>
          </cell>
          <cell r="S305">
            <v>60.141551331225124</v>
          </cell>
          <cell r="T305">
            <v>60.141551331225124</v>
          </cell>
          <cell r="U305">
            <v>60.141551331225124</v>
          </cell>
          <cell r="V305">
            <v>60.141551331225124</v>
          </cell>
          <cell r="W305">
            <v>60.141551331225124</v>
          </cell>
          <cell r="X305">
            <v>60.141551331225124</v>
          </cell>
          <cell r="Y305">
            <v>60.141551331225124</v>
          </cell>
          <cell r="Z305">
            <v>60.141551331225124</v>
          </cell>
          <cell r="AA305">
            <v>60.141551331225124</v>
          </cell>
          <cell r="AB305">
            <v>60.141551331225124</v>
          </cell>
          <cell r="AC305">
            <v>60.141551331225124</v>
          </cell>
          <cell r="AD305">
            <v>60.141551331225124</v>
          </cell>
          <cell r="AE305">
            <v>60.141551331225124</v>
          </cell>
          <cell r="AF305">
            <v>60.141551331225124</v>
          </cell>
        </row>
        <row r="306">
          <cell r="A306" t="str">
            <v>Texas</v>
          </cell>
          <cell r="B306">
            <v>53.961096804486907</v>
          </cell>
          <cell r="C306">
            <v>54.14665418112088</v>
          </cell>
          <cell r="D306">
            <v>55.895572884318369</v>
          </cell>
          <cell r="E306">
            <v>56.750672159242548</v>
          </cell>
          <cell r="F306">
            <v>56.779422092263204</v>
          </cell>
          <cell r="G306">
            <v>56.965216680083834</v>
          </cell>
          <cell r="H306">
            <v>57.069963476524201</v>
          </cell>
          <cell r="I306">
            <v>57.158225727518754</v>
          </cell>
          <cell r="J306">
            <v>57.598830210618367</v>
          </cell>
          <cell r="K306">
            <v>57.372978694362523</v>
          </cell>
          <cell r="L306">
            <v>56.407691930673828</v>
          </cell>
          <cell r="M306">
            <v>56.432546286340028</v>
          </cell>
          <cell r="N306">
            <v>56.596959397977756</v>
          </cell>
          <cell r="O306">
            <v>58.149420706290201</v>
          </cell>
          <cell r="P306">
            <v>58.772842534454171</v>
          </cell>
          <cell r="Q306">
            <v>58.938636271339625</v>
          </cell>
          <cell r="R306">
            <v>59.663917915815148</v>
          </cell>
          <cell r="S306">
            <v>60.038063372118167</v>
          </cell>
          <cell r="T306">
            <v>60.038063372118167</v>
          </cell>
          <cell r="U306">
            <v>60.038063372118167</v>
          </cell>
          <cell r="V306">
            <v>60.038063372118167</v>
          </cell>
          <cell r="W306">
            <v>60.038063372118167</v>
          </cell>
          <cell r="X306">
            <v>60.038063372118167</v>
          </cell>
          <cell r="Y306">
            <v>60.038063372118167</v>
          </cell>
          <cell r="Z306">
            <v>60.038063372118167</v>
          </cell>
          <cell r="AA306">
            <v>60.038063372118167</v>
          </cell>
          <cell r="AB306">
            <v>60.038063372118167</v>
          </cell>
          <cell r="AC306">
            <v>60.038063372118167</v>
          </cell>
          <cell r="AD306">
            <v>60.038063372118167</v>
          </cell>
          <cell r="AE306">
            <v>60.038063372118167</v>
          </cell>
          <cell r="AF306">
            <v>60.038063372118167</v>
          </cell>
        </row>
        <row r="307">
          <cell r="A307" t="str">
            <v>Utah</v>
          </cell>
          <cell r="B307">
            <v>62.997442293063585</v>
          </cell>
          <cell r="C307">
            <v>63.22120562397793</v>
          </cell>
          <cell r="D307">
            <v>65.330223332803499</v>
          </cell>
          <cell r="E307">
            <v>66.359140585431732</v>
          </cell>
          <cell r="F307">
            <v>66.39243166676394</v>
          </cell>
          <cell r="G307">
            <v>66.613438075685593</v>
          </cell>
          <cell r="H307">
            <v>66.740159623334392</v>
          </cell>
          <cell r="I307">
            <v>66.84578441041586</v>
          </cell>
          <cell r="J307">
            <v>67.37750437583928</v>
          </cell>
          <cell r="K307">
            <v>67.106579138870288</v>
          </cell>
          <cell r="L307">
            <v>65.944396155713008</v>
          </cell>
          <cell r="M307">
            <v>65.973566223972497</v>
          </cell>
          <cell r="N307">
            <v>66.172399676457431</v>
          </cell>
          <cell r="O307">
            <v>68.041136391214224</v>
          </cell>
          <cell r="P307">
            <v>68.794415441173101</v>
          </cell>
          <cell r="Q307">
            <v>68.994752460364083</v>
          </cell>
          <cell r="R307">
            <v>69.86622523500391</v>
          </cell>
          <cell r="S307">
            <v>70.315470644735683</v>
          </cell>
          <cell r="T307">
            <v>70.315470644735683</v>
          </cell>
          <cell r="U307">
            <v>70.315470644735683</v>
          </cell>
          <cell r="V307">
            <v>70.315470644735683</v>
          </cell>
          <cell r="W307">
            <v>70.315470644735683</v>
          </cell>
          <cell r="X307">
            <v>70.315470644735683</v>
          </cell>
          <cell r="Y307">
            <v>70.315470644735683</v>
          </cell>
          <cell r="Z307">
            <v>70.315470644735683</v>
          </cell>
          <cell r="AA307">
            <v>70.315470644735683</v>
          </cell>
          <cell r="AB307">
            <v>70.315470644735683</v>
          </cell>
          <cell r="AC307">
            <v>70.315470644735683</v>
          </cell>
          <cell r="AD307">
            <v>70.315470644735683</v>
          </cell>
          <cell r="AE307">
            <v>70.315470644735683</v>
          </cell>
          <cell r="AF307">
            <v>70.315470644735683</v>
          </cell>
        </row>
        <row r="308">
          <cell r="A308" t="str">
            <v>Vermont</v>
          </cell>
          <cell r="B308">
            <v>53.550597056940553</v>
          </cell>
          <cell r="C308">
            <v>53.734474947676276</v>
          </cell>
          <cell r="D308">
            <v>55.467564146800321</v>
          </cell>
          <cell r="E308">
            <v>56.315008231068767</v>
          </cell>
          <cell r="F308">
            <v>56.34354971988575</v>
          </cell>
          <cell r="G308">
            <v>56.527776966978607</v>
          </cell>
          <cell r="H308">
            <v>56.631560389016769</v>
          </cell>
          <cell r="I308">
            <v>56.719054217876781</v>
          </cell>
          <cell r="J308">
            <v>57.155655911078505</v>
          </cell>
          <cell r="K308">
            <v>56.931794922126791</v>
          </cell>
          <cell r="L308">
            <v>55.975175338677609</v>
          </cell>
          <cell r="M308">
            <v>55.999834850264669</v>
          </cell>
          <cell r="N308">
            <v>56.16273852139647</v>
          </cell>
          <cell r="O308">
            <v>57.701275168797437</v>
          </cell>
          <cell r="P308">
            <v>58.318998207745793</v>
          </cell>
          <cell r="Q308">
            <v>58.483276067378931</v>
          </cell>
          <cell r="R308">
            <v>59.202111218634663</v>
          </cell>
          <cell r="S308">
            <v>59.572942986011284</v>
          </cell>
          <cell r="T308">
            <v>59.572942986011284</v>
          </cell>
          <cell r="U308">
            <v>59.572942986011284</v>
          </cell>
          <cell r="V308">
            <v>59.572942986011284</v>
          </cell>
          <cell r="W308">
            <v>59.572942986011284</v>
          </cell>
          <cell r="X308">
            <v>59.572942986011284</v>
          </cell>
          <cell r="Y308">
            <v>59.572942986011284</v>
          </cell>
          <cell r="Z308">
            <v>59.572942986011284</v>
          </cell>
          <cell r="AA308">
            <v>59.572942986011284</v>
          </cell>
          <cell r="AB308">
            <v>59.572942986011284</v>
          </cell>
          <cell r="AC308">
            <v>59.572942986011284</v>
          </cell>
          <cell r="AD308">
            <v>59.572942986011284</v>
          </cell>
          <cell r="AE308">
            <v>59.572942986011284</v>
          </cell>
          <cell r="AF308">
            <v>59.572942986011284</v>
          </cell>
        </row>
        <row r="309">
          <cell r="A309" t="str">
            <v>Virginia</v>
          </cell>
          <cell r="B309">
            <v>54.05241351919733</v>
          </cell>
          <cell r="C309">
            <v>54.238345164012102</v>
          </cell>
          <cell r="D309">
            <v>55.990791422660656</v>
          </cell>
          <cell r="E309">
            <v>56.847596457639902</v>
          </cell>
          <cell r="F309">
            <v>56.876392734225796</v>
          </cell>
          <cell r="G309">
            <v>57.062536361547899</v>
          </cell>
          <cell r="H309">
            <v>57.167497874768117</v>
          </cell>
          <cell r="I309">
            <v>57.255931302978674</v>
          </cell>
          <cell r="J309">
            <v>57.697427826175968</v>
          </cell>
          <cell r="K309">
            <v>57.471132838635015</v>
          </cell>
          <cell r="L309">
            <v>56.503914765676519</v>
          </cell>
          <cell r="M309">
            <v>56.528812479166007</v>
          </cell>
          <cell r="N309">
            <v>56.693562009224785</v>
          </cell>
          <cell r="O309">
            <v>58.249126121384165</v>
          </cell>
          <cell r="P309">
            <v>58.873818023632644</v>
          </cell>
          <cell r="Q309">
            <v>59.039949600757716</v>
          </cell>
          <cell r="R309">
            <v>59.766667580792962</v>
          </cell>
          <cell r="S309">
            <v>60.141551331225131</v>
          </cell>
          <cell r="T309">
            <v>60.141551331225131</v>
          </cell>
          <cell r="U309">
            <v>60.141551331225131</v>
          </cell>
          <cell r="V309">
            <v>60.141551331225131</v>
          </cell>
          <cell r="W309">
            <v>60.141551331225131</v>
          </cell>
          <cell r="X309">
            <v>60.141551331225131</v>
          </cell>
          <cell r="Y309">
            <v>60.141551331225131</v>
          </cell>
          <cell r="Z309">
            <v>60.141551331225131</v>
          </cell>
          <cell r="AA309">
            <v>60.141551331225131</v>
          </cell>
          <cell r="AB309">
            <v>60.141551331225131</v>
          </cell>
          <cell r="AC309">
            <v>60.141551331225131</v>
          </cell>
          <cell r="AD309">
            <v>60.141551331225131</v>
          </cell>
          <cell r="AE309">
            <v>60.141551331225131</v>
          </cell>
          <cell r="AF309">
            <v>60.141551331225131</v>
          </cell>
        </row>
        <row r="310">
          <cell r="A310" t="str">
            <v>Washington</v>
          </cell>
          <cell r="B310">
            <v>62.9974422930636</v>
          </cell>
          <cell r="C310">
            <v>63.22120562397793</v>
          </cell>
          <cell r="D310">
            <v>65.330223332803513</v>
          </cell>
          <cell r="E310">
            <v>66.359140585431746</v>
          </cell>
          <cell r="F310">
            <v>66.392431666763954</v>
          </cell>
          <cell r="G310">
            <v>66.613438075685579</v>
          </cell>
          <cell r="H310">
            <v>66.740159623334392</v>
          </cell>
          <cell r="I310">
            <v>66.845784410415874</v>
          </cell>
          <cell r="J310">
            <v>67.377504375839266</v>
          </cell>
          <cell r="K310">
            <v>67.106579138870288</v>
          </cell>
          <cell r="L310">
            <v>65.944396155713008</v>
          </cell>
          <cell r="M310">
            <v>65.973566223972483</v>
          </cell>
          <cell r="N310">
            <v>66.172399676457445</v>
          </cell>
          <cell r="O310">
            <v>68.041136391214209</v>
          </cell>
          <cell r="P310">
            <v>68.794415441173115</v>
          </cell>
          <cell r="Q310">
            <v>68.994752460364083</v>
          </cell>
          <cell r="R310">
            <v>69.86622523500391</v>
          </cell>
          <cell r="S310">
            <v>70.315470644735669</v>
          </cell>
          <cell r="T310">
            <v>70.315470644735669</v>
          </cell>
          <cell r="U310">
            <v>70.315470644735669</v>
          </cell>
          <cell r="V310">
            <v>70.315470644735669</v>
          </cell>
          <cell r="W310">
            <v>70.315470644735669</v>
          </cell>
          <cell r="X310">
            <v>70.315470644735669</v>
          </cell>
          <cell r="Y310">
            <v>70.315470644735669</v>
          </cell>
          <cell r="Z310">
            <v>70.315470644735669</v>
          </cell>
          <cell r="AA310">
            <v>70.315470644735669</v>
          </cell>
          <cell r="AB310">
            <v>70.315470644735669</v>
          </cell>
          <cell r="AC310">
            <v>70.315470644735669</v>
          </cell>
          <cell r="AD310">
            <v>70.315470644735669</v>
          </cell>
          <cell r="AE310">
            <v>70.315470644735669</v>
          </cell>
          <cell r="AF310">
            <v>70.315470644735669</v>
          </cell>
        </row>
        <row r="311">
          <cell r="A311" t="str">
            <v>West Virginia</v>
          </cell>
          <cell r="B311">
            <v>53.550597056940568</v>
          </cell>
          <cell r="C311">
            <v>53.734474947676283</v>
          </cell>
          <cell r="D311">
            <v>55.467564146800321</v>
          </cell>
          <cell r="E311">
            <v>56.315008231068781</v>
          </cell>
          <cell r="F311">
            <v>56.343549719885743</v>
          </cell>
          <cell r="G311">
            <v>56.527776966978614</v>
          </cell>
          <cell r="H311">
            <v>56.631560389016755</v>
          </cell>
          <cell r="I311">
            <v>56.719054217876788</v>
          </cell>
          <cell r="J311">
            <v>57.155655911078505</v>
          </cell>
          <cell r="K311">
            <v>56.931794922126784</v>
          </cell>
          <cell r="L311">
            <v>55.975175338677595</v>
          </cell>
          <cell r="M311">
            <v>55.999834850264669</v>
          </cell>
          <cell r="N311">
            <v>56.16273852139647</v>
          </cell>
          <cell r="O311">
            <v>57.701275168797459</v>
          </cell>
          <cell r="P311">
            <v>58.3189982077458</v>
          </cell>
          <cell r="Q311">
            <v>58.483276067378924</v>
          </cell>
          <cell r="R311">
            <v>59.20211121863467</v>
          </cell>
          <cell r="S311">
            <v>59.572942986011277</v>
          </cell>
          <cell r="T311">
            <v>59.572942986011277</v>
          </cell>
          <cell r="U311">
            <v>59.572942986011277</v>
          </cell>
          <cell r="V311">
            <v>59.572942986011277</v>
          </cell>
          <cell r="W311">
            <v>59.572942986011277</v>
          </cell>
          <cell r="X311">
            <v>59.572942986011277</v>
          </cell>
          <cell r="Y311">
            <v>59.572942986011277</v>
          </cell>
          <cell r="Z311">
            <v>59.572942986011277</v>
          </cell>
          <cell r="AA311">
            <v>59.572942986011277</v>
          </cell>
          <cell r="AB311">
            <v>59.572942986011277</v>
          </cell>
          <cell r="AC311">
            <v>59.572942986011277</v>
          </cell>
          <cell r="AD311">
            <v>59.572942986011277</v>
          </cell>
          <cell r="AE311">
            <v>59.572942986011277</v>
          </cell>
          <cell r="AF311">
            <v>59.572942986011277</v>
          </cell>
        </row>
        <row r="312">
          <cell r="A312" t="str">
            <v>Wisconsin</v>
          </cell>
          <cell r="B312">
            <v>53.560357962734145</v>
          </cell>
          <cell r="C312">
            <v>53.744275730784814</v>
          </cell>
          <cell r="D312">
            <v>55.477740781903137</v>
          </cell>
          <cell r="E312">
            <v>56.325366644465319</v>
          </cell>
          <cell r="F312">
            <v>56.353913091900516</v>
          </cell>
          <cell r="G312">
            <v>56.538177574241757</v>
          </cell>
          <cell r="H312">
            <v>56.641983867643241</v>
          </cell>
          <cell r="I312">
            <v>56.729495947244963</v>
          </cell>
          <cell r="J312">
            <v>57.166192679051129</v>
          </cell>
          <cell r="K312">
            <v>56.942284417780648</v>
          </cell>
          <cell r="L312">
            <v>55.98545903025326</v>
          </cell>
          <cell r="M312">
            <v>56.010123173621146</v>
          </cell>
          <cell r="N312">
            <v>56.173062680690272</v>
          </cell>
          <cell r="O312">
            <v>57.711929974868355</v>
          </cell>
          <cell r="P312">
            <v>58.329788314350886</v>
          </cell>
          <cell r="Q312">
            <v>58.4941021638504</v>
          </cell>
          <cell r="R312">
            <v>59.21309040047521</v>
          </cell>
          <cell r="S312">
            <v>59.584000860453948</v>
          </cell>
          <cell r="T312">
            <v>59.584000860453948</v>
          </cell>
          <cell r="U312">
            <v>59.584000860453948</v>
          </cell>
          <cell r="V312">
            <v>59.584000860453948</v>
          </cell>
          <cell r="W312">
            <v>59.584000860453948</v>
          </cell>
          <cell r="X312">
            <v>59.584000860453948</v>
          </cell>
          <cell r="Y312">
            <v>59.584000860453948</v>
          </cell>
          <cell r="Z312">
            <v>59.584000860453948</v>
          </cell>
          <cell r="AA312">
            <v>59.584000860453948</v>
          </cell>
          <cell r="AB312">
            <v>59.584000860453948</v>
          </cell>
          <cell r="AC312">
            <v>59.584000860453948</v>
          </cell>
          <cell r="AD312">
            <v>59.584000860453948</v>
          </cell>
          <cell r="AE312">
            <v>59.584000860453948</v>
          </cell>
          <cell r="AF312">
            <v>59.584000860453948</v>
          </cell>
        </row>
        <row r="313">
          <cell r="A313" t="str">
            <v>Wyoming</v>
          </cell>
          <cell r="B313">
            <v>51.672797068572869</v>
          </cell>
          <cell r="C313">
            <v>51.849054481769549</v>
          </cell>
          <cell r="D313">
            <v>53.510319091142243</v>
          </cell>
          <cell r="E313">
            <v>54.323012152579807</v>
          </cell>
          <cell r="F313">
            <v>54.350597745451815</v>
          </cell>
          <cell r="G313">
            <v>54.527691055743603</v>
          </cell>
          <cell r="H313">
            <v>54.627106262719174</v>
          </cell>
          <cell r="I313">
            <v>54.711107521800322</v>
          </cell>
          <cell r="J313">
            <v>55.129549908936191</v>
          </cell>
          <cell r="K313">
            <v>54.914731185495825</v>
          </cell>
          <cell r="L313">
            <v>53.99745154853256</v>
          </cell>
          <cell r="M313">
            <v>54.021221100157547</v>
          </cell>
          <cell r="N313">
            <v>54.177280018678182</v>
          </cell>
          <cell r="O313">
            <v>55.652610360009476</v>
          </cell>
          <cell r="P313">
            <v>56.24448675034273</v>
          </cell>
          <cell r="Q313">
            <v>56.401889468812342</v>
          </cell>
          <cell r="R313">
            <v>57.091451345711974</v>
          </cell>
          <cell r="S313">
            <v>57.44723343305315</v>
          </cell>
          <cell r="T313">
            <v>57.44723343305315</v>
          </cell>
          <cell r="U313">
            <v>57.44723343305315</v>
          </cell>
          <cell r="V313">
            <v>57.44723343305315</v>
          </cell>
          <cell r="W313">
            <v>57.44723343305315</v>
          </cell>
          <cell r="X313">
            <v>57.44723343305315</v>
          </cell>
          <cell r="Y313">
            <v>57.44723343305315</v>
          </cell>
          <cell r="Z313">
            <v>57.44723343305315</v>
          </cell>
          <cell r="AA313">
            <v>57.44723343305315</v>
          </cell>
          <cell r="AB313">
            <v>57.44723343305315</v>
          </cell>
          <cell r="AC313">
            <v>57.44723343305315</v>
          </cell>
          <cell r="AD313">
            <v>57.44723343305315</v>
          </cell>
          <cell r="AE313">
            <v>57.44723343305315</v>
          </cell>
          <cell r="AF313">
            <v>57.44723343305315</v>
          </cell>
        </row>
        <row r="315">
          <cell r="A315" t="str">
            <v>Beef Replacements 12-24 months</v>
          </cell>
          <cell r="B315">
            <v>1990</v>
          </cell>
          <cell r="C315">
            <v>1991</v>
          </cell>
          <cell r="D315">
            <v>1992</v>
          </cell>
          <cell r="E315">
            <v>1993</v>
          </cell>
          <cell r="F315">
            <v>1994</v>
          </cell>
          <cell r="G315">
            <v>1995</v>
          </cell>
          <cell r="H315">
            <v>1996</v>
          </cell>
          <cell r="I315">
            <v>1997</v>
          </cell>
          <cell r="J315">
            <v>1998</v>
          </cell>
          <cell r="K315">
            <v>1999</v>
          </cell>
          <cell r="L315">
            <v>2000</v>
          </cell>
          <cell r="M315">
            <v>2001</v>
          </cell>
          <cell r="N315">
            <v>2002</v>
          </cell>
          <cell r="O315">
            <v>2003</v>
          </cell>
          <cell r="P315">
            <v>2004</v>
          </cell>
          <cell r="Q315">
            <v>2005</v>
          </cell>
          <cell r="R315">
            <v>2006</v>
          </cell>
          <cell r="S315">
            <v>2007</v>
          </cell>
          <cell r="T315">
            <v>2008</v>
          </cell>
          <cell r="U315">
            <v>2009</v>
          </cell>
          <cell r="V315">
            <v>2010</v>
          </cell>
          <cell r="W315">
            <v>2011</v>
          </cell>
          <cell r="X315">
            <v>2012</v>
          </cell>
          <cell r="Y315">
            <v>2013</v>
          </cell>
          <cell r="Z315">
            <v>2014</v>
          </cell>
          <cell r="AA315">
            <v>2015</v>
          </cell>
          <cell r="AB315">
            <v>2016</v>
          </cell>
          <cell r="AC315">
            <v>2017</v>
          </cell>
          <cell r="AD315">
            <v>2018</v>
          </cell>
          <cell r="AE315">
            <v>2019</v>
          </cell>
          <cell r="AF315">
            <v>2020</v>
          </cell>
        </row>
        <row r="316">
          <cell r="A316" t="str">
            <v>Alabama</v>
          </cell>
          <cell r="B316">
            <v>63.197269762837465</v>
          </cell>
          <cell r="C316">
            <v>63.397557183067498</v>
          </cell>
          <cell r="D316">
            <v>65.31049003178758</v>
          </cell>
          <cell r="E316">
            <v>66.216221568608063</v>
          </cell>
          <cell r="F316">
            <v>66.158959110799984</v>
          </cell>
          <cell r="G316">
            <v>66.252332471469856</v>
          </cell>
          <cell r="H316">
            <v>66.357717679213323</v>
          </cell>
          <cell r="I316">
            <v>66.458143614065307</v>
          </cell>
          <cell r="J316">
            <v>66.960603649985615</v>
          </cell>
          <cell r="K316">
            <v>66.762086059268711</v>
          </cell>
          <cell r="L316">
            <v>65.760407407916418</v>
          </cell>
          <cell r="M316">
            <v>65.759078976299492</v>
          </cell>
          <cell r="N316">
            <v>65.961803555832049</v>
          </cell>
          <cell r="O316">
            <v>67.56266026186961</v>
          </cell>
          <cell r="P316">
            <v>68.322469943021986</v>
          </cell>
          <cell r="Q316">
            <v>68.522962400365998</v>
          </cell>
          <cell r="R316">
            <v>69.215847503029266</v>
          </cell>
          <cell r="S316">
            <v>69.560739004948687</v>
          </cell>
          <cell r="T316">
            <v>69.560739004948687</v>
          </cell>
          <cell r="U316">
            <v>69.560739004948687</v>
          </cell>
          <cell r="V316">
            <v>69.560739004948687</v>
          </cell>
          <cell r="W316">
            <v>69.560739004948687</v>
          </cell>
          <cell r="X316">
            <v>69.560739004948687</v>
          </cell>
          <cell r="Y316">
            <v>69.560739004948687</v>
          </cell>
          <cell r="Z316">
            <v>69.560739004948687</v>
          </cell>
          <cell r="AA316">
            <v>69.560739004948687</v>
          </cell>
          <cell r="AB316">
            <v>69.560739004948687</v>
          </cell>
          <cell r="AC316">
            <v>69.560739004948687</v>
          </cell>
          <cell r="AD316">
            <v>69.560739004948687</v>
          </cell>
          <cell r="AE316">
            <v>69.560739004948687</v>
          </cell>
          <cell r="AF316">
            <v>69.560739004948687</v>
          </cell>
        </row>
        <row r="317">
          <cell r="A317" t="str">
            <v>Alaska</v>
          </cell>
          <cell r="B317">
            <v>72.942083064329125</v>
          </cell>
          <cell r="C317">
            <v>73.176901027629597</v>
          </cell>
          <cell r="D317">
            <v>75.416845986483096</v>
          </cell>
          <cell r="E317">
            <v>76.474507156326808</v>
          </cell>
          <cell r="F317">
            <v>76.408998582610906</v>
          </cell>
          <cell r="G317">
            <v>76.517648819091562</v>
          </cell>
          <cell r="H317">
            <v>76.642592027507263</v>
          </cell>
          <cell r="I317">
            <v>76.757069821609889</v>
          </cell>
          <cell r="J317">
            <v>77.344550680465701</v>
          </cell>
          <cell r="K317">
            <v>77.113939793180023</v>
          </cell>
          <cell r="L317">
            <v>75.942138811257024</v>
          </cell>
          <cell r="M317">
            <v>75.940016790413026</v>
          </cell>
          <cell r="N317">
            <v>76.177275179659418</v>
          </cell>
          <cell r="O317">
            <v>78.051001764719587</v>
          </cell>
          <cell r="P317">
            <v>78.941383918795424</v>
          </cell>
          <cell r="Q317">
            <v>79.175995470229964</v>
          </cell>
          <cell r="R317">
            <v>79.987003717027079</v>
          </cell>
          <cell r="S317">
            <v>80.389860026063758</v>
          </cell>
          <cell r="T317">
            <v>80.389860026063758</v>
          </cell>
          <cell r="U317">
            <v>80.389860026063758</v>
          </cell>
          <cell r="V317">
            <v>80.389860026063758</v>
          </cell>
          <cell r="W317">
            <v>80.389860026063758</v>
          </cell>
          <cell r="X317">
            <v>80.389860026063758</v>
          </cell>
          <cell r="Y317">
            <v>80.389860026063758</v>
          </cell>
          <cell r="Z317">
            <v>80.389860026063758</v>
          </cell>
          <cell r="AA317">
            <v>80.389860026063758</v>
          </cell>
          <cell r="AB317">
            <v>80.389860026063758</v>
          </cell>
          <cell r="AC317">
            <v>80.389860026063758</v>
          </cell>
          <cell r="AD317">
            <v>80.389860026063758</v>
          </cell>
          <cell r="AE317">
            <v>80.389860026063758</v>
          </cell>
          <cell r="AF317">
            <v>80.389860026063758</v>
          </cell>
        </row>
        <row r="318">
          <cell r="A318" t="str">
            <v>Arizona</v>
          </cell>
          <cell r="B318">
            <v>72.94208306432914</v>
          </cell>
          <cell r="C318">
            <v>73.176901027629569</v>
          </cell>
          <cell r="D318">
            <v>75.416845986483082</v>
          </cell>
          <cell r="E318">
            <v>76.474507156326823</v>
          </cell>
          <cell r="F318">
            <v>76.408998582610892</v>
          </cell>
          <cell r="G318">
            <v>76.51764881909159</v>
          </cell>
          <cell r="H318">
            <v>76.642592027507234</v>
          </cell>
          <cell r="I318">
            <v>76.757069821609903</v>
          </cell>
          <cell r="J318">
            <v>77.344550680465701</v>
          </cell>
          <cell r="K318">
            <v>77.113939793180009</v>
          </cell>
          <cell r="L318">
            <v>75.942138811257038</v>
          </cell>
          <cell r="M318">
            <v>75.94001679041304</v>
          </cell>
          <cell r="N318">
            <v>76.177275179659432</v>
          </cell>
          <cell r="O318">
            <v>78.051001764719587</v>
          </cell>
          <cell r="P318">
            <v>78.941383918795424</v>
          </cell>
          <cell r="Q318">
            <v>79.175995470229978</v>
          </cell>
          <cell r="R318">
            <v>79.987003717027093</v>
          </cell>
          <cell r="S318">
            <v>80.389860026063729</v>
          </cell>
          <cell r="T318">
            <v>80.389860026063729</v>
          </cell>
          <cell r="U318">
            <v>80.389860026063729</v>
          </cell>
          <cell r="V318">
            <v>80.389860026063729</v>
          </cell>
          <cell r="W318">
            <v>80.389860026063729</v>
          </cell>
          <cell r="X318">
            <v>80.389860026063729</v>
          </cell>
          <cell r="Y318">
            <v>80.389860026063729</v>
          </cell>
          <cell r="Z318">
            <v>80.389860026063729</v>
          </cell>
          <cell r="AA318">
            <v>80.389860026063729</v>
          </cell>
          <cell r="AB318">
            <v>80.389860026063729</v>
          </cell>
          <cell r="AC318">
            <v>80.389860026063729</v>
          </cell>
          <cell r="AD318">
            <v>80.389860026063729</v>
          </cell>
          <cell r="AE318">
            <v>80.389860026063729</v>
          </cell>
          <cell r="AF318">
            <v>80.389860026063729</v>
          </cell>
        </row>
        <row r="319">
          <cell r="A319" t="str">
            <v>Arkansas</v>
          </cell>
          <cell r="B319">
            <v>63.096581635161314</v>
          </cell>
          <cell r="C319">
            <v>63.296518887687029</v>
          </cell>
          <cell r="D319">
            <v>65.206131044658335</v>
          </cell>
          <cell r="E319">
            <v>66.110315037131869</v>
          </cell>
          <cell r="F319">
            <v>66.05313884128212</v>
          </cell>
          <cell r="G319">
            <v>66.146355949155577</v>
          </cell>
          <cell r="H319">
            <v>66.251545077637786</v>
          </cell>
          <cell r="I319">
            <v>66.351823220284444</v>
          </cell>
          <cell r="J319">
            <v>66.853418469645604</v>
          </cell>
          <cell r="K319">
            <v>66.655229791812488</v>
          </cell>
          <cell r="L319">
            <v>65.655280493721449</v>
          </cell>
          <cell r="M319">
            <v>65.653959193352719</v>
          </cell>
          <cell r="N319">
            <v>65.856332895327526</v>
          </cell>
          <cell r="O319">
            <v>67.454417405868767</v>
          </cell>
          <cell r="P319">
            <v>68.212902290513384</v>
          </cell>
          <cell r="Q319">
            <v>68.413048027340494</v>
          </cell>
          <cell r="R319">
            <v>69.104733100732844</v>
          </cell>
          <cell r="S319">
            <v>69.449034363899415</v>
          </cell>
          <cell r="T319">
            <v>69.449034363899415</v>
          </cell>
          <cell r="U319">
            <v>69.449034363899415</v>
          </cell>
          <cell r="V319">
            <v>69.449034363899415</v>
          </cell>
          <cell r="W319">
            <v>69.449034363899415</v>
          </cell>
          <cell r="X319">
            <v>69.449034363899415</v>
          </cell>
          <cell r="Y319">
            <v>69.449034363899415</v>
          </cell>
          <cell r="Z319">
            <v>69.449034363899415</v>
          </cell>
          <cell r="AA319">
            <v>69.449034363899415</v>
          </cell>
          <cell r="AB319">
            <v>69.449034363899415</v>
          </cell>
          <cell r="AC319">
            <v>69.449034363899415</v>
          </cell>
          <cell r="AD319">
            <v>69.449034363899415</v>
          </cell>
          <cell r="AE319">
            <v>69.449034363899415</v>
          </cell>
          <cell r="AF319">
            <v>69.449034363899415</v>
          </cell>
        </row>
        <row r="320">
          <cell r="A320" t="str">
            <v>California</v>
          </cell>
          <cell r="B320">
            <v>62.373555884066704</v>
          </cell>
          <cell r="C320">
            <v>62.570982508797037</v>
          </cell>
          <cell r="D320">
            <v>64.456783317318497</v>
          </cell>
          <cell r="E320">
            <v>65.349867660885195</v>
          </cell>
          <cell r="F320">
            <v>65.293311518292001</v>
          </cell>
          <cell r="G320">
            <v>65.385407532436346</v>
          </cell>
          <cell r="H320">
            <v>65.489192158371665</v>
          </cell>
          <cell r="I320">
            <v>65.588407506278699</v>
          </cell>
          <cell r="J320">
            <v>66.08380086672851</v>
          </cell>
          <cell r="K320">
            <v>65.887972487036038</v>
          </cell>
          <cell r="L320">
            <v>64.90042477168646</v>
          </cell>
          <cell r="M320">
            <v>64.899154054620482</v>
          </cell>
          <cell r="N320">
            <v>65.099011635929827</v>
          </cell>
          <cell r="O320">
            <v>66.677217071472214</v>
          </cell>
          <cell r="P320">
            <v>67.426203038802058</v>
          </cell>
          <cell r="Q320">
            <v>67.623862431144445</v>
          </cell>
          <cell r="R320">
            <v>68.306942260105245</v>
          </cell>
          <cell r="S320">
            <v>68.647010189628176</v>
          </cell>
          <cell r="T320">
            <v>68.647010189628176</v>
          </cell>
          <cell r="U320">
            <v>68.647010189628176</v>
          </cell>
          <cell r="V320">
            <v>68.647010189628176</v>
          </cell>
          <cell r="W320">
            <v>68.647010189628176</v>
          </cell>
          <cell r="X320">
            <v>68.647010189628176</v>
          </cell>
          <cell r="Y320">
            <v>68.647010189628176</v>
          </cell>
          <cell r="Z320">
            <v>68.647010189628176</v>
          </cell>
          <cell r="AA320">
            <v>68.647010189628176</v>
          </cell>
          <cell r="AB320">
            <v>68.647010189628176</v>
          </cell>
          <cell r="AC320">
            <v>68.647010189628176</v>
          </cell>
          <cell r="AD320">
            <v>68.647010189628176</v>
          </cell>
          <cell r="AE320">
            <v>68.647010189628176</v>
          </cell>
          <cell r="AF320">
            <v>68.647010189628176</v>
          </cell>
        </row>
        <row r="321">
          <cell r="A321" t="str">
            <v>Colorado</v>
          </cell>
          <cell r="B321">
            <v>60.565482253963445</v>
          </cell>
          <cell r="C321">
            <v>60.75666013399352</v>
          </cell>
          <cell r="D321">
            <v>62.583175826799085</v>
          </cell>
          <cell r="E321">
            <v>63.448602787063642</v>
          </cell>
          <cell r="F321">
            <v>63.393601949792654</v>
          </cell>
          <cell r="G321">
            <v>63.482901572826719</v>
          </cell>
          <cell r="H321">
            <v>63.583200795966711</v>
          </cell>
          <cell r="I321">
            <v>63.679746776167157</v>
          </cell>
          <cell r="J321">
            <v>64.159692255914408</v>
          </cell>
          <cell r="K321">
            <v>63.969754253800716</v>
          </cell>
          <cell r="L321">
            <v>63.01309210004343</v>
          </cell>
          <cell r="M321">
            <v>63.011943099366832</v>
          </cell>
          <cell r="N321">
            <v>63.205535176937758</v>
          </cell>
          <cell r="O321">
            <v>64.734240090866152</v>
          </cell>
          <cell r="P321">
            <v>65.459580910549747</v>
          </cell>
          <cell r="Q321">
            <v>65.651048688254576</v>
          </cell>
          <cell r="R321">
            <v>66.312700898831167</v>
          </cell>
          <cell r="S321">
            <v>66.642221330285807</v>
          </cell>
          <cell r="T321">
            <v>66.642221330285807</v>
          </cell>
          <cell r="U321">
            <v>66.642221330285807</v>
          </cell>
          <cell r="V321">
            <v>66.642221330285807</v>
          </cell>
          <cell r="W321">
            <v>66.642221330285807</v>
          </cell>
          <cell r="X321">
            <v>66.642221330285807</v>
          </cell>
          <cell r="Y321">
            <v>66.642221330285807</v>
          </cell>
          <cell r="Z321">
            <v>66.642221330285807</v>
          </cell>
          <cell r="AA321">
            <v>66.642221330285807</v>
          </cell>
          <cell r="AB321">
            <v>66.642221330285807</v>
          </cell>
          <cell r="AC321">
            <v>66.642221330285807</v>
          </cell>
          <cell r="AD321">
            <v>66.642221330285807</v>
          </cell>
          <cell r="AE321">
            <v>66.642221330285807</v>
          </cell>
          <cell r="AF321">
            <v>66.642221330285807</v>
          </cell>
        </row>
        <row r="322">
          <cell r="A322" t="str">
            <v>Connecticut</v>
          </cell>
          <cell r="B322">
            <v>62.643653381256662</v>
          </cell>
          <cell r="C322">
            <v>62.8420170946426</v>
          </cell>
          <cell r="D322">
            <v>64.736706013666236</v>
          </cell>
          <cell r="E322">
            <v>65.633934127757698</v>
          </cell>
          <cell r="F322">
            <v>65.577146227371529</v>
          </cell>
          <cell r="G322">
            <v>65.669660851785594</v>
          </cell>
          <cell r="H322">
            <v>65.773969430030093</v>
          </cell>
          <cell r="I322">
            <v>65.873582114045917</v>
          </cell>
          <cell r="J322">
            <v>66.371290641332735</v>
          </cell>
          <cell r="K322">
            <v>66.174580858940956</v>
          </cell>
          <cell r="L322">
            <v>65.18240375652519</v>
          </cell>
          <cell r="M322">
            <v>65.181114271680968</v>
          </cell>
          <cell r="N322">
            <v>65.381911074838911</v>
          </cell>
          <cell r="O322">
            <v>66.967536972211107</v>
          </cell>
          <cell r="P322">
            <v>67.720068482533151</v>
          </cell>
          <cell r="Q322">
            <v>67.918655988751212</v>
          </cell>
          <cell r="R322">
            <v>68.604947979802617</v>
          </cell>
          <cell r="S322">
            <v>68.946596293581848</v>
          </cell>
          <cell r="T322">
            <v>68.946596293581848</v>
          </cell>
          <cell r="U322">
            <v>68.946596293581848</v>
          </cell>
          <cell r="V322">
            <v>68.946596293581848</v>
          </cell>
          <cell r="W322">
            <v>68.946596293581848</v>
          </cell>
          <cell r="X322">
            <v>68.946596293581848</v>
          </cell>
          <cell r="Y322">
            <v>68.946596293581848</v>
          </cell>
          <cell r="Z322">
            <v>68.946596293581848</v>
          </cell>
          <cell r="AA322">
            <v>68.946596293581848</v>
          </cell>
          <cell r="AB322">
            <v>68.946596293581848</v>
          </cell>
          <cell r="AC322">
            <v>68.946596293581848</v>
          </cell>
          <cell r="AD322">
            <v>68.946596293581848</v>
          </cell>
          <cell r="AE322">
            <v>68.946596293581848</v>
          </cell>
          <cell r="AF322">
            <v>68.946596293581848</v>
          </cell>
        </row>
        <row r="323">
          <cell r="A323" t="str">
            <v>Delaware</v>
          </cell>
          <cell r="B323">
            <v>62.643653381256662</v>
          </cell>
          <cell r="C323">
            <v>62.8420170946426</v>
          </cell>
          <cell r="D323">
            <v>64.736706013666236</v>
          </cell>
          <cell r="E323">
            <v>65.633934127757698</v>
          </cell>
          <cell r="F323">
            <v>65.577146227371529</v>
          </cell>
          <cell r="G323">
            <v>65.669660851785594</v>
          </cell>
          <cell r="H323">
            <v>65.773969430030093</v>
          </cell>
          <cell r="I323">
            <v>65.873582114045917</v>
          </cell>
          <cell r="J323">
            <v>66.371290641332735</v>
          </cell>
          <cell r="K323">
            <v>66.174580858940942</v>
          </cell>
          <cell r="L323">
            <v>65.18240375652519</v>
          </cell>
          <cell r="M323">
            <v>65.181114271680968</v>
          </cell>
          <cell r="N323">
            <v>65.381911074838897</v>
          </cell>
          <cell r="O323">
            <v>66.967536972211121</v>
          </cell>
          <cell r="P323">
            <v>67.720068482533165</v>
          </cell>
          <cell r="Q323">
            <v>67.918655988751198</v>
          </cell>
          <cell r="R323">
            <v>68.604947979802617</v>
          </cell>
          <cell r="S323">
            <v>68.946596293581862</v>
          </cell>
          <cell r="T323">
            <v>68.946596293581862</v>
          </cell>
          <cell r="U323">
            <v>68.946596293581862</v>
          </cell>
          <cell r="V323">
            <v>68.946596293581862</v>
          </cell>
          <cell r="W323">
            <v>68.946596293581862</v>
          </cell>
          <cell r="X323">
            <v>68.946596293581862</v>
          </cell>
          <cell r="Y323">
            <v>68.946596293581862</v>
          </cell>
          <cell r="Z323">
            <v>68.946596293581862</v>
          </cell>
          <cell r="AA323">
            <v>68.946596293581862</v>
          </cell>
          <cell r="AB323">
            <v>68.946596293581862</v>
          </cell>
          <cell r="AC323">
            <v>68.946596293581862</v>
          </cell>
          <cell r="AD323">
            <v>68.946596293581862</v>
          </cell>
          <cell r="AE323">
            <v>68.946596293581862</v>
          </cell>
          <cell r="AF323">
            <v>68.946596293581862</v>
          </cell>
        </row>
        <row r="324">
          <cell r="A324" t="str">
            <v>Florida</v>
          </cell>
          <cell r="B324">
            <v>63.197269762837479</v>
          </cell>
          <cell r="C324">
            <v>63.397557183067519</v>
          </cell>
          <cell r="D324">
            <v>65.310490031787566</v>
          </cell>
          <cell r="E324">
            <v>66.216221568608063</v>
          </cell>
          <cell r="F324">
            <v>66.158959110799984</v>
          </cell>
          <cell r="G324">
            <v>66.25233247146987</v>
          </cell>
          <cell r="H324">
            <v>66.357717679213323</v>
          </cell>
          <cell r="I324">
            <v>66.458143614065307</v>
          </cell>
          <cell r="J324">
            <v>66.960603649985615</v>
          </cell>
          <cell r="K324">
            <v>66.762086059268711</v>
          </cell>
          <cell r="L324">
            <v>65.760407407916418</v>
          </cell>
          <cell r="M324">
            <v>65.759078976299492</v>
          </cell>
          <cell r="N324">
            <v>65.961803555832049</v>
          </cell>
          <cell r="O324">
            <v>67.562660261869581</v>
          </cell>
          <cell r="P324">
            <v>68.322469943021957</v>
          </cell>
          <cell r="Q324">
            <v>68.522962400365984</v>
          </cell>
          <cell r="R324">
            <v>69.215847503029281</v>
          </cell>
          <cell r="S324">
            <v>69.560739004948658</v>
          </cell>
          <cell r="T324">
            <v>69.560739004948658</v>
          </cell>
          <cell r="U324">
            <v>69.560739004948658</v>
          </cell>
          <cell r="V324">
            <v>69.560739004948658</v>
          </cell>
          <cell r="W324">
            <v>69.560739004948658</v>
          </cell>
          <cell r="X324">
            <v>69.560739004948658</v>
          </cell>
          <cell r="Y324">
            <v>69.560739004948658</v>
          </cell>
          <cell r="Z324">
            <v>69.560739004948658</v>
          </cell>
          <cell r="AA324">
            <v>69.560739004948658</v>
          </cell>
          <cell r="AB324">
            <v>69.560739004948658</v>
          </cell>
          <cell r="AC324">
            <v>69.560739004948658</v>
          </cell>
          <cell r="AD324">
            <v>69.560739004948658</v>
          </cell>
          <cell r="AE324">
            <v>69.560739004948658</v>
          </cell>
          <cell r="AF324">
            <v>69.560739004948658</v>
          </cell>
        </row>
        <row r="325">
          <cell r="A325" t="str">
            <v>Georgia</v>
          </cell>
          <cell r="B325">
            <v>63.197269762837479</v>
          </cell>
          <cell r="C325">
            <v>63.397557183067519</v>
          </cell>
          <cell r="D325">
            <v>65.310490031787566</v>
          </cell>
          <cell r="E325">
            <v>66.216221568608077</v>
          </cell>
          <cell r="F325">
            <v>66.158959110799984</v>
          </cell>
          <cell r="G325">
            <v>66.252332471469856</v>
          </cell>
          <cell r="H325">
            <v>66.357717679213323</v>
          </cell>
          <cell r="I325">
            <v>66.458143614065321</v>
          </cell>
          <cell r="J325">
            <v>66.960603649985615</v>
          </cell>
          <cell r="K325">
            <v>66.762086059268711</v>
          </cell>
          <cell r="L325">
            <v>65.760407407916432</v>
          </cell>
          <cell r="M325">
            <v>65.759078976299492</v>
          </cell>
          <cell r="N325">
            <v>65.961803555832063</v>
          </cell>
          <cell r="O325">
            <v>67.562660261869596</v>
          </cell>
          <cell r="P325">
            <v>68.322469943021972</v>
          </cell>
          <cell r="Q325">
            <v>68.522962400365984</v>
          </cell>
          <cell r="R325">
            <v>69.215847503029252</v>
          </cell>
          <cell r="S325">
            <v>69.560739004948672</v>
          </cell>
          <cell r="T325">
            <v>69.560739004948672</v>
          </cell>
          <cell r="U325">
            <v>69.560739004948672</v>
          </cell>
          <cell r="V325">
            <v>69.560739004948672</v>
          </cell>
          <cell r="W325">
            <v>69.560739004948672</v>
          </cell>
          <cell r="X325">
            <v>69.560739004948672</v>
          </cell>
          <cell r="Y325">
            <v>69.560739004948672</v>
          </cell>
          <cell r="Z325">
            <v>69.560739004948672</v>
          </cell>
          <cell r="AA325">
            <v>69.560739004948672</v>
          </cell>
          <cell r="AB325">
            <v>69.560739004948672</v>
          </cell>
          <cell r="AC325">
            <v>69.560739004948672</v>
          </cell>
          <cell r="AD325">
            <v>69.560739004948672</v>
          </cell>
          <cell r="AE325">
            <v>69.560739004948672</v>
          </cell>
          <cell r="AF325">
            <v>69.560739004948672</v>
          </cell>
        </row>
        <row r="326">
          <cell r="A326" t="str">
            <v>Hawaii</v>
          </cell>
          <cell r="B326">
            <v>72.942083064329125</v>
          </cell>
          <cell r="C326">
            <v>73.176901027629569</v>
          </cell>
          <cell r="D326">
            <v>75.416845986483111</v>
          </cell>
          <cell r="E326">
            <v>76.474507156326808</v>
          </cell>
          <cell r="F326">
            <v>76.40899858261092</v>
          </cell>
          <cell r="G326">
            <v>76.51764881909159</v>
          </cell>
          <cell r="H326">
            <v>76.642592027507249</v>
          </cell>
          <cell r="I326">
            <v>76.757069821609917</v>
          </cell>
          <cell r="J326">
            <v>77.344550680465701</v>
          </cell>
          <cell r="K326">
            <v>77.113939793180023</v>
          </cell>
          <cell r="L326">
            <v>75.94213881125701</v>
          </cell>
          <cell r="M326">
            <v>75.940016790413026</v>
          </cell>
          <cell r="N326">
            <v>76.177275179659418</v>
          </cell>
          <cell r="O326">
            <v>78.051001764719587</v>
          </cell>
          <cell r="P326">
            <v>78.941383918795424</v>
          </cell>
          <cell r="Q326">
            <v>79.17599547022995</v>
          </cell>
          <cell r="R326">
            <v>79.987003717027093</v>
          </cell>
          <cell r="S326">
            <v>80.389860026063758</v>
          </cell>
          <cell r="T326">
            <v>80.389860026063758</v>
          </cell>
          <cell r="U326">
            <v>80.389860026063758</v>
          </cell>
          <cell r="V326">
            <v>80.389860026063758</v>
          </cell>
          <cell r="W326">
            <v>80.389860026063758</v>
          </cell>
          <cell r="X326">
            <v>80.389860026063758</v>
          </cell>
          <cell r="Y326">
            <v>80.389860026063758</v>
          </cell>
          <cell r="Z326">
            <v>80.389860026063758</v>
          </cell>
          <cell r="AA326">
            <v>80.389860026063758</v>
          </cell>
          <cell r="AB326">
            <v>80.389860026063758</v>
          </cell>
          <cell r="AC326">
            <v>80.389860026063758</v>
          </cell>
          <cell r="AD326">
            <v>80.389860026063758</v>
          </cell>
          <cell r="AE326">
            <v>80.389860026063758</v>
          </cell>
          <cell r="AF326">
            <v>80.389860026063758</v>
          </cell>
        </row>
        <row r="327">
          <cell r="A327" t="str">
            <v>Idaho</v>
          </cell>
          <cell r="B327">
            <v>72.942083064329125</v>
          </cell>
          <cell r="C327">
            <v>73.176901027629569</v>
          </cell>
          <cell r="D327">
            <v>75.416845986483096</v>
          </cell>
          <cell r="E327">
            <v>76.474507156326823</v>
          </cell>
          <cell r="F327">
            <v>76.408998582610892</v>
          </cell>
          <cell r="G327">
            <v>76.517648819091562</v>
          </cell>
          <cell r="H327">
            <v>76.642592027507234</v>
          </cell>
          <cell r="I327">
            <v>76.757069821609889</v>
          </cell>
          <cell r="J327">
            <v>77.344550680465701</v>
          </cell>
          <cell r="K327">
            <v>77.113939793180023</v>
          </cell>
          <cell r="L327">
            <v>75.942138811257024</v>
          </cell>
          <cell r="M327">
            <v>75.940016790413011</v>
          </cell>
          <cell r="N327">
            <v>76.177275179659418</v>
          </cell>
          <cell r="O327">
            <v>78.051001764719587</v>
          </cell>
          <cell r="P327">
            <v>78.941383918795438</v>
          </cell>
          <cell r="Q327">
            <v>79.175995470229964</v>
          </cell>
          <cell r="R327">
            <v>79.987003717027079</v>
          </cell>
          <cell r="S327">
            <v>80.389860026063744</v>
          </cell>
          <cell r="T327">
            <v>80.389860026063744</v>
          </cell>
          <cell r="U327">
            <v>80.389860026063744</v>
          </cell>
          <cell r="V327">
            <v>80.389860026063744</v>
          </cell>
          <cell r="W327">
            <v>80.389860026063744</v>
          </cell>
          <cell r="X327">
            <v>80.389860026063744</v>
          </cell>
          <cell r="Y327">
            <v>80.389860026063744</v>
          </cell>
          <cell r="Z327">
            <v>80.389860026063744</v>
          </cell>
          <cell r="AA327">
            <v>80.389860026063744</v>
          </cell>
          <cell r="AB327">
            <v>80.389860026063744</v>
          </cell>
          <cell r="AC327">
            <v>80.389860026063744</v>
          </cell>
          <cell r="AD327">
            <v>80.389860026063744</v>
          </cell>
          <cell r="AE327">
            <v>80.389860026063744</v>
          </cell>
          <cell r="AF327">
            <v>80.389860026063744</v>
          </cell>
        </row>
        <row r="328">
          <cell r="A328" t="str">
            <v>Illinois</v>
          </cell>
          <cell r="B328">
            <v>62.654428984173279</v>
          </cell>
          <cell r="C328">
            <v>62.852830102022928</v>
          </cell>
          <cell r="D328">
            <v>64.747873782055379</v>
          </cell>
          <cell r="E328">
            <v>65.645267277072506</v>
          </cell>
          <cell r="F328">
            <v>65.588470133710047</v>
          </cell>
          <cell r="G328">
            <v>65.681001463280666</v>
          </cell>
          <cell r="H328">
            <v>65.785330962043119</v>
          </cell>
          <cell r="I328">
            <v>65.884959490371415</v>
          </cell>
          <cell r="J328">
            <v>66.382760421271527</v>
          </cell>
          <cell r="K328">
            <v>66.186015467351197</v>
          </cell>
          <cell r="L328">
            <v>65.193653592434927</v>
          </cell>
          <cell r="M328">
            <v>65.192363355763575</v>
          </cell>
          <cell r="N328">
            <v>65.393197646539122</v>
          </cell>
          <cell r="O328">
            <v>66.979119721210694</v>
          </cell>
          <cell r="P328">
            <v>67.731792752017412</v>
          </cell>
          <cell r="Q328">
            <v>67.930417302328649</v>
          </cell>
          <cell r="R328">
            <v>68.616837502405716</v>
          </cell>
          <cell r="S328">
            <v>68.958548891028627</v>
          </cell>
          <cell r="T328">
            <v>68.958548891028627</v>
          </cell>
          <cell r="U328">
            <v>68.958548891028627</v>
          </cell>
          <cell r="V328">
            <v>68.958548891028627</v>
          </cell>
          <cell r="W328">
            <v>68.958548891028627</v>
          </cell>
          <cell r="X328">
            <v>68.958548891028627</v>
          </cell>
          <cell r="Y328">
            <v>68.958548891028627</v>
          </cell>
          <cell r="Z328">
            <v>68.958548891028627</v>
          </cell>
          <cell r="AA328">
            <v>68.958548891028627</v>
          </cell>
          <cell r="AB328">
            <v>68.958548891028627</v>
          </cell>
          <cell r="AC328">
            <v>68.958548891028627</v>
          </cell>
          <cell r="AD328">
            <v>68.958548891028627</v>
          </cell>
          <cell r="AE328">
            <v>68.958548891028627</v>
          </cell>
          <cell r="AF328">
            <v>68.958548891028627</v>
          </cell>
        </row>
        <row r="329">
          <cell r="A329" t="str">
            <v>Indiana</v>
          </cell>
          <cell r="B329">
            <v>62.654428984173286</v>
          </cell>
          <cell r="C329">
            <v>62.852830102022921</v>
          </cell>
          <cell r="D329">
            <v>64.747873782055393</v>
          </cell>
          <cell r="E329">
            <v>65.645267277072492</v>
          </cell>
          <cell r="F329">
            <v>65.588470133710032</v>
          </cell>
          <cell r="G329">
            <v>65.68100146328068</v>
          </cell>
          <cell r="H329">
            <v>65.785330962043119</v>
          </cell>
          <cell r="I329">
            <v>65.884959490371401</v>
          </cell>
          <cell r="J329">
            <v>66.382760421271541</v>
          </cell>
          <cell r="K329">
            <v>66.186015467351211</v>
          </cell>
          <cell r="L329">
            <v>65.193653592434927</v>
          </cell>
          <cell r="M329">
            <v>65.192363355763575</v>
          </cell>
          <cell r="N329">
            <v>65.393197646539093</v>
          </cell>
          <cell r="O329">
            <v>66.979119721210679</v>
          </cell>
          <cell r="P329">
            <v>67.731792752017412</v>
          </cell>
          <cell r="Q329">
            <v>67.930417302328649</v>
          </cell>
          <cell r="R329">
            <v>68.616837502405701</v>
          </cell>
          <cell r="S329">
            <v>68.958548891028613</v>
          </cell>
          <cell r="T329">
            <v>68.958548891028613</v>
          </cell>
          <cell r="U329">
            <v>68.958548891028613</v>
          </cell>
          <cell r="V329">
            <v>68.958548891028613</v>
          </cell>
          <cell r="W329">
            <v>68.958548891028613</v>
          </cell>
          <cell r="X329">
            <v>68.958548891028613</v>
          </cell>
          <cell r="Y329">
            <v>68.958548891028613</v>
          </cell>
          <cell r="Z329">
            <v>68.958548891028613</v>
          </cell>
          <cell r="AA329">
            <v>68.958548891028613</v>
          </cell>
          <cell r="AB329">
            <v>68.958548891028613</v>
          </cell>
          <cell r="AC329">
            <v>68.958548891028613</v>
          </cell>
          <cell r="AD329">
            <v>68.958548891028613</v>
          </cell>
          <cell r="AE329">
            <v>68.958548891028613</v>
          </cell>
          <cell r="AF329">
            <v>68.958548891028613</v>
          </cell>
        </row>
        <row r="330">
          <cell r="A330" t="str">
            <v>Iowa</v>
          </cell>
          <cell r="B330">
            <v>62.654428984173272</v>
          </cell>
          <cell r="C330">
            <v>62.852830102022935</v>
          </cell>
          <cell r="D330">
            <v>64.747873782055407</v>
          </cell>
          <cell r="E330">
            <v>65.645267277072506</v>
          </cell>
          <cell r="F330">
            <v>65.588470133710047</v>
          </cell>
          <cell r="G330">
            <v>65.68100146328068</v>
          </cell>
          <cell r="H330">
            <v>65.785330962043119</v>
          </cell>
          <cell r="I330">
            <v>65.884959490371415</v>
          </cell>
          <cell r="J330">
            <v>66.382760421271527</v>
          </cell>
          <cell r="K330">
            <v>66.186015467351197</v>
          </cell>
          <cell r="L330">
            <v>65.193653592434941</v>
          </cell>
          <cell r="M330">
            <v>65.192363355763575</v>
          </cell>
          <cell r="N330">
            <v>65.393197646539122</v>
          </cell>
          <cell r="O330">
            <v>66.979119721210665</v>
          </cell>
          <cell r="P330">
            <v>67.731792752017412</v>
          </cell>
          <cell r="Q330">
            <v>67.930417302328635</v>
          </cell>
          <cell r="R330">
            <v>68.616837502405716</v>
          </cell>
          <cell r="S330">
            <v>68.958548891028641</v>
          </cell>
          <cell r="T330">
            <v>68.958548891028641</v>
          </cell>
          <cell r="U330">
            <v>68.958548891028641</v>
          </cell>
          <cell r="V330">
            <v>68.958548891028641</v>
          </cell>
          <cell r="W330">
            <v>68.958548891028641</v>
          </cell>
          <cell r="X330">
            <v>68.958548891028641</v>
          </cell>
          <cell r="Y330">
            <v>68.958548891028641</v>
          </cell>
          <cell r="Z330">
            <v>68.958548891028641</v>
          </cell>
          <cell r="AA330">
            <v>68.958548891028641</v>
          </cell>
          <cell r="AB330">
            <v>68.958548891028641</v>
          </cell>
          <cell r="AC330">
            <v>68.958548891028641</v>
          </cell>
          <cell r="AD330">
            <v>68.958548891028641</v>
          </cell>
          <cell r="AE330">
            <v>68.958548891028641</v>
          </cell>
          <cell r="AF330">
            <v>68.958548891028641</v>
          </cell>
        </row>
        <row r="331">
          <cell r="A331" t="str">
            <v>Kansas</v>
          </cell>
          <cell r="B331">
            <v>60.565482253963424</v>
          </cell>
          <cell r="C331">
            <v>60.756660133993513</v>
          </cell>
          <cell r="D331">
            <v>62.583175826799064</v>
          </cell>
          <cell r="E331">
            <v>63.448602787063656</v>
          </cell>
          <cell r="F331">
            <v>63.393601949792647</v>
          </cell>
          <cell r="G331">
            <v>63.482901572826712</v>
          </cell>
          <cell r="H331">
            <v>63.583200795966718</v>
          </cell>
          <cell r="I331">
            <v>63.679746776167171</v>
          </cell>
          <cell r="J331">
            <v>64.159692255914436</v>
          </cell>
          <cell r="K331">
            <v>63.969754253800694</v>
          </cell>
          <cell r="L331">
            <v>63.013092100043437</v>
          </cell>
          <cell r="M331">
            <v>63.011943099366846</v>
          </cell>
          <cell r="N331">
            <v>63.205535176937765</v>
          </cell>
          <cell r="O331">
            <v>64.734240090866152</v>
          </cell>
          <cell r="P331">
            <v>65.459580910549732</v>
          </cell>
          <cell r="Q331">
            <v>65.651048688254576</v>
          </cell>
          <cell r="R331">
            <v>66.312700898831153</v>
          </cell>
          <cell r="S331">
            <v>66.642221330285807</v>
          </cell>
          <cell r="T331">
            <v>66.642221330285807</v>
          </cell>
          <cell r="U331">
            <v>66.642221330285807</v>
          </cell>
          <cell r="V331">
            <v>66.642221330285807</v>
          </cell>
          <cell r="W331">
            <v>66.642221330285807</v>
          </cell>
          <cell r="X331">
            <v>66.642221330285807</v>
          </cell>
          <cell r="Y331">
            <v>66.642221330285807</v>
          </cell>
          <cell r="Z331">
            <v>66.642221330285807</v>
          </cell>
          <cell r="AA331">
            <v>66.642221330285807</v>
          </cell>
          <cell r="AB331">
            <v>66.642221330285807</v>
          </cell>
          <cell r="AC331">
            <v>66.642221330285807</v>
          </cell>
          <cell r="AD331">
            <v>66.642221330285807</v>
          </cell>
          <cell r="AE331">
            <v>66.642221330285807</v>
          </cell>
          <cell r="AF331">
            <v>66.642221330285807</v>
          </cell>
        </row>
        <row r="332">
          <cell r="A332" t="str">
            <v>Kentucky</v>
          </cell>
          <cell r="B332">
            <v>63.197269762837472</v>
          </cell>
          <cell r="C332">
            <v>63.397557183067498</v>
          </cell>
          <cell r="D332">
            <v>65.310490031787566</v>
          </cell>
          <cell r="E332">
            <v>66.216221568608077</v>
          </cell>
          <cell r="F332">
            <v>66.158959110799969</v>
          </cell>
          <cell r="G332">
            <v>66.25233247146987</v>
          </cell>
          <cell r="H332">
            <v>66.357717679213309</v>
          </cell>
          <cell r="I332">
            <v>66.458143614065307</v>
          </cell>
          <cell r="J332">
            <v>66.960603649985615</v>
          </cell>
          <cell r="K332">
            <v>66.762086059268711</v>
          </cell>
          <cell r="L332">
            <v>65.760407407916418</v>
          </cell>
          <cell r="M332">
            <v>65.759078976299492</v>
          </cell>
          <cell r="N332">
            <v>65.961803555832063</v>
          </cell>
          <cell r="O332">
            <v>67.562660261869581</v>
          </cell>
          <cell r="P332">
            <v>68.322469943021972</v>
          </cell>
          <cell r="Q332">
            <v>68.522962400365998</v>
          </cell>
          <cell r="R332">
            <v>69.215847503029266</v>
          </cell>
          <cell r="S332">
            <v>69.560739004948672</v>
          </cell>
          <cell r="T332">
            <v>69.560739004948672</v>
          </cell>
          <cell r="U332">
            <v>69.560739004948672</v>
          </cell>
          <cell r="V332">
            <v>69.560739004948672</v>
          </cell>
          <cell r="W332">
            <v>69.560739004948672</v>
          </cell>
          <cell r="X332">
            <v>69.560739004948672</v>
          </cell>
          <cell r="Y332">
            <v>69.560739004948672</v>
          </cell>
          <cell r="Z332">
            <v>69.560739004948672</v>
          </cell>
          <cell r="AA332">
            <v>69.560739004948672</v>
          </cell>
          <cell r="AB332">
            <v>69.560739004948672</v>
          </cell>
          <cell r="AC332">
            <v>69.560739004948672</v>
          </cell>
          <cell r="AD332">
            <v>69.560739004948672</v>
          </cell>
          <cell r="AE332">
            <v>69.560739004948672</v>
          </cell>
          <cell r="AF332">
            <v>69.560739004948672</v>
          </cell>
        </row>
        <row r="333">
          <cell r="A333" t="str">
            <v>Louisiana</v>
          </cell>
          <cell r="B333">
            <v>63.096581635161328</v>
          </cell>
          <cell r="C333">
            <v>63.296518887687036</v>
          </cell>
          <cell r="D333">
            <v>65.206131044658335</v>
          </cell>
          <cell r="E333">
            <v>66.110315037131855</v>
          </cell>
          <cell r="F333">
            <v>66.053138841282134</v>
          </cell>
          <cell r="G333">
            <v>66.146355949155549</v>
          </cell>
          <cell r="H333">
            <v>66.2515450776378</v>
          </cell>
          <cell r="I333">
            <v>66.351823220284459</v>
          </cell>
          <cell r="J333">
            <v>66.85341846964559</v>
          </cell>
          <cell r="K333">
            <v>66.655229791812488</v>
          </cell>
          <cell r="L333">
            <v>65.655280493721463</v>
          </cell>
          <cell r="M333">
            <v>65.653959193352719</v>
          </cell>
          <cell r="N333">
            <v>65.856332895327526</v>
          </cell>
          <cell r="O333">
            <v>67.454417405868782</v>
          </cell>
          <cell r="P333">
            <v>68.21290229051337</v>
          </cell>
          <cell r="Q333">
            <v>68.413048027340508</v>
          </cell>
          <cell r="R333">
            <v>69.10473310073283</v>
          </cell>
          <cell r="S333">
            <v>69.449034363899429</v>
          </cell>
          <cell r="T333">
            <v>69.449034363899429</v>
          </cell>
          <cell r="U333">
            <v>69.449034363899429</v>
          </cell>
          <cell r="V333">
            <v>69.449034363899429</v>
          </cell>
          <cell r="W333">
            <v>69.449034363899429</v>
          </cell>
          <cell r="X333">
            <v>69.449034363899429</v>
          </cell>
          <cell r="Y333">
            <v>69.449034363899429</v>
          </cell>
          <cell r="Z333">
            <v>69.449034363899429</v>
          </cell>
          <cell r="AA333">
            <v>69.449034363899429</v>
          </cell>
          <cell r="AB333">
            <v>69.449034363899429</v>
          </cell>
          <cell r="AC333">
            <v>69.449034363899429</v>
          </cell>
          <cell r="AD333">
            <v>69.449034363899429</v>
          </cell>
          <cell r="AE333">
            <v>69.449034363899429</v>
          </cell>
          <cell r="AF333">
            <v>69.449034363899429</v>
          </cell>
        </row>
        <row r="334">
          <cell r="A334" t="str">
            <v>Maine</v>
          </cell>
          <cell r="B334">
            <v>62.643653381256634</v>
          </cell>
          <cell r="C334">
            <v>62.842017094642607</v>
          </cell>
          <cell r="D334">
            <v>64.736706013666236</v>
          </cell>
          <cell r="E334">
            <v>65.633934127757698</v>
          </cell>
          <cell r="F334">
            <v>65.577146227371529</v>
          </cell>
          <cell r="G334">
            <v>65.669660851785579</v>
          </cell>
          <cell r="H334">
            <v>65.77396943003005</v>
          </cell>
          <cell r="I334">
            <v>65.873582114045902</v>
          </cell>
          <cell r="J334">
            <v>66.371290641332749</v>
          </cell>
          <cell r="K334">
            <v>66.174580858940956</v>
          </cell>
          <cell r="L334">
            <v>65.18240375652519</v>
          </cell>
          <cell r="M334">
            <v>65.181114271680968</v>
          </cell>
          <cell r="N334">
            <v>65.381911074838911</v>
          </cell>
          <cell r="O334">
            <v>66.967536972211136</v>
          </cell>
          <cell r="P334">
            <v>67.720068482533151</v>
          </cell>
          <cell r="Q334">
            <v>67.918655988751198</v>
          </cell>
          <cell r="R334">
            <v>68.604947979802603</v>
          </cell>
          <cell r="S334">
            <v>68.946596293581848</v>
          </cell>
          <cell r="T334">
            <v>68.946596293581848</v>
          </cell>
          <cell r="U334">
            <v>68.946596293581848</v>
          </cell>
          <cell r="V334">
            <v>68.946596293581848</v>
          </cell>
          <cell r="W334">
            <v>68.946596293581848</v>
          </cell>
          <cell r="X334">
            <v>68.946596293581848</v>
          </cell>
          <cell r="Y334">
            <v>68.946596293581848</v>
          </cell>
          <cell r="Z334">
            <v>68.946596293581848</v>
          </cell>
          <cell r="AA334">
            <v>68.946596293581848</v>
          </cell>
          <cell r="AB334">
            <v>68.946596293581848</v>
          </cell>
          <cell r="AC334">
            <v>68.946596293581848</v>
          </cell>
          <cell r="AD334">
            <v>68.946596293581848</v>
          </cell>
          <cell r="AE334">
            <v>68.946596293581848</v>
          </cell>
          <cell r="AF334">
            <v>68.946596293581848</v>
          </cell>
        </row>
        <row r="335">
          <cell r="A335" t="str">
            <v>Maryland</v>
          </cell>
          <cell r="B335">
            <v>62.643653381256648</v>
          </cell>
          <cell r="C335">
            <v>62.842017094642614</v>
          </cell>
          <cell r="D335">
            <v>64.736706013666236</v>
          </cell>
          <cell r="E335">
            <v>65.633934127757698</v>
          </cell>
          <cell r="F335">
            <v>65.577146227371529</v>
          </cell>
          <cell r="G335">
            <v>65.669660851785594</v>
          </cell>
          <cell r="H335">
            <v>65.77396943003005</v>
          </cell>
          <cell r="I335">
            <v>65.873582114045917</v>
          </cell>
          <cell r="J335">
            <v>66.371290641332749</v>
          </cell>
          <cell r="K335">
            <v>66.174580858940942</v>
          </cell>
          <cell r="L335">
            <v>65.182403756525176</v>
          </cell>
          <cell r="M335">
            <v>65.181114271680968</v>
          </cell>
          <cell r="N335">
            <v>65.381911074838911</v>
          </cell>
          <cell r="O335">
            <v>66.967536972211136</v>
          </cell>
          <cell r="P335">
            <v>67.720068482533165</v>
          </cell>
          <cell r="Q335">
            <v>67.918655988751198</v>
          </cell>
          <cell r="R335">
            <v>68.604947979802589</v>
          </cell>
          <cell r="S335">
            <v>68.946596293581862</v>
          </cell>
          <cell r="T335">
            <v>68.946596293581862</v>
          </cell>
          <cell r="U335">
            <v>68.946596293581862</v>
          </cell>
          <cell r="V335">
            <v>68.946596293581862</v>
          </cell>
          <cell r="W335">
            <v>68.946596293581862</v>
          </cell>
          <cell r="X335">
            <v>68.946596293581862</v>
          </cell>
          <cell r="Y335">
            <v>68.946596293581862</v>
          </cell>
          <cell r="Z335">
            <v>68.946596293581862</v>
          </cell>
          <cell r="AA335">
            <v>68.946596293581862</v>
          </cell>
          <cell r="AB335">
            <v>68.946596293581862</v>
          </cell>
          <cell r="AC335">
            <v>68.946596293581862</v>
          </cell>
          <cell r="AD335">
            <v>68.946596293581862</v>
          </cell>
          <cell r="AE335">
            <v>68.946596293581862</v>
          </cell>
          <cell r="AF335">
            <v>68.946596293581862</v>
          </cell>
        </row>
        <row r="336">
          <cell r="A336" t="str">
            <v>Massachusetts</v>
          </cell>
          <cell r="B336">
            <v>62.643653381256655</v>
          </cell>
          <cell r="C336">
            <v>62.842017094642614</v>
          </cell>
          <cell r="D336">
            <v>64.736706013666236</v>
          </cell>
          <cell r="E336">
            <v>65.633934127757698</v>
          </cell>
          <cell r="F336">
            <v>65.577146227371543</v>
          </cell>
          <cell r="G336">
            <v>65.669660851785594</v>
          </cell>
          <cell r="H336">
            <v>65.773969430030064</v>
          </cell>
          <cell r="I336">
            <v>65.873582114045917</v>
          </cell>
          <cell r="J336">
            <v>66.371290641332735</v>
          </cell>
          <cell r="K336">
            <v>66.174580858940928</v>
          </cell>
          <cell r="L336">
            <v>65.18240375652519</v>
          </cell>
          <cell r="M336">
            <v>65.181114271680968</v>
          </cell>
          <cell r="N336">
            <v>65.381911074838911</v>
          </cell>
          <cell r="O336">
            <v>66.967536972211107</v>
          </cell>
          <cell r="P336">
            <v>67.720068482533151</v>
          </cell>
          <cell r="Q336">
            <v>67.918655988751212</v>
          </cell>
          <cell r="R336">
            <v>68.604947979802603</v>
          </cell>
          <cell r="S336">
            <v>68.946596293581848</v>
          </cell>
          <cell r="T336">
            <v>68.946596293581848</v>
          </cell>
          <cell r="U336">
            <v>68.946596293581848</v>
          </cell>
          <cell r="V336">
            <v>68.946596293581848</v>
          </cell>
          <cell r="W336">
            <v>68.946596293581848</v>
          </cell>
          <cell r="X336">
            <v>68.946596293581848</v>
          </cell>
          <cell r="Y336">
            <v>68.946596293581848</v>
          </cell>
          <cell r="Z336">
            <v>68.946596293581848</v>
          </cell>
          <cell r="AA336">
            <v>68.946596293581848</v>
          </cell>
          <cell r="AB336">
            <v>68.946596293581848</v>
          </cell>
          <cell r="AC336">
            <v>68.946596293581848</v>
          </cell>
          <cell r="AD336">
            <v>68.946596293581848</v>
          </cell>
          <cell r="AE336">
            <v>68.946596293581848</v>
          </cell>
          <cell r="AF336">
            <v>68.946596293581848</v>
          </cell>
        </row>
        <row r="337">
          <cell r="A337" t="str">
            <v>Michigan</v>
          </cell>
          <cell r="B337">
            <v>62.654428984173258</v>
          </cell>
          <cell r="C337">
            <v>62.852830102022914</v>
          </cell>
          <cell r="D337">
            <v>64.747873782055379</v>
          </cell>
          <cell r="E337">
            <v>65.645267277072506</v>
          </cell>
          <cell r="F337">
            <v>65.588470133710047</v>
          </cell>
          <cell r="G337">
            <v>65.681001463280666</v>
          </cell>
          <cell r="H337">
            <v>65.785330962043105</v>
          </cell>
          <cell r="I337">
            <v>65.884959490371429</v>
          </cell>
          <cell r="J337">
            <v>66.382760421271527</v>
          </cell>
          <cell r="K337">
            <v>66.186015467351197</v>
          </cell>
          <cell r="L337">
            <v>65.193653592434941</v>
          </cell>
          <cell r="M337">
            <v>65.192363355763561</v>
          </cell>
          <cell r="N337">
            <v>65.393197646539122</v>
          </cell>
          <cell r="O337">
            <v>66.979119721210694</v>
          </cell>
          <cell r="P337">
            <v>67.731792752017427</v>
          </cell>
          <cell r="Q337">
            <v>67.930417302328649</v>
          </cell>
          <cell r="R337">
            <v>68.616837502405701</v>
          </cell>
          <cell r="S337">
            <v>68.958548891028627</v>
          </cell>
          <cell r="T337">
            <v>68.958548891028627</v>
          </cell>
          <cell r="U337">
            <v>68.958548891028627</v>
          </cell>
          <cell r="V337">
            <v>68.958548891028627</v>
          </cell>
          <cell r="W337">
            <v>68.958548891028627</v>
          </cell>
          <cell r="X337">
            <v>68.958548891028627</v>
          </cell>
          <cell r="Y337">
            <v>68.958548891028627</v>
          </cell>
          <cell r="Z337">
            <v>68.958548891028627</v>
          </cell>
          <cell r="AA337">
            <v>68.958548891028627</v>
          </cell>
          <cell r="AB337">
            <v>68.958548891028627</v>
          </cell>
          <cell r="AC337">
            <v>68.958548891028627</v>
          </cell>
          <cell r="AD337">
            <v>68.958548891028627</v>
          </cell>
          <cell r="AE337">
            <v>68.958548891028627</v>
          </cell>
          <cell r="AF337">
            <v>68.958548891028627</v>
          </cell>
        </row>
        <row r="338">
          <cell r="A338" t="str">
            <v>Minnesota</v>
          </cell>
          <cell r="B338">
            <v>62.654428984173258</v>
          </cell>
          <cell r="C338">
            <v>62.852830102022921</v>
          </cell>
          <cell r="D338">
            <v>64.747873782055393</v>
          </cell>
          <cell r="E338">
            <v>65.645267277072506</v>
          </cell>
          <cell r="F338">
            <v>65.588470133710032</v>
          </cell>
          <cell r="G338">
            <v>65.681001463280666</v>
          </cell>
          <cell r="H338">
            <v>65.785330962043119</v>
          </cell>
          <cell r="I338">
            <v>65.884959490371415</v>
          </cell>
          <cell r="J338">
            <v>66.382760421271556</v>
          </cell>
          <cell r="K338">
            <v>66.186015467351211</v>
          </cell>
          <cell r="L338">
            <v>65.193653592434941</v>
          </cell>
          <cell r="M338">
            <v>65.192363355763561</v>
          </cell>
          <cell r="N338">
            <v>65.393197646539093</v>
          </cell>
          <cell r="O338">
            <v>66.979119721210694</v>
          </cell>
          <cell r="P338">
            <v>67.731792752017412</v>
          </cell>
          <cell r="Q338">
            <v>67.930417302328649</v>
          </cell>
          <cell r="R338">
            <v>68.616837502405701</v>
          </cell>
          <cell r="S338">
            <v>68.958548891028641</v>
          </cell>
          <cell r="T338">
            <v>68.958548891028641</v>
          </cell>
          <cell r="U338">
            <v>68.958548891028641</v>
          </cell>
          <cell r="V338">
            <v>68.958548891028641</v>
          </cell>
          <cell r="W338">
            <v>68.958548891028641</v>
          </cell>
          <cell r="X338">
            <v>68.958548891028641</v>
          </cell>
          <cell r="Y338">
            <v>68.958548891028641</v>
          </cell>
          <cell r="Z338">
            <v>68.958548891028641</v>
          </cell>
          <cell r="AA338">
            <v>68.958548891028641</v>
          </cell>
          <cell r="AB338">
            <v>68.958548891028641</v>
          </cell>
          <cell r="AC338">
            <v>68.958548891028641</v>
          </cell>
          <cell r="AD338">
            <v>68.958548891028641</v>
          </cell>
          <cell r="AE338">
            <v>68.958548891028641</v>
          </cell>
          <cell r="AF338">
            <v>68.958548891028641</v>
          </cell>
        </row>
        <row r="339">
          <cell r="A339" t="str">
            <v>Mississippi</v>
          </cell>
          <cell r="B339">
            <v>63.197269762837465</v>
          </cell>
          <cell r="C339">
            <v>63.397557183067519</v>
          </cell>
          <cell r="D339">
            <v>65.310490031787552</v>
          </cell>
          <cell r="E339">
            <v>66.216221568608063</v>
          </cell>
          <cell r="F339">
            <v>66.158959110799969</v>
          </cell>
          <cell r="G339">
            <v>66.25233247146987</v>
          </cell>
          <cell r="H339">
            <v>66.357717679213337</v>
          </cell>
          <cell r="I339">
            <v>66.458143614065293</v>
          </cell>
          <cell r="J339">
            <v>66.9606036499856</v>
          </cell>
          <cell r="K339">
            <v>66.762086059268711</v>
          </cell>
          <cell r="L339">
            <v>65.760407407916432</v>
          </cell>
          <cell r="M339">
            <v>65.759078976299477</v>
          </cell>
          <cell r="N339">
            <v>65.961803555832063</v>
          </cell>
          <cell r="O339">
            <v>67.562660261869596</v>
          </cell>
          <cell r="P339">
            <v>68.322469943021972</v>
          </cell>
          <cell r="Q339">
            <v>68.522962400365998</v>
          </cell>
          <cell r="R339">
            <v>69.215847503029281</v>
          </cell>
          <cell r="S339">
            <v>69.560739004948701</v>
          </cell>
          <cell r="T339">
            <v>69.560739004948701</v>
          </cell>
          <cell r="U339">
            <v>69.560739004948701</v>
          </cell>
          <cell r="V339">
            <v>69.560739004948701</v>
          </cell>
          <cell r="W339">
            <v>69.560739004948701</v>
          </cell>
          <cell r="X339">
            <v>69.560739004948701</v>
          </cell>
          <cell r="Y339">
            <v>69.560739004948701</v>
          </cell>
          <cell r="Z339">
            <v>69.560739004948701</v>
          </cell>
          <cell r="AA339">
            <v>69.560739004948701</v>
          </cell>
          <cell r="AB339">
            <v>69.560739004948701</v>
          </cell>
          <cell r="AC339">
            <v>69.560739004948701</v>
          </cell>
          <cell r="AD339">
            <v>69.560739004948701</v>
          </cell>
          <cell r="AE339">
            <v>69.560739004948701</v>
          </cell>
          <cell r="AF339">
            <v>69.560739004948701</v>
          </cell>
        </row>
        <row r="340">
          <cell r="A340" t="str">
            <v>Missouri</v>
          </cell>
          <cell r="B340">
            <v>62.654428984173272</v>
          </cell>
          <cell r="C340">
            <v>62.852830102022914</v>
          </cell>
          <cell r="D340">
            <v>64.747873782055407</v>
          </cell>
          <cell r="E340">
            <v>65.645267277072506</v>
          </cell>
          <cell r="F340">
            <v>65.588470133710032</v>
          </cell>
          <cell r="G340">
            <v>65.68100146328068</v>
          </cell>
          <cell r="H340">
            <v>65.785330962043119</v>
          </cell>
          <cell r="I340">
            <v>65.884959490371429</v>
          </cell>
          <cell r="J340">
            <v>66.382760421271527</v>
          </cell>
          <cell r="K340">
            <v>66.186015467351183</v>
          </cell>
          <cell r="L340">
            <v>65.193653592434941</v>
          </cell>
          <cell r="M340">
            <v>65.192363355763575</v>
          </cell>
          <cell r="N340">
            <v>65.393197646539122</v>
          </cell>
          <cell r="O340">
            <v>66.979119721210665</v>
          </cell>
          <cell r="P340">
            <v>67.731792752017412</v>
          </cell>
          <cell r="Q340">
            <v>67.930417302328649</v>
          </cell>
          <cell r="R340">
            <v>68.616837502405687</v>
          </cell>
          <cell r="S340">
            <v>68.958548891028627</v>
          </cell>
          <cell r="T340">
            <v>68.958548891028627</v>
          </cell>
          <cell r="U340">
            <v>68.958548891028627</v>
          </cell>
          <cell r="V340">
            <v>68.958548891028627</v>
          </cell>
          <cell r="W340">
            <v>68.958548891028627</v>
          </cell>
          <cell r="X340">
            <v>68.958548891028627</v>
          </cell>
          <cell r="Y340">
            <v>68.958548891028627</v>
          </cell>
          <cell r="Z340">
            <v>68.958548891028627</v>
          </cell>
          <cell r="AA340">
            <v>68.958548891028627</v>
          </cell>
          <cell r="AB340">
            <v>68.958548891028627</v>
          </cell>
          <cell r="AC340">
            <v>68.958548891028627</v>
          </cell>
          <cell r="AD340">
            <v>68.958548891028627</v>
          </cell>
          <cell r="AE340">
            <v>68.958548891028627</v>
          </cell>
          <cell r="AF340">
            <v>68.958548891028627</v>
          </cell>
        </row>
        <row r="341">
          <cell r="A341" t="str">
            <v>Montana</v>
          </cell>
          <cell r="B341">
            <v>60.565482253963417</v>
          </cell>
          <cell r="C341">
            <v>60.756660133993499</v>
          </cell>
          <cell r="D341">
            <v>62.583175826799085</v>
          </cell>
          <cell r="E341">
            <v>63.448602787063642</v>
          </cell>
          <cell r="F341">
            <v>63.393601949792661</v>
          </cell>
          <cell r="G341">
            <v>63.482901572826705</v>
          </cell>
          <cell r="H341">
            <v>63.583200795966718</v>
          </cell>
          <cell r="I341">
            <v>63.679746776167178</v>
          </cell>
          <cell r="J341">
            <v>64.159692255914436</v>
          </cell>
          <cell r="K341">
            <v>63.96975425380073</v>
          </cell>
          <cell r="L341">
            <v>63.013092100043437</v>
          </cell>
          <cell r="M341">
            <v>63.011943099366839</v>
          </cell>
          <cell r="N341">
            <v>63.205535176937751</v>
          </cell>
          <cell r="O341">
            <v>64.734240090866138</v>
          </cell>
          <cell r="P341">
            <v>65.459580910549732</v>
          </cell>
          <cell r="Q341">
            <v>65.651048688254591</v>
          </cell>
          <cell r="R341">
            <v>66.312700898831153</v>
          </cell>
          <cell r="S341">
            <v>66.642221330285793</v>
          </cell>
          <cell r="T341">
            <v>66.642221330285793</v>
          </cell>
          <cell r="U341">
            <v>66.642221330285793</v>
          </cell>
          <cell r="V341">
            <v>66.642221330285793</v>
          </cell>
          <cell r="W341">
            <v>66.642221330285793</v>
          </cell>
          <cell r="X341">
            <v>66.642221330285793</v>
          </cell>
          <cell r="Y341">
            <v>66.642221330285793</v>
          </cell>
          <cell r="Z341">
            <v>66.642221330285793</v>
          </cell>
          <cell r="AA341">
            <v>66.642221330285793</v>
          </cell>
          <cell r="AB341">
            <v>66.642221330285793</v>
          </cell>
          <cell r="AC341">
            <v>66.642221330285793</v>
          </cell>
          <cell r="AD341">
            <v>66.642221330285793</v>
          </cell>
          <cell r="AE341">
            <v>66.642221330285793</v>
          </cell>
          <cell r="AF341">
            <v>66.642221330285793</v>
          </cell>
        </row>
        <row r="342">
          <cell r="A342" t="str">
            <v>Nebraska</v>
          </cell>
          <cell r="B342">
            <v>60.565482253963445</v>
          </cell>
          <cell r="C342">
            <v>60.75666013399352</v>
          </cell>
          <cell r="D342">
            <v>62.583175826799085</v>
          </cell>
          <cell r="E342">
            <v>63.448602787063642</v>
          </cell>
          <cell r="F342">
            <v>63.393601949792647</v>
          </cell>
          <cell r="G342">
            <v>63.482901572826705</v>
          </cell>
          <cell r="H342">
            <v>63.583200795966725</v>
          </cell>
          <cell r="I342">
            <v>63.679746776167157</v>
          </cell>
          <cell r="J342">
            <v>64.159692255914408</v>
          </cell>
          <cell r="K342">
            <v>63.969754253800723</v>
          </cell>
          <cell r="L342">
            <v>63.013092100043423</v>
          </cell>
          <cell r="M342">
            <v>63.011943099366853</v>
          </cell>
          <cell r="N342">
            <v>63.205535176937751</v>
          </cell>
          <cell r="O342">
            <v>64.734240090866166</v>
          </cell>
          <cell r="P342">
            <v>65.459580910549747</v>
          </cell>
          <cell r="Q342">
            <v>65.651048688254591</v>
          </cell>
          <cell r="R342">
            <v>66.312700898831167</v>
          </cell>
          <cell r="S342">
            <v>66.642221330285778</v>
          </cell>
          <cell r="T342">
            <v>66.642221330285778</v>
          </cell>
          <cell r="U342">
            <v>66.642221330285778</v>
          </cell>
          <cell r="V342">
            <v>66.642221330285778</v>
          </cell>
          <cell r="W342">
            <v>66.642221330285778</v>
          </cell>
          <cell r="X342">
            <v>66.642221330285778</v>
          </cell>
          <cell r="Y342">
            <v>66.642221330285778</v>
          </cell>
          <cell r="Z342">
            <v>66.642221330285778</v>
          </cell>
          <cell r="AA342">
            <v>66.642221330285778</v>
          </cell>
          <cell r="AB342">
            <v>66.642221330285778</v>
          </cell>
          <cell r="AC342">
            <v>66.642221330285778</v>
          </cell>
          <cell r="AD342">
            <v>66.642221330285778</v>
          </cell>
          <cell r="AE342">
            <v>66.642221330285778</v>
          </cell>
          <cell r="AF342">
            <v>66.642221330285778</v>
          </cell>
        </row>
        <row r="343">
          <cell r="A343" t="str">
            <v>Nevada</v>
          </cell>
          <cell r="B343">
            <v>72.94208306432914</v>
          </cell>
          <cell r="C343">
            <v>73.176901027629583</v>
          </cell>
          <cell r="D343">
            <v>75.416845986483111</v>
          </cell>
          <cell r="E343">
            <v>76.474507156326837</v>
          </cell>
          <cell r="F343">
            <v>76.408998582610892</v>
          </cell>
          <cell r="G343">
            <v>76.517648819091576</v>
          </cell>
          <cell r="H343">
            <v>76.642592027507234</v>
          </cell>
          <cell r="I343">
            <v>76.757069821609889</v>
          </cell>
          <cell r="J343">
            <v>77.344550680465716</v>
          </cell>
          <cell r="K343">
            <v>77.113939793180037</v>
          </cell>
          <cell r="L343">
            <v>75.942138811257024</v>
          </cell>
          <cell r="M343">
            <v>75.940016790413026</v>
          </cell>
          <cell r="N343">
            <v>76.177275179659432</v>
          </cell>
          <cell r="O343">
            <v>78.051001764719601</v>
          </cell>
          <cell r="P343">
            <v>78.941383918795438</v>
          </cell>
          <cell r="Q343">
            <v>79.17599547022995</v>
          </cell>
          <cell r="R343">
            <v>79.987003717027079</v>
          </cell>
          <cell r="S343">
            <v>80.389860026063758</v>
          </cell>
          <cell r="T343">
            <v>80.389860026063758</v>
          </cell>
          <cell r="U343">
            <v>80.389860026063758</v>
          </cell>
          <cell r="V343">
            <v>80.389860026063758</v>
          </cell>
          <cell r="W343">
            <v>80.389860026063758</v>
          </cell>
          <cell r="X343">
            <v>80.389860026063758</v>
          </cell>
          <cell r="Y343">
            <v>80.389860026063758</v>
          </cell>
          <cell r="Z343">
            <v>80.389860026063758</v>
          </cell>
          <cell r="AA343">
            <v>80.389860026063758</v>
          </cell>
          <cell r="AB343">
            <v>80.389860026063758</v>
          </cell>
          <cell r="AC343">
            <v>80.389860026063758</v>
          </cell>
          <cell r="AD343">
            <v>80.389860026063758</v>
          </cell>
          <cell r="AE343">
            <v>80.389860026063758</v>
          </cell>
          <cell r="AF343">
            <v>80.389860026063758</v>
          </cell>
        </row>
        <row r="344">
          <cell r="A344" t="str">
            <v>New Hampshire</v>
          </cell>
          <cell r="B344">
            <v>62.643653381256662</v>
          </cell>
          <cell r="C344">
            <v>62.8420170946426</v>
          </cell>
          <cell r="D344">
            <v>64.736706013666236</v>
          </cell>
          <cell r="E344">
            <v>65.633934127757698</v>
          </cell>
          <cell r="F344">
            <v>65.577146227371529</v>
          </cell>
          <cell r="G344">
            <v>65.669660851785594</v>
          </cell>
          <cell r="H344">
            <v>65.773969430030093</v>
          </cell>
          <cell r="I344">
            <v>65.873582114045917</v>
          </cell>
          <cell r="J344">
            <v>66.371290641332763</v>
          </cell>
          <cell r="K344">
            <v>66.174580858940956</v>
          </cell>
          <cell r="L344">
            <v>65.18240375652519</v>
          </cell>
          <cell r="M344">
            <v>65.181114271680983</v>
          </cell>
          <cell r="N344">
            <v>65.381911074838911</v>
          </cell>
          <cell r="O344">
            <v>66.967536972211107</v>
          </cell>
          <cell r="P344">
            <v>67.720068482533151</v>
          </cell>
          <cell r="Q344">
            <v>67.918655988751198</v>
          </cell>
          <cell r="R344">
            <v>68.604947979802617</v>
          </cell>
          <cell r="S344">
            <v>68.946596293581848</v>
          </cell>
          <cell r="T344">
            <v>68.946596293581848</v>
          </cell>
          <cell r="U344">
            <v>68.946596293581848</v>
          </cell>
          <cell r="V344">
            <v>68.946596293581848</v>
          </cell>
          <cell r="W344">
            <v>68.946596293581848</v>
          </cell>
          <cell r="X344">
            <v>68.946596293581848</v>
          </cell>
          <cell r="Y344">
            <v>68.946596293581848</v>
          </cell>
          <cell r="Z344">
            <v>68.946596293581848</v>
          </cell>
          <cell r="AA344">
            <v>68.946596293581848</v>
          </cell>
          <cell r="AB344">
            <v>68.946596293581848</v>
          </cell>
          <cell r="AC344">
            <v>68.946596293581848</v>
          </cell>
          <cell r="AD344">
            <v>68.946596293581848</v>
          </cell>
          <cell r="AE344">
            <v>68.946596293581848</v>
          </cell>
          <cell r="AF344">
            <v>68.946596293581848</v>
          </cell>
        </row>
        <row r="345">
          <cell r="A345" t="str">
            <v>New Jersey</v>
          </cell>
          <cell r="B345">
            <v>62.643653381256662</v>
          </cell>
          <cell r="C345">
            <v>62.8420170946426</v>
          </cell>
          <cell r="D345">
            <v>64.736706013666236</v>
          </cell>
          <cell r="E345">
            <v>65.633934127757698</v>
          </cell>
          <cell r="F345">
            <v>65.577146227371529</v>
          </cell>
          <cell r="G345">
            <v>65.669660851785594</v>
          </cell>
          <cell r="H345">
            <v>65.773969430030093</v>
          </cell>
          <cell r="I345">
            <v>65.873582114045917</v>
          </cell>
          <cell r="J345">
            <v>66.371290641332735</v>
          </cell>
          <cell r="K345">
            <v>66.174580858940956</v>
          </cell>
          <cell r="L345">
            <v>65.182403756525176</v>
          </cell>
          <cell r="M345">
            <v>65.181114271680983</v>
          </cell>
          <cell r="N345">
            <v>65.381911074838897</v>
          </cell>
          <cell r="O345">
            <v>66.967536972211107</v>
          </cell>
          <cell r="P345">
            <v>67.720068482533136</v>
          </cell>
          <cell r="Q345">
            <v>67.918655988751198</v>
          </cell>
          <cell r="R345">
            <v>68.604947979802603</v>
          </cell>
          <cell r="S345">
            <v>68.946596293581848</v>
          </cell>
          <cell r="T345">
            <v>68.946596293581848</v>
          </cell>
          <cell r="U345">
            <v>68.946596293581848</v>
          </cell>
          <cell r="V345">
            <v>68.946596293581848</v>
          </cell>
          <cell r="W345">
            <v>68.946596293581848</v>
          </cell>
          <cell r="X345">
            <v>68.946596293581848</v>
          </cell>
          <cell r="Y345">
            <v>68.946596293581848</v>
          </cell>
          <cell r="Z345">
            <v>68.946596293581848</v>
          </cell>
          <cell r="AA345">
            <v>68.946596293581848</v>
          </cell>
          <cell r="AB345">
            <v>68.946596293581848</v>
          </cell>
          <cell r="AC345">
            <v>68.946596293581848</v>
          </cell>
          <cell r="AD345">
            <v>68.946596293581848</v>
          </cell>
          <cell r="AE345">
            <v>68.946596293581848</v>
          </cell>
          <cell r="AF345">
            <v>68.946596293581848</v>
          </cell>
        </row>
        <row r="346">
          <cell r="A346" t="str">
            <v>New Mexico</v>
          </cell>
          <cell r="B346">
            <v>72.942083064329154</v>
          </cell>
          <cell r="C346">
            <v>73.176901027629569</v>
          </cell>
          <cell r="D346">
            <v>75.416845986483096</v>
          </cell>
          <cell r="E346">
            <v>76.474507156326823</v>
          </cell>
          <cell r="F346">
            <v>76.408998582610906</v>
          </cell>
          <cell r="G346">
            <v>76.51764881909159</v>
          </cell>
          <cell r="H346">
            <v>76.642592027507249</v>
          </cell>
          <cell r="I346">
            <v>76.757069821609903</v>
          </cell>
          <cell r="J346">
            <v>77.344550680465701</v>
          </cell>
          <cell r="K346">
            <v>77.113939793180052</v>
          </cell>
          <cell r="L346">
            <v>75.942138811257024</v>
          </cell>
          <cell r="M346">
            <v>75.94001679041304</v>
          </cell>
          <cell r="N346">
            <v>76.177275179659418</v>
          </cell>
          <cell r="O346">
            <v>78.051001764719587</v>
          </cell>
          <cell r="P346">
            <v>78.941383918795438</v>
          </cell>
          <cell r="Q346">
            <v>79.175995470229964</v>
          </cell>
          <cell r="R346">
            <v>79.987003717027079</v>
          </cell>
          <cell r="S346">
            <v>80.389860026063758</v>
          </cell>
          <cell r="T346">
            <v>80.389860026063758</v>
          </cell>
          <cell r="U346">
            <v>80.389860026063758</v>
          </cell>
          <cell r="V346">
            <v>80.389860026063758</v>
          </cell>
          <cell r="W346">
            <v>80.389860026063758</v>
          </cell>
          <cell r="X346">
            <v>80.389860026063758</v>
          </cell>
          <cell r="Y346">
            <v>80.389860026063758</v>
          </cell>
          <cell r="Z346">
            <v>80.389860026063758</v>
          </cell>
          <cell r="AA346">
            <v>80.389860026063758</v>
          </cell>
          <cell r="AB346">
            <v>80.389860026063758</v>
          </cell>
          <cell r="AC346">
            <v>80.389860026063758</v>
          </cell>
          <cell r="AD346">
            <v>80.389860026063758</v>
          </cell>
          <cell r="AE346">
            <v>80.389860026063758</v>
          </cell>
          <cell r="AF346">
            <v>80.389860026063758</v>
          </cell>
        </row>
        <row r="347">
          <cell r="A347" t="str">
            <v>New York</v>
          </cell>
          <cell r="B347">
            <v>62.643653381256655</v>
          </cell>
          <cell r="C347">
            <v>62.842017094642607</v>
          </cell>
          <cell r="D347">
            <v>64.73670601366625</v>
          </cell>
          <cell r="E347">
            <v>65.633934127757698</v>
          </cell>
          <cell r="F347">
            <v>65.577146227371543</v>
          </cell>
          <cell r="G347">
            <v>65.669660851785608</v>
          </cell>
          <cell r="H347">
            <v>65.773969430030064</v>
          </cell>
          <cell r="I347">
            <v>65.873582114045917</v>
          </cell>
          <cell r="J347">
            <v>66.37129064133272</v>
          </cell>
          <cell r="K347">
            <v>66.174580858940942</v>
          </cell>
          <cell r="L347">
            <v>65.18240375652519</v>
          </cell>
          <cell r="M347">
            <v>65.181114271680968</v>
          </cell>
          <cell r="N347">
            <v>65.381911074838911</v>
          </cell>
          <cell r="O347">
            <v>66.967536972211136</v>
          </cell>
          <cell r="P347">
            <v>67.720068482533136</v>
          </cell>
          <cell r="Q347">
            <v>67.918655988751212</v>
          </cell>
          <cell r="R347">
            <v>68.604947979802617</v>
          </cell>
          <cell r="S347">
            <v>68.946596293581834</v>
          </cell>
          <cell r="T347">
            <v>68.946596293581834</v>
          </cell>
          <cell r="U347">
            <v>68.946596293581834</v>
          </cell>
          <cell r="V347">
            <v>68.946596293581834</v>
          </cell>
          <cell r="W347">
            <v>68.946596293581834</v>
          </cell>
          <cell r="X347">
            <v>68.946596293581834</v>
          </cell>
          <cell r="Y347">
            <v>68.946596293581834</v>
          </cell>
          <cell r="Z347">
            <v>68.946596293581834</v>
          </cell>
          <cell r="AA347">
            <v>68.946596293581834</v>
          </cell>
          <cell r="AB347">
            <v>68.946596293581834</v>
          </cell>
          <cell r="AC347">
            <v>68.946596293581834</v>
          </cell>
          <cell r="AD347">
            <v>68.946596293581834</v>
          </cell>
          <cell r="AE347">
            <v>68.946596293581834</v>
          </cell>
          <cell r="AF347">
            <v>68.946596293581834</v>
          </cell>
        </row>
        <row r="348">
          <cell r="A348" t="str">
            <v>North Carolina</v>
          </cell>
          <cell r="B348">
            <v>63.197269762837458</v>
          </cell>
          <cell r="C348">
            <v>63.397557183067505</v>
          </cell>
          <cell r="D348">
            <v>65.31049003178758</v>
          </cell>
          <cell r="E348">
            <v>66.216221568608049</v>
          </cell>
          <cell r="F348">
            <v>66.158959110799969</v>
          </cell>
          <cell r="G348">
            <v>66.252332471469856</v>
          </cell>
          <cell r="H348">
            <v>66.357717679213323</v>
          </cell>
          <cell r="I348">
            <v>66.458143614065321</v>
          </cell>
          <cell r="J348">
            <v>66.960603649985615</v>
          </cell>
          <cell r="K348">
            <v>66.762086059268725</v>
          </cell>
          <cell r="L348">
            <v>65.760407407916418</v>
          </cell>
          <cell r="M348">
            <v>65.759078976299492</v>
          </cell>
          <cell r="N348">
            <v>65.961803555832063</v>
          </cell>
          <cell r="O348">
            <v>67.562660261869596</v>
          </cell>
          <cell r="P348">
            <v>68.322469943021972</v>
          </cell>
          <cell r="Q348">
            <v>68.522962400365998</v>
          </cell>
          <cell r="R348">
            <v>69.215847503029266</v>
          </cell>
          <cell r="S348">
            <v>69.560739004948672</v>
          </cell>
          <cell r="T348">
            <v>69.560739004948672</v>
          </cell>
          <cell r="U348">
            <v>69.560739004948672</v>
          </cell>
          <cell r="V348">
            <v>69.560739004948672</v>
          </cell>
          <cell r="W348">
            <v>69.560739004948672</v>
          </cell>
          <cell r="X348">
            <v>69.560739004948672</v>
          </cell>
          <cell r="Y348">
            <v>69.560739004948672</v>
          </cell>
          <cell r="Z348">
            <v>69.560739004948672</v>
          </cell>
          <cell r="AA348">
            <v>69.560739004948672</v>
          </cell>
          <cell r="AB348">
            <v>69.560739004948672</v>
          </cell>
          <cell r="AC348">
            <v>69.560739004948672</v>
          </cell>
          <cell r="AD348">
            <v>69.560739004948672</v>
          </cell>
          <cell r="AE348">
            <v>69.560739004948672</v>
          </cell>
          <cell r="AF348">
            <v>69.560739004948672</v>
          </cell>
        </row>
        <row r="349">
          <cell r="A349" t="str">
            <v>North Dakota</v>
          </cell>
          <cell r="B349">
            <v>60.565482253963424</v>
          </cell>
          <cell r="C349">
            <v>60.756660133993513</v>
          </cell>
          <cell r="D349">
            <v>62.583175826799078</v>
          </cell>
          <cell r="E349">
            <v>63.448602787063642</v>
          </cell>
          <cell r="F349">
            <v>63.393601949792654</v>
          </cell>
          <cell r="G349">
            <v>63.482901572826705</v>
          </cell>
          <cell r="H349">
            <v>63.583200795966725</v>
          </cell>
          <cell r="I349">
            <v>63.679746776167185</v>
          </cell>
          <cell r="J349">
            <v>64.159692255914436</v>
          </cell>
          <cell r="K349">
            <v>63.969754253800716</v>
          </cell>
          <cell r="L349">
            <v>63.013092100043416</v>
          </cell>
          <cell r="M349">
            <v>63.011943099366846</v>
          </cell>
          <cell r="N349">
            <v>63.205535176937758</v>
          </cell>
          <cell r="O349">
            <v>64.734240090866166</v>
          </cell>
          <cell r="P349">
            <v>65.459580910549732</v>
          </cell>
          <cell r="Q349">
            <v>65.651048688254591</v>
          </cell>
          <cell r="R349">
            <v>66.312700898831167</v>
          </cell>
          <cell r="S349">
            <v>66.642221330285807</v>
          </cell>
          <cell r="T349">
            <v>66.642221330285807</v>
          </cell>
          <cell r="U349">
            <v>66.642221330285807</v>
          </cell>
          <cell r="V349">
            <v>66.642221330285807</v>
          </cell>
          <cell r="W349">
            <v>66.642221330285807</v>
          </cell>
          <cell r="X349">
            <v>66.642221330285807</v>
          </cell>
          <cell r="Y349">
            <v>66.642221330285807</v>
          </cell>
          <cell r="Z349">
            <v>66.642221330285807</v>
          </cell>
          <cell r="AA349">
            <v>66.642221330285807</v>
          </cell>
          <cell r="AB349">
            <v>66.642221330285807</v>
          </cell>
          <cell r="AC349">
            <v>66.642221330285807</v>
          </cell>
          <cell r="AD349">
            <v>66.642221330285807</v>
          </cell>
          <cell r="AE349">
            <v>66.642221330285807</v>
          </cell>
          <cell r="AF349">
            <v>66.642221330285807</v>
          </cell>
        </row>
        <row r="350">
          <cell r="A350" t="str">
            <v>Ohio</v>
          </cell>
          <cell r="B350">
            <v>62.654428984173258</v>
          </cell>
          <cell r="C350">
            <v>62.852830102022921</v>
          </cell>
          <cell r="D350">
            <v>64.747873782055393</v>
          </cell>
          <cell r="E350">
            <v>65.645267277072506</v>
          </cell>
          <cell r="F350">
            <v>65.588470133710047</v>
          </cell>
          <cell r="G350">
            <v>65.681001463280666</v>
          </cell>
          <cell r="H350">
            <v>65.785330962043119</v>
          </cell>
          <cell r="I350">
            <v>65.884959490371401</v>
          </cell>
          <cell r="J350">
            <v>66.382760421271541</v>
          </cell>
          <cell r="K350">
            <v>66.186015467351197</v>
          </cell>
          <cell r="L350">
            <v>65.193653592434941</v>
          </cell>
          <cell r="M350">
            <v>65.192363355763575</v>
          </cell>
          <cell r="N350">
            <v>65.393197646539122</v>
          </cell>
          <cell r="O350">
            <v>66.979119721210694</v>
          </cell>
          <cell r="P350">
            <v>67.731792752017412</v>
          </cell>
          <cell r="Q350">
            <v>67.930417302328649</v>
          </cell>
          <cell r="R350">
            <v>68.616837502405716</v>
          </cell>
          <cell r="S350">
            <v>68.958548891028627</v>
          </cell>
          <cell r="T350">
            <v>68.958548891028627</v>
          </cell>
          <cell r="U350">
            <v>68.958548891028627</v>
          </cell>
          <cell r="V350">
            <v>68.958548891028627</v>
          </cell>
          <cell r="W350">
            <v>68.958548891028627</v>
          </cell>
          <cell r="X350">
            <v>68.958548891028627</v>
          </cell>
          <cell r="Y350">
            <v>68.958548891028627</v>
          </cell>
          <cell r="Z350">
            <v>68.958548891028627</v>
          </cell>
          <cell r="AA350">
            <v>68.958548891028627</v>
          </cell>
          <cell r="AB350">
            <v>68.958548891028627</v>
          </cell>
          <cell r="AC350">
            <v>68.958548891028627</v>
          </cell>
          <cell r="AD350">
            <v>68.958548891028627</v>
          </cell>
          <cell r="AE350">
            <v>68.958548891028627</v>
          </cell>
          <cell r="AF350">
            <v>68.958548891028627</v>
          </cell>
        </row>
        <row r="351">
          <cell r="A351" t="str">
            <v>Oklahoma</v>
          </cell>
          <cell r="B351">
            <v>63.096581635161336</v>
          </cell>
          <cell r="C351">
            <v>63.296518887687043</v>
          </cell>
          <cell r="D351">
            <v>65.206131044658321</v>
          </cell>
          <cell r="E351">
            <v>66.110315037131869</v>
          </cell>
          <cell r="F351">
            <v>66.053138841282134</v>
          </cell>
          <cell r="G351">
            <v>66.146355949155577</v>
          </cell>
          <cell r="H351">
            <v>66.251545077637786</v>
          </cell>
          <cell r="I351">
            <v>66.351823220284444</v>
          </cell>
          <cell r="J351">
            <v>66.85341846964559</v>
          </cell>
          <cell r="K351">
            <v>66.655229791812474</v>
          </cell>
          <cell r="L351">
            <v>65.655280493721449</v>
          </cell>
          <cell r="M351">
            <v>65.653959193352705</v>
          </cell>
          <cell r="N351">
            <v>65.856332895327526</v>
          </cell>
          <cell r="O351">
            <v>67.454417405868767</v>
          </cell>
          <cell r="P351">
            <v>68.212902290513398</v>
          </cell>
          <cell r="Q351">
            <v>68.413048027340508</v>
          </cell>
          <cell r="R351">
            <v>69.104733100732844</v>
          </cell>
          <cell r="S351">
            <v>69.449034363899429</v>
          </cell>
          <cell r="T351">
            <v>69.449034363899429</v>
          </cell>
          <cell r="U351">
            <v>69.449034363899429</v>
          </cell>
          <cell r="V351">
            <v>69.449034363899429</v>
          </cell>
          <cell r="W351">
            <v>69.449034363899429</v>
          </cell>
          <cell r="X351">
            <v>69.449034363899429</v>
          </cell>
          <cell r="Y351">
            <v>69.449034363899429</v>
          </cell>
          <cell r="Z351">
            <v>69.449034363899429</v>
          </cell>
          <cell r="AA351">
            <v>69.449034363899429</v>
          </cell>
          <cell r="AB351">
            <v>69.449034363899429</v>
          </cell>
          <cell r="AC351">
            <v>69.449034363899429</v>
          </cell>
          <cell r="AD351">
            <v>69.449034363899429</v>
          </cell>
          <cell r="AE351">
            <v>69.449034363899429</v>
          </cell>
          <cell r="AF351">
            <v>69.449034363899429</v>
          </cell>
        </row>
        <row r="352">
          <cell r="A352" t="str">
            <v>Oregon</v>
          </cell>
          <cell r="B352">
            <v>72.94208306432914</v>
          </cell>
          <cell r="C352">
            <v>73.176901027629569</v>
          </cell>
          <cell r="D352">
            <v>75.416845986483096</v>
          </cell>
          <cell r="E352">
            <v>76.474507156326823</v>
          </cell>
          <cell r="F352">
            <v>76.408998582610906</v>
          </cell>
          <cell r="G352">
            <v>76.517648819091605</v>
          </cell>
          <cell r="H352">
            <v>76.642592027507234</v>
          </cell>
          <cell r="I352">
            <v>76.757069821609903</v>
          </cell>
          <cell r="J352">
            <v>77.344550680465701</v>
          </cell>
          <cell r="K352">
            <v>77.113939793180023</v>
          </cell>
          <cell r="L352">
            <v>75.942138811257024</v>
          </cell>
          <cell r="M352">
            <v>75.94001679041304</v>
          </cell>
          <cell r="N352">
            <v>76.177275179659418</v>
          </cell>
          <cell r="O352">
            <v>78.051001764719615</v>
          </cell>
          <cell r="P352">
            <v>78.941383918795438</v>
          </cell>
          <cell r="Q352">
            <v>79.17599547022995</v>
          </cell>
          <cell r="R352">
            <v>79.987003717027051</v>
          </cell>
          <cell r="S352">
            <v>80.389860026063744</v>
          </cell>
          <cell r="T352">
            <v>80.389860026063744</v>
          </cell>
          <cell r="U352">
            <v>80.389860026063744</v>
          </cell>
          <cell r="V352">
            <v>80.389860026063744</v>
          </cell>
          <cell r="W352">
            <v>80.389860026063744</v>
          </cell>
          <cell r="X352">
            <v>80.389860026063744</v>
          </cell>
          <cell r="Y352">
            <v>80.389860026063744</v>
          </cell>
          <cell r="Z352">
            <v>80.389860026063744</v>
          </cell>
          <cell r="AA352">
            <v>80.389860026063744</v>
          </cell>
          <cell r="AB352">
            <v>80.389860026063744</v>
          </cell>
          <cell r="AC352">
            <v>80.389860026063744</v>
          </cell>
          <cell r="AD352">
            <v>80.389860026063744</v>
          </cell>
          <cell r="AE352">
            <v>80.389860026063744</v>
          </cell>
          <cell r="AF352">
            <v>80.389860026063744</v>
          </cell>
        </row>
        <row r="353">
          <cell r="A353" t="str">
            <v>Pennsylvania</v>
          </cell>
          <cell r="B353">
            <v>62.643653381256648</v>
          </cell>
          <cell r="C353">
            <v>62.842017094642614</v>
          </cell>
          <cell r="D353">
            <v>64.73670601366625</v>
          </cell>
          <cell r="E353">
            <v>65.633934127757698</v>
          </cell>
          <cell r="F353">
            <v>65.577146227371543</v>
          </cell>
          <cell r="G353">
            <v>65.669660851785608</v>
          </cell>
          <cell r="H353">
            <v>65.773969430030064</v>
          </cell>
          <cell r="I353">
            <v>65.873582114045902</v>
          </cell>
          <cell r="J353">
            <v>66.371290641332749</v>
          </cell>
          <cell r="K353">
            <v>66.174580858940956</v>
          </cell>
          <cell r="L353">
            <v>65.18240375652519</v>
          </cell>
          <cell r="M353">
            <v>65.181114271680968</v>
          </cell>
          <cell r="N353">
            <v>65.381911074838911</v>
          </cell>
          <cell r="O353">
            <v>66.967536972211121</v>
          </cell>
          <cell r="P353">
            <v>67.720068482533165</v>
          </cell>
          <cell r="Q353">
            <v>67.918655988751198</v>
          </cell>
          <cell r="R353">
            <v>68.604947979802603</v>
          </cell>
          <cell r="S353">
            <v>68.946596293581848</v>
          </cell>
          <cell r="T353">
            <v>68.946596293581848</v>
          </cell>
          <cell r="U353">
            <v>68.946596293581848</v>
          </cell>
          <cell r="V353">
            <v>68.946596293581848</v>
          </cell>
          <cell r="W353">
            <v>68.946596293581848</v>
          </cell>
          <cell r="X353">
            <v>68.946596293581848</v>
          </cell>
          <cell r="Y353">
            <v>68.946596293581848</v>
          </cell>
          <cell r="Z353">
            <v>68.946596293581848</v>
          </cell>
          <cell r="AA353">
            <v>68.946596293581848</v>
          </cell>
          <cell r="AB353">
            <v>68.946596293581848</v>
          </cell>
          <cell r="AC353">
            <v>68.946596293581848</v>
          </cell>
          <cell r="AD353">
            <v>68.946596293581848</v>
          </cell>
          <cell r="AE353">
            <v>68.946596293581848</v>
          </cell>
          <cell r="AF353">
            <v>68.946596293581848</v>
          </cell>
        </row>
        <row r="354">
          <cell r="A354" t="str">
            <v>Rhode Island</v>
          </cell>
          <cell r="B354">
            <v>62.643653381256627</v>
          </cell>
          <cell r="C354">
            <v>62.8420170946426</v>
          </cell>
          <cell r="D354">
            <v>64.73670601366625</v>
          </cell>
          <cell r="E354">
            <v>65.633934127757698</v>
          </cell>
          <cell r="F354">
            <v>65.577146227371529</v>
          </cell>
          <cell r="G354">
            <v>65.669660851785608</v>
          </cell>
          <cell r="H354">
            <v>65.773969430030093</v>
          </cell>
          <cell r="I354">
            <v>65.873582114045917</v>
          </cell>
          <cell r="J354">
            <v>66.371290641332749</v>
          </cell>
          <cell r="K354">
            <v>66.174580858940928</v>
          </cell>
          <cell r="L354">
            <v>65.182403756525176</v>
          </cell>
          <cell r="M354">
            <v>65.181114271680968</v>
          </cell>
          <cell r="N354">
            <v>65.381911074838897</v>
          </cell>
          <cell r="O354">
            <v>66.967536972211121</v>
          </cell>
          <cell r="P354">
            <v>67.720068482533165</v>
          </cell>
          <cell r="Q354">
            <v>67.918655988751226</v>
          </cell>
          <cell r="R354">
            <v>68.604947979802603</v>
          </cell>
          <cell r="S354">
            <v>68.946596293581862</v>
          </cell>
          <cell r="T354">
            <v>68.946596293581862</v>
          </cell>
          <cell r="U354">
            <v>68.946596293581862</v>
          </cell>
          <cell r="V354">
            <v>68.946596293581862</v>
          </cell>
          <cell r="W354">
            <v>68.946596293581862</v>
          </cell>
          <cell r="X354">
            <v>68.946596293581862</v>
          </cell>
          <cell r="Y354">
            <v>68.946596293581862</v>
          </cell>
          <cell r="Z354">
            <v>68.946596293581862</v>
          </cell>
          <cell r="AA354">
            <v>68.946596293581862</v>
          </cell>
          <cell r="AB354">
            <v>68.946596293581862</v>
          </cell>
          <cell r="AC354">
            <v>68.946596293581862</v>
          </cell>
          <cell r="AD354">
            <v>68.946596293581862</v>
          </cell>
          <cell r="AE354">
            <v>68.946596293581862</v>
          </cell>
          <cell r="AF354">
            <v>68.946596293581862</v>
          </cell>
        </row>
        <row r="355">
          <cell r="A355" t="str">
            <v>South Carolina</v>
          </cell>
          <cell r="B355">
            <v>63.197269762837472</v>
          </cell>
          <cell r="C355">
            <v>63.397557183067498</v>
          </cell>
          <cell r="D355">
            <v>65.310490031787552</v>
          </cell>
          <cell r="E355">
            <v>66.216221568608063</v>
          </cell>
          <cell r="F355">
            <v>66.158959110799969</v>
          </cell>
          <cell r="G355">
            <v>66.252332471469856</v>
          </cell>
          <cell r="H355">
            <v>66.357717679213323</v>
          </cell>
          <cell r="I355">
            <v>66.458143614065307</v>
          </cell>
          <cell r="J355">
            <v>66.9606036499856</v>
          </cell>
          <cell r="K355">
            <v>66.762086059268711</v>
          </cell>
          <cell r="L355">
            <v>65.760407407916432</v>
          </cell>
          <cell r="M355">
            <v>65.759078976299492</v>
          </cell>
          <cell r="N355">
            <v>65.961803555832077</v>
          </cell>
          <cell r="O355">
            <v>67.562660261869596</v>
          </cell>
          <cell r="P355">
            <v>68.322469943021972</v>
          </cell>
          <cell r="Q355">
            <v>68.522962400365984</v>
          </cell>
          <cell r="R355">
            <v>69.215847503029281</v>
          </cell>
          <cell r="S355">
            <v>69.560739004948687</v>
          </cell>
          <cell r="T355">
            <v>69.560739004948687</v>
          </cell>
          <cell r="U355">
            <v>69.560739004948687</v>
          </cell>
          <cell r="V355">
            <v>69.560739004948687</v>
          </cell>
          <cell r="W355">
            <v>69.560739004948687</v>
          </cell>
          <cell r="X355">
            <v>69.560739004948687</v>
          </cell>
          <cell r="Y355">
            <v>69.560739004948687</v>
          </cell>
          <cell r="Z355">
            <v>69.560739004948687</v>
          </cell>
          <cell r="AA355">
            <v>69.560739004948687</v>
          </cell>
          <cell r="AB355">
            <v>69.560739004948687</v>
          </cell>
          <cell r="AC355">
            <v>69.560739004948687</v>
          </cell>
          <cell r="AD355">
            <v>69.560739004948687</v>
          </cell>
          <cell r="AE355">
            <v>69.560739004948687</v>
          </cell>
          <cell r="AF355">
            <v>69.560739004948687</v>
          </cell>
        </row>
        <row r="356">
          <cell r="A356" t="str">
            <v>South Dakota</v>
          </cell>
          <cell r="B356">
            <v>60.565482253963431</v>
          </cell>
          <cell r="C356">
            <v>60.756660133993506</v>
          </cell>
          <cell r="D356">
            <v>62.583175826799057</v>
          </cell>
          <cell r="E356">
            <v>63.448602787063649</v>
          </cell>
          <cell r="F356">
            <v>63.393601949792647</v>
          </cell>
          <cell r="G356">
            <v>63.482901572826698</v>
          </cell>
          <cell r="H356">
            <v>63.583200795966725</v>
          </cell>
          <cell r="I356">
            <v>63.679746776167171</v>
          </cell>
          <cell r="J356">
            <v>64.159692255914422</v>
          </cell>
          <cell r="K356">
            <v>63.969754253800708</v>
          </cell>
          <cell r="L356">
            <v>63.01309210004343</v>
          </cell>
          <cell r="M356">
            <v>63.011943099366846</v>
          </cell>
          <cell r="N356">
            <v>63.205535176937758</v>
          </cell>
          <cell r="O356">
            <v>64.734240090866152</v>
          </cell>
          <cell r="P356">
            <v>65.459580910549747</v>
          </cell>
          <cell r="Q356">
            <v>65.651048688254591</v>
          </cell>
          <cell r="R356">
            <v>66.312700898831167</v>
          </cell>
          <cell r="S356">
            <v>66.642221330285807</v>
          </cell>
          <cell r="T356">
            <v>66.642221330285807</v>
          </cell>
          <cell r="U356">
            <v>66.642221330285807</v>
          </cell>
          <cell r="V356">
            <v>66.642221330285807</v>
          </cell>
          <cell r="W356">
            <v>66.642221330285807</v>
          </cell>
          <cell r="X356">
            <v>66.642221330285807</v>
          </cell>
          <cell r="Y356">
            <v>66.642221330285807</v>
          </cell>
          <cell r="Z356">
            <v>66.642221330285807</v>
          </cell>
          <cell r="AA356">
            <v>66.642221330285807</v>
          </cell>
          <cell r="AB356">
            <v>66.642221330285807</v>
          </cell>
          <cell r="AC356">
            <v>66.642221330285807</v>
          </cell>
          <cell r="AD356">
            <v>66.642221330285807</v>
          </cell>
          <cell r="AE356">
            <v>66.642221330285807</v>
          </cell>
          <cell r="AF356">
            <v>66.642221330285807</v>
          </cell>
        </row>
        <row r="357">
          <cell r="A357" t="str">
            <v>Tennessee</v>
          </cell>
          <cell r="B357">
            <v>63.197269762837458</v>
          </cell>
          <cell r="C357">
            <v>63.397557183067512</v>
          </cell>
          <cell r="D357">
            <v>65.310490031787552</v>
          </cell>
          <cell r="E357">
            <v>66.216221568608063</v>
          </cell>
          <cell r="F357">
            <v>66.158959110799984</v>
          </cell>
          <cell r="G357">
            <v>66.252332471469856</v>
          </cell>
          <cell r="H357">
            <v>66.357717679213309</v>
          </cell>
          <cell r="I357">
            <v>66.458143614065307</v>
          </cell>
          <cell r="J357">
            <v>66.960603649985615</v>
          </cell>
          <cell r="K357">
            <v>66.762086059268725</v>
          </cell>
          <cell r="L357">
            <v>65.760407407916418</v>
          </cell>
          <cell r="M357">
            <v>65.759078976299492</v>
          </cell>
          <cell r="N357">
            <v>65.961803555832049</v>
          </cell>
          <cell r="O357">
            <v>67.562660261869596</v>
          </cell>
          <cell r="P357">
            <v>68.322469943022</v>
          </cell>
          <cell r="Q357">
            <v>68.522962400365984</v>
          </cell>
          <cell r="R357">
            <v>69.215847503029281</v>
          </cell>
          <cell r="S357">
            <v>69.560739004948687</v>
          </cell>
          <cell r="T357">
            <v>69.560739004948687</v>
          </cell>
          <cell r="U357">
            <v>69.560739004948687</v>
          </cell>
          <cell r="V357">
            <v>69.560739004948687</v>
          </cell>
          <cell r="W357">
            <v>69.560739004948687</v>
          </cell>
          <cell r="X357">
            <v>69.560739004948687</v>
          </cell>
          <cell r="Y357">
            <v>69.560739004948687</v>
          </cell>
          <cell r="Z357">
            <v>69.560739004948687</v>
          </cell>
          <cell r="AA357">
            <v>69.560739004948687</v>
          </cell>
          <cell r="AB357">
            <v>69.560739004948687</v>
          </cell>
          <cell r="AC357">
            <v>69.560739004948687</v>
          </cell>
          <cell r="AD357">
            <v>69.560739004948687</v>
          </cell>
          <cell r="AE357">
            <v>69.560739004948687</v>
          </cell>
          <cell r="AF357">
            <v>69.560739004948687</v>
          </cell>
        </row>
        <row r="358">
          <cell r="A358" t="str">
            <v>Texas</v>
          </cell>
          <cell r="B358">
            <v>63.096581635161336</v>
          </cell>
          <cell r="C358">
            <v>63.29651888768705</v>
          </cell>
          <cell r="D358">
            <v>65.206131044658321</v>
          </cell>
          <cell r="E358">
            <v>66.110315037131855</v>
          </cell>
          <cell r="F358">
            <v>66.053138841282134</v>
          </cell>
          <cell r="G358">
            <v>66.146355949155563</v>
          </cell>
          <cell r="H358">
            <v>66.2515450776378</v>
          </cell>
          <cell r="I358">
            <v>66.351823220284444</v>
          </cell>
          <cell r="J358">
            <v>66.853418469645604</v>
          </cell>
          <cell r="K358">
            <v>66.655229791812502</v>
          </cell>
          <cell r="L358">
            <v>65.655280493721449</v>
          </cell>
          <cell r="M358">
            <v>65.653959193352705</v>
          </cell>
          <cell r="N358">
            <v>65.856332895327512</v>
          </cell>
          <cell r="O358">
            <v>67.454417405868767</v>
          </cell>
          <cell r="P358">
            <v>68.212902290513398</v>
          </cell>
          <cell r="Q358">
            <v>68.413048027340508</v>
          </cell>
          <cell r="R358">
            <v>69.104733100732844</v>
          </cell>
          <cell r="S358">
            <v>69.449034363899429</v>
          </cell>
          <cell r="T358">
            <v>69.449034363899429</v>
          </cell>
          <cell r="U358">
            <v>69.449034363899429</v>
          </cell>
          <cell r="V358">
            <v>69.449034363899429</v>
          </cell>
          <cell r="W358">
            <v>69.449034363899429</v>
          </cell>
          <cell r="X358">
            <v>69.449034363899429</v>
          </cell>
          <cell r="Y358">
            <v>69.449034363899429</v>
          </cell>
          <cell r="Z358">
            <v>69.449034363899429</v>
          </cell>
          <cell r="AA358">
            <v>69.449034363899429</v>
          </cell>
          <cell r="AB358">
            <v>69.449034363899429</v>
          </cell>
          <cell r="AC358">
            <v>69.449034363899429</v>
          </cell>
          <cell r="AD358">
            <v>69.449034363899429</v>
          </cell>
          <cell r="AE358">
            <v>69.449034363899429</v>
          </cell>
          <cell r="AF358">
            <v>69.449034363899429</v>
          </cell>
        </row>
        <row r="359">
          <cell r="A359" t="str">
            <v>Utah</v>
          </cell>
          <cell r="B359">
            <v>72.942083064329111</v>
          </cell>
          <cell r="C359">
            <v>73.176901027629583</v>
          </cell>
          <cell r="D359">
            <v>75.416845986483096</v>
          </cell>
          <cell r="E359">
            <v>76.474507156326808</v>
          </cell>
          <cell r="F359">
            <v>76.408998582610906</v>
          </cell>
          <cell r="G359">
            <v>76.51764881909159</v>
          </cell>
          <cell r="H359">
            <v>76.642592027507234</v>
          </cell>
          <cell r="I359">
            <v>76.757069821609889</v>
          </cell>
          <cell r="J359">
            <v>77.344550680465701</v>
          </cell>
          <cell r="K359">
            <v>77.113939793180023</v>
          </cell>
          <cell r="L359">
            <v>75.942138811257024</v>
          </cell>
          <cell r="M359">
            <v>75.94001679041304</v>
          </cell>
          <cell r="N359">
            <v>76.177275179659404</v>
          </cell>
          <cell r="O359">
            <v>78.051001764719587</v>
          </cell>
          <cell r="P359">
            <v>78.941383918795438</v>
          </cell>
          <cell r="Q359">
            <v>79.17599547022995</v>
          </cell>
          <cell r="R359">
            <v>79.987003717027093</v>
          </cell>
          <cell r="S359">
            <v>80.389860026063744</v>
          </cell>
          <cell r="T359">
            <v>80.389860026063744</v>
          </cell>
          <cell r="U359">
            <v>80.389860026063744</v>
          </cell>
          <cell r="V359">
            <v>80.389860026063744</v>
          </cell>
          <cell r="W359">
            <v>80.389860026063744</v>
          </cell>
          <cell r="X359">
            <v>80.389860026063744</v>
          </cell>
          <cell r="Y359">
            <v>80.389860026063744</v>
          </cell>
          <cell r="Z359">
            <v>80.389860026063744</v>
          </cell>
          <cell r="AA359">
            <v>80.389860026063744</v>
          </cell>
          <cell r="AB359">
            <v>80.389860026063744</v>
          </cell>
          <cell r="AC359">
            <v>80.389860026063744</v>
          </cell>
          <cell r="AD359">
            <v>80.389860026063744</v>
          </cell>
          <cell r="AE359">
            <v>80.389860026063744</v>
          </cell>
          <cell r="AF359">
            <v>80.389860026063744</v>
          </cell>
        </row>
        <row r="360">
          <cell r="A360" t="str">
            <v>Vermont</v>
          </cell>
          <cell r="B360">
            <v>62.643653381256655</v>
          </cell>
          <cell r="C360">
            <v>62.842017094642614</v>
          </cell>
          <cell r="D360">
            <v>64.736706013666236</v>
          </cell>
          <cell r="E360">
            <v>65.633934127757698</v>
          </cell>
          <cell r="F360">
            <v>65.577146227371529</v>
          </cell>
          <cell r="G360">
            <v>65.669660851785608</v>
          </cell>
          <cell r="H360">
            <v>65.773969430030093</v>
          </cell>
          <cell r="I360">
            <v>65.873582114045902</v>
          </cell>
          <cell r="J360">
            <v>66.371290641332749</v>
          </cell>
          <cell r="K360">
            <v>66.174580858940956</v>
          </cell>
          <cell r="L360">
            <v>65.18240375652519</v>
          </cell>
          <cell r="M360">
            <v>65.181114271680968</v>
          </cell>
          <cell r="N360">
            <v>65.381911074838911</v>
          </cell>
          <cell r="O360">
            <v>66.967536972211121</v>
          </cell>
          <cell r="P360">
            <v>67.720068482533151</v>
          </cell>
          <cell r="Q360">
            <v>67.918655988751212</v>
          </cell>
          <cell r="R360">
            <v>68.604947979802603</v>
          </cell>
          <cell r="S360">
            <v>68.946596293581848</v>
          </cell>
          <cell r="T360">
            <v>68.946596293581848</v>
          </cell>
          <cell r="U360">
            <v>68.946596293581848</v>
          </cell>
          <cell r="V360">
            <v>68.946596293581848</v>
          </cell>
          <cell r="W360">
            <v>68.946596293581848</v>
          </cell>
          <cell r="X360">
            <v>68.946596293581848</v>
          </cell>
          <cell r="Y360">
            <v>68.946596293581848</v>
          </cell>
          <cell r="Z360">
            <v>68.946596293581848</v>
          </cell>
          <cell r="AA360">
            <v>68.946596293581848</v>
          </cell>
          <cell r="AB360">
            <v>68.946596293581848</v>
          </cell>
          <cell r="AC360">
            <v>68.946596293581848</v>
          </cell>
          <cell r="AD360">
            <v>68.946596293581848</v>
          </cell>
          <cell r="AE360">
            <v>68.946596293581848</v>
          </cell>
          <cell r="AF360">
            <v>68.946596293581848</v>
          </cell>
        </row>
        <row r="361">
          <cell r="A361" t="str">
            <v>Virginia</v>
          </cell>
          <cell r="B361">
            <v>63.197269762837472</v>
          </cell>
          <cell r="C361">
            <v>63.397557183067498</v>
          </cell>
          <cell r="D361">
            <v>65.310490031787552</v>
          </cell>
          <cell r="E361">
            <v>66.216221568608077</v>
          </cell>
          <cell r="F361">
            <v>66.158959110799984</v>
          </cell>
          <cell r="G361">
            <v>66.25233247146987</v>
          </cell>
          <cell r="H361">
            <v>66.357717679213323</v>
          </cell>
          <cell r="I361">
            <v>66.458143614065307</v>
          </cell>
          <cell r="J361">
            <v>66.960603649985629</v>
          </cell>
          <cell r="K361">
            <v>66.762086059268725</v>
          </cell>
          <cell r="L361">
            <v>65.760407407916432</v>
          </cell>
          <cell r="M361">
            <v>65.759078976299492</v>
          </cell>
          <cell r="N361">
            <v>65.961803555832049</v>
          </cell>
          <cell r="O361">
            <v>67.56266026186961</v>
          </cell>
          <cell r="P361">
            <v>68.322469943021986</v>
          </cell>
          <cell r="Q361">
            <v>68.522962400365998</v>
          </cell>
          <cell r="R361">
            <v>69.215847503029252</v>
          </cell>
          <cell r="S361">
            <v>69.560739004948701</v>
          </cell>
          <cell r="T361">
            <v>69.560739004948701</v>
          </cell>
          <cell r="U361">
            <v>69.560739004948701</v>
          </cell>
          <cell r="V361">
            <v>69.560739004948701</v>
          </cell>
          <cell r="W361">
            <v>69.560739004948701</v>
          </cell>
          <cell r="X361">
            <v>69.560739004948701</v>
          </cell>
          <cell r="Y361">
            <v>69.560739004948701</v>
          </cell>
          <cell r="Z361">
            <v>69.560739004948701</v>
          </cell>
          <cell r="AA361">
            <v>69.560739004948701</v>
          </cell>
          <cell r="AB361">
            <v>69.560739004948701</v>
          </cell>
          <cell r="AC361">
            <v>69.560739004948701</v>
          </cell>
          <cell r="AD361">
            <v>69.560739004948701</v>
          </cell>
          <cell r="AE361">
            <v>69.560739004948701</v>
          </cell>
          <cell r="AF361">
            <v>69.560739004948701</v>
          </cell>
        </row>
        <row r="362">
          <cell r="A362" t="str">
            <v>Washington</v>
          </cell>
          <cell r="B362">
            <v>72.94208306432914</v>
          </cell>
          <cell r="C362">
            <v>73.176901027629569</v>
          </cell>
          <cell r="D362">
            <v>75.416845986483096</v>
          </cell>
          <cell r="E362">
            <v>76.474507156326823</v>
          </cell>
          <cell r="F362">
            <v>76.40899858261092</v>
          </cell>
          <cell r="G362">
            <v>76.51764881909159</v>
          </cell>
          <cell r="H362">
            <v>76.642592027507263</v>
          </cell>
          <cell r="I362">
            <v>76.757069821609917</v>
          </cell>
          <cell r="J362">
            <v>77.344550680465716</v>
          </cell>
          <cell r="K362">
            <v>77.113939793180023</v>
          </cell>
          <cell r="L362">
            <v>75.942138811257038</v>
          </cell>
          <cell r="M362">
            <v>75.94001679041304</v>
          </cell>
          <cell r="N362">
            <v>76.177275179659418</v>
          </cell>
          <cell r="O362">
            <v>78.051001764719587</v>
          </cell>
          <cell r="P362">
            <v>78.941383918795438</v>
          </cell>
          <cell r="Q362">
            <v>79.175995470229964</v>
          </cell>
          <cell r="R362">
            <v>79.987003717027093</v>
          </cell>
          <cell r="S362">
            <v>80.389860026063744</v>
          </cell>
          <cell r="T362">
            <v>80.389860026063744</v>
          </cell>
          <cell r="U362">
            <v>80.389860026063744</v>
          </cell>
          <cell r="V362">
            <v>80.389860026063744</v>
          </cell>
          <cell r="W362">
            <v>80.389860026063744</v>
          </cell>
          <cell r="X362">
            <v>80.389860026063744</v>
          </cell>
          <cell r="Y362">
            <v>80.389860026063744</v>
          </cell>
          <cell r="Z362">
            <v>80.389860026063744</v>
          </cell>
          <cell r="AA362">
            <v>80.389860026063744</v>
          </cell>
          <cell r="AB362">
            <v>80.389860026063744</v>
          </cell>
          <cell r="AC362">
            <v>80.389860026063744</v>
          </cell>
          <cell r="AD362">
            <v>80.389860026063744</v>
          </cell>
          <cell r="AE362">
            <v>80.389860026063744</v>
          </cell>
          <cell r="AF362">
            <v>80.389860026063744</v>
          </cell>
        </row>
        <row r="363">
          <cell r="A363" t="str">
            <v>West Virginia</v>
          </cell>
          <cell r="B363">
            <v>62.643653381256648</v>
          </cell>
          <cell r="C363">
            <v>62.842017094642607</v>
          </cell>
          <cell r="D363">
            <v>64.73670601366625</v>
          </cell>
          <cell r="E363">
            <v>65.633934127757698</v>
          </cell>
          <cell r="F363">
            <v>65.577146227371529</v>
          </cell>
          <cell r="G363">
            <v>65.669660851785608</v>
          </cell>
          <cell r="H363">
            <v>65.773969430030064</v>
          </cell>
          <cell r="I363">
            <v>65.873582114045917</v>
          </cell>
          <cell r="J363">
            <v>66.371290641332763</v>
          </cell>
          <cell r="K363">
            <v>66.174580858940942</v>
          </cell>
          <cell r="L363">
            <v>65.18240375652519</v>
          </cell>
          <cell r="M363">
            <v>65.181114271680968</v>
          </cell>
          <cell r="N363">
            <v>65.381911074838911</v>
          </cell>
          <cell r="O363">
            <v>66.967536972211136</v>
          </cell>
          <cell r="P363">
            <v>67.720068482533165</v>
          </cell>
          <cell r="Q363">
            <v>67.918655988751212</v>
          </cell>
          <cell r="R363">
            <v>68.604947979802603</v>
          </cell>
          <cell r="S363">
            <v>68.946596293581848</v>
          </cell>
          <cell r="T363">
            <v>68.946596293581848</v>
          </cell>
          <cell r="U363">
            <v>68.946596293581848</v>
          </cell>
          <cell r="V363">
            <v>68.946596293581848</v>
          </cell>
          <cell r="W363">
            <v>68.946596293581848</v>
          </cell>
          <cell r="X363">
            <v>68.946596293581848</v>
          </cell>
          <cell r="Y363">
            <v>68.946596293581848</v>
          </cell>
          <cell r="Z363">
            <v>68.946596293581848</v>
          </cell>
          <cell r="AA363">
            <v>68.946596293581848</v>
          </cell>
          <cell r="AB363">
            <v>68.946596293581848</v>
          </cell>
          <cell r="AC363">
            <v>68.946596293581848</v>
          </cell>
          <cell r="AD363">
            <v>68.946596293581848</v>
          </cell>
          <cell r="AE363">
            <v>68.946596293581848</v>
          </cell>
          <cell r="AF363">
            <v>68.946596293581848</v>
          </cell>
        </row>
        <row r="364">
          <cell r="A364" t="str">
            <v>Wisconsin</v>
          </cell>
          <cell r="B364">
            <v>62.654428984173258</v>
          </cell>
          <cell r="C364">
            <v>62.852830102022914</v>
          </cell>
          <cell r="D364">
            <v>64.747873782055393</v>
          </cell>
          <cell r="E364">
            <v>65.645267277072506</v>
          </cell>
          <cell r="F364">
            <v>65.588470133710032</v>
          </cell>
          <cell r="G364">
            <v>65.68100146328068</v>
          </cell>
          <cell r="H364">
            <v>65.785330962043119</v>
          </cell>
          <cell r="I364">
            <v>65.884959490371415</v>
          </cell>
          <cell r="J364">
            <v>66.382760421271541</v>
          </cell>
          <cell r="K364">
            <v>66.186015467351183</v>
          </cell>
          <cell r="L364">
            <v>65.193653592434927</v>
          </cell>
          <cell r="M364">
            <v>65.192363355763575</v>
          </cell>
          <cell r="N364">
            <v>65.393197646539122</v>
          </cell>
          <cell r="O364">
            <v>66.979119721210694</v>
          </cell>
          <cell r="P364">
            <v>67.731792752017398</v>
          </cell>
          <cell r="Q364">
            <v>67.930417302328649</v>
          </cell>
          <cell r="R364">
            <v>68.616837502405716</v>
          </cell>
          <cell r="S364">
            <v>68.958548891028641</v>
          </cell>
          <cell r="T364">
            <v>68.958548891028641</v>
          </cell>
          <cell r="U364">
            <v>68.958548891028641</v>
          </cell>
          <cell r="V364">
            <v>68.958548891028641</v>
          </cell>
          <cell r="W364">
            <v>68.958548891028641</v>
          </cell>
          <cell r="X364">
            <v>68.958548891028641</v>
          </cell>
          <cell r="Y364">
            <v>68.958548891028641</v>
          </cell>
          <cell r="Z364">
            <v>68.958548891028641</v>
          </cell>
          <cell r="AA364">
            <v>68.958548891028641</v>
          </cell>
          <cell r="AB364">
            <v>68.958548891028641</v>
          </cell>
          <cell r="AC364">
            <v>68.958548891028641</v>
          </cell>
          <cell r="AD364">
            <v>68.958548891028641</v>
          </cell>
          <cell r="AE364">
            <v>68.958548891028641</v>
          </cell>
          <cell r="AF364">
            <v>68.958548891028641</v>
          </cell>
        </row>
        <row r="365">
          <cell r="A365" t="str">
            <v>Wyoming</v>
          </cell>
          <cell r="B365">
            <v>60.565482253963438</v>
          </cell>
          <cell r="C365">
            <v>60.756660133993506</v>
          </cell>
          <cell r="D365">
            <v>62.583175826799071</v>
          </cell>
          <cell r="E365">
            <v>63.448602787063642</v>
          </cell>
          <cell r="F365">
            <v>63.393601949792654</v>
          </cell>
          <cell r="G365">
            <v>63.482901572826698</v>
          </cell>
          <cell r="H365">
            <v>63.583200795966711</v>
          </cell>
          <cell r="I365">
            <v>63.679746776167178</v>
          </cell>
          <cell r="J365">
            <v>64.159692255914422</v>
          </cell>
          <cell r="K365">
            <v>63.969754253800701</v>
          </cell>
          <cell r="L365">
            <v>63.013092100043423</v>
          </cell>
          <cell r="M365">
            <v>63.011943099366825</v>
          </cell>
          <cell r="N365">
            <v>63.205535176937751</v>
          </cell>
          <cell r="O365">
            <v>64.734240090866166</v>
          </cell>
          <cell r="P365">
            <v>65.459580910549747</v>
          </cell>
          <cell r="Q365">
            <v>65.651048688254576</v>
          </cell>
          <cell r="R365">
            <v>66.312700898831153</v>
          </cell>
          <cell r="S365">
            <v>66.642221330285807</v>
          </cell>
          <cell r="T365">
            <v>66.642221330285807</v>
          </cell>
          <cell r="U365">
            <v>66.642221330285807</v>
          </cell>
          <cell r="V365">
            <v>66.642221330285807</v>
          </cell>
          <cell r="W365">
            <v>66.642221330285807</v>
          </cell>
          <cell r="X365">
            <v>66.642221330285807</v>
          </cell>
          <cell r="Y365">
            <v>66.642221330285807</v>
          </cell>
          <cell r="Z365">
            <v>66.642221330285807</v>
          </cell>
          <cell r="AA365">
            <v>66.642221330285807</v>
          </cell>
          <cell r="AB365">
            <v>66.642221330285807</v>
          </cell>
          <cell r="AC365">
            <v>66.642221330285807</v>
          </cell>
          <cell r="AD365">
            <v>66.642221330285807</v>
          </cell>
          <cell r="AE365">
            <v>66.642221330285807</v>
          </cell>
          <cell r="AF365">
            <v>66.642221330285807</v>
          </cell>
        </row>
        <row r="367">
          <cell r="A367" t="str">
            <v>Beef Replacements Total</v>
          </cell>
          <cell r="B367">
            <v>1990</v>
          </cell>
          <cell r="C367">
            <v>1991</v>
          </cell>
          <cell r="D367">
            <v>1992</v>
          </cell>
          <cell r="E367">
            <v>1993</v>
          </cell>
          <cell r="F367">
            <v>1994</v>
          </cell>
          <cell r="G367">
            <v>1995</v>
          </cell>
          <cell r="H367">
            <v>1996</v>
          </cell>
          <cell r="I367">
            <v>1997</v>
          </cell>
          <cell r="J367">
            <v>1998</v>
          </cell>
          <cell r="K367">
            <v>1999</v>
          </cell>
          <cell r="L367">
            <v>2000</v>
          </cell>
          <cell r="M367">
            <v>2001</v>
          </cell>
          <cell r="N367">
            <v>2002</v>
          </cell>
          <cell r="O367">
            <v>2003</v>
          </cell>
          <cell r="P367">
            <v>2004</v>
          </cell>
          <cell r="Q367">
            <v>2005</v>
          </cell>
          <cell r="R367">
            <v>2006</v>
          </cell>
          <cell r="S367">
            <v>2007</v>
          </cell>
          <cell r="T367">
            <v>2008</v>
          </cell>
          <cell r="U367">
            <v>2009</v>
          </cell>
          <cell r="V367">
            <v>2010</v>
          </cell>
          <cell r="W367">
            <v>2011</v>
          </cell>
          <cell r="X367">
            <v>2012</v>
          </cell>
          <cell r="Y367">
            <v>2013</v>
          </cell>
          <cell r="Z367">
            <v>2014</v>
          </cell>
          <cell r="AA367">
            <v>2015</v>
          </cell>
          <cell r="AB367">
            <v>2016</v>
          </cell>
          <cell r="AC367">
            <v>2017</v>
          </cell>
          <cell r="AD367">
            <v>2018</v>
          </cell>
          <cell r="AE367">
            <v>2019</v>
          </cell>
          <cell r="AF367">
            <v>2020</v>
          </cell>
        </row>
        <row r="368">
          <cell r="A368" t="str">
            <v>Alabama</v>
          </cell>
          <cell r="B368">
            <v>60.458256672914594</v>
          </cell>
          <cell r="C368">
            <v>60.645978195136891</v>
          </cell>
          <cell r="D368">
            <v>62.460633864057364</v>
          </cell>
          <cell r="E368">
            <v>63.391469529433095</v>
          </cell>
          <cell r="F368">
            <v>63.390368021691337</v>
          </cell>
          <cell r="G368">
            <v>63.57843624687267</v>
          </cell>
          <cell r="H368">
            <v>63.668337723045482</v>
          </cell>
          <cell r="I368">
            <v>63.794039112312781</v>
          </cell>
          <cell r="J368">
            <v>64.264794051448035</v>
          </cell>
          <cell r="K368">
            <v>64.019027268722041</v>
          </cell>
          <cell r="L368">
            <v>63.005005918068242</v>
          </cell>
          <cell r="M368">
            <v>63.03363421861733</v>
          </cell>
          <cell r="N368">
            <v>63.208460621972577</v>
          </cell>
          <cell r="O368">
            <v>64.830626475028737</v>
          </cell>
          <cell r="P368">
            <v>65.493572706637337</v>
          </cell>
          <cell r="Q368">
            <v>65.672059126988202</v>
          </cell>
          <cell r="R368">
            <v>66.425166494700591</v>
          </cell>
          <cell r="S368">
            <v>66.815653565387137</v>
          </cell>
          <cell r="T368">
            <v>66.815653565387137</v>
          </cell>
          <cell r="U368">
            <v>66.815653565387137</v>
          </cell>
          <cell r="V368">
            <v>66.815653565387137</v>
          </cell>
          <cell r="W368">
            <v>66.815653565387137</v>
          </cell>
          <cell r="X368">
            <v>66.815653565387137</v>
          </cell>
          <cell r="Y368">
            <v>66.815653565387137</v>
          </cell>
          <cell r="Z368">
            <v>66.815653565387137</v>
          </cell>
          <cell r="AA368">
            <v>66.815653565387137</v>
          </cell>
          <cell r="AB368">
            <v>66.815653565387137</v>
          </cell>
          <cell r="AC368">
            <v>66.815653565387137</v>
          </cell>
          <cell r="AD368">
            <v>66.815653565387137</v>
          </cell>
          <cell r="AE368">
            <v>66.815653565387137</v>
          </cell>
          <cell r="AF368">
            <v>66.815653565387137</v>
          </cell>
        </row>
        <row r="369">
          <cell r="A369" t="str">
            <v>Alaska</v>
          </cell>
          <cell r="B369">
            <v>69.96352325744094</v>
          </cell>
          <cell r="C369">
            <v>70.186045239387852</v>
          </cell>
          <cell r="D369">
            <v>72.332473305911094</v>
          </cell>
          <cell r="E369">
            <v>73.424603674258094</v>
          </cell>
          <cell r="F369">
            <v>73.421486640152935</v>
          </cell>
          <cell r="G369">
            <v>73.635883935775439</v>
          </cell>
          <cell r="H369">
            <v>73.744793738481789</v>
          </cell>
          <cell r="I369">
            <v>73.887683722975282</v>
          </cell>
          <cell r="J369">
            <v>74.443897642226176</v>
          </cell>
          <cell r="K369">
            <v>74.159369044506846</v>
          </cell>
          <cell r="L369">
            <v>72.966087722262841</v>
          </cell>
          <cell r="M369">
            <v>72.997197050870355</v>
          </cell>
          <cell r="N369">
            <v>73.205098296659585</v>
          </cell>
          <cell r="O369">
            <v>75.114706048223752</v>
          </cell>
          <cell r="P369">
            <v>75.903412859122483</v>
          </cell>
          <cell r="Q369">
            <v>76.115181398031268</v>
          </cell>
          <cell r="R369">
            <v>76.997975618110416</v>
          </cell>
          <cell r="S369">
            <v>77.453825565225301</v>
          </cell>
          <cell r="T369">
            <v>77.453825565225301</v>
          </cell>
          <cell r="U369">
            <v>77.453825565225301</v>
          </cell>
          <cell r="V369">
            <v>77.453825565225301</v>
          </cell>
          <cell r="W369">
            <v>77.453825565225301</v>
          </cell>
          <cell r="X369">
            <v>77.453825565225301</v>
          </cell>
          <cell r="Y369">
            <v>77.453825565225301</v>
          </cell>
          <cell r="Z369">
            <v>77.453825565225301</v>
          </cell>
          <cell r="AA369">
            <v>77.453825565225301</v>
          </cell>
          <cell r="AB369">
            <v>77.453825565225301</v>
          </cell>
          <cell r="AC369">
            <v>77.453825565225301</v>
          </cell>
          <cell r="AD369">
            <v>77.453825565225301</v>
          </cell>
          <cell r="AE369">
            <v>77.453825565225301</v>
          </cell>
          <cell r="AF369">
            <v>77.453825565225301</v>
          </cell>
        </row>
        <row r="370">
          <cell r="A370" t="str">
            <v>Arizona</v>
          </cell>
          <cell r="B370">
            <v>69.963523257440954</v>
          </cell>
          <cell r="C370">
            <v>70.186045239387838</v>
          </cell>
          <cell r="D370">
            <v>72.332473305911066</v>
          </cell>
          <cell r="E370">
            <v>73.424603674258108</v>
          </cell>
          <cell r="F370">
            <v>73.421486640152921</v>
          </cell>
          <cell r="G370">
            <v>73.635883935775468</v>
          </cell>
          <cell r="H370">
            <v>73.744793738481761</v>
          </cell>
          <cell r="I370">
            <v>73.887683722975311</v>
          </cell>
          <cell r="J370">
            <v>74.443897642226176</v>
          </cell>
          <cell r="K370">
            <v>74.159369044506832</v>
          </cell>
          <cell r="L370">
            <v>72.966087722262841</v>
          </cell>
          <cell r="M370">
            <v>72.997197050870369</v>
          </cell>
          <cell r="N370">
            <v>73.205098296659585</v>
          </cell>
          <cell r="O370">
            <v>75.114706048223766</v>
          </cell>
          <cell r="P370">
            <v>75.903412859122483</v>
          </cell>
          <cell r="Q370">
            <v>76.115181398031282</v>
          </cell>
          <cell r="R370">
            <v>76.997975618110416</v>
          </cell>
          <cell r="S370">
            <v>77.453825565225287</v>
          </cell>
          <cell r="T370">
            <v>77.453825565225287</v>
          </cell>
          <cell r="U370">
            <v>77.453825565225287</v>
          </cell>
          <cell r="V370">
            <v>77.453825565225287</v>
          </cell>
          <cell r="W370">
            <v>77.453825565225287</v>
          </cell>
          <cell r="X370">
            <v>77.453825565225287</v>
          </cell>
          <cell r="Y370">
            <v>77.453825565225287</v>
          </cell>
          <cell r="Z370">
            <v>77.453825565225287</v>
          </cell>
          <cell r="AA370">
            <v>77.453825565225287</v>
          </cell>
          <cell r="AB370">
            <v>77.453825565225287</v>
          </cell>
          <cell r="AC370">
            <v>77.453825565225287</v>
          </cell>
          <cell r="AD370">
            <v>77.453825565225287</v>
          </cell>
          <cell r="AE370">
            <v>77.453825565225287</v>
          </cell>
          <cell r="AF370">
            <v>77.453825565225287</v>
          </cell>
        </row>
        <row r="371">
          <cell r="A371" t="str">
            <v>Arkansas</v>
          </cell>
          <cell r="B371">
            <v>60.360375415253721</v>
          </cell>
          <cell r="C371">
            <v>60.547747987240989</v>
          </cell>
          <cell r="D371">
            <v>62.359069920571038</v>
          </cell>
          <cell r="E371">
            <v>63.288271248196956</v>
          </cell>
          <cell r="F371">
            <v>63.287187216196408</v>
          </cell>
          <cell r="G371">
            <v>63.474978550198202</v>
          </cell>
          <cell r="H371">
            <v>63.564692962086568</v>
          </cell>
          <cell r="I371">
            <v>63.690212768385884</v>
          </cell>
          <cell r="J371">
            <v>64.160108061451467</v>
          </cell>
          <cell r="K371">
            <v>63.914740214018124</v>
          </cell>
          <cell r="L371">
            <v>62.902529501639577</v>
          </cell>
          <cell r="M371">
            <v>62.931128658216437</v>
          </cell>
          <cell r="N371">
            <v>63.105624418137907</v>
          </cell>
          <cell r="O371">
            <v>64.724887993485439</v>
          </cell>
          <cell r="P371">
            <v>65.386577521323673</v>
          </cell>
          <cell r="Q371">
            <v>65.564730508500119</v>
          </cell>
          <cell r="R371">
            <v>66.316522498700465</v>
          </cell>
          <cell r="S371">
            <v>66.706343556947672</v>
          </cell>
          <cell r="T371">
            <v>66.706343556947672</v>
          </cell>
          <cell r="U371">
            <v>66.706343556947672</v>
          </cell>
          <cell r="V371">
            <v>66.706343556947672</v>
          </cell>
          <cell r="W371">
            <v>66.706343556947672</v>
          </cell>
          <cell r="X371">
            <v>66.706343556947672</v>
          </cell>
          <cell r="Y371">
            <v>66.706343556947672</v>
          </cell>
          <cell r="Z371">
            <v>66.706343556947672</v>
          </cell>
          <cell r="AA371">
            <v>66.706343556947672</v>
          </cell>
          <cell r="AB371">
            <v>66.706343556947672</v>
          </cell>
          <cell r="AC371">
            <v>66.706343556947672</v>
          </cell>
          <cell r="AD371">
            <v>66.706343556947672</v>
          </cell>
          <cell r="AE371">
            <v>66.706343556947672</v>
          </cell>
          <cell r="AF371">
            <v>66.706343556947672</v>
          </cell>
        </row>
        <row r="372">
          <cell r="A372" t="str">
            <v>California</v>
          </cell>
          <cell r="B372">
            <v>59.657699440385592</v>
          </cell>
          <cell r="C372">
            <v>59.842572470791168</v>
          </cell>
          <cell r="D372">
            <v>61.630010533027964</v>
          </cell>
          <cell r="E372">
            <v>62.547494794965381</v>
          </cell>
          <cell r="F372">
            <v>62.546534293971163</v>
          </cell>
          <cell r="G372">
            <v>62.732334480349074</v>
          </cell>
          <cell r="H372">
            <v>62.820711076109021</v>
          </cell>
          <cell r="I372">
            <v>62.944924633874535</v>
          </cell>
          <cell r="J372">
            <v>63.408660606771576</v>
          </cell>
          <cell r="K372">
            <v>63.166156532718361</v>
          </cell>
          <cell r="L372">
            <v>62.166923417248839</v>
          </cell>
          <cell r="M372">
            <v>62.195311242840049</v>
          </cell>
          <cell r="N372">
            <v>62.367439198448807</v>
          </cell>
          <cell r="O372">
            <v>63.965901581356931</v>
          </cell>
          <cell r="P372">
            <v>64.618591904074194</v>
          </cell>
          <cell r="Q372">
            <v>64.794356675123936</v>
          </cell>
          <cell r="R372">
            <v>65.536717541327704</v>
          </cell>
          <cell r="S372">
            <v>65.921761536949703</v>
          </cell>
          <cell r="T372">
            <v>65.921761536949703</v>
          </cell>
          <cell r="U372">
            <v>65.921761536949703</v>
          </cell>
          <cell r="V372">
            <v>65.921761536949703</v>
          </cell>
          <cell r="W372">
            <v>65.921761536949703</v>
          </cell>
          <cell r="X372">
            <v>65.921761536949703</v>
          </cell>
          <cell r="Y372">
            <v>65.921761536949703</v>
          </cell>
          <cell r="Z372">
            <v>65.921761536949703</v>
          </cell>
          <cell r="AA372">
            <v>65.921761536949703</v>
          </cell>
          <cell r="AB372">
            <v>65.921761536949703</v>
          </cell>
          <cell r="AC372">
            <v>65.921761536949703</v>
          </cell>
          <cell r="AD372">
            <v>65.921761536949703</v>
          </cell>
          <cell r="AE372">
            <v>65.921761536949703</v>
          </cell>
          <cell r="AF372">
            <v>65.921761536949703</v>
          </cell>
        </row>
        <row r="373">
          <cell r="A373" t="str">
            <v>Colorado</v>
          </cell>
          <cell r="B373">
            <v>57.901997943394072</v>
          </cell>
          <cell r="C373">
            <v>58.080667865833419</v>
          </cell>
          <cell r="D373">
            <v>59.80880105230554</v>
          </cell>
          <cell r="E373">
            <v>60.697128536775232</v>
          </cell>
          <cell r="F373">
            <v>60.696461973277898</v>
          </cell>
          <cell r="G373">
            <v>60.877261218494105</v>
          </cell>
          <cell r="H373">
            <v>60.9623340881204</v>
          </cell>
          <cell r="I373">
            <v>61.083263299757157</v>
          </cell>
          <cell r="J373">
            <v>61.531701070367347</v>
          </cell>
          <cell r="K373">
            <v>61.296351424588913</v>
          </cell>
          <cell r="L373">
            <v>60.329385606915658</v>
          </cell>
          <cell r="M373">
            <v>60.357229267633755</v>
          </cell>
          <cell r="N373">
            <v>60.523485683506749</v>
          </cell>
          <cell r="O373">
            <v>62.07023318542889</v>
          </cell>
          <cell r="P373">
            <v>62.700610146758635</v>
          </cell>
          <cell r="Q373">
            <v>62.870449436528432</v>
          </cell>
          <cell r="R373">
            <v>63.589335885917038</v>
          </cell>
          <cell r="S373">
            <v>63.962475659217773</v>
          </cell>
          <cell r="T373">
            <v>63.962475659217773</v>
          </cell>
          <cell r="U373">
            <v>63.962475659217773</v>
          </cell>
          <cell r="V373">
            <v>63.962475659217773</v>
          </cell>
          <cell r="W373">
            <v>63.962475659217773</v>
          </cell>
          <cell r="X373">
            <v>63.962475659217773</v>
          </cell>
          <cell r="Y373">
            <v>63.962475659217773</v>
          </cell>
          <cell r="Z373">
            <v>63.962475659217773</v>
          </cell>
          <cell r="AA373">
            <v>63.962475659217773</v>
          </cell>
          <cell r="AB373">
            <v>63.962475659217773</v>
          </cell>
          <cell r="AC373">
            <v>63.962475659217773</v>
          </cell>
          <cell r="AD373">
            <v>63.962475659217773</v>
          </cell>
          <cell r="AE373">
            <v>63.962475659217773</v>
          </cell>
          <cell r="AF373">
            <v>63.962475659217773</v>
          </cell>
        </row>
        <row r="374">
          <cell r="A374" t="str">
            <v>Connecticut</v>
          </cell>
          <cell r="B374">
            <v>59.920155095864942</v>
          </cell>
          <cell r="C374">
            <v>60.105960592058302</v>
          </cell>
          <cell r="D374">
            <v>61.902309513656576</v>
          </cell>
          <cell r="E374">
            <v>62.824166993541326</v>
          </cell>
          <cell r="F374">
            <v>62.82316074814414</v>
          </cell>
          <cell r="G374">
            <v>63.00970534103174</v>
          </cell>
          <cell r="H374">
            <v>63.098580576534303</v>
          </cell>
          <cell r="I374">
            <v>63.22328258224524</v>
          </cell>
          <cell r="J374">
            <v>63.689316658006327</v>
          </cell>
          <cell r="K374">
            <v>63.445742965665033</v>
          </cell>
          <cell r="L374">
            <v>62.441666861846393</v>
          </cell>
          <cell r="M374">
            <v>62.470134055055013</v>
          </cell>
          <cell r="N374">
            <v>62.643145206642068</v>
          </cell>
          <cell r="O374">
            <v>64.249370061264486</v>
          </cell>
          <cell r="P374">
            <v>64.905417043757041</v>
          </cell>
          <cell r="Q374">
            <v>65.082072713811996</v>
          </cell>
          <cell r="R374">
            <v>65.82795376551573</v>
          </cell>
          <cell r="S374">
            <v>66.214781183676749</v>
          </cell>
          <cell r="T374">
            <v>66.214781183676749</v>
          </cell>
          <cell r="U374">
            <v>66.214781183676749</v>
          </cell>
          <cell r="V374">
            <v>66.214781183676749</v>
          </cell>
          <cell r="W374">
            <v>66.214781183676749</v>
          </cell>
          <cell r="X374">
            <v>66.214781183676749</v>
          </cell>
          <cell r="Y374">
            <v>66.214781183676749</v>
          </cell>
          <cell r="Z374">
            <v>66.214781183676749</v>
          </cell>
          <cell r="AA374">
            <v>66.214781183676749</v>
          </cell>
          <cell r="AB374">
            <v>66.214781183676749</v>
          </cell>
          <cell r="AC374">
            <v>66.214781183676749</v>
          </cell>
          <cell r="AD374">
            <v>66.214781183676749</v>
          </cell>
          <cell r="AE374">
            <v>66.214781183676749</v>
          </cell>
          <cell r="AF374">
            <v>66.214781183676749</v>
          </cell>
        </row>
        <row r="375">
          <cell r="A375" t="str">
            <v>Delaware</v>
          </cell>
          <cell r="B375">
            <v>59.920155095864942</v>
          </cell>
          <cell r="C375">
            <v>60.105960592058302</v>
          </cell>
          <cell r="D375">
            <v>61.902309513656576</v>
          </cell>
          <cell r="E375">
            <v>62.824166993541326</v>
          </cell>
          <cell r="F375">
            <v>62.82316074814414</v>
          </cell>
          <cell r="G375">
            <v>63.009705341031733</v>
          </cell>
          <cell r="H375">
            <v>63.098580576534303</v>
          </cell>
          <cell r="I375">
            <v>63.22328258224524</v>
          </cell>
          <cell r="J375">
            <v>63.689316658006327</v>
          </cell>
          <cell r="K375">
            <v>63.445742965665019</v>
          </cell>
          <cell r="L375">
            <v>62.441666861846379</v>
          </cell>
          <cell r="M375">
            <v>62.470134055055013</v>
          </cell>
          <cell r="N375">
            <v>62.64314520664206</v>
          </cell>
          <cell r="O375">
            <v>64.2493700612645</v>
          </cell>
          <cell r="P375">
            <v>64.905417043757041</v>
          </cell>
          <cell r="Q375">
            <v>65.082072713811996</v>
          </cell>
          <cell r="R375">
            <v>65.82795376551573</v>
          </cell>
          <cell r="S375">
            <v>66.214781183676749</v>
          </cell>
          <cell r="T375">
            <v>66.214781183676749</v>
          </cell>
          <cell r="U375">
            <v>66.214781183676749</v>
          </cell>
          <cell r="V375">
            <v>66.214781183676749</v>
          </cell>
          <cell r="W375">
            <v>66.214781183676749</v>
          </cell>
          <cell r="X375">
            <v>66.214781183676749</v>
          </cell>
          <cell r="Y375">
            <v>66.214781183676749</v>
          </cell>
          <cell r="Z375">
            <v>66.214781183676749</v>
          </cell>
          <cell r="AA375">
            <v>66.214781183676749</v>
          </cell>
          <cell r="AB375">
            <v>66.214781183676749</v>
          </cell>
          <cell r="AC375">
            <v>66.214781183676749</v>
          </cell>
          <cell r="AD375">
            <v>66.214781183676749</v>
          </cell>
          <cell r="AE375">
            <v>66.214781183676749</v>
          </cell>
          <cell r="AF375">
            <v>66.214781183676749</v>
          </cell>
        </row>
        <row r="376">
          <cell r="A376" t="str">
            <v>Florida</v>
          </cell>
          <cell r="B376">
            <v>60.458256672914608</v>
          </cell>
          <cell r="C376">
            <v>60.645978195136919</v>
          </cell>
          <cell r="D376">
            <v>62.460633864057371</v>
          </cell>
          <cell r="E376">
            <v>63.391469529433088</v>
          </cell>
          <cell r="F376">
            <v>63.390368021691337</v>
          </cell>
          <cell r="G376">
            <v>63.57843624687267</v>
          </cell>
          <cell r="H376">
            <v>63.668337723045482</v>
          </cell>
          <cell r="I376">
            <v>63.794039112312781</v>
          </cell>
          <cell r="J376">
            <v>64.26479405144805</v>
          </cell>
          <cell r="K376">
            <v>64.019027268722041</v>
          </cell>
          <cell r="L376">
            <v>63.005005918068242</v>
          </cell>
          <cell r="M376">
            <v>63.033634218617323</v>
          </cell>
          <cell r="N376">
            <v>63.208460621972584</v>
          </cell>
          <cell r="O376">
            <v>64.830626475028708</v>
          </cell>
          <cell r="P376">
            <v>65.493572706637295</v>
          </cell>
          <cell r="Q376">
            <v>65.672059126988202</v>
          </cell>
          <cell r="R376">
            <v>66.425166494700605</v>
          </cell>
          <cell r="S376">
            <v>66.815653565387123</v>
          </cell>
          <cell r="T376">
            <v>66.815653565387123</v>
          </cell>
          <cell r="U376">
            <v>66.815653565387123</v>
          </cell>
          <cell r="V376">
            <v>66.815653565387123</v>
          </cell>
          <cell r="W376">
            <v>66.815653565387123</v>
          </cell>
          <cell r="X376">
            <v>66.815653565387123</v>
          </cell>
          <cell r="Y376">
            <v>66.815653565387123</v>
          </cell>
          <cell r="Z376">
            <v>66.815653565387123</v>
          </cell>
          <cell r="AA376">
            <v>66.815653565387123</v>
          </cell>
          <cell r="AB376">
            <v>66.815653565387123</v>
          </cell>
          <cell r="AC376">
            <v>66.815653565387123</v>
          </cell>
          <cell r="AD376">
            <v>66.815653565387123</v>
          </cell>
          <cell r="AE376">
            <v>66.815653565387123</v>
          </cell>
          <cell r="AF376">
            <v>66.815653565387123</v>
          </cell>
        </row>
        <row r="377">
          <cell r="A377" t="str">
            <v>Georgia</v>
          </cell>
          <cell r="B377">
            <v>60.458256672914615</v>
          </cell>
          <cell r="C377">
            <v>60.645978195136919</v>
          </cell>
          <cell r="D377">
            <v>62.460633864057357</v>
          </cell>
          <cell r="E377">
            <v>63.391469529433088</v>
          </cell>
          <cell r="F377">
            <v>63.390368021691351</v>
          </cell>
          <cell r="G377">
            <v>63.578436246872663</v>
          </cell>
          <cell r="H377">
            <v>63.668337723045475</v>
          </cell>
          <cell r="I377">
            <v>63.794039112312788</v>
          </cell>
          <cell r="J377">
            <v>64.264794051448035</v>
          </cell>
          <cell r="K377">
            <v>64.019027268722041</v>
          </cell>
          <cell r="L377">
            <v>63.005005918068257</v>
          </cell>
          <cell r="M377">
            <v>63.033634218617316</v>
          </cell>
          <cell r="N377">
            <v>63.208460621972577</v>
          </cell>
          <cell r="O377">
            <v>64.830626475028723</v>
          </cell>
          <cell r="P377">
            <v>65.493572706637323</v>
          </cell>
          <cell r="Q377">
            <v>65.672059126988202</v>
          </cell>
          <cell r="R377">
            <v>66.425166494700591</v>
          </cell>
          <cell r="S377">
            <v>66.815653565387137</v>
          </cell>
          <cell r="T377">
            <v>66.815653565387137</v>
          </cell>
          <cell r="U377">
            <v>66.815653565387137</v>
          </cell>
          <cell r="V377">
            <v>66.815653565387137</v>
          </cell>
          <cell r="W377">
            <v>66.815653565387137</v>
          </cell>
          <cell r="X377">
            <v>66.815653565387137</v>
          </cell>
          <cell r="Y377">
            <v>66.815653565387137</v>
          </cell>
          <cell r="Z377">
            <v>66.815653565387137</v>
          </cell>
          <cell r="AA377">
            <v>66.815653565387137</v>
          </cell>
          <cell r="AB377">
            <v>66.815653565387137</v>
          </cell>
          <cell r="AC377">
            <v>66.815653565387137</v>
          </cell>
          <cell r="AD377">
            <v>66.815653565387137</v>
          </cell>
          <cell r="AE377">
            <v>66.815653565387137</v>
          </cell>
          <cell r="AF377">
            <v>66.815653565387137</v>
          </cell>
        </row>
        <row r="378">
          <cell r="A378" t="str">
            <v>Hawaii</v>
          </cell>
          <cell r="B378">
            <v>69.963523257440954</v>
          </cell>
          <cell r="C378">
            <v>70.186045239387838</v>
          </cell>
          <cell r="D378">
            <v>72.332473305911094</v>
          </cell>
          <cell r="E378">
            <v>73.42460367425808</v>
          </cell>
          <cell r="F378">
            <v>73.421486640152935</v>
          </cell>
          <cell r="G378">
            <v>73.635883935775468</v>
          </cell>
          <cell r="H378">
            <v>73.744793738481761</v>
          </cell>
          <cell r="I378">
            <v>73.887683722975311</v>
          </cell>
          <cell r="J378">
            <v>74.443897642226176</v>
          </cell>
          <cell r="K378">
            <v>74.159369044506846</v>
          </cell>
          <cell r="L378">
            <v>72.966087722262827</v>
          </cell>
          <cell r="M378">
            <v>72.997197050870369</v>
          </cell>
          <cell r="N378">
            <v>73.205098296659571</v>
          </cell>
          <cell r="O378">
            <v>75.114706048223752</v>
          </cell>
          <cell r="P378">
            <v>75.903412859122483</v>
          </cell>
          <cell r="Q378">
            <v>76.115181398031268</v>
          </cell>
          <cell r="R378">
            <v>76.997975618110416</v>
          </cell>
          <cell r="S378">
            <v>77.453825565225301</v>
          </cell>
          <cell r="T378">
            <v>77.453825565225301</v>
          </cell>
          <cell r="U378">
            <v>77.453825565225301</v>
          </cell>
          <cell r="V378">
            <v>77.453825565225301</v>
          </cell>
          <cell r="W378">
            <v>77.453825565225301</v>
          </cell>
          <cell r="X378">
            <v>77.453825565225301</v>
          </cell>
          <cell r="Y378">
            <v>77.453825565225301</v>
          </cell>
          <cell r="Z378">
            <v>77.453825565225301</v>
          </cell>
          <cell r="AA378">
            <v>77.453825565225301</v>
          </cell>
          <cell r="AB378">
            <v>77.453825565225301</v>
          </cell>
          <cell r="AC378">
            <v>77.453825565225301</v>
          </cell>
          <cell r="AD378">
            <v>77.453825565225301</v>
          </cell>
          <cell r="AE378">
            <v>77.453825565225301</v>
          </cell>
          <cell r="AF378">
            <v>77.453825565225301</v>
          </cell>
        </row>
        <row r="379">
          <cell r="A379" t="str">
            <v>Idaho</v>
          </cell>
          <cell r="B379">
            <v>69.96352325744094</v>
          </cell>
          <cell r="C379">
            <v>70.186045239387852</v>
          </cell>
          <cell r="D379">
            <v>72.33247330591108</v>
          </cell>
          <cell r="E379">
            <v>73.424603674258094</v>
          </cell>
          <cell r="F379">
            <v>73.421486640152906</v>
          </cell>
          <cell r="G379">
            <v>73.635883935775439</v>
          </cell>
          <cell r="H379">
            <v>73.744793738481761</v>
          </cell>
          <cell r="I379">
            <v>73.887683722975282</v>
          </cell>
          <cell r="J379">
            <v>74.443897642226176</v>
          </cell>
          <cell r="K379">
            <v>74.159369044506832</v>
          </cell>
          <cell r="L379">
            <v>72.966087722262841</v>
          </cell>
          <cell r="M379">
            <v>72.997197050870341</v>
          </cell>
          <cell r="N379">
            <v>73.205098296659557</v>
          </cell>
          <cell r="O379">
            <v>75.114706048223752</v>
          </cell>
          <cell r="P379">
            <v>75.903412859122497</v>
          </cell>
          <cell r="Q379">
            <v>76.115181398031268</v>
          </cell>
          <cell r="R379">
            <v>76.997975618110402</v>
          </cell>
          <cell r="S379">
            <v>77.453825565225287</v>
          </cell>
          <cell r="T379">
            <v>77.453825565225287</v>
          </cell>
          <cell r="U379">
            <v>77.453825565225287</v>
          </cell>
          <cell r="V379">
            <v>77.453825565225287</v>
          </cell>
          <cell r="W379">
            <v>77.453825565225287</v>
          </cell>
          <cell r="X379">
            <v>77.453825565225287</v>
          </cell>
          <cell r="Y379">
            <v>77.453825565225287</v>
          </cell>
          <cell r="Z379">
            <v>77.453825565225287</v>
          </cell>
          <cell r="AA379">
            <v>77.453825565225287</v>
          </cell>
          <cell r="AB379">
            <v>77.453825565225287</v>
          </cell>
          <cell r="AC379">
            <v>77.453825565225287</v>
          </cell>
          <cell r="AD379">
            <v>77.453825565225287</v>
          </cell>
          <cell r="AE379">
            <v>77.453825565225287</v>
          </cell>
          <cell r="AF379">
            <v>77.453825565225287</v>
          </cell>
        </row>
        <row r="380">
          <cell r="A380" t="str">
            <v>Illinois</v>
          </cell>
          <cell r="B380">
            <v>59.930626782718988</v>
          </cell>
          <cell r="C380">
            <v>60.11646951050264</v>
          </cell>
          <cell r="D380">
            <v>61.913174204936965</v>
          </cell>
          <cell r="E380">
            <v>62.835206248368927</v>
          </cell>
          <cell r="F380">
            <v>62.834198168325521</v>
          </cell>
          <cell r="G380">
            <v>63.020772445504804</v>
          </cell>
          <cell r="H380">
            <v>63.109667601296231</v>
          </cell>
          <cell r="I380">
            <v>63.234389082265494</v>
          </cell>
          <cell r="J380">
            <v>63.700514908756666</v>
          </cell>
          <cell r="K380">
            <v>63.456898539212759</v>
          </cell>
          <cell r="L380">
            <v>62.452629103346403</v>
          </cell>
          <cell r="M380">
            <v>62.481099452823116</v>
          </cell>
          <cell r="N380">
            <v>62.654145871745499</v>
          </cell>
          <cell r="O380">
            <v>64.260680607317795</v>
          </cell>
          <cell r="P380">
            <v>64.9168616277571</v>
          </cell>
          <cell r="Q380">
            <v>65.093552870592006</v>
          </cell>
          <cell r="R380">
            <v>65.839574431911402</v>
          </cell>
          <cell r="S380">
            <v>66.226473027099274</v>
          </cell>
          <cell r="T380">
            <v>66.226473027099274</v>
          </cell>
          <cell r="U380">
            <v>66.226473027099274</v>
          </cell>
          <cell r="V380">
            <v>66.226473027099274</v>
          </cell>
          <cell r="W380">
            <v>66.226473027099274</v>
          </cell>
          <cell r="X380">
            <v>66.226473027099274</v>
          </cell>
          <cell r="Y380">
            <v>66.226473027099274</v>
          </cell>
          <cell r="Z380">
            <v>66.226473027099274</v>
          </cell>
          <cell r="AA380">
            <v>66.226473027099274</v>
          </cell>
          <cell r="AB380">
            <v>66.226473027099274</v>
          </cell>
          <cell r="AC380">
            <v>66.226473027099274</v>
          </cell>
          <cell r="AD380">
            <v>66.226473027099274</v>
          </cell>
          <cell r="AE380">
            <v>66.226473027099274</v>
          </cell>
          <cell r="AF380">
            <v>66.226473027099274</v>
          </cell>
        </row>
        <row r="381">
          <cell r="A381" t="str">
            <v>Indiana</v>
          </cell>
          <cell r="B381">
            <v>59.930626782718988</v>
          </cell>
          <cell r="C381">
            <v>60.11646951050264</v>
          </cell>
          <cell r="D381">
            <v>61.913174204936958</v>
          </cell>
          <cell r="E381">
            <v>62.835206248368934</v>
          </cell>
          <cell r="F381">
            <v>62.8341981683255</v>
          </cell>
          <cell r="G381">
            <v>63.020772445504825</v>
          </cell>
          <cell r="H381">
            <v>63.109667601296238</v>
          </cell>
          <cell r="I381">
            <v>63.23438908226548</v>
          </cell>
          <cell r="J381">
            <v>63.700514908756674</v>
          </cell>
          <cell r="K381">
            <v>63.456898539212766</v>
          </cell>
          <cell r="L381">
            <v>62.452629103346403</v>
          </cell>
          <cell r="M381">
            <v>62.48109945282313</v>
          </cell>
          <cell r="N381">
            <v>62.654145871745499</v>
          </cell>
          <cell r="O381">
            <v>64.260680607317781</v>
          </cell>
          <cell r="P381">
            <v>64.9168616277571</v>
          </cell>
          <cell r="Q381">
            <v>65.093552870592006</v>
          </cell>
          <cell r="R381">
            <v>65.839574431911373</v>
          </cell>
          <cell r="S381">
            <v>66.226473027099274</v>
          </cell>
          <cell r="T381">
            <v>66.226473027099274</v>
          </cell>
          <cell r="U381">
            <v>66.226473027099274</v>
          </cell>
          <cell r="V381">
            <v>66.226473027099274</v>
          </cell>
          <cell r="W381">
            <v>66.226473027099274</v>
          </cell>
          <cell r="X381">
            <v>66.226473027099274</v>
          </cell>
          <cell r="Y381">
            <v>66.226473027099274</v>
          </cell>
          <cell r="Z381">
            <v>66.226473027099274</v>
          </cell>
          <cell r="AA381">
            <v>66.226473027099274</v>
          </cell>
          <cell r="AB381">
            <v>66.226473027099274</v>
          </cell>
          <cell r="AC381">
            <v>66.226473027099274</v>
          </cell>
          <cell r="AD381">
            <v>66.226473027099274</v>
          </cell>
          <cell r="AE381">
            <v>66.226473027099274</v>
          </cell>
          <cell r="AF381">
            <v>66.226473027099274</v>
          </cell>
        </row>
        <row r="382">
          <cell r="A382" t="str">
            <v>Iowa</v>
          </cell>
          <cell r="B382">
            <v>59.930626782718988</v>
          </cell>
          <cell r="C382">
            <v>60.11646951050264</v>
          </cell>
          <cell r="D382">
            <v>61.913174204936972</v>
          </cell>
          <cell r="E382">
            <v>62.835206248368934</v>
          </cell>
          <cell r="F382">
            <v>62.834198168325528</v>
          </cell>
          <cell r="G382">
            <v>63.020772445504811</v>
          </cell>
          <cell r="H382">
            <v>63.109667601296231</v>
          </cell>
          <cell r="I382">
            <v>63.23438908226548</v>
          </cell>
          <cell r="J382">
            <v>63.700514908756681</v>
          </cell>
          <cell r="K382">
            <v>63.456898539212752</v>
          </cell>
          <cell r="L382">
            <v>62.452629103346425</v>
          </cell>
          <cell r="M382">
            <v>62.481099452823123</v>
          </cell>
          <cell r="N382">
            <v>62.654145871745499</v>
          </cell>
          <cell r="O382">
            <v>64.260680607317767</v>
          </cell>
          <cell r="P382">
            <v>64.916861627757086</v>
          </cell>
          <cell r="Q382">
            <v>65.093552870591992</v>
          </cell>
          <cell r="R382">
            <v>65.839574431911402</v>
          </cell>
          <cell r="S382">
            <v>66.226473027099289</v>
          </cell>
          <cell r="T382">
            <v>66.226473027099289</v>
          </cell>
          <cell r="U382">
            <v>66.226473027099289</v>
          </cell>
          <cell r="V382">
            <v>66.226473027099289</v>
          </cell>
          <cell r="W382">
            <v>66.226473027099289</v>
          </cell>
          <cell r="X382">
            <v>66.226473027099289</v>
          </cell>
          <cell r="Y382">
            <v>66.226473027099289</v>
          </cell>
          <cell r="Z382">
            <v>66.226473027099289</v>
          </cell>
          <cell r="AA382">
            <v>66.226473027099289</v>
          </cell>
          <cell r="AB382">
            <v>66.226473027099289</v>
          </cell>
          <cell r="AC382">
            <v>66.226473027099289</v>
          </cell>
          <cell r="AD382">
            <v>66.226473027099289</v>
          </cell>
          <cell r="AE382">
            <v>66.226473027099289</v>
          </cell>
          <cell r="AF382">
            <v>66.226473027099289</v>
          </cell>
        </row>
        <row r="383">
          <cell r="A383" t="str">
            <v>Kansas</v>
          </cell>
          <cell r="B383">
            <v>57.901997943394051</v>
          </cell>
          <cell r="C383">
            <v>58.080667865833426</v>
          </cell>
          <cell r="D383">
            <v>59.808801052305526</v>
          </cell>
          <cell r="E383">
            <v>60.697128536775239</v>
          </cell>
          <cell r="F383">
            <v>60.696461973277891</v>
          </cell>
          <cell r="G383">
            <v>60.877261218494098</v>
          </cell>
          <cell r="H383">
            <v>60.9623340881204</v>
          </cell>
          <cell r="I383">
            <v>61.083263299757164</v>
          </cell>
          <cell r="J383">
            <v>61.531701070367347</v>
          </cell>
          <cell r="K383">
            <v>61.296351424588899</v>
          </cell>
          <cell r="L383">
            <v>60.32938560691565</v>
          </cell>
          <cell r="M383">
            <v>60.357229267633755</v>
          </cell>
          <cell r="N383">
            <v>60.523485683506742</v>
          </cell>
          <cell r="O383">
            <v>62.070233185428869</v>
          </cell>
          <cell r="P383">
            <v>62.700610146758628</v>
          </cell>
          <cell r="Q383">
            <v>62.870449436528432</v>
          </cell>
          <cell r="R383">
            <v>63.589335885917031</v>
          </cell>
          <cell r="S383">
            <v>63.96247565921778</v>
          </cell>
          <cell r="T383">
            <v>63.96247565921778</v>
          </cell>
          <cell r="U383">
            <v>63.96247565921778</v>
          </cell>
          <cell r="V383">
            <v>63.96247565921778</v>
          </cell>
          <cell r="W383">
            <v>63.96247565921778</v>
          </cell>
          <cell r="X383">
            <v>63.96247565921778</v>
          </cell>
          <cell r="Y383">
            <v>63.96247565921778</v>
          </cell>
          <cell r="Z383">
            <v>63.96247565921778</v>
          </cell>
          <cell r="AA383">
            <v>63.96247565921778</v>
          </cell>
          <cell r="AB383">
            <v>63.96247565921778</v>
          </cell>
          <cell r="AC383">
            <v>63.96247565921778</v>
          </cell>
          <cell r="AD383">
            <v>63.96247565921778</v>
          </cell>
          <cell r="AE383">
            <v>63.96247565921778</v>
          </cell>
          <cell r="AF383">
            <v>63.96247565921778</v>
          </cell>
        </row>
        <row r="384">
          <cell r="A384" t="str">
            <v>Kentucky</v>
          </cell>
          <cell r="B384">
            <v>60.458256672914601</v>
          </cell>
          <cell r="C384">
            <v>60.645978195136905</v>
          </cell>
          <cell r="D384">
            <v>62.460633864057357</v>
          </cell>
          <cell r="E384">
            <v>63.391469529433103</v>
          </cell>
          <cell r="F384">
            <v>63.390368021691323</v>
          </cell>
          <cell r="G384">
            <v>63.578436246872684</v>
          </cell>
          <cell r="H384">
            <v>63.668337723045475</v>
          </cell>
          <cell r="I384">
            <v>63.794039112312781</v>
          </cell>
          <cell r="J384">
            <v>64.264794051448035</v>
          </cell>
          <cell r="K384">
            <v>64.019027268722041</v>
          </cell>
          <cell r="L384">
            <v>63.005005918068242</v>
          </cell>
          <cell r="M384">
            <v>63.033634218617323</v>
          </cell>
          <cell r="N384">
            <v>63.208460621972591</v>
          </cell>
          <cell r="O384">
            <v>64.830626475028723</v>
          </cell>
          <cell r="P384">
            <v>65.493572706637323</v>
          </cell>
          <cell r="Q384">
            <v>65.672059126988216</v>
          </cell>
          <cell r="R384">
            <v>66.425166494700591</v>
          </cell>
          <cell r="S384">
            <v>66.815653565387123</v>
          </cell>
          <cell r="T384">
            <v>66.815653565387123</v>
          </cell>
          <cell r="U384">
            <v>66.815653565387123</v>
          </cell>
          <cell r="V384">
            <v>66.815653565387123</v>
          </cell>
          <cell r="W384">
            <v>66.815653565387123</v>
          </cell>
          <cell r="X384">
            <v>66.815653565387123</v>
          </cell>
          <cell r="Y384">
            <v>66.815653565387123</v>
          </cell>
          <cell r="Z384">
            <v>66.815653565387123</v>
          </cell>
          <cell r="AA384">
            <v>66.815653565387123</v>
          </cell>
          <cell r="AB384">
            <v>66.815653565387123</v>
          </cell>
          <cell r="AC384">
            <v>66.815653565387123</v>
          </cell>
          <cell r="AD384">
            <v>66.815653565387123</v>
          </cell>
          <cell r="AE384">
            <v>66.815653565387123</v>
          </cell>
          <cell r="AF384">
            <v>66.815653565387123</v>
          </cell>
        </row>
        <row r="385">
          <cell r="A385" t="str">
            <v>Louisiana</v>
          </cell>
          <cell r="B385">
            <v>60.360375415253728</v>
          </cell>
          <cell r="C385">
            <v>60.547747987240996</v>
          </cell>
          <cell r="D385">
            <v>62.359069920571045</v>
          </cell>
          <cell r="E385">
            <v>63.288271248196949</v>
          </cell>
          <cell r="F385">
            <v>63.287187216196415</v>
          </cell>
          <cell r="G385">
            <v>63.47497855019818</v>
          </cell>
          <cell r="H385">
            <v>63.564692962086568</v>
          </cell>
          <cell r="I385">
            <v>63.690212768385877</v>
          </cell>
          <cell r="J385">
            <v>64.160108061451453</v>
          </cell>
          <cell r="K385">
            <v>63.914740214018124</v>
          </cell>
          <cell r="L385">
            <v>62.902529501639592</v>
          </cell>
          <cell r="M385">
            <v>62.931128658216437</v>
          </cell>
          <cell r="N385">
            <v>63.1056244181379</v>
          </cell>
          <cell r="O385">
            <v>64.724887993485453</v>
          </cell>
          <cell r="P385">
            <v>65.386577521323673</v>
          </cell>
          <cell r="Q385">
            <v>65.564730508500105</v>
          </cell>
          <cell r="R385">
            <v>66.316522498700465</v>
          </cell>
          <cell r="S385">
            <v>66.706343556947658</v>
          </cell>
          <cell r="T385">
            <v>66.706343556947658</v>
          </cell>
          <cell r="U385">
            <v>66.706343556947658</v>
          </cell>
          <cell r="V385">
            <v>66.706343556947658</v>
          </cell>
          <cell r="W385">
            <v>66.706343556947658</v>
          </cell>
          <cell r="X385">
            <v>66.706343556947658</v>
          </cell>
          <cell r="Y385">
            <v>66.706343556947658</v>
          </cell>
          <cell r="Z385">
            <v>66.706343556947658</v>
          </cell>
          <cell r="AA385">
            <v>66.706343556947658</v>
          </cell>
          <cell r="AB385">
            <v>66.706343556947658</v>
          </cell>
          <cell r="AC385">
            <v>66.706343556947658</v>
          </cell>
          <cell r="AD385">
            <v>66.706343556947658</v>
          </cell>
          <cell r="AE385">
            <v>66.706343556947658</v>
          </cell>
          <cell r="AF385">
            <v>66.706343556947658</v>
          </cell>
        </row>
        <row r="386">
          <cell r="A386" t="str">
            <v>Maine</v>
          </cell>
          <cell r="B386">
            <v>59.920155095864907</v>
          </cell>
          <cell r="C386">
            <v>60.105960592058302</v>
          </cell>
          <cell r="D386">
            <v>61.902309513656576</v>
          </cell>
          <cell r="E386">
            <v>62.824166993541319</v>
          </cell>
          <cell r="F386">
            <v>62.823160748144133</v>
          </cell>
          <cell r="G386">
            <v>63.009705341031719</v>
          </cell>
          <cell r="H386">
            <v>63.098580576534275</v>
          </cell>
          <cell r="I386">
            <v>63.223282582245233</v>
          </cell>
          <cell r="J386">
            <v>63.689316658006334</v>
          </cell>
          <cell r="K386">
            <v>63.445742965665033</v>
          </cell>
          <cell r="L386">
            <v>62.441666861846393</v>
          </cell>
          <cell r="M386">
            <v>62.47013405505502</v>
          </cell>
          <cell r="N386">
            <v>62.643145206642068</v>
          </cell>
          <cell r="O386">
            <v>64.249370061264514</v>
          </cell>
          <cell r="P386">
            <v>64.905417043757041</v>
          </cell>
          <cell r="Q386">
            <v>65.082072713811996</v>
          </cell>
          <cell r="R386">
            <v>65.827953765515716</v>
          </cell>
          <cell r="S386">
            <v>66.214781183676749</v>
          </cell>
          <cell r="T386">
            <v>66.214781183676749</v>
          </cell>
          <cell r="U386">
            <v>66.214781183676749</v>
          </cell>
          <cell r="V386">
            <v>66.214781183676749</v>
          </cell>
          <cell r="W386">
            <v>66.214781183676749</v>
          </cell>
          <cell r="X386">
            <v>66.214781183676749</v>
          </cell>
          <cell r="Y386">
            <v>66.214781183676749</v>
          </cell>
          <cell r="Z386">
            <v>66.214781183676749</v>
          </cell>
          <cell r="AA386">
            <v>66.214781183676749</v>
          </cell>
          <cell r="AB386">
            <v>66.214781183676749</v>
          </cell>
          <cell r="AC386">
            <v>66.214781183676749</v>
          </cell>
          <cell r="AD386">
            <v>66.214781183676749</v>
          </cell>
          <cell r="AE386">
            <v>66.214781183676749</v>
          </cell>
          <cell r="AF386">
            <v>66.214781183676749</v>
          </cell>
        </row>
        <row r="387">
          <cell r="A387" t="str">
            <v>Maryland</v>
          </cell>
          <cell r="B387">
            <v>59.920155095864928</v>
          </cell>
          <cell r="C387">
            <v>60.105960592058302</v>
          </cell>
          <cell r="D387">
            <v>61.90230951365659</v>
          </cell>
          <cell r="E387">
            <v>62.824166993541326</v>
          </cell>
          <cell r="F387">
            <v>62.82316074814414</v>
          </cell>
          <cell r="G387">
            <v>63.009705341031733</v>
          </cell>
          <cell r="H387">
            <v>63.098580576534282</v>
          </cell>
          <cell r="I387">
            <v>63.22328258224524</v>
          </cell>
          <cell r="J387">
            <v>63.689316658006341</v>
          </cell>
          <cell r="K387">
            <v>63.445742965665026</v>
          </cell>
          <cell r="L387">
            <v>62.441666861846372</v>
          </cell>
          <cell r="M387">
            <v>62.47013405505502</v>
          </cell>
          <cell r="N387">
            <v>62.64314520664206</v>
          </cell>
          <cell r="O387">
            <v>64.249370061264514</v>
          </cell>
          <cell r="P387">
            <v>64.905417043757041</v>
          </cell>
          <cell r="Q387">
            <v>65.082072713811996</v>
          </cell>
          <cell r="R387">
            <v>65.827953765515716</v>
          </cell>
          <cell r="S387">
            <v>66.214781183676763</v>
          </cell>
          <cell r="T387">
            <v>66.214781183676763</v>
          </cell>
          <cell r="U387">
            <v>66.214781183676763</v>
          </cell>
          <cell r="V387">
            <v>66.214781183676763</v>
          </cell>
          <cell r="W387">
            <v>66.214781183676763</v>
          </cell>
          <cell r="X387">
            <v>66.214781183676763</v>
          </cell>
          <cell r="Y387">
            <v>66.214781183676763</v>
          </cell>
          <cell r="Z387">
            <v>66.214781183676763</v>
          </cell>
          <cell r="AA387">
            <v>66.214781183676763</v>
          </cell>
          <cell r="AB387">
            <v>66.214781183676763</v>
          </cell>
          <cell r="AC387">
            <v>66.214781183676763</v>
          </cell>
          <cell r="AD387">
            <v>66.214781183676763</v>
          </cell>
          <cell r="AE387">
            <v>66.214781183676763</v>
          </cell>
          <cell r="AF387">
            <v>66.214781183676763</v>
          </cell>
        </row>
        <row r="388">
          <cell r="A388" t="str">
            <v>Massachusetts</v>
          </cell>
          <cell r="B388">
            <v>59.920155095864928</v>
          </cell>
          <cell r="C388">
            <v>60.105960592058302</v>
          </cell>
          <cell r="D388">
            <v>61.90230951365659</v>
          </cell>
          <cell r="E388">
            <v>62.824166993541319</v>
          </cell>
          <cell r="F388">
            <v>62.82316074814414</v>
          </cell>
          <cell r="G388">
            <v>63.00970534103174</v>
          </cell>
          <cell r="H388">
            <v>63.098580576534296</v>
          </cell>
          <cell r="I388">
            <v>63.22328258224524</v>
          </cell>
          <cell r="J388">
            <v>63.689316658006327</v>
          </cell>
          <cell r="K388">
            <v>63.445742965665005</v>
          </cell>
          <cell r="L388">
            <v>62.441666861846393</v>
          </cell>
          <cell r="M388">
            <v>62.470134055055013</v>
          </cell>
          <cell r="N388">
            <v>62.643145206642068</v>
          </cell>
          <cell r="O388">
            <v>64.249370061264486</v>
          </cell>
          <cell r="P388">
            <v>64.905417043757041</v>
          </cell>
          <cell r="Q388">
            <v>65.082072713811996</v>
          </cell>
          <cell r="R388">
            <v>65.827953765515716</v>
          </cell>
          <cell r="S388">
            <v>66.214781183676749</v>
          </cell>
          <cell r="T388">
            <v>66.214781183676749</v>
          </cell>
          <cell r="U388">
            <v>66.214781183676749</v>
          </cell>
          <cell r="V388">
            <v>66.214781183676749</v>
          </cell>
          <cell r="W388">
            <v>66.214781183676749</v>
          </cell>
          <cell r="X388">
            <v>66.214781183676749</v>
          </cell>
          <cell r="Y388">
            <v>66.214781183676749</v>
          </cell>
          <cell r="Z388">
            <v>66.214781183676749</v>
          </cell>
          <cell r="AA388">
            <v>66.214781183676749</v>
          </cell>
          <cell r="AB388">
            <v>66.214781183676749</v>
          </cell>
          <cell r="AC388">
            <v>66.214781183676749</v>
          </cell>
          <cell r="AD388">
            <v>66.214781183676749</v>
          </cell>
          <cell r="AE388">
            <v>66.214781183676749</v>
          </cell>
          <cell r="AF388">
            <v>66.214781183676749</v>
          </cell>
        </row>
        <row r="389">
          <cell r="A389" t="str">
            <v>Michigan</v>
          </cell>
          <cell r="B389">
            <v>59.930626782718981</v>
          </cell>
          <cell r="C389">
            <v>60.116469510502625</v>
          </cell>
          <cell r="D389">
            <v>61.913174204936965</v>
          </cell>
          <cell r="E389">
            <v>62.835206248368927</v>
          </cell>
          <cell r="F389">
            <v>62.834198168325514</v>
          </cell>
          <cell r="G389">
            <v>63.020772445504804</v>
          </cell>
          <cell r="H389">
            <v>63.109667601296223</v>
          </cell>
          <cell r="I389">
            <v>63.234389082265494</v>
          </cell>
          <cell r="J389">
            <v>63.700514908756666</v>
          </cell>
          <cell r="K389">
            <v>63.456898539212766</v>
          </cell>
          <cell r="L389">
            <v>62.452629103346418</v>
          </cell>
          <cell r="M389">
            <v>62.481099452823116</v>
          </cell>
          <cell r="N389">
            <v>62.654145871745506</v>
          </cell>
          <cell r="O389">
            <v>64.260680607317795</v>
          </cell>
          <cell r="P389">
            <v>64.9168616277571</v>
          </cell>
          <cell r="Q389">
            <v>65.093552870592006</v>
          </cell>
          <cell r="R389">
            <v>65.839574431911387</v>
          </cell>
          <cell r="S389">
            <v>66.226473027099274</v>
          </cell>
          <cell r="T389">
            <v>66.226473027099274</v>
          </cell>
          <cell r="U389">
            <v>66.226473027099274</v>
          </cell>
          <cell r="V389">
            <v>66.226473027099274</v>
          </cell>
          <cell r="W389">
            <v>66.226473027099274</v>
          </cell>
          <cell r="X389">
            <v>66.226473027099274</v>
          </cell>
          <cell r="Y389">
            <v>66.226473027099274</v>
          </cell>
          <cell r="Z389">
            <v>66.226473027099274</v>
          </cell>
          <cell r="AA389">
            <v>66.226473027099274</v>
          </cell>
          <cell r="AB389">
            <v>66.226473027099274</v>
          </cell>
          <cell r="AC389">
            <v>66.226473027099274</v>
          </cell>
          <cell r="AD389">
            <v>66.226473027099274</v>
          </cell>
          <cell r="AE389">
            <v>66.226473027099274</v>
          </cell>
          <cell r="AF389">
            <v>66.226473027099274</v>
          </cell>
        </row>
        <row r="390">
          <cell r="A390" t="str">
            <v>Minnesota</v>
          </cell>
          <cell r="B390">
            <v>59.930626782718981</v>
          </cell>
          <cell r="C390">
            <v>60.11646951050264</v>
          </cell>
          <cell r="D390">
            <v>61.913174204936972</v>
          </cell>
          <cell r="E390">
            <v>62.835206248368927</v>
          </cell>
          <cell r="F390">
            <v>62.834198168325521</v>
          </cell>
          <cell r="G390">
            <v>63.020772445504818</v>
          </cell>
          <cell r="H390">
            <v>63.109667601296223</v>
          </cell>
          <cell r="I390">
            <v>63.234389082265487</v>
          </cell>
          <cell r="J390">
            <v>63.700514908756702</v>
          </cell>
          <cell r="K390">
            <v>63.456898539212766</v>
          </cell>
          <cell r="L390">
            <v>62.452629103346418</v>
          </cell>
          <cell r="M390">
            <v>62.481099452823116</v>
          </cell>
          <cell r="N390">
            <v>62.654145871745484</v>
          </cell>
          <cell r="O390">
            <v>64.260680607317781</v>
          </cell>
          <cell r="P390">
            <v>64.916861627757086</v>
          </cell>
          <cell r="Q390">
            <v>65.093552870592006</v>
          </cell>
          <cell r="R390">
            <v>65.839574431911387</v>
          </cell>
          <cell r="S390">
            <v>66.226473027099289</v>
          </cell>
          <cell r="T390">
            <v>66.226473027099289</v>
          </cell>
          <cell r="U390">
            <v>66.226473027099289</v>
          </cell>
          <cell r="V390">
            <v>66.226473027099289</v>
          </cell>
          <cell r="W390">
            <v>66.226473027099289</v>
          </cell>
          <cell r="X390">
            <v>66.226473027099289</v>
          </cell>
          <cell r="Y390">
            <v>66.226473027099289</v>
          </cell>
          <cell r="Z390">
            <v>66.226473027099289</v>
          </cell>
          <cell r="AA390">
            <v>66.226473027099289</v>
          </cell>
          <cell r="AB390">
            <v>66.226473027099289</v>
          </cell>
          <cell r="AC390">
            <v>66.226473027099289</v>
          </cell>
          <cell r="AD390">
            <v>66.226473027099289</v>
          </cell>
          <cell r="AE390">
            <v>66.226473027099289</v>
          </cell>
          <cell r="AF390">
            <v>66.226473027099289</v>
          </cell>
        </row>
        <row r="391">
          <cell r="A391" t="str">
            <v>Mississippi</v>
          </cell>
          <cell r="B391">
            <v>60.458256672914601</v>
          </cell>
          <cell r="C391">
            <v>60.645978195136919</v>
          </cell>
          <cell r="D391">
            <v>62.46063386405735</v>
          </cell>
          <cell r="E391">
            <v>63.391469529433088</v>
          </cell>
          <cell r="F391">
            <v>63.39036802169133</v>
          </cell>
          <cell r="G391">
            <v>63.578436246872684</v>
          </cell>
          <cell r="H391">
            <v>63.668337723045482</v>
          </cell>
          <cell r="I391">
            <v>63.794039112312774</v>
          </cell>
          <cell r="J391">
            <v>64.264794051448021</v>
          </cell>
          <cell r="K391">
            <v>64.019027268722041</v>
          </cell>
          <cell r="L391">
            <v>63.00500591806825</v>
          </cell>
          <cell r="M391">
            <v>63.033634218617316</v>
          </cell>
          <cell r="N391">
            <v>63.208460621972591</v>
          </cell>
          <cell r="O391">
            <v>64.830626475028723</v>
          </cell>
          <cell r="P391">
            <v>65.493572706637309</v>
          </cell>
          <cell r="Q391">
            <v>65.672059126988231</v>
          </cell>
          <cell r="R391">
            <v>66.425166494700605</v>
          </cell>
          <cell r="S391">
            <v>66.815653565387152</v>
          </cell>
          <cell r="T391">
            <v>66.815653565387152</v>
          </cell>
          <cell r="U391">
            <v>66.815653565387152</v>
          </cell>
          <cell r="V391">
            <v>66.815653565387152</v>
          </cell>
          <cell r="W391">
            <v>66.815653565387152</v>
          </cell>
          <cell r="X391">
            <v>66.815653565387152</v>
          </cell>
          <cell r="Y391">
            <v>66.815653565387152</v>
          </cell>
          <cell r="Z391">
            <v>66.815653565387152</v>
          </cell>
          <cell r="AA391">
            <v>66.815653565387152</v>
          </cell>
          <cell r="AB391">
            <v>66.815653565387152</v>
          </cell>
          <cell r="AC391">
            <v>66.815653565387152</v>
          </cell>
          <cell r="AD391">
            <v>66.815653565387152</v>
          </cell>
          <cell r="AE391">
            <v>66.815653565387152</v>
          </cell>
          <cell r="AF391">
            <v>66.815653565387152</v>
          </cell>
        </row>
        <row r="392">
          <cell r="A392" t="str">
            <v>Missouri</v>
          </cell>
          <cell r="B392">
            <v>59.930626782718988</v>
          </cell>
          <cell r="C392">
            <v>60.116469510502618</v>
          </cell>
          <cell r="D392">
            <v>61.913174204936972</v>
          </cell>
          <cell r="E392">
            <v>62.835206248368941</v>
          </cell>
          <cell r="F392">
            <v>62.834198168325514</v>
          </cell>
          <cell r="G392">
            <v>63.020772445504797</v>
          </cell>
          <cell r="H392">
            <v>63.109667601296245</v>
          </cell>
          <cell r="I392">
            <v>63.234389082265494</v>
          </cell>
          <cell r="J392">
            <v>63.700514908756674</v>
          </cell>
          <cell r="K392">
            <v>63.456898539212752</v>
          </cell>
          <cell r="L392">
            <v>62.452629103346403</v>
          </cell>
          <cell r="M392">
            <v>62.481099452823116</v>
          </cell>
          <cell r="N392">
            <v>62.654145871745499</v>
          </cell>
          <cell r="O392">
            <v>64.260680607317767</v>
          </cell>
          <cell r="P392">
            <v>64.916861627757086</v>
          </cell>
          <cell r="Q392">
            <v>65.093552870592006</v>
          </cell>
          <cell r="R392">
            <v>65.839574431911402</v>
          </cell>
          <cell r="S392">
            <v>66.226473027099289</v>
          </cell>
          <cell r="T392">
            <v>66.226473027099289</v>
          </cell>
          <cell r="U392">
            <v>66.226473027099289</v>
          </cell>
          <cell r="V392">
            <v>66.226473027099289</v>
          </cell>
          <cell r="W392">
            <v>66.226473027099289</v>
          </cell>
          <cell r="X392">
            <v>66.226473027099289</v>
          </cell>
          <cell r="Y392">
            <v>66.226473027099289</v>
          </cell>
          <cell r="Z392">
            <v>66.226473027099289</v>
          </cell>
          <cell r="AA392">
            <v>66.226473027099289</v>
          </cell>
          <cell r="AB392">
            <v>66.226473027099289</v>
          </cell>
          <cell r="AC392">
            <v>66.226473027099289</v>
          </cell>
          <cell r="AD392">
            <v>66.226473027099289</v>
          </cell>
          <cell r="AE392">
            <v>66.226473027099289</v>
          </cell>
          <cell r="AF392">
            <v>66.226473027099289</v>
          </cell>
        </row>
        <row r="393">
          <cell r="A393" t="str">
            <v>Montana</v>
          </cell>
          <cell r="B393">
            <v>57.901997943394043</v>
          </cell>
          <cell r="C393">
            <v>58.080667865833412</v>
          </cell>
          <cell r="D393">
            <v>59.80880105230554</v>
          </cell>
          <cell r="E393">
            <v>60.697128536775232</v>
          </cell>
          <cell r="F393">
            <v>60.696461973277898</v>
          </cell>
          <cell r="G393">
            <v>60.877261218494105</v>
          </cell>
          <cell r="H393">
            <v>60.9623340881204</v>
          </cell>
          <cell r="I393">
            <v>61.083263299757171</v>
          </cell>
          <cell r="J393">
            <v>61.531701070367355</v>
          </cell>
          <cell r="K393">
            <v>61.296351424588913</v>
          </cell>
          <cell r="L393">
            <v>60.329385606915658</v>
          </cell>
          <cell r="M393">
            <v>60.357229267633748</v>
          </cell>
          <cell r="N393">
            <v>60.523485683506742</v>
          </cell>
          <cell r="O393">
            <v>62.070233185428876</v>
          </cell>
          <cell r="P393">
            <v>62.700610146758621</v>
          </cell>
          <cell r="Q393">
            <v>62.870449436528439</v>
          </cell>
          <cell r="R393">
            <v>63.589335885917045</v>
          </cell>
          <cell r="S393">
            <v>63.962475659217773</v>
          </cell>
          <cell r="T393">
            <v>63.962475659217773</v>
          </cell>
          <cell r="U393">
            <v>63.962475659217773</v>
          </cell>
          <cell r="V393">
            <v>63.962475659217773</v>
          </cell>
          <cell r="W393">
            <v>63.962475659217773</v>
          </cell>
          <cell r="X393">
            <v>63.962475659217773</v>
          </cell>
          <cell r="Y393">
            <v>63.962475659217773</v>
          </cell>
          <cell r="Z393">
            <v>63.962475659217773</v>
          </cell>
          <cell r="AA393">
            <v>63.962475659217773</v>
          </cell>
          <cell r="AB393">
            <v>63.962475659217773</v>
          </cell>
          <cell r="AC393">
            <v>63.962475659217773</v>
          </cell>
          <cell r="AD393">
            <v>63.962475659217773</v>
          </cell>
          <cell r="AE393">
            <v>63.962475659217773</v>
          </cell>
          <cell r="AF393">
            <v>63.962475659217773</v>
          </cell>
        </row>
        <row r="394">
          <cell r="A394" t="str">
            <v>Nebraska</v>
          </cell>
          <cell r="B394">
            <v>57.901997943394065</v>
          </cell>
          <cell r="C394">
            <v>58.080667865833419</v>
          </cell>
          <cell r="D394">
            <v>59.808801052305547</v>
          </cell>
          <cell r="E394">
            <v>60.697128536775232</v>
          </cell>
          <cell r="F394">
            <v>60.696461973277891</v>
          </cell>
          <cell r="G394">
            <v>60.877261218494091</v>
          </cell>
          <cell r="H394">
            <v>60.962334088120407</v>
          </cell>
          <cell r="I394">
            <v>61.083263299757164</v>
          </cell>
          <cell r="J394">
            <v>61.531701070367347</v>
          </cell>
          <cell r="K394">
            <v>61.296351424588906</v>
          </cell>
          <cell r="L394">
            <v>60.329385606915643</v>
          </cell>
          <cell r="M394">
            <v>60.357229267633763</v>
          </cell>
          <cell r="N394">
            <v>60.523485683506735</v>
          </cell>
          <cell r="O394">
            <v>62.070233185428883</v>
          </cell>
          <cell r="P394">
            <v>62.700610146758621</v>
          </cell>
          <cell r="Q394">
            <v>62.870449436528425</v>
          </cell>
          <cell r="R394">
            <v>63.589335885917038</v>
          </cell>
          <cell r="S394">
            <v>63.962475659217773</v>
          </cell>
          <cell r="T394">
            <v>63.962475659217773</v>
          </cell>
          <cell r="U394">
            <v>63.962475659217773</v>
          </cell>
          <cell r="V394">
            <v>63.962475659217773</v>
          </cell>
          <cell r="W394">
            <v>63.962475659217773</v>
          </cell>
          <cell r="X394">
            <v>63.962475659217773</v>
          </cell>
          <cell r="Y394">
            <v>63.962475659217773</v>
          </cell>
          <cell r="Z394">
            <v>63.962475659217773</v>
          </cell>
          <cell r="AA394">
            <v>63.962475659217773</v>
          </cell>
          <cell r="AB394">
            <v>63.962475659217773</v>
          </cell>
          <cell r="AC394">
            <v>63.962475659217773</v>
          </cell>
          <cell r="AD394">
            <v>63.962475659217773</v>
          </cell>
          <cell r="AE394">
            <v>63.962475659217773</v>
          </cell>
          <cell r="AF394">
            <v>63.962475659217773</v>
          </cell>
        </row>
        <row r="395">
          <cell r="A395" t="str">
            <v>Nevada</v>
          </cell>
          <cell r="B395">
            <v>69.963523257440954</v>
          </cell>
          <cell r="C395">
            <v>70.186045239387852</v>
          </cell>
          <cell r="D395">
            <v>72.33247330591108</v>
          </cell>
          <cell r="E395">
            <v>73.424603674258108</v>
          </cell>
          <cell r="F395">
            <v>73.421486640152921</v>
          </cell>
          <cell r="G395">
            <v>73.635883935775468</v>
          </cell>
          <cell r="H395">
            <v>73.744793738481775</v>
          </cell>
          <cell r="I395">
            <v>73.887683722975297</v>
          </cell>
          <cell r="J395">
            <v>74.443897642226176</v>
          </cell>
          <cell r="K395">
            <v>74.159369044506832</v>
          </cell>
          <cell r="L395">
            <v>72.966087722262841</v>
          </cell>
          <cell r="M395">
            <v>72.997197050870355</v>
          </cell>
          <cell r="N395">
            <v>73.2050982966596</v>
          </cell>
          <cell r="O395">
            <v>75.114706048223752</v>
          </cell>
          <cell r="P395">
            <v>75.903412859122497</v>
          </cell>
          <cell r="Q395">
            <v>76.115181398031254</v>
          </cell>
          <cell r="R395">
            <v>76.997975618110431</v>
          </cell>
          <cell r="S395">
            <v>77.453825565225287</v>
          </cell>
          <cell r="T395">
            <v>77.453825565225287</v>
          </cell>
          <cell r="U395">
            <v>77.453825565225287</v>
          </cell>
          <cell r="V395">
            <v>77.453825565225287</v>
          </cell>
          <cell r="W395">
            <v>77.453825565225287</v>
          </cell>
          <cell r="X395">
            <v>77.453825565225287</v>
          </cell>
          <cell r="Y395">
            <v>77.453825565225287</v>
          </cell>
          <cell r="Z395">
            <v>77.453825565225287</v>
          </cell>
          <cell r="AA395">
            <v>77.453825565225287</v>
          </cell>
          <cell r="AB395">
            <v>77.453825565225287</v>
          </cell>
          <cell r="AC395">
            <v>77.453825565225287</v>
          </cell>
          <cell r="AD395">
            <v>77.453825565225287</v>
          </cell>
          <cell r="AE395">
            <v>77.453825565225287</v>
          </cell>
          <cell r="AF395">
            <v>77.453825565225287</v>
          </cell>
        </row>
        <row r="396">
          <cell r="A396" t="str">
            <v>New Hampshire</v>
          </cell>
          <cell r="B396">
            <v>59.920155095864942</v>
          </cell>
          <cell r="C396">
            <v>60.105960592058302</v>
          </cell>
          <cell r="D396">
            <v>61.902309513656576</v>
          </cell>
          <cell r="E396">
            <v>62.824166993541326</v>
          </cell>
          <cell r="F396">
            <v>62.82316074814414</v>
          </cell>
          <cell r="G396">
            <v>63.009705341031733</v>
          </cell>
          <cell r="H396">
            <v>63.098580576534303</v>
          </cell>
          <cell r="I396">
            <v>63.22328258224524</v>
          </cell>
          <cell r="J396">
            <v>63.689316658006362</v>
          </cell>
          <cell r="K396">
            <v>63.445742965665033</v>
          </cell>
          <cell r="L396">
            <v>62.441666861846393</v>
          </cell>
          <cell r="M396">
            <v>62.47013405505502</v>
          </cell>
          <cell r="N396">
            <v>62.643145206642068</v>
          </cell>
          <cell r="O396">
            <v>64.249370061264486</v>
          </cell>
          <cell r="P396">
            <v>64.905417043757026</v>
          </cell>
          <cell r="Q396">
            <v>65.082072713811996</v>
          </cell>
          <cell r="R396">
            <v>65.82795376551573</v>
          </cell>
          <cell r="S396">
            <v>66.214781183676749</v>
          </cell>
          <cell r="T396">
            <v>66.214781183676749</v>
          </cell>
          <cell r="U396">
            <v>66.214781183676749</v>
          </cell>
          <cell r="V396">
            <v>66.214781183676749</v>
          </cell>
          <cell r="W396">
            <v>66.214781183676749</v>
          </cell>
          <cell r="X396">
            <v>66.214781183676749</v>
          </cell>
          <cell r="Y396">
            <v>66.214781183676749</v>
          </cell>
          <cell r="Z396">
            <v>66.214781183676749</v>
          </cell>
          <cell r="AA396">
            <v>66.214781183676749</v>
          </cell>
          <cell r="AB396">
            <v>66.214781183676749</v>
          </cell>
          <cell r="AC396">
            <v>66.214781183676749</v>
          </cell>
          <cell r="AD396">
            <v>66.214781183676749</v>
          </cell>
          <cell r="AE396">
            <v>66.214781183676749</v>
          </cell>
          <cell r="AF396">
            <v>66.214781183676749</v>
          </cell>
        </row>
        <row r="397">
          <cell r="A397" t="str">
            <v>New Jersey</v>
          </cell>
          <cell r="B397">
            <v>59.920155095864942</v>
          </cell>
          <cell r="C397">
            <v>60.105960592058302</v>
          </cell>
          <cell r="D397">
            <v>61.902309513656576</v>
          </cell>
          <cell r="E397">
            <v>62.824166993541326</v>
          </cell>
          <cell r="F397">
            <v>62.82316074814414</v>
          </cell>
          <cell r="G397">
            <v>63.009705341031733</v>
          </cell>
          <cell r="H397">
            <v>63.098580576534303</v>
          </cell>
          <cell r="I397">
            <v>63.223282582245247</v>
          </cell>
          <cell r="J397">
            <v>63.689316658006327</v>
          </cell>
          <cell r="K397">
            <v>63.445742965665033</v>
          </cell>
          <cell r="L397">
            <v>62.441666861846386</v>
          </cell>
          <cell r="M397">
            <v>62.47013405505502</v>
          </cell>
          <cell r="N397">
            <v>62.64314520664206</v>
          </cell>
          <cell r="O397">
            <v>64.249370061264486</v>
          </cell>
          <cell r="P397">
            <v>64.905417043757026</v>
          </cell>
          <cell r="Q397">
            <v>65.082072713811996</v>
          </cell>
          <cell r="R397">
            <v>65.827953765515716</v>
          </cell>
          <cell r="S397">
            <v>66.214781183676749</v>
          </cell>
          <cell r="T397">
            <v>66.214781183676749</v>
          </cell>
          <cell r="U397">
            <v>66.214781183676749</v>
          </cell>
          <cell r="V397">
            <v>66.214781183676749</v>
          </cell>
          <cell r="W397">
            <v>66.214781183676749</v>
          </cell>
          <cell r="X397">
            <v>66.214781183676749</v>
          </cell>
          <cell r="Y397">
            <v>66.214781183676749</v>
          </cell>
          <cell r="Z397">
            <v>66.214781183676749</v>
          </cell>
          <cell r="AA397">
            <v>66.214781183676749</v>
          </cell>
          <cell r="AB397">
            <v>66.214781183676749</v>
          </cell>
          <cell r="AC397">
            <v>66.214781183676749</v>
          </cell>
          <cell r="AD397">
            <v>66.214781183676749</v>
          </cell>
          <cell r="AE397">
            <v>66.214781183676749</v>
          </cell>
          <cell r="AF397">
            <v>66.214781183676749</v>
          </cell>
        </row>
        <row r="398">
          <cell r="A398" t="str">
            <v>New Mexico</v>
          </cell>
          <cell r="B398">
            <v>69.963523257440983</v>
          </cell>
          <cell r="C398">
            <v>70.186045239387838</v>
          </cell>
          <cell r="D398">
            <v>72.33247330591108</v>
          </cell>
          <cell r="E398">
            <v>73.424603674258094</v>
          </cell>
          <cell r="F398">
            <v>73.421486640152921</v>
          </cell>
          <cell r="G398">
            <v>73.635883935775468</v>
          </cell>
          <cell r="H398">
            <v>73.744793738481761</v>
          </cell>
          <cell r="I398">
            <v>73.887683722975311</v>
          </cell>
          <cell r="J398">
            <v>74.443897642226162</v>
          </cell>
          <cell r="K398">
            <v>74.15936904450686</v>
          </cell>
          <cell r="L398">
            <v>72.966087722262841</v>
          </cell>
          <cell r="M398">
            <v>72.997197050870369</v>
          </cell>
          <cell r="N398">
            <v>73.205098296659571</v>
          </cell>
          <cell r="O398">
            <v>75.114706048223752</v>
          </cell>
          <cell r="P398">
            <v>75.903412859122497</v>
          </cell>
          <cell r="Q398">
            <v>76.115181398031282</v>
          </cell>
          <cell r="R398">
            <v>76.997975618110402</v>
          </cell>
          <cell r="S398">
            <v>77.453825565225287</v>
          </cell>
          <cell r="T398">
            <v>77.453825565225287</v>
          </cell>
          <cell r="U398">
            <v>77.453825565225287</v>
          </cell>
          <cell r="V398">
            <v>77.453825565225287</v>
          </cell>
          <cell r="W398">
            <v>77.453825565225287</v>
          </cell>
          <cell r="X398">
            <v>77.453825565225287</v>
          </cell>
          <cell r="Y398">
            <v>77.453825565225287</v>
          </cell>
          <cell r="Z398">
            <v>77.453825565225287</v>
          </cell>
          <cell r="AA398">
            <v>77.453825565225287</v>
          </cell>
          <cell r="AB398">
            <v>77.453825565225287</v>
          </cell>
          <cell r="AC398">
            <v>77.453825565225287</v>
          </cell>
          <cell r="AD398">
            <v>77.453825565225287</v>
          </cell>
          <cell r="AE398">
            <v>77.453825565225287</v>
          </cell>
          <cell r="AF398">
            <v>77.453825565225287</v>
          </cell>
        </row>
        <row r="399">
          <cell r="A399" t="str">
            <v>New York</v>
          </cell>
          <cell r="B399">
            <v>59.920155095864928</v>
          </cell>
          <cell r="C399">
            <v>60.105960592058302</v>
          </cell>
          <cell r="D399">
            <v>61.902309513656597</v>
          </cell>
          <cell r="E399">
            <v>62.824166993541333</v>
          </cell>
          <cell r="F399">
            <v>62.823160748144147</v>
          </cell>
          <cell r="G399">
            <v>63.00970534103174</v>
          </cell>
          <cell r="H399">
            <v>63.098580576534289</v>
          </cell>
          <cell r="I399">
            <v>63.223282582245247</v>
          </cell>
          <cell r="J399">
            <v>63.689316658006327</v>
          </cell>
          <cell r="K399">
            <v>63.445742965665019</v>
          </cell>
          <cell r="L399">
            <v>62.441666861846393</v>
          </cell>
          <cell r="M399">
            <v>62.470134055055013</v>
          </cell>
          <cell r="N399">
            <v>62.643145206642068</v>
          </cell>
          <cell r="O399">
            <v>64.2493700612645</v>
          </cell>
          <cell r="P399">
            <v>64.905417043757026</v>
          </cell>
          <cell r="Q399">
            <v>65.082072713812011</v>
          </cell>
          <cell r="R399">
            <v>65.82795376551573</v>
          </cell>
          <cell r="S399">
            <v>66.214781183676735</v>
          </cell>
          <cell r="T399">
            <v>66.214781183676735</v>
          </cell>
          <cell r="U399">
            <v>66.214781183676735</v>
          </cell>
          <cell r="V399">
            <v>66.214781183676735</v>
          </cell>
          <cell r="W399">
            <v>66.214781183676735</v>
          </cell>
          <cell r="X399">
            <v>66.214781183676735</v>
          </cell>
          <cell r="Y399">
            <v>66.214781183676735</v>
          </cell>
          <cell r="Z399">
            <v>66.214781183676735</v>
          </cell>
          <cell r="AA399">
            <v>66.214781183676735</v>
          </cell>
          <cell r="AB399">
            <v>66.214781183676735</v>
          </cell>
          <cell r="AC399">
            <v>66.214781183676735</v>
          </cell>
          <cell r="AD399">
            <v>66.214781183676735</v>
          </cell>
          <cell r="AE399">
            <v>66.214781183676735</v>
          </cell>
          <cell r="AF399">
            <v>66.214781183676735</v>
          </cell>
        </row>
        <row r="400">
          <cell r="A400" t="str">
            <v>North Carolina</v>
          </cell>
          <cell r="B400">
            <v>60.458256672914594</v>
          </cell>
          <cell r="C400">
            <v>60.645978195136905</v>
          </cell>
          <cell r="D400">
            <v>62.460633864057371</v>
          </cell>
          <cell r="E400">
            <v>63.391469529433088</v>
          </cell>
          <cell r="F400">
            <v>63.39036802169133</v>
          </cell>
          <cell r="G400">
            <v>63.578436246872677</v>
          </cell>
          <cell r="H400">
            <v>63.668337723045482</v>
          </cell>
          <cell r="I400">
            <v>63.794039112312788</v>
          </cell>
          <cell r="J400">
            <v>64.264794051448021</v>
          </cell>
          <cell r="K400">
            <v>64.019027268722041</v>
          </cell>
          <cell r="L400">
            <v>63.00500591806825</v>
          </cell>
          <cell r="M400">
            <v>63.033634218617316</v>
          </cell>
          <cell r="N400">
            <v>63.208460621972591</v>
          </cell>
          <cell r="O400">
            <v>64.830626475028737</v>
          </cell>
          <cell r="P400">
            <v>65.493572706637309</v>
          </cell>
          <cell r="Q400">
            <v>65.672059126988202</v>
          </cell>
          <cell r="R400">
            <v>66.425166494700605</v>
          </cell>
          <cell r="S400">
            <v>66.815653565387123</v>
          </cell>
          <cell r="T400">
            <v>66.815653565387123</v>
          </cell>
          <cell r="U400">
            <v>66.815653565387123</v>
          </cell>
          <cell r="V400">
            <v>66.815653565387123</v>
          </cell>
          <cell r="W400">
            <v>66.815653565387123</v>
          </cell>
          <cell r="X400">
            <v>66.815653565387123</v>
          </cell>
          <cell r="Y400">
            <v>66.815653565387123</v>
          </cell>
          <cell r="Z400">
            <v>66.815653565387123</v>
          </cell>
          <cell r="AA400">
            <v>66.815653565387123</v>
          </cell>
          <cell r="AB400">
            <v>66.815653565387123</v>
          </cell>
          <cell r="AC400">
            <v>66.815653565387123</v>
          </cell>
          <cell r="AD400">
            <v>66.815653565387123</v>
          </cell>
          <cell r="AE400">
            <v>66.815653565387123</v>
          </cell>
          <cell r="AF400">
            <v>66.815653565387123</v>
          </cell>
        </row>
        <row r="401">
          <cell r="A401" t="str">
            <v>North Dakota</v>
          </cell>
          <cell r="B401">
            <v>57.901997943394051</v>
          </cell>
          <cell r="C401">
            <v>58.080667865833426</v>
          </cell>
          <cell r="D401">
            <v>59.80880105230554</v>
          </cell>
          <cell r="E401">
            <v>60.697128536775232</v>
          </cell>
          <cell r="F401">
            <v>60.696461973277884</v>
          </cell>
          <cell r="G401">
            <v>60.877261218494098</v>
          </cell>
          <cell r="H401">
            <v>60.962334088120393</v>
          </cell>
          <cell r="I401">
            <v>61.083263299757171</v>
          </cell>
          <cell r="J401">
            <v>61.531701070367355</v>
          </cell>
          <cell r="K401">
            <v>61.296351424588899</v>
          </cell>
          <cell r="L401">
            <v>60.329385606915629</v>
          </cell>
          <cell r="M401">
            <v>60.357229267633763</v>
          </cell>
          <cell r="N401">
            <v>60.523485683506735</v>
          </cell>
          <cell r="O401">
            <v>62.07023318542889</v>
          </cell>
          <cell r="P401">
            <v>62.700610146758628</v>
          </cell>
          <cell r="Q401">
            <v>62.870449436528432</v>
          </cell>
          <cell r="R401">
            <v>63.589335885917045</v>
          </cell>
          <cell r="S401">
            <v>63.962475659217787</v>
          </cell>
          <cell r="T401">
            <v>63.962475659217787</v>
          </cell>
          <cell r="U401">
            <v>63.962475659217787</v>
          </cell>
          <cell r="V401">
            <v>63.962475659217787</v>
          </cell>
          <cell r="W401">
            <v>63.962475659217787</v>
          </cell>
          <cell r="X401">
            <v>63.962475659217787</v>
          </cell>
          <cell r="Y401">
            <v>63.962475659217787</v>
          </cell>
          <cell r="Z401">
            <v>63.962475659217787</v>
          </cell>
          <cell r="AA401">
            <v>63.962475659217787</v>
          </cell>
          <cell r="AB401">
            <v>63.962475659217787</v>
          </cell>
          <cell r="AC401">
            <v>63.962475659217787</v>
          </cell>
          <cell r="AD401">
            <v>63.962475659217787</v>
          </cell>
          <cell r="AE401">
            <v>63.962475659217787</v>
          </cell>
          <cell r="AF401">
            <v>63.962475659217787</v>
          </cell>
        </row>
        <row r="402">
          <cell r="A402" t="str">
            <v>Ohio</v>
          </cell>
          <cell r="B402">
            <v>59.930626782718981</v>
          </cell>
          <cell r="C402">
            <v>60.11646951050264</v>
          </cell>
          <cell r="D402">
            <v>61.913174204936958</v>
          </cell>
          <cell r="E402">
            <v>62.835206248368927</v>
          </cell>
          <cell r="F402">
            <v>62.834198168325521</v>
          </cell>
          <cell r="G402">
            <v>63.020772445504804</v>
          </cell>
          <cell r="H402">
            <v>63.109667601296231</v>
          </cell>
          <cell r="I402">
            <v>63.234389082265473</v>
          </cell>
          <cell r="J402">
            <v>63.700514908756681</v>
          </cell>
          <cell r="K402">
            <v>63.456898539212759</v>
          </cell>
          <cell r="L402">
            <v>62.452629103346418</v>
          </cell>
          <cell r="M402">
            <v>62.481099452823116</v>
          </cell>
          <cell r="N402">
            <v>62.654145871745499</v>
          </cell>
          <cell r="O402">
            <v>64.260680607317795</v>
          </cell>
          <cell r="P402">
            <v>64.916861627757086</v>
          </cell>
          <cell r="Q402">
            <v>65.093552870592006</v>
          </cell>
          <cell r="R402">
            <v>65.839574431911402</v>
          </cell>
          <cell r="S402">
            <v>66.226473027099274</v>
          </cell>
          <cell r="T402">
            <v>66.226473027099274</v>
          </cell>
          <cell r="U402">
            <v>66.226473027099274</v>
          </cell>
          <cell r="V402">
            <v>66.226473027099274</v>
          </cell>
          <cell r="W402">
            <v>66.226473027099274</v>
          </cell>
          <cell r="X402">
            <v>66.226473027099274</v>
          </cell>
          <cell r="Y402">
            <v>66.226473027099274</v>
          </cell>
          <cell r="Z402">
            <v>66.226473027099274</v>
          </cell>
          <cell r="AA402">
            <v>66.226473027099274</v>
          </cell>
          <cell r="AB402">
            <v>66.226473027099274</v>
          </cell>
          <cell r="AC402">
            <v>66.226473027099274</v>
          </cell>
          <cell r="AD402">
            <v>66.226473027099274</v>
          </cell>
          <cell r="AE402">
            <v>66.226473027099274</v>
          </cell>
          <cell r="AF402">
            <v>66.226473027099274</v>
          </cell>
        </row>
        <row r="403">
          <cell r="A403" t="str">
            <v>Oklahoma</v>
          </cell>
          <cell r="B403">
            <v>60.360375415253735</v>
          </cell>
          <cell r="C403">
            <v>60.547747987240989</v>
          </cell>
          <cell r="D403">
            <v>62.359069920571031</v>
          </cell>
          <cell r="E403">
            <v>63.288271248196949</v>
          </cell>
          <cell r="F403">
            <v>63.287187216196415</v>
          </cell>
          <cell r="G403">
            <v>63.474978550198202</v>
          </cell>
          <cell r="H403">
            <v>63.564692962086568</v>
          </cell>
          <cell r="I403">
            <v>63.690212768385877</v>
          </cell>
          <cell r="J403">
            <v>64.160108061451453</v>
          </cell>
          <cell r="K403">
            <v>63.914740214018117</v>
          </cell>
          <cell r="L403">
            <v>62.902529501639584</v>
          </cell>
          <cell r="M403">
            <v>62.93112865821643</v>
          </cell>
          <cell r="N403">
            <v>63.105624418137907</v>
          </cell>
          <cell r="O403">
            <v>64.724887993485424</v>
          </cell>
          <cell r="P403">
            <v>65.386577521323687</v>
          </cell>
          <cell r="Q403">
            <v>65.564730508500105</v>
          </cell>
          <cell r="R403">
            <v>66.316522498700479</v>
          </cell>
          <cell r="S403">
            <v>66.706343556947658</v>
          </cell>
          <cell r="T403">
            <v>66.706343556947658</v>
          </cell>
          <cell r="U403">
            <v>66.706343556947658</v>
          </cell>
          <cell r="V403">
            <v>66.706343556947658</v>
          </cell>
          <cell r="W403">
            <v>66.706343556947658</v>
          </cell>
          <cell r="X403">
            <v>66.706343556947658</v>
          </cell>
          <cell r="Y403">
            <v>66.706343556947658</v>
          </cell>
          <cell r="Z403">
            <v>66.706343556947658</v>
          </cell>
          <cell r="AA403">
            <v>66.706343556947658</v>
          </cell>
          <cell r="AB403">
            <v>66.706343556947658</v>
          </cell>
          <cell r="AC403">
            <v>66.706343556947658</v>
          </cell>
          <cell r="AD403">
            <v>66.706343556947658</v>
          </cell>
          <cell r="AE403">
            <v>66.706343556947658</v>
          </cell>
          <cell r="AF403">
            <v>66.706343556947658</v>
          </cell>
        </row>
        <row r="404">
          <cell r="A404" t="str">
            <v>Oregon</v>
          </cell>
          <cell r="B404">
            <v>69.963523257440954</v>
          </cell>
          <cell r="C404">
            <v>70.186045239387838</v>
          </cell>
          <cell r="D404">
            <v>72.332473305911094</v>
          </cell>
          <cell r="E404">
            <v>73.424603674258094</v>
          </cell>
          <cell r="F404">
            <v>73.421486640152921</v>
          </cell>
          <cell r="G404">
            <v>73.635883935775468</v>
          </cell>
          <cell r="H404">
            <v>73.744793738481761</v>
          </cell>
          <cell r="I404">
            <v>73.887683722975297</v>
          </cell>
          <cell r="J404">
            <v>74.443897642226162</v>
          </cell>
          <cell r="K404">
            <v>74.159369044506846</v>
          </cell>
          <cell r="L404">
            <v>72.966087722262841</v>
          </cell>
          <cell r="M404">
            <v>72.997197050870355</v>
          </cell>
          <cell r="N404">
            <v>73.205098296659571</v>
          </cell>
          <cell r="O404">
            <v>75.11470604822378</v>
          </cell>
          <cell r="P404">
            <v>75.903412859122497</v>
          </cell>
          <cell r="Q404">
            <v>76.115181398031268</v>
          </cell>
          <cell r="R404">
            <v>76.997975618110388</v>
          </cell>
          <cell r="S404">
            <v>77.453825565225287</v>
          </cell>
          <cell r="T404">
            <v>77.453825565225287</v>
          </cell>
          <cell r="U404">
            <v>77.453825565225287</v>
          </cell>
          <cell r="V404">
            <v>77.453825565225287</v>
          </cell>
          <cell r="W404">
            <v>77.453825565225287</v>
          </cell>
          <cell r="X404">
            <v>77.453825565225287</v>
          </cell>
          <cell r="Y404">
            <v>77.453825565225287</v>
          </cell>
          <cell r="Z404">
            <v>77.453825565225287</v>
          </cell>
          <cell r="AA404">
            <v>77.453825565225287</v>
          </cell>
          <cell r="AB404">
            <v>77.453825565225287</v>
          </cell>
          <cell r="AC404">
            <v>77.453825565225287</v>
          </cell>
          <cell r="AD404">
            <v>77.453825565225287</v>
          </cell>
          <cell r="AE404">
            <v>77.453825565225287</v>
          </cell>
          <cell r="AF404">
            <v>77.453825565225287</v>
          </cell>
        </row>
        <row r="405">
          <cell r="A405" t="str">
            <v>Pennsylvania</v>
          </cell>
          <cell r="B405">
            <v>59.920155095864928</v>
          </cell>
          <cell r="C405">
            <v>60.105960592058302</v>
          </cell>
          <cell r="D405">
            <v>61.902309513656597</v>
          </cell>
          <cell r="E405">
            <v>62.824166993541333</v>
          </cell>
          <cell r="F405">
            <v>62.82316074814414</v>
          </cell>
          <cell r="G405">
            <v>63.009705341031747</v>
          </cell>
          <cell r="H405">
            <v>63.098580576534296</v>
          </cell>
          <cell r="I405">
            <v>63.223282582245247</v>
          </cell>
          <cell r="J405">
            <v>63.689316658006334</v>
          </cell>
          <cell r="K405">
            <v>63.445742965665026</v>
          </cell>
          <cell r="L405">
            <v>62.441666861846393</v>
          </cell>
          <cell r="M405">
            <v>62.470134055055006</v>
          </cell>
          <cell r="N405">
            <v>62.643145206642068</v>
          </cell>
          <cell r="O405">
            <v>64.2493700612645</v>
          </cell>
          <cell r="P405">
            <v>64.905417043757041</v>
          </cell>
          <cell r="Q405">
            <v>65.082072713811982</v>
          </cell>
          <cell r="R405">
            <v>65.827953765515716</v>
          </cell>
          <cell r="S405">
            <v>66.214781183676763</v>
          </cell>
          <cell r="T405">
            <v>66.214781183676763</v>
          </cell>
          <cell r="U405">
            <v>66.214781183676763</v>
          </cell>
          <cell r="V405">
            <v>66.214781183676763</v>
          </cell>
          <cell r="W405">
            <v>66.214781183676763</v>
          </cell>
          <cell r="X405">
            <v>66.214781183676763</v>
          </cell>
          <cell r="Y405">
            <v>66.214781183676763</v>
          </cell>
          <cell r="Z405">
            <v>66.214781183676763</v>
          </cell>
          <cell r="AA405">
            <v>66.214781183676763</v>
          </cell>
          <cell r="AB405">
            <v>66.214781183676763</v>
          </cell>
          <cell r="AC405">
            <v>66.214781183676763</v>
          </cell>
          <cell r="AD405">
            <v>66.214781183676763</v>
          </cell>
          <cell r="AE405">
            <v>66.214781183676763</v>
          </cell>
          <cell r="AF405">
            <v>66.214781183676763</v>
          </cell>
        </row>
        <row r="406">
          <cell r="A406" t="str">
            <v>Rhode Island</v>
          </cell>
          <cell r="B406">
            <v>59.920155095864907</v>
          </cell>
          <cell r="C406">
            <v>60.105960592058302</v>
          </cell>
          <cell r="D406">
            <v>61.902309513656604</v>
          </cell>
          <cell r="E406">
            <v>62.824166993541319</v>
          </cell>
          <cell r="F406">
            <v>62.82316074814414</v>
          </cell>
          <cell r="G406">
            <v>63.00970534103174</v>
          </cell>
          <cell r="H406">
            <v>63.098580576534303</v>
          </cell>
          <cell r="I406">
            <v>63.22328258224524</v>
          </cell>
          <cell r="J406">
            <v>63.689316658006348</v>
          </cell>
          <cell r="K406">
            <v>63.445742965665005</v>
          </cell>
          <cell r="L406">
            <v>62.441666861846379</v>
          </cell>
          <cell r="M406">
            <v>62.47013405505502</v>
          </cell>
          <cell r="N406">
            <v>62.643145206642053</v>
          </cell>
          <cell r="O406">
            <v>64.2493700612645</v>
          </cell>
          <cell r="P406">
            <v>64.905417043757041</v>
          </cell>
          <cell r="Q406">
            <v>65.082072713811996</v>
          </cell>
          <cell r="R406">
            <v>65.827953765515701</v>
          </cell>
          <cell r="S406">
            <v>66.214781183676749</v>
          </cell>
          <cell r="T406">
            <v>66.214781183676749</v>
          </cell>
          <cell r="U406">
            <v>66.214781183676749</v>
          </cell>
          <cell r="V406">
            <v>66.214781183676749</v>
          </cell>
          <cell r="W406">
            <v>66.214781183676749</v>
          </cell>
          <cell r="X406">
            <v>66.214781183676749</v>
          </cell>
          <cell r="Y406">
            <v>66.214781183676749</v>
          </cell>
          <cell r="Z406">
            <v>66.214781183676749</v>
          </cell>
          <cell r="AA406">
            <v>66.214781183676749</v>
          </cell>
          <cell r="AB406">
            <v>66.214781183676749</v>
          </cell>
          <cell r="AC406">
            <v>66.214781183676749</v>
          </cell>
          <cell r="AD406">
            <v>66.214781183676749</v>
          </cell>
          <cell r="AE406">
            <v>66.214781183676749</v>
          </cell>
          <cell r="AF406">
            <v>66.214781183676749</v>
          </cell>
        </row>
        <row r="407">
          <cell r="A407" t="str">
            <v>South Carolina</v>
          </cell>
          <cell r="B407">
            <v>60.458256672914601</v>
          </cell>
          <cell r="C407">
            <v>60.645978195136919</v>
          </cell>
          <cell r="D407">
            <v>62.460633864057336</v>
          </cell>
          <cell r="E407">
            <v>63.391469529433088</v>
          </cell>
          <cell r="F407">
            <v>63.390368021691323</v>
          </cell>
          <cell r="G407">
            <v>63.57843624687267</v>
          </cell>
          <cell r="H407">
            <v>63.668337723045482</v>
          </cell>
          <cell r="I407">
            <v>63.794039112312788</v>
          </cell>
          <cell r="J407">
            <v>64.264794051448021</v>
          </cell>
          <cell r="K407">
            <v>64.019027268722041</v>
          </cell>
          <cell r="L407">
            <v>63.00500591806825</v>
          </cell>
          <cell r="M407">
            <v>63.033634218617323</v>
          </cell>
          <cell r="N407">
            <v>63.208460621972591</v>
          </cell>
          <cell r="O407">
            <v>64.830626475028723</v>
          </cell>
          <cell r="P407">
            <v>65.493572706637323</v>
          </cell>
          <cell r="Q407">
            <v>65.672059126988188</v>
          </cell>
          <cell r="R407">
            <v>66.425166494700605</v>
          </cell>
          <cell r="S407">
            <v>66.815653565387137</v>
          </cell>
          <cell r="T407">
            <v>66.815653565387137</v>
          </cell>
          <cell r="U407">
            <v>66.815653565387137</v>
          </cell>
          <cell r="V407">
            <v>66.815653565387137</v>
          </cell>
          <cell r="W407">
            <v>66.815653565387137</v>
          </cell>
          <cell r="X407">
            <v>66.815653565387137</v>
          </cell>
          <cell r="Y407">
            <v>66.815653565387137</v>
          </cell>
          <cell r="Z407">
            <v>66.815653565387137</v>
          </cell>
          <cell r="AA407">
            <v>66.815653565387137</v>
          </cell>
          <cell r="AB407">
            <v>66.815653565387137</v>
          </cell>
          <cell r="AC407">
            <v>66.815653565387137</v>
          </cell>
          <cell r="AD407">
            <v>66.815653565387137</v>
          </cell>
          <cell r="AE407">
            <v>66.815653565387137</v>
          </cell>
          <cell r="AF407">
            <v>66.815653565387137</v>
          </cell>
        </row>
        <row r="408">
          <cell r="A408" t="str">
            <v>South Dakota</v>
          </cell>
          <cell r="B408">
            <v>57.901997943394058</v>
          </cell>
          <cell r="C408">
            <v>58.080667865833426</v>
          </cell>
          <cell r="D408">
            <v>59.808801052305519</v>
          </cell>
          <cell r="E408">
            <v>60.697128536775239</v>
          </cell>
          <cell r="F408">
            <v>60.696461973277891</v>
          </cell>
          <cell r="G408">
            <v>60.877261218494077</v>
          </cell>
          <cell r="H408">
            <v>60.9623340881204</v>
          </cell>
          <cell r="I408">
            <v>61.083263299757171</v>
          </cell>
          <cell r="J408">
            <v>61.53170107036734</v>
          </cell>
          <cell r="K408">
            <v>61.296351424588899</v>
          </cell>
          <cell r="L408">
            <v>60.32938560691565</v>
          </cell>
          <cell r="M408">
            <v>60.357229267633763</v>
          </cell>
          <cell r="N408">
            <v>60.523485683506742</v>
          </cell>
          <cell r="O408">
            <v>62.07023318542889</v>
          </cell>
          <cell r="P408">
            <v>62.700610146758621</v>
          </cell>
          <cell r="Q408">
            <v>62.870449436528446</v>
          </cell>
          <cell r="R408">
            <v>63.589335885917038</v>
          </cell>
          <cell r="S408">
            <v>63.962475659217787</v>
          </cell>
          <cell r="T408">
            <v>63.962475659217787</v>
          </cell>
          <cell r="U408">
            <v>63.962475659217787</v>
          </cell>
          <cell r="V408">
            <v>63.962475659217787</v>
          </cell>
          <cell r="W408">
            <v>63.962475659217787</v>
          </cell>
          <cell r="X408">
            <v>63.962475659217787</v>
          </cell>
          <cell r="Y408">
            <v>63.962475659217787</v>
          </cell>
          <cell r="Z408">
            <v>63.962475659217787</v>
          </cell>
          <cell r="AA408">
            <v>63.962475659217787</v>
          </cell>
          <cell r="AB408">
            <v>63.962475659217787</v>
          </cell>
          <cell r="AC408">
            <v>63.962475659217787</v>
          </cell>
          <cell r="AD408">
            <v>63.962475659217787</v>
          </cell>
          <cell r="AE408">
            <v>63.962475659217787</v>
          </cell>
          <cell r="AF408">
            <v>63.962475659217787</v>
          </cell>
        </row>
        <row r="409">
          <cell r="A409" t="str">
            <v>Tennessee</v>
          </cell>
          <cell r="B409">
            <v>60.458256672914594</v>
          </cell>
          <cell r="C409">
            <v>60.645978195136927</v>
          </cell>
          <cell r="D409">
            <v>62.460633864057336</v>
          </cell>
          <cell r="E409">
            <v>63.391469529433088</v>
          </cell>
          <cell r="F409">
            <v>63.390368021691337</v>
          </cell>
          <cell r="G409">
            <v>63.57843624687267</v>
          </cell>
          <cell r="H409">
            <v>63.668337723045468</v>
          </cell>
          <cell r="I409">
            <v>63.794039112312781</v>
          </cell>
          <cell r="J409">
            <v>64.264794051448035</v>
          </cell>
          <cell r="K409">
            <v>64.019027268722041</v>
          </cell>
          <cell r="L409">
            <v>63.005005918068242</v>
          </cell>
          <cell r="M409">
            <v>63.033634218617316</v>
          </cell>
          <cell r="N409">
            <v>63.208460621972577</v>
          </cell>
          <cell r="O409">
            <v>64.830626475028723</v>
          </cell>
          <cell r="P409">
            <v>65.493572706637337</v>
          </cell>
          <cell r="Q409">
            <v>65.672059126988202</v>
          </cell>
          <cell r="R409">
            <v>66.425166494700591</v>
          </cell>
          <cell r="S409">
            <v>66.815653565387137</v>
          </cell>
          <cell r="T409">
            <v>66.815653565387137</v>
          </cell>
          <cell r="U409">
            <v>66.815653565387137</v>
          </cell>
          <cell r="V409">
            <v>66.815653565387137</v>
          </cell>
          <cell r="W409">
            <v>66.815653565387137</v>
          </cell>
          <cell r="X409">
            <v>66.815653565387137</v>
          </cell>
          <cell r="Y409">
            <v>66.815653565387137</v>
          </cell>
          <cell r="Z409">
            <v>66.815653565387137</v>
          </cell>
          <cell r="AA409">
            <v>66.815653565387137</v>
          </cell>
          <cell r="AB409">
            <v>66.815653565387137</v>
          </cell>
          <cell r="AC409">
            <v>66.815653565387137</v>
          </cell>
          <cell r="AD409">
            <v>66.815653565387137</v>
          </cell>
          <cell r="AE409">
            <v>66.815653565387137</v>
          </cell>
          <cell r="AF409">
            <v>66.815653565387137</v>
          </cell>
        </row>
        <row r="410">
          <cell r="A410" t="str">
            <v>Texas</v>
          </cell>
          <cell r="B410">
            <v>60.360375415253735</v>
          </cell>
          <cell r="C410">
            <v>60.547747987241003</v>
          </cell>
          <cell r="D410">
            <v>62.359069920571038</v>
          </cell>
          <cell r="E410">
            <v>63.288271248196949</v>
          </cell>
          <cell r="F410">
            <v>63.287187216196415</v>
          </cell>
          <cell r="G410">
            <v>63.474978550198195</v>
          </cell>
          <cell r="H410">
            <v>63.564692962086575</v>
          </cell>
          <cell r="I410">
            <v>63.690212768385884</v>
          </cell>
          <cell r="J410">
            <v>64.160108061451481</v>
          </cell>
          <cell r="K410">
            <v>63.914740214018131</v>
          </cell>
          <cell r="L410">
            <v>62.902529501639577</v>
          </cell>
          <cell r="M410">
            <v>62.931128658216423</v>
          </cell>
          <cell r="N410">
            <v>63.1056244181379</v>
          </cell>
          <cell r="O410">
            <v>64.724887993485424</v>
          </cell>
          <cell r="P410">
            <v>65.386577521323687</v>
          </cell>
          <cell r="Q410">
            <v>65.564730508500119</v>
          </cell>
          <cell r="R410">
            <v>66.316522498700465</v>
          </cell>
          <cell r="S410">
            <v>66.706343556947672</v>
          </cell>
          <cell r="T410">
            <v>66.706343556947672</v>
          </cell>
          <cell r="U410">
            <v>66.706343556947672</v>
          </cell>
          <cell r="V410">
            <v>66.706343556947672</v>
          </cell>
          <cell r="W410">
            <v>66.706343556947672</v>
          </cell>
          <cell r="X410">
            <v>66.706343556947672</v>
          </cell>
          <cell r="Y410">
            <v>66.706343556947672</v>
          </cell>
          <cell r="Z410">
            <v>66.706343556947672</v>
          </cell>
          <cell r="AA410">
            <v>66.706343556947672</v>
          </cell>
          <cell r="AB410">
            <v>66.706343556947672</v>
          </cell>
          <cell r="AC410">
            <v>66.706343556947672</v>
          </cell>
          <cell r="AD410">
            <v>66.706343556947672</v>
          </cell>
          <cell r="AE410">
            <v>66.706343556947672</v>
          </cell>
          <cell r="AF410">
            <v>66.706343556947672</v>
          </cell>
        </row>
        <row r="411">
          <cell r="A411" t="str">
            <v>Utah</v>
          </cell>
          <cell r="B411">
            <v>69.96352325744094</v>
          </cell>
          <cell r="C411">
            <v>70.186045239387866</v>
          </cell>
          <cell r="D411">
            <v>72.332473305911094</v>
          </cell>
          <cell r="E411">
            <v>73.424603674258094</v>
          </cell>
          <cell r="F411">
            <v>73.421486640152921</v>
          </cell>
          <cell r="G411">
            <v>73.635883935775468</v>
          </cell>
          <cell r="H411">
            <v>73.744793738481746</v>
          </cell>
          <cell r="I411">
            <v>73.887683722975282</v>
          </cell>
          <cell r="J411">
            <v>74.443897642226162</v>
          </cell>
          <cell r="K411">
            <v>74.159369044506832</v>
          </cell>
          <cell r="L411">
            <v>72.966087722262841</v>
          </cell>
          <cell r="M411">
            <v>72.997197050870355</v>
          </cell>
          <cell r="N411">
            <v>73.205098296659557</v>
          </cell>
          <cell r="O411">
            <v>75.114706048223738</v>
          </cell>
          <cell r="P411">
            <v>75.903412859122497</v>
          </cell>
          <cell r="Q411">
            <v>76.115181398031254</v>
          </cell>
          <cell r="R411">
            <v>76.997975618110416</v>
          </cell>
          <cell r="S411">
            <v>77.453825565225287</v>
          </cell>
          <cell r="T411">
            <v>77.453825565225287</v>
          </cell>
          <cell r="U411">
            <v>77.453825565225287</v>
          </cell>
          <cell r="V411">
            <v>77.453825565225287</v>
          </cell>
          <cell r="W411">
            <v>77.453825565225287</v>
          </cell>
          <cell r="X411">
            <v>77.453825565225287</v>
          </cell>
          <cell r="Y411">
            <v>77.453825565225287</v>
          </cell>
          <cell r="Z411">
            <v>77.453825565225287</v>
          </cell>
          <cell r="AA411">
            <v>77.453825565225287</v>
          </cell>
          <cell r="AB411">
            <v>77.453825565225287</v>
          </cell>
          <cell r="AC411">
            <v>77.453825565225287</v>
          </cell>
          <cell r="AD411">
            <v>77.453825565225287</v>
          </cell>
          <cell r="AE411">
            <v>77.453825565225287</v>
          </cell>
          <cell r="AF411">
            <v>77.453825565225287</v>
          </cell>
        </row>
        <row r="412">
          <cell r="A412" t="str">
            <v>Vermont</v>
          </cell>
          <cell r="B412">
            <v>59.920155095864928</v>
          </cell>
          <cell r="C412">
            <v>60.105960592058302</v>
          </cell>
          <cell r="D412">
            <v>61.90230951365659</v>
          </cell>
          <cell r="E412">
            <v>62.824166993541319</v>
          </cell>
          <cell r="F412">
            <v>62.82316074814414</v>
          </cell>
          <cell r="G412">
            <v>63.009705341031747</v>
          </cell>
          <cell r="H412">
            <v>63.098580576534303</v>
          </cell>
          <cell r="I412">
            <v>63.223282582245233</v>
          </cell>
          <cell r="J412">
            <v>63.689316658006334</v>
          </cell>
          <cell r="K412">
            <v>63.445742965665033</v>
          </cell>
          <cell r="L412">
            <v>62.441666861846393</v>
          </cell>
          <cell r="M412">
            <v>62.470134055055013</v>
          </cell>
          <cell r="N412">
            <v>62.643145206642068</v>
          </cell>
          <cell r="O412">
            <v>64.2493700612645</v>
          </cell>
          <cell r="P412">
            <v>64.905417043757041</v>
          </cell>
          <cell r="Q412">
            <v>65.082072713811996</v>
          </cell>
          <cell r="R412">
            <v>65.827953765515716</v>
          </cell>
          <cell r="S412">
            <v>66.214781183676749</v>
          </cell>
          <cell r="T412">
            <v>66.214781183676749</v>
          </cell>
          <cell r="U412">
            <v>66.214781183676749</v>
          </cell>
          <cell r="V412">
            <v>66.214781183676749</v>
          </cell>
          <cell r="W412">
            <v>66.214781183676749</v>
          </cell>
          <cell r="X412">
            <v>66.214781183676749</v>
          </cell>
          <cell r="Y412">
            <v>66.214781183676749</v>
          </cell>
          <cell r="Z412">
            <v>66.214781183676749</v>
          </cell>
          <cell r="AA412">
            <v>66.214781183676749</v>
          </cell>
          <cell r="AB412">
            <v>66.214781183676749</v>
          </cell>
          <cell r="AC412">
            <v>66.214781183676749</v>
          </cell>
          <cell r="AD412">
            <v>66.214781183676749</v>
          </cell>
          <cell r="AE412">
            <v>66.214781183676749</v>
          </cell>
          <cell r="AF412">
            <v>66.214781183676749</v>
          </cell>
        </row>
        <row r="413">
          <cell r="A413" t="str">
            <v>Virginia</v>
          </cell>
          <cell r="B413">
            <v>60.458256672914608</v>
          </cell>
          <cell r="C413">
            <v>60.645978195136905</v>
          </cell>
          <cell r="D413">
            <v>62.46063386405735</v>
          </cell>
          <cell r="E413">
            <v>63.391469529433088</v>
          </cell>
          <cell r="F413">
            <v>63.390368021691351</v>
          </cell>
          <cell r="G413">
            <v>63.578436246872677</v>
          </cell>
          <cell r="H413">
            <v>63.668337723045482</v>
          </cell>
          <cell r="I413">
            <v>63.794039112312788</v>
          </cell>
          <cell r="J413">
            <v>64.26479405144805</v>
          </cell>
          <cell r="K413">
            <v>64.019027268722041</v>
          </cell>
          <cell r="L413">
            <v>63.005005918068242</v>
          </cell>
          <cell r="M413">
            <v>63.033634218617323</v>
          </cell>
          <cell r="N413">
            <v>63.208460621972584</v>
          </cell>
          <cell r="O413">
            <v>64.830626475028737</v>
          </cell>
          <cell r="P413">
            <v>65.493572706637323</v>
          </cell>
          <cell r="Q413">
            <v>65.672059126988216</v>
          </cell>
          <cell r="R413">
            <v>66.425166494700591</v>
          </cell>
          <cell r="S413">
            <v>66.815653565387152</v>
          </cell>
          <cell r="T413">
            <v>66.815653565387152</v>
          </cell>
          <cell r="U413">
            <v>66.815653565387152</v>
          </cell>
          <cell r="V413">
            <v>66.815653565387152</v>
          </cell>
          <cell r="W413">
            <v>66.815653565387152</v>
          </cell>
          <cell r="X413">
            <v>66.815653565387152</v>
          </cell>
          <cell r="Y413">
            <v>66.815653565387152</v>
          </cell>
          <cell r="Z413">
            <v>66.815653565387152</v>
          </cell>
          <cell r="AA413">
            <v>66.815653565387152</v>
          </cell>
          <cell r="AB413">
            <v>66.815653565387152</v>
          </cell>
          <cell r="AC413">
            <v>66.815653565387152</v>
          </cell>
          <cell r="AD413">
            <v>66.815653565387152</v>
          </cell>
          <cell r="AE413">
            <v>66.815653565387152</v>
          </cell>
          <cell r="AF413">
            <v>66.815653565387152</v>
          </cell>
        </row>
        <row r="414">
          <cell r="A414" t="str">
            <v>Washington</v>
          </cell>
          <cell r="B414">
            <v>69.963523257440954</v>
          </cell>
          <cell r="C414">
            <v>70.186045239387852</v>
          </cell>
          <cell r="D414">
            <v>72.332473305911094</v>
          </cell>
          <cell r="E414">
            <v>73.424603674258094</v>
          </cell>
          <cell r="F414">
            <v>73.421486640152935</v>
          </cell>
          <cell r="G414">
            <v>73.635883935775453</v>
          </cell>
          <cell r="H414">
            <v>73.744793738481775</v>
          </cell>
          <cell r="I414">
            <v>73.887683722975311</v>
          </cell>
          <cell r="J414">
            <v>74.443897642226162</v>
          </cell>
          <cell r="K414">
            <v>74.159369044506846</v>
          </cell>
          <cell r="L414">
            <v>72.966087722262856</v>
          </cell>
          <cell r="M414">
            <v>72.997197050870369</v>
          </cell>
          <cell r="N414">
            <v>73.205098296659571</v>
          </cell>
          <cell r="O414">
            <v>75.114706048223738</v>
          </cell>
          <cell r="P414">
            <v>75.903412859122497</v>
          </cell>
          <cell r="Q414">
            <v>76.115181398031268</v>
          </cell>
          <cell r="R414">
            <v>76.997975618110416</v>
          </cell>
          <cell r="S414">
            <v>77.453825565225287</v>
          </cell>
          <cell r="T414">
            <v>77.453825565225287</v>
          </cell>
          <cell r="U414">
            <v>77.453825565225287</v>
          </cell>
          <cell r="V414">
            <v>77.453825565225287</v>
          </cell>
          <cell r="W414">
            <v>77.453825565225287</v>
          </cell>
          <cell r="X414">
            <v>77.453825565225287</v>
          </cell>
          <cell r="Y414">
            <v>77.453825565225287</v>
          </cell>
          <cell r="Z414">
            <v>77.453825565225287</v>
          </cell>
          <cell r="AA414">
            <v>77.453825565225287</v>
          </cell>
          <cell r="AB414">
            <v>77.453825565225287</v>
          </cell>
          <cell r="AC414">
            <v>77.453825565225287</v>
          </cell>
          <cell r="AD414">
            <v>77.453825565225287</v>
          </cell>
          <cell r="AE414">
            <v>77.453825565225287</v>
          </cell>
          <cell r="AF414">
            <v>77.453825565225287</v>
          </cell>
        </row>
        <row r="415">
          <cell r="A415" t="str">
            <v>West Virginia</v>
          </cell>
          <cell r="B415">
            <v>59.920155095864935</v>
          </cell>
          <cell r="C415">
            <v>60.10596059205831</v>
          </cell>
          <cell r="D415">
            <v>61.90230951365659</v>
          </cell>
          <cell r="E415">
            <v>62.824166993541333</v>
          </cell>
          <cell r="F415">
            <v>62.823160748144126</v>
          </cell>
          <cell r="G415">
            <v>63.009705341031747</v>
          </cell>
          <cell r="H415">
            <v>63.098580576534296</v>
          </cell>
          <cell r="I415">
            <v>63.223282582245247</v>
          </cell>
          <cell r="J415">
            <v>63.689316658006348</v>
          </cell>
          <cell r="K415">
            <v>63.445742965665012</v>
          </cell>
          <cell r="L415">
            <v>62.441666861846386</v>
          </cell>
          <cell r="M415">
            <v>62.47013405505502</v>
          </cell>
          <cell r="N415">
            <v>62.643145206642068</v>
          </cell>
          <cell r="O415">
            <v>64.249370061264514</v>
          </cell>
          <cell r="P415">
            <v>64.905417043757041</v>
          </cell>
          <cell r="Q415">
            <v>65.082072713812011</v>
          </cell>
          <cell r="R415">
            <v>65.827953765515716</v>
          </cell>
          <cell r="S415">
            <v>66.214781183676735</v>
          </cell>
          <cell r="T415">
            <v>66.214781183676735</v>
          </cell>
          <cell r="U415">
            <v>66.214781183676735</v>
          </cell>
          <cell r="V415">
            <v>66.214781183676735</v>
          </cell>
          <cell r="W415">
            <v>66.214781183676735</v>
          </cell>
          <cell r="X415">
            <v>66.214781183676735</v>
          </cell>
          <cell r="Y415">
            <v>66.214781183676735</v>
          </cell>
          <cell r="Z415">
            <v>66.214781183676735</v>
          </cell>
          <cell r="AA415">
            <v>66.214781183676735</v>
          </cell>
          <cell r="AB415">
            <v>66.214781183676735</v>
          </cell>
          <cell r="AC415">
            <v>66.214781183676735</v>
          </cell>
          <cell r="AD415">
            <v>66.214781183676735</v>
          </cell>
          <cell r="AE415">
            <v>66.214781183676735</v>
          </cell>
          <cell r="AF415">
            <v>66.214781183676735</v>
          </cell>
        </row>
        <row r="416">
          <cell r="A416" t="str">
            <v>Wisconsin</v>
          </cell>
          <cell r="B416">
            <v>59.930626782718981</v>
          </cell>
          <cell r="C416">
            <v>60.116469510502625</v>
          </cell>
          <cell r="D416">
            <v>61.913174204936972</v>
          </cell>
          <cell r="E416">
            <v>62.835206248368927</v>
          </cell>
          <cell r="F416">
            <v>62.8341981683255</v>
          </cell>
          <cell r="G416">
            <v>63.020772445504825</v>
          </cell>
          <cell r="H416">
            <v>63.109667601296223</v>
          </cell>
          <cell r="I416">
            <v>63.23438908226548</v>
          </cell>
          <cell r="J416">
            <v>63.700514908756674</v>
          </cell>
          <cell r="K416">
            <v>63.456898539212752</v>
          </cell>
          <cell r="L416">
            <v>62.452629103346389</v>
          </cell>
          <cell r="M416">
            <v>62.481099452823116</v>
          </cell>
          <cell r="N416">
            <v>62.654145871745506</v>
          </cell>
          <cell r="O416">
            <v>64.260680607317795</v>
          </cell>
          <cell r="P416">
            <v>64.916861627757086</v>
          </cell>
          <cell r="Q416">
            <v>65.093552870592006</v>
          </cell>
          <cell r="R416">
            <v>65.839574431911402</v>
          </cell>
          <cell r="S416">
            <v>66.226473027099289</v>
          </cell>
          <cell r="T416">
            <v>66.226473027099289</v>
          </cell>
          <cell r="U416">
            <v>66.226473027099289</v>
          </cell>
          <cell r="V416">
            <v>66.226473027099289</v>
          </cell>
          <cell r="W416">
            <v>66.226473027099289</v>
          </cell>
          <cell r="X416">
            <v>66.226473027099289</v>
          </cell>
          <cell r="Y416">
            <v>66.226473027099289</v>
          </cell>
          <cell r="Z416">
            <v>66.226473027099289</v>
          </cell>
          <cell r="AA416">
            <v>66.226473027099289</v>
          </cell>
          <cell r="AB416">
            <v>66.226473027099289</v>
          </cell>
          <cell r="AC416">
            <v>66.226473027099289</v>
          </cell>
          <cell r="AD416">
            <v>66.226473027099289</v>
          </cell>
          <cell r="AE416">
            <v>66.226473027099289</v>
          </cell>
          <cell r="AF416">
            <v>66.226473027099289</v>
          </cell>
        </row>
        <row r="417">
          <cell r="A417" t="str">
            <v>Wyoming</v>
          </cell>
          <cell r="B417">
            <v>57.901997943394058</v>
          </cell>
          <cell r="C417">
            <v>58.080667865833419</v>
          </cell>
          <cell r="D417">
            <v>59.808801052305533</v>
          </cell>
          <cell r="E417">
            <v>60.697128536775224</v>
          </cell>
          <cell r="F417">
            <v>60.696461973277884</v>
          </cell>
          <cell r="G417">
            <v>60.877261218494084</v>
          </cell>
          <cell r="H417">
            <v>60.962334088120393</v>
          </cell>
          <cell r="I417">
            <v>61.083263299757171</v>
          </cell>
          <cell r="J417">
            <v>61.531701070367355</v>
          </cell>
          <cell r="K417">
            <v>61.296351424588899</v>
          </cell>
          <cell r="L417">
            <v>60.329385606915643</v>
          </cell>
          <cell r="M417">
            <v>60.357229267633755</v>
          </cell>
          <cell r="N417">
            <v>60.523485683506735</v>
          </cell>
          <cell r="O417">
            <v>62.07023318542889</v>
          </cell>
          <cell r="P417">
            <v>62.700610146758635</v>
          </cell>
          <cell r="Q417">
            <v>62.870449436528439</v>
          </cell>
          <cell r="R417">
            <v>63.589335885917031</v>
          </cell>
          <cell r="S417">
            <v>63.96247565921778</v>
          </cell>
          <cell r="T417">
            <v>63.96247565921778</v>
          </cell>
          <cell r="U417">
            <v>63.96247565921778</v>
          </cell>
          <cell r="V417">
            <v>63.96247565921778</v>
          </cell>
          <cell r="W417">
            <v>63.96247565921778</v>
          </cell>
          <cell r="X417">
            <v>63.96247565921778</v>
          </cell>
          <cell r="Y417">
            <v>63.96247565921778</v>
          </cell>
          <cell r="Z417">
            <v>63.96247565921778</v>
          </cell>
          <cell r="AA417">
            <v>63.96247565921778</v>
          </cell>
          <cell r="AB417">
            <v>63.96247565921778</v>
          </cell>
          <cell r="AC417">
            <v>63.96247565921778</v>
          </cell>
          <cell r="AD417">
            <v>63.96247565921778</v>
          </cell>
          <cell r="AE417">
            <v>63.96247565921778</v>
          </cell>
          <cell r="AF417">
            <v>63.96247565921778</v>
          </cell>
        </row>
        <row r="419">
          <cell r="A419" t="str">
            <v>Steer Stockers</v>
          </cell>
          <cell r="B419">
            <v>1990</v>
          </cell>
          <cell r="C419">
            <v>1991</v>
          </cell>
          <cell r="D419">
            <v>1992</v>
          </cell>
          <cell r="E419">
            <v>1993</v>
          </cell>
          <cell r="F419">
            <v>1994</v>
          </cell>
          <cell r="G419">
            <v>1995</v>
          </cell>
          <cell r="H419">
            <v>1996</v>
          </cell>
          <cell r="I419">
            <v>1997</v>
          </cell>
          <cell r="J419">
            <v>1998</v>
          </cell>
          <cell r="K419">
            <v>1999</v>
          </cell>
          <cell r="L419">
            <v>2000</v>
          </cell>
          <cell r="M419">
            <v>2001</v>
          </cell>
          <cell r="N419">
            <v>2002</v>
          </cell>
          <cell r="O419">
            <v>2003</v>
          </cell>
          <cell r="P419">
            <v>2004</v>
          </cell>
          <cell r="Q419">
            <v>2005</v>
          </cell>
          <cell r="R419">
            <v>2006</v>
          </cell>
          <cell r="S419">
            <v>2007</v>
          </cell>
          <cell r="T419">
            <v>2008</v>
          </cell>
          <cell r="U419">
            <v>2009</v>
          </cell>
          <cell r="V419">
            <v>2010</v>
          </cell>
          <cell r="W419">
            <v>2011</v>
          </cell>
          <cell r="X419">
            <v>2012</v>
          </cell>
          <cell r="Y419">
            <v>2013</v>
          </cell>
          <cell r="Z419">
            <v>2014</v>
          </cell>
          <cell r="AA419">
            <v>2015</v>
          </cell>
          <cell r="AB419">
            <v>2016</v>
          </cell>
          <cell r="AC419">
            <v>2017</v>
          </cell>
          <cell r="AD419">
            <v>2018</v>
          </cell>
          <cell r="AE419">
            <v>2019</v>
          </cell>
          <cell r="AF419">
            <v>2020</v>
          </cell>
        </row>
        <row r="420">
          <cell r="A420" t="str">
            <v>Alabama</v>
          </cell>
          <cell r="B420">
            <v>54.814882026281254</v>
          </cell>
          <cell r="C420">
            <v>55.252015635355207</v>
          </cell>
          <cell r="D420">
            <v>55.65256616033691</v>
          </cell>
          <cell r="E420">
            <v>55.958444708474168</v>
          </cell>
          <cell r="F420">
            <v>56.174258975316235</v>
          </cell>
          <cell r="G420">
            <v>56.723272686129953</v>
          </cell>
          <cell r="H420">
            <v>56.783572742321802</v>
          </cell>
          <cell r="I420">
            <v>57.291987582370048</v>
          </cell>
          <cell r="J420">
            <v>57.541642257572967</v>
          </cell>
          <cell r="K420">
            <v>57.987425878275928</v>
          </cell>
          <cell r="L420">
            <v>58.59626125386589</v>
          </cell>
          <cell r="M420">
            <v>58.359905401690227</v>
          </cell>
          <cell r="N420">
            <v>58.508356325523607</v>
          </cell>
          <cell r="O420">
            <v>58.316725669054655</v>
          </cell>
          <cell r="P420">
            <v>57.831478483596811</v>
          </cell>
          <cell r="Q420">
            <v>58.005532461288325</v>
          </cell>
          <cell r="R420">
            <v>57.844191326477841</v>
          </cell>
          <cell r="S420">
            <v>57.846745539579736</v>
          </cell>
          <cell r="T420">
            <v>57.846745539579736</v>
          </cell>
          <cell r="U420">
            <v>57.846745539579736</v>
          </cell>
          <cell r="V420">
            <v>57.846745539579736</v>
          </cell>
          <cell r="W420">
            <v>57.846745539579736</v>
          </cell>
          <cell r="X420">
            <v>57.846745539579736</v>
          </cell>
          <cell r="Y420">
            <v>57.846745539579736</v>
          </cell>
          <cell r="Z420">
            <v>57.846745539579736</v>
          </cell>
          <cell r="AA420">
            <v>57.846745539579736</v>
          </cell>
          <cell r="AB420">
            <v>57.846745539579736</v>
          </cell>
          <cell r="AC420">
            <v>57.846745539579736</v>
          </cell>
          <cell r="AD420">
            <v>57.846745539579736</v>
          </cell>
          <cell r="AE420">
            <v>57.846745539579736</v>
          </cell>
          <cell r="AF420">
            <v>57.846745539579736</v>
          </cell>
        </row>
        <row r="421">
          <cell r="A421" t="str">
            <v>Alaska</v>
          </cell>
          <cell r="B421">
            <v>63.672137248327545</v>
          </cell>
          <cell r="C421">
            <v>64.1955166107048</v>
          </cell>
          <cell r="D421">
            <v>64.619217628523444</v>
          </cell>
          <cell r="E421">
            <v>64.967613032761591</v>
          </cell>
          <cell r="F421">
            <v>65.231560922994461</v>
          </cell>
          <cell r="G421">
            <v>65.852566208522163</v>
          </cell>
          <cell r="H421">
            <v>65.913160319727098</v>
          </cell>
          <cell r="I421">
            <v>66.541564870289477</v>
          </cell>
          <cell r="J421">
            <v>66.84568038362616</v>
          </cell>
          <cell r="K421">
            <v>67.40835661394226</v>
          </cell>
          <cell r="L421">
            <v>68.186111118062882</v>
          </cell>
          <cell r="M421">
            <v>67.878296444958522</v>
          </cell>
          <cell r="N421">
            <v>68.06014622316242</v>
          </cell>
          <cell r="O421">
            <v>67.848630788923714</v>
          </cell>
          <cell r="P421">
            <v>67.245971883300498</v>
          </cell>
          <cell r="Q421">
            <v>67.459052415629245</v>
          </cell>
          <cell r="R421">
            <v>67.239675652591657</v>
          </cell>
          <cell r="S421">
            <v>67.241173228743605</v>
          </cell>
          <cell r="T421">
            <v>67.241173228743605</v>
          </cell>
          <cell r="U421">
            <v>67.241173228743605</v>
          </cell>
          <cell r="V421">
            <v>67.241173228743605</v>
          </cell>
          <cell r="W421">
            <v>67.241173228743605</v>
          </cell>
          <cell r="X421">
            <v>67.241173228743605</v>
          </cell>
          <cell r="Y421">
            <v>67.241173228743605</v>
          </cell>
          <cell r="Z421">
            <v>67.241173228743605</v>
          </cell>
          <cell r="AA421">
            <v>67.241173228743605</v>
          </cell>
          <cell r="AB421">
            <v>67.241173228743605</v>
          </cell>
          <cell r="AC421">
            <v>67.241173228743605</v>
          </cell>
          <cell r="AD421">
            <v>67.241173228743605</v>
          </cell>
          <cell r="AE421">
            <v>67.241173228743605</v>
          </cell>
          <cell r="AF421">
            <v>67.241173228743605</v>
          </cell>
        </row>
        <row r="422">
          <cell r="A422" t="str">
            <v>Arizona</v>
          </cell>
          <cell r="B422">
            <v>63.672137248327545</v>
          </cell>
          <cell r="C422">
            <v>64.1955166107048</v>
          </cell>
          <cell r="D422">
            <v>64.619217628523444</v>
          </cell>
          <cell r="E422">
            <v>64.967613032761577</v>
          </cell>
          <cell r="F422">
            <v>65.231560922994461</v>
          </cell>
          <cell r="G422">
            <v>65.852566208522148</v>
          </cell>
          <cell r="H422">
            <v>65.913160319727069</v>
          </cell>
          <cell r="I422">
            <v>66.541564870289477</v>
          </cell>
          <cell r="J422">
            <v>66.845680383626146</v>
          </cell>
          <cell r="K422">
            <v>67.408356613942246</v>
          </cell>
          <cell r="L422">
            <v>68.186111118062882</v>
          </cell>
          <cell r="M422">
            <v>67.878296444958522</v>
          </cell>
          <cell r="N422">
            <v>68.060146223162405</v>
          </cell>
          <cell r="O422">
            <v>67.848630788923714</v>
          </cell>
          <cell r="P422">
            <v>67.245971883300513</v>
          </cell>
          <cell r="Q422">
            <v>67.45905241562923</v>
          </cell>
          <cell r="R422">
            <v>67.239675652591643</v>
          </cell>
          <cell r="S422">
            <v>67.241173228743619</v>
          </cell>
          <cell r="T422">
            <v>67.241173228743619</v>
          </cell>
          <cell r="U422">
            <v>67.241173228743619</v>
          </cell>
          <cell r="V422">
            <v>67.241173228743619</v>
          </cell>
          <cell r="W422">
            <v>67.241173228743619</v>
          </cell>
          <cell r="X422">
            <v>67.241173228743619</v>
          </cell>
          <cell r="Y422">
            <v>67.241173228743619</v>
          </cell>
          <cell r="Z422">
            <v>67.241173228743619</v>
          </cell>
          <cell r="AA422">
            <v>67.241173228743619</v>
          </cell>
          <cell r="AB422">
            <v>67.241173228743619</v>
          </cell>
          <cell r="AC422">
            <v>67.241173228743619</v>
          </cell>
          <cell r="AD422">
            <v>67.241173228743619</v>
          </cell>
          <cell r="AE422">
            <v>67.241173228743619</v>
          </cell>
          <cell r="AF422">
            <v>67.241173228743619</v>
          </cell>
        </row>
        <row r="423">
          <cell r="A423" t="str">
            <v>Arkansas</v>
          </cell>
          <cell r="B423">
            <v>54.724099559575237</v>
          </cell>
          <cell r="C423">
            <v>55.160376229940461</v>
          </cell>
          <cell r="D423">
            <v>55.560617475328279</v>
          </cell>
          <cell r="E423">
            <v>55.866048282117774</v>
          </cell>
          <cell r="F423">
            <v>56.081392170253181</v>
          </cell>
          <cell r="G423">
            <v>56.629639044837397</v>
          </cell>
          <cell r="H423">
            <v>56.689919721647776</v>
          </cell>
          <cell r="I423">
            <v>57.197170256995136</v>
          </cell>
          <cell r="J423">
            <v>57.446291190572893</v>
          </cell>
          <cell r="K423">
            <v>57.890954413604319</v>
          </cell>
          <cell r="L423">
            <v>58.498180619989867</v>
          </cell>
          <cell r="M423">
            <v>58.262499570182818</v>
          </cell>
          <cell r="N423">
            <v>58.410624471845431</v>
          </cell>
          <cell r="O423">
            <v>58.219216813449059</v>
          </cell>
          <cell r="P423">
            <v>57.735105490972103</v>
          </cell>
          <cell r="Q423">
            <v>57.908778346964276</v>
          </cell>
          <cell r="R423">
            <v>57.747976688288944</v>
          </cell>
          <cell r="S423">
            <v>57.750539186636964</v>
          </cell>
          <cell r="T423">
            <v>57.750539186636964</v>
          </cell>
          <cell r="U423">
            <v>57.750539186636964</v>
          </cell>
          <cell r="V423">
            <v>57.750539186636964</v>
          </cell>
          <cell r="W423">
            <v>57.750539186636964</v>
          </cell>
          <cell r="X423">
            <v>57.750539186636964</v>
          </cell>
          <cell r="Y423">
            <v>57.750539186636964</v>
          </cell>
          <cell r="Z423">
            <v>57.750539186636964</v>
          </cell>
          <cell r="AA423">
            <v>57.750539186636964</v>
          </cell>
          <cell r="AB423">
            <v>57.750539186636964</v>
          </cell>
          <cell r="AC423">
            <v>57.750539186636964</v>
          </cell>
          <cell r="AD423">
            <v>57.750539186636964</v>
          </cell>
          <cell r="AE423">
            <v>57.750539186636964</v>
          </cell>
          <cell r="AF423">
            <v>57.750539186636964</v>
          </cell>
        </row>
        <row r="424">
          <cell r="A424" t="str">
            <v>California</v>
          </cell>
          <cell r="B424">
            <v>54.072634784599174</v>
          </cell>
          <cell r="C424">
            <v>54.502777915459504</v>
          </cell>
          <cell r="D424">
            <v>54.900757276517737</v>
          </cell>
          <cell r="E424">
            <v>55.202967987005778</v>
          </cell>
          <cell r="F424">
            <v>55.414949931426868</v>
          </cell>
          <cell r="G424">
            <v>55.957676828532442</v>
          </cell>
          <cell r="H424">
            <v>56.01780878540162</v>
          </cell>
          <cell r="I424">
            <v>56.516742790569211</v>
          </cell>
          <cell r="J424">
            <v>56.762047958765585</v>
          </cell>
          <cell r="K424">
            <v>57.198716906401629</v>
          </cell>
          <cell r="L424">
            <v>57.794467588611148</v>
          </cell>
          <cell r="M424">
            <v>57.563595015356924</v>
          </cell>
          <cell r="N424">
            <v>57.709389959255908</v>
          </cell>
          <cell r="O424">
            <v>57.519593875641029</v>
          </cell>
          <cell r="P424">
            <v>57.043593792038834</v>
          </cell>
          <cell r="Q424">
            <v>57.214542812587673</v>
          </cell>
          <cell r="R424">
            <v>57.057579844580417</v>
          </cell>
          <cell r="S424">
            <v>57.060200297996403</v>
          </cell>
          <cell r="T424">
            <v>57.060200297996403</v>
          </cell>
          <cell r="U424">
            <v>57.060200297996403</v>
          </cell>
          <cell r="V424">
            <v>57.060200297996403</v>
          </cell>
          <cell r="W424">
            <v>57.060200297996403</v>
          </cell>
          <cell r="X424">
            <v>57.060200297996403</v>
          </cell>
          <cell r="Y424">
            <v>57.060200297996403</v>
          </cell>
          <cell r="Z424">
            <v>57.060200297996403</v>
          </cell>
          <cell r="AA424">
            <v>57.060200297996403</v>
          </cell>
          <cell r="AB424">
            <v>57.060200297996403</v>
          </cell>
          <cell r="AC424">
            <v>57.060200297996403</v>
          </cell>
          <cell r="AD424">
            <v>57.060200297996403</v>
          </cell>
          <cell r="AE424">
            <v>57.060200297996403</v>
          </cell>
          <cell r="AF424">
            <v>57.060200297996403</v>
          </cell>
        </row>
        <row r="425">
          <cell r="A425" t="str">
            <v>Colorado</v>
          </cell>
          <cell r="B425">
            <v>52.446800259021352</v>
          </cell>
          <cell r="C425">
            <v>52.861758110576844</v>
          </cell>
          <cell r="D425">
            <v>53.253767835950434</v>
          </cell>
          <cell r="E425">
            <v>53.547888315731555</v>
          </cell>
          <cell r="F425">
            <v>53.751583582268836</v>
          </cell>
          <cell r="G425">
            <v>54.280403879356335</v>
          </cell>
          <cell r="H425">
            <v>54.340090867176471</v>
          </cell>
          <cell r="I425">
            <v>54.818565208364767</v>
          </cell>
          <cell r="J425">
            <v>55.054457825100449</v>
          </cell>
          <cell r="K425">
            <v>55.471526208279137</v>
          </cell>
          <cell r="L425">
            <v>56.039188910163659</v>
          </cell>
          <cell r="M425">
            <v>55.820056792636819</v>
          </cell>
          <cell r="N425">
            <v>55.960110471459544</v>
          </cell>
          <cell r="O425">
            <v>55.774422880233189</v>
          </cell>
          <cell r="P425">
            <v>55.318361018655096</v>
          </cell>
          <cell r="Q425">
            <v>55.482597433435856</v>
          </cell>
          <cell r="R425">
            <v>55.334964835538628</v>
          </cell>
          <cell r="S425">
            <v>55.337718447239929</v>
          </cell>
          <cell r="T425">
            <v>55.337718447239929</v>
          </cell>
          <cell r="U425">
            <v>55.337718447239929</v>
          </cell>
          <cell r="V425">
            <v>55.337718447239929</v>
          </cell>
          <cell r="W425">
            <v>55.337718447239929</v>
          </cell>
          <cell r="X425">
            <v>55.337718447239929</v>
          </cell>
          <cell r="Y425">
            <v>55.337718447239929</v>
          </cell>
          <cell r="Z425">
            <v>55.337718447239929</v>
          </cell>
          <cell r="AA425">
            <v>55.337718447239929</v>
          </cell>
          <cell r="AB425">
            <v>55.337718447239929</v>
          </cell>
          <cell r="AC425">
            <v>55.337718447239929</v>
          </cell>
          <cell r="AD425">
            <v>55.337718447239929</v>
          </cell>
          <cell r="AE425">
            <v>55.337718447239929</v>
          </cell>
          <cell r="AF425">
            <v>55.337718447239929</v>
          </cell>
        </row>
        <row r="426">
          <cell r="A426" t="str">
            <v>Connecticut</v>
          </cell>
          <cell r="B426">
            <v>54.315911246285829</v>
          </cell>
          <cell r="C426">
            <v>54.748341547015059</v>
          </cell>
          <cell r="D426">
            <v>55.147174291197388</v>
          </cell>
          <cell r="E426">
            <v>55.450588932478702</v>
          </cell>
          <cell r="F426">
            <v>55.663823543296324</v>
          </cell>
          <cell r="G426">
            <v>56.208615275713925</v>
          </cell>
          <cell r="H426">
            <v>56.268804752907663</v>
          </cell>
          <cell r="I426">
            <v>56.770836455903627</v>
          </cell>
          <cell r="J426">
            <v>57.01756358073726</v>
          </cell>
          <cell r="K426">
            <v>57.457208412162331</v>
          </cell>
          <cell r="L426">
            <v>58.057229589484585</v>
          </cell>
          <cell r="M426">
            <v>57.824568371221552</v>
          </cell>
          <cell r="N426">
            <v>57.971231415296515</v>
          </cell>
          <cell r="O426">
            <v>57.780831195269599</v>
          </cell>
          <cell r="P426">
            <v>57.301810320459197</v>
          </cell>
          <cell r="Q426">
            <v>57.473774213962777</v>
          </cell>
          <cell r="R426">
            <v>57.315384474713269</v>
          </cell>
          <cell r="S426">
            <v>57.317983594449814</v>
          </cell>
          <cell r="T426">
            <v>57.317983594449814</v>
          </cell>
          <cell r="U426">
            <v>57.317983594449814</v>
          </cell>
          <cell r="V426">
            <v>57.317983594449814</v>
          </cell>
          <cell r="W426">
            <v>57.317983594449814</v>
          </cell>
          <cell r="X426">
            <v>57.317983594449814</v>
          </cell>
          <cell r="Y426">
            <v>57.317983594449814</v>
          </cell>
          <cell r="Z426">
            <v>57.317983594449814</v>
          </cell>
          <cell r="AA426">
            <v>57.317983594449814</v>
          </cell>
          <cell r="AB426">
            <v>57.317983594449814</v>
          </cell>
          <cell r="AC426">
            <v>57.317983594449814</v>
          </cell>
          <cell r="AD426">
            <v>57.317983594449814</v>
          </cell>
          <cell r="AE426">
            <v>57.317983594449814</v>
          </cell>
          <cell r="AF426">
            <v>57.317983594449814</v>
          </cell>
        </row>
        <row r="427">
          <cell r="A427" t="str">
            <v>Delaware</v>
          </cell>
          <cell r="B427">
            <v>54.31591124628585</v>
          </cell>
          <cell r="C427">
            <v>54.74834154701508</v>
          </cell>
          <cell r="D427">
            <v>55.147174291197381</v>
          </cell>
          <cell r="E427">
            <v>55.450588932478716</v>
          </cell>
          <cell r="F427">
            <v>55.663823543296338</v>
          </cell>
          <cell r="G427">
            <v>56.208615275713925</v>
          </cell>
          <cell r="H427">
            <v>56.268804752907663</v>
          </cell>
          <cell r="I427">
            <v>56.770836455903613</v>
          </cell>
          <cell r="J427">
            <v>57.017563580737253</v>
          </cell>
          <cell r="K427">
            <v>57.457208412162359</v>
          </cell>
          <cell r="L427">
            <v>58.057229589484578</v>
          </cell>
          <cell r="M427">
            <v>57.824568371221552</v>
          </cell>
          <cell r="N427">
            <v>57.971231415296515</v>
          </cell>
          <cell r="O427">
            <v>57.780831195269599</v>
          </cell>
          <cell r="P427">
            <v>57.301810320459204</v>
          </cell>
          <cell r="Q427">
            <v>57.47377421396277</v>
          </cell>
          <cell r="R427">
            <v>57.315384474713248</v>
          </cell>
          <cell r="S427">
            <v>57.317983594449807</v>
          </cell>
          <cell r="T427">
            <v>57.317983594449807</v>
          </cell>
          <cell r="U427">
            <v>57.317983594449807</v>
          </cell>
          <cell r="V427">
            <v>57.317983594449807</v>
          </cell>
          <cell r="W427">
            <v>57.317983594449807</v>
          </cell>
          <cell r="X427">
            <v>57.317983594449807</v>
          </cell>
          <cell r="Y427">
            <v>57.317983594449807</v>
          </cell>
          <cell r="Z427">
            <v>57.317983594449807</v>
          </cell>
          <cell r="AA427">
            <v>57.317983594449807</v>
          </cell>
          <cell r="AB427">
            <v>57.317983594449807</v>
          </cell>
          <cell r="AC427">
            <v>57.317983594449807</v>
          </cell>
          <cell r="AD427">
            <v>57.317983594449807</v>
          </cell>
          <cell r="AE427">
            <v>57.317983594449807</v>
          </cell>
          <cell r="AF427">
            <v>57.317983594449807</v>
          </cell>
        </row>
        <row r="428">
          <cell r="A428" t="str">
            <v>Florida</v>
          </cell>
          <cell r="B428">
            <v>54.814882026281246</v>
          </cell>
          <cell r="C428">
            <v>55.252015635355221</v>
          </cell>
          <cell r="D428">
            <v>55.652566160336924</v>
          </cell>
          <cell r="E428">
            <v>55.958444708474154</v>
          </cell>
          <cell r="F428">
            <v>56.174258975316228</v>
          </cell>
          <cell r="G428">
            <v>56.72327268612996</v>
          </cell>
          <cell r="H428">
            <v>56.783572742321816</v>
          </cell>
          <cell r="I428">
            <v>57.291987582370048</v>
          </cell>
          <cell r="J428">
            <v>57.541642257572981</v>
          </cell>
          <cell r="K428">
            <v>57.987425878275928</v>
          </cell>
          <cell r="L428">
            <v>58.596261253865883</v>
          </cell>
          <cell r="M428">
            <v>58.359905401690234</v>
          </cell>
          <cell r="N428">
            <v>58.5083563255236</v>
          </cell>
          <cell r="O428">
            <v>58.316725669054662</v>
          </cell>
          <cell r="P428">
            <v>57.831478483596811</v>
          </cell>
          <cell r="Q428">
            <v>58.005532461288333</v>
          </cell>
          <cell r="R428">
            <v>57.844191326477841</v>
          </cell>
          <cell r="S428">
            <v>57.846745539579771</v>
          </cell>
          <cell r="T428">
            <v>57.846745539579771</v>
          </cell>
          <cell r="U428">
            <v>57.846745539579771</v>
          </cell>
          <cell r="V428">
            <v>57.846745539579771</v>
          </cell>
          <cell r="W428">
            <v>57.846745539579771</v>
          </cell>
          <cell r="X428">
            <v>57.846745539579771</v>
          </cell>
          <cell r="Y428">
            <v>57.846745539579771</v>
          </cell>
          <cell r="Z428">
            <v>57.846745539579771</v>
          </cell>
          <cell r="AA428">
            <v>57.846745539579771</v>
          </cell>
          <cell r="AB428">
            <v>57.846745539579771</v>
          </cell>
          <cell r="AC428">
            <v>57.846745539579771</v>
          </cell>
          <cell r="AD428">
            <v>57.846745539579771</v>
          </cell>
          <cell r="AE428">
            <v>57.846745539579771</v>
          </cell>
          <cell r="AF428">
            <v>57.846745539579771</v>
          </cell>
        </row>
        <row r="429">
          <cell r="A429" t="str">
            <v>Georgia</v>
          </cell>
          <cell r="B429">
            <v>54.814882026281254</v>
          </cell>
          <cell r="C429">
            <v>55.252015635355221</v>
          </cell>
          <cell r="D429">
            <v>55.652566160336903</v>
          </cell>
          <cell r="E429">
            <v>55.958444708474154</v>
          </cell>
          <cell r="F429">
            <v>56.174258975316221</v>
          </cell>
          <cell r="G429">
            <v>56.72327268612996</v>
          </cell>
          <cell r="H429">
            <v>56.783572742321809</v>
          </cell>
          <cell r="I429">
            <v>57.291987582370041</v>
          </cell>
          <cell r="J429">
            <v>57.541642257572981</v>
          </cell>
          <cell r="K429">
            <v>57.987425878275936</v>
          </cell>
          <cell r="L429">
            <v>58.596261253865883</v>
          </cell>
          <cell r="M429">
            <v>58.359905401690234</v>
          </cell>
          <cell r="N429">
            <v>58.508356325523629</v>
          </cell>
          <cell r="O429">
            <v>58.316725669054662</v>
          </cell>
          <cell r="P429">
            <v>57.831478483596811</v>
          </cell>
          <cell r="Q429">
            <v>58.005532461288318</v>
          </cell>
          <cell r="R429">
            <v>57.844191326477834</v>
          </cell>
          <cell r="S429">
            <v>57.846745539579757</v>
          </cell>
          <cell r="T429">
            <v>57.846745539579757</v>
          </cell>
          <cell r="U429">
            <v>57.846745539579757</v>
          </cell>
          <cell r="V429">
            <v>57.846745539579757</v>
          </cell>
          <cell r="W429">
            <v>57.846745539579757</v>
          </cell>
          <cell r="X429">
            <v>57.846745539579757</v>
          </cell>
          <cell r="Y429">
            <v>57.846745539579757</v>
          </cell>
          <cell r="Z429">
            <v>57.846745539579757</v>
          </cell>
          <cell r="AA429">
            <v>57.846745539579757</v>
          </cell>
          <cell r="AB429">
            <v>57.846745539579757</v>
          </cell>
          <cell r="AC429">
            <v>57.846745539579757</v>
          </cell>
          <cell r="AD429">
            <v>57.846745539579757</v>
          </cell>
          <cell r="AE429">
            <v>57.846745539579757</v>
          </cell>
          <cell r="AF429">
            <v>57.846745539579757</v>
          </cell>
        </row>
        <row r="430">
          <cell r="A430" t="str">
            <v>Hawaii</v>
          </cell>
          <cell r="B430">
            <v>63.672137248327559</v>
          </cell>
          <cell r="C430">
            <v>64.1955166107048</v>
          </cell>
          <cell r="D430">
            <v>64.619217628523458</v>
          </cell>
          <cell r="E430">
            <v>64.967613032761591</v>
          </cell>
          <cell r="F430">
            <v>65.231560922994461</v>
          </cell>
          <cell r="G430">
            <v>65.852566208522163</v>
          </cell>
          <cell r="H430">
            <v>65.913160319727098</v>
          </cell>
          <cell r="I430">
            <v>66.541564870289477</v>
          </cell>
          <cell r="J430">
            <v>66.84568038362616</v>
          </cell>
          <cell r="K430">
            <v>67.408356613942246</v>
          </cell>
          <cell r="L430">
            <v>68.186111118062882</v>
          </cell>
          <cell r="M430">
            <v>67.878296444958536</v>
          </cell>
          <cell r="N430">
            <v>68.060146223162405</v>
          </cell>
          <cell r="O430">
            <v>67.8486307889237</v>
          </cell>
          <cell r="P430">
            <v>67.245971883300513</v>
          </cell>
          <cell r="Q430">
            <v>67.459052415629245</v>
          </cell>
          <cell r="R430">
            <v>67.239675652591657</v>
          </cell>
          <cell r="S430">
            <v>67.241173228743634</v>
          </cell>
          <cell r="T430">
            <v>67.241173228743634</v>
          </cell>
          <cell r="U430">
            <v>67.241173228743634</v>
          </cell>
          <cell r="V430">
            <v>67.241173228743634</v>
          </cell>
          <cell r="W430">
            <v>67.241173228743634</v>
          </cell>
          <cell r="X430">
            <v>67.241173228743634</v>
          </cell>
          <cell r="Y430">
            <v>67.241173228743634</v>
          </cell>
          <cell r="Z430">
            <v>67.241173228743634</v>
          </cell>
          <cell r="AA430">
            <v>67.241173228743634</v>
          </cell>
          <cell r="AB430">
            <v>67.241173228743634</v>
          </cell>
          <cell r="AC430">
            <v>67.241173228743634</v>
          </cell>
          <cell r="AD430">
            <v>67.241173228743634</v>
          </cell>
          <cell r="AE430">
            <v>67.241173228743634</v>
          </cell>
          <cell r="AF430">
            <v>67.241173228743634</v>
          </cell>
        </row>
        <row r="431">
          <cell r="A431" t="str">
            <v>Idaho</v>
          </cell>
          <cell r="B431">
            <v>63.672137248327523</v>
          </cell>
          <cell r="C431">
            <v>64.195516610704786</v>
          </cell>
          <cell r="D431">
            <v>64.619217628523458</v>
          </cell>
          <cell r="E431">
            <v>64.967613032761591</v>
          </cell>
          <cell r="F431">
            <v>65.231560922994461</v>
          </cell>
          <cell r="G431">
            <v>65.852566208522163</v>
          </cell>
          <cell r="H431">
            <v>65.913160319727083</v>
          </cell>
          <cell r="I431">
            <v>66.541564870289477</v>
          </cell>
          <cell r="J431">
            <v>66.845680383626146</v>
          </cell>
          <cell r="K431">
            <v>67.408356613942246</v>
          </cell>
          <cell r="L431">
            <v>68.186111118062882</v>
          </cell>
          <cell r="M431">
            <v>67.878296444958522</v>
          </cell>
          <cell r="N431">
            <v>68.060146223162405</v>
          </cell>
          <cell r="O431">
            <v>67.848630788923714</v>
          </cell>
          <cell r="P431">
            <v>67.245971883300484</v>
          </cell>
          <cell r="Q431">
            <v>67.459052415629245</v>
          </cell>
          <cell r="R431">
            <v>67.239675652591657</v>
          </cell>
          <cell r="S431">
            <v>67.241173228743634</v>
          </cell>
          <cell r="T431">
            <v>67.241173228743634</v>
          </cell>
          <cell r="U431">
            <v>67.241173228743634</v>
          </cell>
          <cell r="V431">
            <v>67.241173228743634</v>
          </cell>
          <cell r="W431">
            <v>67.241173228743634</v>
          </cell>
          <cell r="X431">
            <v>67.241173228743634</v>
          </cell>
          <cell r="Y431">
            <v>67.241173228743634</v>
          </cell>
          <cell r="Z431">
            <v>67.241173228743634</v>
          </cell>
          <cell r="AA431">
            <v>67.241173228743634</v>
          </cell>
          <cell r="AB431">
            <v>67.241173228743634</v>
          </cell>
          <cell r="AC431">
            <v>67.241173228743634</v>
          </cell>
          <cell r="AD431">
            <v>67.241173228743634</v>
          </cell>
          <cell r="AE431">
            <v>67.241173228743634</v>
          </cell>
          <cell r="AF431">
            <v>67.241173228743634</v>
          </cell>
        </row>
        <row r="432">
          <cell r="A432" t="str">
            <v>Illinois</v>
          </cell>
          <cell r="B432">
            <v>54.325618937869145</v>
          </cell>
          <cell r="C432">
            <v>54.758140584414058</v>
          </cell>
          <cell r="D432">
            <v>55.157007172367265</v>
          </cell>
          <cell r="E432">
            <v>55.460469820412953</v>
          </cell>
          <cell r="F432">
            <v>55.67375448442337</v>
          </cell>
          <cell r="G432">
            <v>56.218628527627423</v>
          </cell>
          <cell r="H432">
            <v>56.278820252469799</v>
          </cell>
          <cell r="I432">
            <v>56.780975756599631</v>
          </cell>
          <cell r="J432">
            <v>57.027759694306447</v>
          </cell>
          <cell r="K432">
            <v>57.467523501411179</v>
          </cell>
          <cell r="L432">
            <v>58.067715443981655</v>
          </cell>
          <cell r="M432">
            <v>57.834982684002938</v>
          </cell>
          <cell r="N432">
            <v>57.981680416150724</v>
          </cell>
          <cell r="O432">
            <v>57.791256144553707</v>
          </cell>
          <cell r="P432">
            <v>57.312114531611222</v>
          </cell>
          <cell r="Q432">
            <v>57.484118977516097</v>
          </cell>
          <cell r="R432">
            <v>57.325672143307074</v>
          </cell>
          <cell r="S432">
            <v>57.328270404337822</v>
          </cell>
          <cell r="T432">
            <v>57.328270404337822</v>
          </cell>
          <cell r="U432">
            <v>57.328270404337822</v>
          </cell>
          <cell r="V432">
            <v>57.328270404337822</v>
          </cell>
          <cell r="W432">
            <v>57.328270404337822</v>
          </cell>
          <cell r="X432">
            <v>57.328270404337822</v>
          </cell>
          <cell r="Y432">
            <v>57.328270404337822</v>
          </cell>
          <cell r="Z432">
            <v>57.328270404337822</v>
          </cell>
          <cell r="AA432">
            <v>57.328270404337822</v>
          </cell>
          <cell r="AB432">
            <v>57.328270404337822</v>
          </cell>
          <cell r="AC432">
            <v>57.328270404337822</v>
          </cell>
          <cell r="AD432">
            <v>57.328270404337822</v>
          </cell>
          <cell r="AE432">
            <v>57.328270404337822</v>
          </cell>
          <cell r="AF432">
            <v>57.328270404337822</v>
          </cell>
        </row>
        <row r="433">
          <cell r="A433" t="str">
            <v>Indiana</v>
          </cell>
          <cell r="B433">
            <v>54.325618937869145</v>
          </cell>
          <cell r="C433">
            <v>54.758140584414051</v>
          </cell>
          <cell r="D433">
            <v>55.157007172367265</v>
          </cell>
          <cell r="E433">
            <v>55.460469820412953</v>
          </cell>
          <cell r="F433">
            <v>55.673754484423348</v>
          </cell>
          <cell r="G433">
            <v>56.218628527627423</v>
          </cell>
          <cell r="H433">
            <v>56.278820252469806</v>
          </cell>
          <cell r="I433">
            <v>56.780975756599645</v>
          </cell>
          <cell r="J433">
            <v>57.027759694306447</v>
          </cell>
          <cell r="K433">
            <v>57.467523501411179</v>
          </cell>
          <cell r="L433">
            <v>58.067715443981655</v>
          </cell>
          <cell r="M433">
            <v>57.834982684002938</v>
          </cell>
          <cell r="N433">
            <v>57.981680416150724</v>
          </cell>
          <cell r="O433">
            <v>57.791256144553714</v>
          </cell>
          <cell r="P433">
            <v>57.312114531611222</v>
          </cell>
          <cell r="Q433">
            <v>57.484118977516118</v>
          </cell>
          <cell r="R433">
            <v>57.325672143307074</v>
          </cell>
          <cell r="S433">
            <v>57.328270404337822</v>
          </cell>
          <cell r="T433">
            <v>57.328270404337822</v>
          </cell>
          <cell r="U433">
            <v>57.328270404337822</v>
          </cell>
          <cell r="V433">
            <v>57.328270404337822</v>
          </cell>
          <cell r="W433">
            <v>57.328270404337822</v>
          </cell>
          <cell r="X433">
            <v>57.328270404337822</v>
          </cell>
          <cell r="Y433">
            <v>57.328270404337822</v>
          </cell>
          <cell r="Z433">
            <v>57.328270404337822</v>
          </cell>
          <cell r="AA433">
            <v>57.328270404337822</v>
          </cell>
          <cell r="AB433">
            <v>57.328270404337822</v>
          </cell>
          <cell r="AC433">
            <v>57.328270404337822</v>
          </cell>
          <cell r="AD433">
            <v>57.328270404337822</v>
          </cell>
          <cell r="AE433">
            <v>57.328270404337822</v>
          </cell>
          <cell r="AF433">
            <v>57.328270404337822</v>
          </cell>
        </row>
        <row r="434">
          <cell r="A434" t="str">
            <v>Iowa</v>
          </cell>
          <cell r="B434">
            <v>54.325618937869145</v>
          </cell>
          <cell r="C434">
            <v>54.758140584414051</v>
          </cell>
          <cell r="D434">
            <v>55.157007172367251</v>
          </cell>
          <cell r="E434">
            <v>55.46046982041296</v>
          </cell>
          <cell r="F434">
            <v>55.673754484423348</v>
          </cell>
          <cell r="G434">
            <v>56.21862852762743</v>
          </cell>
          <cell r="H434">
            <v>56.278820252469806</v>
          </cell>
          <cell r="I434">
            <v>56.780975756599638</v>
          </cell>
          <cell r="J434">
            <v>57.027759694306447</v>
          </cell>
          <cell r="K434">
            <v>57.467523501411179</v>
          </cell>
          <cell r="L434">
            <v>58.067715443981655</v>
          </cell>
          <cell r="M434">
            <v>57.834982684002931</v>
          </cell>
          <cell r="N434">
            <v>57.981680416150724</v>
          </cell>
          <cell r="O434">
            <v>57.791256144553714</v>
          </cell>
          <cell r="P434">
            <v>57.312114531611222</v>
          </cell>
          <cell r="Q434">
            <v>57.484118977516104</v>
          </cell>
          <cell r="R434">
            <v>57.325672143307067</v>
          </cell>
          <cell r="S434">
            <v>57.3282704043378</v>
          </cell>
          <cell r="T434">
            <v>57.3282704043378</v>
          </cell>
          <cell r="U434">
            <v>57.3282704043378</v>
          </cell>
          <cell r="V434">
            <v>57.3282704043378</v>
          </cell>
          <cell r="W434">
            <v>57.3282704043378</v>
          </cell>
          <cell r="X434">
            <v>57.3282704043378</v>
          </cell>
          <cell r="Y434">
            <v>57.3282704043378</v>
          </cell>
          <cell r="Z434">
            <v>57.3282704043378</v>
          </cell>
          <cell r="AA434">
            <v>57.3282704043378</v>
          </cell>
          <cell r="AB434">
            <v>57.3282704043378</v>
          </cell>
          <cell r="AC434">
            <v>57.3282704043378</v>
          </cell>
          <cell r="AD434">
            <v>57.3282704043378</v>
          </cell>
          <cell r="AE434">
            <v>57.3282704043378</v>
          </cell>
          <cell r="AF434">
            <v>57.3282704043378</v>
          </cell>
        </row>
        <row r="435">
          <cell r="A435" t="str">
            <v>Kansas</v>
          </cell>
          <cell r="B435">
            <v>52.44680025902133</v>
          </cell>
          <cell r="C435">
            <v>52.861758110576844</v>
          </cell>
          <cell r="D435">
            <v>53.253767835950434</v>
          </cell>
          <cell r="E435">
            <v>53.547888315731555</v>
          </cell>
          <cell r="F435">
            <v>53.75158358226885</v>
          </cell>
          <cell r="G435">
            <v>54.280403879356328</v>
          </cell>
          <cell r="H435">
            <v>54.340090867176478</v>
          </cell>
          <cell r="I435">
            <v>54.818565208364788</v>
          </cell>
          <cell r="J435">
            <v>55.054457825100457</v>
          </cell>
          <cell r="K435">
            <v>55.471526208279144</v>
          </cell>
          <cell r="L435">
            <v>56.039188910163652</v>
          </cell>
          <cell r="M435">
            <v>55.820056792636819</v>
          </cell>
          <cell r="N435">
            <v>55.960110471459544</v>
          </cell>
          <cell r="O435">
            <v>55.774422880233175</v>
          </cell>
          <cell r="P435">
            <v>55.318361018655104</v>
          </cell>
          <cell r="Q435">
            <v>55.48259743343587</v>
          </cell>
          <cell r="R435">
            <v>55.334964835538628</v>
          </cell>
          <cell r="S435">
            <v>55.337718447239929</v>
          </cell>
          <cell r="T435">
            <v>55.337718447239929</v>
          </cell>
          <cell r="U435">
            <v>55.337718447239929</v>
          </cell>
          <cell r="V435">
            <v>55.337718447239929</v>
          </cell>
          <cell r="W435">
            <v>55.337718447239929</v>
          </cell>
          <cell r="X435">
            <v>55.337718447239929</v>
          </cell>
          <cell r="Y435">
            <v>55.337718447239929</v>
          </cell>
          <cell r="Z435">
            <v>55.337718447239929</v>
          </cell>
          <cell r="AA435">
            <v>55.337718447239929</v>
          </cell>
          <cell r="AB435">
            <v>55.337718447239929</v>
          </cell>
          <cell r="AC435">
            <v>55.337718447239929</v>
          </cell>
          <cell r="AD435">
            <v>55.337718447239929</v>
          </cell>
          <cell r="AE435">
            <v>55.337718447239929</v>
          </cell>
          <cell r="AF435">
            <v>55.337718447239929</v>
          </cell>
        </row>
        <row r="436">
          <cell r="A436" t="str">
            <v>Kentucky</v>
          </cell>
          <cell r="B436">
            <v>54.814882026281254</v>
          </cell>
          <cell r="C436">
            <v>55.252015635355228</v>
          </cell>
          <cell r="D436">
            <v>55.65256616033691</v>
          </cell>
          <cell r="E436">
            <v>55.958444708474154</v>
          </cell>
          <cell r="F436">
            <v>56.174258975316228</v>
          </cell>
          <cell r="G436">
            <v>56.723272686129953</v>
          </cell>
          <cell r="H436">
            <v>56.783572742321795</v>
          </cell>
          <cell r="I436">
            <v>57.291987582370048</v>
          </cell>
          <cell r="J436">
            <v>57.54164225757296</v>
          </cell>
          <cell r="K436">
            <v>57.987425878275928</v>
          </cell>
          <cell r="L436">
            <v>58.596261253865883</v>
          </cell>
          <cell r="M436">
            <v>58.35990540169022</v>
          </cell>
          <cell r="N436">
            <v>58.508356325523614</v>
          </cell>
          <cell r="O436">
            <v>58.316725669054662</v>
          </cell>
          <cell r="P436">
            <v>57.831478483596811</v>
          </cell>
          <cell r="Q436">
            <v>58.005532461288318</v>
          </cell>
          <cell r="R436">
            <v>57.844191326477841</v>
          </cell>
          <cell r="S436">
            <v>57.846745539579736</v>
          </cell>
          <cell r="T436">
            <v>57.846745539579736</v>
          </cell>
          <cell r="U436">
            <v>57.846745539579736</v>
          </cell>
          <cell r="V436">
            <v>57.846745539579736</v>
          </cell>
          <cell r="W436">
            <v>57.846745539579736</v>
          </cell>
          <cell r="X436">
            <v>57.846745539579736</v>
          </cell>
          <cell r="Y436">
            <v>57.846745539579736</v>
          </cell>
          <cell r="Z436">
            <v>57.846745539579736</v>
          </cell>
          <cell r="AA436">
            <v>57.846745539579736</v>
          </cell>
          <cell r="AB436">
            <v>57.846745539579736</v>
          </cell>
          <cell r="AC436">
            <v>57.846745539579736</v>
          </cell>
          <cell r="AD436">
            <v>57.846745539579736</v>
          </cell>
          <cell r="AE436">
            <v>57.846745539579736</v>
          </cell>
          <cell r="AF436">
            <v>57.846745539579736</v>
          </cell>
        </row>
        <row r="437">
          <cell r="A437" t="str">
            <v>Louisiana</v>
          </cell>
          <cell r="B437">
            <v>54.724099559575208</v>
          </cell>
          <cell r="C437">
            <v>55.160376229940468</v>
          </cell>
          <cell r="D437">
            <v>55.560617475328286</v>
          </cell>
          <cell r="E437">
            <v>55.866048282117781</v>
          </cell>
          <cell r="F437">
            <v>56.081392170253181</v>
          </cell>
          <cell r="G437">
            <v>56.62963904483739</v>
          </cell>
          <cell r="H437">
            <v>56.689919721647776</v>
          </cell>
          <cell r="I437">
            <v>57.197170256995115</v>
          </cell>
          <cell r="J437">
            <v>57.446291190572886</v>
          </cell>
          <cell r="K437">
            <v>57.890954413604312</v>
          </cell>
          <cell r="L437">
            <v>58.49818061998986</v>
          </cell>
          <cell r="M437">
            <v>58.262499570182804</v>
          </cell>
          <cell r="N437">
            <v>58.410624471845431</v>
          </cell>
          <cell r="O437">
            <v>58.219216813449052</v>
          </cell>
          <cell r="P437">
            <v>57.735105490972103</v>
          </cell>
          <cell r="Q437">
            <v>57.908778346964283</v>
          </cell>
          <cell r="R437">
            <v>57.747976688288965</v>
          </cell>
          <cell r="S437">
            <v>57.750539186636964</v>
          </cell>
          <cell r="T437">
            <v>57.750539186636964</v>
          </cell>
          <cell r="U437">
            <v>57.750539186636964</v>
          </cell>
          <cell r="V437">
            <v>57.750539186636964</v>
          </cell>
          <cell r="W437">
            <v>57.750539186636964</v>
          </cell>
          <cell r="X437">
            <v>57.750539186636964</v>
          </cell>
          <cell r="Y437">
            <v>57.750539186636964</v>
          </cell>
          <cell r="Z437">
            <v>57.750539186636964</v>
          </cell>
          <cell r="AA437">
            <v>57.750539186636964</v>
          </cell>
          <cell r="AB437">
            <v>57.750539186636964</v>
          </cell>
          <cell r="AC437">
            <v>57.750539186636964</v>
          </cell>
          <cell r="AD437">
            <v>57.750539186636964</v>
          </cell>
          <cell r="AE437">
            <v>57.750539186636964</v>
          </cell>
          <cell r="AF437">
            <v>57.750539186636964</v>
          </cell>
        </row>
        <row r="438">
          <cell r="A438" t="str">
            <v>Maine</v>
          </cell>
          <cell r="B438">
            <v>54.315911246285843</v>
          </cell>
          <cell r="C438">
            <v>54.748341547015059</v>
          </cell>
          <cell r="D438">
            <v>55.147174291197388</v>
          </cell>
          <cell r="E438">
            <v>55.450588932478716</v>
          </cell>
          <cell r="F438">
            <v>55.663823543296324</v>
          </cell>
          <cell r="G438">
            <v>56.208615275713925</v>
          </cell>
          <cell r="H438">
            <v>56.268804752907663</v>
          </cell>
          <cell r="I438">
            <v>56.770836455903627</v>
          </cell>
          <cell r="J438">
            <v>57.01756358073726</v>
          </cell>
          <cell r="K438">
            <v>57.457208412162359</v>
          </cell>
          <cell r="L438">
            <v>58.057229589484571</v>
          </cell>
          <cell r="M438">
            <v>57.824568371221545</v>
          </cell>
          <cell r="N438">
            <v>57.971231415296515</v>
          </cell>
          <cell r="O438">
            <v>57.780831195269585</v>
          </cell>
          <cell r="P438">
            <v>57.301810320459211</v>
          </cell>
          <cell r="Q438">
            <v>57.47377421396277</v>
          </cell>
          <cell r="R438">
            <v>57.315384474713269</v>
          </cell>
          <cell r="S438">
            <v>57.317983594449807</v>
          </cell>
          <cell r="T438">
            <v>57.317983594449807</v>
          </cell>
          <cell r="U438">
            <v>57.317983594449807</v>
          </cell>
          <cell r="V438">
            <v>57.317983594449807</v>
          </cell>
          <cell r="W438">
            <v>57.317983594449807</v>
          </cell>
          <cell r="X438">
            <v>57.317983594449807</v>
          </cell>
          <cell r="Y438">
            <v>57.317983594449807</v>
          </cell>
          <cell r="Z438">
            <v>57.317983594449807</v>
          </cell>
          <cell r="AA438">
            <v>57.317983594449807</v>
          </cell>
          <cell r="AB438">
            <v>57.317983594449807</v>
          </cell>
          <cell r="AC438">
            <v>57.317983594449807</v>
          </cell>
          <cell r="AD438">
            <v>57.317983594449807</v>
          </cell>
          <cell r="AE438">
            <v>57.317983594449807</v>
          </cell>
          <cell r="AF438">
            <v>57.317983594449807</v>
          </cell>
        </row>
        <row r="439">
          <cell r="A439" t="str">
            <v>Maryland</v>
          </cell>
          <cell r="B439">
            <v>54.315911246285843</v>
          </cell>
          <cell r="C439">
            <v>54.748341547015052</v>
          </cell>
          <cell r="D439">
            <v>55.147174291197388</v>
          </cell>
          <cell r="E439">
            <v>55.450588932478716</v>
          </cell>
          <cell r="F439">
            <v>55.663823543296331</v>
          </cell>
          <cell r="G439">
            <v>56.208615275713925</v>
          </cell>
          <cell r="H439">
            <v>56.268804752907641</v>
          </cell>
          <cell r="I439">
            <v>56.770836455903627</v>
          </cell>
          <cell r="J439">
            <v>57.017563580737246</v>
          </cell>
          <cell r="K439">
            <v>57.457208412162345</v>
          </cell>
          <cell r="L439">
            <v>58.057229589484585</v>
          </cell>
          <cell r="M439">
            <v>57.824568371221538</v>
          </cell>
          <cell r="N439">
            <v>57.971231415296501</v>
          </cell>
          <cell r="O439">
            <v>57.780831195269592</v>
          </cell>
          <cell r="P439">
            <v>57.301810320459211</v>
          </cell>
          <cell r="Q439">
            <v>57.473774213962784</v>
          </cell>
          <cell r="R439">
            <v>57.315384474713255</v>
          </cell>
          <cell r="S439">
            <v>57.317983594449785</v>
          </cell>
          <cell r="T439">
            <v>57.317983594449785</v>
          </cell>
          <cell r="U439">
            <v>57.317983594449785</v>
          </cell>
          <cell r="V439">
            <v>57.317983594449785</v>
          </cell>
          <cell r="W439">
            <v>57.317983594449785</v>
          </cell>
          <cell r="X439">
            <v>57.317983594449785</v>
          </cell>
          <cell r="Y439">
            <v>57.317983594449785</v>
          </cell>
          <cell r="Z439">
            <v>57.317983594449785</v>
          </cell>
          <cell r="AA439">
            <v>57.317983594449785</v>
          </cell>
          <cell r="AB439">
            <v>57.317983594449785</v>
          </cell>
          <cell r="AC439">
            <v>57.317983594449785</v>
          </cell>
          <cell r="AD439">
            <v>57.317983594449785</v>
          </cell>
          <cell r="AE439">
            <v>57.317983594449785</v>
          </cell>
          <cell r="AF439">
            <v>57.317983594449785</v>
          </cell>
        </row>
        <row r="440">
          <cell r="A440" t="str">
            <v>Massachusetts</v>
          </cell>
          <cell r="B440">
            <v>54.315911246285843</v>
          </cell>
          <cell r="C440">
            <v>54.748341547015038</v>
          </cell>
          <cell r="D440">
            <v>55.147174291197388</v>
          </cell>
          <cell r="E440">
            <v>55.450588932478702</v>
          </cell>
          <cell r="F440">
            <v>55.663823543296338</v>
          </cell>
          <cell r="G440">
            <v>56.208615275713925</v>
          </cell>
          <cell r="H440">
            <v>56.268804752907663</v>
          </cell>
          <cell r="I440">
            <v>56.77083645590362</v>
          </cell>
          <cell r="J440">
            <v>57.01756358073726</v>
          </cell>
          <cell r="K440">
            <v>57.457208412162345</v>
          </cell>
          <cell r="L440">
            <v>58.057229589484585</v>
          </cell>
          <cell r="M440">
            <v>57.824568371221552</v>
          </cell>
          <cell r="N440">
            <v>57.971231415296515</v>
          </cell>
          <cell r="O440">
            <v>57.780831195269599</v>
          </cell>
          <cell r="P440">
            <v>57.301810320459204</v>
          </cell>
          <cell r="Q440">
            <v>57.473774213962763</v>
          </cell>
          <cell r="R440">
            <v>57.315384474713269</v>
          </cell>
          <cell r="S440">
            <v>57.317983594449807</v>
          </cell>
          <cell r="T440">
            <v>57.317983594449807</v>
          </cell>
          <cell r="U440">
            <v>57.317983594449807</v>
          </cell>
          <cell r="V440">
            <v>57.317983594449807</v>
          </cell>
          <cell r="W440">
            <v>57.317983594449807</v>
          </cell>
          <cell r="X440">
            <v>57.317983594449807</v>
          </cell>
          <cell r="Y440">
            <v>57.317983594449807</v>
          </cell>
          <cell r="Z440">
            <v>57.317983594449807</v>
          </cell>
          <cell r="AA440">
            <v>57.317983594449807</v>
          </cell>
          <cell r="AB440">
            <v>57.317983594449807</v>
          </cell>
          <cell r="AC440">
            <v>57.317983594449807</v>
          </cell>
          <cell r="AD440">
            <v>57.317983594449807</v>
          </cell>
          <cell r="AE440">
            <v>57.317983594449807</v>
          </cell>
          <cell r="AF440">
            <v>57.317983594449807</v>
          </cell>
        </row>
        <row r="441">
          <cell r="A441" t="str">
            <v>Michigan</v>
          </cell>
          <cell r="B441">
            <v>54.325618937869159</v>
          </cell>
          <cell r="C441">
            <v>54.758140584414058</v>
          </cell>
          <cell r="D441">
            <v>55.157007172367258</v>
          </cell>
          <cell r="E441">
            <v>55.46046982041296</v>
          </cell>
          <cell r="F441">
            <v>55.673754484423341</v>
          </cell>
          <cell r="G441">
            <v>56.218628527627423</v>
          </cell>
          <cell r="H441">
            <v>56.278820252469814</v>
          </cell>
          <cell r="I441">
            <v>56.780975756599631</v>
          </cell>
          <cell r="J441">
            <v>57.027759694306447</v>
          </cell>
          <cell r="K441">
            <v>57.467523501411193</v>
          </cell>
          <cell r="L441">
            <v>58.067715443981655</v>
          </cell>
          <cell r="M441">
            <v>57.834982684002924</v>
          </cell>
          <cell r="N441">
            <v>57.981680416150716</v>
          </cell>
          <cell r="O441">
            <v>57.791256144553714</v>
          </cell>
          <cell r="P441">
            <v>57.312114531611229</v>
          </cell>
          <cell r="Q441">
            <v>57.484118977516118</v>
          </cell>
          <cell r="R441">
            <v>57.325672143307067</v>
          </cell>
          <cell r="S441">
            <v>57.328270404337815</v>
          </cell>
          <cell r="T441">
            <v>57.328270404337815</v>
          </cell>
          <cell r="U441">
            <v>57.328270404337815</v>
          </cell>
          <cell r="V441">
            <v>57.328270404337815</v>
          </cell>
          <cell r="W441">
            <v>57.328270404337815</v>
          </cell>
          <cell r="X441">
            <v>57.328270404337815</v>
          </cell>
          <cell r="Y441">
            <v>57.328270404337815</v>
          </cell>
          <cell r="Z441">
            <v>57.328270404337815</v>
          </cell>
          <cell r="AA441">
            <v>57.328270404337815</v>
          </cell>
          <cell r="AB441">
            <v>57.328270404337815</v>
          </cell>
          <cell r="AC441">
            <v>57.328270404337815</v>
          </cell>
          <cell r="AD441">
            <v>57.328270404337815</v>
          </cell>
          <cell r="AE441">
            <v>57.328270404337815</v>
          </cell>
          <cell r="AF441">
            <v>57.328270404337815</v>
          </cell>
        </row>
        <row r="442">
          <cell r="A442" t="str">
            <v>Minnesota</v>
          </cell>
          <cell r="B442">
            <v>54.325618937869152</v>
          </cell>
          <cell r="C442">
            <v>54.758140584414058</v>
          </cell>
          <cell r="D442">
            <v>55.157007172367265</v>
          </cell>
          <cell r="E442">
            <v>55.460469820412968</v>
          </cell>
          <cell r="F442">
            <v>55.673754484423348</v>
          </cell>
          <cell r="G442">
            <v>56.21862852762743</v>
          </cell>
          <cell r="H442">
            <v>56.278820252469814</v>
          </cell>
          <cell r="I442">
            <v>56.780975756599652</v>
          </cell>
          <cell r="J442">
            <v>57.027759694306432</v>
          </cell>
          <cell r="K442">
            <v>57.467523501411186</v>
          </cell>
          <cell r="L442">
            <v>58.067715443981669</v>
          </cell>
          <cell r="M442">
            <v>57.834982684002945</v>
          </cell>
          <cell r="N442">
            <v>57.981680416150731</v>
          </cell>
          <cell r="O442">
            <v>57.791256144553707</v>
          </cell>
          <cell r="P442">
            <v>57.312114531611215</v>
          </cell>
          <cell r="Q442">
            <v>57.484118977516125</v>
          </cell>
          <cell r="R442">
            <v>57.325672143307067</v>
          </cell>
          <cell r="S442">
            <v>57.328270404337822</v>
          </cell>
          <cell r="T442">
            <v>57.328270404337822</v>
          </cell>
          <cell r="U442">
            <v>57.328270404337822</v>
          </cell>
          <cell r="V442">
            <v>57.328270404337822</v>
          </cell>
          <cell r="W442">
            <v>57.328270404337822</v>
          </cell>
          <cell r="X442">
            <v>57.328270404337822</v>
          </cell>
          <cell r="Y442">
            <v>57.328270404337822</v>
          </cell>
          <cell r="Z442">
            <v>57.328270404337822</v>
          </cell>
          <cell r="AA442">
            <v>57.328270404337822</v>
          </cell>
          <cell r="AB442">
            <v>57.328270404337822</v>
          </cell>
          <cell r="AC442">
            <v>57.328270404337822</v>
          </cell>
          <cell r="AD442">
            <v>57.328270404337822</v>
          </cell>
          <cell r="AE442">
            <v>57.328270404337822</v>
          </cell>
          <cell r="AF442">
            <v>57.328270404337822</v>
          </cell>
        </row>
        <row r="443">
          <cell r="A443" t="str">
            <v>Mississippi</v>
          </cell>
          <cell r="B443">
            <v>54.814882026281261</v>
          </cell>
          <cell r="C443">
            <v>55.252015635355207</v>
          </cell>
          <cell r="D443">
            <v>55.65256616033691</v>
          </cell>
          <cell r="E443">
            <v>55.958444708474154</v>
          </cell>
          <cell r="F443">
            <v>56.174258975316228</v>
          </cell>
          <cell r="G443">
            <v>56.72327268612996</v>
          </cell>
          <cell r="H443">
            <v>56.783572742321816</v>
          </cell>
          <cell r="I443">
            <v>57.291987582370048</v>
          </cell>
          <cell r="J443">
            <v>57.541642257572974</v>
          </cell>
          <cell r="K443">
            <v>57.987425878275936</v>
          </cell>
          <cell r="L443">
            <v>58.596261253865897</v>
          </cell>
          <cell r="M443">
            <v>58.359905401690234</v>
          </cell>
          <cell r="N443">
            <v>58.508356325523621</v>
          </cell>
          <cell r="O443">
            <v>58.316725669054655</v>
          </cell>
          <cell r="P443">
            <v>57.831478483596825</v>
          </cell>
          <cell r="Q443">
            <v>58.005532461288325</v>
          </cell>
          <cell r="R443">
            <v>57.844191326477826</v>
          </cell>
          <cell r="S443">
            <v>57.84674553957975</v>
          </cell>
          <cell r="T443">
            <v>57.84674553957975</v>
          </cell>
          <cell r="U443">
            <v>57.84674553957975</v>
          </cell>
          <cell r="V443">
            <v>57.84674553957975</v>
          </cell>
          <cell r="W443">
            <v>57.84674553957975</v>
          </cell>
          <cell r="X443">
            <v>57.84674553957975</v>
          </cell>
          <cell r="Y443">
            <v>57.84674553957975</v>
          </cell>
          <cell r="Z443">
            <v>57.84674553957975</v>
          </cell>
          <cell r="AA443">
            <v>57.84674553957975</v>
          </cell>
          <cell r="AB443">
            <v>57.84674553957975</v>
          </cell>
          <cell r="AC443">
            <v>57.84674553957975</v>
          </cell>
          <cell r="AD443">
            <v>57.84674553957975</v>
          </cell>
          <cell r="AE443">
            <v>57.84674553957975</v>
          </cell>
          <cell r="AF443">
            <v>57.84674553957975</v>
          </cell>
        </row>
        <row r="444">
          <cell r="A444" t="str">
            <v>Missouri</v>
          </cell>
          <cell r="B444">
            <v>54.325618937869145</v>
          </cell>
          <cell r="C444">
            <v>54.758140584414058</v>
          </cell>
          <cell r="D444">
            <v>55.157007172367273</v>
          </cell>
          <cell r="E444">
            <v>55.46046982041296</v>
          </cell>
          <cell r="F444">
            <v>55.673754484423362</v>
          </cell>
          <cell r="G444">
            <v>56.218628527627438</v>
          </cell>
          <cell r="H444">
            <v>56.278820252469792</v>
          </cell>
          <cell r="I444">
            <v>56.780975756599638</v>
          </cell>
          <cell r="J444">
            <v>57.027759694306454</v>
          </cell>
          <cell r="K444">
            <v>57.4675235014112</v>
          </cell>
          <cell r="L444">
            <v>58.067715443981662</v>
          </cell>
          <cell r="M444">
            <v>57.834982684002917</v>
          </cell>
          <cell r="N444">
            <v>57.981680416150724</v>
          </cell>
          <cell r="O444">
            <v>57.791256144553707</v>
          </cell>
          <cell r="P444">
            <v>57.312114531611215</v>
          </cell>
          <cell r="Q444">
            <v>57.484118977516118</v>
          </cell>
          <cell r="R444">
            <v>57.325672143307067</v>
          </cell>
          <cell r="S444">
            <v>57.328270404337822</v>
          </cell>
          <cell r="T444">
            <v>57.328270404337822</v>
          </cell>
          <cell r="U444">
            <v>57.328270404337822</v>
          </cell>
          <cell r="V444">
            <v>57.328270404337822</v>
          </cell>
          <cell r="W444">
            <v>57.328270404337822</v>
          </cell>
          <cell r="X444">
            <v>57.328270404337822</v>
          </cell>
          <cell r="Y444">
            <v>57.328270404337822</v>
          </cell>
          <cell r="Z444">
            <v>57.328270404337822</v>
          </cell>
          <cell r="AA444">
            <v>57.328270404337822</v>
          </cell>
          <cell r="AB444">
            <v>57.328270404337822</v>
          </cell>
          <cell r="AC444">
            <v>57.328270404337822</v>
          </cell>
          <cell r="AD444">
            <v>57.328270404337822</v>
          </cell>
          <cell r="AE444">
            <v>57.328270404337822</v>
          </cell>
          <cell r="AF444">
            <v>57.328270404337822</v>
          </cell>
        </row>
        <row r="445">
          <cell r="A445" t="str">
            <v>Montana</v>
          </cell>
          <cell r="B445">
            <v>52.446800259021359</v>
          </cell>
          <cell r="C445">
            <v>52.861758110576844</v>
          </cell>
          <cell r="D445">
            <v>53.253767835950455</v>
          </cell>
          <cell r="E445">
            <v>53.547888315731548</v>
          </cell>
          <cell r="F445">
            <v>53.751583582268836</v>
          </cell>
          <cell r="G445">
            <v>54.280403879356335</v>
          </cell>
          <cell r="H445">
            <v>54.340090867176464</v>
          </cell>
          <cell r="I445">
            <v>54.818565208364788</v>
          </cell>
          <cell r="J445">
            <v>55.054457825100449</v>
          </cell>
          <cell r="K445">
            <v>55.471526208279151</v>
          </cell>
          <cell r="L445">
            <v>56.039188910163645</v>
          </cell>
          <cell r="M445">
            <v>55.820056792636805</v>
          </cell>
          <cell r="N445">
            <v>55.960110471459529</v>
          </cell>
          <cell r="O445">
            <v>55.774422880233168</v>
          </cell>
          <cell r="P445">
            <v>55.318361018655104</v>
          </cell>
          <cell r="Q445">
            <v>55.482597433435856</v>
          </cell>
          <cell r="R445">
            <v>55.334964835538621</v>
          </cell>
          <cell r="S445">
            <v>55.337718447239922</v>
          </cell>
          <cell r="T445">
            <v>55.337718447239922</v>
          </cell>
          <cell r="U445">
            <v>55.337718447239922</v>
          </cell>
          <cell r="V445">
            <v>55.337718447239922</v>
          </cell>
          <cell r="W445">
            <v>55.337718447239922</v>
          </cell>
          <cell r="X445">
            <v>55.337718447239922</v>
          </cell>
          <cell r="Y445">
            <v>55.337718447239922</v>
          </cell>
          <cell r="Z445">
            <v>55.337718447239922</v>
          </cell>
          <cell r="AA445">
            <v>55.337718447239922</v>
          </cell>
          <cell r="AB445">
            <v>55.337718447239922</v>
          </cell>
          <cell r="AC445">
            <v>55.337718447239922</v>
          </cell>
          <cell r="AD445">
            <v>55.337718447239922</v>
          </cell>
          <cell r="AE445">
            <v>55.337718447239922</v>
          </cell>
          <cell r="AF445">
            <v>55.337718447239922</v>
          </cell>
        </row>
        <row r="446">
          <cell r="A446" t="str">
            <v>Nebraska</v>
          </cell>
          <cell r="B446">
            <v>52.446800259021366</v>
          </cell>
          <cell r="C446">
            <v>52.861758110576844</v>
          </cell>
          <cell r="D446">
            <v>53.253767835950434</v>
          </cell>
          <cell r="E446">
            <v>53.547888315731562</v>
          </cell>
          <cell r="F446">
            <v>53.751583582268843</v>
          </cell>
          <cell r="G446">
            <v>54.280403879356342</v>
          </cell>
          <cell r="H446">
            <v>54.340090867176478</v>
          </cell>
          <cell r="I446">
            <v>54.818565208364781</v>
          </cell>
          <cell r="J446">
            <v>55.054457825100464</v>
          </cell>
          <cell r="K446">
            <v>55.471526208279144</v>
          </cell>
          <cell r="L446">
            <v>56.039188910163652</v>
          </cell>
          <cell r="M446">
            <v>55.820056792636812</v>
          </cell>
          <cell r="N446">
            <v>55.960110471459551</v>
          </cell>
          <cell r="O446">
            <v>55.774422880233175</v>
          </cell>
          <cell r="P446">
            <v>55.318361018655096</v>
          </cell>
          <cell r="Q446">
            <v>55.48259743343587</v>
          </cell>
          <cell r="R446">
            <v>55.334964835538628</v>
          </cell>
          <cell r="S446">
            <v>55.337718447239922</v>
          </cell>
          <cell r="T446">
            <v>55.337718447239922</v>
          </cell>
          <cell r="U446">
            <v>55.337718447239922</v>
          </cell>
          <cell r="V446">
            <v>55.337718447239922</v>
          </cell>
          <cell r="W446">
            <v>55.337718447239922</v>
          </cell>
          <cell r="X446">
            <v>55.337718447239922</v>
          </cell>
          <cell r="Y446">
            <v>55.337718447239922</v>
          </cell>
          <cell r="Z446">
            <v>55.337718447239922</v>
          </cell>
          <cell r="AA446">
            <v>55.337718447239922</v>
          </cell>
          <cell r="AB446">
            <v>55.337718447239922</v>
          </cell>
          <cell r="AC446">
            <v>55.337718447239922</v>
          </cell>
          <cell r="AD446">
            <v>55.337718447239922</v>
          </cell>
          <cell r="AE446">
            <v>55.337718447239922</v>
          </cell>
          <cell r="AF446">
            <v>55.337718447239922</v>
          </cell>
        </row>
        <row r="447">
          <cell r="A447" t="str">
            <v>Nevada</v>
          </cell>
          <cell r="B447">
            <v>63.672137248327537</v>
          </cell>
          <cell r="C447">
            <v>64.1955166107048</v>
          </cell>
          <cell r="D447">
            <v>64.619217628523458</v>
          </cell>
          <cell r="E447">
            <v>64.967613032761591</v>
          </cell>
          <cell r="F447">
            <v>65.231560922994447</v>
          </cell>
          <cell r="G447">
            <v>65.852566208522148</v>
          </cell>
          <cell r="H447">
            <v>65.913160319727083</v>
          </cell>
          <cell r="I447">
            <v>66.541564870289463</v>
          </cell>
          <cell r="J447">
            <v>66.84568038362616</v>
          </cell>
          <cell r="K447">
            <v>67.40835661394226</v>
          </cell>
          <cell r="L447">
            <v>68.186111118062882</v>
          </cell>
          <cell r="M447">
            <v>67.878296444958508</v>
          </cell>
          <cell r="N447">
            <v>68.06014622316242</v>
          </cell>
          <cell r="O447">
            <v>67.8486307889237</v>
          </cell>
          <cell r="P447">
            <v>67.245971883300498</v>
          </cell>
          <cell r="Q447">
            <v>67.45905241562923</v>
          </cell>
          <cell r="R447">
            <v>67.239675652591643</v>
          </cell>
          <cell r="S447">
            <v>67.241173228743605</v>
          </cell>
          <cell r="T447">
            <v>67.241173228743605</v>
          </cell>
          <cell r="U447">
            <v>67.241173228743605</v>
          </cell>
          <cell r="V447">
            <v>67.241173228743605</v>
          </cell>
          <cell r="W447">
            <v>67.241173228743605</v>
          </cell>
          <cell r="X447">
            <v>67.241173228743605</v>
          </cell>
          <cell r="Y447">
            <v>67.241173228743605</v>
          </cell>
          <cell r="Z447">
            <v>67.241173228743605</v>
          </cell>
          <cell r="AA447">
            <v>67.241173228743605</v>
          </cell>
          <cell r="AB447">
            <v>67.241173228743605</v>
          </cell>
          <cell r="AC447">
            <v>67.241173228743605</v>
          </cell>
          <cell r="AD447">
            <v>67.241173228743605</v>
          </cell>
          <cell r="AE447">
            <v>67.241173228743605</v>
          </cell>
          <cell r="AF447">
            <v>67.241173228743605</v>
          </cell>
        </row>
        <row r="448">
          <cell r="A448" t="str">
            <v>New Hampshire</v>
          </cell>
          <cell r="B448">
            <v>54.315911246285829</v>
          </cell>
          <cell r="C448">
            <v>54.748341547015059</v>
          </cell>
          <cell r="D448">
            <v>55.147174291197388</v>
          </cell>
          <cell r="E448">
            <v>55.450588932478702</v>
          </cell>
          <cell r="F448">
            <v>55.663823543296324</v>
          </cell>
          <cell r="G448">
            <v>56.208615275713925</v>
          </cell>
          <cell r="H448">
            <v>56.268804752907663</v>
          </cell>
          <cell r="I448">
            <v>56.770836455903627</v>
          </cell>
          <cell r="J448">
            <v>57.01756358073726</v>
          </cell>
          <cell r="K448">
            <v>57.457208412162345</v>
          </cell>
          <cell r="L448">
            <v>58.057229589484571</v>
          </cell>
          <cell r="M448">
            <v>57.824568371221538</v>
          </cell>
          <cell r="N448">
            <v>57.971231415296522</v>
          </cell>
          <cell r="O448">
            <v>57.780831195269599</v>
          </cell>
          <cell r="P448">
            <v>57.301810320459197</v>
          </cell>
          <cell r="Q448">
            <v>57.47377421396277</v>
          </cell>
          <cell r="R448">
            <v>57.315384474713248</v>
          </cell>
          <cell r="S448">
            <v>57.317983594449814</v>
          </cell>
          <cell r="T448">
            <v>57.317983594449814</v>
          </cell>
          <cell r="U448">
            <v>57.317983594449814</v>
          </cell>
          <cell r="V448">
            <v>57.317983594449814</v>
          </cell>
          <cell r="W448">
            <v>57.317983594449814</v>
          </cell>
          <cell r="X448">
            <v>57.317983594449814</v>
          </cell>
          <cell r="Y448">
            <v>57.317983594449814</v>
          </cell>
          <cell r="Z448">
            <v>57.317983594449814</v>
          </cell>
          <cell r="AA448">
            <v>57.317983594449814</v>
          </cell>
          <cell r="AB448">
            <v>57.317983594449814</v>
          </cell>
          <cell r="AC448">
            <v>57.317983594449814</v>
          </cell>
          <cell r="AD448">
            <v>57.317983594449814</v>
          </cell>
          <cell r="AE448">
            <v>57.317983594449814</v>
          </cell>
          <cell r="AF448">
            <v>57.317983594449814</v>
          </cell>
        </row>
        <row r="449">
          <cell r="A449" t="str">
            <v>New Jersey</v>
          </cell>
          <cell r="B449">
            <v>54.315911246285829</v>
          </cell>
          <cell r="C449">
            <v>54.748341547015059</v>
          </cell>
          <cell r="D449">
            <v>55.147174291197388</v>
          </cell>
          <cell r="E449">
            <v>55.450588932478716</v>
          </cell>
          <cell r="F449">
            <v>55.663823543296324</v>
          </cell>
          <cell r="G449">
            <v>56.208615275713925</v>
          </cell>
          <cell r="H449">
            <v>56.268804752907663</v>
          </cell>
          <cell r="I449">
            <v>56.770836455903627</v>
          </cell>
          <cell r="J449">
            <v>57.01756358073726</v>
          </cell>
          <cell r="K449">
            <v>57.457208412162345</v>
          </cell>
          <cell r="L449">
            <v>58.057229589484571</v>
          </cell>
          <cell r="M449">
            <v>57.824568371221538</v>
          </cell>
          <cell r="N449">
            <v>57.971231415296522</v>
          </cell>
          <cell r="O449">
            <v>57.780831195269606</v>
          </cell>
          <cell r="P449">
            <v>57.301810320459204</v>
          </cell>
          <cell r="Q449">
            <v>57.47377421396277</v>
          </cell>
          <cell r="R449">
            <v>57.315384474713248</v>
          </cell>
          <cell r="S449">
            <v>57.317983594449807</v>
          </cell>
          <cell r="T449">
            <v>57.317983594449807</v>
          </cell>
          <cell r="U449">
            <v>57.317983594449807</v>
          </cell>
          <cell r="V449">
            <v>57.317983594449807</v>
          </cell>
          <cell r="W449">
            <v>57.317983594449807</v>
          </cell>
          <cell r="X449">
            <v>57.317983594449807</v>
          </cell>
          <cell r="Y449">
            <v>57.317983594449807</v>
          </cell>
          <cell r="Z449">
            <v>57.317983594449807</v>
          </cell>
          <cell r="AA449">
            <v>57.317983594449807</v>
          </cell>
          <cell r="AB449">
            <v>57.317983594449807</v>
          </cell>
          <cell r="AC449">
            <v>57.317983594449807</v>
          </cell>
          <cell r="AD449">
            <v>57.317983594449807</v>
          </cell>
          <cell r="AE449">
            <v>57.317983594449807</v>
          </cell>
          <cell r="AF449">
            <v>57.317983594449807</v>
          </cell>
        </row>
        <row r="450">
          <cell r="A450" t="str">
            <v>New Mexico</v>
          </cell>
          <cell r="B450">
            <v>63.672137248327566</v>
          </cell>
          <cell r="C450">
            <v>64.195516610704814</v>
          </cell>
          <cell r="D450">
            <v>64.619217628523444</v>
          </cell>
          <cell r="E450">
            <v>64.967613032761591</v>
          </cell>
          <cell r="F450">
            <v>65.231560922994461</v>
          </cell>
          <cell r="G450">
            <v>65.852566208522148</v>
          </cell>
          <cell r="H450">
            <v>65.913160319727083</v>
          </cell>
          <cell r="I450">
            <v>66.541564870289477</v>
          </cell>
          <cell r="J450">
            <v>66.845680383626146</v>
          </cell>
          <cell r="K450">
            <v>67.408356613942246</v>
          </cell>
          <cell r="L450">
            <v>68.186111118062897</v>
          </cell>
          <cell r="M450">
            <v>67.878296444958536</v>
          </cell>
          <cell r="N450">
            <v>68.06014622316242</v>
          </cell>
          <cell r="O450">
            <v>67.848630788923728</v>
          </cell>
          <cell r="P450">
            <v>67.245971883300513</v>
          </cell>
          <cell r="Q450">
            <v>67.459052415629259</v>
          </cell>
          <cell r="R450">
            <v>67.239675652591643</v>
          </cell>
          <cell r="S450">
            <v>67.241173228743605</v>
          </cell>
          <cell r="T450">
            <v>67.241173228743605</v>
          </cell>
          <cell r="U450">
            <v>67.241173228743605</v>
          </cell>
          <cell r="V450">
            <v>67.241173228743605</v>
          </cell>
          <cell r="W450">
            <v>67.241173228743605</v>
          </cell>
          <cell r="X450">
            <v>67.241173228743605</v>
          </cell>
          <cell r="Y450">
            <v>67.241173228743605</v>
          </cell>
          <cell r="Z450">
            <v>67.241173228743605</v>
          </cell>
          <cell r="AA450">
            <v>67.241173228743605</v>
          </cell>
          <cell r="AB450">
            <v>67.241173228743605</v>
          </cell>
          <cell r="AC450">
            <v>67.241173228743605</v>
          </cell>
          <cell r="AD450">
            <v>67.241173228743605</v>
          </cell>
          <cell r="AE450">
            <v>67.241173228743605</v>
          </cell>
          <cell r="AF450">
            <v>67.241173228743605</v>
          </cell>
        </row>
        <row r="451">
          <cell r="A451" t="str">
            <v>New York</v>
          </cell>
          <cell r="B451">
            <v>54.315911246285843</v>
          </cell>
          <cell r="C451">
            <v>54.748341547015059</v>
          </cell>
          <cell r="D451">
            <v>55.147174291197373</v>
          </cell>
          <cell r="E451">
            <v>55.450588932478716</v>
          </cell>
          <cell r="F451">
            <v>55.663823543296331</v>
          </cell>
          <cell r="G451">
            <v>56.208615275713917</v>
          </cell>
          <cell r="H451">
            <v>56.268804752907663</v>
          </cell>
          <cell r="I451">
            <v>56.770836455903634</v>
          </cell>
          <cell r="J451">
            <v>57.017563580737253</v>
          </cell>
          <cell r="K451">
            <v>57.457208412162345</v>
          </cell>
          <cell r="L451">
            <v>58.057229589484585</v>
          </cell>
          <cell r="M451">
            <v>57.824568371221545</v>
          </cell>
          <cell r="N451">
            <v>57.971231415296508</v>
          </cell>
          <cell r="O451">
            <v>57.780831195269613</v>
          </cell>
          <cell r="P451">
            <v>57.301810320459204</v>
          </cell>
          <cell r="Q451">
            <v>57.47377421396277</v>
          </cell>
          <cell r="R451">
            <v>57.315384474713262</v>
          </cell>
          <cell r="S451">
            <v>57.317983594449785</v>
          </cell>
          <cell r="T451">
            <v>57.317983594449785</v>
          </cell>
          <cell r="U451">
            <v>57.317983594449785</v>
          </cell>
          <cell r="V451">
            <v>57.317983594449785</v>
          </cell>
          <cell r="W451">
            <v>57.317983594449785</v>
          </cell>
          <cell r="X451">
            <v>57.317983594449785</v>
          </cell>
          <cell r="Y451">
            <v>57.317983594449785</v>
          </cell>
          <cell r="Z451">
            <v>57.317983594449785</v>
          </cell>
          <cell r="AA451">
            <v>57.317983594449785</v>
          </cell>
          <cell r="AB451">
            <v>57.317983594449785</v>
          </cell>
          <cell r="AC451">
            <v>57.317983594449785</v>
          </cell>
          <cell r="AD451">
            <v>57.317983594449785</v>
          </cell>
          <cell r="AE451">
            <v>57.317983594449785</v>
          </cell>
          <cell r="AF451">
            <v>57.317983594449785</v>
          </cell>
        </row>
        <row r="452">
          <cell r="A452" t="str">
            <v>North Carolina</v>
          </cell>
          <cell r="B452">
            <v>54.814882026281254</v>
          </cell>
          <cell r="C452">
            <v>55.252015635355221</v>
          </cell>
          <cell r="D452">
            <v>55.652566160336903</v>
          </cell>
          <cell r="E452">
            <v>55.958444708474161</v>
          </cell>
          <cell r="F452">
            <v>56.174258975316228</v>
          </cell>
          <cell r="G452">
            <v>56.72327268612996</v>
          </cell>
          <cell r="H452">
            <v>56.783572742321802</v>
          </cell>
          <cell r="I452">
            <v>57.291987582370062</v>
          </cell>
          <cell r="J452">
            <v>57.54164225757296</v>
          </cell>
          <cell r="K452">
            <v>57.987425878275921</v>
          </cell>
          <cell r="L452">
            <v>58.59626125386589</v>
          </cell>
          <cell r="M452">
            <v>58.359905401690234</v>
          </cell>
          <cell r="N452">
            <v>58.508356325523621</v>
          </cell>
          <cell r="O452">
            <v>58.316725669054655</v>
          </cell>
          <cell r="P452">
            <v>57.831478483596811</v>
          </cell>
          <cell r="Q452">
            <v>58.005532461288325</v>
          </cell>
          <cell r="R452">
            <v>57.844191326477826</v>
          </cell>
          <cell r="S452">
            <v>57.84674553957975</v>
          </cell>
          <cell r="T452">
            <v>57.84674553957975</v>
          </cell>
          <cell r="U452">
            <v>57.84674553957975</v>
          </cell>
          <cell r="V452">
            <v>57.84674553957975</v>
          </cell>
          <cell r="W452">
            <v>57.84674553957975</v>
          </cell>
          <cell r="X452">
            <v>57.84674553957975</v>
          </cell>
          <cell r="Y452">
            <v>57.84674553957975</v>
          </cell>
          <cell r="Z452">
            <v>57.84674553957975</v>
          </cell>
          <cell r="AA452">
            <v>57.84674553957975</v>
          </cell>
          <cell r="AB452">
            <v>57.84674553957975</v>
          </cell>
          <cell r="AC452">
            <v>57.84674553957975</v>
          </cell>
          <cell r="AD452">
            <v>57.84674553957975</v>
          </cell>
          <cell r="AE452">
            <v>57.84674553957975</v>
          </cell>
          <cell r="AF452">
            <v>57.84674553957975</v>
          </cell>
        </row>
        <row r="453">
          <cell r="A453" t="str">
            <v>North Dakota</v>
          </cell>
          <cell r="B453">
            <v>52.446800259021366</v>
          </cell>
          <cell r="C453">
            <v>52.861758110576844</v>
          </cell>
          <cell r="D453">
            <v>53.253767835950427</v>
          </cell>
          <cell r="E453">
            <v>53.547888315731555</v>
          </cell>
          <cell r="F453">
            <v>53.751583582268843</v>
          </cell>
          <cell r="G453">
            <v>54.280403879356335</v>
          </cell>
          <cell r="H453">
            <v>54.340090867176471</v>
          </cell>
          <cell r="I453">
            <v>54.818565208364781</v>
          </cell>
          <cell r="J453">
            <v>55.054457825100449</v>
          </cell>
          <cell r="K453">
            <v>55.471526208279144</v>
          </cell>
          <cell r="L453">
            <v>56.039188910163652</v>
          </cell>
          <cell r="M453">
            <v>55.820056792636812</v>
          </cell>
          <cell r="N453">
            <v>55.960110471459544</v>
          </cell>
          <cell r="O453">
            <v>55.774422880233189</v>
          </cell>
          <cell r="P453">
            <v>55.318361018655089</v>
          </cell>
          <cell r="Q453">
            <v>55.48259743343587</v>
          </cell>
          <cell r="R453">
            <v>55.334964835538621</v>
          </cell>
          <cell r="S453">
            <v>55.337718447239922</v>
          </cell>
          <cell r="T453">
            <v>55.337718447239922</v>
          </cell>
          <cell r="U453">
            <v>55.337718447239922</v>
          </cell>
          <cell r="V453">
            <v>55.337718447239922</v>
          </cell>
          <cell r="W453">
            <v>55.337718447239922</v>
          </cell>
          <cell r="X453">
            <v>55.337718447239922</v>
          </cell>
          <cell r="Y453">
            <v>55.337718447239922</v>
          </cell>
          <cell r="Z453">
            <v>55.337718447239922</v>
          </cell>
          <cell r="AA453">
            <v>55.337718447239922</v>
          </cell>
          <cell r="AB453">
            <v>55.337718447239922</v>
          </cell>
          <cell r="AC453">
            <v>55.337718447239922</v>
          </cell>
          <cell r="AD453">
            <v>55.337718447239922</v>
          </cell>
          <cell r="AE453">
            <v>55.337718447239922</v>
          </cell>
          <cell r="AF453">
            <v>55.337718447239922</v>
          </cell>
        </row>
        <row r="454">
          <cell r="A454" t="str">
            <v>Ohio</v>
          </cell>
          <cell r="B454">
            <v>54.325618937869137</v>
          </cell>
          <cell r="C454">
            <v>54.758140584414051</v>
          </cell>
          <cell r="D454">
            <v>55.157007172367251</v>
          </cell>
          <cell r="E454">
            <v>55.460469820412953</v>
          </cell>
          <cell r="F454">
            <v>55.673754484423348</v>
          </cell>
          <cell r="G454">
            <v>56.218628527627423</v>
          </cell>
          <cell r="H454">
            <v>56.278820252469821</v>
          </cell>
          <cell r="I454">
            <v>56.780975756599631</v>
          </cell>
          <cell r="J454">
            <v>57.027759694306447</v>
          </cell>
          <cell r="K454">
            <v>57.467523501411172</v>
          </cell>
          <cell r="L454">
            <v>58.067715443981641</v>
          </cell>
          <cell r="M454">
            <v>57.834982684002938</v>
          </cell>
          <cell r="N454">
            <v>57.981680416150738</v>
          </cell>
          <cell r="O454">
            <v>57.791256144553714</v>
          </cell>
          <cell r="P454">
            <v>57.312114531611222</v>
          </cell>
          <cell r="Q454">
            <v>57.484118977516111</v>
          </cell>
          <cell r="R454">
            <v>57.325672143307067</v>
          </cell>
          <cell r="S454">
            <v>57.328270404337822</v>
          </cell>
          <cell r="T454">
            <v>57.328270404337822</v>
          </cell>
          <cell r="U454">
            <v>57.328270404337822</v>
          </cell>
          <cell r="V454">
            <v>57.328270404337822</v>
          </cell>
          <cell r="W454">
            <v>57.328270404337822</v>
          </cell>
          <cell r="X454">
            <v>57.328270404337822</v>
          </cell>
          <cell r="Y454">
            <v>57.328270404337822</v>
          </cell>
          <cell r="Z454">
            <v>57.328270404337822</v>
          </cell>
          <cell r="AA454">
            <v>57.328270404337822</v>
          </cell>
          <cell r="AB454">
            <v>57.328270404337822</v>
          </cell>
          <cell r="AC454">
            <v>57.328270404337822</v>
          </cell>
          <cell r="AD454">
            <v>57.328270404337822</v>
          </cell>
          <cell r="AE454">
            <v>57.328270404337822</v>
          </cell>
          <cell r="AF454">
            <v>57.328270404337822</v>
          </cell>
        </row>
        <row r="455">
          <cell r="A455" t="str">
            <v>Oklahoma</v>
          </cell>
          <cell r="B455">
            <v>54.72409955957523</v>
          </cell>
          <cell r="C455">
            <v>55.160376229940454</v>
          </cell>
          <cell r="D455">
            <v>55.560617475328279</v>
          </cell>
          <cell r="E455">
            <v>55.86604828211776</v>
          </cell>
          <cell r="F455">
            <v>56.081392170253181</v>
          </cell>
          <cell r="G455">
            <v>56.629639044837383</v>
          </cell>
          <cell r="H455">
            <v>56.689919721647755</v>
          </cell>
          <cell r="I455">
            <v>57.197170256995115</v>
          </cell>
          <cell r="J455">
            <v>57.446291190572886</v>
          </cell>
          <cell r="K455">
            <v>57.890954413604319</v>
          </cell>
          <cell r="L455">
            <v>58.49818061998986</v>
          </cell>
          <cell r="M455">
            <v>58.262499570182825</v>
          </cell>
          <cell r="N455">
            <v>58.410624471845431</v>
          </cell>
          <cell r="O455">
            <v>58.219216813449073</v>
          </cell>
          <cell r="P455">
            <v>57.735105490972096</v>
          </cell>
          <cell r="Q455">
            <v>57.908778346964283</v>
          </cell>
          <cell r="R455">
            <v>57.747976688288958</v>
          </cell>
          <cell r="S455">
            <v>57.750539186636978</v>
          </cell>
          <cell r="T455">
            <v>57.750539186636978</v>
          </cell>
          <cell r="U455">
            <v>57.750539186636978</v>
          </cell>
          <cell r="V455">
            <v>57.750539186636978</v>
          </cell>
          <cell r="W455">
            <v>57.750539186636978</v>
          </cell>
          <cell r="X455">
            <v>57.750539186636978</v>
          </cell>
          <cell r="Y455">
            <v>57.750539186636978</v>
          </cell>
          <cell r="Z455">
            <v>57.750539186636978</v>
          </cell>
          <cell r="AA455">
            <v>57.750539186636978</v>
          </cell>
          <cell r="AB455">
            <v>57.750539186636978</v>
          </cell>
          <cell r="AC455">
            <v>57.750539186636978</v>
          </cell>
          <cell r="AD455">
            <v>57.750539186636978</v>
          </cell>
          <cell r="AE455">
            <v>57.750539186636978</v>
          </cell>
          <cell r="AF455">
            <v>57.750539186636978</v>
          </cell>
        </row>
        <row r="456">
          <cell r="A456" t="str">
            <v>Oregon</v>
          </cell>
          <cell r="B456">
            <v>63.672137248327523</v>
          </cell>
          <cell r="C456">
            <v>64.195516610704814</v>
          </cell>
          <cell r="D456">
            <v>64.619217628523444</v>
          </cell>
          <cell r="E456">
            <v>64.967613032761577</v>
          </cell>
          <cell r="F456">
            <v>65.231560922994461</v>
          </cell>
          <cell r="G456">
            <v>65.852566208522163</v>
          </cell>
          <cell r="H456">
            <v>65.913160319727098</v>
          </cell>
          <cell r="I456">
            <v>66.541564870289463</v>
          </cell>
          <cell r="J456">
            <v>66.845680383626174</v>
          </cell>
          <cell r="K456">
            <v>67.40835661394226</v>
          </cell>
          <cell r="L456">
            <v>68.186111118062897</v>
          </cell>
          <cell r="M456">
            <v>67.878296444958522</v>
          </cell>
          <cell r="N456">
            <v>68.06014622316242</v>
          </cell>
          <cell r="O456">
            <v>67.848630788923714</v>
          </cell>
          <cell r="P456">
            <v>67.245971883300498</v>
          </cell>
          <cell r="Q456">
            <v>67.45905241562923</v>
          </cell>
          <cell r="R456">
            <v>67.239675652591657</v>
          </cell>
          <cell r="S456">
            <v>67.241173228743619</v>
          </cell>
          <cell r="T456">
            <v>67.241173228743619</v>
          </cell>
          <cell r="U456">
            <v>67.241173228743619</v>
          </cell>
          <cell r="V456">
            <v>67.241173228743619</v>
          </cell>
          <cell r="W456">
            <v>67.241173228743619</v>
          </cell>
          <cell r="X456">
            <v>67.241173228743619</v>
          </cell>
          <cell r="Y456">
            <v>67.241173228743619</v>
          </cell>
          <cell r="Z456">
            <v>67.241173228743619</v>
          </cell>
          <cell r="AA456">
            <v>67.241173228743619</v>
          </cell>
          <cell r="AB456">
            <v>67.241173228743619</v>
          </cell>
          <cell r="AC456">
            <v>67.241173228743619</v>
          </cell>
          <cell r="AD456">
            <v>67.241173228743619</v>
          </cell>
          <cell r="AE456">
            <v>67.241173228743619</v>
          </cell>
          <cell r="AF456">
            <v>67.241173228743619</v>
          </cell>
        </row>
        <row r="457">
          <cell r="A457" t="str">
            <v>Pennsylvania</v>
          </cell>
          <cell r="B457">
            <v>54.315911246285843</v>
          </cell>
          <cell r="C457">
            <v>54.748341547015052</v>
          </cell>
          <cell r="D457">
            <v>55.147174291197388</v>
          </cell>
          <cell r="E457">
            <v>55.450588932478716</v>
          </cell>
          <cell r="F457">
            <v>55.663823543296331</v>
          </cell>
          <cell r="G457">
            <v>56.20861527571391</v>
          </cell>
          <cell r="H457">
            <v>56.268804752907656</v>
          </cell>
          <cell r="I457">
            <v>56.770836455903606</v>
          </cell>
          <cell r="J457">
            <v>57.017563580737253</v>
          </cell>
          <cell r="K457">
            <v>57.457208412162359</v>
          </cell>
          <cell r="L457">
            <v>58.057229589484571</v>
          </cell>
          <cell r="M457">
            <v>57.824568371221538</v>
          </cell>
          <cell r="N457">
            <v>57.971231415296522</v>
          </cell>
          <cell r="O457">
            <v>57.780831195269585</v>
          </cell>
          <cell r="P457">
            <v>57.301810320459211</v>
          </cell>
          <cell r="Q457">
            <v>57.47377421396277</v>
          </cell>
          <cell r="R457">
            <v>57.315384474713269</v>
          </cell>
          <cell r="S457">
            <v>57.317983594449814</v>
          </cell>
          <cell r="T457">
            <v>57.317983594449814</v>
          </cell>
          <cell r="U457">
            <v>57.317983594449814</v>
          </cell>
          <cell r="V457">
            <v>57.317983594449814</v>
          </cell>
          <cell r="W457">
            <v>57.317983594449814</v>
          </cell>
          <cell r="X457">
            <v>57.317983594449814</v>
          </cell>
          <cell r="Y457">
            <v>57.317983594449814</v>
          </cell>
          <cell r="Z457">
            <v>57.317983594449814</v>
          </cell>
          <cell r="AA457">
            <v>57.317983594449814</v>
          </cell>
          <cell r="AB457">
            <v>57.317983594449814</v>
          </cell>
          <cell r="AC457">
            <v>57.317983594449814</v>
          </cell>
          <cell r="AD457">
            <v>57.317983594449814</v>
          </cell>
          <cell r="AE457">
            <v>57.317983594449814</v>
          </cell>
          <cell r="AF457">
            <v>57.317983594449814</v>
          </cell>
        </row>
        <row r="458">
          <cell r="A458" t="str">
            <v>Rhode Island</v>
          </cell>
          <cell r="B458">
            <v>54.315911246285836</v>
          </cell>
          <cell r="C458">
            <v>54.748341547015052</v>
          </cell>
          <cell r="D458">
            <v>55.147174291197373</v>
          </cell>
          <cell r="E458">
            <v>55.450588932478709</v>
          </cell>
          <cell r="F458">
            <v>55.663823543296331</v>
          </cell>
          <cell r="G458">
            <v>56.208615275713925</v>
          </cell>
          <cell r="H458">
            <v>56.268804752907663</v>
          </cell>
          <cell r="I458">
            <v>56.770836455903613</v>
          </cell>
          <cell r="J458">
            <v>57.01756358073726</v>
          </cell>
          <cell r="K458">
            <v>57.457208412162345</v>
          </cell>
          <cell r="L458">
            <v>58.057229589484578</v>
          </cell>
          <cell r="M458">
            <v>57.824568371221531</v>
          </cell>
          <cell r="N458">
            <v>57.971231415296515</v>
          </cell>
          <cell r="O458">
            <v>57.780831195269606</v>
          </cell>
          <cell r="P458">
            <v>57.301810320459197</v>
          </cell>
          <cell r="Q458">
            <v>57.47377421396277</v>
          </cell>
          <cell r="R458">
            <v>57.315384474713269</v>
          </cell>
          <cell r="S458">
            <v>57.317983594449807</v>
          </cell>
          <cell r="T458">
            <v>57.317983594449807</v>
          </cell>
          <cell r="U458">
            <v>57.317983594449807</v>
          </cell>
          <cell r="V458">
            <v>57.317983594449807</v>
          </cell>
          <cell r="W458">
            <v>57.317983594449807</v>
          </cell>
          <cell r="X458">
            <v>57.317983594449807</v>
          </cell>
          <cell r="Y458">
            <v>57.317983594449807</v>
          </cell>
          <cell r="Z458">
            <v>57.317983594449807</v>
          </cell>
          <cell r="AA458">
            <v>57.317983594449807</v>
          </cell>
          <cell r="AB458">
            <v>57.317983594449807</v>
          </cell>
          <cell r="AC458">
            <v>57.317983594449807</v>
          </cell>
          <cell r="AD458">
            <v>57.317983594449807</v>
          </cell>
          <cell r="AE458">
            <v>57.317983594449807</v>
          </cell>
          <cell r="AF458">
            <v>57.317983594449807</v>
          </cell>
        </row>
        <row r="459">
          <cell r="A459" t="str">
            <v>South Carolina</v>
          </cell>
          <cell r="B459">
            <v>54.814882026281246</v>
          </cell>
          <cell r="C459">
            <v>55.252015635355221</v>
          </cell>
          <cell r="D459">
            <v>55.652566160336903</v>
          </cell>
          <cell r="E459">
            <v>55.958444708474168</v>
          </cell>
          <cell r="F459">
            <v>56.174258975316221</v>
          </cell>
          <cell r="G459">
            <v>56.723272686129953</v>
          </cell>
          <cell r="H459">
            <v>56.783572742321802</v>
          </cell>
          <cell r="I459">
            <v>57.291987582370041</v>
          </cell>
          <cell r="J459">
            <v>57.541642257572967</v>
          </cell>
          <cell r="K459">
            <v>57.987425878275921</v>
          </cell>
          <cell r="L459">
            <v>58.59626125386589</v>
          </cell>
          <cell r="M459">
            <v>58.35990540169022</v>
          </cell>
          <cell r="N459">
            <v>58.508356325523607</v>
          </cell>
          <cell r="O459">
            <v>58.316725669054648</v>
          </cell>
          <cell r="P459">
            <v>57.831478483596825</v>
          </cell>
          <cell r="Q459">
            <v>58.005532461288333</v>
          </cell>
          <cell r="R459">
            <v>57.844191326477841</v>
          </cell>
          <cell r="S459">
            <v>57.846745539579736</v>
          </cell>
          <cell r="T459">
            <v>57.846745539579736</v>
          </cell>
          <cell r="U459">
            <v>57.846745539579736</v>
          </cell>
          <cell r="V459">
            <v>57.846745539579736</v>
          </cell>
          <cell r="W459">
            <v>57.846745539579736</v>
          </cell>
          <cell r="X459">
            <v>57.846745539579736</v>
          </cell>
          <cell r="Y459">
            <v>57.846745539579736</v>
          </cell>
          <cell r="Z459">
            <v>57.846745539579736</v>
          </cell>
          <cell r="AA459">
            <v>57.846745539579736</v>
          </cell>
          <cell r="AB459">
            <v>57.846745539579736</v>
          </cell>
          <cell r="AC459">
            <v>57.846745539579736</v>
          </cell>
          <cell r="AD459">
            <v>57.846745539579736</v>
          </cell>
          <cell r="AE459">
            <v>57.846745539579736</v>
          </cell>
          <cell r="AF459">
            <v>57.846745539579736</v>
          </cell>
        </row>
        <row r="460">
          <cell r="A460" t="str">
            <v>South Dakota</v>
          </cell>
          <cell r="B460">
            <v>52.446800259021359</v>
          </cell>
          <cell r="C460">
            <v>52.861758110576844</v>
          </cell>
          <cell r="D460">
            <v>53.253767835950448</v>
          </cell>
          <cell r="E460">
            <v>53.547888315731562</v>
          </cell>
          <cell r="F460">
            <v>53.751583582268843</v>
          </cell>
          <cell r="G460">
            <v>54.280403879356328</v>
          </cell>
          <cell r="H460">
            <v>54.340090867176471</v>
          </cell>
          <cell r="I460">
            <v>54.818565208364802</v>
          </cell>
          <cell r="J460">
            <v>55.054457825100457</v>
          </cell>
          <cell r="K460">
            <v>55.471526208279151</v>
          </cell>
          <cell r="L460">
            <v>56.039188910163638</v>
          </cell>
          <cell r="M460">
            <v>55.820056792636805</v>
          </cell>
          <cell r="N460">
            <v>55.960110471459551</v>
          </cell>
          <cell r="O460">
            <v>55.774422880233189</v>
          </cell>
          <cell r="P460">
            <v>55.318361018655104</v>
          </cell>
          <cell r="Q460">
            <v>55.482597433435856</v>
          </cell>
          <cell r="R460">
            <v>55.334964835538621</v>
          </cell>
          <cell r="S460">
            <v>55.337718447239929</v>
          </cell>
          <cell r="T460">
            <v>55.337718447239929</v>
          </cell>
          <cell r="U460">
            <v>55.337718447239929</v>
          </cell>
          <cell r="V460">
            <v>55.337718447239929</v>
          </cell>
          <cell r="W460">
            <v>55.337718447239929</v>
          </cell>
          <cell r="X460">
            <v>55.337718447239929</v>
          </cell>
          <cell r="Y460">
            <v>55.337718447239929</v>
          </cell>
          <cell r="Z460">
            <v>55.337718447239929</v>
          </cell>
          <cell r="AA460">
            <v>55.337718447239929</v>
          </cell>
          <cell r="AB460">
            <v>55.337718447239929</v>
          </cell>
          <cell r="AC460">
            <v>55.337718447239929</v>
          </cell>
          <cell r="AD460">
            <v>55.337718447239929</v>
          </cell>
          <cell r="AE460">
            <v>55.337718447239929</v>
          </cell>
          <cell r="AF460">
            <v>55.337718447239929</v>
          </cell>
        </row>
        <row r="461">
          <cell r="A461" t="str">
            <v>Tennessee</v>
          </cell>
          <cell r="B461">
            <v>54.814882026281232</v>
          </cell>
          <cell r="C461">
            <v>55.252015635355214</v>
          </cell>
          <cell r="D461">
            <v>55.652566160336903</v>
          </cell>
          <cell r="E461">
            <v>55.958444708474168</v>
          </cell>
          <cell r="F461">
            <v>56.174258975316221</v>
          </cell>
          <cell r="G461">
            <v>56.723272686129967</v>
          </cell>
          <cell r="H461">
            <v>56.783572742321802</v>
          </cell>
          <cell r="I461">
            <v>57.291987582370048</v>
          </cell>
          <cell r="J461">
            <v>57.541642257572967</v>
          </cell>
          <cell r="K461">
            <v>57.987425878275921</v>
          </cell>
          <cell r="L461">
            <v>58.59626125386589</v>
          </cell>
          <cell r="M461">
            <v>58.35990540169022</v>
          </cell>
          <cell r="N461">
            <v>58.508356325523607</v>
          </cell>
          <cell r="O461">
            <v>58.316725669054655</v>
          </cell>
          <cell r="P461">
            <v>57.831478483596811</v>
          </cell>
          <cell r="Q461">
            <v>58.005532461288325</v>
          </cell>
          <cell r="R461">
            <v>57.844191326477841</v>
          </cell>
          <cell r="S461">
            <v>57.84674553957975</v>
          </cell>
          <cell r="T461">
            <v>57.84674553957975</v>
          </cell>
          <cell r="U461">
            <v>57.84674553957975</v>
          </cell>
          <cell r="V461">
            <v>57.84674553957975</v>
          </cell>
          <cell r="W461">
            <v>57.84674553957975</v>
          </cell>
          <cell r="X461">
            <v>57.84674553957975</v>
          </cell>
          <cell r="Y461">
            <v>57.84674553957975</v>
          </cell>
          <cell r="Z461">
            <v>57.84674553957975</v>
          </cell>
          <cell r="AA461">
            <v>57.84674553957975</v>
          </cell>
          <cell r="AB461">
            <v>57.84674553957975</v>
          </cell>
          <cell r="AC461">
            <v>57.84674553957975</v>
          </cell>
          <cell r="AD461">
            <v>57.84674553957975</v>
          </cell>
          <cell r="AE461">
            <v>57.84674553957975</v>
          </cell>
          <cell r="AF461">
            <v>57.84674553957975</v>
          </cell>
        </row>
        <row r="462">
          <cell r="A462" t="str">
            <v>Texas</v>
          </cell>
          <cell r="B462">
            <v>54.724099559575222</v>
          </cell>
          <cell r="C462">
            <v>55.160376229940461</v>
          </cell>
          <cell r="D462">
            <v>55.560617475328272</v>
          </cell>
          <cell r="E462">
            <v>55.866048282117788</v>
          </cell>
          <cell r="F462">
            <v>56.081392170253181</v>
          </cell>
          <cell r="G462">
            <v>56.629639044837397</v>
          </cell>
          <cell r="H462">
            <v>56.689919721647762</v>
          </cell>
          <cell r="I462">
            <v>57.197170256995122</v>
          </cell>
          <cell r="J462">
            <v>57.446291190572886</v>
          </cell>
          <cell r="K462">
            <v>57.890954413604298</v>
          </cell>
          <cell r="L462">
            <v>58.49818061998986</v>
          </cell>
          <cell r="M462">
            <v>58.262499570182818</v>
          </cell>
          <cell r="N462">
            <v>58.410624471845431</v>
          </cell>
          <cell r="O462">
            <v>58.219216813449044</v>
          </cell>
          <cell r="P462">
            <v>57.735105490972117</v>
          </cell>
          <cell r="Q462">
            <v>57.90877834696429</v>
          </cell>
          <cell r="R462">
            <v>57.747976688288972</v>
          </cell>
          <cell r="S462">
            <v>57.750539186636971</v>
          </cell>
          <cell r="T462">
            <v>57.750539186636971</v>
          </cell>
          <cell r="U462">
            <v>57.750539186636971</v>
          </cell>
          <cell r="V462">
            <v>57.750539186636971</v>
          </cell>
          <cell r="W462">
            <v>57.750539186636971</v>
          </cell>
          <cell r="X462">
            <v>57.750539186636971</v>
          </cell>
          <cell r="Y462">
            <v>57.750539186636971</v>
          </cell>
          <cell r="Z462">
            <v>57.750539186636971</v>
          </cell>
          <cell r="AA462">
            <v>57.750539186636971</v>
          </cell>
          <cell r="AB462">
            <v>57.750539186636971</v>
          </cell>
          <cell r="AC462">
            <v>57.750539186636971</v>
          </cell>
          <cell r="AD462">
            <v>57.750539186636971</v>
          </cell>
          <cell r="AE462">
            <v>57.750539186636971</v>
          </cell>
          <cell r="AF462">
            <v>57.750539186636971</v>
          </cell>
        </row>
        <row r="463">
          <cell r="A463" t="str">
            <v>Utah</v>
          </cell>
          <cell r="B463">
            <v>63.672137248327545</v>
          </cell>
          <cell r="C463">
            <v>64.195516610704786</v>
          </cell>
          <cell r="D463">
            <v>64.619217628523458</v>
          </cell>
          <cell r="E463">
            <v>64.967613032761591</v>
          </cell>
          <cell r="F463">
            <v>65.231560922994461</v>
          </cell>
          <cell r="G463">
            <v>65.852566208522148</v>
          </cell>
          <cell r="H463">
            <v>65.913160319727083</v>
          </cell>
          <cell r="I463">
            <v>66.541564870289477</v>
          </cell>
          <cell r="J463">
            <v>66.845680383626174</v>
          </cell>
          <cell r="K463">
            <v>67.408356613942246</v>
          </cell>
          <cell r="L463">
            <v>68.186111118062882</v>
          </cell>
          <cell r="M463">
            <v>67.878296444958522</v>
          </cell>
          <cell r="N463">
            <v>68.06014622316242</v>
          </cell>
          <cell r="O463">
            <v>67.848630788923714</v>
          </cell>
          <cell r="P463">
            <v>67.245971883300498</v>
          </cell>
          <cell r="Q463">
            <v>67.459052415629245</v>
          </cell>
          <cell r="R463">
            <v>67.239675652591643</v>
          </cell>
          <cell r="S463">
            <v>67.241173228743605</v>
          </cell>
          <cell r="T463">
            <v>67.241173228743605</v>
          </cell>
          <cell r="U463">
            <v>67.241173228743605</v>
          </cell>
          <cell r="V463">
            <v>67.241173228743605</v>
          </cell>
          <cell r="W463">
            <v>67.241173228743605</v>
          </cell>
          <cell r="X463">
            <v>67.241173228743605</v>
          </cell>
          <cell r="Y463">
            <v>67.241173228743605</v>
          </cell>
          <cell r="Z463">
            <v>67.241173228743605</v>
          </cell>
          <cell r="AA463">
            <v>67.241173228743605</v>
          </cell>
          <cell r="AB463">
            <v>67.241173228743605</v>
          </cell>
          <cell r="AC463">
            <v>67.241173228743605</v>
          </cell>
          <cell r="AD463">
            <v>67.241173228743605</v>
          </cell>
          <cell r="AE463">
            <v>67.241173228743605</v>
          </cell>
          <cell r="AF463">
            <v>67.241173228743605</v>
          </cell>
        </row>
        <row r="464">
          <cell r="A464" t="str">
            <v>Vermont</v>
          </cell>
          <cell r="B464">
            <v>54.315911246285843</v>
          </cell>
          <cell r="C464">
            <v>54.748341547015038</v>
          </cell>
          <cell r="D464">
            <v>55.147174291197373</v>
          </cell>
          <cell r="E464">
            <v>55.450588932478702</v>
          </cell>
          <cell r="F464">
            <v>55.663823543296338</v>
          </cell>
          <cell r="G464">
            <v>56.208615275713925</v>
          </cell>
          <cell r="H464">
            <v>56.268804752907663</v>
          </cell>
          <cell r="I464">
            <v>56.770836455903627</v>
          </cell>
          <cell r="J464">
            <v>57.01756358073726</v>
          </cell>
          <cell r="K464">
            <v>57.457208412162331</v>
          </cell>
          <cell r="L464">
            <v>58.057229589484571</v>
          </cell>
          <cell r="M464">
            <v>57.824568371221538</v>
          </cell>
          <cell r="N464">
            <v>57.971231415296522</v>
          </cell>
          <cell r="O464">
            <v>57.780831195269599</v>
          </cell>
          <cell r="P464">
            <v>57.301810320459204</v>
          </cell>
          <cell r="Q464">
            <v>57.473774213962763</v>
          </cell>
          <cell r="R464">
            <v>57.315384474713269</v>
          </cell>
          <cell r="S464">
            <v>57.317983594449807</v>
          </cell>
          <cell r="T464">
            <v>57.317983594449807</v>
          </cell>
          <cell r="U464">
            <v>57.317983594449807</v>
          </cell>
          <cell r="V464">
            <v>57.317983594449807</v>
          </cell>
          <cell r="W464">
            <v>57.317983594449807</v>
          </cell>
          <cell r="X464">
            <v>57.317983594449807</v>
          </cell>
          <cell r="Y464">
            <v>57.317983594449807</v>
          </cell>
          <cell r="Z464">
            <v>57.317983594449807</v>
          </cell>
          <cell r="AA464">
            <v>57.317983594449807</v>
          </cell>
          <cell r="AB464">
            <v>57.317983594449807</v>
          </cell>
          <cell r="AC464">
            <v>57.317983594449807</v>
          </cell>
          <cell r="AD464">
            <v>57.317983594449807</v>
          </cell>
          <cell r="AE464">
            <v>57.317983594449807</v>
          </cell>
          <cell r="AF464">
            <v>57.317983594449807</v>
          </cell>
        </row>
        <row r="465">
          <cell r="A465" t="str">
            <v>Virginia</v>
          </cell>
          <cell r="B465">
            <v>54.814882026281261</v>
          </cell>
          <cell r="C465">
            <v>55.252015635355221</v>
          </cell>
          <cell r="D465">
            <v>55.652566160336917</v>
          </cell>
          <cell r="E465">
            <v>55.958444708474147</v>
          </cell>
          <cell r="F465">
            <v>56.174258975316221</v>
          </cell>
          <cell r="G465">
            <v>56.723272686129967</v>
          </cell>
          <cell r="H465">
            <v>56.783572742321809</v>
          </cell>
          <cell r="I465">
            <v>57.291987582370048</v>
          </cell>
          <cell r="J465">
            <v>57.541642257572953</v>
          </cell>
          <cell r="K465">
            <v>57.987425878275936</v>
          </cell>
          <cell r="L465">
            <v>58.596261253865883</v>
          </cell>
          <cell r="M465">
            <v>58.35990540169022</v>
          </cell>
          <cell r="N465">
            <v>58.508356325523629</v>
          </cell>
          <cell r="O465">
            <v>58.316725669054669</v>
          </cell>
          <cell r="P465">
            <v>57.831478483596818</v>
          </cell>
          <cell r="Q465">
            <v>58.005532461288333</v>
          </cell>
          <cell r="R465">
            <v>57.844191326477834</v>
          </cell>
          <cell r="S465">
            <v>57.84674553957975</v>
          </cell>
          <cell r="T465">
            <v>57.84674553957975</v>
          </cell>
          <cell r="U465">
            <v>57.84674553957975</v>
          </cell>
          <cell r="V465">
            <v>57.84674553957975</v>
          </cell>
          <cell r="W465">
            <v>57.84674553957975</v>
          </cell>
          <cell r="X465">
            <v>57.84674553957975</v>
          </cell>
          <cell r="Y465">
            <v>57.84674553957975</v>
          </cell>
          <cell r="Z465">
            <v>57.84674553957975</v>
          </cell>
          <cell r="AA465">
            <v>57.84674553957975</v>
          </cell>
          <cell r="AB465">
            <v>57.84674553957975</v>
          </cell>
          <cell r="AC465">
            <v>57.84674553957975</v>
          </cell>
          <cell r="AD465">
            <v>57.84674553957975</v>
          </cell>
          <cell r="AE465">
            <v>57.84674553957975</v>
          </cell>
          <cell r="AF465">
            <v>57.84674553957975</v>
          </cell>
        </row>
        <row r="466">
          <cell r="A466" t="str">
            <v>Washington</v>
          </cell>
          <cell r="B466">
            <v>63.67213724832753</v>
          </cell>
          <cell r="C466">
            <v>64.195516610704814</v>
          </cell>
          <cell r="D466">
            <v>64.619217628523458</v>
          </cell>
          <cell r="E466">
            <v>64.967613032761577</v>
          </cell>
          <cell r="F466">
            <v>65.231560922994461</v>
          </cell>
          <cell r="G466">
            <v>65.852566208522148</v>
          </cell>
          <cell r="H466">
            <v>65.913160319727098</v>
          </cell>
          <cell r="I466">
            <v>66.541564870289477</v>
          </cell>
          <cell r="J466">
            <v>66.84568038362616</v>
          </cell>
          <cell r="K466">
            <v>67.408356613942246</v>
          </cell>
          <cell r="L466">
            <v>68.186111118062882</v>
          </cell>
          <cell r="M466">
            <v>67.878296444958508</v>
          </cell>
          <cell r="N466">
            <v>68.06014622316242</v>
          </cell>
          <cell r="O466">
            <v>67.848630788923714</v>
          </cell>
          <cell r="P466">
            <v>67.245971883300513</v>
          </cell>
          <cell r="Q466">
            <v>67.459052415629245</v>
          </cell>
          <cell r="R466">
            <v>67.239675652591657</v>
          </cell>
          <cell r="S466">
            <v>67.241173228743605</v>
          </cell>
          <cell r="T466">
            <v>67.241173228743605</v>
          </cell>
          <cell r="U466">
            <v>67.241173228743605</v>
          </cell>
          <cell r="V466">
            <v>67.241173228743605</v>
          </cell>
          <cell r="W466">
            <v>67.241173228743605</v>
          </cell>
          <cell r="X466">
            <v>67.241173228743605</v>
          </cell>
          <cell r="Y466">
            <v>67.241173228743605</v>
          </cell>
          <cell r="Z466">
            <v>67.241173228743605</v>
          </cell>
          <cell r="AA466">
            <v>67.241173228743605</v>
          </cell>
          <cell r="AB466">
            <v>67.241173228743605</v>
          </cell>
          <cell r="AC466">
            <v>67.241173228743605</v>
          </cell>
          <cell r="AD466">
            <v>67.241173228743605</v>
          </cell>
          <cell r="AE466">
            <v>67.241173228743605</v>
          </cell>
          <cell r="AF466">
            <v>67.241173228743605</v>
          </cell>
        </row>
        <row r="467">
          <cell r="A467" t="str">
            <v>West Virginia</v>
          </cell>
          <cell r="B467">
            <v>54.315911246285843</v>
          </cell>
          <cell r="C467">
            <v>54.748341547015059</v>
          </cell>
          <cell r="D467">
            <v>55.147174291197381</v>
          </cell>
          <cell r="E467">
            <v>55.450588932478702</v>
          </cell>
          <cell r="F467">
            <v>55.663823543296331</v>
          </cell>
          <cell r="G467">
            <v>56.208615275713925</v>
          </cell>
          <cell r="H467">
            <v>56.268804752907656</v>
          </cell>
          <cell r="I467">
            <v>56.770836455903613</v>
          </cell>
          <cell r="J467">
            <v>57.017563580737246</v>
          </cell>
          <cell r="K467">
            <v>57.457208412162345</v>
          </cell>
          <cell r="L467">
            <v>58.057229589484571</v>
          </cell>
          <cell r="M467">
            <v>57.824568371221538</v>
          </cell>
          <cell r="N467">
            <v>57.971231415296508</v>
          </cell>
          <cell r="O467">
            <v>57.780831195269592</v>
          </cell>
          <cell r="P467">
            <v>57.301810320459197</v>
          </cell>
          <cell r="Q467">
            <v>57.473774213962777</v>
          </cell>
          <cell r="R467">
            <v>57.315384474713255</v>
          </cell>
          <cell r="S467">
            <v>57.317983594449814</v>
          </cell>
          <cell r="T467">
            <v>57.317983594449814</v>
          </cell>
          <cell r="U467">
            <v>57.317983594449814</v>
          </cell>
          <cell r="V467">
            <v>57.317983594449814</v>
          </cell>
          <cell r="W467">
            <v>57.317983594449814</v>
          </cell>
          <cell r="X467">
            <v>57.317983594449814</v>
          </cell>
          <cell r="Y467">
            <v>57.317983594449814</v>
          </cell>
          <cell r="Z467">
            <v>57.317983594449814</v>
          </cell>
          <cell r="AA467">
            <v>57.317983594449814</v>
          </cell>
          <cell r="AB467">
            <v>57.317983594449814</v>
          </cell>
          <cell r="AC467">
            <v>57.317983594449814</v>
          </cell>
          <cell r="AD467">
            <v>57.317983594449814</v>
          </cell>
          <cell r="AE467">
            <v>57.317983594449814</v>
          </cell>
          <cell r="AF467">
            <v>57.317983594449814</v>
          </cell>
        </row>
        <row r="468">
          <cell r="A468" t="str">
            <v>Wisconsin</v>
          </cell>
          <cell r="B468">
            <v>54.325618937869145</v>
          </cell>
          <cell r="C468">
            <v>54.758140584414058</v>
          </cell>
          <cell r="D468">
            <v>55.157007172367265</v>
          </cell>
          <cell r="E468">
            <v>55.460469820412953</v>
          </cell>
          <cell r="F468">
            <v>55.673754484423348</v>
          </cell>
          <cell r="G468">
            <v>56.21862852762743</v>
          </cell>
          <cell r="H468">
            <v>56.278820252469814</v>
          </cell>
          <cell r="I468">
            <v>56.780975756599631</v>
          </cell>
          <cell r="J468">
            <v>57.027759694306447</v>
          </cell>
          <cell r="K468">
            <v>57.467523501411179</v>
          </cell>
          <cell r="L468">
            <v>58.067715443981662</v>
          </cell>
          <cell r="M468">
            <v>57.834982684002931</v>
          </cell>
          <cell r="N468">
            <v>57.981680416150716</v>
          </cell>
          <cell r="O468">
            <v>57.791256144553714</v>
          </cell>
          <cell r="P468">
            <v>57.312114531611222</v>
          </cell>
          <cell r="Q468">
            <v>57.484118977516111</v>
          </cell>
          <cell r="R468">
            <v>57.325672143307052</v>
          </cell>
          <cell r="S468">
            <v>57.328270404337829</v>
          </cell>
          <cell r="T468">
            <v>57.328270404337829</v>
          </cell>
          <cell r="U468">
            <v>57.328270404337829</v>
          </cell>
          <cell r="V468">
            <v>57.328270404337829</v>
          </cell>
          <cell r="W468">
            <v>57.328270404337829</v>
          </cell>
          <cell r="X468">
            <v>57.328270404337829</v>
          </cell>
          <cell r="Y468">
            <v>57.328270404337829</v>
          </cell>
          <cell r="Z468">
            <v>57.328270404337829</v>
          </cell>
          <cell r="AA468">
            <v>57.328270404337829</v>
          </cell>
          <cell r="AB468">
            <v>57.328270404337829</v>
          </cell>
          <cell r="AC468">
            <v>57.328270404337829</v>
          </cell>
          <cell r="AD468">
            <v>57.328270404337829</v>
          </cell>
          <cell r="AE468">
            <v>57.328270404337829</v>
          </cell>
          <cell r="AF468">
            <v>57.328270404337829</v>
          </cell>
        </row>
        <row r="469">
          <cell r="A469" t="str">
            <v>Wyoming</v>
          </cell>
          <cell r="B469">
            <v>52.446800259021359</v>
          </cell>
          <cell r="C469">
            <v>52.861758110576844</v>
          </cell>
          <cell r="D469">
            <v>53.253767835950434</v>
          </cell>
          <cell r="E469">
            <v>53.547888315731562</v>
          </cell>
          <cell r="F469">
            <v>53.751583582268843</v>
          </cell>
          <cell r="G469">
            <v>54.280403879356328</v>
          </cell>
          <cell r="H469">
            <v>54.340090867176485</v>
          </cell>
          <cell r="I469">
            <v>54.818565208364788</v>
          </cell>
          <cell r="J469">
            <v>55.054457825100457</v>
          </cell>
          <cell r="K469">
            <v>55.471526208279151</v>
          </cell>
          <cell r="L469">
            <v>56.039188910163645</v>
          </cell>
          <cell r="M469">
            <v>55.820056792636819</v>
          </cell>
          <cell r="N469">
            <v>55.960110471459551</v>
          </cell>
          <cell r="O469">
            <v>55.774422880233189</v>
          </cell>
          <cell r="P469">
            <v>55.318361018655096</v>
          </cell>
          <cell r="Q469">
            <v>55.482597433435856</v>
          </cell>
          <cell r="R469">
            <v>55.334964835538621</v>
          </cell>
          <cell r="S469">
            <v>55.337718447239929</v>
          </cell>
          <cell r="T469">
            <v>55.337718447239929</v>
          </cell>
          <cell r="U469">
            <v>55.337718447239929</v>
          </cell>
          <cell r="V469">
            <v>55.337718447239929</v>
          </cell>
          <cell r="W469">
            <v>55.337718447239929</v>
          </cell>
          <cell r="X469">
            <v>55.337718447239929</v>
          </cell>
          <cell r="Y469">
            <v>55.337718447239929</v>
          </cell>
          <cell r="Z469">
            <v>55.337718447239929</v>
          </cell>
          <cell r="AA469">
            <v>55.337718447239929</v>
          </cell>
          <cell r="AB469">
            <v>55.337718447239929</v>
          </cell>
          <cell r="AC469">
            <v>55.337718447239929</v>
          </cell>
          <cell r="AD469">
            <v>55.337718447239929</v>
          </cell>
          <cell r="AE469">
            <v>55.337718447239929</v>
          </cell>
          <cell r="AF469">
            <v>55.337718447239929</v>
          </cell>
        </row>
        <row r="471">
          <cell r="A471" t="str">
            <v>Heifer Stockers</v>
          </cell>
          <cell r="B471">
            <v>1990</v>
          </cell>
          <cell r="C471">
            <v>1991</v>
          </cell>
          <cell r="D471">
            <v>1992</v>
          </cell>
          <cell r="E471">
            <v>1993</v>
          </cell>
          <cell r="F471">
            <v>1994</v>
          </cell>
          <cell r="G471">
            <v>1995</v>
          </cell>
          <cell r="H471">
            <v>1996</v>
          </cell>
          <cell r="I471">
            <v>1997</v>
          </cell>
          <cell r="J471">
            <v>1998</v>
          </cell>
          <cell r="K471">
            <v>1999</v>
          </cell>
          <cell r="L471">
            <v>2000</v>
          </cell>
          <cell r="M471">
            <v>2001</v>
          </cell>
          <cell r="N471">
            <v>2002</v>
          </cell>
          <cell r="O471">
            <v>2003</v>
          </cell>
          <cell r="P471">
            <v>2004</v>
          </cell>
          <cell r="Q471">
            <v>2005</v>
          </cell>
          <cell r="R471">
            <v>2006</v>
          </cell>
          <cell r="S471">
            <v>2007</v>
          </cell>
          <cell r="T471">
            <v>2008</v>
          </cell>
          <cell r="U471">
            <v>2009</v>
          </cell>
          <cell r="V471">
            <v>2010</v>
          </cell>
          <cell r="W471">
            <v>2011</v>
          </cell>
          <cell r="X471">
            <v>2012</v>
          </cell>
          <cell r="Y471">
            <v>2013</v>
          </cell>
          <cell r="Z471">
            <v>2014</v>
          </cell>
          <cell r="AA471">
            <v>2015</v>
          </cell>
          <cell r="AB471">
            <v>2016</v>
          </cell>
          <cell r="AC471">
            <v>2017</v>
          </cell>
          <cell r="AD471">
            <v>2018</v>
          </cell>
          <cell r="AE471">
            <v>2019</v>
          </cell>
          <cell r="AF471">
            <v>2020</v>
          </cell>
        </row>
        <row r="472">
          <cell r="A472" t="str">
            <v>Alabama</v>
          </cell>
          <cell r="B472">
            <v>51.979449321362694</v>
          </cell>
          <cell r="C472">
            <v>53.050068158848809</v>
          </cell>
          <cell r="D472">
            <v>53.883507233241389</v>
          </cell>
          <cell r="E472">
            <v>54.732434643991148</v>
          </cell>
          <cell r="F472">
            <v>55.552179828866734</v>
          </cell>
          <cell r="G472">
            <v>56.392357873839678</v>
          </cell>
          <cell r="H472">
            <v>56.913171901067045</v>
          </cell>
          <cell r="I472">
            <v>57.879217515934549</v>
          </cell>
          <cell r="J472">
            <v>58.47898995637518</v>
          </cell>
          <cell r="K472">
            <v>59.420668992092352</v>
          </cell>
          <cell r="L472">
            <v>60.664990397585406</v>
          </cell>
          <cell r="M472">
            <v>60.289223675177482</v>
          </cell>
          <cell r="N472">
            <v>60.471026641489445</v>
          </cell>
          <cell r="O472">
            <v>60.324168891580307</v>
          </cell>
          <cell r="P472">
            <v>59.746527230584832</v>
          </cell>
          <cell r="Q472">
            <v>60.016075619697673</v>
          </cell>
          <cell r="R472">
            <v>59.66256734985744</v>
          </cell>
          <cell r="S472">
            <v>59.647329126919054</v>
          </cell>
          <cell r="T472">
            <v>59.647329126919054</v>
          </cell>
          <cell r="U472">
            <v>59.647329126919054</v>
          </cell>
          <cell r="V472">
            <v>59.647329126919054</v>
          </cell>
          <cell r="W472">
            <v>59.647329126919054</v>
          </cell>
          <cell r="X472">
            <v>59.647329126919054</v>
          </cell>
          <cell r="Y472">
            <v>59.647329126919054</v>
          </cell>
          <cell r="Z472">
            <v>59.647329126919054</v>
          </cell>
          <cell r="AA472">
            <v>59.647329126919054</v>
          </cell>
          <cell r="AB472">
            <v>59.647329126919054</v>
          </cell>
          <cell r="AC472">
            <v>59.647329126919054</v>
          </cell>
          <cell r="AD472">
            <v>59.647329126919054</v>
          </cell>
          <cell r="AE472">
            <v>59.647329126919054</v>
          </cell>
          <cell r="AF472">
            <v>59.647329126919054</v>
          </cell>
        </row>
        <row r="473">
          <cell r="A473" t="str">
            <v>Alaska</v>
          </cell>
          <cell r="B473">
            <v>60.355744500716639</v>
          </cell>
          <cell r="C473">
            <v>61.643442036208427</v>
          </cell>
          <cell r="D473">
            <v>62.601061794867135</v>
          </cell>
          <cell r="E473">
            <v>63.601874362507353</v>
          </cell>
          <cell r="F473">
            <v>64.581887585139484</v>
          </cell>
          <cell r="G473">
            <v>65.564018022682376</v>
          </cell>
          <cell r="H473">
            <v>66.17674706835146</v>
          </cell>
          <cell r="I473">
            <v>67.35146192598188</v>
          </cell>
          <cell r="J473">
            <v>68.074367570983668</v>
          </cell>
          <cell r="K473">
            <v>69.226355638357361</v>
          </cell>
          <cell r="L473">
            <v>70.763880365246493</v>
          </cell>
          <cell r="M473">
            <v>70.2893784413167</v>
          </cell>
          <cell r="N473">
            <v>70.510519337620551</v>
          </cell>
          <cell r="O473">
            <v>70.350635600037961</v>
          </cell>
          <cell r="P473">
            <v>69.634480505372437</v>
          </cell>
          <cell r="Q473">
            <v>69.945873377051058</v>
          </cell>
          <cell r="R473">
            <v>69.496249077542004</v>
          </cell>
          <cell r="S473">
            <v>69.486421341696456</v>
          </cell>
          <cell r="T473">
            <v>69.486421341696456</v>
          </cell>
          <cell r="U473">
            <v>69.486421341696456</v>
          </cell>
          <cell r="V473">
            <v>69.486421341696456</v>
          </cell>
          <cell r="W473">
            <v>69.486421341696456</v>
          </cell>
          <cell r="X473">
            <v>69.486421341696456</v>
          </cell>
          <cell r="Y473">
            <v>69.486421341696456</v>
          </cell>
          <cell r="Z473">
            <v>69.486421341696456</v>
          </cell>
          <cell r="AA473">
            <v>69.486421341696456</v>
          </cell>
          <cell r="AB473">
            <v>69.486421341696456</v>
          </cell>
          <cell r="AC473">
            <v>69.486421341696456</v>
          </cell>
          <cell r="AD473">
            <v>69.486421341696456</v>
          </cell>
          <cell r="AE473">
            <v>69.486421341696456</v>
          </cell>
          <cell r="AF473">
            <v>69.486421341696456</v>
          </cell>
        </row>
        <row r="474">
          <cell r="A474" t="str">
            <v>Arizona</v>
          </cell>
          <cell r="B474">
            <v>60.355744500716646</v>
          </cell>
          <cell r="C474">
            <v>61.643442036208427</v>
          </cell>
          <cell r="D474">
            <v>62.601061794867128</v>
          </cell>
          <cell r="E474">
            <v>63.60187436250736</v>
          </cell>
          <cell r="F474">
            <v>64.581887585139484</v>
          </cell>
          <cell r="G474">
            <v>65.564018022682376</v>
          </cell>
          <cell r="H474">
            <v>66.17674706835146</v>
          </cell>
          <cell r="I474">
            <v>67.35146192598188</v>
          </cell>
          <cell r="J474">
            <v>68.07436757098364</v>
          </cell>
          <cell r="K474">
            <v>69.226355638357361</v>
          </cell>
          <cell r="L474">
            <v>70.763880365246479</v>
          </cell>
          <cell r="M474">
            <v>70.289378441316686</v>
          </cell>
          <cell r="N474">
            <v>70.510519337620565</v>
          </cell>
          <cell r="O474">
            <v>70.350635600037975</v>
          </cell>
          <cell r="P474">
            <v>69.634480505372437</v>
          </cell>
          <cell r="Q474">
            <v>69.945873377051058</v>
          </cell>
          <cell r="R474">
            <v>69.496249077541989</v>
          </cell>
          <cell r="S474">
            <v>69.486421341696456</v>
          </cell>
          <cell r="T474">
            <v>69.486421341696456</v>
          </cell>
          <cell r="U474">
            <v>69.486421341696456</v>
          </cell>
          <cell r="V474">
            <v>69.486421341696456</v>
          </cell>
          <cell r="W474">
            <v>69.486421341696456</v>
          </cell>
          <cell r="X474">
            <v>69.486421341696456</v>
          </cell>
          <cell r="Y474">
            <v>69.486421341696456</v>
          </cell>
          <cell r="Z474">
            <v>69.486421341696456</v>
          </cell>
          <cell r="AA474">
            <v>69.486421341696456</v>
          </cell>
          <cell r="AB474">
            <v>69.486421341696456</v>
          </cell>
          <cell r="AC474">
            <v>69.486421341696456</v>
          </cell>
          <cell r="AD474">
            <v>69.486421341696456</v>
          </cell>
          <cell r="AE474">
            <v>69.486421341696456</v>
          </cell>
          <cell r="AF474">
            <v>69.486421341696456</v>
          </cell>
        </row>
        <row r="475">
          <cell r="A475" t="str">
            <v>Arkansas</v>
          </cell>
          <cell r="B475">
            <v>51.893556974409798</v>
          </cell>
          <cell r="C475">
            <v>52.962027209478613</v>
          </cell>
          <cell r="D475">
            <v>53.794175325298667</v>
          </cell>
          <cell r="E475">
            <v>54.641571466942494</v>
          </cell>
          <cell r="F475">
            <v>55.459722147044928</v>
          </cell>
          <cell r="G475">
            <v>56.298455974904279</v>
          </cell>
          <cell r="H475">
            <v>56.818341357139644</v>
          </cell>
          <cell r="I475">
            <v>57.782339262541271</v>
          </cell>
          <cell r="J475">
            <v>58.380895057128228</v>
          </cell>
          <cell r="K475">
            <v>59.320519235170934</v>
          </cell>
          <cell r="L475">
            <v>60.561995027617449</v>
          </cell>
          <cell r="M475">
            <v>60.187174451017505</v>
          </cell>
          <cell r="N475">
            <v>60.36859147492919</v>
          </cell>
          <cell r="O475">
            <v>60.221885773000615</v>
          </cell>
          <cell r="P475">
            <v>59.645585567602254</v>
          </cell>
          <cell r="Q475">
            <v>59.914702109241382</v>
          </cell>
          <cell r="R475">
            <v>59.562111447157314</v>
          </cell>
          <cell r="S475">
            <v>59.546831404099677</v>
          </cell>
          <cell r="T475">
            <v>59.546831404099677</v>
          </cell>
          <cell r="U475">
            <v>59.546831404099677</v>
          </cell>
          <cell r="V475">
            <v>59.546831404099677</v>
          </cell>
          <cell r="W475">
            <v>59.546831404099677</v>
          </cell>
          <cell r="X475">
            <v>59.546831404099677</v>
          </cell>
          <cell r="Y475">
            <v>59.546831404099677</v>
          </cell>
          <cell r="Z475">
            <v>59.546831404099677</v>
          </cell>
          <cell r="AA475">
            <v>59.546831404099677</v>
          </cell>
          <cell r="AB475">
            <v>59.546831404099677</v>
          </cell>
          <cell r="AC475">
            <v>59.546831404099677</v>
          </cell>
          <cell r="AD475">
            <v>59.546831404099677</v>
          </cell>
          <cell r="AE475">
            <v>59.546831404099677</v>
          </cell>
          <cell r="AF475">
            <v>59.546831404099677</v>
          </cell>
        </row>
        <row r="476">
          <cell r="A476" t="str">
            <v>California</v>
          </cell>
          <cell r="B476">
            <v>51.277160942251378</v>
          </cell>
          <cell r="C476">
            <v>52.330257599300396</v>
          </cell>
          <cell r="D476">
            <v>53.153130942549566</v>
          </cell>
          <cell r="E476">
            <v>53.989553557534201</v>
          </cell>
          <cell r="F476">
            <v>54.79629030313744</v>
          </cell>
          <cell r="G476">
            <v>55.624666597819477</v>
          </cell>
          <cell r="H476">
            <v>56.137895848539713</v>
          </cell>
          <cell r="I476">
            <v>57.08725286396519</v>
          </cell>
          <cell r="J476">
            <v>57.677104655873904</v>
          </cell>
          <cell r="K476">
            <v>58.602042343836892</v>
          </cell>
          <cell r="L476">
            <v>59.823191818439767</v>
          </cell>
          <cell r="M476">
            <v>59.455122057016446</v>
          </cell>
          <cell r="N476">
            <v>59.633779690771874</v>
          </cell>
          <cell r="O476">
            <v>59.488176034246408</v>
          </cell>
          <cell r="P476">
            <v>58.921456118484457</v>
          </cell>
          <cell r="Q476">
            <v>59.187471929062475</v>
          </cell>
          <cell r="R476">
            <v>58.841426291675795</v>
          </cell>
          <cell r="S476">
            <v>58.82585418388441</v>
          </cell>
          <cell r="T476">
            <v>58.82585418388441</v>
          </cell>
          <cell r="U476">
            <v>58.82585418388441</v>
          </cell>
          <cell r="V476">
            <v>58.82585418388441</v>
          </cell>
          <cell r="W476">
            <v>58.82585418388441</v>
          </cell>
          <cell r="X476">
            <v>58.82585418388441</v>
          </cell>
          <cell r="Y476">
            <v>58.82585418388441</v>
          </cell>
          <cell r="Z476">
            <v>58.82585418388441</v>
          </cell>
          <cell r="AA476">
            <v>58.82585418388441</v>
          </cell>
          <cell r="AB476">
            <v>58.82585418388441</v>
          </cell>
          <cell r="AC476">
            <v>58.82585418388441</v>
          </cell>
          <cell r="AD476">
            <v>58.82585418388441</v>
          </cell>
          <cell r="AE476">
            <v>58.82585418388441</v>
          </cell>
          <cell r="AF476">
            <v>58.82585418388441</v>
          </cell>
        </row>
        <row r="477">
          <cell r="A477" t="str">
            <v>Colorado</v>
          </cell>
          <cell r="B477">
            <v>49.73866799405878</v>
          </cell>
          <cell r="C477">
            <v>50.753741780928216</v>
          </cell>
          <cell r="D477">
            <v>51.553386500169673</v>
          </cell>
          <cell r="E477">
            <v>52.362537841704494</v>
          </cell>
          <cell r="F477">
            <v>53.141006522540529</v>
          </cell>
          <cell r="G477">
            <v>53.9435823081064</v>
          </cell>
          <cell r="H477">
            <v>54.440260730178316</v>
          </cell>
          <cell r="I477">
            <v>55.353489719321793</v>
          </cell>
          <cell r="J477">
            <v>55.921824090014773</v>
          </cell>
          <cell r="K477">
            <v>56.810563514376575</v>
          </cell>
          <cell r="L477">
            <v>57.981705159721329</v>
          </cell>
          <cell r="M477">
            <v>57.630186168578057</v>
          </cell>
          <cell r="N477">
            <v>57.802035115500843</v>
          </cell>
          <cell r="O477">
            <v>57.659265403503007</v>
          </cell>
          <cell r="P477">
            <v>57.116101747184906</v>
          </cell>
          <cell r="Q477">
            <v>57.374365826359394</v>
          </cell>
          <cell r="R477">
            <v>57.044349740825368</v>
          </cell>
          <cell r="S477">
            <v>57.02811023656151</v>
          </cell>
          <cell r="T477">
            <v>57.02811023656151</v>
          </cell>
          <cell r="U477">
            <v>57.02811023656151</v>
          </cell>
          <cell r="V477">
            <v>57.02811023656151</v>
          </cell>
          <cell r="W477">
            <v>57.02811023656151</v>
          </cell>
          <cell r="X477">
            <v>57.02811023656151</v>
          </cell>
          <cell r="Y477">
            <v>57.02811023656151</v>
          </cell>
          <cell r="Z477">
            <v>57.02811023656151</v>
          </cell>
          <cell r="AA477">
            <v>57.02811023656151</v>
          </cell>
          <cell r="AB477">
            <v>57.02811023656151</v>
          </cell>
          <cell r="AC477">
            <v>57.02811023656151</v>
          </cell>
          <cell r="AD477">
            <v>57.02811023656151</v>
          </cell>
          <cell r="AE477">
            <v>57.02811023656151</v>
          </cell>
          <cell r="AF477">
            <v>57.02811023656151</v>
          </cell>
        </row>
        <row r="478">
          <cell r="A478" t="str">
            <v>Connecticut</v>
          </cell>
          <cell r="B478">
            <v>51.507346470917888</v>
          </cell>
          <cell r="C478">
            <v>52.566174827701303</v>
          </cell>
          <cell r="D478">
            <v>53.392513851233801</v>
          </cell>
          <cell r="E478">
            <v>55.666202130738306</v>
          </cell>
          <cell r="F478">
            <v>55.666202130738306</v>
          </cell>
          <cell r="G478">
            <v>55.666202130738306</v>
          </cell>
          <cell r="H478">
            <v>55.666202130738306</v>
          </cell>
          <cell r="I478">
            <v>55.666202130738306</v>
          </cell>
          <cell r="J478">
            <v>57.939890410242811</v>
          </cell>
          <cell r="K478">
            <v>58.870300265887622</v>
          </cell>
          <cell r="L478">
            <v>60.099020852509334</v>
          </cell>
          <cell r="M478">
            <v>59.728438115808416</v>
          </cell>
          <cell r="N478">
            <v>59.908124097214348</v>
          </cell>
          <cell r="O478">
            <v>59.762106656712746</v>
          </cell>
          <cell r="P478">
            <v>59.191818657974089</v>
          </cell>
          <cell r="Q478">
            <v>59.458992733508495</v>
          </cell>
          <cell r="R478">
            <v>59.110511174382168</v>
          </cell>
          <cell r="S478">
            <v>59.095046479496148</v>
          </cell>
          <cell r="T478">
            <v>59.095046479496148</v>
          </cell>
          <cell r="U478">
            <v>59.095046479496148</v>
          </cell>
          <cell r="V478">
            <v>59.095046479496148</v>
          </cell>
          <cell r="W478">
            <v>59.095046479496148</v>
          </cell>
          <cell r="X478">
            <v>59.095046479496148</v>
          </cell>
          <cell r="Y478">
            <v>59.095046479496148</v>
          </cell>
          <cell r="Z478">
            <v>59.095046479496148</v>
          </cell>
          <cell r="AA478">
            <v>59.095046479496148</v>
          </cell>
          <cell r="AB478">
            <v>59.095046479496148</v>
          </cell>
          <cell r="AC478">
            <v>59.095046479496148</v>
          </cell>
          <cell r="AD478">
            <v>59.095046479496148</v>
          </cell>
          <cell r="AE478">
            <v>59.095046479496148</v>
          </cell>
          <cell r="AF478">
            <v>59.095046479496148</v>
          </cell>
        </row>
        <row r="479">
          <cell r="A479" t="str">
            <v>Delaware</v>
          </cell>
          <cell r="B479">
            <v>51.507346470917888</v>
          </cell>
          <cell r="C479">
            <v>52.566174827701303</v>
          </cell>
          <cell r="D479">
            <v>53.392513851233801</v>
          </cell>
          <cell r="E479">
            <v>54.233031221270977</v>
          </cell>
          <cell r="F479">
            <v>55.044024433536919</v>
          </cell>
          <cell r="G479">
            <v>55.876267241341907</v>
          </cell>
          <cell r="H479">
            <v>56.391980461947057</v>
          </cell>
          <cell r="I479">
            <v>57.346793787464087</v>
          </cell>
          <cell r="J479">
            <v>57.939890410242811</v>
          </cell>
          <cell r="K479">
            <v>58.870300265887622</v>
          </cell>
          <cell r="L479">
            <v>60.099020852509334</v>
          </cell>
          <cell r="M479">
            <v>59.728438115808416</v>
          </cell>
          <cell r="N479">
            <v>59.908124097214333</v>
          </cell>
          <cell r="O479">
            <v>59.762106656712746</v>
          </cell>
          <cell r="P479">
            <v>59.191818657974096</v>
          </cell>
          <cell r="Q479">
            <v>59.458992733508509</v>
          </cell>
          <cell r="R479">
            <v>59.110511174382175</v>
          </cell>
          <cell r="S479">
            <v>59.095046479496155</v>
          </cell>
          <cell r="T479">
            <v>59.095046479496155</v>
          </cell>
          <cell r="U479">
            <v>59.095046479496155</v>
          </cell>
          <cell r="V479">
            <v>59.095046479496155</v>
          </cell>
          <cell r="W479">
            <v>59.095046479496155</v>
          </cell>
          <cell r="X479">
            <v>59.095046479496155</v>
          </cell>
          <cell r="Y479">
            <v>59.095046479496155</v>
          </cell>
          <cell r="Z479">
            <v>59.095046479496155</v>
          </cell>
          <cell r="AA479">
            <v>59.095046479496155</v>
          </cell>
          <cell r="AB479">
            <v>59.095046479496155</v>
          </cell>
          <cell r="AC479">
            <v>59.095046479496155</v>
          </cell>
          <cell r="AD479">
            <v>59.095046479496155</v>
          </cell>
          <cell r="AE479">
            <v>59.095046479496155</v>
          </cell>
          <cell r="AF479">
            <v>59.095046479496155</v>
          </cell>
        </row>
        <row r="480">
          <cell r="A480" t="str">
            <v>Florida</v>
          </cell>
          <cell r="B480">
            <v>51.979449321362686</v>
          </cell>
          <cell r="C480">
            <v>53.050068158848809</v>
          </cell>
          <cell r="D480">
            <v>53.883507233241389</v>
          </cell>
          <cell r="E480">
            <v>54.732434643991141</v>
          </cell>
          <cell r="F480">
            <v>55.552179828866727</v>
          </cell>
          <cell r="G480">
            <v>56.392357873839678</v>
          </cell>
          <cell r="H480">
            <v>56.913171901067024</v>
          </cell>
          <cell r="I480">
            <v>57.879217515934535</v>
          </cell>
          <cell r="J480">
            <v>58.478989956375187</v>
          </cell>
          <cell r="K480">
            <v>59.420668992092352</v>
          </cell>
          <cell r="L480">
            <v>60.664990397585406</v>
          </cell>
          <cell r="M480">
            <v>60.289223675177482</v>
          </cell>
          <cell r="N480">
            <v>60.471026641489438</v>
          </cell>
          <cell r="O480">
            <v>60.324168891580321</v>
          </cell>
          <cell r="P480">
            <v>59.746527230584839</v>
          </cell>
          <cell r="Q480">
            <v>60.016075619697681</v>
          </cell>
          <cell r="R480">
            <v>59.66256734985744</v>
          </cell>
          <cell r="S480">
            <v>59.647329126919054</v>
          </cell>
          <cell r="T480">
            <v>59.647329126919054</v>
          </cell>
          <cell r="U480">
            <v>59.647329126919054</v>
          </cell>
          <cell r="V480">
            <v>59.647329126919054</v>
          </cell>
          <cell r="W480">
            <v>59.647329126919054</v>
          </cell>
          <cell r="X480">
            <v>59.647329126919054</v>
          </cell>
          <cell r="Y480">
            <v>59.647329126919054</v>
          </cell>
          <cell r="Z480">
            <v>59.647329126919054</v>
          </cell>
          <cell r="AA480">
            <v>59.647329126919054</v>
          </cell>
          <cell r="AB480">
            <v>59.647329126919054</v>
          </cell>
          <cell r="AC480">
            <v>59.647329126919054</v>
          </cell>
          <cell r="AD480">
            <v>59.647329126919054</v>
          </cell>
          <cell r="AE480">
            <v>59.647329126919054</v>
          </cell>
          <cell r="AF480">
            <v>59.647329126919054</v>
          </cell>
        </row>
        <row r="481">
          <cell r="A481" t="str">
            <v>Georgia</v>
          </cell>
          <cell r="B481">
            <v>51.979449321362686</v>
          </cell>
          <cell r="C481">
            <v>53.050068158848816</v>
          </cell>
          <cell r="D481">
            <v>53.883507233241389</v>
          </cell>
          <cell r="E481">
            <v>54.732434643991148</v>
          </cell>
          <cell r="F481">
            <v>55.552179828866734</v>
          </cell>
          <cell r="G481">
            <v>56.392357873839664</v>
          </cell>
          <cell r="H481">
            <v>56.913171901067038</v>
          </cell>
          <cell r="I481">
            <v>57.879217515934521</v>
          </cell>
          <cell r="J481">
            <v>58.478989956375173</v>
          </cell>
          <cell r="K481">
            <v>59.420668992092359</v>
          </cell>
          <cell r="L481">
            <v>60.66499039758542</v>
          </cell>
          <cell r="M481">
            <v>60.289223675177475</v>
          </cell>
          <cell r="N481">
            <v>60.471026641489424</v>
          </cell>
          <cell r="O481">
            <v>60.324168891580321</v>
          </cell>
          <cell r="P481">
            <v>59.746527230584839</v>
          </cell>
          <cell r="Q481">
            <v>60.016075619697681</v>
          </cell>
          <cell r="R481">
            <v>59.662567349857454</v>
          </cell>
          <cell r="S481">
            <v>59.647329126919061</v>
          </cell>
          <cell r="T481">
            <v>59.647329126919061</v>
          </cell>
          <cell r="U481">
            <v>59.647329126919061</v>
          </cell>
          <cell r="V481">
            <v>59.647329126919061</v>
          </cell>
          <cell r="W481">
            <v>59.647329126919061</v>
          </cell>
          <cell r="X481">
            <v>59.647329126919061</v>
          </cell>
          <cell r="Y481">
            <v>59.647329126919061</v>
          </cell>
          <cell r="Z481">
            <v>59.647329126919061</v>
          </cell>
          <cell r="AA481">
            <v>59.647329126919061</v>
          </cell>
          <cell r="AB481">
            <v>59.647329126919061</v>
          </cell>
          <cell r="AC481">
            <v>59.647329126919061</v>
          </cell>
          <cell r="AD481">
            <v>59.647329126919061</v>
          </cell>
          <cell r="AE481">
            <v>59.647329126919061</v>
          </cell>
          <cell r="AF481">
            <v>59.647329126919061</v>
          </cell>
        </row>
        <row r="482">
          <cell r="A482" t="str">
            <v>Hawaii</v>
          </cell>
          <cell r="B482">
            <v>60.355744500716639</v>
          </cell>
          <cell r="C482">
            <v>61.643442036208434</v>
          </cell>
          <cell r="D482">
            <v>62.601061794867128</v>
          </cell>
          <cell r="E482">
            <v>63.601874362507345</v>
          </cell>
          <cell r="F482">
            <v>64.581887585139469</v>
          </cell>
          <cell r="G482">
            <v>65.56401802268239</v>
          </cell>
          <cell r="H482">
            <v>66.176747068351474</v>
          </cell>
          <cell r="I482">
            <v>67.351461925981866</v>
          </cell>
          <cell r="J482">
            <v>68.074367570983654</v>
          </cell>
          <cell r="K482">
            <v>69.226355638357376</v>
          </cell>
          <cell r="L482">
            <v>70.763880365246493</v>
          </cell>
          <cell r="M482">
            <v>70.289378441316671</v>
          </cell>
          <cell r="N482">
            <v>70.510519337620551</v>
          </cell>
          <cell r="O482">
            <v>70.350635600037961</v>
          </cell>
          <cell r="P482">
            <v>69.634480505372423</v>
          </cell>
          <cell r="Q482">
            <v>69.945873377051043</v>
          </cell>
          <cell r="R482">
            <v>69.496249077542004</v>
          </cell>
          <cell r="S482">
            <v>69.486421341696456</v>
          </cell>
          <cell r="T482">
            <v>69.486421341696456</v>
          </cell>
          <cell r="U482">
            <v>69.486421341696456</v>
          </cell>
          <cell r="V482">
            <v>69.486421341696456</v>
          </cell>
          <cell r="W482">
            <v>69.486421341696456</v>
          </cell>
          <cell r="X482">
            <v>69.486421341696456</v>
          </cell>
          <cell r="Y482">
            <v>69.486421341696456</v>
          </cell>
          <cell r="Z482">
            <v>69.486421341696456</v>
          </cell>
          <cell r="AA482">
            <v>69.486421341696456</v>
          </cell>
          <cell r="AB482">
            <v>69.486421341696456</v>
          </cell>
          <cell r="AC482">
            <v>69.486421341696456</v>
          </cell>
          <cell r="AD482">
            <v>69.486421341696456</v>
          </cell>
          <cell r="AE482">
            <v>69.486421341696456</v>
          </cell>
          <cell r="AF482">
            <v>69.486421341696456</v>
          </cell>
        </row>
        <row r="483">
          <cell r="A483" t="str">
            <v>Idaho</v>
          </cell>
          <cell r="B483">
            <v>60.355744500716639</v>
          </cell>
          <cell r="C483">
            <v>61.643442036208413</v>
          </cell>
          <cell r="D483">
            <v>62.601061794867128</v>
          </cell>
          <cell r="E483">
            <v>63.601874362507353</v>
          </cell>
          <cell r="F483">
            <v>64.581887585139484</v>
          </cell>
          <cell r="G483">
            <v>65.564018022682362</v>
          </cell>
          <cell r="H483">
            <v>66.17674706835146</v>
          </cell>
          <cell r="I483">
            <v>67.351461925981866</v>
          </cell>
          <cell r="J483">
            <v>68.074367570983654</v>
          </cell>
          <cell r="K483">
            <v>69.226355638357361</v>
          </cell>
          <cell r="L483">
            <v>70.763880365246479</v>
          </cell>
          <cell r="M483">
            <v>70.289378441316686</v>
          </cell>
          <cell r="N483">
            <v>70.510519337620565</v>
          </cell>
          <cell r="O483">
            <v>70.35063560003799</v>
          </cell>
          <cell r="P483">
            <v>69.634480505372451</v>
          </cell>
          <cell r="Q483">
            <v>69.945873377051043</v>
          </cell>
          <cell r="R483">
            <v>69.496249077541989</v>
          </cell>
          <cell r="S483">
            <v>69.486421341696456</v>
          </cell>
          <cell r="T483">
            <v>69.486421341696456</v>
          </cell>
          <cell r="U483">
            <v>69.486421341696456</v>
          </cell>
          <cell r="V483">
            <v>69.486421341696456</v>
          </cell>
          <cell r="W483">
            <v>69.486421341696456</v>
          </cell>
          <cell r="X483">
            <v>69.486421341696456</v>
          </cell>
          <cell r="Y483">
            <v>69.486421341696456</v>
          </cell>
          <cell r="Z483">
            <v>69.486421341696456</v>
          </cell>
          <cell r="AA483">
            <v>69.486421341696456</v>
          </cell>
          <cell r="AB483">
            <v>69.486421341696456</v>
          </cell>
          <cell r="AC483">
            <v>69.486421341696456</v>
          </cell>
          <cell r="AD483">
            <v>69.486421341696456</v>
          </cell>
          <cell r="AE483">
            <v>69.486421341696456</v>
          </cell>
          <cell r="AF483">
            <v>69.486421341696456</v>
          </cell>
        </row>
        <row r="484">
          <cell r="A484" t="str">
            <v>Illinois</v>
          </cell>
          <cell r="B484">
            <v>51.516531667643655</v>
          </cell>
          <cell r="C484">
            <v>52.575588964124989</v>
          </cell>
          <cell r="D484">
            <v>53.40206622910037</v>
          </cell>
          <cell r="E484">
            <v>54.242747070202142</v>
          </cell>
          <cell r="F484">
            <v>55.053910272499152</v>
          </cell>
          <cell r="G484">
            <v>55.886307400666077</v>
          </cell>
          <cell r="H484">
            <v>56.402119780598021</v>
          </cell>
          <cell r="I484">
            <v>57.357151099470606</v>
          </cell>
          <cell r="J484">
            <v>57.950377335998276</v>
          </cell>
          <cell r="K484">
            <v>58.8810058458957</v>
          </cell>
          <cell r="L484">
            <v>60.110029014307202</v>
          </cell>
          <cell r="M484">
            <v>59.739345808306901</v>
          </cell>
          <cell r="N484">
            <v>59.919072875064977</v>
          </cell>
          <cell r="O484">
            <v>59.773038976912481</v>
          </cell>
          <cell r="P484">
            <v>59.202608369821995</v>
          </cell>
          <cell r="Q484">
            <v>59.469828656079251</v>
          </cell>
          <cell r="R484">
            <v>59.121249697466141</v>
          </cell>
          <cell r="S484">
            <v>59.105789328469477</v>
          </cell>
          <cell r="T484">
            <v>59.105789328469477</v>
          </cell>
          <cell r="U484">
            <v>59.105789328469477</v>
          </cell>
          <cell r="V484">
            <v>59.105789328469477</v>
          </cell>
          <cell r="W484">
            <v>59.105789328469477</v>
          </cell>
          <cell r="X484">
            <v>59.105789328469477</v>
          </cell>
          <cell r="Y484">
            <v>59.105789328469477</v>
          </cell>
          <cell r="Z484">
            <v>59.105789328469477</v>
          </cell>
          <cell r="AA484">
            <v>59.105789328469477</v>
          </cell>
          <cell r="AB484">
            <v>59.105789328469477</v>
          </cell>
          <cell r="AC484">
            <v>59.105789328469477</v>
          </cell>
          <cell r="AD484">
            <v>59.105789328469477</v>
          </cell>
          <cell r="AE484">
            <v>59.105789328469477</v>
          </cell>
          <cell r="AF484">
            <v>59.105789328469477</v>
          </cell>
        </row>
        <row r="485">
          <cell r="A485" t="str">
            <v>Indiana</v>
          </cell>
          <cell r="B485">
            <v>51.516531667643648</v>
          </cell>
          <cell r="C485">
            <v>52.575588964124996</v>
          </cell>
          <cell r="D485">
            <v>53.402066229100399</v>
          </cell>
          <cell r="E485">
            <v>54.242747070202135</v>
          </cell>
          <cell r="F485">
            <v>55.053910272499174</v>
          </cell>
          <cell r="G485">
            <v>55.886307400666084</v>
          </cell>
          <cell r="H485">
            <v>56.402119780598021</v>
          </cell>
          <cell r="I485">
            <v>57.357151099470613</v>
          </cell>
          <cell r="J485">
            <v>57.950377335998276</v>
          </cell>
          <cell r="K485">
            <v>58.881005845895693</v>
          </cell>
          <cell r="L485">
            <v>60.110029014307223</v>
          </cell>
          <cell r="M485">
            <v>59.739345808306908</v>
          </cell>
          <cell r="N485">
            <v>59.919072875064991</v>
          </cell>
          <cell r="O485">
            <v>59.773038976912481</v>
          </cell>
          <cell r="P485">
            <v>59.202608369821995</v>
          </cell>
          <cell r="Q485">
            <v>59.469828656079244</v>
          </cell>
          <cell r="R485">
            <v>59.121249697466162</v>
          </cell>
          <cell r="S485">
            <v>59.105789328469477</v>
          </cell>
          <cell r="T485">
            <v>59.105789328469477</v>
          </cell>
          <cell r="U485">
            <v>59.105789328469477</v>
          </cell>
          <cell r="V485">
            <v>59.105789328469477</v>
          </cell>
          <cell r="W485">
            <v>59.105789328469477</v>
          </cell>
          <cell r="X485">
            <v>59.105789328469477</v>
          </cell>
          <cell r="Y485">
            <v>59.105789328469477</v>
          </cell>
          <cell r="Z485">
            <v>59.105789328469477</v>
          </cell>
          <cell r="AA485">
            <v>59.105789328469477</v>
          </cell>
          <cell r="AB485">
            <v>59.105789328469477</v>
          </cell>
          <cell r="AC485">
            <v>59.105789328469477</v>
          </cell>
          <cell r="AD485">
            <v>59.105789328469477</v>
          </cell>
          <cell r="AE485">
            <v>59.105789328469477</v>
          </cell>
          <cell r="AF485">
            <v>59.105789328469477</v>
          </cell>
        </row>
        <row r="486">
          <cell r="A486" t="str">
            <v>Iowa</v>
          </cell>
          <cell r="B486">
            <v>51.516531667643648</v>
          </cell>
          <cell r="C486">
            <v>52.575588964124989</v>
          </cell>
          <cell r="D486">
            <v>53.402066229100377</v>
          </cell>
          <cell r="E486">
            <v>54.242747070202128</v>
          </cell>
          <cell r="F486">
            <v>55.053910272499166</v>
          </cell>
          <cell r="G486">
            <v>55.886307400666091</v>
          </cell>
          <cell r="H486">
            <v>56.402119780598014</v>
          </cell>
          <cell r="I486">
            <v>57.357151099470613</v>
          </cell>
          <cell r="J486">
            <v>57.950377335998276</v>
          </cell>
          <cell r="K486">
            <v>58.881005845895693</v>
          </cell>
          <cell r="L486">
            <v>60.110029014307216</v>
          </cell>
          <cell r="M486">
            <v>59.739345808306915</v>
          </cell>
          <cell r="N486">
            <v>59.919072875064977</v>
          </cell>
          <cell r="O486">
            <v>59.773038976912474</v>
          </cell>
          <cell r="P486">
            <v>59.202608369821988</v>
          </cell>
          <cell r="Q486">
            <v>59.469828656079237</v>
          </cell>
          <cell r="R486">
            <v>59.121249697466155</v>
          </cell>
          <cell r="S486">
            <v>59.105789328469484</v>
          </cell>
          <cell r="T486">
            <v>59.105789328469484</v>
          </cell>
          <cell r="U486">
            <v>59.105789328469484</v>
          </cell>
          <cell r="V486">
            <v>59.105789328469484</v>
          </cell>
          <cell r="W486">
            <v>59.105789328469484</v>
          </cell>
          <cell r="X486">
            <v>59.105789328469484</v>
          </cell>
          <cell r="Y486">
            <v>59.105789328469484</v>
          </cell>
          <cell r="Z486">
            <v>59.105789328469484</v>
          </cell>
          <cell r="AA486">
            <v>59.105789328469484</v>
          </cell>
          <cell r="AB486">
            <v>59.105789328469484</v>
          </cell>
          <cell r="AC486">
            <v>59.105789328469484</v>
          </cell>
          <cell r="AD486">
            <v>59.105789328469484</v>
          </cell>
          <cell r="AE486">
            <v>59.105789328469484</v>
          </cell>
          <cell r="AF486">
            <v>59.105789328469484</v>
          </cell>
        </row>
        <row r="487">
          <cell r="A487" t="str">
            <v>Kansas</v>
          </cell>
          <cell r="B487">
            <v>49.738667994058787</v>
          </cell>
          <cell r="C487">
            <v>50.753741780928216</v>
          </cell>
          <cell r="D487">
            <v>51.55338650016968</v>
          </cell>
          <cell r="E487">
            <v>52.362537841704494</v>
          </cell>
          <cell r="F487">
            <v>53.141006522540529</v>
          </cell>
          <cell r="G487">
            <v>53.943582308106393</v>
          </cell>
          <cell r="H487">
            <v>54.440260730178323</v>
          </cell>
          <cell r="I487">
            <v>55.353489719321786</v>
          </cell>
          <cell r="J487">
            <v>55.92182409001478</v>
          </cell>
          <cell r="K487">
            <v>56.810563514376582</v>
          </cell>
          <cell r="L487">
            <v>57.981705159721322</v>
          </cell>
          <cell r="M487">
            <v>57.630186168578035</v>
          </cell>
          <cell r="N487">
            <v>57.802035115500814</v>
          </cell>
          <cell r="O487">
            <v>57.659265403503021</v>
          </cell>
          <cell r="P487">
            <v>57.116101747184892</v>
          </cell>
          <cell r="Q487">
            <v>57.374365826359401</v>
          </cell>
          <cell r="R487">
            <v>57.044349740825353</v>
          </cell>
          <cell r="S487">
            <v>57.028110236561517</v>
          </cell>
          <cell r="T487">
            <v>57.028110236561517</v>
          </cell>
          <cell r="U487">
            <v>57.028110236561517</v>
          </cell>
          <cell r="V487">
            <v>57.028110236561517</v>
          </cell>
          <cell r="W487">
            <v>57.028110236561517</v>
          </cell>
          <cell r="X487">
            <v>57.028110236561517</v>
          </cell>
          <cell r="Y487">
            <v>57.028110236561517</v>
          </cell>
          <cell r="Z487">
            <v>57.028110236561517</v>
          </cell>
          <cell r="AA487">
            <v>57.028110236561517</v>
          </cell>
          <cell r="AB487">
            <v>57.028110236561517</v>
          </cell>
          <cell r="AC487">
            <v>57.028110236561517</v>
          </cell>
          <cell r="AD487">
            <v>57.028110236561517</v>
          </cell>
          <cell r="AE487">
            <v>57.028110236561517</v>
          </cell>
          <cell r="AF487">
            <v>57.028110236561517</v>
          </cell>
        </row>
        <row r="488">
          <cell r="A488" t="str">
            <v>Kentucky</v>
          </cell>
          <cell r="B488">
            <v>51.979449321362672</v>
          </cell>
          <cell r="C488">
            <v>53.050068158848809</v>
          </cell>
          <cell r="D488">
            <v>53.883507233241389</v>
          </cell>
          <cell r="E488">
            <v>54.732434643991134</v>
          </cell>
          <cell r="F488">
            <v>55.552179828866727</v>
          </cell>
          <cell r="G488">
            <v>56.392357873839671</v>
          </cell>
          <cell r="H488">
            <v>56.913171901067038</v>
          </cell>
          <cell r="I488">
            <v>57.879217515934535</v>
          </cell>
          <cell r="J488">
            <v>58.478989956375187</v>
          </cell>
          <cell r="K488">
            <v>59.420668992092345</v>
          </cell>
          <cell r="L488">
            <v>60.664990397585427</v>
          </cell>
          <cell r="M488">
            <v>60.289223675177482</v>
          </cell>
          <cell r="N488">
            <v>60.471026641489438</v>
          </cell>
          <cell r="O488">
            <v>60.324168891580307</v>
          </cell>
          <cell r="P488">
            <v>59.746527230584846</v>
          </cell>
          <cell r="Q488">
            <v>60.016075619697695</v>
          </cell>
          <cell r="R488">
            <v>59.662567349857447</v>
          </cell>
          <cell r="S488">
            <v>59.647329126919054</v>
          </cell>
          <cell r="T488">
            <v>59.647329126919054</v>
          </cell>
          <cell r="U488">
            <v>59.647329126919054</v>
          </cell>
          <cell r="V488">
            <v>59.647329126919054</v>
          </cell>
          <cell r="W488">
            <v>59.647329126919054</v>
          </cell>
          <cell r="X488">
            <v>59.647329126919054</v>
          </cell>
          <cell r="Y488">
            <v>59.647329126919054</v>
          </cell>
          <cell r="Z488">
            <v>59.647329126919054</v>
          </cell>
          <cell r="AA488">
            <v>59.647329126919054</v>
          </cell>
          <cell r="AB488">
            <v>59.647329126919054</v>
          </cell>
          <cell r="AC488">
            <v>59.647329126919054</v>
          </cell>
          <cell r="AD488">
            <v>59.647329126919054</v>
          </cell>
          <cell r="AE488">
            <v>59.647329126919054</v>
          </cell>
          <cell r="AF488">
            <v>59.647329126919054</v>
          </cell>
        </row>
        <row r="489">
          <cell r="A489" t="str">
            <v>Louisiana</v>
          </cell>
          <cell r="B489">
            <v>51.893556974409783</v>
          </cell>
          <cell r="C489">
            <v>52.962027209478606</v>
          </cell>
          <cell r="D489">
            <v>53.794175325298667</v>
          </cell>
          <cell r="E489">
            <v>54.641571466942501</v>
          </cell>
          <cell r="F489">
            <v>55.459722147044943</v>
          </cell>
          <cell r="G489">
            <v>56.298455974904293</v>
          </cell>
          <cell r="H489">
            <v>56.818341357139637</v>
          </cell>
          <cell r="I489">
            <v>57.782339262541271</v>
          </cell>
          <cell r="J489">
            <v>58.380895057128221</v>
          </cell>
          <cell r="K489">
            <v>59.320519235170941</v>
          </cell>
          <cell r="L489">
            <v>60.561995027617442</v>
          </cell>
          <cell r="M489">
            <v>60.187174451017519</v>
          </cell>
          <cell r="N489">
            <v>60.368591474929204</v>
          </cell>
          <cell r="O489">
            <v>60.221885773000622</v>
          </cell>
          <cell r="P489">
            <v>59.64558556760224</v>
          </cell>
          <cell r="Q489">
            <v>59.914702109241375</v>
          </cell>
          <cell r="R489">
            <v>59.562111447157314</v>
          </cell>
          <cell r="S489">
            <v>59.546831404099684</v>
          </cell>
          <cell r="T489">
            <v>59.546831404099684</v>
          </cell>
          <cell r="U489">
            <v>59.546831404099684</v>
          </cell>
          <cell r="V489">
            <v>59.546831404099684</v>
          </cell>
          <cell r="W489">
            <v>59.546831404099684</v>
          </cell>
          <cell r="X489">
            <v>59.546831404099684</v>
          </cell>
          <cell r="Y489">
            <v>59.546831404099684</v>
          </cell>
          <cell r="Z489">
            <v>59.546831404099684</v>
          </cell>
          <cell r="AA489">
            <v>59.546831404099684</v>
          </cell>
          <cell r="AB489">
            <v>59.546831404099684</v>
          </cell>
          <cell r="AC489">
            <v>59.546831404099684</v>
          </cell>
          <cell r="AD489">
            <v>59.546831404099684</v>
          </cell>
          <cell r="AE489">
            <v>59.546831404099684</v>
          </cell>
          <cell r="AF489">
            <v>59.546831404099684</v>
          </cell>
        </row>
        <row r="490">
          <cell r="A490" t="str">
            <v>Maine</v>
          </cell>
          <cell r="B490">
            <v>51.507346470917888</v>
          </cell>
          <cell r="C490">
            <v>52.56617482770131</v>
          </cell>
          <cell r="D490">
            <v>53.392513851233801</v>
          </cell>
          <cell r="E490">
            <v>54.233031221270977</v>
          </cell>
          <cell r="F490">
            <v>55.044024433536919</v>
          </cell>
          <cell r="G490">
            <v>55.876267241341907</v>
          </cell>
          <cell r="H490">
            <v>56.391980461947057</v>
          </cell>
          <cell r="I490">
            <v>57.346793787464087</v>
          </cell>
          <cell r="J490">
            <v>57.939890410242811</v>
          </cell>
          <cell r="K490">
            <v>58.870300265887622</v>
          </cell>
          <cell r="L490">
            <v>60.099020852509334</v>
          </cell>
          <cell r="M490">
            <v>59.728438115808416</v>
          </cell>
          <cell r="N490">
            <v>59.908124097214348</v>
          </cell>
          <cell r="O490">
            <v>59.762106656712746</v>
          </cell>
          <cell r="P490">
            <v>59.191818657974089</v>
          </cell>
          <cell r="Q490">
            <v>59.458992733508509</v>
          </cell>
          <cell r="R490">
            <v>59.110511174382168</v>
          </cell>
          <cell r="S490">
            <v>59.095046479496148</v>
          </cell>
          <cell r="T490">
            <v>59.095046479496148</v>
          </cell>
          <cell r="U490">
            <v>59.095046479496148</v>
          </cell>
          <cell r="V490">
            <v>59.095046479496148</v>
          </cell>
          <cell r="W490">
            <v>59.095046479496148</v>
          </cell>
          <cell r="X490">
            <v>59.095046479496148</v>
          </cell>
          <cell r="Y490">
            <v>59.095046479496148</v>
          </cell>
          <cell r="Z490">
            <v>59.095046479496148</v>
          </cell>
          <cell r="AA490">
            <v>59.095046479496148</v>
          </cell>
          <cell r="AB490">
            <v>59.095046479496148</v>
          </cell>
          <cell r="AC490">
            <v>59.095046479496148</v>
          </cell>
          <cell r="AD490">
            <v>59.095046479496148</v>
          </cell>
          <cell r="AE490">
            <v>59.095046479496148</v>
          </cell>
          <cell r="AF490">
            <v>59.095046479496148</v>
          </cell>
        </row>
        <row r="491">
          <cell r="A491" t="str">
            <v>Maryland</v>
          </cell>
          <cell r="B491">
            <v>51.507346470917895</v>
          </cell>
          <cell r="C491">
            <v>52.566174827701317</v>
          </cell>
          <cell r="D491">
            <v>53.392513851233822</v>
          </cell>
          <cell r="E491">
            <v>54.233031221270963</v>
          </cell>
          <cell r="F491">
            <v>55.044024433536933</v>
          </cell>
          <cell r="G491">
            <v>55.876267241341921</v>
          </cell>
          <cell r="H491">
            <v>56.391980461947036</v>
          </cell>
          <cell r="I491">
            <v>57.346793787464073</v>
          </cell>
          <cell r="J491">
            <v>57.939890410242803</v>
          </cell>
          <cell r="K491">
            <v>58.870300265887622</v>
          </cell>
          <cell r="L491">
            <v>60.099020852509334</v>
          </cell>
          <cell r="M491">
            <v>59.728438115808416</v>
          </cell>
          <cell r="N491">
            <v>59.908124097214362</v>
          </cell>
          <cell r="O491">
            <v>59.762106656712753</v>
          </cell>
          <cell r="P491">
            <v>59.191818657974082</v>
          </cell>
          <cell r="Q491">
            <v>59.458992733508502</v>
          </cell>
          <cell r="R491">
            <v>59.110511174382182</v>
          </cell>
          <cell r="S491">
            <v>59.095046479496148</v>
          </cell>
          <cell r="T491">
            <v>59.095046479496148</v>
          </cell>
          <cell r="U491">
            <v>59.095046479496148</v>
          </cell>
          <cell r="V491">
            <v>59.095046479496148</v>
          </cell>
          <cell r="W491">
            <v>59.095046479496148</v>
          </cell>
          <cell r="X491">
            <v>59.095046479496148</v>
          </cell>
          <cell r="Y491">
            <v>59.095046479496148</v>
          </cell>
          <cell r="Z491">
            <v>59.095046479496148</v>
          </cell>
          <cell r="AA491">
            <v>59.095046479496148</v>
          </cell>
          <cell r="AB491">
            <v>59.095046479496148</v>
          </cell>
          <cell r="AC491">
            <v>59.095046479496148</v>
          </cell>
          <cell r="AD491">
            <v>59.095046479496148</v>
          </cell>
          <cell r="AE491">
            <v>59.095046479496148</v>
          </cell>
          <cell r="AF491">
            <v>59.095046479496148</v>
          </cell>
        </row>
        <row r="492">
          <cell r="A492" t="str">
            <v>Massachusetts</v>
          </cell>
          <cell r="B492">
            <v>51.507346470917888</v>
          </cell>
          <cell r="C492">
            <v>52.566174827701303</v>
          </cell>
          <cell r="D492">
            <v>53.392513851233801</v>
          </cell>
          <cell r="E492">
            <v>54.233031221270977</v>
          </cell>
          <cell r="F492">
            <v>55.044024433536919</v>
          </cell>
          <cell r="G492">
            <v>55.876267241341907</v>
          </cell>
          <cell r="H492">
            <v>56.391980461947057</v>
          </cell>
          <cell r="I492">
            <v>57.346793787464087</v>
          </cell>
          <cell r="J492">
            <v>57.939890410242811</v>
          </cell>
          <cell r="K492">
            <v>58.870300265887622</v>
          </cell>
          <cell r="L492">
            <v>60.099020852509334</v>
          </cell>
          <cell r="M492">
            <v>59.728438115808416</v>
          </cell>
          <cell r="N492">
            <v>59.908124097214348</v>
          </cell>
          <cell r="O492">
            <v>59.762106656712739</v>
          </cell>
          <cell r="P492">
            <v>59.191818657974089</v>
          </cell>
          <cell r="Q492">
            <v>59.458992733508495</v>
          </cell>
          <cell r="R492">
            <v>59.110511174382168</v>
          </cell>
          <cell r="S492">
            <v>59.095046479496148</v>
          </cell>
          <cell r="T492">
            <v>59.095046479496148</v>
          </cell>
          <cell r="U492">
            <v>59.095046479496148</v>
          </cell>
          <cell r="V492">
            <v>59.095046479496148</v>
          </cell>
          <cell r="W492">
            <v>59.095046479496148</v>
          </cell>
          <cell r="X492">
            <v>59.095046479496148</v>
          </cell>
          <cell r="Y492">
            <v>59.095046479496148</v>
          </cell>
          <cell r="Z492">
            <v>59.095046479496148</v>
          </cell>
          <cell r="AA492">
            <v>59.095046479496148</v>
          </cell>
          <cell r="AB492">
            <v>59.095046479496148</v>
          </cell>
          <cell r="AC492">
            <v>59.095046479496148</v>
          </cell>
          <cell r="AD492">
            <v>59.095046479496148</v>
          </cell>
          <cell r="AE492">
            <v>59.095046479496148</v>
          </cell>
          <cell r="AF492">
            <v>59.095046479496148</v>
          </cell>
        </row>
        <row r="493">
          <cell r="A493" t="str">
            <v>Michigan</v>
          </cell>
          <cell r="B493">
            <v>51.516531667643648</v>
          </cell>
          <cell r="C493">
            <v>52.575588964125004</v>
          </cell>
          <cell r="D493">
            <v>53.402066229100392</v>
          </cell>
          <cell r="E493">
            <v>54.242747070202121</v>
          </cell>
          <cell r="F493">
            <v>55.053910272499166</v>
          </cell>
          <cell r="G493">
            <v>55.886307400666091</v>
          </cell>
          <cell r="H493">
            <v>56.402119780598028</v>
          </cell>
          <cell r="I493">
            <v>57.35715109947062</v>
          </cell>
          <cell r="J493">
            <v>57.950377335998269</v>
          </cell>
          <cell r="K493">
            <v>58.881005845895707</v>
          </cell>
          <cell r="L493">
            <v>60.110029014307202</v>
          </cell>
          <cell r="M493">
            <v>59.739345808306886</v>
          </cell>
          <cell r="N493">
            <v>59.919072875064984</v>
          </cell>
          <cell r="O493">
            <v>59.773038976912495</v>
          </cell>
          <cell r="P493">
            <v>59.202608369822009</v>
          </cell>
          <cell r="Q493">
            <v>59.469828656079244</v>
          </cell>
          <cell r="R493">
            <v>59.121249697466162</v>
          </cell>
          <cell r="S493">
            <v>59.10578932846947</v>
          </cell>
          <cell r="T493">
            <v>59.10578932846947</v>
          </cell>
          <cell r="U493">
            <v>59.10578932846947</v>
          </cell>
          <cell r="V493">
            <v>59.10578932846947</v>
          </cell>
          <cell r="W493">
            <v>59.10578932846947</v>
          </cell>
          <cell r="X493">
            <v>59.10578932846947</v>
          </cell>
          <cell r="Y493">
            <v>59.10578932846947</v>
          </cell>
          <cell r="Z493">
            <v>59.10578932846947</v>
          </cell>
          <cell r="AA493">
            <v>59.10578932846947</v>
          </cell>
          <cell r="AB493">
            <v>59.10578932846947</v>
          </cell>
          <cell r="AC493">
            <v>59.10578932846947</v>
          </cell>
          <cell r="AD493">
            <v>59.10578932846947</v>
          </cell>
          <cell r="AE493">
            <v>59.10578932846947</v>
          </cell>
          <cell r="AF493">
            <v>59.10578932846947</v>
          </cell>
        </row>
        <row r="494">
          <cell r="A494" t="str">
            <v>Minnesota</v>
          </cell>
          <cell r="B494">
            <v>51.516531667643655</v>
          </cell>
          <cell r="C494">
            <v>52.575588964124982</v>
          </cell>
          <cell r="D494">
            <v>53.402066229100392</v>
          </cell>
          <cell r="E494">
            <v>54.242747070202121</v>
          </cell>
          <cell r="F494">
            <v>55.053910272499159</v>
          </cell>
          <cell r="G494">
            <v>55.886307400666098</v>
          </cell>
          <cell r="H494">
            <v>56.402119780598028</v>
          </cell>
          <cell r="I494">
            <v>57.357151099470606</v>
          </cell>
          <cell r="J494">
            <v>57.950377335998276</v>
          </cell>
          <cell r="K494">
            <v>58.881005845895693</v>
          </cell>
          <cell r="L494">
            <v>60.110029014307202</v>
          </cell>
          <cell r="M494">
            <v>59.739345808306886</v>
          </cell>
          <cell r="N494">
            <v>59.919072875064977</v>
          </cell>
          <cell r="O494">
            <v>59.773038976912495</v>
          </cell>
          <cell r="P494">
            <v>59.202608369821995</v>
          </cell>
          <cell r="Q494">
            <v>59.469828656079251</v>
          </cell>
          <cell r="R494">
            <v>59.121249697466155</v>
          </cell>
          <cell r="S494">
            <v>59.105789328469477</v>
          </cell>
          <cell r="T494">
            <v>59.105789328469477</v>
          </cell>
          <cell r="U494">
            <v>59.105789328469477</v>
          </cell>
          <cell r="V494">
            <v>59.105789328469477</v>
          </cell>
          <cell r="W494">
            <v>59.105789328469477</v>
          </cell>
          <cell r="X494">
            <v>59.105789328469477</v>
          </cell>
          <cell r="Y494">
            <v>59.105789328469477</v>
          </cell>
          <cell r="Z494">
            <v>59.105789328469477</v>
          </cell>
          <cell r="AA494">
            <v>59.105789328469477</v>
          </cell>
          <cell r="AB494">
            <v>59.105789328469477</v>
          </cell>
          <cell r="AC494">
            <v>59.105789328469477</v>
          </cell>
          <cell r="AD494">
            <v>59.105789328469477</v>
          </cell>
          <cell r="AE494">
            <v>59.105789328469477</v>
          </cell>
          <cell r="AF494">
            <v>59.105789328469477</v>
          </cell>
        </row>
        <row r="495">
          <cell r="A495" t="str">
            <v>Mississippi</v>
          </cell>
          <cell r="B495">
            <v>51.979449321362686</v>
          </cell>
          <cell r="C495">
            <v>53.050068158848809</v>
          </cell>
          <cell r="D495">
            <v>53.883507233241403</v>
          </cell>
          <cell r="E495">
            <v>54.732434643991141</v>
          </cell>
          <cell r="F495">
            <v>55.552179828866727</v>
          </cell>
          <cell r="G495">
            <v>56.392357873839664</v>
          </cell>
          <cell r="H495">
            <v>56.913171901067031</v>
          </cell>
          <cell r="I495">
            <v>57.879217515934549</v>
          </cell>
          <cell r="J495">
            <v>58.47898995637518</v>
          </cell>
          <cell r="K495">
            <v>59.420668992092345</v>
          </cell>
          <cell r="L495">
            <v>60.664990397585427</v>
          </cell>
          <cell r="M495">
            <v>60.289223675177482</v>
          </cell>
          <cell r="N495">
            <v>60.471026641489416</v>
          </cell>
          <cell r="O495">
            <v>60.324168891580321</v>
          </cell>
          <cell r="P495">
            <v>59.74652723058486</v>
          </cell>
          <cell r="Q495">
            <v>60.016075619697666</v>
          </cell>
          <cell r="R495">
            <v>59.662567349857433</v>
          </cell>
          <cell r="S495">
            <v>59.647329126919047</v>
          </cell>
          <cell r="T495">
            <v>59.647329126919047</v>
          </cell>
          <cell r="U495">
            <v>59.647329126919047</v>
          </cell>
          <cell r="V495">
            <v>59.647329126919047</v>
          </cell>
          <cell r="W495">
            <v>59.647329126919047</v>
          </cell>
          <cell r="X495">
            <v>59.647329126919047</v>
          </cell>
          <cell r="Y495">
            <v>59.647329126919047</v>
          </cell>
          <cell r="Z495">
            <v>59.647329126919047</v>
          </cell>
          <cell r="AA495">
            <v>59.647329126919047</v>
          </cell>
          <cell r="AB495">
            <v>59.647329126919047</v>
          </cell>
          <cell r="AC495">
            <v>59.647329126919047</v>
          </cell>
          <cell r="AD495">
            <v>59.647329126919047</v>
          </cell>
          <cell r="AE495">
            <v>59.647329126919047</v>
          </cell>
          <cell r="AF495">
            <v>59.647329126919047</v>
          </cell>
        </row>
        <row r="496">
          <cell r="A496" t="str">
            <v>Missouri</v>
          </cell>
          <cell r="B496">
            <v>51.516531667643655</v>
          </cell>
          <cell r="C496">
            <v>52.575588964124996</v>
          </cell>
          <cell r="D496">
            <v>53.402066229100384</v>
          </cell>
          <cell r="E496">
            <v>54.242747070202142</v>
          </cell>
          <cell r="F496">
            <v>55.053910272499174</v>
          </cell>
          <cell r="G496">
            <v>55.886307400666091</v>
          </cell>
          <cell r="H496">
            <v>56.402119780598014</v>
          </cell>
          <cell r="I496">
            <v>57.357151099470613</v>
          </cell>
          <cell r="J496">
            <v>57.950377335998262</v>
          </cell>
          <cell r="K496">
            <v>58.881005845895686</v>
          </cell>
          <cell r="L496">
            <v>60.110029014307194</v>
          </cell>
          <cell r="M496">
            <v>59.739345808306901</v>
          </cell>
          <cell r="N496">
            <v>59.919072875064984</v>
          </cell>
          <cell r="O496">
            <v>59.773038976912481</v>
          </cell>
          <cell r="P496">
            <v>59.202608369821995</v>
          </cell>
          <cell r="Q496">
            <v>59.469828656079244</v>
          </cell>
          <cell r="R496">
            <v>59.121249697466162</v>
          </cell>
          <cell r="S496">
            <v>59.10578932846947</v>
          </cell>
          <cell r="T496">
            <v>59.10578932846947</v>
          </cell>
          <cell r="U496">
            <v>59.10578932846947</v>
          </cell>
          <cell r="V496">
            <v>59.10578932846947</v>
          </cell>
          <cell r="W496">
            <v>59.10578932846947</v>
          </cell>
          <cell r="X496">
            <v>59.10578932846947</v>
          </cell>
          <cell r="Y496">
            <v>59.10578932846947</v>
          </cell>
          <cell r="Z496">
            <v>59.10578932846947</v>
          </cell>
          <cell r="AA496">
            <v>59.10578932846947</v>
          </cell>
          <cell r="AB496">
            <v>59.10578932846947</v>
          </cell>
          <cell r="AC496">
            <v>59.10578932846947</v>
          </cell>
          <cell r="AD496">
            <v>59.10578932846947</v>
          </cell>
          <cell r="AE496">
            <v>59.10578932846947</v>
          </cell>
          <cell r="AF496">
            <v>59.10578932846947</v>
          </cell>
        </row>
        <row r="497">
          <cell r="A497" t="str">
            <v>Montana</v>
          </cell>
          <cell r="B497">
            <v>49.738667994058787</v>
          </cell>
          <cell r="C497">
            <v>50.753741780928216</v>
          </cell>
          <cell r="D497">
            <v>51.55338650016968</v>
          </cell>
          <cell r="E497">
            <v>52.362537841704494</v>
          </cell>
          <cell r="F497">
            <v>53.141006522540529</v>
          </cell>
          <cell r="G497">
            <v>53.943582308106393</v>
          </cell>
          <cell r="H497">
            <v>54.440260730178302</v>
          </cell>
          <cell r="I497">
            <v>55.353489719321772</v>
          </cell>
          <cell r="J497">
            <v>55.921824090014788</v>
          </cell>
          <cell r="K497">
            <v>56.810563514376582</v>
          </cell>
          <cell r="L497">
            <v>57.981705159721336</v>
          </cell>
          <cell r="M497">
            <v>57.630186168578049</v>
          </cell>
          <cell r="N497">
            <v>57.802035115500821</v>
          </cell>
          <cell r="O497">
            <v>57.659265403503021</v>
          </cell>
          <cell r="P497">
            <v>57.116101747184885</v>
          </cell>
          <cell r="Q497">
            <v>57.374365826359409</v>
          </cell>
          <cell r="R497">
            <v>57.044349740825368</v>
          </cell>
          <cell r="S497">
            <v>57.028110236561517</v>
          </cell>
          <cell r="T497">
            <v>57.028110236561517</v>
          </cell>
          <cell r="U497">
            <v>57.028110236561517</v>
          </cell>
          <cell r="V497">
            <v>57.028110236561517</v>
          </cell>
          <cell r="W497">
            <v>57.028110236561517</v>
          </cell>
          <cell r="X497">
            <v>57.028110236561517</v>
          </cell>
          <cell r="Y497">
            <v>57.028110236561517</v>
          </cell>
          <cell r="Z497">
            <v>57.028110236561517</v>
          </cell>
          <cell r="AA497">
            <v>57.028110236561517</v>
          </cell>
          <cell r="AB497">
            <v>57.028110236561517</v>
          </cell>
          <cell r="AC497">
            <v>57.028110236561517</v>
          </cell>
          <cell r="AD497">
            <v>57.028110236561517</v>
          </cell>
          <cell r="AE497">
            <v>57.028110236561517</v>
          </cell>
          <cell r="AF497">
            <v>57.028110236561517</v>
          </cell>
        </row>
        <row r="498">
          <cell r="A498" t="str">
            <v>Nebraska</v>
          </cell>
          <cell r="B498">
            <v>49.738667994058794</v>
          </cell>
          <cell r="C498">
            <v>50.753741780928216</v>
          </cell>
          <cell r="D498">
            <v>51.55338650016968</v>
          </cell>
          <cell r="E498">
            <v>52.362537841704508</v>
          </cell>
          <cell r="F498">
            <v>53.141006522540522</v>
          </cell>
          <cell r="G498">
            <v>53.943582308106393</v>
          </cell>
          <cell r="H498">
            <v>54.440260730178302</v>
          </cell>
          <cell r="I498">
            <v>55.353489719321786</v>
          </cell>
          <cell r="J498">
            <v>55.92182409001478</v>
          </cell>
          <cell r="K498">
            <v>56.810563514376582</v>
          </cell>
          <cell r="L498">
            <v>57.981705159721322</v>
          </cell>
          <cell r="M498">
            <v>57.630186168578035</v>
          </cell>
          <cell r="N498">
            <v>57.802035115500836</v>
          </cell>
          <cell r="O498">
            <v>57.659265403503028</v>
          </cell>
          <cell r="P498">
            <v>57.116101747184885</v>
          </cell>
          <cell r="Q498">
            <v>57.374365826359394</v>
          </cell>
          <cell r="R498">
            <v>57.044349740825368</v>
          </cell>
          <cell r="S498">
            <v>57.02811023656151</v>
          </cell>
          <cell r="T498">
            <v>57.02811023656151</v>
          </cell>
          <cell r="U498">
            <v>57.02811023656151</v>
          </cell>
          <cell r="V498">
            <v>57.02811023656151</v>
          </cell>
          <cell r="W498">
            <v>57.02811023656151</v>
          </cell>
          <cell r="X498">
            <v>57.02811023656151</v>
          </cell>
          <cell r="Y498">
            <v>57.02811023656151</v>
          </cell>
          <cell r="Z498">
            <v>57.02811023656151</v>
          </cell>
          <cell r="AA498">
            <v>57.02811023656151</v>
          </cell>
          <cell r="AB498">
            <v>57.02811023656151</v>
          </cell>
          <cell r="AC498">
            <v>57.02811023656151</v>
          </cell>
          <cell r="AD498">
            <v>57.02811023656151</v>
          </cell>
          <cell r="AE498">
            <v>57.02811023656151</v>
          </cell>
          <cell r="AF498">
            <v>57.02811023656151</v>
          </cell>
        </row>
        <row r="499">
          <cell r="A499" t="str">
            <v>Nevada</v>
          </cell>
          <cell r="B499">
            <v>60.355744500716639</v>
          </cell>
          <cell r="C499">
            <v>61.643442036208441</v>
          </cell>
          <cell r="D499">
            <v>62.601061794867128</v>
          </cell>
          <cell r="E499">
            <v>63.601874362507353</v>
          </cell>
          <cell r="F499">
            <v>64.581887585139484</v>
          </cell>
          <cell r="G499">
            <v>65.564018022682376</v>
          </cell>
          <cell r="H499">
            <v>66.176747068351446</v>
          </cell>
          <cell r="I499">
            <v>67.351461925981866</v>
          </cell>
          <cell r="J499">
            <v>68.074367570983654</v>
          </cell>
          <cell r="K499">
            <v>69.226355638357361</v>
          </cell>
          <cell r="L499">
            <v>70.763880365246493</v>
          </cell>
          <cell r="M499">
            <v>70.2893784413167</v>
          </cell>
          <cell r="N499">
            <v>70.510519337620565</v>
          </cell>
          <cell r="O499">
            <v>70.350635600037975</v>
          </cell>
          <cell r="P499">
            <v>69.634480505372466</v>
          </cell>
          <cell r="Q499">
            <v>69.945873377051072</v>
          </cell>
          <cell r="R499">
            <v>69.496249077542004</v>
          </cell>
          <cell r="S499">
            <v>69.486421341696456</v>
          </cell>
          <cell r="T499">
            <v>69.486421341696456</v>
          </cell>
          <cell r="U499">
            <v>69.486421341696456</v>
          </cell>
          <cell r="V499">
            <v>69.486421341696456</v>
          </cell>
          <cell r="W499">
            <v>69.486421341696456</v>
          </cell>
          <cell r="X499">
            <v>69.486421341696456</v>
          </cell>
          <cell r="Y499">
            <v>69.486421341696456</v>
          </cell>
          <cell r="Z499">
            <v>69.486421341696456</v>
          </cell>
          <cell r="AA499">
            <v>69.486421341696456</v>
          </cell>
          <cell r="AB499">
            <v>69.486421341696456</v>
          </cell>
          <cell r="AC499">
            <v>69.486421341696456</v>
          </cell>
          <cell r="AD499">
            <v>69.486421341696456</v>
          </cell>
          <cell r="AE499">
            <v>69.486421341696456</v>
          </cell>
          <cell r="AF499">
            <v>69.486421341696456</v>
          </cell>
        </row>
        <row r="500">
          <cell r="A500" t="str">
            <v>New Hampshire</v>
          </cell>
          <cell r="B500">
            <v>56.391980461947057</v>
          </cell>
          <cell r="C500">
            <v>56.391980461947057</v>
          </cell>
          <cell r="D500">
            <v>56.391980461947057</v>
          </cell>
          <cell r="E500">
            <v>56.391980461947057</v>
          </cell>
          <cell r="F500">
            <v>56.391980461947057</v>
          </cell>
          <cell r="G500">
            <v>56.391980461947057</v>
          </cell>
          <cell r="H500">
            <v>56.391980461947057</v>
          </cell>
          <cell r="I500">
            <v>57.346793787464087</v>
          </cell>
          <cell r="J500">
            <v>57.939890410242811</v>
          </cell>
          <cell r="K500">
            <v>58.870300265887622</v>
          </cell>
          <cell r="L500">
            <v>60.099020852509334</v>
          </cell>
          <cell r="M500">
            <v>59.728438115808416</v>
          </cell>
          <cell r="N500">
            <v>59.908124097214348</v>
          </cell>
          <cell r="O500">
            <v>59.762106656712739</v>
          </cell>
          <cell r="P500">
            <v>59.191818657974103</v>
          </cell>
          <cell r="Q500">
            <v>59.458992733508495</v>
          </cell>
          <cell r="R500">
            <v>59.110511174382168</v>
          </cell>
          <cell r="S500">
            <v>59.095046479496148</v>
          </cell>
          <cell r="T500">
            <v>59.095046479496148</v>
          </cell>
          <cell r="U500">
            <v>59.095046479496148</v>
          </cell>
          <cell r="V500">
            <v>59.095046479496148</v>
          </cell>
          <cell r="W500">
            <v>59.095046479496148</v>
          </cell>
          <cell r="X500">
            <v>59.095046479496148</v>
          </cell>
          <cell r="Y500">
            <v>59.095046479496148</v>
          </cell>
          <cell r="Z500">
            <v>59.095046479496148</v>
          </cell>
          <cell r="AA500">
            <v>59.095046479496148</v>
          </cell>
          <cell r="AB500">
            <v>59.095046479496148</v>
          </cell>
          <cell r="AC500">
            <v>59.095046479496148</v>
          </cell>
          <cell r="AD500">
            <v>59.095046479496148</v>
          </cell>
          <cell r="AE500">
            <v>59.095046479496148</v>
          </cell>
          <cell r="AF500">
            <v>59.095046479496148</v>
          </cell>
        </row>
        <row r="501">
          <cell r="A501" t="str">
            <v>New Jersey</v>
          </cell>
          <cell r="B501">
            <v>51.507346470917888</v>
          </cell>
          <cell r="C501">
            <v>52.566174827701303</v>
          </cell>
          <cell r="D501">
            <v>53.392513851233801</v>
          </cell>
          <cell r="E501">
            <v>54.233031221270977</v>
          </cell>
          <cell r="F501">
            <v>55.044024433536919</v>
          </cell>
          <cell r="G501">
            <v>55.876267241341907</v>
          </cell>
          <cell r="H501">
            <v>56.391980461947057</v>
          </cell>
          <cell r="I501">
            <v>57.346793787464087</v>
          </cell>
          <cell r="J501">
            <v>57.939890410242811</v>
          </cell>
          <cell r="K501">
            <v>58.870300265887622</v>
          </cell>
          <cell r="L501">
            <v>60.099020852509334</v>
          </cell>
          <cell r="M501">
            <v>59.728438115808416</v>
          </cell>
          <cell r="N501">
            <v>59.908124097214348</v>
          </cell>
          <cell r="O501">
            <v>59.762106656712739</v>
          </cell>
          <cell r="P501">
            <v>59.191818657974082</v>
          </cell>
          <cell r="Q501">
            <v>59.458992733508495</v>
          </cell>
          <cell r="R501">
            <v>59.110511174382168</v>
          </cell>
          <cell r="S501">
            <v>59.095046479496148</v>
          </cell>
          <cell r="T501">
            <v>59.095046479496148</v>
          </cell>
          <cell r="U501">
            <v>59.095046479496148</v>
          </cell>
          <cell r="V501">
            <v>59.095046479496148</v>
          </cell>
          <cell r="W501">
            <v>59.095046479496148</v>
          </cell>
          <cell r="X501">
            <v>59.095046479496148</v>
          </cell>
          <cell r="Y501">
            <v>59.095046479496148</v>
          </cell>
          <cell r="Z501">
            <v>59.095046479496148</v>
          </cell>
          <cell r="AA501">
            <v>59.095046479496148</v>
          </cell>
          <cell r="AB501">
            <v>59.095046479496148</v>
          </cell>
          <cell r="AC501">
            <v>59.095046479496148</v>
          </cell>
          <cell r="AD501">
            <v>59.095046479496148</v>
          </cell>
          <cell r="AE501">
            <v>59.095046479496148</v>
          </cell>
          <cell r="AF501">
            <v>59.095046479496148</v>
          </cell>
        </row>
        <row r="502">
          <cell r="A502" t="str">
            <v>New Mexico</v>
          </cell>
          <cell r="B502">
            <v>60.355744500716646</v>
          </cell>
          <cell r="C502">
            <v>61.64344203620842</v>
          </cell>
          <cell r="D502">
            <v>62.601061794867135</v>
          </cell>
          <cell r="E502">
            <v>63.601874362507367</v>
          </cell>
          <cell r="F502">
            <v>64.581887585139484</v>
          </cell>
          <cell r="G502">
            <v>65.564018022682376</v>
          </cell>
          <cell r="H502">
            <v>66.17674706835146</v>
          </cell>
          <cell r="I502">
            <v>67.351461925981866</v>
          </cell>
          <cell r="J502">
            <v>68.074367570983668</v>
          </cell>
          <cell r="K502">
            <v>69.226355638357361</v>
          </cell>
          <cell r="L502">
            <v>70.763880365246493</v>
          </cell>
          <cell r="M502">
            <v>70.2893784413167</v>
          </cell>
          <cell r="N502">
            <v>70.510519337620551</v>
          </cell>
          <cell r="O502">
            <v>70.350635600037961</v>
          </cell>
          <cell r="P502">
            <v>69.634480505372437</v>
          </cell>
          <cell r="Q502">
            <v>69.945873377051058</v>
          </cell>
          <cell r="R502">
            <v>69.496249077541989</v>
          </cell>
          <cell r="S502">
            <v>69.486421341696456</v>
          </cell>
          <cell r="T502">
            <v>69.486421341696456</v>
          </cell>
          <cell r="U502">
            <v>69.486421341696456</v>
          </cell>
          <cell r="V502">
            <v>69.486421341696456</v>
          </cell>
          <cell r="W502">
            <v>69.486421341696456</v>
          </cell>
          <cell r="X502">
            <v>69.486421341696456</v>
          </cell>
          <cell r="Y502">
            <v>69.486421341696456</v>
          </cell>
          <cell r="Z502">
            <v>69.486421341696456</v>
          </cell>
          <cell r="AA502">
            <v>69.486421341696456</v>
          </cell>
          <cell r="AB502">
            <v>69.486421341696456</v>
          </cell>
          <cell r="AC502">
            <v>69.486421341696456</v>
          </cell>
          <cell r="AD502">
            <v>69.486421341696456</v>
          </cell>
          <cell r="AE502">
            <v>69.486421341696456</v>
          </cell>
          <cell r="AF502">
            <v>69.486421341696456</v>
          </cell>
        </row>
        <row r="503">
          <cell r="A503" t="str">
            <v>New York</v>
          </cell>
          <cell r="B503">
            <v>51.507346470917888</v>
          </cell>
          <cell r="C503">
            <v>52.566174827701303</v>
          </cell>
          <cell r="D503">
            <v>53.392513851233822</v>
          </cell>
          <cell r="E503">
            <v>54.23303122127097</v>
          </cell>
          <cell r="F503">
            <v>55.044024433536926</v>
          </cell>
          <cell r="G503">
            <v>55.8762672413419</v>
          </cell>
          <cell r="H503">
            <v>56.391980461947043</v>
          </cell>
          <cell r="I503">
            <v>57.34679378746408</v>
          </cell>
          <cell r="J503">
            <v>57.939890410242782</v>
          </cell>
          <cell r="K503">
            <v>58.870300265887622</v>
          </cell>
          <cell r="L503">
            <v>60.099020852509341</v>
          </cell>
          <cell r="M503">
            <v>59.728438115808416</v>
          </cell>
          <cell r="N503">
            <v>59.908124097214341</v>
          </cell>
          <cell r="O503">
            <v>59.762106656712739</v>
          </cell>
          <cell r="P503">
            <v>59.191818657974089</v>
          </cell>
          <cell r="Q503">
            <v>59.458992733508509</v>
          </cell>
          <cell r="R503">
            <v>59.110511174382182</v>
          </cell>
          <cell r="S503">
            <v>59.095046479496141</v>
          </cell>
          <cell r="T503">
            <v>59.095046479496141</v>
          </cell>
          <cell r="U503">
            <v>59.095046479496141</v>
          </cell>
          <cell r="V503">
            <v>59.095046479496141</v>
          </cell>
          <cell r="W503">
            <v>59.095046479496141</v>
          </cell>
          <cell r="X503">
            <v>59.095046479496141</v>
          </cell>
          <cell r="Y503">
            <v>59.095046479496141</v>
          </cell>
          <cell r="Z503">
            <v>59.095046479496141</v>
          </cell>
          <cell r="AA503">
            <v>59.095046479496141</v>
          </cell>
          <cell r="AB503">
            <v>59.095046479496141</v>
          </cell>
          <cell r="AC503">
            <v>59.095046479496141</v>
          </cell>
          <cell r="AD503">
            <v>59.095046479496141</v>
          </cell>
          <cell r="AE503">
            <v>59.095046479496141</v>
          </cell>
          <cell r="AF503">
            <v>59.095046479496141</v>
          </cell>
        </row>
        <row r="504">
          <cell r="A504" t="str">
            <v>North Carolina</v>
          </cell>
          <cell r="B504">
            <v>51.979449321362679</v>
          </cell>
          <cell r="C504">
            <v>53.050068158848816</v>
          </cell>
          <cell r="D504">
            <v>53.883507233241396</v>
          </cell>
          <cell r="E504">
            <v>54.732434643991141</v>
          </cell>
          <cell r="F504">
            <v>55.552179828866734</v>
          </cell>
          <cell r="G504">
            <v>56.392357873839678</v>
          </cell>
          <cell r="H504">
            <v>56.913171901067031</v>
          </cell>
          <cell r="I504">
            <v>57.879217515934542</v>
          </cell>
          <cell r="J504">
            <v>58.478989956375166</v>
          </cell>
          <cell r="K504">
            <v>59.420668992092345</v>
          </cell>
          <cell r="L504">
            <v>60.66499039758542</v>
          </cell>
          <cell r="M504">
            <v>60.289223675177467</v>
          </cell>
          <cell r="N504">
            <v>60.471026641489416</v>
          </cell>
          <cell r="O504">
            <v>60.3241688915803</v>
          </cell>
          <cell r="P504">
            <v>59.746527230584839</v>
          </cell>
          <cell r="Q504">
            <v>60.016075619697681</v>
          </cell>
          <cell r="R504">
            <v>59.66256734985744</v>
          </cell>
          <cell r="S504">
            <v>59.647329126919047</v>
          </cell>
          <cell r="T504">
            <v>59.647329126919047</v>
          </cell>
          <cell r="U504">
            <v>59.647329126919047</v>
          </cell>
          <cell r="V504">
            <v>59.647329126919047</v>
          </cell>
          <cell r="W504">
            <v>59.647329126919047</v>
          </cell>
          <cell r="X504">
            <v>59.647329126919047</v>
          </cell>
          <cell r="Y504">
            <v>59.647329126919047</v>
          </cell>
          <cell r="Z504">
            <v>59.647329126919047</v>
          </cell>
          <cell r="AA504">
            <v>59.647329126919047</v>
          </cell>
          <cell r="AB504">
            <v>59.647329126919047</v>
          </cell>
          <cell r="AC504">
            <v>59.647329126919047</v>
          </cell>
          <cell r="AD504">
            <v>59.647329126919047</v>
          </cell>
          <cell r="AE504">
            <v>59.647329126919047</v>
          </cell>
          <cell r="AF504">
            <v>59.647329126919047</v>
          </cell>
        </row>
        <row r="505">
          <cell r="A505" t="str">
            <v>North Dakota</v>
          </cell>
          <cell r="B505">
            <v>49.738667994058787</v>
          </cell>
          <cell r="C505">
            <v>50.75374178092823</v>
          </cell>
          <cell r="D505">
            <v>51.553386500169665</v>
          </cell>
          <cell r="E505">
            <v>52.362537841704501</v>
          </cell>
          <cell r="F505">
            <v>53.141006522540536</v>
          </cell>
          <cell r="G505">
            <v>53.943582308106386</v>
          </cell>
          <cell r="H505">
            <v>54.440260730178302</v>
          </cell>
          <cell r="I505">
            <v>55.353489719321772</v>
          </cell>
          <cell r="J505">
            <v>55.921824090014788</v>
          </cell>
          <cell r="K505">
            <v>56.810563514376582</v>
          </cell>
          <cell r="L505">
            <v>57.981705159721322</v>
          </cell>
          <cell r="M505">
            <v>57.630186168578049</v>
          </cell>
          <cell r="N505">
            <v>57.802035115500821</v>
          </cell>
          <cell r="O505">
            <v>57.659265403503021</v>
          </cell>
          <cell r="P505">
            <v>57.116101747184885</v>
          </cell>
          <cell r="Q505">
            <v>57.374365826359409</v>
          </cell>
          <cell r="R505">
            <v>57.044349740825368</v>
          </cell>
          <cell r="S505">
            <v>57.028110236561517</v>
          </cell>
          <cell r="T505">
            <v>57.028110236561517</v>
          </cell>
          <cell r="U505">
            <v>57.028110236561517</v>
          </cell>
          <cell r="V505">
            <v>57.028110236561517</v>
          </cell>
          <cell r="W505">
            <v>57.028110236561517</v>
          </cell>
          <cell r="X505">
            <v>57.028110236561517</v>
          </cell>
          <cell r="Y505">
            <v>57.028110236561517</v>
          </cell>
          <cell r="Z505">
            <v>57.028110236561517</v>
          </cell>
          <cell r="AA505">
            <v>57.028110236561517</v>
          </cell>
          <cell r="AB505">
            <v>57.028110236561517</v>
          </cell>
          <cell r="AC505">
            <v>57.028110236561517</v>
          </cell>
          <cell r="AD505">
            <v>57.028110236561517</v>
          </cell>
          <cell r="AE505">
            <v>57.028110236561517</v>
          </cell>
          <cell r="AF505">
            <v>57.028110236561517</v>
          </cell>
        </row>
        <row r="506">
          <cell r="A506" t="str">
            <v>Ohio</v>
          </cell>
          <cell r="B506">
            <v>51.516531667643648</v>
          </cell>
          <cell r="C506">
            <v>52.575588964124996</v>
          </cell>
          <cell r="D506">
            <v>53.402066229100384</v>
          </cell>
          <cell r="E506">
            <v>54.242747070202121</v>
          </cell>
          <cell r="F506">
            <v>55.053910272499174</v>
          </cell>
          <cell r="G506">
            <v>55.886307400666091</v>
          </cell>
          <cell r="H506">
            <v>56.402119780598021</v>
          </cell>
          <cell r="I506">
            <v>57.35715109947062</v>
          </cell>
          <cell r="J506">
            <v>57.950377335998262</v>
          </cell>
          <cell r="K506">
            <v>58.881005845895686</v>
          </cell>
          <cell r="L506">
            <v>60.110029014307216</v>
          </cell>
          <cell r="M506">
            <v>59.739345808306901</v>
          </cell>
          <cell r="N506">
            <v>59.919072875064984</v>
          </cell>
          <cell r="O506">
            <v>59.773038976912474</v>
          </cell>
          <cell r="P506">
            <v>59.202608369821995</v>
          </cell>
          <cell r="Q506">
            <v>59.469828656079244</v>
          </cell>
          <cell r="R506">
            <v>59.121249697466169</v>
          </cell>
          <cell r="S506">
            <v>59.105789328469477</v>
          </cell>
          <cell r="T506">
            <v>59.105789328469477</v>
          </cell>
          <cell r="U506">
            <v>59.105789328469477</v>
          </cell>
          <cell r="V506">
            <v>59.105789328469477</v>
          </cell>
          <cell r="W506">
            <v>59.105789328469477</v>
          </cell>
          <cell r="X506">
            <v>59.105789328469477</v>
          </cell>
          <cell r="Y506">
            <v>59.105789328469477</v>
          </cell>
          <cell r="Z506">
            <v>59.105789328469477</v>
          </cell>
          <cell r="AA506">
            <v>59.105789328469477</v>
          </cell>
          <cell r="AB506">
            <v>59.105789328469477</v>
          </cell>
          <cell r="AC506">
            <v>59.105789328469477</v>
          </cell>
          <cell r="AD506">
            <v>59.105789328469477</v>
          </cell>
          <cell r="AE506">
            <v>59.105789328469477</v>
          </cell>
          <cell r="AF506">
            <v>59.105789328469477</v>
          </cell>
        </row>
        <row r="507">
          <cell r="A507" t="str">
            <v>Oklahoma</v>
          </cell>
          <cell r="B507">
            <v>51.893556974409783</v>
          </cell>
          <cell r="C507">
            <v>52.962027209478606</v>
          </cell>
          <cell r="D507">
            <v>53.794175325298667</v>
          </cell>
          <cell r="E507">
            <v>54.641571466942473</v>
          </cell>
          <cell r="F507">
            <v>55.459722147044943</v>
          </cell>
          <cell r="G507">
            <v>56.298455974904286</v>
          </cell>
          <cell r="H507">
            <v>56.818341357139644</v>
          </cell>
          <cell r="I507">
            <v>57.782339262541264</v>
          </cell>
          <cell r="J507">
            <v>58.380895057128221</v>
          </cell>
          <cell r="K507">
            <v>59.320519235170927</v>
          </cell>
          <cell r="L507">
            <v>60.561995027617456</v>
          </cell>
          <cell r="M507">
            <v>60.187174451017505</v>
          </cell>
          <cell r="N507">
            <v>60.36859147492919</v>
          </cell>
          <cell r="O507">
            <v>60.221885773000608</v>
          </cell>
          <cell r="P507">
            <v>59.64558556760224</v>
          </cell>
          <cell r="Q507">
            <v>59.914702109241375</v>
          </cell>
          <cell r="R507">
            <v>59.562111447157314</v>
          </cell>
          <cell r="S507">
            <v>59.546831404099692</v>
          </cell>
          <cell r="T507">
            <v>59.546831404099692</v>
          </cell>
          <cell r="U507">
            <v>59.546831404099692</v>
          </cell>
          <cell r="V507">
            <v>59.546831404099692</v>
          </cell>
          <cell r="W507">
            <v>59.546831404099692</v>
          </cell>
          <cell r="X507">
            <v>59.546831404099692</v>
          </cell>
          <cell r="Y507">
            <v>59.546831404099692</v>
          </cell>
          <cell r="Z507">
            <v>59.546831404099692</v>
          </cell>
          <cell r="AA507">
            <v>59.546831404099692</v>
          </cell>
          <cell r="AB507">
            <v>59.546831404099692</v>
          </cell>
          <cell r="AC507">
            <v>59.546831404099692</v>
          </cell>
          <cell r="AD507">
            <v>59.546831404099692</v>
          </cell>
          <cell r="AE507">
            <v>59.546831404099692</v>
          </cell>
          <cell r="AF507">
            <v>59.546831404099692</v>
          </cell>
        </row>
        <row r="508">
          <cell r="A508" t="str">
            <v>Oregon</v>
          </cell>
          <cell r="B508">
            <v>60.355744500716625</v>
          </cell>
          <cell r="C508">
            <v>61.643442036208427</v>
          </cell>
          <cell r="D508">
            <v>62.601061794867128</v>
          </cell>
          <cell r="E508">
            <v>63.60187436250736</v>
          </cell>
          <cell r="F508">
            <v>64.581887585139469</v>
          </cell>
          <cell r="G508">
            <v>65.564018022682376</v>
          </cell>
          <cell r="H508">
            <v>66.17674706835146</v>
          </cell>
          <cell r="I508">
            <v>67.351461925981866</v>
          </cell>
          <cell r="J508">
            <v>68.074367570983668</v>
          </cell>
          <cell r="K508">
            <v>69.226355638357361</v>
          </cell>
          <cell r="L508">
            <v>70.763880365246493</v>
          </cell>
          <cell r="M508">
            <v>70.289378441316686</v>
          </cell>
          <cell r="N508">
            <v>70.510519337620565</v>
          </cell>
          <cell r="O508">
            <v>70.350635600037961</v>
          </cell>
          <cell r="P508">
            <v>69.634480505372437</v>
          </cell>
          <cell r="Q508">
            <v>69.945873377051043</v>
          </cell>
          <cell r="R508">
            <v>69.496249077541989</v>
          </cell>
          <cell r="S508">
            <v>69.486421341696442</v>
          </cell>
          <cell r="T508">
            <v>69.486421341696442</v>
          </cell>
          <cell r="U508">
            <v>69.486421341696442</v>
          </cell>
          <cell r="V508">
            <v>69.486421341696442</v>
          </cell>
          <cell r="W508">
            <v>69.486421341696442</v>
          </cell>
          <cell r="X508">
            <v>69.486421341696442</v>
          </cell>
          <cell r="Y508">
            <v>69.486421341696442</v>
          </cell>
          <cell r="Z508">
            <v>69.486421341696442</v>
          </cell>
          <cell r="AA508">
            <v>69.486421341696442</v>
          </cell>
          <cell r="AB508">
            <v>69.486421341696442</v>
          </cell>
          <cell r="AC508">
            <v>69.486421341696442</v>
          </cell>
          <cell r="AD508">
            <v>69.486421341696442</v>
          </cell>
          <cell r="AE508">
            <v>69.486421341696442</v>
          </cell>
          <cell r="AF508">
            <v>69.486421341696442</v>
          </cell>
        </row>
        <row r="509">
          <cell r="A509" t="str">
            <v>Pennsylvania</v>
          </cell>
          <cell r="B509">
            <v>51.507346470917895</v>
          </cell>
          <cell r="C509">
            <v>52.566174827701317</v>
          </cell>
          <cell r="D509">
            <v>53.392513851233822</v>
          </cell>
          <cell r="E509">
            <v>54.233031221270984</v>
          </cell>
          <cell r="F509">
            <v>55.044024433536947</v>
          </cell>
          <cell r="G509">
            <v>55.876267241341907</v>
          </cell>
          <cell r="H509">
            <v>56.391980461947043</v>
          </cell>
          <cell r="I509">
            <v>57.346793787464073</v>
          </cell>
          <cell r="J509">
            <v>57.939890410242796</v>
          </cell>
          <cell r="K509">
            <v>58.870300265887643</v>
          </cell>
          <cell r="L509">
            <v>60.099020852509341</v>
          </cell>
          <cell r="M509">
            <v>59.728438115808423</v>
          </cell>
          <cell r="N509">
            <v>59.908124097214333</v>
          </cell>
          <cell r="O509">
            <v>59.76210665671276</v>
          </cell>
          <cell r="P509">
            <v>59.191818657974103</v>
          </cell>
          <cell r="Q509">
            <v>59.458992733508495</v>
          </cell>
          <cell r="R509">
            <v>59.110511174382182</v>
          </cell>
          <cell r="S509">
            <v>59.095046479496148</v>
          </cell>
          <cell r="T509">
            <v>59.095046479496148</v>
          </cell>
          <cell r="U509">
            <v>59.095046479496148</v>
          </cell>
          <cell r="V509">
            <v>59.095046479496148</v>
          </cell>
          <cell r="W509">
            <v>59.095046479496148</v>
          </cell>
          <cell r="X509">
            <v>59.095046479496148</v>
          </cell>
          <cell r="Y509">
            <v>59.095046479496148</v>
          </cell>
          <cell r="Z509">
            <v>59.095046479496148</v>
          </cell>
          <cell r="AA509">
            <v>59.095046479496148</v>
          </cell>
          <cell r="AB509">
            <v>59.095046479496148</v>
          </cell>
          <cell r="AC509">
            <v>59.095046479496148</v>
          </cell>
          <cell r="AD509">
            <v>59.095046479496148</v>
          </cell>
          <cell r="AE509">
            <v>59.095046479496148</v>
          </cell>
          <cell r="AF509">
            <v>59.095046479496148</v>
          </cell>
        </row>
        <row r="510">
          <cell r="A510" t="str">
            <v>Rhode Island</v>
          </cell>
          <cell r="B510">
            <v>55.876267241341914</v>
          </cell>
          <cell r="C510">
            <v>55.876267241341914</v>
          </cell>
          <cell r="D510">
            <v>55.876267241341914</v>
          </cell>
          <cell r="E510">
            <v>55.876267241341914</v>
          </cell>
          <cell r="F510">
            <v>55.876267241341914</v>
          </cell>
          <cell r="G510">
            <v>55.876267241341914</v>
          </cell>
          <cell r="H510">
            <v>56.391980461947036</v>
          </cell>
          <cell r="I510">
            <v>57.346793787464087</v>
          </cell>
          <cell r="J510">
            <v>57.939890410242803</v>
          </cell>
          <cell r="K510">
            <v>58.870300265887622</v>
          </cell>
          <cell r="L510">
            <v>60.099020852509341</v>
          </cell>
          <cell r="M510">
            <v>59.72843811580843</v>
          </cell>
          <cell r="N510">
            <v>59.908124097214348</v>
          </cell>
          <cell r="O510">
            <v>59.762106656712746</v>
          </cell>
          <cell r="P510">
            <v>59.191818657974103</v>
          </cell>
          <cell r="Q510">
            <v>59.458992733508509</v>
          </cell>
          <cell r="R510">
            <v>59.110511174382175</v>
          </cell>
          <cell r="S510">
            <v>59.095046479496141</v>
          </cell>
          <cell r="T510">
            <v>59.095046479496141</v>
          </cell>
          <cell r="U510">
            <v>59.095046479496141</v>
          </cell>
          <cell r="V510">
            <v>59.095046479496141</v>
          </cell>
          <cell r="W510">
            <v>59.095046479496141</v>
          </cell>
          <cell r="X510">
            <v>59.095046479496141</v>
          </cell>
          <cell r="Y510">
            <v>59.095046479496141</v>
          </cell>
          <cell r="Z510">
            <v>59.095046479496141</v>
          </cell>
          <cell r="AA510">
            <v>59.095046479496141</v>
          </cell>
          <cell r="AB510">
            <v>59.095046479496141</v>
          </cell>
          <cell r="AC510">
            <v>59.095046479496141</v>
          </cell>
          <cell r="AD510">
            <v>59.095046479496141</v>
          </cell>
          <cell r="AE510">
            <v>59.095046479496141</v>
          </cell>
          <cell r="AF510">
            <v>59.095046479496141</v>
          </cell>
        </row>
        <row r="511">
          <cell r="A511" t="str">
            <v>South Carolina</v>
          </cell>
          <cell r="B511">
            <v>51.979449321362672</v>
          </cell>
          <cell r="C511">
            <v>53.050068158848809</v>
          </cell>
          <cell r="D511">
            <v>53.883507233241396</v>
          </cell>
          <cell r="E511">
            <v>54.732434643991134</v>
          </cell>
          <cell r="F511">
            <v>55.55217982886672</v>
          </cell>
          <cell r="G511">
            <v>56.392357873839686</v>
          </cell>
          <cell r="H511">
            <v>56.913171901067052</v>
          </cell>
          <cell r="I511">
            <v>57.879217515934556</v>
          </cell>
          <cell r="J511">
            <v>58.478989956375187</v>
          </cell>
          <cell r="K511">
            <v>59.420668992092352</v>
          </cell>
          <cell r="L511">
            <v>60.664990397585406</v>
          </cell>
          <cell r="M511">
            <v>60.289223675177453</v>
          </cell>
          <cell r="N511">
            <v>60.471026641489431</v>
          </cell>
          <cell r="O511">
            <v>60.3241688915803</v>
          </cell>
          <cell r="P511">
            <v>59.746527230584839</v>
          </cell>
          <cell r="Q511">
            <v>60.016075619697673</v>
          </cell>
          <cell r="R511">
            <v>59.66256734985744</v>
          </cell>
          <cell r="S511">
            <v>59.647329126919054</v>
          </cell>
          <cell r="T511">
            <v>59.647329126919054</v>
          </cell>
          <cell r="U511">
            <v>59.647329126919054</v>
          </cell>
          <cell r="V511">
            <v>59.647329126919054</v>
          </cell>
          <cell r="W511">
            <v>59.647329126919054</v>
          </cell>
          <cell r="X511">
            <v>59.647329126919054</v>
          </cell>
          <cell r="Y511">
            <v>59.647329126919054</v>
          </cell>
          <cell r="Z511">
            <v>59.647329126919054</v>
          </cell>
          <cell r="AA511">
            <v>59.647329126919054</v>
          </cell>
          <cell r="AB511">
            <v>59.647329126919054</v>
          </cell>
          <cell r="AC511">
            <v>59.647329126919054</v>
          </cell>
          <cell r="AD511">
            <v>59.647329126919054</v>
          </cell>
          <cell r="AE511">
            <v>59.647329126919054</v>
          </cell>
          <cell r="AF511">
            <v>59.647329126919054</v>
          </cell>
        </row>
        <row r="512">
          <cell r="A512" t="str">
            <v>South Dakota</v>
          </cell>
          <cell r="B512">
            <v>49.738667994058794</v>
          </cell>
          <cell r="C512">
            <v>50.753741780928216</v>
          </cell>
          <cell r="D512">
            <v>51.55338650016968</v>
          </cell>
          <cell r="E512">
            <v>52.362537841704501</v>
          </cell>
          <cell r="F512">
            <v>53.141006522540522</v>
          </cell>
          <cell r="G512">
            <v>53.943582308106407</v>
          </cell>
          <cell r="H512">
            <v>54.440260730178323</v>
          </cell>
          <cell r="I512">
            <v>55.353489719321772</v>
          </cell>
          <cell r="J512">
            <v>55.921824090014766</v>
          </cell>
          <cell r="K512">
            <v>56.810563514376582</v>
          </cell>
          <cell r="L512">
            <v>57.981705159721329</v>
          </cell>
          <cell r="M512">
            <v>57.630186168578042</v>
          </cell>
          <cell r="N512">
            <v>57.802035115500829</v>
          </cell>
          <cell r="O512">
            <v>57.659265403503014</v>
          </cell>
          <cell r="P512">
            <v>57.116101747184878</v>
          </cell>
          <cell r="Q512">
            <v>57.374365826359416</v>
          </cell>
          <cell r="R512">
            <v>57.044349740825368</v>
          </cell>
          <cell r="S512">
            <v>57.028110236561524</v>
          </cell>
          <cell r="T512">
            <v>57.028110236561524</v>
          </cell>
          <cell r="U512">
            <v>57.028110236561524</v>
          </cell>
          <cell r="V512">
            <v>57.028110236561524</v>
          </cell>
          <cell r="W512">
            <v>57.028110236561524</v>
          </cell>
          <cell r="X512">
            <v>57.028110236561524</v>
          </cell>
          <cell r="Y512">
            <v>57.028110236561524</v>
          </cell>
          <cell r="Z512">
            <v>57.028110236561524</v>
          </cell>
          <cell r="AA512">
            <v>57.028110236561524</v>
          </cell>
          <cell r="AB512">
            <v>57.028110236561524</v>
          </cell>
          <cell r="AC512">
            <v>57.028110236561524</v>
          </cell>
          <cell r="AD512">
            <v>57.028110236561524</v>
          </cell>
          <cell r="AE512">
            <v>57.028110236561524</v>
          </cell>
          <cell r="AF512">
            <v>57.028110236561524</v>
          </cell>
        </row>
        <row r="513">
          <cell r="A513" t="str">
            <v>Tennessee</v>
          </cell>
          <cell r="B513">
            <v>51.979449321362686</v>
          </cell>
          <cell r="C513">
            <v>53.050068158848809</v>
          </cell>
          <cell r="D513">
            <v>53.883507233241389</v>
          </cell>
          <cell r="E513">
            <v>54.732434643991148</v>
          </cell>
          <cell r="F513">
            <v>55.552179828866734</v>
          </cell>
          <cell r="G513">
            <v>56.392357873839664</v>
          </cell>
          <cell r="H513">
            <v>56.913171901067038</v>
          </cell>
          <cell r="I513">
            <v>57.879217515934542</v>
          </cell>
          <cell r="J513">
            <v>58.47898995637518</v>
          </cell>
          <cell r="K513">
            <v>59.420668992092359</v>
          </cell>
          <cell r="L513">
            <v>60.66499039758542</v>
          </cell>
          <cell r="M513">
            <v>60.289223675177482</v>
          </cell>
          <cell r="N513">
            <v>60.471026641489424</v>
          </cell>
          <cell r="O513">
            <v>60.324168891580307</v>
          </cell>
          <cell r="P513">
            <v>59.746527230584832</v>
          </cell>
          <cell r="Q513">
            <v>60.016075619697688</v>
          </cell>
          <cell r="R513">
            <v>59.662567349857447</v>
          </cell>
          <cell r="S513">
            <v>59.647329126919054</v>
          </cell>
          <cell r="T513">
            <v>59.647329126919054</v>
          </cell>
          <cell r="U513">
            <v>59.647329126919054</v>
          </cell>
          <cell r="V513">
            <v>59.647329126919054</v>
          </cell>
          <cell r="W513">
            <v>59.647329126919054</v>
          </cell>
          <cell r="X513">
            <v>59.647329126919054</v>
          </cell>
          <cell r="Y513">
            <v>59.647329126919054</v>
          </cell>
          <cell r="Z513">
            <v>59.647329126919054</v>
          </cell>
          <cell r="AA513">
            <v>59.647329126919054</v>
          </cell>
          <cell r="AB513">
            <v>59.647329126919054</v>
          </cell>
          <cell r="AC513">
            <v>59.647329126919054</v>
          </cell>
          <cell r="AD513">
            <v>59.647329126919054</v>
          </cell>
          <cell r="AE513">
            <v>59.647329126919054</v>
          </cell>
          <cell r="AF513">
            <v>59.647329126919054</v>
          </cell>
        </row>
        <row r="514">
          <cell r="A514" t="str">
            <v>Texas</v>
          </cell>
          <cell r="B514">
            <v>51.893556974409776</v>
          </cell>
          <cell r="C514">
            <v>52.962027209478606</v>
          </cell>
          <cell r="D514">
            <v>53.79417532529866</v>
          </cell>
          <cell r="E514">
            <v>54.641571466942501</v>
          </cell>
          <cell r="F514">
            <v>55.45972214704495</v>
          </cell>
          <cell r="G514">
            <v>56.298455974904286</v>
          </cell>
          <cell r="H514">
            <v>56.81834135713963</v>
          </cell>
          <cell r="I514">
            <v>57.782339262541271</v>
          </cell>
          <cell r="J514">
            <v>58.380895057128235</v>
          </cell>
          <cell r="K514">
            <v>59.320519235170941</v>
          </cell>
          <cell r="L514">
            <v>60.561995027617442</v>
          </cell>
          <cell r="M514">
            <v>60.187174451017533</v>
          </cell>
          <cell r="N514">
            <v>60.368591474929183</v>
          </cell>
          <cell r="O514">
            <v>60.221885773000608</v>
          </cell>
          <cell r="P514">
            <v>59.645585567602254</v>
          </cell>
          <cell r="Q514">
            <v>59.914702109241382</v>
          </cell>
          <cell r="R514">
            <v>59.562111447157314</v>
          </cell>
          <cell r="S514">
            <v>59.546831404099677</v>
          </cell>
          <cell r="T514">
            <v>59.546831404099677</v>
          </cell>
          <cell r="U514">
            <v>59.546831404099677</v>
          </cell>
          <cell r="V514">
            <v>59.546831404099677</v>
          </cell>
          <cell r="W514">
            <v>59.546831404099677</v>
          </cell>
          <cell r="X514">
            <v>59.546831404099677</v>
          </cell>
          <cell r="Y514">
            <v>59.546831404099677</v>
          </cell>
          <cell r="Z514">
            <v>59.546831404099677</v>
          </cell>
          <cell r="AA514">
            <v>59.546831404099677</v>
          </cell>
          <cell r="AB514">
            <v>59.546831404099677</v>
          </cell>
          <cell r="AC514">
            <v>59.546831404099677</v>
          </cell>
          <cell r="AD514">
            <v>59.546831404099677</v>
          </cell>
          <cell r="AE514">
            <v>59.546831404099677</v>
          </cell>
          <cell r="AF514">
            <v>59.546831404099677</v>
          </cell>
        </row>
        <row r="515">
          <cell r="A515" t="str">
            <v>Utah</v>
          </cell>
          <cell r="B515">
            <v>60.355744500716625</v>
          </cell>
          <cell r="C515">
            <v>61.643442036208427</v>
          </cell>
          <cell r="D515">
            <v>62.601061794867121</v>
          </cell>
          <cell r="E515">
            <v>63.601874362507353</v>
          </cell>
          <cell r="F515">
            <v>64.581887585139469</v>
          </cell>
          <cell r="G515">
            <v>65.56401802268239</v>
          </cell>
          <cell r="H515">
            <v>66.176747068351474</v>
          </cell>
          <cell r="I515">
            <v>67.351461925981866</v>
          </cell>
          <cell r="J515">
            <v>68.074367570983654</v>
          </cell>
          <cell r="K515">
            <v>69.226355638357361</v>
          </cell>
          <cell r="L515">
            <v>70.763880365246479</v>
          </cell>
          <cell r="M515">
            <v>70.2893784413167</v>
          </cell>
          <cell r="N515">
            <v>70.510519337620551</v>
          </cell>
          <cell r="O515">
            <v>70.350635600037975</v>
          </cell>
          <cell r="P515">
            <v>69.634480505372466</v>
          </cell>
          <cell r="Q515">
            <v>69.945873377051043</v>
          </cell>
          <cell r="R515">
            <v>69.496249077542004</v>
          </cell>
          <cell r="S515">
            <v>69.486421341696442</v>
          </cell>
          <cell r="T515">
            <v>69.486421341696442</v>
          </cell>
          <cell r="U515">
            <v>69.486421341696442</v>
          </cell>
          <cell r="V515">
            <v>69.486421341696442</v>
          </cell>
          <cell r="W515">
            <v>69.486421341696442</v>
          </cell>
          <cell r="X515">
            <v>69.486421341696442</v>
          </cell>
          <cell r="Y515">
            <v>69.486421341696442</v>
          </cell>
          <cell r="Z515">
            <v>69.486421341696442</v>
          </cell>
          <cell r="AA515">
            <v>69.486421341696442</v>
          </cell>
          <cell r="AB515">
            <v>69.486421341696442</v>
          </cell>
          <cell r="AC515">
            <v>69.486421341696442</v>
          </cell>
          <cell r="AD515">
            <v>69.486421341696442</v>
          </cell>
          <cell r="AE515">
            <v>69.486421341696442</v>
          </cell>
          <cell r="AF515">
            <v>69.486421341696442</v>
          </cell>
        </row>
        <row r="516">
          <cell r="A516" t="str">
            <v>Vermont</v>
          </cell>
          <cell r="B516">
            <v>51.507346470917888</v>
          </cell>
          <cell r="C516">
            <v>52.566174827701303</v>
          </cell>
          <cell r="D516">
            <v>53.392513851233801</v>
          </cell>
          <cell r="E516">
            <v>54.233031221270977</v>
          </cell>
          <cell r="F516">
            <v>55.044024433536919</v>
          </cell>
          <cell r="G516">
            <v>55.876267241341907</v>
          </cell>
          <cell r="H516">
            <v>56.391980461947057</v>
          </cell>
          <cell r="I516">
            <v>57.346793787464087</v>
          </cell>
          <cell r="J516">
            <v>57.939890410242811</v>
          </cell>
          <cell r="K516">
            <v>58.870300265887622</v>
          </cell>
          <cell r="L516">
            <v>60.099020852509341</v>
          </cell>
          <cell r="M516">
            <v>59.728438115808416</v>
          </cell>
          <cell r="N516">
            <v>59.908124097214348</v>
          </cell>
          <cell r="O516">
            <v>59.762106656712739</v>
          </cell>
          <cell r="P516">
            <v>59.191818657974089</v>
          </cell>
          <cell r="Q516">
            <v>59.458992733508509</v>
          </cell>
          <cell r="R516">
            <v>59.110511174382168</v>
          </cell>
          <cell r="S516">
            <v>59.095046479496148</v>
          </cell>
          <cell r="T516">
            <v>59.095046479496148</v>
          </cell>
          <cell r="U516">
            <v>59.095046479496148</v>
          </cell>
          <cell r="V516">
            <v>59.095046479496148</v>
          </cell>
          <cell r="W516">
            <v>59.095046479496148</v>
          </cell>
          <cell r="X516">
            <v>59.095046479496148</v>
          </cell>
          <cell r="Y516">
            <v>59.095046479496148</v>
          </cell>
          <cell r="Z516">
            <v>59.095046479496148</v>
          </cell>
          <cell r="AA516">
            <v>59.095046479496148</v>
          </cell>
          <cell r="AB516">
            <v>59.095046479496148</v>
          </cell>
          <cell r="AC516">
            <v>59.095046479496148</v>
          </cell>
          <cell r="AD516">
            <v>59.095046479496148</v>
          </cell>
          <cell r="AE516">
            <v>59.095046479496148</v>
          </cell>
          <cell r="AF516">
            <v>59.095046479496148</v>
          </cell>
        </row>
        <row r="517">
          <cell r="A517" t="str">
            <v>Virginia</v>
          </cell>
          <cell r="B517">
            <v>51.979449321362686</v>
          </cell>
          <cell r="C517">
            <v>53.050068158848838</v>
          </cell>
          <cell r="D517">
            <v>53.883507233241403</v>
          </cell>
          <cell r="E517">
            <v>54.732434643991134</v>
          </cell>
          <cell r="F517">
            <v>55.552179828866734</v>
          </cell>
          <cell r="G517">
            <v>56.392357873839678</v>
          </cell>
          <cell r="H517">
            <v>56.913171901067038</v>
          </cell>
          <cell r="I517">
            <v>57.879217515934528</v>
          </cell>
          <cell r="J517">
            <v>58.47898995637518</v>
          </cell>
          <cell r="K517">
            <v>59.420668992092359</v>
          </cell>
          <cell r="L517">
            <v>60.66499039758542</v>
          </cell>
          <cell r="M517">
            <v>60.289223675177467</v>
          </cell>
          <cell r="N517">
            <v>60.471026641489424</v>
          </cell>
          <cell r="O517">
            <v>60.324168891580314</v>
          </cell>
          <cell r="P517">
            <v>59.746527230584846</v>
          </cell>
          <cell r="Q517">
            <v>60.016075619697666</v>
          </cell>
          <cell r="R517">
            <v>59.662567349857447</v>
          </cell>
          <cell r="S517">
            <v>59.647329126919047</v>
          </cell>
          <cell r="T517">
            <v>59.647329126919047</v>
          </cell>
          <cell r="U517">
            <v>59.647329126919047</v>
          </cell>
          <cell r="V517">
            <v>59.647329126919047</v>
          </cell>
          <cell r="W517">
            <v>59.647329126919047</v>
          </cell>
          <cell r="X517">
            <v>59.647329126919047</v>
          </cell>
          <cell r="Y517">
            <v>59.647329126919047</v>
          </cell>
          <cell r="Z517">
            <v>59.647329126919047</v>
          </cell>
          <cell r="AA517">
            <v>59.647329126919047</v>
          </cell>
          <cell r="AB517">
            <v>59.647329126919047</v>
          </cell>
          <cell r="AC517">
            <v>59.647329126919047</v>
          </cell>
          <cell r="AD517">
            <v>59.647329126919047</v>
          </cell>
          <cell r="AE517">
            <v>59.647329126919047</v>
          </cell>
          <cell r="AF517">
            <v>59.647329126919047</v>
          </cell>
        </row>
        <row r="518">
          <cell r="A518" t="str">
            <v>Washington</v>
          </cell>
          <cell r="B518">
            <v>60.355744500716625</v>
          </cell>
          <cell r="C518">
            <v>61.64344203620842</v>
          </cell>
          <cell r="D518">
            <v>62.601061794867135</v>
          </cell>
          <cell r="E518">
            <v>63.60187436250736</v>
          </cell>
          <cell r="F518">
            <v>64.581887585139469</v>
          </cell>
          <cell r="G518">
            <v>65.56401802268239</v>
          </cell>
          <cell r="H518">
            <v>66.17674706835146</v>
          </cell>
          <cell r="I518">
            <v>67.351461925981866</v>
          </cell>
          <cell r="J518">
            <v>68.074367570983668</v>
          </cell>
          <cell r="K518">
            <v>69.226355638357347</v>
          </cell>
          <cell r="L518">
            <v>70.763880365246493</v>
          </cell>
          <cell r="M518">
            <v>70.289378441316686</v>
          </cell>
          <cell r="N518">
            <v>70.510519337620565</v>
          </cell>
          <cell r="O518">
            <v>70.350635600037975</v>
          </cell>
          <cell r="P518">
            <v>69.634480505372437</v>
          </cell>
          <cell r="Q518">
            <v>69.945873377051043</v>
          </cell>
          <cell r="R518">
            <v>69.496249077542004</v>
          </cell>
          <cell r="S518">
            <v>69.486421341696456</v>
          </cell>
          <cell r="T518">
            <v>69.486421341696456</v>
          </cell>
          <cell r="U518">
            <v>69.486421341696456</v>
          </cell>
          <cell r="V518">
            <v>69.486421341696456</v>
          </cell>
          <cell r="W518">
            <v>69.486421341696456</v>
          </cell>
          <cell r="X518">
            <v>69.486421341696456</v>
          </cell>
          <cell r="Y518">
            <v>69.486421341696456</v>
          </cell>
          <cell r="Z518">
            <v>69.486421341696456</v>
          </cell>
          <cell r="AA518">
            <v>69.486421341696456</v>
          </cell>
          <cell r="AB518">
            <v>69.486421341696456</v>
          </cell>
          <cell r="AC518">
            <v>69.486421341696456</v>
          </cell>
          <cell r="AD518">
            <v>69.486421341696456</v>
          </cell>
          <cell r="AE518">
            <v>69.486421341696456</v>
          </cell>
          <cell r="AF518">
            <v>69.486421341696456</v>
          </cell>
        </row>
        <row r="519">
          <cell r="A519" t="str">
            <v>West Virginia</v>
          </cell>
          <cell r="B519">
            <v>51.507346470917888</v>
          </cell>
          <cell r="C519">
            <v>52.566174827701303</v>
          </cell>
          <cell r="D519">
            <v>53.392513851233815</v>
          </cell>
          <cell r="E519">
            <v>54.233031221270963</v>
          </cell>
          <cell r="F519">
            <v>55.044024433536926</v>
          </cell>
          <cell r="G519">
            <v>55.876267241341907</v>
          </cell>
          <cell r="H519">
            <v>56.391980461947043</v>
          </cell>
          <cell r="I519">
            <v>57.346793787464087</v>
          </cell>
          <cell r="J519">
            <v>57.939890410242796</v>
          </cell>
          <cell r="K519">
            <v>58.870300265887636</v>
          </cell>
          <cell r="L519">
            <v>60.099020852509319</v>
          </cell>
          <cell r="M519">
            <v>59.728438115808416</v>
          </cell>
          <cell r="N519">
            <v>59.908124097214348</v>
          </cell>
          <cell r="O519">
            <v>59.762106656712739</v>
          </cell>
          <cell r="P519">
            <v>59.191818657974089</v>
          </cell>
          <cell r="Q519">
            <v>59.458992733508502</v>
          </cell>
          <cell r="R519">
            <v>59.110511174382182</v>
          </cell>
          <cell r="S519">
            <v>59.095046479496141</v>
          </cell>
          <cell r="T519">
            <v>59.095046479496141</v>
          </cell>
          <cell r="U519">
            <v>59.095046479496141</v>
          </cell>
          <cell r="V519">
            <v>59.095046479496141</v>
          </cell>
          <cell r="W519">
            <v>59.095046479496141</v>
          </cell>
          <cell r="X519">
            <v>59.095046479496141</v>
          </cell>
          <cell r="Y519">
            <v>59.095046479496141</v>
          </cell>
          <cell r="Z519">
            <v>59.095046479496141</v>
          </cell>
          <cell r="AA519">
            <v>59.095046479496141</v>
          </cell>
          <cell r="AB519">
            <v>59.095046479496141</v>
          </cell>
          <cell r="AC519">
            <v>59.095046479496141</v>
          </cell>
          <cell r="AD519">
            <v>59.095046479496141</v>
          </cell>
          <cell r="AE519">
            <v>59.095046479496141</v>
          </cell>
          <cell r="AF519">
            <v>59.095046479496141</v>
          </cell>
        </row>
        <row r="520">
          <cell r="A520" t="str">
            <v>Wisconsin</v>
          </cell>
          <cell r="B520">
            <v>51.516531667643655</v>
          </cell>
          <cell r="C520">
            <v>52.575588964124975</v>
          </cell>
          <cell r="D520">
            <v>53.402066229100377</v>
          </cell>
          <cell r="E520">
            <v>54.242747070202121</v>
          </cell>
          <cell r="F520">
            <v>55.053910272499174</v>
          </cell>
          <cell r="G520">
            <v>55.886307400666091</v>
          </cell>
          <cell r="H520">
            <v>56.402119780598014</v>
          </cell>
          <cell r="I520">
            <v>57.357151099470613</v>
          </cell>
          <cell r="J520">
            <v>57.950377335998269</v>
          </cell>
          <cell r="K520">
            <v>58.881005845895693</v>
          </cell>
          <cell r="L520">
            <v>60.110029014307223</v>
          </cell>
          <cell r="M520">
            <v>59.739345808306886</v>
          </cell>
          <cell r="N520">
            <v>59.919072875064984</v>
          </cell>
          <cell r="O520">
            <v>59.773038976912488</v>
          </cell>
          <cell r="P520">
            <v>59.202608369822009</v>
          </cell>
          <cell r="Q520">
            <v>59.469828656079237</v>
          </cell>
          <cell r="R520">
            <v>59.121249697466169</v>
          </cell>
          <cell r="S520">
            <v>59.10578932846947</v>
          </cell>
          <cell r="T520">
            <v>59.10578932846947</v>
          </cell>
          <cell r="U520">
            <v>59.10578932846947</v>
          </cell>
          <cell r="V520">
            <v>59.10578932846947</v>
          </cell>
          <cell r="W520">
            <v>59.10578932846947</v>
          </cell>
          <cell r="X520">
            <v>59.10578932846947</v>
          </cell>
          <cell r="Y520">
            <v>59.10578932846947</v>
          </cell>
          <cell r="Z520">
            <v>59.10578932846947</v>
          </cell>
          <cell r="AA520">
            <v>59.10578932846947</v>
          </cell>
          <cell r="AB520">
            <v>59.10578932846947</v>
          </cell>
          <cell r="AC520">
            <v>59.10578932846947</v>
          </cell>
          <cell r="AD520">
            <v>59.10578932846947</v>
          </cell>
          <cell r="AE520">
            <v>59.10578932846947</v>
          </cell>
          <cell r="AF520">
            <v>59.10578932846947</v>
          </cell>
        </row>
        <row r="521">
          <cell r="A521" t="str">
            <v>Wyoming</v>
          </cell>
          <cell r="B521">
            <v>49.73866799405878</v>
          </cell>
          <cell r="C521">
            <v>50.753741780928216</v>
          </cell>
          <cell r="D521">
            <v>51.55338650016968</v>
          </cell>
          <cell r="E521">
            <v>52.362537841704501</v>
          </cell>
          <cell r="F521">
            <v>53.141006522540536</v>
          </cell>
          <cell r="G521">
            <v>53.9435823081064</v>
          </cell>
          <cell r="H521">
            <v>54.440260730178316</v>
          </cell>
          <cell r="I521">
            <v>55.353489719321779</v>
          </cell>
          <cell r="J521">
            <v>55.921824090014766</v>
          </cell>
          <cell r="K521">
            <v>56.810563514376582</v>
          </cell>
          <cell r="L521">
            <v>57.981705159721329</v>
          </cell>
          <cell r="M521">
            <v>57.630186168578049</v>
          </cell>
          <cell r="N521">
            <v>57.802035115500829</v>
          </cell>
          <cell r="O521">
            <v>57.659265403503028</v>
          </cell>
          <cell r="P521">
            <v>57.116101747184892</v>
          </cell>
          <cell r="Q521">
            <v>57.374365826359409</v>
          </cell>
          <cell r="R521">
            <v>57.044349740825361</v>
          </cell>
          <cell r="S521">
            <v>57.028110236561517</v>
          </cell>
          <cell r="T521">
            <v>57.028110236561517</v>
          </cell>
          <cell r="U521">
            <v>57.028110236561517</v>
          </cell>
          <cell r="V521">
            <v>57.028110236561517</v>
          </cell>
          <cell r="W521">
            <v>57.028110236561517</v>
          </cell>
          <cell r="X521">
            <v>57.028110236561517</v>
          </cell>
          <cell r="Y521">
            <v>57.028110236561517</v>
          </cell>
          <cell r="Z521">
            <v>57.028110236561517</v>
          </cell>
          <cell r="AA521">
            <v>57.028110236561517</v>
          </cell>
          <cell r="AB521">
            <v>57.028110236561517</v>
          </cell>
          <cell r="AC521">
            <v>57.028110236561517</v>
          </cell>
          <cell r="AD521">
            <v>57.028110236561517</v>
          </cell>
          <cell r="AE521">
            <v>57.028110236561517</v>
          </cell>
          <cell r="AF521">
            <v>57.028110236561517</v>
          </cell>
        </row>
        <row r="523">
          <cell r="A523" t="str">
            <v>Steer Feedlot</v>
          </cell>
          <cell r="B523">
            <v>1990</v>
          </cell>
          <cell r="C523">
            <v>1991</v>
          </cell>
          <cell r="D523">
            <v>1992</v>
          </cell>
          <cell r="E523">
            <v>1993</v>
          </cell>
          <cell r="F523">
            <v>1994</v>
          </cell>
          <cell r="G523">
            <v>1995</v>
          </cell>
          <cell r="H523">
            <v>1996</v>
          </cell>
          <cell r="I523">
            <v>1997</v>
          </cell>
          <cell r="J523">
            <v>1998</v>
          </cell>
          <cell r="K523">
            <v>1999</v>
          </cell>
          <cell r="L523">
            <v>2000</v>
          </cell>
          <cell r="M523">
            <v>2001</v>
          </cell>
          <cell r="N523">
            <v>2002</v>
          </cell>
          <cell r="O523">
            <v>2003</v>
          </cell>
          <cell r="P523">
            <v>2004</v>
          </cell>
          <cell r="Q523">
            <v>2005</v>
          </cell>
          <cell r="R523">
            <v>2006</v>
          </cell>
          <cell r="S523">
            <v>2007</v>
          </cell>
          <cell r="T523">
            <v>2008</v>
          </cell>
          <cell r="U523">
            <v>2009</v>
          </cell>
          <cell r="V523">
            <v>2010</v>
          </cell>
          <cell r="W523">
            <v>2011</v>
          </cell>
          <cell r="X523">
            <v>2012</v>
          </cell>
          <cell r="Y523">
            <v>2013</v>
          </cell>
          <cell r="Z523">
            <v>2014</v>
          </cell>
          <cell r="AA523">
            <v>2015</v>
          </cell>
          <cell r="AB523">
            <v>2016</v>
          </cell>
          <cell r="AC523">
            <v>2017</v>
          </cell>
          <cell r="AD523">
            <v>2018</v>
          </cell>
          <cell r="AE523">
            <v>2019</v>
          </cell>
          <cell r="AF523">
            <v>2020</v>
          </cell>
        </row>
        <row r="524">
          <cell r="A524" t="str">
            <v>Alabama</v>
          </cell>
          <cell r="B524">
            <v>40.512265153579051</v>
          </cell>
          <cell r="C524">
            <v>39.247463250382964</v>
          </cell>
          <cell r="D524">
            <v>36.353776342177468</v>
          </cell>
          <cell r="E524">
            <v>37.625006842775797</v>
          </cell>
          <cell r="F524">
            <v>36.701617355440298</v>
          </cell>
          <cell r="G524">
            <v>34.203221839381158</v>
          </cell>
          <cell r="H524">
            <v>34.770375486576924</v>
          </cell>
          <cell r="I524">
            <v>32.273568681187022</v>
          </cell>
          <cell r="J524">
            <v>33.264986679623462</v>
          </cell>
          <cell r="K524">
            <v>32.248893476374612</v>
          </cell>
          <cell r="L524">
            <v>32.683053578538612</v>
          </cell>
          <cell r="M524">
            <v>32.527662601653724</v>
          </cell>
          <cell r="N524">
            <v>32.698835087885428</v>
          </cell>
          <cell r="O524">
            <v>31.094029477090299</v>
          </cell>
          <cell r="P524">
            <v>32.212529119296242</v>
          </cell>
          <cell r="Q524">
            <v>32.884918994521378</v>
          </cell>
          <cell r="R524">
            <v>30.923239443534026</v>
          </cell>
          <cell r="S524">
            <v>32.791825708097761</v>
          </cell>
          <cell r="T524">
            <v>32.791825708097761</v>
          </cell>
          <cell r="U524">
            <v>32.791825708097761</v>
          </cell>
          <cell r="V524">
            <v>32.791825708097761</v>
          </cell>
          <cell r="W524">
            <v>32.791825708097761</v>
          </cell>
          <cell r="X524">
            <v>32.791825708097761</v>
          </cell>
          <cell r="Y524">
            <v>32.791825708097761</v>
          </cell>
          <cell r="Z524">
            <v>32.791825708097761</v>
          </cell>
          <cell r="AA524">
            <v>32.791825708097761</v>
          </cell>
          <cell r="AB524">
            <v>32.791825708097761</v>
          </cell>
          <cell r="AC524">
            <v>32.791825708097761</v>
          </cell>
          <cell r="AD524">
            <v>32.791825708097761</v>
          </cell>
          <cell r="AE524">
            <v>32.791825708097761</v>
          </cell>
          <cell r="AF524">
            <v>32.791825708097761</v>
          </cell>
        </row>
        <row r="525">
          <cell r="A525" t="str">
            <v>Alaska</v>
          </cell>
          <cell r="B525">
            <v>37.567561716529632</v>
          </cell>
          <cell r="C525">
            <v>39.253992070085822</v>
          </cell>
          <cell r="D525">
            <v>37.067820973715854</v>
          </cell>
          <cell r="E525">
            <v>37.282326258420753</v>
          </cell>
          <cell r="F525">
            <v>33.225098437293823</v>
          </cell>
          <cell r="G525">
            <v>32.333579523242953</v>
          </cell>
          <cell r="H525">
            <v>31.564670400545189</v>
          </cell>
          <cell r="I525">
            <v>34.164847291109467</v>
          </cell>
          <cell r="J525">
            <v>33.541807704795779</v>
          </cell>
          <cell r="K525">
            <v>35.878794111049139</v>
          </cell>
          <cell r="L525">
            <v>32.954849093787686</v>
          </cell>
          <cell r="M525">
            <v>32.407874234111581</v>
          </cell>
          <cell r="N525">
            <v>32.924003518411695</v>
          </cell>
          <cell r="O525">
            <v>33.140784215585661</v>
          </cell>
          <cell r="P525">
            <v>30.437148523073436</v>
          </cell>
          <cell r="Q525">
            <v>31.973225445764928</v>
          </cell>
          <cell r="R525">
            <v>31.974907457419274</v>
          </cell>
          <cell r="S525">
            <v>32.674878524153677</v>
          </cell>
          <cell r="T525">
            <v>32.674878524153677</v>
          </cell>
          <cell r="U525">
            <v>32.674878524153677</v>
          </cell>
          <cell r="V525">
            <v>32.674878524153677</v>
          </cell>
          <cell r="W525">
            <v>32.674878524153677</v>
          </cell>
          <cell r="X525">
            <v>32.674878524153677</v>
          </cell>
          <cell r="Y525">
            <v>32.674878524153677</v>
          </cell>
          <cell r="Z525">
            <v>32.674878524153677</v>
          </cell>
          <cell r="AA525">
            <v>32.674878524153677</v>
          </cell>
          <cell r="AB525">
            <v>32.674878524153677</v>
          </cell>
          <cell r="AC525">
            <v>32.674878524153677</v>
          </cell>
          <cell r="AD525">
            <v>32.674878524153677</v>
          </cell>
          <cell r="AE525">
            <v>32.674878524153677</v>
          </cell>
          <cell r="AF525">
            <v>32.674878524153677</v>
          </cell>
        </row>
        <row r="526">
          <cell r="A526" t="str">
            <v>Arizona</v>
          </cell>
          <cell r="B526">
            <v>39.51917621134384</v>
          </cell>
          <cell r="C526">
            <v>38.804291471587298</v>
          </cell>
          <cell r="D526">
            <v>36.608075465691286</v>
          </cell>
          <cell r="E526">
            <v>35.265218182495659</v>
          </cell>
          <cell r="F526">
            <v>34.489826736350217</v>
          </cell>
          <cell r="G526">
            <v>33.519690084146276</v>
          </cell>
          <cell r="H526">
            <v>32.209384682502254</v>
          </cell>
          <cell r="I526">
            <v>32.102270396552946</v>
          </cell>
          <cell r="J526">
            <v>32.241436969340036</v>
          </cell>
          <cell r="K526">
            <v>32.948431851161388</v>
          </cell>
          <cell r="L526">
            <v>31.560854022699043</v>
          </cell>
          <cell r="M526">
            <v>32.062722274287935</v>
          </cell>
          <cell r="N526">
            <v>32.643607176277932</v>
          </cell>
          <cell r="O526">
            <v>32.287876980882778</v>
          </cell>
          <cell r="P526">
            <v>32.123715605292219</v>
          </cell>
          <cell r="Q526">
            <v>31.591819159437325</v>
          </cell>
          <cell r="R526">
            <v>32.121219212174182</v>
          </cell>
          <cell r="S526">
            <v>32.19738674691466</v>
          </cell>
          <cell r="T526">
            <v>32.19738674691466</v>
          </cell>
          <cell r="U526">
            <v>32.19738674691466</v>
          </cell>
          <cell r="V526">
            <v>32.19738674691466</v>
          </cell>
          <cell r="W526">
            <v>32.19738674691466</v>
          </cell>
          <cell r="X526">
            <v>32.19738674691466</v>
          </cell>
          <cell r="Y526">
            <v>32.19738674691466</v>
          </cell>
          <cell r="Z526">
            <v>32.19738674691466</v>
          </cell>
          <cell r="AA526">
            <v>32.19738674691466</v>
          </cell>
          <cell r="AB526">
            <v>32.19738674691466</v>
          </cell>
          <cell r="AC526">
            <v>32.19738674691466</v>
          </cell>
          <cell r="AD526">
            <v>32.19738674691466</v>
          </cell>
          <cell r="AE526">
            <v>32.19738674691466</v>
          </cell>
          <cell r="AF526">
            <v>32.19738674691466</v>
          </cell>
        </row>
        <row r="527">
          <cell r="A527" t="str">
            <v>Arkansas</v>
          </cell>
          <cell r="B527">
            <v>39.974828784840007</v>
          </cell>
          <cell r="C527">
            <v>37.281355831293972</v>
          </cell>
          <cell r="D527">
            <v>35.893918760489981</v>
          </cell>
          <cell r="E527">
            <v>35.308304211405272</v>
          </cell>
          <cell r="F527">
            <v>36.701617355440298</v>
          </cell>
          <cell r="G527">
            <v>32.362944036825752</v>
          </cell>
          <cell r="H527">
            <v>31.333380022706283</v>
          </cell>
          <cell r="I527">
            <v>32.082599780135624</v>
          </cell>
          <cell r="J527">
            <v>35.490246629966613</v>
          </cell>
          <cell r="K527">
            <v>31.01722761991245</v>
          </cell>
          <cell r="L527">
            <v>34.364807182882238</v>
          </cell>
          <cell r="M527">
            <v>32.527662601653731</v>
          </cell>
          <cell r="N527">
            <v>31.575867551866384</v>
          </cell>
          <cell r="O527">
            <v>32.029048253773311</v>
          </cell>
          <cell r="P527">
            <v>34.525180299035668</v>
          </cell>
          <cell r="Q527">
            <v>32.092332766613104</v>
          </cell>
          <cell r="R527">
            <v>36.936019669772286</v>
          </cell>
          <cell r="S527">
            <v>35.624758555080831</v>
          </cell>
          <cell r="T527">
            <v>35.624758555080831</v>
          </cell>
          <cell r="U527">
            <v>35.624758555080831</v>
          </cell>
          <cell r="V527">
            <v>35.624758555080831</v>
          </cell>
          <cell r="W527">
            <v>35.624758555080831</v>
          </cell>
          <cell r="X527">
            <v>35.624758555080831</v>
          </cell>
          <cell r="Y527">
            <v>35.624758555080831</v>
          </cell>
          <cell r="Z527">
            <v>35.624758555080831</v>
          </cell>
          <cell r="AA527">
            <v>35.624758555080831</v>
          </cell>
          <cell r="AB527">
            <v>35.624758555080831</v>
          </cell>
          <cell r="AC527">
            <v>35.624758555080831</v>
          </cell>
          <cell r="AD527">
            <v>35.624758555080831</v>
          </cell>
          <cell r="AE527">
            <v>35.624758555080831</v>
          </cell>
          <cell r="AF527">
            <v>35.624758555080831</v>
          </cell>
        </row>
        <row r="528">
          <cell r="A528" t="str">
            <v>California</v>
          </cell>
          <cell r="B528">
            <v>39.127543897389145</v>
          </cell>
          <cell r="C528">
            <v>39.112534309857253</v>
          </cell>
          <cell r="D528">
            <v>36.741024832019576</v>
          </cell>
          <cell r="E528">
            <v>34.968989179537864</v>
          </cell>
          <cell r="F528">
            <v>34.948458904857198</v>
          </cell>
          <cell r="G528">
            <v>33.007041267720133</v>
          </cell>
          <cell r="H528">
            <v>32.980403165429109</v>
          </cell>
          <cell r="I528">
            <v>32.031674739855262</v>
          </cell>
          <cell r="J528">
            <v>32.195150165035407</v>
          </cell>
          <cell r="K528">
            <v>32.248893476374626</v>
          </cell>
          <cell r="L528">
            <v>32.515891322685192</v>
          </cell>
          <cell r="M528">
            <v>32.15232571668831</v>
          </cell>
          <cell r="N528">
            <v>32.435639571630958</v>
          </cell>
          <cell r="O528">
            <v>31.887378742154674</v>
          </cell>
          <cell r="P528">
            <v>32.050033768880709</v>
          </cell>
          <cell r="Q528">
            <v>31.888606741065647</v>
          </cell>
          <cell r="R528">
            <v>32.033937153703555</v>
          </cell>
          <cell r="S528">
            <v>32.197386746914653</v>
          </cell>
          <cell r="T528">
            <v>32.197386746914653</v>
          </cell>
          <cell r="U528">
            <v>32.197386746914653</v>
          </cell>
          <cell r="V528">
            <v>32.197386746914653</v>
          </cell>
          <cell r="W528">
            <v>32.197386746914653</v>
          </cell>
          <cell r="X528">
            <v>32.197386746914653</v>
          </cell>
          <cell r="Y528">
            <v>32.197386746914653</v>
          </cell>
          <cell r="Z528">
            <v>32.197386746914653</v>
          </cell>
          <cell r="AA528">
            <v>32.197386746914653</v>
          </cell>
          <cell r="AB528">
            <v>32.197386746914653</v>
          </cell>
          <cell r="AC528">
            <v>32.197386746914653</v>
          </cell>
          <cell r="AD528">
            <v>32.197386746914653</v>
          </cell>
          <cell r="AE528">
            <v>32.197386746914653</v>
          </cell>
          <cell r="AF528">
            <v>32.197386746914653</v>
          </cell>
        </row>
        <row r="529">
          <cell r="A529" t="str">
            <v>Colorado</v>
          </cell>
          <cell r="B529">
            <v>39.101494685639025</v>
          </cell>
          <cell r="C529">
            <v>38.107451385533039</v>
          </cell>
          <cell r="D529">
            <v>36.551564549354879</v>
          </cell>
          <cell r="E529">
            <v>35.259396044743006</v>
          </cell>
          <cell r="F529">
            <v>34.3385118113845</v>
          </cell>
          <cell r="G529">
            <v>33.323606227089002</v>
          </cell>
          <cell r="H529">
            <v>32.128284332639701</v>
          </cell>
          <cell r="I529">
            <v>32.08090978986084</v>
          </cell>
          <cell r="J529">
            <v>32.379086969297909</v>
          </cell>
          <cell r="K529">
            <v>32.185186621730026</v>
          </cell>
          <cell r="L529">
            <v>32.528892831473797</v>
          </cell>
          <cell r="M529">
            <v>32.409961139469452</v>
          </cell>
          <cell r="N529">
            <v>32.768440513671727</v>
          </cell>
          <cell r="O529">
            <v>32.793246292408469</v>
          </cell>
          <cell r="P529">
            <v>32.099329140026342</v>
          </cell>
          <cell r="Q529">
            <v>31.933796877641626</v>
          </cell>
          <cell r="R529">
            <v>32.078867745664994</v>
          </cell>
          <cell r="S529">
            <v>32.151890660965563</v>
          </cell>
          <cell r="T529">
            <v>32.151890660965563</v>
          </cell>
          <cell r="U529">
            <v>32.151890660965563</v>
          </cell>
          <cell r="V529">
            <v>32.151890660965563</v>
          </cell>
          <cell r="W529">
            <v>32.151890660965563</v>
          </cell>
          <cell r="X529">
            <v>32.151890660965563</v>
          </cell>
          <cell r="Y529">
            <v>32.151890660965563</v>
          </cell>
          <cell r="Z529">
            <v>32.151890660965563</v>
          </cell>
          <cell r="AA529">
            <v>32.151890660965563</v>
          </cell>
          <cell r="AB529">
            <v>32.151890660965563</v>
          </cell>
          <cell r="AC529">
            <v>32.151890660965563</v>
          </cell>
          <cell r="AD529">
            <v>32.151890660965563</v>
          </cell>
          <cell r="AE529">
            <v>32.151890660965563</v>
          </cell>
          <cell r="AF529">
            <v>32.151890660965563</v>
          </cell>
        </row>
        <row r="530">
          <cell r="A530" t="str">
            <v>Connecticut</v>
          </cell>
          <cell r="B530">
            <v>37.567561716529632</v>
          </cell>
          <cell r="C530">
            <v>39.253992070085836</v>
          </cell>
          <cell r="D530">
            <v>36.335670092876136</v>
          </cell>
          <cell r="E530">
            <v>42.156409860648978</v>
          </cell>
          <cell r="F530">
            <v>33.588833480258224</v>
          </cell>
          <cell r="G530">
            <v>33.999339506389141</v>
          </cell>
          <cell r="H530">
            <v>31.842779313089324</v>
          </cell>
          <cell r="I530">
            <v>33.704873313617874</v>
          </cell>
          <cell r="J530">
            <v>32.63057428809087</v>
          </cell>
          <cell r="K530">
            <v>34.261608793269417</v>
          </cell>
          <cell r="L530">
            <v>32.138746105922031</v>
          </cell>
          <cell r="M530">
            <v>34.290262866916862</v>
          </cell>
          <cell r="N530">
            <v>32.607125183369007</v>
          </cell>
          <cell r="O530">
            <v>31.638434159613166</v>
          </cell>
          <cell r="P530">
            <v>32.121172294691419</v>
          </cell>
          <cell r="Q530">
            <v>31.647023166852073</v>
          </cell>
          <cell r="R530">
            <v>33.349737033187139</v>
          </cell>
          <cell r="S530">
            <v>31.378290180425616</v>
          </cell>
          <cell r="T530">
            <v>31.378290180425616</v>
          </cell>
          <cell r="U530">
            <v>31.378290180425616</v>
          </cell>
          <cell r="V530">
            <v>31.378290180425616</v>
          </cell>
          <cell r="W530">
            <v>31.378290180425616</v>
          </cell>
          <cell r="X530">
            <v>31.378290180425616</v>
          </cell>
          <cell r="Y530">
            <v>31.378290180425616</v>
          </cell>
          <cell r="Z530">
            <v>31.378290180425616</v>
          </cell>
          <cell r="AA530">
            <v>31.378290180425616</v>
          </cell>
          <cell r="AB530">
            <v>31.378290180425616</v>
          </cell>
          <cell r="AC530">
            <v>31.378290180425616</v>
          </cell>
          <cell r="AD530">
            <v>31.378290180425616</v>
          </cell>
          <cell r="AE530">
            <v>31.378290180425616</v>
          </cell>
          <cell r="AF530">
            <v>31.378290180425616</v>
          </cell>
        </row>
        <row r="531">
          <cell r="A531" t="str">
            <v>Delaware</v>
          </cell>
          <cell r="B531">
            <v>37.081629666461396</v>
          </cell>
          <cell r="C531">
            <v>40.625881235852873</v>
          </cell>
          <cell r="D531">
            <v>36.936689472669919</v>
          </cell>
          <cell r="E531">
            <v>38.500847158977805</v>
          </cell>
          <cell r="F531">
            <v>33.479712967368897</v>
          </cell>
          <cell r="G531">
            <v>33.999339506389148</v>
          </cell>
          <cell r="H531">
            <v>31.101155546304934</v>
          </cell>
          <cell r="I531">
            <v>37.402356440377162</v>
          </cell>
          <cell r="J531">
            <v>33.373060775776352</v>
          </cell>
          <cell r="K531">
            <v>37.360081502964988</v>
          </cell>
          <cell r="L531">
            <v>34.117177591656976</v>
          </cell>
          <cell r="M531">
            <v>32.360814518291441</v>
          </cell>
          <cell r="N531">
            <v>37.641969840158403</v>
          </cell>
          <cell r="O531">
            <v>34.69877686622381</v>
          </cell>
          <cell r="P531">
            <v>28.392147407108624</v>
          </cell>
          <cell r="Q531">
            <v>33.858833740944121</v>
          </cell>
          <cell r="R531">
            <v>32.238598315205437</v>
          </cell>
          <cell r="S531">
            <v>31.115214284596728</v>
          </cell>
          <cell r="T531">
            <v>31.115214284596728</v>
          </cell>
          <cell r="U531">
            <v>31.115214284596728</v>
          </cell>
          <cell r="V531">
            <v>31.115214284596728</v>
          </cell>
          <cell r="W531">
            <v>31.115214284596728</v>
          </cell>
          <cell r="X531">
            <v>31.115214284596728</v>
          </cell>
          <cell r="Y531">
            <v>31.115214284596728</v>
          </cell>
          <cell r="Z531">
            <v>31.115214284596728</v>
          </cell>
          <cell r="AA531">
            <v>31.115214284596728</v>
          </cell>
          <cell r="AB531">
            <v>31.115214284596728</v>
          </cell>
          <cell r="AC531">
            <v>31.115214284596728</v>
          </cell>
          <cell r="AD531">
            <v>31.115214284596728</v>
          </cell>
          <cell r="AE531">
            <v>31.115214284596728</v>
          </cell>
          <cell r="AF531">
            <v>31.115214284596728</v>
          </cell>
        </row>
        <row r="532">
          <cell r="A532" t="str">
            <v>Florida</v>
          </cell>
          <cell r="B532">
            <v>38.160981040345682</v>
          </cell>
          <cell r="C532">
            <v>42.485757823000142</v>
          </cell>
          <cell r="D532">
            <v>37.220352407224134</v>
          </cell>
          <cell r="E532">
            <v>36.673065808142226</v>
          </cell>
          <cell r="F532">
            <v>33.209620350359181</v>
          </cell>
          <cell r="G532">
            <v>33.72448910917003</v>
          </cell>
          <cell r="H532">
            <v>32.213591196481516</v>
          </cell>
          <cell r="I532">
            <v>32.148038312877134</v>
          </cell>
          <cell r="J532">
            <v>33.541807704795772</v>
          </cell>
          <cell r="K532">
            <v>37.210593784514764</v>
          </cell>
          <cell r="L532">
            <v>32.954849093787693</v>
          </cell>
          <cell r="M532">
            <v>33.976531428115983</v>
          </cell>
          <cell r="N532">
            <v>32.813096101146762</v>
          </cell>
          <cell r="O532">
            <v>32.250502700935293</v>
          </cell>
          <cell r="P532">
            <v>31.833115596914663</v>
          </cell>
          <cell r="Q532">
            <v>32.299427724677798</v>
          </cell>
          <cell r="R532">
            <v>31.647567082236442</v>
          </cell>
          <cell r="S532">
            <v>31.205411734595202</v>
          </cell>
          <cell r="T532">
            <v>31.205411734595202</v>
          </cell>
          <cell r="U532">
            <v>31.205411734595202</v>
          </cell>
          <cell r="V532">
            <v>31.205411734595202</v>
          </cell>
          <cell r="W532">
            <v>31.205411734595202</v>
          </cell>
          <cell r="X532">
            <v>31.205411734595202</v>
          </cell>
          <cell r="Y532">
            <v>31.205411734595202</v>
          </cell>
          <cell r="Z532">
            <v>31.205411734595202</v>
          </cell>
          <cell r="AA532">
            <v>31.205411734595202</v>
          </cell>
          <cell r="AB532">
            <v>31.205411734595202</v>
          </cell>
          <cell r="AC532">
            <v>31.205411734595202</v>
          </cell>
          <cell r="AD532">
            <v>31.205411734595202</v>
          </cell>
          <cell r="AE532">
            <v>31.205411734595202</v>
          </cell>
          <cell r="AF532">
            <v>31.205411734595202</v>
          </cell>
        </row>
        <row r="533">
          <cell r="A533" t="str">
            <v>Georgia</v>
          </cell>
          <cell r="B533">
            <v>39.788793118738035</v>
          </cell>
          <cell r="C533">
            <v>37.678914316771511</v>
          </cell>
          <cell r="D533">
            <v>35.945014047344138</v>
          </cell>
          <cell r="E533">
            <v>35.823127018376503</v>
          </cell>
          <cell r="F533">
            <v>35.758462492784837</v>
          </cell>
          <cell r="G533">
            <v>32.480721816189281</v>
          </cell>
          <cell r="H533">
            <v>34.378819041325833</v>
          </cell>
          <cell r="I533">
            <v>35.901977801163611</v>
          </cell>
          <cell r="J533">
            <v>32.409117467953024</v>
          </cell>
          <cell r="K533">
            <v>37.791389830454371</v>
          </cell>
          <cell r="L533">
            <v>31.141446107890307</v>
          </cell>
          <cell r="M533">
            <v>32.527662601653724</v>
          </cell>
          <cell r="N533">
            <v>32.698835087885421</v>
          </cell>
          <cell r="O533">
            <v>32.029048253773311</v>
          </cell>
          <cell r="P533">
            <v>31.057607110562426</v>
          </cell>
          <cell r="Q533">
            <v>31.538289073881124</v>
          </cell>
          <cell r="R533">
            <v>32.42672938372796</v>
          </cell>
          <cell r="S533">
            <v>31.546952078796735</v>
          </cell>
          <cell r="T533">
            <v>31.546952078796735</v>
          </cell>
          <cell r="U533">
            <v>31.546952078796735</v>
          </cell>
          <cell r="V533">
            <v>31.546952078796735</v>
          </cell>
          <cell r="W533">
            <v>31.546952078796735</v>
          </cell>
          <cell r="X533">
            <v>31.546952078796735</v>
          </cell>
          <cell r="Y533">
            <v>31.546952078796735</v>
          </cell>
          <cell r="Z533">
            <v>31.546952078796735</v>
          </cell>
          <cell r="AA533">
            <v>31.546952078796735</v>
          </cell>
          <cell r="AB533">
            <v>31.546952078796735</v>
          </cell>
          <cell r="AC533">
            <v>31.546952078796735</v>
          </cell>
          <cell r="AD533">
            <v>31.546952078796735</v>
          </cell>
          <cell r="AE533">
            <v>31.546952078796735</v>
          </cell>
          <cell r="AF533">
            <v>31.546952078796735</v>
          </cell>
        </row>
        <row r="534">
          <cell r="A534" t="str">
            <v>Hawaii</v>
          </cell>
          <cell r="B534">
            <v>40.932137316656444</v>
          </cell>
          <cell r="C534">
            <v>38.707747488280091</v>
          </cell>
          <cell r="D534">
            <v>38.806350111177416</v>
          </cell>
          <cell r="E534">
            <v>41.35218606628132</v>
          </cell>
          <cell r="F534">
            <v>34.637246251155574</v>
          </cell>
          <cell r="G534">
            <v>34.980948067886018</v>
          </cell>
          <cell r="H534">
            <v>31.620292183054001</v>
          </cell>
          <cell r="I534">
            <v>34.066281438789836</v>
          </cell>
          <cell r="J534">
            <v>32.529326130679216</v>
          </cell>
          <cell r="K534">
            <v>39.618077809625724</v>
          </cell>
          <cell r="L534">
            <v>31.847280753112866</v>
          </cell>
          <cell r="M534">
            <v>34.88920470462763</v>
          </cell>
          <cell r="N534">
            <v>32.012098087566628</v>
          </cell>
          <cell r="O534">
            <v>33.003817828716386</v>
          </cell>
          <cell r="P534">
            <v>30.968945503584383</v>
          </cell>
          <cell r="Q534">
            <v>32.679997050076125</v>
          </cell>
          <cell r="R534">
            <v>31.64756708223646</v>
          </cell>
          <cell r="S534">
            <v>31.843732149969014</v>
          </cell>
          <cell r="T534">
            <v>31.843732149969014</v>
          </cell>
          <cell r="U534">
            <v>31.843732149969014</v>
          </cell>
          <cell r="V534">
            <v>31.843732149969014</v>
          </cell>
          <cell r="W534">
            <v>31.843732149969014</v>
          </cell>
          <cell r="X534">
            <v>31.843732149969014</v>
          </cell>
          <cell r="Y534">
            <v>31.843732149969014</v>
          </cell>
          <cell r="Z534">
            <v>31.843732149969014</v>
          </cell>
          <cell r="AA534">
            <v>31.843732149969014</v>
          </cell>
          <cell r="AB534">
            <v>31.843732149969014</v>
          </cell>
          <cell r="AC534">
            <v>31.843732149969014</v>
          </cell>
          <cell r="AD534">
            <v>31.843732149969014</v>
          </cell>
          <cell r="AE534">
            <v>31.843732149969014</v>
          </cell>
          <cell r="AF534">
            <v>31.843732149969014</v>
          </cell>
        </row>
        <row r="535">
          <cell r="A535" t="str">
            <v>Idaho</v>
          </cell>
          <cell r="B535">
            <v>39.934521057184575</v>
          </cell>
          <cell r="C535">
            <v>37.181654643713401</v>
          </cell>
          <cell r="D535">
            <v>36.485164222659613</v>
          </cell>
          <cell r="E535">
            <v>35.565715614890877</v>
          </cell>
          <cell r="F535">
            <v>34.431993354397733</v>
          </cell>
          <cell r="G535">
            <v>33.317162156669283</v>
          </cell>
          <cell r="H535">
            <v>32.421036815070416</v>
          </cell>
          <cell r="I535">
            <v>32.273568681187037</v>
          </cell>
          <cell r="J535">
            <v>32.118992311454562</v>
          </cell>
          <cell r="K535">
            <v>32.248893476374626</v>
          </cell>
          <cell r="L535">
            <v>32.389414060319901</v>
          </cell>
          <cell r="M535">
            <v>32.379177680128954</v>
          </cell>
          <cell r="N535">
            <v>32.573129766689256</v>
          </cell>
          <cell r="O535">
            <v>32.488893553781352</v>
          </cell>
          <cell r="P535">
            <v>32.18754190944486</v>
          </cell>
          <cell r="Q535">
            <v>32.164995049058348</v>
          </cell>
          <cell r="R535">
            <v>32.504933703920017</v>
          </cell>
          <cell r="S535">
            <v>32.488390013645756</v>
          </cell>
          <cell r="T535">
            <v>32.488390013645756</v>
          </cell>
          <cell r="U535">
            <v>32.488390013645756</v>
          </cell>
          <cell r="V535">
            <v>32.488390013645756</v>
          </cell>
          <cell r="W535">
            <v>32.488390013645756</v>
          </cell>
          <cell r="X535">
            <v>32.488390013645756</v>
          </cell>
          <cell r="Y535">
            <v>32.488390013645756</v>
          </cell>
          <cell r="Z535">
            <v>32.488390013645756</v>
          </cell>
          <cell r="AA535">
            <v>32.488390013645756</v>
          </cell>
          <cell r="AB535">
            <v>32.488390013645756</v>
          </cell>
          <cell r="AC535">
            <v>32.488390013645756</v>
          </cell>
          <cell r="AD535">
            <v>32.488390013645756</v>
          </cell>
          <cell r="AE535">
            <v>32.488390013645756</v>
          </cell>
          <cell r="AF535">
            <v>32.488390013645756</v>
          </cell>
        </row>
        <row r="536">
          <cell r="A536" t="str">
            <v>Illinois</v>
          </cell>
          <cell r="B536">
            <v>39.558749015493632</v>
          </cell>
          <cell r="C536">
            <v>37.781478545211684</v>
          </cell>
          <cell r="D536">
            <v>36.678381693956872</v>
          </cell>
          <cell r="E536">
            <v>35.698321489413765</v>
          </cell>
          <cell r="F536">
            <v>34.371470047703262</v>
          </cell>
          <cell r="G536">
            <v>33.929809137287194</v>
          </cell>
          <cell r="H536">
            <v>32.286017351190729</v>
          </cell>
          <cell r="I536">
            <v>32.61587142835463</v>
          </cell>
          <cell r="J536">
            <v>32.614526078753926</v>
          </cell>
          <cell r="K536">
            <v>32.248893476374619</v>
          </cell>
          <cell r="L536">
            <v>32.875754512369667</v>
          </cell>
          <cell r="M536">
            <v>32.849379931624092</v>
          </cell>
          <cell r="N536">
            <v>32.698835087885413</v>
          </cell>
          <cell r="O536">
            <v>32.246494480908893</v>
          </cell>
          <cell r="P536">
            <v>32.538187667883491</v>
          </cell>
          <cell r="Q536">
            <v>31.884726245340932</v>
          </cell>
          <cell r="R536">
            <v>32.280469686888111</v>
          </cell>
          <cell r="S536">
            <v>31.958267783554234</v>
          </cell>
          <cell r="T536">
            <v>31.958267783554234</v>
          </cell>
          <cell r="U536">
            <v>31.958267783554234</v>
          </cell>
          <cell r="V536">
            <v>31.958267783554234</v>
          </cell>
          <cell r="W536">
            <v>31.958267783554234</v>
          </cell>
          <cell r="X536">
            <v>31.958267783554234</v>
          </cell>
          <cell r="Y536">
            <v>31.958267783554234</v>
          </cell>
          <cell r="Z536">
            <v>31.958267783554234</v>
          </cell>
          <cell r="AA536">
            <v>31.958267783554234</v>
          </cell>
          <cell r="AB536">
            <v>31.958267783554234</v>
          </cell>
          <cell r="AC536">
            <v>31.958267783554234</v>
          </cell>
          <cell r="AD536">
            <v>31.958267783554234</v>
          </cell>
          <cell r="AE536">
            <v>31.958267783554234</v>
          </cell>
          <cell r="AF536">
            <v>31.958267783554234</v>
          </cell>
        </row>
        <row r="537">
          <cell r="A537" t="str">
            <v>Indiana</v>
          </cell>
          <cell r="B537">
            <v>39.082913109060286</v>
          </cell>
          <cell r="C537">
            <v>38.713880621940362</v>
          </cell>
          <cell r="D537">
            <v>36.528960182820327</v>
          </cell>
          <cell r="E537">
            <v>35.565715614890884</v>
          </cell>
          <cell r="F537">
            <v>34.72186813909228</v>
          </cell>
          <cell r="G537">
            <v>33.054888490586571</v>
          </cell>
          <cell r="H537">
            <v>32.421036815070423</v>
          </cell>
          <cell r="I537">
            <v>32.273568681187037</v>
          </cell>
          <cell r="J537">
            <v>33.013260440896858</v>
          </cell>
          <cell r="K537">
            <v>32.360863099689361</v>
          </cell>
          <cell r="L537">
            <v>33.928198074062266</v>
          </cell>
          <cell r="M537">
            <v>33.405073501572879</v>
          </cell>
          <cell r="N537">
            <v>32.515742554838845</v>
          </cell>
          <cell r="O537">
            <v>32.029048253773318</v>
          </cell>
          <cell r="P537">
            <v>32.632806364605017</v>
          </cell>
          <cell r="Q537">
            <v>31.39477485513865</v>
          </cell>
          <cell r="R537">
            <v>32.579032131442638</v>
          </cell>
          <cell r="S537">
            <v>32.431071188380535</v>
          </cell>
          <cell r="T537">
            <v>32.431071188380535</v>
          </cell>
          <cell r="U537">
            <v>32.431071188380535</v>
          </cell>
          <cell r="V537">
            <v>32.431071188380535</v>
          </cell>
          <cell r="W537">
            <v>32.431071188380535</v>
          </cell>
          <cell r="X537">
            <v>32.431071188380535</v>
          </cell>
          <cell r="Y537">
            <v>32.431071188380535</v>
          </cell>
          <cell r="Z537">
            <v>32.431071188380535</v>
          </cell>
          <cell r="AA537">
            <v>32.431071188380535</v>
          </cell>
          <cell r="AB537">
            <v>32.431071188380535</v>
          </cell>
          <cell r="AC537">
            <v>32.431071188380535</v>
          </cell>
          <cell r="AD537">
            <v>32.431071188380535</v>
          </cell>
          <cell r="AE537">
            <v>32.431071188380535</v>
          </cell>
          <cell r="AF537">
            <v>32.431071188380535</v>
          </cell>
        </row>
        <row r="538">
          <cell r="A538" t="str">
            <v>Iowa</v>
          </cell>
          <cell r="B538">
            <v>38.921892225677773</v>
          </cell>
          <cell r="C538">
            <v>38.241391150152396</v>
          </cell>
          <cell r="D538">
            <v>36.980854862660422</v>
          </cell>
          <cell r="E538">
            <v>35.516547144562168</v>
          </cell>
          <cell r="F538">
            <v>34.262922812870791</v>
          </cell>
          <cell r="G538">
            <v>33.28834087468217</v>
          </cell>
          <cell r="H538">
            <v>32.464543086764976</v>
          </cell>
          <cell r="I538">
            <v>31.910727769189375</v>
          </cell>
          <cell r="J538">
            <v>32.409117467953017</v>
          </cell>
          <cell r="K538">
            <v>32.176442543641564</v>
          </cell>
          <cell r="L538">
            <v>32.346702857669889</v>
          </cell>
          <cell r="M538">
            <v>32.757460694489701</v>
          </cell>
          <cell r="N538">
            <v>32.82269180141693</v>
          </cell>
          <cell r="O538">
            <v>31.728812866765001</v>
          </cell>
          <cell r="P538">
            <v>32.876530066376901</v>
          </cell>
          <cell r="Q538">
            <v>32.234498101832074</v>
          </cell>
          <cell r="R538">
            <v>32.164080937316008</v>
          </cell>
          <cell r="S538">
            <v>32.480380749423794</v>
          </cell>
          <cell r="T538">
            <v>32.480380749423794</v>
          </cell>
          <cell r="U538">
            <v>32.480380749423794</v>
          </cell>
          <cell r="V538">
            <v>32.480380749423794</v>
          </cell>
          <cell r="W538">
            <v>32.480380749423794</v>
          </cell>
          <cell r="X538">
            <v>32.480380749423794</v>
          </cell>
          <cell r="Y538">
            <v>32.480380749423794</v>
          </cell>
          <cell r="Z538">
            <v>32.480380749423794</v>
          </cell>
          <cell r="AA538">
            <v>32.480380749423794</v>
          </cell>
          <cell r="AB538">
            <v>32.480380749423794</v>
          </cell>
          <cell r="AC538">
            <v>32.480380749423794</v>
          </cell>
          <cell r="AD538">
            <v>32.480380749423794</v>
          </cell>
          <cell r="AE538">
            <v>32.480380749423794</v>
          </cell>
          <cell r="AF538">
            <v>32.480380749423794</v>
          </cell>
        </row>
        <row r="539">
          <cell r="A539" t="str">
            <v>Kansas</v>
          </cell>
          <cell r="B539">
            <v>38.827511646560076</v>
          </cell>
          <cell r="C539">
            <v>37.898907154585196</v>
          </cell>
          <cell r="D539">
            <v>36.39420338232582</v>
          </cell>
          <cell r="E539">
            <v>35.15206445406573</v>
          </cell>
          <cell r="F539">
            <v>34.388113957044233</v>
          </cell>
          <cell r="G539">
            <v>33.171222914810848</v>
          </cell>
          <cell r="H539">
            <v>32.119839549492667</v>
          </cell>
          <cell r="I539">
            <v>32.257224495961914</v>
          </cell>
          <cell r="J539">
            <v>32.192441718163032</v>
          </cell>
          <cell r="K539">
            <v>32.608129351176068</v>
          </cell>
          <cell r="L539">
            <v>32.27325918760679</v>
          </cell>
          <cell r="M539">
            <v>32.37008676656621</v>
          </cell>
          <cell r="N539">
            <v>32.565676882033358</v>
          </cell>
          <cell r="O539">
            <v>32.634305944036868</v>
          </cell>
          <cell r="P539">
            <v>31.735095769524058</v>
          </cell>
          <cell r="Q539">
            <v>32.127777782440042</v>
          </cell>
          <cell r="R539">
            <v>31.995659570288133</v>
          </cell>
          <cell r="S539">
            <v>32.060030243152269</v>
          </cell>
          <cell r="T539">
            <v>32.060030243152269</v>
          </cell>
          <cell r="U539">
            <v>32.060030243152269</v>
          </cell>
          <cell r="V539">
            <v>32.060030243152269</v>
          </cell>
          <cell r="W539">
            <v>32.060030243152269</v>
          </cell>
          <cell r="X539">
            <v>32.060030243152269</v>
          </cell>
          <cell r="Y539">
            <v>32.060030243152269</v>
          </cell>
          <cell r="Z539">
            <v>32.060030243152269</v>
          </cell>
          <cell r="AA539">
            <v>32.060030243152269</v>
          </cell>
          <cell r="AB539">
            <v>32.060030243152269</v>
          </cell>
          <cell r="AC539">
            <v>32.060030243152269</v>
          </cell>
          <cell r="AD539">
            <v>32.060030243152269</v>
          </cell>
          <cell r="AE539">
            <v>32.060030243152269</v>
          </cell>
          <cell r="AF539">
            <v>32.060030243152269</v>
          </cell>
        </row>
        <row r="540">
          <cell r="A540" t="str">
            <v>Kentucky</v>
          </cell>
          <cell r="B540">
            <v>40.176367423117149</v>
          </cell>
          <cell r="C540">
            <v>36.703088943326605</v>
          </cell>
          <cell r="D540">
            <v>36.353776342177476</v>
          </cell>
          <cell r="E540">
            <v>35.565715614890877</v>
          </cell>
          <cell r="F540">
            <v>33.95537231417881</v>
          </cell>
          <cell r="G540">
            <v>33.246277382052341</v>
          </cell>
          <cell r="H540">
            <v>34.770375486576931</v>
          </cell>
          <cell r="I540">
            <v>33.180670961181178</v>
          </cell>
          <cell r="J540">
            <v>32.409117467953024</v>
          </cell>
          <cell r="K540">
            <v>33.480559332836791</v>
          </cell>
          <cell r="L540">
            <v>32.683053578538633</v>
          </cell>
          <cell r="M540">
            <v>31.32122261426488</v>
          </cell>
          <cell r="N540">
            <v>34.102544507909201</v>
          </cell>
          <cell r="O540">
            <v>34.366595195480841</v>
          </cell>
          <cell r="P540">
            <v>32.18754190944486</v>
          </cell>
          <cell r="Q540">
            <v>32.092332766613104</v>
          </cell>
          <cell r="R540">
            <v>30.573434693163907</v>
          </cell>
          <cell r="S540">
            <v>30.912122318852344</v>
          </cell>
          <cell r="T540">
            <v>30.912122318852344</v>
          </cell>
          <cell r="U540">
            <v>30.912122318852344</v>
          </cell>
          <cell r="V540">
            <v>30.912122318852344</v>
          </cell>
          <cell r="W540">
            <v>30.912122318852344</v>
          </cell>
          <cell r="X540">
            <v>30.912122318852344</v>
          </cell>
          <cell r="Y540">
            <v>30.912122318852344</v>
          </cell>
          <cell r="Z540">
            <v>30.912122318852344</v>
          </cell>
          <cell r="AA540">
            <v>30.912122318852344</v>
          </cell>
          <cell r="AB540">
            <v>30.912122318852344</v>
          </cell>
          <cell r="AC540">
            <v>30.912122318852344</v>
          </cell>
          <cell r="AD540">
            <v>30.912122318852344</v>
          </cell>
          <cell r="AE540">
            <v>30.912122318852344</v>
          </cell>
          <cell r="AF540">
            <v>30.912122318852344</v>
          </cell>
        </row>
        <row r="541">
          <cell r="A541" t="str">
            <v>Louisiana</v>
          </cell>
          <cell r="B541">
            <v>39.168674231731416</v>
          </cell>
          <cell r="C541">
            <v>38.943873134200111</v>
          </cell>
          <cell r="D541">
            <v>35.945014047344138</v>
          </cell>
          <cell r="E541">
            <v>39.066510702295226</v>
          </cell>
          <cell r="F541">
            <v>36.590657959833777</v>
          </cell>
          <cell r="G541">
            <v>31.715166250326245</v>
          </cell>
          <cell r="H541">
            <v>35.031413116744311</v>
          </cell>
          <cell r="I541">
            <v>32.273568681187029</v>
          </cell>
          <cell r="J541">
            <v>39.256071161316548</v>
          </cell>
          <cell r="K541">
            <v>30.220194103091632</v>
          </cell>
          <cell r="L541">
            <v>32.557260458673646</v>
          </cell>
          <cell r="M541">
            <v>33.654320761239404</v>
          </cell>
          <cell r="N541">
            <v>32.824818023296714</v>
          </cell>
          <cell r="O541">
            <v>32.250502700935293</v>
          </cell>
          <cell r="P541">
            <v>31.241841322530775</v>
          </cell>
          <cell r="Q541">
            <v>32.07108612943879</v>
          </cell>
          <cell r="R541">
            <v>31.87153681262469</v>
          </cell>
          <cell r="S541">
            <v>32.109698989708093</v>
          </cell>
          <cell r="T541">
            <v>32.109698989708093</v>
          </cell>
          <cell r="U541">
            <v>32.109698989708093</v>
          </cell>
          <cell r="V541">
            <v>32.109698989708093</v>
          </cell>
          <cell r="W541">
            <v>32.109698989708093</v>
          </cell>
          <cell r="X541">
            <v>32.109698989708093</v>
          </cell>
          <cell r="Y541">
            <v>32.109698989708093</v>
          </cell>
          <cell r="Z541">
            <v>32.109698989708093</v>
          </cell>
          <cell r="AA541">
            <v>32.109698989708093</v>
          </cell>
          <cell r="AB541">
            <v>32.109698989708093</v>
          </cell>
          <cell r="AC541">
            <v>32.109698989708093</v>
          </cell>
          <cell r="AD541">
            <v>32.109698989708093</v>
          </cell>
          <cell r="AE541">
            <v>32.109698989708093</v>
          </cell>
          <cell r="AF541">
            <v>32.109698989708093</v>
          </cell>
        </row>
        <row r="542">
          <cell r="A542" t="str">
            <v>Maine</v>
          </cell>
          <cell r="B542">
            <v>37.914656038006939</v>
          </cell>
          <cell r="C542">
            <v>38.645995735257245</v>
          </cell>
          <cell r="D542">
            <v>37.55592156094233</v>
          </cell>
          <cell r="E542">
            <v>39.963072239646294</v>
          </cell>
          <cell r="F542">
            <v>33.164475930133101</v>
          </cell>
          <cell r="G542">
            <v>36.289759483215157</v>
          </cell>
          <cell r="H542">
            <v>31.175317922983368</v>
          </cell>
          <cell r="I542">
            <v>32.861587688216645</v>
          </cell>
          <cell r="J542">
            <v>34.453041121500682</v>
          </cell>
          <cell r="K542">
            <v>37.432560396759044</v>
          </cell>
          <cell r="L542">
            <v>31.730694611989193</v>
          </cell>
          <cell r="M542">
            <v>33.976531428115976</v>
          </cell>
          <cell r="N542">
            <v>32.813096101146769</v>
          </cell>
          <cell r="O542">
            <v>32.250502700935286</v>
          </cell>
          <cell r="P542">
            <v>30.968945503584369</v>
          </cell>
          <cell r="Q542">
            <v>32.299427724677798</v>
          </cell>
          <cell r="R542">
            <v>30.938329602673665</v>
          </cell>
          <cell r="S542">
            <v>33.97146686788173</v>
          </cell>
          <cell r="T542">
            <v>33.97146686788173</v>
          </cell>
          <cell r="U542">
            <v>33.97146686788173</v>
          </cell>
          <cell r="V542">
            <v>33.97146686788173</v>
          </cell>
          <cell r="W542">
            <v>33.97146686788173</v>
          </cell>
          <cell r="X542">
            <v>33.97146686788173</v>
          </cell>
          <cell r="Y542">
            <v>33.97146686788173</v>
          </cell>
          <cell r="Z542">
            <v>33.97146686788173</v>
          </cell>
          <cell r="AA542">
            <v>33.97146686788173</v>
          </cell>
          <cell r="AB542">
            <v>33.97146686788173</v>
          </cell>
          <cell r="AC542">
            <v>33.97146686788173</v>
          </cell>
          <cell r="AD542">
            <v>33.97146686788173</v>
          </cell>
          <cell r="AE542">
            <v>33.97146686788173</v>
          </cell>
          <cell r="AF542">
            <v>33.97146686788173</v>
          </cell>
        </row>
        <row r="543">
          <cell r="A543" t="str">
            <v>Maryland</v>
          </cell>
          <cell r="B543">
            <v>39.168674231731416</v>
          </cell>
          <cell r="C543">
            <v>37.425922553285808</v>
          </cell>
          <cell r="D543">
            <v>36.599033719077468</v>
          </cell>
          <cell r="E543">
            <v>35.050892807919659</v>
          </cell>
          <cell r="F543">
            <v>34.186537721692382</v>
          </cell>
          <cell r="G543">
            <v>32.863499599120814</v>
          </cell>
          <cell r="H543">
            <v>33.112018777278223</v>
          </cell>
          <cell r="I543">
            <v>34.252700928446991</v>
          </cell>
          <cell r="J543">
            <v>31.496190308837885</v>
          </cell>
          <cell r="K543">
            <v>32.817354640895623</v>
          </cell>
          <cell r="L543">
            <v>31.594860069845698</v>
          </cell>
          <cell r="M543">
            <v>35.90569456634249</v>
          </cell>
          <cell r="N543">
            <v>31.72703625863819</v>
          </cell>
          <cell r="O543">
            <v>32.029048253773311</v>
          </cell>
          <cell r="P543">
            <v>33.037592232932433</v>
          </cell>
          <cell r="Q543">
            <v>31.72902135438682</v>
          </cell>
          <cell r="R543">
            <v>32.164080937316001</v>
          </cell>
          <cell r="S543">
            <v>33.225598289364513</v>
          </cell>
          <cell r="T543">
            <v>33.225598289364513</v>
          </cell>
          <cell r="U543">
            <v>33.225598289364513</v>
          </cell>
          <cell r="V543">
            <v>33.225598289364513</v>
          </cell>
          <cell r="W543">
            <v>33.225598289364513</v>
          </cell>
          <cell r="X543">
            <v>33.225598289364513</v>
          </cell>
          <cell r="Y543">
            <v>33.225598289364513</v>
          </cell>
          <cell r="Z543">
            <v>33.225598289364513</v>
          </cell>
          <cell r="AA543">
            <v>33.225598289364513</v>
          </cell>
          <cell r="AB543">
            <v>33.225598289364513</v>
          </cell>
          <cell r="AC543">
            <v>33.225598289364513</v>
          </cell>
          <cell r="AD543">
            <v>33.225598289364513</v>
          </cell>
          <cell r="AE543">
            <v>33.225598289364513</v>
          </cell>
          <cell r="AF543">
            <v>33.225598289364513</v>
          </cell>
        </row>
        <row r="544">
          <cell r="A544" t="str">
            <v>Massachusetts</v>
          </cell>
          <cell r="B544">
            <v>39.389806904285514</v>
          </cell>
          <cell r="C544">
            <v>39.253992070085829</v>
          </cell>
          <cell r="D544">
            <v>37.55592156094233</v>
          </cell>
          <cell r="E544">
            <v>38.500847158977805</v>
          </cell>
          <cell r="F544">
            <v>32.952297155070546</v>
          </cell>
          <cell r="G544">
            <v>33.083171515658734</v>
          </cell>
          <cell r="H544">
            <v>31.842779313089327</v>
          </cell>
          <cell r="I544">
            <v>34.969801751719729</v>
          </cell>
          <cell r="J544">
            <v>35.060530065970617</v>
          </cell>
          <cell r="K544">
            <v>38.976675960197461</v>
          </cell>
          <cell r="L544">
            <v>30.739712412438035</v>
          </cell>
          <cell r="M544">
            <v>34.290262866916862</v>
          </cell>
          <cell r="N544">
            <v>33.293694909294835</v>
          </cell>
          <cell r="O544">
            <v>31.55099579656714</v>
          </cell>
          <cell r="P544">
            <v>31.293009288583228</v>
          </cell>
          <cell r="Q544">
            <v>33.578140658016181</v>
          </cell>
          <cell r="R544">
            <v>31.647567082236442</v>
          </cell>
          <cell r="S544">
            <v>31.378290180425616</v>
          </cell>
          <cell r="T544">
            <v>31.378290180425616</v>
          </cell>
          <cell r="U544">
            <v>31.378290180425616</v>
          </cell>
          <cell r="V544">
            <v>31.378290180425616</v>
          </cell>
          <cell r="W544">
            <v>31.378290180425616</v>
          </cell>
          <cell r="X544">
            <v>31.378290180425616</v>
          </cell>
          <cell r="Y544">
            <v>31.378290180425616</v>
          </cell>
          <cell r="Z544">
            <v>31.378290180425616</v>
          </cell>
          <cell r="AA544">
            <v>31.378290180425616</v>
          </cell>
          <cell r="AB544">
            <v>31.378290180425616</v>
          </cell>
          <cell r="AC544">
            <v>31.378290180425616</v>
          </cell>
          <cell r="AD544">
            <v>31.378290180425616</v>
          </cell>
          <cell r="AE544">
            <v>31.378290180425616</v>
          </cell>
          <cell r="AF544">
            <v>31.378290180425616</v>
          </cell>
        </row>
        <row r="545">
          <cell r="A545" t="str">
            <v>Michigan</v>
          </cell>
          <cell r="B545">
            <v>38.985457287843097</v>
          </cell>
          <cell r="C545">
            <v>38.261895336977744</v>
          </cell>
          <cell r="D545">
            <v>36.704144023463179</v>
          </cell>
          <cell r="E545">
            <v>35.366806803106542</v>
          </cell>
          <cell r="F545">
            <v>34.29749711729891</v>
          </cell>
          <cell r="G545">
            <v>33.519690084146276</v>
          </cell>
          <cell r="H545">
            <v>32.616815037695957</v>
          </cell>
          <cell r="I545">
            <v>32.273568681187037</v>
          </cell>
          <cell r="J545">
            <v>32.409117467953017</v>
          </cell>
          <cell r="K545">
            <v>32.248893476374626</v>
          </cell>
          <cell r="L545">
            <v>32.683053578538626</v>
          </cell>
          <cell r="M545">
            <v>32.78164996741981</v>
          </cell>
          <cell r="N545">
            <v>32.698835087885421</v>
          </cell>
          <cell r="O545">
            <v>32.288775691740817</v>
          </cell>
          <cell r="P545">
            <v>31.519645226704633</v>
          </cell>
          <cell r="Q545">
            <v>32.551252445214708</v>
          </cell>
          <cell r="R545">
            <v>32.164080937316001</v>
          </cell>
          <cell r="S545">
            <v>32.638048836536029</v>
          </cell>
          <cell r="T545">
            <v>32.638048836536029</v>
          </cell>
          <cell r="U545">
            <v>32.638048836536029</v>
          </cell>
          <cell r="V545">
            <v>32.638048836536029</v>
          </cell>
          <cell r="W545">
            <v>32.638048836536029</v>
          </cell>
          <cell r="X545">
            <v>32.638048836536029</v>
          </cell>
          <cell r="Y545">
            <v>32.638048836536029</v>
          </cell>
          <cell r="Z545">
            <v>32.638048836536029</v>
          </cell>
          <cell r="AA545">
            <v>32.638048836536029</v>
          </cell>
          <cell r="AB545">
            <v>32.638048836536029</v>
          </cell>
          <cell r="AC545">
            <v>32.638048836536029</v>
          </cell>
          <cell r="AD545">
            <v>32.638048836536029</v>
          </cell>
          <cell r="AE545">
            <v>32.638048836536029</v>
          </cell>
          <cell r="AF545">
            <v>32.638048836536029</v>
          </cell>
        </row>
        <row r="546">
          <cell r="A546" t="str">
            <v>Minnesota</v>
          </cell>
          <cell r="B546">
            <v>39.303033323916182</v>
          </cell>
          <cell r="C546">
            <v>37.96166981713791</v>
          </cell>
          <cell r="D546">
            <v>36.709795115096824</v>
          </cell>
          <cell r="E546">
            <v>35.300503865845094</v>
          </cell>
          <cell r="F546">
            <v>34.475494481084382</v>
          </cell>
          <cell r="G546">
            <v>33.501462570673361</v>
          </cell>
          <cell r="H546">
            <v>32.119839549492667</v>
          </cell>
          <cell r="I546">
            <v>32.782819083990759</v>
          </cell>
          <cell r="J546">
            <v>32.66749307902333</v>
          </cell>
          <cell r="K546">
            <v>32.180467595460044</v>
          </cell>
          <cell r="L546">
            <v>32.439641872646774</v>
          </cell>
          <cell r="M546">
            <v>32.444459843902777</v>
          </cell>
          <cell r="N546">
            <v>32.772714531044564</v>
          </cell>
          <cell r="O546">
            <v>31.795293559602563</v>
          </cell>
          <cell r="P546">
            <v>32.036726529471267</v>
          </cell>
          <cell r="Q546">
            <v>32.39300428017966</v>
          </cell>
          <cell r="R546">
            <v>32.164080937316001</v>
          </cell>
          <cell r="S546">
            <v>32.2875807418664</v>
          </cell>
          <cell r="T546">
            <v>32.2875807418664</v>
          </cell>
          <cell r="U546">
            <v>32.2875807418664</v>
          </cell>
          <cell r="V546">
            <v>32.2875807418664</v>
          </cell>
          <cell r="W546">
            <v>32.2875807418664</v>
          </cell>
          <cell r="X546">
            <v>32.2875807418664</v>
          </cell>
          <cell r="Y546">
            <v>32.2875807418664</v>
          </cell>
          <cell r="Z546">
            <v>32.2875807418664</v>
          </cell>
          <cell r="AA546">
            <v>32.2875807418664</v>
          </cell>
          <cell r="AB546">
            <v>32.2875807418664</v>
          </cell>
          <cell r="AC546">
            <v>32.2875807418664</v>
          </cell>
          <cell r="AD546">
            <v>32.2875807418664</v>
          </cell>
          <cell r="AE546">
            <v>32.2875807418664</v>
          </cell>
          <cell r="AF546">
            <v>32.2875807418664</v>
          </cell>
        </row>
        <row r="547">
          <cell r="A547" t="str">
            <v>Mississippi</v>
          </cell>
          <cell r="B547">
            <v>41.18406061450289</v>
          </cell>
          <cell r="C547">
            <v>37.988126472142945</v>
          </cell>
          <cell r="D547">
            <v>36.353776342177461</v>
          </cell>
          <cell r="E547">
            <v>35.128116228965347</v>
          </cell>
          <cell r="F547">
            <v>37.700251915899031</v>
          </cell>
          <cell r="G547">
            <v>34.203221839381158</v>
          </cell>
          <cell r="H547">
            <v>32.421036815070408</v>
          </cell>
          <cell r="I547">
            <v>32.273568681187037</v>
          </cell>
          <cell r="J547">
            <v>33.550276416846941</v>
          </cell>
          <cell r="K547">
            <v>31.143684669606834</v>
          </cell>
          <cell r="L547">
            <v>33.897588752184241</v>
          </cell>
          <cell r="M547">
            <v>32.380982967928645</v>
          </cell>
          <cell r="N547">
            <v>32.590379580297657</v>
          </cell>
          <cell r="O547">
            <v>32.310953914893041</v>
          </cell>
          <cell r="P547">
            <v>31.245479933450078</v>
          </cell>
          <cell r="Q547">
            <v>31.581049672240486</v>
          </cell>
          <cell r="R547">
            <v>32.652320178283723</v>
          </cell>
          <cell r="S547">
            <v>31.666420923476281</v>
          </cell>
          <cell r="T547">
            <v>31.666420923476281</v>
          </cell>
          <cell r="U547">
            <v>31.666420923476281</v>
          </cell>
          <cell r="V547">
            <v>31.666420923476281</v>
          </cell>
          <cell r="W547">
            <v>31.666420923476281</v>
          </cell>
          <cell r="X547">
            <v>31.666420923476281</v>
          </cell>
          <cell r="Y547">
            <v>31.666420923476281</v>
          </cell>
          <cell r="Z547">
            <v>31.666420923476281</v>
          </cell>
          <cell r="AA547">
            <v>31.666420923476281</v>
          </cell>
          <cell r="AB547">
            <v>31.666420923476281</v>
          </cell>
          <cell r="AC547">
            <v>31.666420923476281</v>
          </cell>
          <cell r="AD547">
            <v>31.666420923476281</v>
          </cell>
          <cell r="AE547">
            <v>31.666420923476281</v>
          </cell>
          <cell r="AF547">
            <v>31.666420923476281</v>
          </cell>
        </row>
        <row r="548">
          <cell r="A548" t="str">
            <v>Missouri</v>
          </cell>
          <cell r="B548">
            <v>39.392606052039362</v>
          </cell>
          <cell r="C548">
            <v>37.859622719261317</v>
          </cell>
          <cell r="D548">
            <v>36.966919784427468</v>
          </cell>
          <cell r="E548">
            <v>34.94057363499725</v>
          </cell>
          <cell r="F548">
            <v>33.955372314178788</v>
          </cell>
          <cell r="G548">
            <v>35.98040440299178</v>
          </cell>
          <cell r="H548">
            <v>31.246367479317165</v>
          </cell>
          <cell r="I548">
            <v>32.464537582238435</v>
          </cell>
          <cell r="J548">
            <v>32.237943625618932</v>
          </cell>
          <cell r="K548">
            <v>32.072941211165741</v>
          </cell>
          <cell r="L548">
            <v>32.914294699135873</v>
          </cell>
          <cell r="M548">
            <v>33.37926729863409</v>
          </cell>
          <cell r="N548">
            <v>33.60121971504357</v>
          </cell>
          <cell r="O548">
            <v>32.029048253773311</v>
          </cell>
          <cell r="P548">
            <v>32.54717858476652</v>
          </cell>
          <cell r="Q548">
            <v>31.780922984704858</v>
          </cell>
          <cell r="R548">
            <v>32.164080937316001</v>
          </cell>
          <cell r="S548">
            <v>31.854649566098058</v>
          </cell>
          <cell r="T548">
            <v>31.854649566098058</v>
          </cell>
          <cell r="U548">
            <v>31.854649566098058</v>
          </cell>
          <cell r="V548">
            <v>31.854649566098058</v>
          </cell>
          <cell r="W548">
            <v>31.854649566098058</v>
          </cell>
          <cell r="X548">
            <v>31.854649566098058</v>
          </cell>
          <cell r="Y548">
            <v>31.854649566098058</v>
          </cell>
          <cell r="Z548">
            <v>31.854649566098058</v>
          </cell>
          <cell r="AA548">
            <v>31.854649566098058</v>
          </cell>
          <cell r="AB548">
            <v>31.854649566098058</v>
          </cell>
          <cell r="AC548">
            <v>31.854649566098058</v>
          </cell>
          <cell r="AD548">
            <v>31.854649566098058</v>
          </cell>
          <cell r="AE548">
            <v>31.854649566098058</v>
          </cell>
          <cell r="AF548">
            <v>31.854649566098058</v>
          </cell>
        </row>
        <row r="549">
          <cell r="A549" t="str">
            <v>Montana</v>
          </cell>
          <cell r="B549">
            <v>39.672520827424286</v>
          </cell>
          <cell r="C549">
            <v>37.988126472142952</v>
          </cell>
          <cell r="D549">
            <v>36.353776342177476</v>
          </cell>
          <cell r="E549">
            <v>36.440914386741966</v>
          </cell>
          <cell r="F549">
            <v>33.312312180550066</v>
          </cell>
          <cell r="G549">
            <v>33.62905516498386</v>
          </cell>
          <cell r="H549">
            <v>32.234581364950849</v>
          </cell>
          <cell r="I549">
            <v>33.127312003534463</v>
          </cell>
          <cell r="J549">
            <v>32.623084770870634</v>
          </cell>
          <cell r="K549">
            <v>32.776750272001259</v>
          </cell>
          <cell r="L549">
            <v>32.683053578538626</v>
          </cell>
          <cell r="M549">
            <v>33.331955926579631</v>
          </cell>
          <cell r="N549">
            <v>32.097245336446655</v>
          </cell>
          <cell r="O549">
            <v>32.029048253773311</v>
          </cell>
          <cell r="P549">
            <v>32.187541909444853</v>
          </cell>
          <cell r="Q549">
            <v>32.818955591065645</v>
          </cell>
          <cell r="R549">
            <v>32.59789354935748</v>
          </cell>
          <cell r="S549">
            <v>32.197386746914667</v>
          </cell>
          <cell r="T549">
            <v>32.197386746914667</v>
          </cell>
          <cell r="U549">
            <v>32.197386746914667</v>
          </cell>
          <cell r="V549">
            <v>32.197386746914667</v>
          </cell>
          <cell r="W549">
            <v>32.197386746914667</v>
          </cell>
          <cell r="X549">
            <v>32.197386746914667</v>
          </cell>
          <cell r="Y549">
            <v>32.197386746914667</v>
          </cell>
          <cell r="Z549">
            <v>32.197386746914667</v>
          </cell>
          <cell r="AA549">
            <v>32.197386746914667</v>
          </cell>
          <cell r="AB549">
            <v>32.197386746914667</v>
          </cell>
          <cell r="AC549">
            <v>32.197386746914667</v>
          </cell>
          <cell r="AD549">
            <v>32.197386746914667</v>
          </cell>
          <cell r="AE549">
            <v>32.197386746914667</v>
          </cell>
          <cell r="AF549">
            <v>32.197386746914667</v>
          </cell>
        </row>
        <row r="550">
          <cell r="A550" t="str">
            <v>Nebraska</v>
          </cell>
          <cell r="B550">
            <v>38.953438792794664</v>
          </cell>
          <cell r="C550">
            <v>38.096069624563519</v>
          </cell>
          <cell r="D550">
            <v>36.834431502936262</v>
          </cell>
          <cell r="E550">
            <v>35.278091605362356</v>
          </cell>
          <cell r="F550">
            <v>34.403022482472885</v>
          </cell>
          <cell r="G550">
            <v>33.581701212456245</v>
          </cell>
          <cell r="H550">
            <v>32.247440361510819</v>
          </cell>
          <cell r="I550">
            <v>31.963029161909756</v>
          </cell>
          <cell r="J550">
            <v>32.290040012416263</v>
          </cell>
          <cell r="K550">
            <v>32.331004533472097</v>
          </cell>
          <cell r="L550">
            <v>32.305517055114542</v>
          </cell>
          <cell r="M550">
            <v>32.338417113435874</v>
          </cell>
          <cell r="N550">
            <v>32.962030604139869</v>
          </cell>
          <cell r="O550">
            <v>32.232313205226149</v>
          </cell>
          <cell r="P550">
            <v>31.901300473984765</v>
          </cell>
          <cell r="Q550">
            <v>32.057031252874509</v>
          </cell>
          <cell r="R550">
            <v>31.925484000693185</v>
          </cell>
          <cell r="S550">
            <v>32.006977202016536</v>
          </cell>
          <cell r="T550">
            <v>32.006977202016536</v>
          </cell>
          <cell r="U550">
            <v>32.006977202016536</v>
          </cell>
          <cell r="V550">
            <v>32.006977202016536</v>
          </cell>
          <cell r="W550">
            <v>32.006977202016536</v>
          </cell>
          <cell r="X550">
            <v>32.006977202016536</v>
          </cell>
          <cell r="Y550">
            <v>32.006977202016536</v>
          </cell>
          <cell r="Z550">
            <v>32.006977202016536</v>
          </cell>
          <cell r="AA550">
            <v>32.006977202016536</v>
          </cell>
          <cell r="AB550">
            <v>32.006977202016536</v>
          </cell>
          <cell r="AC550">
            <v>32.006977202016536</v>
          </cell>
          <cell r="AD550">
            <v>32.006977202016536</v>
          </cell>
          <cell r="AE550">
            <v>32.006977202016536</v>
          </cell>
          <cell r="AF550">
            <v>32.006977202016536</v>
          </cell>
        </row>
        <row r="551">
          <cell r="A551" t="str">
            <v>Nevada</v>
          </cell>
          <cell r="B551">
            <v>39.312630401929368</v>
          </cell>
          <cell r="C551">
            <v>36.908694947937228</v>
          </cell>
          <cell r="D551">
            <v>36.353776342177476</v>
          </cell>
          <cell r="E551">
            <v>36.112714847297809</v>
          </cell>
          <cell r="F551">
            <v>36.368739168620721</v>
          </cell>
          <cell r="G551">
            <v>33.246277382052334</v>
          </cell>
          <cell r="H551">
            <v>32.954977422230982</v>
          </cell>
          <cell r="I551">
            <v>31.838159586789846</v>
          </cell>
          <cell r="J551">
            <v>32.551762336564757</v>
          </cell>
          <cell r="K551">
            <v>34.096392261067869</v>
          </cell>
          <cell r="L551">
            <v>31.581905385218391</v>
          </cell>
          <cell r="M551">
            <v>31.755541009724872</v>
          </cell>
          <cell r="N551">
            <v>33.751617152903265</v>
          </cell>
          <cell r="O551">
            <v>33.197821724627083</v>
          </cell>
          <cell r="P551">
            <v>33.266451935409862</v>
          </cell>
          <cell r="Q551">
            <v>33.400253850627685</v>
          </cell>
          <cell r="R551">
            <v>33.357065620430078</v>
          </cell>
          <cell r="S551">
            <v>32.19738674691466</v>
          </cell>
          <cell r="T551">
            <v>32.19738674691466</v>
          </cell>
          <cell r="U551">
            <v>32.19738674691466</v>
          </cell>
          <cell r="V551">
            <v>32.19738674691466</v>
          </cell>
          <cell r="W551">
            <v>32.19738674691466</v>
          </cell>
          <cell r="X551">
            <v>32.19738674691466</v>
          </cell>
          <cell r="Y551">
            <v>32.19738674691466</v>
          </cell>
          <cell r="Z551">
            <v>32.19738674691466</v>
          </cell>
          <cell r="AA551">
            <v>32.19738674691466</v>
          </cell>
          <cell r="AB551">
            <v>32.19738674691466</v>
          </cell>
          <cell r="AC551">
            <v>32.19738674691466</v>
          </cell>
          <cell r="AD551">
            <v>32.19738674691466</v>
          </cell>
          <cell r="AE551">
            <v>32.19738674691466</v>
          </cell>
          <cell r="AF551">
            <v>32.19738674691466</v>
          </cell>
        </row>
        <row r="552">
          <cell r="A552" t="str">
            <v>New Hampshire</v>
          </cell>
          <cell r="B552">
            <v>37.567561716529632</v>
          </cell>
          <cell r="C552">
            <v>39.253992070085829</v>
          </cell>
          <cell r="D552">
            <v>36.335670092876143</v>
          </cell>
          <cell r="E552">
            <v>38.500847158977813</v>
          </cell>
          <cell r="F552">
            <v>33.588833480258224</v>
          </cell>
          <cell r="G552">
            <v>33.999339506389141</v>
          </cell>
          <cell r="H552">
            <v>30.73034366291273</v>
          </cell>
          <cell r="I552">
            <v>33.704873313617888</v>
          </cell>
          <cell r="J552">
            <v>35.819891246558036</v>
          </cell>
          <cell r="K552">
            <v>34.946534339623177</v>
          </cell>
          <cell r="L552">
            <v>32.138746105922024</v>
          </cell>
          <cell r="M552">
            <v>34.760860025118184</v>
          </cell>
          <cell r="N552">
            <v>33.293694909294835</v>
          </cell>
          <cell r="O552">
            <v>32.250502700935293</v>
          </cell>
          <cell r="P552">
            <v>30.392832108030852</v>
          </cell>
          <cell r="Q552">
            <v>33.212794105633776</v>
          </cell>
          <cell r="R552">
            <v>31.647567082236442</v>
          </cell>
          <cell r="S552">
            <v>32.242682409577647</v>
          </cell>
          <cell r="T552">
            <v>32.242682409577647</v>
          </cell>
          <cell r="U552">
            <v>32.242682409577647</v>
          </cell>
          <cell r="V552">
            <v>32.242682409577647</v>
          </cell>
          <cell r="W552">
            <v>32.242682409577647</v>
          </cell>
          <cell r="X552">
            <v>32.242682409577647</v>
          </cell>
          <cell r="Y552">
            <v>32.242682409577647</v>
          </cell>
          <cell r="Z552">
            <v>32.242682409577647</v>
          </cell>
          <cell r="AA552">
            <v>32.242682409577647</v>
          </cell>
          <cell r="AB552">
            <v>32.242682409577647</v>
          </cell>
          <cell r="AC552">
            <v>32.242682409577647</v>
          </cell>
          <cell r="AD552">
            <v>32.242682409577647</v>
          </cell>
          <cell r="AE552">
            <v>32.242682409577647</v>
          </cell>
          <cell r="AF552">
            <v>32.242682409577647</v>
          </cell>
        </row>
        <row r="553">
          <cell r="A553" t="str">
            <v>New Jersey</v>
          </cell>
          <cell r="B553">
            <v>41.18406061450289</v>
          </cell>
          <cell r="C553">
            <v>38.437889607228662</v>
          </cell>
          <cell r="D553">
            <v>36.353776342177476</v>
          </cell>
          <cell r="E553">
            <v>32.648386375387268</v>
          </cell>
          <cell r="F553">
            <v>36.035860981801136</v>
          </cell>
          <cell r="G553">
            <v>33.246277382052348</v>
          </cell>
          <cell r="H553">
            <v>32.421036815070408</v>
          </cell>
          <cell r="I553">
            <v>31.064098974528171</v>
          </cell>
          <cell r="J553">
            <v>34.120855891293907</v>
          </cell>
          <cell r="K553">
            <v>32.248893476374612</v>
          </cell>
          <cell r="L553">
            <v>34.224661049186928</v>
          </cell>
          <cell r="M553">
            <v>34.940542576431405</v>
          </cell>
          <cell r="N553">
            <v>32.698835087885428</v>
          </cell>
          <cell r="O553">
            <v>32.029048253773311</v>
          </cell>
          <cell r="P553">
            <v>57.593954660074417</v>
          </cell>
          <cell r="Q553">
            <v>32.756110915155794</v>
          </cell>
          <cell r="R553">
            <v>31.647567082236442</v>
          </cell>
          <cell r="S553">
            <v>33.539270753305708</v>
          </cell>
          <cell r="T553">
            <v>33.539270753305708</v>
          </cell>
          <cell r="U553">
            <v>33.539270753305708</v>
          </cell>
          <cell r="V553">
            <v>33.539270753305708</v>
          </cell>
          <cell r="W553">
            <v>33.539270753305708</v>
          </cell>
          <cell r="X553">
            <v>33.539270753305708</v>
          </cell>
          <cell r="Y553">
            <v>33.539270753305708</v>
          </cell>
          <cell r="Z553">
            <v>33.539270753305708</v>
          </cell>
          <cell r="AA553">
            <v>33.539270753305708</v>
          </cell>
          <cell r="AB553">
            <v>33.539270753305708</v>
          </cell>
          <cell r="AC553">
            <v>33.539270753305708</v>
          </cell>
          <cell r="AD553">
            <v>33.539270753305708</v>
          </cell>
          <cell r="AE553">
            <v>33.539270753305708</v>
          </cell>
          <cell r="AF553">
            <v>33.539270753305708</v>
          </cell>
        </row>
        <row r="554">
          <cell r="A554" t="str">
            <v>New Mexico</v>
          </cell>
          <cell r="B554">
            <v>39.578583326532389</v>
          </cell>
          <cell r="C554">
            <v>38.543486169379236</v>
          </cell>
          <cell r="D554">
            <v>36.200490481614978</v>
          </cell>
          <cell r="E554">
            <v>35.229100702640466</v>
          </cell>
          <cell r="F554">
            <v>33.665364802934469</v>
          </cell>
          <cell r="G554">
            <v>33.493230790395252</v>
          </cell>
          <cell r="H554">
            <v>32.968064201818258</v>
          </cell>
          <cell r="I554">
            <v>32.247083943085009</v>
          </cell>
          <cell r="J554">
            <v>32.798781499282654</v>
          </cell>
          <cell r="K554">
            <v>32.405461169992691</v>
          </cell>
          <cell r="L554">
            <v>32.762791895985941</v>
          </cell>
          <cell r="M554">
            <v>32.569625731649865</v>
          </cell>
          <cell r="N554">
            <v>32.97177858622338</v>
          </cell>
          <cell r="O554">
            <v>31.596896718331589</v>
          </cell>
          <cell r="P554">
            <v>32.350160232199002</v>
          </cell>
          <cell r="Q554">
            <v>31.711720810947469</v>
          </cell>
          <cell r="R554">
            <v>31.59678752156945</v>
          </cell>
          <cell r="S554">
            <v>32.462000011515727</v>
          </cell>
          <cell r="T554">
            <v>32.462000011515727</v>
          </cell>
          <cell r="U554">
            <v>32.462000011515727</v>
          </cell>
          <cell r="V554">
            <v>32.462000011515727</v>
          </cell>
          <cell r="W554">
            <v>32.462000011515727</v>
          </cell>
          <cell r="X554">
            <v>32.462000011515727</v>
          </cell>
          <cell r="Y554">
            <v>32.462000011515727</v>
          </cell>
          <cell r="Z554">
            <v>32.462000011515727</v>
          </cell>
          <cell r="AA554">
            <v>32.462000011515727</v>
          </cell>
          <cell r="AB554">
            <v>32.462000011515727</v>
          </cell>
          <cell r="AC554">
            <v>32.462000011515727</v>
          </cell>
          <cell r="AD554">
            <v>32.462000011515727</v>
          </cell>
          <cell r="AE554">
            <v>32.462000011515727</v>
          </cell>
          <cell r="AF554">
            <v>32.462000011515727</v>
          </cell>
        </row>
        <row r="555">
          <cell r="A555" t="str">
            <v>New York</v>
          </cell>
          <cell r="B555">
            <v>39.392606052039355</v>
          </cell>
          <cell r="C555">
            <v>37.304486506812665</v>
          </cell>
          <cell r="D555">
            <v>35.740632899927483</v>
          </cell>
          <cell r="E555">
            <v>34.940573634997257</v>
          </cell>
          <cell r="F555">
            <v>35.702982794981565</v>
          </cell>
          <cell r="G555">
            <v>33.246277382052334</v>
          </cell>
          <cell r="H555">
            <v>31.768442739651928</v>
          </cell>
          <cell r="I555">
            <v>32.273568681187029</v>
          </cell>
          <cell r="J555">
            <v>32.409117467953017</v>
          </cell>
          <cell r="K555">
            <v>32.248893476374633</v>
          </cell>
          <cell r="L555">
            <v>32.683053578538633</v>
          </cell>
          <cell r="M555">
            <v>32.527662601653724</v>
          </cell>
          <cell r="N555">
            <v>33.541060739899692</v>
          </cell>
          <cell r="O555">
            <v>33.197821724627076</v>
          </cell>
          <cell r="P555">
            <v>32.18754190944486</v>
          </cell>
          <cell r="Q555">
            <v>31.523671425737188</v>
          </cell>
          <cell r="R555">
            <v>33.489619474109418</v>
          </cell>
          <cell r="S555">
            <v>31.683280975689737</v>
          </cell>
          <cell r="T555">
            <v>31.683280975689737</v>
          </cell>
          <cell r="U555">
            <v>31.683280975689737</v>
          </cell>
          <cell r="V555">
            <v>31.683280975689737</v>
          </cell>
          <cell r="W555">
            <v>31.683280975689737</v>
          </cell>
          <cell r="X555">
            <v>31.683280975689737</v>
          </cell>
          <cell r="Y555">
            <v>31.683280975689737</v>
          </cell>
          <cell r="Z555">
            <v>31.683280975689737</v>
          </cell>
          <cell r="AA555">
            <v>31.683280975689737</v>
          </cell>
          <cell r="AB555">
            <v>31.683280975689737</v>
          </cell>
          <cell r="AC555">
            <v>31.683280975689737</v>
          </cell>
          <cell r="AD555">
            <v>31.683280975689737</v>
          </cell>
          <cell r="AE555">
            <v>31.683280975689737</v>
          </cell>
          <cell r="AF555">
            <v>31.683280975689737</v>
          </cell>
        </row>
        <row r="556">
          <cell r="A556" t="str">
            <v>North Carolina</v>
          </cell>
          <cell r="B556">
            <v>39.773290146562857</v>
          </cell>
          <cell r="C556">
            <v>38.437889607228669</v>
          </cell>
          <cell r="D556">
            <v>36.353776342177476</v>
          </cell>
          <cell r="E556">
            <v>37.024380234642692</v>
          </cell>
          <cell r="F556">
            <v>34.371470047703262</v>
          </cell>
          <cell r="G556">
            <v>33.246277382052334</v>
          </cell>
          <cell r="H556">
            <v>34.378819041325833</v>
          </cell>
          <cell r="I556">
            <v>32.273568681187022</v>
          </cell>
          <cell r="J556">
            <v>32.409117467953024</v>
          </cell>
          <cell r="K556">
            <v>33.17264286872124</v>
          </cell>
          <cell r="L556">
            <v>35.457947025705586</v>
          </cell>
          <cell r="M556">
            <v>32.527662601653731</v>
          </cell>
          <cell r="N556">
            <v>32.698835087885428</v>
          </cell>
          <cell r="O556">
            <v>33.197821724627083</v>
          </cell>
          <cell r="P556">
            <v>31.252486553608531</v>
          </cell>
          <cell r="Q556">
            <v>33.182267003291912</v>
          </cell>
          <cell r="R556">
            <v>32.164080937316015</v>
          </cell>
          <cell r="S556">
            <v>32.19738674691466</v>
          </cell>
          <cell r="T556">
            <v>32.19738674691466</v>
          </cell>
          <cell r="U556">
            <v>32.19738674691466</v>
          </cell>
          <cell r="V556">
            <v>32.19738674691466</v>
          </cell>
          <cell r="W556">
            <v>32.19738674691466</v>
          </cell>
          <cell r="X556">
            <v>32.19738674691466</v>
          </cell>
          <cell r="Y556">
            <v>32.19738674691466</v>
          </cell>
          <cell r="Z556">
            <v>32.19738674691466</v>
          </cell>
          <cell r="AA556">
            <v>32.19738674691466</v>
          </cell>
          <cell r="AB556">
            <v>32.19738674691466</v>
          </cell>
          <cell r="AC556">
            <v>32.19738674691466</v>
          </cell>
          <cell r="AD556">
            <v>32.19738674691466</v>
          </cell>
          <cell r="AE556">
            <v>32.19738674691466</v>
          </cell>
          <cell r="AF556">
            <v>32.19738674691466</v>
          </cell>
        </row>
        <row r="557">
          <cell r="A557" t="str">
            <v>North Dakota</v>
          </cell>
          <cell r="B557">
            <v>39.168674231731408</v>
          </cell>
          <cell r="C557">
            <v>37.628315964074382</v>
          </cell>
          <cell r="D557">
            <v>35.504808499062108</v>
          </cell>
          <cell r="E557">
            <v>35.253144624944078</v>
          </cell>
          <cell r="F557">
            <v>33.95537231417881</v>
          </cell>
          <cell r="G557">
            <v>32.480721816189295</v>
          </cell>
          <cell r="H557">
            <v>33.72622496590737</v>
          </cell>
          <cell r="I557">
            <v>31.366466401192888</v>
          </cell>
          <cell r="J557">
            <v>33.876321830816636</v>
          </cell>
          <cell r="K557">
            <v>32.002560305082184</v>
          </cell>
          <cell r="L557">
            <v>33.013398036534689</v>
          </cell>
          <cell r="M557">
            <v>32.898874905465682</v>
          </cell>
          <cell r="N557">
            <v>32.90259935853404</v>
          </cell>
          <cell r="O557">
            <v>31.494751809954444</v>
          </cell>
          <cell r="P557">
            <v>32.54717858476652</v>
          </cell>
          <cell r="Q557">
            <v>32.455644178839371</v>
          </cell>
          <cell r="R557">
            <v>32.164080937316008</v>
          </cell>
          <cell r="S557">
            <v>32.19738674691466</v>
          </cell>
          <cell r="T557">
            <v>32.19738674691466</v>
          </cell>
          <cell r="U557">
            <v>32.19738674691466</v>
          </cell>
          <cell r="V557">
            <v>32.19738674691466</v>
          </cell>
          <cell r="W557">
            <v>32.19738674691466</v>
          </cell>
          <cell r="X557">
            <v>32.19738674691466</v>
          </cell>
          <cell r="Y557">
            <v>32.19738674691466</v>
          </cell>
          <cell r="Z557">
            <v>32.19738674691466</v>
          </cell>
          <cell r="AA557">
            <v>32.19738674691466</v>
          </cell>
          <cell r="AB557">
            <v>32.19738674691466</v>
          </cell>
          <cell r="AC557">
            <v>32.19738674691466</v>
          </cell>
          <cell r="AD557">
            <v>32.19738674691466</v>
          </cell>
          <cell r="AE557">
            <v>32.19738674691466</v>
          </cell>
          <cell r="AF557">
            <v>32.19738674691466</v>
          </cell>
        </row>
        <row r="558">
          <cell r="A558" t="str">
            <v>Ohio</v>
          </cell>
          <cell r="B558">
            <v>38.97673267146746</v>
          </cell>
          <cell r="C558">
            <v>38.007265328955114</v>
          </cell>
          <cell r="D558">
            <v>36.517281260110806</v>
          </cell>
          <cell r="E558">
            <v>35.769250212995779</v>
          </cell>
          <cell r="F558">
            <v>34.024721936432876</v>
          </cell>
          <cell r="G558">
            <v>33.501462570673361</v>
          </cell>
          <cell r="H558">
            <v>32.254417051133785</v>
          </cell>
          <cell r="I558">
            <v>32.908540277182937</v>
          </cell>
          <cell r="J558">
            <v>32.898185588907559</v>
          </cell>
          <cell r="K558">
            <v>32.146254655002771</v>
          </cell>
          <cell r="L558">
            <v>32.439641872646789</v>
          </cell>
          <cell r="M558">
            <v>32.527662601653738</v>
          </cell>
          <cell r="N558">
            <v>32.93278665788938</v>
          </cell>
          <cell r="O558">
            <v>32.029048253773311</v>
          </cell>
          <cell r="P558">
            <v>31.720014231526704</v>
          </cell>
          <cell r="Q558">
            <v>32.092332766613097</v>
          </cell>
          <cell r="R558">
            <v>32.694296352033369</v>
          </cell>
          <cell r="S558">
            <v>32.058439241178192</v>
          </cell>
          <cell r="T558">
            <v>32.058439241178192</v>
          </cell>
          <cell r="U558">
            <v>32.058439241178192</v>
          </cell>
          <cell r="V558">
            <v>32.058439241178192</v>
          </cell>
          <cell r="W558">
            <v>32.058439241178192</v>
          </cell>
          <cell r="X558">
            <v>32.058439241178192</v>
          </cell>
          <cell r="Y558">
            <v>32.058439241178192</v>
          </cell>
          <cell r="Z558">
            <v>32.058439241178192</v>
          </cell>
          <cell r="AA558">
            <v>32.058439241178192</v>
          </cell>
          <cell r="AB558">
            <v>32.058439241178192</v>
          </cell>
          <cell r="AC558">
            <v>32.058439241178192</v>
          </cell>
          <cell r="AD558">
            <v>32.058439241178192</v>
          </cell>
          <cell r="AE558">
            <v>32.058439241178192</v>
          </cell>
          <cell r="AF558">
            <v>32.058439241178192</v>
          </cell>
        </row>
        <row r="559">
          <cell r="A559" t="str">
            <v>Oklahoma</v>
          </cell>
          <cell r="B559">
            <v>38.920626676928777</v>
          </cell>
          <cell r="C559">
            <v>38.376558270626077</v>
          </cell>
          <cell r="D559">
            <v>36.193825878981826</v>
          </cell>
          <cell r="E559">
            <v>35.565715614890884</v>
          </cell>
          <cell r="F559">
            <v>33.987379832142217</v>
          </cell>
          <cell r="G559">
            <v>33.347008377560634</v>
          </cell>
          <cell r="H559">
            <v>32.090808487750223</v>
          </cell>
          <cell r="I559">
            <v>32.409634023186157</v>
          </cell>
          <cell r="J559">
            <v>32.133665307875177</v>
          </cell>
          <cell r="K559">
            <v>32.426965648393249</v>
          </cell>
          <cell r="L559">
            <v>32.470418065345754</v>
          </cell>
          <cell r="M559">
            <v>32.760229346210622</v>
          </cell>
          <cell r="N559">
            <v>33.27570197282671</v>
          </cell>
          <cell r="O559">
            <v>32.372805156965597</v>
          </cell>
          <cell r="P559">
            <v>31.927804310601449</v>
          </cell>
          <cell r="Q559">
            <v>32.153737512341479</v>
          </cell>
          <cell r="R559">
            <v>31.909577538251671</v>
          </cell>
          <cell r="S559">
            <v>32.487023801125886</v>
          </cell>
          <cell r="T559">
            <v>32.487023801125886</v>
          </cell>
          <cell r="U559">
            <v>32.487023801125886</v>
          </cell>
          <cell r="V559">
            <v>32.487023801125886</v>
          </cell>
          <cell r="W559">
            <v>32.487023801125886</v>
          </cell>
          <cell r="X559">
            <v>32.487023801125886</v>
          </cell>
          <cell r="Y559">
            <v>32.487023801125886</v>
          </cell>
          <cell r="Z559">
            <v>32.487023801125886</v>
          </cell>
          <cell r="AA559">
            <v>32.487023801125886</v>
          </cell>
          <cell r="AB559">
            <v>32.487023801125886</v>
          </cell>
          <cell r="AC559">
            <v>32.487023801125886</v>
          </cell>
          <cell r="AD559">
            <v>32.487023801125886</v>
          </cell>
          <cell r="AE559">
            <v>32.487023801125886</v>
          </cell>
          <cell r="AF559">
            <v>32.487023801125886</v>
          </cell>
        </row>
        <row r="560">
          <cell r="A560" t="str">
            <v>Oregon</v>
          </cell>
          <cell r="B560">
            <v>39.504571962193317</v>
          </cell>
          <cell r="C560">
            <v>38.168031726177247</v>
          </cell>
          <cell r="D560">
            <v>36.570179910030404</v>
          </cell>
          <cell r="E560">
            <v>34.909316536002578</v>
          </cell>
          <cell r="F560">
            <v>35.20366551475221</v>
          </cell>
          <cell r="G560">
            <v>32.480721816189295</v>
          </cell>
          <cell r="H560">
            <v>33.399927928198125</v>
          </cell>
          <cell r="I560">
            <v>32.273568681187022</v>
          </cell>
          <cell r="J560">
            <v>33.550276416846934</v>
          </cell>
          <cell r="K560">
            <v>31.96466289411412</v>
          </cell>
          <cell r="L560">
            <v>34.070500302122106</v>
          </cell>
          <cell r="M560">
            <v>32.088957151694139</v>
          </cell>
          <cell r="N560">
            <v>33.119947913892553</v>
          </cell>
          <cell r="O560">
            <v>31.604039718917399</v>
          </cell>
          <cell r="P560">
            <v>30.537444222674889</v>
          </cell>
          <cell r="Q560">
            <v>32.364816325782805</v>
          </cell>
          <cell r="R560">
            <v>33.26529756788284</v>
          </cell>
          <cell r="S560">
            <v>30.769315160178749</v>
          </cell>
          <cell r="T560">
            <v>30.769315160178749</v>
          </cell>
          <cell r="U560">
            <v>30.769315160178749</v>
          </cell>
          <cell r="V560">
            <v>30.769315160178749</v>
          </cell>
          <cell r="W560">
            <v>30.769315160178749</v>
          </cell>
          <cell r="X560">
            <v>30.769315160178749</v>
          </cell>
          <cell r="Y560">
            <v>30.769315160178749</v>
          </cell>
          <cell r="Z560">
            <v>30.769315160178749</v>
          </cell>
          <cell r="AA560">
            <v>30.769315160178749</v>
          </cell>
          <cell r="AB560">
            <v>30.769315160178749</v>
          </cell>
          <cell r="AC560">
            <v>30.769315160178749</v>
          </cell>
          <cell r="AD560">
            <v>30.769315160178749</v>
          </cell>
          <cell r="AE560">
            <v>30.769315160178749</v>
          </cell>
          <cell r="AF560">
            <v>30.769315160178749</v>
          </cell>
        </row>
        <row r="561">
          <cell r="A561" t="str">
            <v>Pennsylvania</v>
          </cell>
          <cell r="B561">
            <v>38.916750933884977</v>
          </cell>
          <cell r="C561">
            <v>38.199779712183293</v>
          </cell>
          <cell r="D561">
            <v>36.583705133021226</v>
          </cell>
          <cell r="E561">
            <v>35.308304211405272</v>
          </cell>
          <cell r="F561">
            <v>34.815307630129368</v>
          </cell>
          <cell r="G561">
            <v>33.007041267720133</v>
          </cell>
          <cell r="H561">
            <v>32.682074445237816</v>
          </cell>
          <cell r="I561">
            <v>32.273568681187029</v>
          </cell>
          <cell r="J561">
            <v>32.409117467953024</v>
          </cell>
          <cell r="K561">
            <v>32.248893476374619</v>
          </cell>
          <cell r="L561">
            <v>32.683053578538626</v>
          </cell>
          <cell r="M561">
            <v>32.527662601653731</v>
          </cell>
          <cell r="N561">
            <v>32.698835087885413</v>
          </cell>
          <cell r="O561">
            <v>32.029048253773311</v>
          </cell>
          <cell r="P561">
            <v>32.187541909444867</v>
          </cell>
          <cell r="Q561">
            <v>32.092332766613097</v>
          </cell>
          <cell r="R561">
            <v>32.164080937316001</v>
          </cell>
          <cell r="S561">
            <v>32.197386746914667</v>
          </cell>
          <cell r="T561">
            <v>32.197386746914667</v>
          </cell>
          <cell r="U561">
            <v>32.197386746914667</v>
          </cell>
          <cell r="V561">
            <v>32.197386746914667</v>
          </cell>
          <cell r="W561">
            <v>32.197386746914667</v>
          </cell>
          <cell r="X561">
            <v>32.197386746914667</v>
          </cell>
          <cell r="Y561">
            <v>32.197386746914667</v>
          </cell>
          <cell r="Z561">
            <v>32.197386746914667</v>
          </cell>
          <cell r="AA561">
            <v>32.197386746914667</v>
          </cell>
          <cell r="AB561">
            <v>32.197386746914667</v>
          </cell>
          <cell r="AC561">
            <v>32.197386746914667</v>
          </cell>
          <cell r="AD561">
            <v>32.197386746914667</v>
          </cell>
          <cell r="AE561">
            <v>32.197386746914667</v>
          </cell>
          <cell r="AF561">
            <v>32.197386746914667</v>
          </cell>
        </row>
        <row r="562">
          <cell r="A562" t="str">
            <v>Rhode Island</v>
          </cell>
          <cell r="B562">
            <v>37.567561716529632</v>
          </cell>
          <cell r="C562">
            <v>39.253992070085836</v>
          </cell>
          <cell r="D562">
            <v>36.335670092876128</v>
          </cell>
          <cell r="E562">
            <v>38.500847158977813</v>
          </cell>
          <cell r="F562">
            <v>34.437548580508462</v>
          </cell>
          <cell r="G562">
            <v>31.708919529563122</v>
          </cell>
          <cell r="H562">
            <v>31.842779313089338</v>
          </cell>
          <cell r="I562">
            <v>34.716816064099362</v>
          </cell>
          <cell r="J562">
            <v>32.78244652420836</v>
          </cell>
          <cell r="K562">
            <v>36.544693947781958</v>
          </cell>
          <cell r="L562">
            <v>34.179003575586201</v>
          </cell>
          <cell r="M562">
            <v>32.219635370831043</v>
          </cell>
          <cell r="N562">
            <v>32.492696895714708</v>
          </cell>
          <cell r="O562">
            <v>32.250502700935293</v>
          </cell>
          <cell r="P562">
            <v>30.968945503584372</v>
          </cell>
          <cell r="Q562">
            <v>31.647023166852069</v>
          </cell>
          <cell r="R562">
            <v>32.35680456179923</v>
          </cell>
          <cell r="S562">
            <v>33.279953084560098</v>
          </cell>
          <cell r="T562">
            <v>33.279953084560098</v>
          </cell>
          <cell r="U562">
            <v>33.279953084560098</v>
          </cell>
          <cell r="V562">
            <v>33.279953084560098</v>
          </cell>
          <cell r="W562">
            <v>33.279953084560098</v>
          </cell>
          <cell r="X562">
            <v>33.279953084560098</v>
          </cell>
          <cell r="Y562">
            <v>33.279953084560098</v>
          </cell>
          <cell r="Z562">
            <v>33.279953084560098</v>
          </cell>
          <cell r="AA562">
            <v>33.279953084560098</v>
          </cell>
          <cell r="AB562">
            <v>33.279953084560098</v>
          </cell>
          <cell r="AC562">
            <v>33.279953084560098</v>
          </cell>
          <cell r="AD562">
            <v>33.279953084560098</v>
          </cell>
          <cell r="AE562">
            <v>33.279953084560098</v>
          </cell>
          <cell r="AF562">
            <v>33.279953084560098</v>
          </cell>
        </row>
        <row r="563">
          <cell r="A563" t="str">
            <v>South Carolina</v>
          </cell>
          <cell r="B563">
            <v>39.879987072709575</v>
          </cell>
          <cell r="C563">
            <v>38.690881370714393</v>
          </cell>
          <cell r="D563">
            <v>36.599033719077468</v>
          </cell>
          <cell r="E563">
            <v>35.878286604837697</v>
          </cell>
          <cell r="F563">
            <v>35.702982794981573</v>
          </cell>
          <cell r="G563">
            <v>34.886753594616017</v>
          </cell>
          <cell r="H563">
            <v>31.931591258506558</v>
          </cell>
          <cell r="I563">
            <v>33.483038387845887</v>
          </cell>
          <cell r="J563">
            <v>31.920049346998493</v>
          </cell>
          <cell r="K563">
            <v>32.864726404605697</v>
          </cell>
          <cell r="L563">
            <v>32.683053578538619</v>
          </cell>
          <cell r="M563">
            <v>34.940542576431405</v>
          </cell>
          <cell r="N563">
            <v>32.698835087885428</v>
          </cell>
          <cell r="O563">
            <v>32.029048253773311</v>
          </cell>
          <cell r="P563">
            <v>38.186413027938187</v>
          </cell>
          <cell r="Q563">
            <v>32.788731143047066</v>
          </cell>
          <cell r="R563">
            <v>33.349737033187139</v>
          </cell>
          <cell r="S563">
            <v>31.566201534589098</v>
          </cell>
          <cell r="T563">
            <v>31.566201534589098</v>
          </cell>
          <cell r="U563">
            <v>31.566201534589098</v>
          </cell>
          <cell r="V563">
            <v>31.566201534589098</v>
          </cell>
          <cell r="W563">
            <v>31.566201534589098</v>
          </cell>
          <cell r="X563">
            <v>31.566201534589098</v>
          </cell>
          <cell r="Y563">
            <v>31.566201534589098</v>
          </cell>
          <cell r="Z563">
            <v>31.566201534589098</v>
          </cell>
          <cell r="AA563">
            <v>31.566201534589098</v>
          </cell>
          <cell r="AB563">
            <v>31.566201534589098</v>
          </cell>
          <cell r="AC563">
            <v>31.566201534589098</v>
          </cell>
          <cell r="AD563">
            <v>31.566201534589098</v>
          </cell>
          <cell r="AE563">
            <v>31.566201534589098</v>
          </cell>
          <cell r="AF563">
            <v>31.566201534589098</v>
          </cell>
        </row>
        <row r="564">
          <cell r="A564" t="str">
            <v>South Dakota</v>
          </cell>
          <cell r="B564">
            <v>39.168674231731416</v>
          </cell>
          <cell r="C564">
            <v>37.678914316771518</v>
          </cell>
          <cell r="D564">
            <v>36.73434813391885</v>
          </cell>
          <cell r="E564">
            <v>34.922187106176843</v>
          </cell>
          <cell r="F564">
            <v>34.94539795601289</v>
          </cell>
          <cell r="G564">
            <v>32.683368877741266</v>
          </cell>
          <cell r="H564">
            <v>32.539690283328326</v>
          </cell>
          <cell r="I564">
            <v>32.386956466186298</v>
          </cell>
          <cell r="J564">
            <v>32.519552204942755</v>
          </cell>
          <cell r="K564">
            <v>31.649704681338967</v>
          </cell>
          <cell r="L564">
            <v>32.811520867759306</v>
          </cell>
          <cell r="M564">
            <v>32.214301565968306</v>
          </cell>
          <cell r="N564">
            <v>32.869556503834261</v>
          </cell>
          <cell r="O564">
            <v>31.733156235835654</v>
          </cell>
          <cell r="P564">
            <v>32.436890004334558</v>
          </cell>
          <cell r="Q564">
            <v>31.81984920744339</v>
          </cell>
          <cell r="R564">
            <v>32.164080937316008</v>
          </cell>
          <cell r="S564">
            <v>31.952574474902793</v>
          </cell>
          <cell r="T564">
            <v>31.952574474902793</v>
          </cell>
          <cell r="U564">
            <v>31.952574474902793</v>
          </cell>
          <cell r="V564">
            <v>31.952574474902793</v>
          </cell>
          <cell r="W564">
            <v>31.952574474902793</v>
          </cell>
          <cell r="X564">
            <v>31.952574474902793</v>
          </cell>
          <cell r="Y564">
            <v>31.952574474902793</v>
          </cell>
          <cell r="Z564">
            <v>31.952574474902793</v>
          </cell>
          <cell r="AA564">
            <v>31.952574474902793</v>
          </cell>
          <cell r="AB564">
            <v>31.952574474902793</v>
          </cell>
          <cell r="AC564">
            <v>31.952574474902793</v>
          </cell>
          <cell r="AD564">
            <v>31.952574474902793</v>
          </cell>
          <cell r="AE564">
            <v>31.952574474902793</v>
          </cell>
          <cell r="AF564">
            <v>31.952574474902793</v>
          </cell>
        </row>
        <row r="565">
          <cell r="A565" t="str">
            <v>Tennessee</v>
          </cell>
          <cell r="B565">
            <v>39.168674231731408</v>
          </cell>
          <cell r="C565">
            <v>39.787179012485829</v>
          </cell>
          <cell r="D565">
            <v>34.882232080777499</v>
          </cell>
          <cell r="E565">
            <v>35.565715614890891</v>
          </cell>
          <cell r="F565">
            <v>34.371470047703269</v>
          </cell>
          <cell r="G565">
            <v>32.962738283584549</v>
          </cell>
          <cell r="H565">
            <v>33.791484373449215</v>
          </cell>
          <cell r="I565">
            <v>32.273568681187022</v>
          </cell>
          <cell r="J565">
            <v>32.409117467953024</v>
          </cell>
          <cell r="K565">
            <v>33.480559332836791</v>
          </cell>
          <cell r="L565">
            <v>34.995464784511086</v>
          </cell>
          <cell r="M565">
            <v>32.527662601653731</v>
          </cell>
          <cell r="N565">
            <v>32.698835087885428</v>
          </cell>
          <cell r="O565">
            <v>36.704142137188377</v>
          </cell>
          <cell r="P565">
            <v>32.18754190944486</v>
          </cell>
          <cell r="Q565">
            <v>32.092332766613104</v>
          </cell>
          <cell r="R565">
            <v>30.374603912644897</v>
          </cell>
          <cell r="S565">
            <v>32.931823562950264</v>
          </cell>
          <cell r="T565">
            <v>32.931823562950264</v>
          </cell>
          <cell r="U565">
            <v>32.931823562950264</v>
          </cell>
          <cell r="V565">
            <v>32.931823562950264</v>
          </cell>
          <cell r="W565">
            <v>32.931823562950264</v>
          </cell>
          <cell r="X565">
            <v>32.931823562950264</v>
          </cell>
          <cell r="Y565">
            <v>32.931823562950264</v>
          </cell>
          <cell r="Z565">
            <v>32.931823562950264</v>
          </cell>
          <cell r="AA565">
            <v>32.931823562950264</v>
          </cell>
          <cell r="AB565">
            <v>32.931823562950264</v>
          </cell>
          <cell r="AC565">
            <v>32.931823562950264</v>
          </cell>
          <cell r="AD565">
            <v>32.931823562950264</v>
          </cell>
          <cell r="AE565">
            <v>32.931823562950264</v>
          </cell>
          <cell r="AF565">
            <v>32.931823562950264</v>
          </cell>
        </row>
        <row r="566">
          <cell r="A566" t="str">
            <v>Texas</v>
          </cell>
          <cell r="B566">
            <v>39.111091763652233</v>
          </cell>
          <cell r="C566">
            <v>38.038314633139656</v>
          </cell>
          <cell r="D566">
            <v>36.606908955950409</v>
          </cell>
          <cell r="E566">
            <v>35.067635013024407</v>
          </cell>
          <cell r="F566">
            <v>34.042249862936657</v>
          </cell>
          <cell r="G566">
            <v>33.809185886363395</v>
          </cell>
          <cell r="H566">
            <v>32.048834870915385</v>
          </cell>
          <cell r="I566">
            <v>32.273568681187029</v>
          </cell>
          <cell r="J566">
            <v>32.133802896366724</v>
          </cell>
          <cell r="K566">
            <v>32.424845741583503</v>
          </cell>
          <cell r="L566">
            <v>32.396982089139968</v>
          </cell>
          <cell r="M566">
            <v>32.478420153188871</v>
          </cell>
          <cell r="N566">
            <v>32.771691978198071</v>
          </cell>
          <cell r="O566">
            <v>32.471765477581556</v>
          </cell>
          <cell r="P566">
            <v>31.843047830978854</v>
          </cell>
          <cell r="Q566">
            <v>32.300702547154643</v>
          </cell>
          <cell r="R566">
            <v>31.822064850689447</v>
          </cell>
          <cell r="S566">
            <v>32.286641221085645</v>
          </cell>
          <cell r="T566">
            <v>32.286641221085645</v>
          </cell>
          <cell r="U566">
            <v>32.286641221085645</v>
          </cell>
          <cell r="V566">
            <v>32.286641221085645</v>
          </cell>
          <cell r="W566">
            <v>32.286641221085645</v>
          </cell>
          <cell r="X566">
            <v>32.286641221085645</v>
          </cell>
          <cell r="Y566">
            <v>32.286641221085645</v>
          </cell>
          <cell r="Z566">
            <v>32.286641221085645</v>
          </cell>
          <cell r="AA566">
            <v>32.286641221085645</v>
          </cell>
          <cell r="AB566">
            <v>32.286641221085645</v>
          </cell>
          <cell r="AC566">
            <v>32.286641221085645</v>
          </cell>
          <cell r="AD566">
            <v>32.286641221085645</v>
          </cell>
          <cell r="AE566">
            <v>32.286641221085645</v>
          </cell>
          <cell r="AF566">
            <v>32.286641221085645</v>
          </cell>
        </row>
        <row r="567">
          <cell r="A567" t="str">
            <v>Utah</v>
          </cell>
          <cell r="B567">
            <v>39.856854947799725</v>
          </cell>
          <cell r="C567">
            <v>37.581609792353937</v>
          </cell>
          <cell r="D567">
            <v>36.50093076831746</v>
          </cell>
          <cell r="E567">
            <v>34.962130254993589</v>
          </cell>
          <cell r="F567">
            <v>35.333118142959812</v>
          </cell>
          <cell r="G567">
            <v>32.289332924723524</v>
          </cell>
          <cell r="H567">
            <v>32.421036815070401</v>
          </cell>
          <cell r="I567">
            <v>32.999250505182353</v>
          </cell>
          <cell r="J567">
            <v>33.264986679623469</v>
          </cell>
          <cell r="K567">
            <v>32.248893476374612</v>
          </cell>
          <cell r="L567">
            <v>33.343742494530751</v>
          </cell>
          <cell r="M567">
            <v>32.527662601653724</v>
          </cell>
          <cell r="N567">
            <v>34.383286391913963</v>
          </cell>
          <cell r="O567">
            <v>31.249865939870801</v>
          </cell>
          <cell r="P567">
            <v>31.519645226704625</v>
          </cell>
          <cell r="Q567">
            <v>32.09233276661309</v>
          </cell>
          <cell r="R567">
            <v>32.95940405939205</v>
          </cell>
          <cell r="S567">
            <v>32.19738674691466</v>
          </cell>
          <cell r="T567">
            <v>32.19738674691466</v>
          </cell>
          <cell r="U567">
            <v>32.19738674691466</v>
          </cell>
          <cell r="V567">
            <v>32.19738674691466</v>
          </cell>
          <cell r="W567">
            <v>32.19738674691466</v>
          </cell>
          <cell r="X567">
            <v>32.19738674691466</v>
          </cell>
          <cell r="Y567">
            <v>32.19738674691466</v>
          </cell>
          <cell r="Z567">
            <v>32.19738674691466</v>
          </cell>
          <cell r="AA567">
            <v>32.19738674691466</v>
          </cell>
          <cell r="AB567">
            <v>32.19738674691466</v>
          </cell>
          <cell r="AC567">
            <v>32.19738674691466</v>
          </cell>
          <cell r="AD567">
            <v>32.19738674691466</v>
          </cell>
          <cell r="AE567">
            <v>32.19738674691466</v>
          </cell>
          <cell r="AF567">
            <v>32.19738674691466</v>
          </cell>
        </row>
        <row r="568">
          <cell r="A568" t="str">
            <v>Vermont</v>
          </cell>
          <cell r="B568">
            <v>39.389806904285514</v>
          </cell>
          <cell r="C568">
            <v>39.253992070085829</v>
          </cell>
          <cell r="D568">
            <v>36.335670092876143</v>
          </cell>
          <cell r="E568">
            <v>40.937888960091932</v>
          </cell>
          <cell r="F568">
            <v>32.952297155070546</v>
          </cell>
          <cell r="G568">
            <v>33.083171515658734</v>
          </cell>
          <cell r="H568">
            <v>31.286561488001016</v>
          </cell>
          <cell r="I568">
            <v>32.982057063273956</v>
          </cell>
          <cell r="J568">
            <v>35.364274538205585</v>
          </cell>
          <cell r="K568">
            <v>37.432560396759044</v>
          </cell>
          <cell r="L568">
            <v>30.35352081996589</v>
          </cell>
          <cell r="M568">
            <v>34.155806536002203</v>
          </cell>
          <cell r="N568">
            <v>33.293694909294828</v>
          </cell>
          <cell r="O568">
            <v>31.638434159613166</v>
          </cell>
          <cell r="P568">
            <v>32.121172294691419</v>
          </cell>
          <cell r="Q568">
            <v>31.647023166852073</v>
          </cell>
          <cell r="R568">
            <v>31.115638972564359</v>
          </cell>
          <cell r="S568">
            <v>32.242682409577647</v>
          </cell>
          <cell r="T568">
            <v>32.242682409577647</v>
          </cell>
          <cell r="U568">
            <v>32.242682409577647</v>
          </cell>
          <cell r="V568">
            <v>32.242682409577647</v>
          </cell>
          <cell r="W568">
            <v>32.242682409577647</v>
          </cell>
          <cell r="X568">
            <v>32.242682409577647</v>
          </cell>
          <cell r="Y568">
            <v>32.242682409577647</v>
          </cell>
          <cell r="Z568">
            <v>32.242682409577647</v>
          </cell>
          <cell r="AA568">
            <v>32.242682409577647</v>
          </cell>
          <cell r="AB568">
            <v>32.242682409577647</v>
          </cell>
          <cell r="AC568">
            <v>32.242682409577647</v>
          </cell>
          <cell r="AD568">
            <v>32.242682409577647</v>
          </cell>
          <cell r="AE568">
            <v>32.242682409577647</v>
          </cell>
          <cell r="AF568">
            <v>32.242682409577647</v>
          </cell>
        </row>
        <row r="569">
          <cell r="A569" t="str">
            <v>Virginia</v>
          </cell>
          <cell r="B569">
            <v>40.512265153579051</v>
          </cell>
          <cell r="C569">
            <v>37.859622719261324</v>
          </cell>
          <cell r="D569">
            <v>36.353776342177476</v>
          </cell>
          <cell r="E569">
            <v>35.018716382483952</v>
          </cell>
          <cell r="F569">
            <v>34.371470047703276</v>
          </cell>
          <cell r="G569">
            <v>33.246277382052341</v>
          </cell>
          <cell r="H569">
            <v>32.980403165429109</v>
          </cell>
          <cell r="I569">
            <v>32.878303534516455</v>
          </cell>
          <cell r="J569">
            <v>32.409117467953017</v>
          </cell>
          <cell r="K569">
            <v>32.248893476374633</v>
          </cell>
          <cell r="L569">
            <v>33.196922735421396</v>
          </cell>
          <cell r="M569">
            <v>32.045086606698192</v>
          </cell>
          <cell r="N569">
            <v>33.16673822789334</v>
          </cell>
          <cell r="O569">
            <v>31.706627985951581</v>
          </cell>
          <cell r="P569">
            <v>32.187541909444867</v>
          </cell>
          <cell r="Q569">
            <v>31.947008201722593</v>
          </cell>
          <cell r="R569">
            <v>32.504933703920031</v>
          </cell>
          <cell r="S569">
            <v>31.85464956609805</v>
          </cell>
          <cell r="T569">
            <v>31.85464956609805</v>
          </cell>
          <cell r="U569">
            <v>31.85464956609805</v>
          </cell>
          <cell r="V569">
            <v>31.85464956609805</v>
          </cell>
          <cell r="W569">
            <v>31.85464956609805</v>
          </cell>
          <cell r="X569">
            <v>31.85464956609805</v>
          </cell>
          <cell r="Y569">
            <v>31.85464956609805</v>
          </cell>
          <cell r="Z569">
            <v>31.85464956609805</v>
          </cell>
          <cell r="AA569">
            <v>31.85464956609805</v>
          </cell>
          <cell r="AB569">
            <v>31.85464956609805</v>
          </cell>
          <cell r="AC569">
            <v>31.85464956609805</v>
          </cell>
          <cell r="AD569">
            <v>31.85464956609805</v>
          </cell>
          <cell r="AE569">
            <v>31.85464956609805</v>
          </cell>
          <cell r="AF569">
            <v>31.85464956609805</v>
          </cell>
        </row>
        <row r="570">
          <cell r="A570" t="str">
            <v>Washington</v>
          </cell>
          <cell r="B570">
            <v>39.642882792383524</v>
          </cell>
          <cell r="C570">
            <v>38.109684076220184</v>
          </cell>
          <cell r="D570">
            <v>36.608957427969365</v>
          </cell>
          <cell r="E570">
            <v>35.25986658171712</v>
          </cell>
          <cell r="F570">
            <v>33.977064613082909</v>
          </cell>
          <cell r="G570">
            <v>34.595814437259627</v>
          </cell>
          <cell r="H570">
            <v>32.18515943841313</v>
          </cell>
          <cell r="I570">
            <v>32.340349217137529</v>
          </cell>
          <cell r="J570">
            <v>31.775774251316893</v>
          </cell>
          <cell r="K570">
            <v>32.158771584438362</v>
          </cell>
          <cell r="L570">
            <v>32.09265071743927</v>
          </cell>
          <cell r="M570">
            <v>32.14917162521801</v>
          </cell>
          <cell r="N570">
            <v>32.783057653086843</v>
          </cell>
          <cell r="O570">
            <v>33.505393690641228</v>
          </cell>
          <cell r="P570">
            <v>31.845448486577908</v>
          </cell>
          <cell r="Q570">
            <v>32.315909020290803</v>
          </cell>
          <cell r="R570">
            <v>33.395548997304722</v>
          </cell>
          <cell r="S570">
            <v>31.317633555513719</v>
          </cell>
          <cell r="T570">
            <v>31.317633555513719</v>
          </cell>
          <cell r="U570">
            <v>31.317633555513719</v>
          </cell>
          <cell r="V570">
            <v>31.317633555513719</v>
          </cell>
          <cell r="W570">
            <v>31.317633555513719</v>
          </cell>
          <cell r="X570">
            <v>31.317633555513719</v>
          </cell>
          <cell r="Y570">
            <v>31.317633555513719</v>
          </cell>
          <cell r="Z570">
            <v>31.317633555513719</v>
          </cell>
          <cell r="AA570">
            <v>31.317633555513719</v>
          </cell>
          <cell r="AB570">
            <v>31.317633555513719</v>
          </cell>
          <cell r="AC570">
            <v>31.317633555513719</v>
          </cell>
          <cell r="AD570">
            <v>31.317633555513719</v>
          </cell>
          <cell r="AE570">
            <v>31.317633555513719</v>
          </cell>
          <cell r="AF570">
            <v>31.317633555513719</v>
          </cell>
        </row>
        <row r="571">
          <cell r="A571" t="str">
            <v>West Virginia</v>
          </cell>
          <cell r="B571">
            <v>40.896148274106956</v>
          </cell>
          <cell r="C571">
            <v>36.751277850657239</v>
          </cell>
          <cell r="D571">
            <v>35.82822482024892</v>
          </cell>
          <cell r="E571">
            <v>37.316113158593055</v>
          </cell>
          <cell r="F571">
            <v>35.798090848358591</v>
          </cell>
          <cell r="G571">
            <v>32.097944033257768</v>
          </cell>
          <cell r="H571">
            <v>32.856099532016067</v>
          </cell>
          <cell r="I571">
            <v>32.727119821184104</v>
          </cell>
          <cell r="J571">
            <v>31.724422098616675</v>
          </cell>
          <cell r="K571">
            <v>32.248893476374612</v>
          </cell>
          <cell r="L571">
            <v>34.665120326515009</v>
          </cell>
          <cell r="M571">
            <v>32.527662601653724</v>
          </cell>
          <cell r="N571">
            <v>32.172444055376509</v>
          </cell>
          <cell r="O571">
            <v>32.69691880854689</v>
          </cell>
          <cell r="P571">
            <v>34.057652621117505</v>
          </cell>
          <cell r="Q571">
            <v>30.846693638980163</v>
          </cell>
          <cell r="R571">
            <v>31.103650107881272</v>
          </cell>
          <cell r="S571">
            <v>31.683280975689737</v>
          </cell>
          <cell r="T571">
            <v>31.683280975689737</v>
          </cell>
          <cell r="U571">
            <v>31.683280975689737</v>
          </cell>
          <cell r="V571">
            <v>31.683280975689737</v>
          </cell>
          <cell r="W571">
            <v>31.683280975689737</v>
          </cell>
          <cell r="X571">
            <v>31.683280975689737</v>
          </cell>
          <cell r="Y571">
            <v>31.683280975689737</v>
          </cell>
          <cell r="Z571">
            <v>31.683280975689737</v>
          </cell>
          <cell r="AA571">
            <v>31.683280975689737</v>
          </cell>
          <cell r="AB571">
            <v>31.683280975689737</v>
          </cell>
          <cell r="AC571">
            <v>31.683280975689737</v>
          </cell>
          <cell r="AD571">
            <v>31.683280975689737</v>
          </cell>
          <cell r="AE571">
            <v>31.683280975689737</v>
          </cell>
          <cell r="AF571">
            <v>31.683280975689737</v>
          </cell>
        </row>
        <row r="572">
          <cell r="A572" t="str">
            <v>Wisconsin</v>
          </cell>
          <cell r="B572">
            <v>38.496878770807584</v>
          </cell>
          <cell r="C572">
            <v>37.628315964074382</v>
          </cell>
          <cell r="D572">
            <v>36.616552103141757</v>
          </cell>
          <cell r="E572">
            <v>35.565715614890877</v>
          </cell>
          <cell r="F572">
            <v>34.256684466041357</v>
          </cell>
          <cell r="G572">
            <v>33.11868478774182</v>
          </cell>
          <cell r="H572">
            <v>32.421036815070416</v>
          </cell>
          <cell r="I572">
            <v>32.273568681187029</v>
          </cell>
          <cell r="J572">
            <v>32.298682730963293</v>
          </cell>
          <cell r="K572">
            <v>31.735699369515384</v>
          </cell>
          <cell r="L572">
            <v>32.439641872646789</v>
          </cell>
          <cell r="M572">
            <v>32.795760376629026</v>
          </cell>
          <cell r="N572">
            <v>32.277722261878282</v>
          </cell>
          <cell r="O572">
            <v>32.029048253773311</v>
          </cell>
          <cell r="P572">
            <v>31.964909681864786</v>
          </cell>
          <cell r="Q572">
            <v>31.80168363683207</v>
          </cell>
          <cell r="R572">
            <v>32.060343138784347</v>
          </cell>
          <cell r="S572">
            <v>31.983176008904273</v>
          </cell>
          <cell r="T572">
            <v>31.983176008904273</v>
          </cell>
          <cell r="U572">
            <v>31.983176008904273</v>
          </cell>
          <cell r="V572">
            <v>31.983176008904273</v>
          </cell>
          <cell r="W572">
            <v>31.983176008904273</v>
          </cell>
          <cell r="X572">
            <v>31.983176008904273</v>
          </cell>
          <cell r="Y572">
            <v>31.983176008904273</v>
          </cell>
          <cell r="Z572">
            <v>31.983176008904273</v>
          </cell>
          <cell r="AA572">
            <v>31.983176008904273</v>
          </cell>
          <cell r="AB572">
            <v>31.983176008904273</v>
          </cell>
          <cell r="AC572">
            <v>31.983176008904273</v>
          </cell>
          <cell r="AD572">
            <v>31.983176008904273</v>
          </cell>
          <cell r="AE572">
            <v>31.983176008904273</v>
          </cell>
          <cell r="AF572">
            <v>31.983176008904273</v>
          </cell>
        </row>
        <row r="573">
          <cell r="A573" t="str">
            <v>Wyoming</v>
          </cell>
          <cell r="B573">
            <v>40.99595788544422</v>
          </cell>
          <cell r="C573">
            <v>40.461823715114406</v>
          </cell>
          <cell r="D573">
            <v>34.426754095106084</v>
          </cell>
          <cell r="E573">
            <v>36.295047924766791</v>
          </cell>
          <cell r="F573">
            <v>34.19627100200875</v>
          </cell>
          <cell r="G573">
            <v>33.054888490586571</v>
          </cell>
          <cell r="H573">
            <v>32.627119154676251</v>
          </cell>
          <cell r="I573">
            <v>32.953895391182641</v>
          </cell>
          <cell r="J573">
            <v>32.207736476971732</v>
          </cell>
          <cell r="K573">
            <v>31.694643840966648</v>
          </cell>
          <cell r="L573">
            <v>33.196922735421388</v>
          </cell>
          <cell r="M573">
            <v>33.130882595348147</v>
          </cell>
          <cell r="N573">
            <v>32.698835087885428</v>
          </cell>
          <cell r="O573">
            <v>32.340721179334317</v>
          </cell>
          <cell r="P573">
            <v>31.01872271464946</v>
          </cell>
          <cell r="Q573">
            <v>33.182267003291926</v>
          </cell>
          <cell r="R573">
            <v>32.164080937316001</v>
          </cell>
          <cell r="S573">
            <v>31.626158112220292</v>
          </cell>
          <cell r="T573">
            <v>31.626158112220292</v>
          </cell>
          <cell r="U573">
            <v>31.626158112220292</v>
          </cell>
          <cell r="V573">
            <v>31.626158112220292</v>
          </cell>
          <cell r="W573">
            <v>31.626158112220292</v>
          </cell>
          <cell r="X573">
            <v>31.626158112220292</v>
          </cell>
          <cell r="Y573">
            <v>31.626158112220292</v>
          </cell>
          <cell r="Z573">
            <v>31.626158112220292</v>
          </cell>
          <cell r="AA573">
            <v>31.626158112220292</v>
          </cell>
          <cell r="AB573">
            <v>31.626158112220292</v>
          </cell>
          <cell r="AC573">
            <v>31.626158112220292</v>
          </cell>
          <cell r="AD573">
            <v>31.626158112220292</v>
          </cell>
          <cell r="AE573">
            <v>31.626158112220292</v>
          </cell>
          <cell r="AF573">
            <v>31.626158112220292</v>
          </cell>
        </row>
        <row r="575">
          <cell r="A575" t="str">
            <v>Heifer Feedlot</v>
          </cell>
          <cell r="B575">
            <v>1990</v>
          </cell>
          <cell r="C575">
            <v>1991</v>
          </cell>
          <cell r="D575">
            <v>1992</v>
          </cell>
          <cell r="E575">
            <v>1993</v>
          </cell>
          <cell r="F575">
            <v>1994</v>
          </cell>
          <cell r="G575">
            <v>1995</v>
          </cell>
          <cell r="H575">
            <v>1996</v>
          </cell>
          <cell r="I575">
            <v>1997</v>
          </cell>
          <cell r="J575">
            <v>1998</v>
          </cell>
          <cell r="K575">
            <v>1999</v>
          </cell>
          <cell r="L575">
            <v>2000</v>
          </cell>
          <cell r="M575">
            <v>2001</v>
          </cell>
          <cell r="N575">
            <v>2002</v>
          </cell>
          <cell r="O575">
            <v>2003</v>
          </cell>
          <cell r="P575">
            <v>2004</v>
          </cell>
          <cell r="Q575">
            <v>2005</v>
          </cell>
          <cell r="R575">
            <v>2006</v>
          </cell>
          <cell r="S575">
            <v>2007</v>
          </cell>
          <cell r="T575">
            <v>2008</v>
          </cell>
          <cell r="U575">
            <v>2009</v>
          </cell>
          <cell r="V575">
            <v>2010</v>
          </cell>
          <cell r="W575">
            <v>2011</v>
          </cell>
          <cell r="X575">
            <v>2012</v>
          </cell>
          <cell r="Y575">
            <v>2013</v>
          </cell>
          <cell r="Z575">
            <v>2014</v>
          </cell>
          <cell r="AA575">
            <v>2015</v>
          </cell>
          <cell r="AB575">
            <v>2016</v>
          </cell>
          <cell r="AC575">
            <v>2017</v>
          </cell>
          <cell r="AD575">
            <v>2018</v>
          </cell>
          <cell r="AE575">
            <v>2019</v>
          </cell>
          <cell r="AF575">
            <v>2020</v>
          </cell>
        </row>
        <row r="576">
          <cell r="A576" t="str">
            <v>Alabama</v>
          </cell>
          <cell r="B576">
            <v>41.333758769474017</v>
          </cell>
          <cell r="C576">
            <v>40.017557676034166</v>
          </cell>
          <cell r="D576">
            <v>37.017643715599988</v>
          </cell>
          <cell r="E576">
            <v>38.779108929905767</v>
          </cell>
          <cell r="F576">
            <v>37.842463106481283</v>
          </cell>
          <cell r="G576">
            <v>35.107926438510901</v>
          </cell>
          <cell r="H576">
            <v>35.984708093879775</v>
          </cell>
          <cell r="I576">
            <v>33.232021773718117</v>
          </cell>
          <cell r="J576">
            <v>34.3847853233639</v>
          </cell>
          <cell r="K576">
            <v>33.156856591714948</v>
          </cell>
          <cell r="L576">
            <v>33.685651014853569</v>
          </cell>
          <cell r="M576">
            <v>33.479383735137077</v>
          </cell>
          <cell r="N576">
            <v>33.56208507359019</v>
          </cell>
          <cell r="O576">
            <v>31.742864588763187</v>
          </cell>
          <cell r="P576">
            <v>33.192050527956702</v>
          </cell>
          <cell r="Q576">
            <v>34.135201398237726</v>
          </cell>
          <cell r="R576">
            <v>31.77992525877065</v>
          </cell>
          <cell r="S576">
            <v>33.796135461247061</v>
          </cell>
          <cell r="T576">
            <v>33.796135461247061</v>
          </cell>
          <cell r="U576">
            <v>33.796135461247061</v>
          </cell>
          <cell r="V576">
            <v>33.796135461247061</v>
          </cell>
          <cell r="W576">
            <v>33.796135461247061</v>
          </cell>
          <cell r="X576">
            <v>33.796135461247061</v>
          </cell>
          <cell r="Y576">
            <v>33.796135461247061</v>
          </cell>
          <cell r="Z576">
            <v>33.796135461247061</v>
          </cell>
          <cell r="AA576">
            <v>33.796135461247061</v>
          </cell>
          <cell r="AB576">
            <v>33.796135461247061</v>
          </cell>
          <cell r="AC576">
            <v>33.796135461247061</v>
          </cell>
          <cell r="AD576">
            <v>33.796135461247061</v>
          </cell>
          <cell r="AE576">
            <v>33.796135461247061</v>
          </cell>
          <cell r="AF576">
            <v>33.796135461247061</v>
          </cell>
        </row>
        <row r="577">
          <cell r="A577" t="str">
            <v>Alaska</v>
          </cell>
          <cell r="B577">
            <v>37.874425752841283</v>
          </cell>
          <cell r="C577">
            <v>40.025089617348357</v>
          </cell>
          <cell r="D577">
            <v>37.900361468694932</v>
          </cell>
          <cell r="E577">
            <v>38.393717188036362</v>
          </cell>
          <cell r="F577">
            <v>34.025065013944825</v>
          </cell>
          <cell r="G577">
            <v>33.08950483726634</v>
          </cell>
          <cell r="H577">
            <v>32.410780866670251</v>
          </cell>
          <cell r="I577">
            <v>35.314167008734245</v>
          </cell>
          <cell r="J577">
            <v>34.726721107730732</v>
          </cell>
          <cell r="K577">
            <v>37.41355772773953</v>
          </cell>
          <cell r="L577">
            <v>34.005697494424361</v>
          </cell>
          <cell r="M577">
            <v>33.3401163365588</v>
          </cell>
          <cell r="N577">
            <v>33.842818034035218</v>
          </cell>
          <cell r="O577">
            <v>34.167369754513402</v>
          </cell>
          <cell r="P577">
            <v>31.122166449004137</v>
          </cell>
          <cell r="Q577">
            <v>33.034771456083064</v>
          </cell>
          <cell r="R577">
            <v>32.982401030431866</v>
          </cell>
          <cell r="S577">
            <v>33.662179061403286</v>
          </cell>
          <cell r="T577">
            <v>33.662179061403286</v>
          </cell>
          <cell r="U577">
            <v>33.662179061403286</v>
          </cell>
          <cell r="V577">
            <v>33.662179061403286</v>
          </cell>
          <cell r="W577">
            <v>33.662179061403286</v>
          </cell>
          <cell r="X577">
            <v>33.662179061403286</v>
          </cell>
          <cell r="Y577">
            <v>33.662179061403286</v>
          </cell>
          <cell r="Z577">
            <v>33.662179061403286</v>
          </cell>
          <cell r="AA577">
            <v>33.662179061403286</v>
          </cell>
          <cell r="AB577">
            <v>33.662179061403286</v>
          </cell>
          <cell r="AC577">
            <v>33.662179061403286</v>
          </cell>
          <cell r="AD577">
            <v>33.662179061403286</v>
          </cell>
          <cell r="AE577">
            <v>33.662179061403286</v>
          </cell>
          <cell r="AF577">
            <v>33.662179061403286</v>
          </cell>
        </row>
        <row r="578">
          <cell r="A578" t="str">
            <v>Arizona</v>
          </cell>
          <cell r="B578">
            <v>40.167113149713593</v>
          </cell>
          <cell r="C578">
            <v>39.506294694068977</v>
          </cell>
          <cell r="D578">
            <v>37.332013911813789</v>
          </cell>
          <cell r="E578">
            <v>36.125200002031583</v>
          </cell>
          <cell r="F578">
            <v>35.413802285355615</v>
          </cell>
          <cell r="G578">
            <v>34.370001730670317</v>
          </cell>
          <cell r="H578">
            <v>33.129550018610402</v>
          </cell>
          <cell r="I578">
            <v>33.043436175992809</v>
          </cell>
          <cell r="J578">
            <v>33.120472857190691</v>
          </cell>
          <cell r="K578">
            <v>33.97718918324734</v>
          </cell>
          <cell r="L578">
            <v>32.36423106098416</v>
          </cell>
          <cell r="M578">
            <v>32.938838511799084</v>
          </cell>
          <cell r="N578">
            <v>33.49322863981515</v>
          </cell>
          <cell r="O578">
            <v>33.157049388545673</v>
          </cell>
          <cell r="P578">
            <v>33.088504460694359</v>
          </cell>
          <cell r="Q578">
            <v>32.574407446517114</v>
          </cell>
          <cell r="R578">
            <v>33.149693691118628</v>
          </cell>
          <cell r="S578">
            <v>33.115239175578211</v>
          </cell>
          <cell r="T578">
            <v>33.115239175578211</v>
          </cell>
          <cell r="U578">
            <v>33.115239175578211</v>
          </cell>
          <cell r="V578">
            <v>33.115239175578211</v>
          </cell>
          <cell r="W578">
            <v>33.115239175578211</v>
          </cell>
          <cell r="X578">
            <v>33.115239175578211</v>
          </cell>
          <cell r="Y578">
            <v>33.115239175578211</v>
          </cell>
          <cell r="Z578">
            <v>33.115239175578211</v>
          </cell>
          <cell r="AA578">
            <v>33.115239175578211</v>
          </cell>
          <cell r="AB578">
            <v>33.115239175578211</v>
          </cell>
          <cell r="AC578">
            <v>33.115239175578211</v>
          </cell>
          <cell r="AD578">
            <v>33.115239175578211</v>
          </cell>
          <cell r="AE578">
            <v>33.115239175578211</v>
          </cell>
          <cell r="AF578">
            <v>33.115239175578211</v>
          </cell>
        </row>
        <row r="579">
          <cell r="A579" t="str">
            <v>Arkansas</v>
          </cell>
          <cell r="B579">
            <v>40.70239761054485</v>
          </cell>
          <cell r="C579">
            <v>37.749367348845482</v>
          </cell>
          <cell r="D579">
            <v>36.449157610780034</v>
          </cell>
          <cell r="E579">
            <v>36.173656204366367</v>
          </cell>
          <cell r="F579">
            <v>37.842463106481283</v>
          </cell>
          <cell r="G579">
            <v>33.121206071247798</v>
          </cell>
          <cell r="H579">
            <v>32.152923404250565</v>
          </cell>
          <cell r="I579">
            <v>33.021780413574596</v>
          </cell>
          <cell r="J579">
            <v>37.133478295897433</v>
          </cell>
          <cell r="K579">
            <v>31.712510319444249</v>
          </cell>
          <cell r="L579">
            <v>35.665960807980198</v>
          </cell>
          <cell r="M579">
            <v>33.479383735137084</v>
          </cell>
          <cell r="N579">
            <v>32.162004253497287</v>
          </cell>
          <cell r="O579">
            <v>32.850451057969515</v>
          </cell>
          <cell r="P579">
            <v>35.888328648432918</v>
          </cell>
          <cell r="Q579">
            <v>33.178536060285779</v>
          </cell>
          <cell r="R579">
            <v>38.6549299626449</v>
          </cell>
          <cell r="S579">
            <v>37.041100174227694</v>
          </cell>
          <cell r="T579">
            <v>37.041100174227694</v>
          </cell>
          <cell r="U579">
            <v>37.041100174227694</v>
          </cell>
          <cell r="V579">
            <v>37.041100174227694</v>
          </cell>
          <cell r="W579">
            <v>37.041100174227694</v>
          </cell>
          <cell r="X579">
            <v>37.041100174227694</v>
          </cell>
          <cell r="Y579">
            <v>37.041100174227694</v>
          </cell>
          <cell r="Z579">
            <v>37.041100174227694</v>
          </cell>
          <cell r="AA579">
            <v>37.041100174227694</v>
          </cell>
          <cell r="AB579">
            <v>37.041100174227694</v>
          </cell>
          <cell r="AC579">
            <v>37.041100174227694</v>
          </cell>
          <cell r="AD579">
            <v>37.041100174227694</v>
          </cell>
          <cell r="AE579">
            <v>37.041100174227694</v>
          </cell>
          <cell r="AF579">
            <v>37.041100174227694</v>
          </cell>
        </row>
        <row r="580">
          <cell r="A580" t="str">
            <v>California</v>
          </cell>
          <cell r="B580">
            <v>39.707037416110609</v>
          </cell>
          <cell r="C580">
            <v>39.861897555540821</v>
          </cell>
          <cell r="D580">
            <v>37.496368856501022</v>
          </cell>
          <cell r="E580">
            <v>35.792049492039887</v>
          </cell>
          <cell r="F580">
            <v>35.917404194752926</v>
          </cell>
          <cell r="G580">
            <v>33.816558199789895</v>
          </cell>
          <cell r="H580">
            <v>33.989131257327841</v>
          </cell>
          <cell r="I580">
            <v>32.965716050869659</v>
          </cell>
          <cell r="J580">
            <v>33.063298317338145</v>
          </cell>
          <cell r="K580">
            <v>33.156856591714948</v>
          </cell>
          <cell r="L580">
            <v>33.488812993247613</v>
          </cell>
          <cell r="M580">
            <v>33.043012552925141</v>
          </cell>
          <cell r="N580">
            <v>33.233941131380924</v>
          </cell>
          <cell r="O580">
            <v>32.682634926271582</v>
          </cell>
          <cell r="P580">
            <v>33.002600142250955</v>
          </cell>
          <cell r="Q580">
            <v>32.932635210362733</v>
          </cell>
          <cell r="R580">
            <v>33.049895504594062</v>
          </cell>
          <cell r="S580">
            <v>33.115239175578211</v>
          </cell>
          <cell r="T580">
            <v>33.115239175578211</v>
          </cell>
          <cell r="U580">
            <v>33.115239175578211</v>
          </cell>
          <cell r="V580">
            <v>33.115239175578211</v>
          </cell>
          <cell r="W580">
            <v>33.115239175578211</v>
          </cell>
          <cell r="X580">
            <v>33.115239175578211</v>
          </cell>
          <cell r="Y580">
            <v>33.115239175578211</v>
          </cell>
          <cell r="Z580">
            <v>33.115239175578211</v>
          </cell>
          <cell r="AA580">
            <v>33.115239175578211</v>
          </cell>
          <cell r="AB580">
            <v>33.115239175578211</v>
          </cell>
          <cell r="AC580">
            <v>33.115239175578211</v>
          </cell>
          <cell r="AD580">
            <v>33.115239175578211</v>
          </cell>
          <cell r="AE580">
            <v>33.115239175578211</v>
          </cell>
          <cell r="AF580">
            <v>33.115239175578211</v>
          </cell>
        </row>
        <row r="581">
          <cell r="A581" t="str">
            <v>Colorado</v>
          </cell>
          <cell r="B581">
            <v>39.676435727284947</v>
          </cell>
          <cell r="C581">
            <v>38.702388494723088</v>
          </cell>
          <cell r="D581">
            <v>37.262153868210724</v>
          </cell>
          <cell r="E581">
            <v>36.118652202382748</v>
          </cell>
          <cell r="F581">
            <v>35.247650649326445</v>
          </cell>
          <cell r="G581">
            <v>34.158314238724145</v>
          </cell>
          <cell r="H581">
            <v>33.039134106749685</v>
          </cell>
          <cell r="I581">
            <v>33.019919870564465</v>
          </cell>
          <cell r="J581">
            <v>33.290501346444337</v>
          </cell>
          <cell r="K581">
            <v>33.082149025907853</v>
          </cell>
          <cell r="L581">
            <v>33.504122617150301</v>
          </cell>
          <cell r="M581">
            <v>33.342542597858078</v>
          </cell>
          <cell r="N581">
            <v>33.648866942604229</v>
          </cell>
          <cell r="O581">
            <v>33.755689999147776</v>
          </cell>
          <cell r="P581">
            <v>33.060072722562744</v>
          </cell>
          <cell r="Q581">
            <v>32.987180489800203</v>
          </cell>
          <cell r="R581">
            <v>33.101269082117291</v>
          </cell>
          <cell r="S581">
            <v>33.063125976481096</v>
          </cell>
          <cell r="T581">
            <v>33.063125976481096</v>
          </cell>
          <cell r="U581">
            <v>33.063125976481096</v>
          </cell>
          <cell r="V581">
            <v>33.063125976481096</v>
          </cell>
          <cell r="W581">
            <v>33.063125976481096</v>
          </cell>
          <cell r="X581">
            <v>33.063125976481096</v>
          </cell>
          <cell r="Y581">
            <v>33.063125976481096</v>
          </cell>
          <cell r="Z581">
            <v>33.063125976481096</v>
          </cell>
          <cell r="AA581">
            <v>33.063125976481096</v>
          </cell>
          <cell r="AB581">
            <v>33.063125976481096</v>
          </cell>
          <cell r="AC581">
            <v>33.063125976481096</v>
          </cell>
          <cell r="AD581">
            <v>33.063125976481096</v>
          </cell>
          <cell r="AE581">
            <v>33.063125976481096</v>
          </cell>
          <cell r="AF581">
            <v>33.063125976481096</v>
          </cell>
        </row>
        <row r="582">
          <cell r="A582" t="str">
            <v>Connecticut</v>
          </cell>
          <cell r="B582">
            <v>37.87442575284129</v>
          </cell>
          <cell r="C582">
            <v>40.02508961734835</v>
          </cell>
          <cell r="D582">
            <v>36.99526037008583</v>
          </cell>
          <cell r="E582">
            <v>43.875298740183972</v>
          </cell>
          <cell r="F582">
            <v>34.424464957363291</v>
          </cell>
          <cell r="G582">
            <v>34.887819896488899</v>
          </cell>
          <cell r="H582">
            <v>32.720834657644986</v>
          </cell>
          <cell r="I582">
            <v>34.807772752255659</v>
          </cell>
          <cell r="J582">
            <v>33.601144346036769</v>
          </cell>
          <cell r="K582">
            <v>35.5171216342561</v>
          </cell>
          <cell r="L582">
            <v>33.044714425979521</v>
          </cell>
          <cell r="M582">
            <v>35.528604028503182</v>
          </cell>
          <cell r="N582">
            <v>33.447744031478543</v>
          </cell>
          <cell r="O582">
            <v>32.387744964613972</v>
          </cell>
          <cell r="P582">
            <v>33.085539260932897</v>
          </cell>
          <cell r="Q582">
            <v>32.641039641917637</v>
          </cell>
          <cell r="R582">
            <v>34.554379290868454</v>
          </cell>
          <cell r="S582">
            <v>32.177010280526517</v>
          </cell>
          <cell r="T582">
            <v>32.177010280526517</v>
          </cell>
          <cell r="U582">
            <v>32.177010280526517</v>
          </cell>
          <cell r="V582">
            <v>32.177010280526517</v>
          </cell>
          <cell r="W582">
            <v>32.177010280526517</v>
          </cell>
          <cell r="X582">
            <v>32.177010280526517</v>
          </cell>
          <cell r="Y582">
            <v>32.177010280526517</v>
          </cell>
          <cell r="Z582">
            <v>32.177010280526517</v>
          </cell>
          <cell r="AA582">
            <v>32.177010280526517</v>
          </cell>
          <cell r="AB582">
            <v>32.177010280526517</v>
          </cell>
          <cell r="AC582">
            <v>32.177010280526517</v>
          </cell>
          <cell r="AD582">
            <v>32.177010280526517</v>
          </cell>
          <cell r="AE582">
            <v>32.177010280526517</v>
          </cell>
          <cell r="AF582">
            <v>32.177010280526517</v>
          </cell>
        </row>
        <row r="583">
          <cell r="A583" t="str">
            <v>Delaware</v>
          </cell>
          <cell r="B583">
            <v>37.303570038309481</v>
          </cell>
          <cell r="C583">
            <v>41.607762926830908</v>
          </cell>
          <cell r="D583">
            <v>37.738253809242551</v>
          </cell>
          <cell r="E583">
            <v>39.764112576073273</v>
          </cell>
          <cell r="F583">
            <v>34.304644974337748</v>
          </cell>
          <cell r="G583">
            <v>34.887819896488907</v>
          </cell>
          <cell r="H583">
            <v>31.894024548379008</v>
          </cell>
          <cell r="I583">
            <v>38.878403506256582</v>
          </cell>
          <cell r="J583">
            <v>34.518280966676279</v>
          </cell>
          <cell r="K583">
            <v>39.150629443619309</v>
          </cell>
          <cell r="L583">
            <v>35.374370349482142</v>
          </cell>
          <cell r="M583">
            <v>33.285404144260198</v>
          </cell>
          <cell r="N583">
            <v>39.725030960990139</v>
          </cell>
          <cell r="O583">
            <v>36.012906573668388</v>
          </cell>
          <cell r="P583">
            <v>28.737936689829386</v>
          </cell>
          <cell r="Q583">
            <v>35.310733406258841</v>
          </cell>
          <cell r="R583">
            <v>33.283904797314541</v>
          </cell>
          <cell r="S583">
            <v>31.875671687305143</v>
          </cell>
          <cell r="T583">
            <v>31.875671687305143</v>
          </cell>
          <cell r="U583">
            <v>31.875671687305143</v>
          </cell>
          <cell r="V583">
            <v>31.875671687305143</v>
          </cell>
          <cell r="W583">
            <v>31.875671687305143</v>
          </cell>
          <cell r="X583">
            <v>31.875671687305143</v>
          </cell>
          <cell r="Y583">
            <v>31.875671687305143</v>
          </cell>
          <cell r="Z583">
            <v>31.875671687305143</v>
          </cell>
          <cell r="AA583">
            <v>31.875671687305143</v>
          </cell>
          <cell r="AB583">
            <v>31.875671687305143</v>
          </cell>
          <cell r="AC583">
            <v>31.875671687305143</v>
          </cell>
          <cell r="AD583">
            <v>31.875671687305143</v>
          </cell>
          <cell r="AE583">
            <v>31.875671687305143</v>
          </cell>
          <cell r="AF583">
            <v>31.875671687305143</v>
          </cell>
        </row>
        <row r="584">
          <cell r="A584" t="str">
            <v>Florida</v>
          </cell>
          <cell r="B584">
            <v>38.571553699158898</v>
          </cell>
          <cell r="C584">
            <v>43.753400567874337</v>
          </cell>
          <cell r="D584">
            <v>38.088924197571821</v>
          </cell>
          <cell r="E584">
            <v>37.708519494017935</v>
          </cell>
          <cell r="F584">
            <v>34.008069271671701</v>
          </cell>
          <cell r="G584">
            <v>34.591097911717178</v>
          </cell>
          <cell r="H584">
            <v>33.134239712277974</v>
          </cell>
          <cell r="I584">
            <v>33.093822961097388</v>
          </cell>
          <cell r="J584">
            <v>34.726721107730718</v>
          </cell>
          <cell r="K584">
            <v>38.975328628255298</v>
          </cell>
          <cell r="L584">
            <v>34.005697494424361</v>
          </cell>
          <cell r="M584">
            <v>35.163856079845779</v>
          </cell>
          <cell r="N584">
            <v>33.704542133140379</v>
          </cell>
          <cell r="O584">
            <v>33.112777286424858</v>
          </cell>
          <cell r="P584">
            <v>32.749699174681929</v>
          </cell>
          <cell r="Q584">
            <v>33.428503270248491</v>
          </cell>
          <cell r="R584">
            <v>32.608120492232679</v>
          </cell>
          <cell r="S584">
            <v>31.97898777640961</v>
          </cell>
          <cell r="T584">
            <v>31.97898777640961</v>
          </cell>
          <cell r="U584">
            <v>31.97898777640961</v>
          </cell>
          <cell r="V584">
            <v>31.97898777640961</v>
          </cell>
          <cell r="W584">
            <v>31.97898777640961</v>
          </cell>
          <cell r="X584">
            <v>31.97898777640961</v>
          </cell>
          <cell r="Y584">
            <v>31.97898777640961</v>
          </cell>
          <cell r="Z584">
            <v>31.97898777640961</v>
          </cell>
          <cell r="AA584">
            <v>31.97898777640961</v>
          </cell>
          <cell r="AB584">
            <v>31.97898777640961</v>
          </cell>
          <cell r="AC584">
            <v>31.97898777640961</v>
          </cell>
          <cell r="AD584">
            <v>31.97898777640961</v>
          </cell>
          <cell r="AE584">
            <v>31.97898777640961</v>
          </cell>
          <cell r="AF584">
            <v>31.97898777640961</v>
          </cell>
        </row>
        <row r="585">
          <cell r="A585" t="str">
            <v>Georgia</v>
          </cell>
          <cell r="B585">
            <v>40.483849517069388</v>
          </cell>
          <cell r="C585">
            <v>38.208008775299078</v>
          </cell>
          <cell r="D585">
            <v>36.512322733537808</v>
          </cell>
          <cell r="E585">
            <v>36.752645698930671</v>
          </cell>
          <cell r="F585">
            <v>36.806830147640078</v>
          </cell>
          <cell r="G585">
            <v>33.248356174752629</v>
          </cell>
          <cell r="H585">
            <v>35.548175660884041</v>
          </cell>
          <cell r="I585">
            <v>37.22660761644498</v>
          </cell>
          <cell r="J585">
            <v>33.327595718543307</v>
          </cell>
          <cell r="K585">
            <v>39.656414816933129</v>
          </cell>
          <cell r="L585">
            <v>31.870367037820849</v>
          </cell>
          <cell r="M585">
            <v>33.479383735137091</v>
          </cell>
          <cell r="N585">
            <v>33.562085073590204</v>
          </cell>
          <cell r="O585">
            <v>32.850451057969522</v>
          </cell>
          <cell r="P585">
            <v>31.845547877541318</v>
          </cell>
          <cell r="Q585">
            <v>32.509795703862494</v>
          </cell>
          <cell r="R585">
            <v>33.499013604284265</v>
          </cell>
          <cell r="S585">
            <v>32.370202967469837</v>
          </cell>
          <cell r="T585">
            <v>32.370202967469837</v>
          </cell>
          <cell r="U585">
            <v>32.370202967469837</v>
          </cell>
          <cell r="V585">
            <v>32.370202967469837</v>
          </cell>
          <cell r="W585">
            <v>32.370202967469837</v>
          </cell>
          <cell r="X585">
            <v>32.370202967469837</v>
          </cell>
          <cell r="Y585">
            <v>32.370202967469837</v>
          </cell>
          <cell r="Z585">
            <v>32.370202967469837</v>
          </cell>
          <cell r="AA585">
            <v>32.370202967469837</v>
          </cell>
          <cell r="AB585">
            <v>32.370202967469837</v>
          </cell>
          <cell r="AC585">
            <v>32.370202967469837</v>
          </cell>
          <cell r="AD585">
            <v>32.370202967469837</v>
          </cell>
          <cell r="AE585">
            <v>32.370202967469837</v>
          </cell>
          <cell r="AF585">
            <v>32.370202967469837</v>
          </cell>
        </row>
        <row r="586">
          <cell r="A586" t="str">
            <v>Hawaii</v>
          </cell>
          <cell r="B586">
            <v>41.827009674887435</v>
          </cell>
          <cell r="C586">
            <v>39.394917194060803</v>
          </cell>
          <cell r="D586">
            <v>40.049569607973098</v>
          </cell>
          <cell r="E586">
            <v>42.970837784079613</v>
          </cell>
          <cell r="F586">
            <v>35.575676558981208</v>
          </cell>
          <cell r="G586">
            <v>35.947541270673632</v>
          </cell>
          <cell r="H586">
            <v>32.472791624865188</v>
          </cell>
          <cell r="I586">
            <v>35.205653953774537</v>
          </cell>
          <cell r="J586">
            <v>33.4760802614041</v>
          </cell>
          <cell r="K586">
            <v>41.798529871495319</v>
          </cell>
          <cell r="L586">
            <v>32.70150618724923</v>
          </cell>
          <cell r="M586">
            <v>36.224941021394571</v>
          </cell>
          <cell r="N586">
            <v>32.705882848899904</v>
          </cell>
          <cell r="O586">
            <v>34.00512475942287</v>
          </cell>
          <cell r="P586">
            <v>31.742178915929014</v>
          </cell>
          <cell r="Q586">
            <v>33.887857053441493</v>
          </cell>
          <cell r="R586">
            <v>32.608120492232693</v>
          </cell>
          <cell r="S586">
            <v>32.710147791610474</v>
          </cell>
          <cell r="T586">
            <v>32.710147791610474</v>
          </cell>
          <cell r="U586">
            <v>32.710147791610474</v>
          </cell>
          <cell r="V586">
            <v>32.710147791610474</v>
          </cell>
          <cell r="W586">
            <v>32.710147791610474</v>
          </cell>
          <cell r="X586">
            <v>32.710147791610474</v>
          </cell>
          <cell r="Y586">
            <v>32.710147791610474</v>
          </cell>
          <cell r="Z586">
            <v>32.710147791610474</v>
          </cell>
          <cell r="AA586">
            <v>32.710147791610474</v>
          </cell>
          <cell r="AB586">
            <v>32.710147791610474</v>
          </cell>
          <cell r="AC586">
            <v>32.710147791610474</v>
          </cell>
          <cell r="AD586">
            <v>32.710147791610474</v>
          </cell>
          <cell r="AE586">
            <v>32.710147791610474</v>
          </cell>
          <cell r="AF586">
            <v>32.710147791610474</v>
          </cell>
        </row>
        <row r="587">
          <cell r="A587" t="str">
            <v>Idaho</v>
          </cell>
          <cell r="B587">
            <v>40.655045523625169</v>
          </cell>
          <cell r="C587">
            <v>37.634347555377502</v>
          </cell>
          <cell r="D587">
            <v>37.180068316977128</v>
          </cell>
          <cell r="E587">
            <v>36.463150951648508</v>
          </cell>
          <cell r="F587">
            <v>35.350298232264464</v>
          </cell>
          <cell r="G587">
            <v>34.151357372791637</v>
          </cell>
          <cell r="H587">
            <v>33.365513495905375</v>
          </cell>
          <cell r="I587">
            <v>33.232021773718117</v>
          </cell>
          <cell r="J587">
            <v>32.969226360976997</v>
          </cell>
          <cell r="K587">
            <v>33.156856591714948</v>
          </cell>
          <cell r="L587">
            <v>33.339882638275917</v>
          </cell>
          <cell r="M587">
            <v>33.30675337733895</v>
          </cell>
          <cell r="N587">
            <v>33.405359608654429</v>
          </cell>
          <cell r="O587">
            <v>33.395165714956235</v>
          </cell>
          <cell r="P587">
            <v>33.162918392594385</v>
          </cell>
          <cell r="Q587">
            <v>33.266240696758345</v>
          </cell>
          <cell r="R587">
            <v>33.588432317251282</v>
          </cell>
          <cell r="S587">
            <v>33.448566996218254</v>
          </cell>
          <cell r="T587">
            <v>33.448566996218254</v>
          </cell>
          <cell r="U587">
            <v>33.448566996218254</v>
          </cell>
          <cell r="V587">
            <v>33.448566996218254</v>
          </cell>
          <cell r="W587">
            <v>33.448566996218254</v>
          </cell>
          <cell r="X587">
            <v>33.448566996218254</v>
          </cell>
          <cell r="Y587">
            <v>33.448566996218254</v>
          </cell>
          <cell r="Z587">
            <v>33.448566996218254</v>
          </cell>
          <cell r="AA587">
            <v>33.448566996218254</v>
          </cell>
          <cell r="AB587">
            <v>33.448566996218254</v>
          </cell>
          <cell r="AC587">
            <v>33.448566996218254</v>
          </cell>
          <cell r="AD587">
            <v>33.448566996218254</v>
          </cell>
          <cell r="AE587">
            <v>33.448566996218254</v>
          </cell>
          <cell r="AF587">
            <v>33.448566996218254</v>
          </cell>
        </row>
        <row r="588">
          <cell r="A588" t="str">
            <v>Illinois</v>
          </cell>
          <cell r="B588">
            <v>40.213601874599689</v>
          </cell>
          <cell r="C588">
            <v>38.32633150202544</v>
          </cell>
          <cell r="D588">
            <v>37.418928024884671</v>
          </cell>
          <cell r="E588">
            <v>36.612284609339319</v>
          </cell>
          <cell r="F588">
            <v>35.283840502285365</v>
          </cell>
          <cell r="G588">
            <v>34.812756555374683</v>
          </cell>
          <cell r="H588">
            <v>33.214985070734436</v>
          </cell>
          <cell r="I588">
            <v>33.608869494730079</v>
          </cell>
          <cell r="J588">
            <v>33.581321223700243</v>
          </cell>
          <cell r="K588">
            <v>33.156856591714941</v>
          </cell>
          <cell r="L588">
            <v>33.912561511982666</v>
          </cell>
          <cell r="M588">
            <v>33.853416177033033</v>
          </cell>
          <cell r="N588">
            <v>33.562085073590204</v>
          </cell>
          <cell r="O588">
            <v>33.10802930662215</v>
          </cell>
          <cell r="P588">
            <v>33.571729930970164</v>
          </cell>
          <cell r="Q588">
            <v>32.927951384649909</v>
          </cell>
          <cell r="R588">
            <v>33.331780466546533</v>
          </cell>
          <cell r="S588">
            <v>32.841341896602664</v>
          </cell>
          <cell r="T588">
            <v>32.841341896602664</v>
          </cell>
          <cell r="U588">
            <v>32.841341896602664</v>
          </cell>
          <cell r="V588">
            <v>32.841341896602664</v>
          </cell>
          <cell r="W588">
            <v>32.841341896602664</v>
          </cell>
          <cell r="X588">
            <v>32.841341896602664</v>
          </cell>
          <cell r="Y588">
            <v>32.841341896602664</v>
          </cell>
          <cell r="Z588">
            <v>32.841341896602664</v>
          </cell>
          <cell r="AA588">
            <v>32.841341896602664</v>
          </cell>
          <cell r="AB588">
            <v>32.841341896602664</v>
          </cell>
          <cell r="AC588">
            <v>32.841341896602664</v>
          </cell>
          <cell r="AD588">
            <v>32.841341896602664</v>
          </cell>
          <cell r="AE588">
            <v>32.841341896602664</v>
          </cell>
          <cell r="AF588">
            <v>32.841341896602664</v>
          </cell>
        </row>
        <row r="589">
          <cell r="A589" t="str">
            <v>Indiana</v>
          </cell>
          <cell r="B589">
            <v>39.654606751045385</v>
          </cell>
          <cell r="C589">
            <v>39.401992654083237</v>
          </cell>
          <cell r="D589">
            <v>37.234209850769503</v>
          </cell>
          <cell r="E589">
            <v>36.463150951648522</v>
          </cell>
          <cell r="F589">
            <v>35.668595781111819</v>
          </cell>
          <cell r="G589">
            <v>33.868212929338718</v>
          </cell>
          <cell r="H589">
            <v>33.365513495905375</v>
          </cell>
          <cell r="I589">
            <v>33.23202177371811</v>
          </cell>
          <cell r="J589">
            <v>34.073847204299007</v>
          </cell>
          <cell r="K589">
            <v>33.288160798285013</v>
          </cell>
          <cell r="L589">
            <v>35.151841919380004</v>
          </cell>
          <cell r="M589">
            <v>34.499472213035119</v>
          </cell>
          <cell r="N589">
            <v>33.333811026835917</v>
          </cell>
          <cell r="O589">
            <v>32.850451057969529</v>
          </cell>
          <cell r="P589">
            <v>33.682044155611251</v>
          </cell>
          <cell r="Q589">
            <v>32.336571550149259</v>
          </cell>
          <cell r="R589">
            <v>33.673156358144148</v>
          </cell>
          <cell r="S589">
            <v>33.382911516395218</v>
          </cell>
          <cell r="T589">
            <v>33.382911516395218</v>
          </cell>
          <cell r="U589">
            <v>33.382911516395218</v>
          </cell>
          <cell r="V589">
            <v>33.382911516395218</v>
          </cell>
          <cell r="W589">
            <v>33.382911516395218</v>
          </cell>
          <cell r="X589">
            <v>33.382911516395218</v>
          </cell>
          <cell r="Y589">
            <v>33.382911516395218</v>
          </cell>
          <cell r="Z589">
            <v>33.382911516395218</v>
          </cell>
          <cell r="AA589">
            <v>33.382911516395218</v>
          </cell>
          <cell r="AB589">
            <v>33.382911516395218</v>
          </cell>
          <cell r="AC589">
            <v>33.382911516395218</v>
          </cell>
          <cell r="AD589">
            <v>33.382911516395218</v>
          </cell>
          <cell r="AE589">
            <v>33.382911516395218</v>
          </cell>
          <cell r="AF589">
            <v>33.382911516395218</v>
          </cell>
        </row>
        <row r="590">
          <cell r="A590" t="str">
            <v>Iowa</v>
          </cell>
          <cell r="B590">
            <v>39.465445135908126</v>
          </cell>
          <cell r="C590">
            <v>38.856907457210028</v>
          </cell>
          <cell r="D590">
            <v>37.792852040354482</v>
          </cell>
          <cell r="E590">
            <v>36.407854202167663</v>
          </cell>
          <cell r="F590">
            <v>35.164650008301074</v>
          </cell>
          <cell r="G590">
            <v>34.120242598785829</v>
          </cell>
          <cell r="H590">
            <v>33.414017099571559</v>
          </cell>
          <cell r="I590">
            <v>32.832563189445438</v>
          </cell>
          <cell r="J590">
            <v>33.3275957185433</v>
          </cell>
          <cell r="K590">
            <v>33.071895046287267</v>
          </cell>
          <cell r="L590">
            <v>33.289589056228252</v>
          </cell>
          <cell r="M590">
            <v>33.74654976506276</v>
          </cell>
          <cell r="N590">
            <v>33.716505752276923</v>
          </cell>
          <cell r="O590">
            <v>32.494804026572993</v>
          </cell>
          <cell r="P590">
            <v>33.966197204841528</v>
          </cell>
          <cell r="Q590">
            <v>33.350132088166866</v>
          </cell>
          <cell r="R590">
            <v>33.198701729144084</v>
          </cell>
          <cell r="S590">
            <v>33.439392836017163</v>
          </cell>
          <cell r="T590">
            <v>33.439392836017163</v>
          </cell>
          <cell r="U590">
            <v>33.439392836017163</v>
          </cell>
          <cell r="V590">
            <v>33.439392836017163</v>
          </cell>
          <cell r="W590">
            <v>33.439392836017163</v>
          </cell>
          <cell r="X590">
            <v>33.439392836017163</v>
          </cell>
          <cell r="Y590">
            <v>33.439392836017163</v>
          </cell>
          <cell r="Z590">
            <v>33.439392836017163</v>
          </cell>
          <cell r="AA590">
            <v>33.439392836017163</v>
          </cell>
          <cell r="AB590">
            <v>33.439392836017163</v>
          </cell>
          <cell r="AC590">
            <v>33.439392836017163</v>
          </cell>
          <cell r="AD590">
            <v>33.439392836017163</v>
          </cell>
          <cell r="AE590">
            <v>33.439392836017163</v>
          </cell>
          <cell r="AF590">
            <v>33.439392836017163</v>
          </cell>
        </row>
        <row r="591">
          <cell r="A591" t="str">
            <v>Kansas</v>
          </cell>
          <cell r="B591">
            <v>39.354570183489173</v>
          </cell>
          <cell r="C591">
            <v>38.461802450016485</v>
          </cell>
          <cell r="D591">
            <v>37.067620516023723</v>
          </cell>
          <cell r="E591">
            <v>35.997942974672711</v>
          </cell>
          <cell r="F591">
            <v>35.302116378029602</v>
          </cell>
          <cell r="G591">
            <v>33.993804820790814</v>
          </cell>
          <cell r="H591">
            <v>33.029719316677898</v>
          </cell>
          <cell r="I591">
            <v>33.214028143795929</v>
          </cell>
          <cell r="J591">
            <v>33.059952780614026</v>
          </cell>
          <cell r="K591">
            <v>33.578124254460576</v>
          </cell>
          <cell r="L591">
            <v>33.203107172857528</v>
          </cell>
          <cell r="M591">
            <v>33.296184171759471</v>
          </cell>
          <cell r="N591">
            <v>33.396067585041635</v>
          </cell>
          <cell r="O591">
            <v>33.567415513482551</v>
          </cell>
          <cell r="P591">
            <v>32.635419633399827</v>
          </cell>
          <cell r="Q591">
            <v>33.221318809784584</v>
          </cell>
          <cell r="R591">
            <v>33.006128967961693</v>
          </cell>
          <cell r="S591">
            <v>32.957905051586529</v>
          </cell>
          <cell r="T591">
            <v>32.957905051586529</v>
          </cell>
          <cell r="U591">
            <v>32.957905051586529</v>
          </cell>
          <cell r="V591">
            <v>32.957905051586529</v>
          </cell>
          <cell r="W591">
            <v>32.957905051586529</v>
          </cell>
          <cell r="X591">
            <v>32.957905051586529</v>
          </cell>
          <cell r="Y591">
            <v>32.957905051586529</v>
          </cell>
          <cell r="Z591">
            <v>32.957905051586529</v>
          </cell>
          <cell r="AA591">
            <v>32.957905051586529</v>
          </cell>
          <cell r="AB591">
            <v>32.957905051586529</v>
          </cell>
          <cell r="AC591">
            <v>32.957905051586529</v>
          </cell>
          <cell r="AD591">
            <v>32.957905051586529</v>
          </cell>
          <cell r="AE591">
            <v>32.957905051586529</v>
          </cell>
          <cell r="AF591">
            <v>32.957905051586529</v>
          </cell>
        </row>
        <row r="592">
          <cell r="A592" t="str">
            <v>Kentucky</v>
          </cell>
          <cell r="B592">
            <v>40.939158045143287</v>
          </cell>
          <cell r="C592">
            <v>37.082252546731176</v>
          </cell>
          <cell r="D592">
            <v>37.017643715600002</v>
          </cell>
          <cell r="E592">
            <v>36.463150951648508</v>
          </cell>
          <cell r="F592">
            <v>34.826943608678938</v>
          </cell>
          <cell r="G592">
            <v>34.074831847534092</v>
          </cell>
          <cell r="H592">
            <v>35.984708093879775</v>
          </cell>
          <cell r="I592">
            <v>34.230668234399829</v>
          </cell>
          <cell r="J592">
            <v>33.327595718543307</v>
          </cell>
          <cell r="K592">
            <v>34.601202863985662</v>
          </cell>
          <cell r="L592">
            <v>33.685651014853583</v>
          </cell>
          <cell r="M592">
            <v>32.076762078027279</v>
          </cell>
          <cell r="N592">
            <v>35.312186098706341</v>
          </cell>
          <cell r="O592">
            <v>35.619417230985377</v>
          </cell>
          <cell r="P592">
            <v>33.162918392594385</v>
          </cell>
          <cell r="Q592">
            <v>33.178536060285779</v>
          </cell>
          <cell r="R592">
            <v>31.379958984643793</v>
          </cell>
          <cell r="S592">
            <v>31.643041301084661</v>
          </cell>
          <cell r="T592">
            <v>31.643041301084661</v>
          </cell>
          <cell r="U592">
            <v>31.643041301084661</v>
          </cell>
          <cell r="V592">
            <v>31.643041301084661</v>
          </cell>
          <cell r="W592">
            <v>31.643041301084661</v>
          </cell>
          <cell r="X592">
            <v>31.643041301084661</v>
          </cell>
          <cell r="Y592">
            <v>31.643041301084661</v>
          </cell>
          <cell r="Z592">
            <v>31.643041301084661</v>
          </cell>
          <cell r="AA592">
            <v>31.643041301084661</v>
          </cell>
          <cell r="AB592">
            <v>31.643041301084661</v>
          </cell>
          <cell r="AC592">
            <v>31.643041301084661</v>
          </cell>
          <cell r="AD592">
            <v>31.643041301084661</v>
          </cell>
          <cell r="AE592">
            <v>31.643041301084661</v>
          </cell>
          <cell r="AF592">
            <v>31.643041301084661</v>
          </cell>
        </row>
        <row r="593">
          <cell r="A593" t="str">
            <v>Louisiana</v>
          </cell>
          <cell r="B593">
            <v>39.7553558721511</v>
          </cell>
          <cell r="C593">
            <v>39.66732240492415</v>
          </cell>
          <cell r="D593">
            <v>36.512322733537808</v>
          </cell>
          <cell r="E593">
            <v>40.400279514685828</v>
          </cell>
          <cell r="F593">
            <v>37.72062393485291</v>
          </cell>
          <cell r="G593">
            <v>32.421880501971188</v>
          </cell>
          <cell r="H593">
            <v>36.275729715876928</v>
          </cell>
          <cell r="I593">
            <v>33.23202177371811</v>
          </cell>
          <cell r="J593">
            <v>41.785112557108022</v>
          </cell>
          <cell r="K593">
            <v>30.777847413222553</v>
          </cell>
          <cell r="L593">
            <v>33.537526255951228</v>
          </cell>
          <cell r="M593">
            <v>34.789250078521974</v>
          </cell>
          <cell r="N593">
            <v>33.719156659251219</v>
          </cell>
          <cell r="O593">
            <v>33.112777286424858</v>
          </cell>
          <cell r="P593">
            <v>32.060343208166763</v>
          </cell>
          <cell r="Q593">
            <v>33.152891000332694</v>
          </cell>
          <cell r="R593">
            <v>32.864207176263704</v>
          </cell>
          <cell r="S593">
            <v>33.014797797944183</v>
          </cell>
          <cell r="T593">
            <v>33.014797797944183</v>
          </cell>
          <cell r="U593">
            <v>33.014797797944183</v>
          </cell>
          <cell r="V593">
            <v>33.014797797944183</v>
          </cell>
          <cell r="W593">
            <v>33.014797797944183</v>
          </cell>
          <cell r="X593">
            <v>33.014797797944183</v>
          </cell>
          <cell r="Y593">
            <v>33.014797797944183</v>
          </cell>
          <cell r="Z593">
            <v>33.014797797944183</v>
          </cell>
          <cell r="AA593">
            <v>33.014797797944183</v>
          </cell>
          <cell r="AB593">
            <v>33.014797797944183</v>
          </cell>
          <cell r="AC593">
            <v>33.014797797944183</v>
          </cell>
          <cell r="AD593">
            <v>33.014797797944183</v>
          </cell>
          <cell r="AE593">
            <v>33.014797797944183</v>
          </cell>
          <cell r="AF593">
            <v>33.014797797944183</v>
          </cell>
        </row>
        <row r="594">
          <cell r="A594" t="str">
            <v>Maine</v>
          </cell>
          <cell r="B594">
            <v>38.282179834649703</v>
          </cell>
          <cell r="C594">
            <v>39.32367758246405</v>
          </cell>
          <cell r="D594">
            <v>38.503762201100997</v>
          </cell>
          <cell r="E594">
            <v>41.408587041717553</v>
          </cell>
          <cell r="F594">
            <v>33.958498356708411</v>
          </cell>
          <cell r="G594">
            <v>37.360503102919928</v>
          </cell>
          <cell r="H594">
            <v>31.976705559305596</v>
          </cell>
          <cell r="I594">
            <v>33.87938328204492</v>
          </cell>
          <cell r="J594">
            <v>35.852297869424682</v>
          </cell>
          <cell r="K594">
            <v>39.235623778341242</v>
          </cell>
          <cell r="L594">
            <v>32.564222891757119</v>
          </cell>
          <cell r="M594">
            <v>35.163856079845779</v>
          </cell>
          <cell r="N594">
            <v>33.704542133140372</v>
          </cell>
          <cell r="O594">
            <v>33.112777286424858</v>
          </cell>
          <cell r="P594">
            <v>31.742178915929003</v>
          </cell>
          <cell r="Q594">
            <v>33.428503270248491</v>
          </cell>
          <cell r="R594">
            <v>31.797179326134444</v>
          </cell>
          <cell r="S594">
            <v>35.147347842280034</v>
          </cell>
          <cell r="T594">
            <v>35.147347842280034</v>
          </cell>
          <cell r="U594">
            <v>35.147347842280034</v>
          </cell>
          <cell r="V594">
            <v>35.147347842280034</v>
          </cell>
          <cell r="W594">
            <v>35.147347842280034</v>
          </cell>
          <cell r="X594">
            <v>35.147347842280034</v>
          </cell>
          <cell r="Y594">
            <v>35.147347842280034</v>
          </cell>
          <cell r="Z594">
            <v>35.147347842280034</v>
          </cell>
          <cell r="AA594">
            <v>35.147347842280034</v>
          </cell>
          <cell r="AB594">
            <v>35.147347842280034</v>
          </cell>
          <cell r="AC594">
            <v>35.147347842280034</v>
          </cell>
          <cell r="AD594">
            <v>35.147347842280034</v>
          </cell>
          <cell r="AE594">
            <v>35.147347842280034</v>
          </cell>
          <cell r="AF594">
            <v>35.147347842280034</v>
          </cell>
        </row>
        <row r="595">
          <cell r="A595" t="str">
            <v>Maryland</v>
          </cell>
          <cell r="B595">
            <v>39.755355872151107</v>
          </cell>
          <cell r="C595">
            <v>37.916146049374071</v>
          </cell>
          <cell r="D595">
            <v>37.320836304837307</v>
          </cell>
          <cell r="E595">
            <v>35.884161457084211</v>
          </cell>
          <cell r="F595">
            <v>35.080775216238067</v>
          </cell>
          <cell r="G595">
            <v>33.661594011143364</v>
          </cell>
          <cell r="H595">
            <v>34.13586484825079</v>
          </cell>
          <cell r="I595">
            <v>35.410886778841856</v>
          </cell>
          <cell r="J595">
            <v>32.199926806734666</v>
          </cell>
          <cell r="K595">
            <v>33.823477948147584</v>
          </cell>
          <cell r="L595">
            <v>32.404274089889299</v>
          </cell>
          <cell r="M595">
            <v>37.40672437504454</v>
          </cell>
          <cell r="N595">
            <v>32.350476671586726</v>
          </cell>
          <cell r="O595">
            <v>32.850451057969515</v>
          </cell>
          <cell r="P595">
            <v>34.153976667444759</v>
          </cell>
          <cell r="Q595">
            <v>32.740012877923007</v>
          </cell>
          <cell r="R595">
            <v>33.198701729144084</v>
          </cell>
          <cell r="S595">
            <v>34.292997475173067</v>
          </cell>
          <cell r="T595">
            <v>34.292997475173067</v>
          </cell>
          <cell r="U595">
            <v>34.292997475173067</v>
          </cell>
          <cell r="V595">
            <v>34.292997475173067</v>
          </cell>
          <cell r="W595">
            <v>34.292997475173067</v>
          </cell>
          <cell r="X595">
            <v>34.292997475173067</v>
          </cell>
          <cell r="Y595">
            <v>34.292997475173067</v>
          </cell>
          <cell r="Z595">
            <v>34.292997475173067</v>
          </cell>
          <cell r="AA595">
            <v>34.292997475173067</v>
          </cell>
          <cell r="AB595">
            <v>34.292997475173067</v>
          </cell>
          <cell r="AC595">
            <v>34.292997475173067</v>
          </cell>
          <cell r="AD595">
            <v>34.292997475173067</v>
          </cell>
          <cell r="AE595">
            <v>34.292997475173067</v>
          </cell>
          <cell r="AF595">
            <v>34.292997475173067</v>
          </cell>
        </row>
        <row r="596">
          <cell r="A596" t="str">
            <v>Massachusetts</v>
          </cell>
          <cell r="B596">
            <v>40.015134682335493</v>
          </cell>
          <cell r="C596">
            <v>40.025089617348357</v>
          </cell>
          <cell r="D596">
            <v>38.503762201100997</v>
          </cell>
          <cell r="E596">
            <v>39.764112576073259</v>
          </cell>
          <cell r="F596">
            <v>33.725515056380985</v>
          </cell>
          <cell r="G596">
            <v>33.898746613916501</v>
          </cell>
          <cell r="H596">
            <v>32.720834657644978</v>
          </cell>
          <cell r="I596">
            <v>36.200356957571756</v>
          </cell>
          <cell r="J596">
            <v>36.602682377220653</v>
          </cell>
          <cell r="K596">
            <v>41.046372648504445</v>
          </cell>
          <cell r="L596">
            <v>31.397314880074099</v>
          </cell>
          <cell r="M596">
            <v>35.528604028503182</v>
          </cell>
          <cell r="N596">
            <v>34.303737703684675</v>
          </cell>
          <cell r="O596">
            <v>32.284168918641001</v>
          </cell>
          <cell r="P596">
            <v>32.119999012961358</v>
          </cell>
          <cell r="Q596">
            <v>34.971931981776976</v>
          </cell>
          <cell r="R596">
            <v>32.608120492232679</v>
          </cell>
          <cell r="S596">
            <v>32.177010280526517</v>
          </cell>
          <cell r="T596">
            <v>32.177010280526517</v>
          </cell>
          <cell r="U596">
            <v>32.177010280526517</v>
          </cell>
          <cell r="V596">
            <v>32.177010280526517</v>
          </cell>
          <cell r="W596">
            <v>32.177010280526517</v>
          </cell>
          <cell r="X596">
            <v>32.177010280526517</v>
          </cell>
          <cell r="Y596">
            <v>32.177010280526517</v>
          </cell>
          <cell r="Z596">
            <v>32.177010280526517</v>
          </cell>
          <cell r="AA596">
            <v>32.177010280526517</v>
          </cell>
          <cell r="AB596">
            <v>32.177010280526517</v>
          </cell>
          <cell r="AC596">
            <v>32.177010280526517</v>
          </cell>
          <cell r="AD596">
            <v>32.177010280526517</v>
          </cell>
          <cell r="AE596">
            <v>32.177010280526517</v>
          </cell>
          <cell r="AF596">
            <v>32.177010280526517</v>
          </cell>
        </row>
        <row r="597">
          <cell r="A597" t="str">
            <v>Michigan</v>
          </cell>
          <cell r="B597">
            <v>39.540119113425256</v>
          </cell>
          <cell r="C597">
            <v>38.880562013300207</v>
          </cell>
          <cell r="D597">
            <v>37.450775985939011</v>
          </cell>
          <cell r="E597">
            <v>36.239450465112313</v>
          </cell>
          <cell r="F597">
            <v>35.202614387866433</v>
          </cell>
          <cell r="G597">
            <v>34.370001730670317</v>
          </cell>
          <cell r="H597">
            <v>33.583779712403242</v>
          </cell>
          <cell r="I597">
            <v>33.23202177371811</v>
          </cell>
          <cell r="J597">
            <v>33.327595718543293</v>
          </cell>
          <cell r="K597">
            <v>33.156856591714948</v>
          </cell>
          <cell r="L597">
            <v>33.685651014853569</v>
          </cell>
          <cell r="M597">
            <v>33.774672505054937</v>
          </cell>
          <cell r="N597">
            <v>33.562085073590211</v>
          </cell>
          <cell r="O597">
            <v>33.158113966082389</v>
          </cell>
          <cell r="P597">
            <v>32.384229748069096</v>
          </cell>
          <cell r="Q597">
            <v>33.732460080112439</v>
          </cell>
          <cell r="R597">
            <v>33.198701729144084</v>
          </cell>
          <cell r="S597">
            <v>33.619992732547431</v>
          </cell>
          <cell r="T597">
            <v>33.619992732547431</v>
          </cell>
          <cell r="U597">
            <v>33.619992732547431</v>
          </cell>
          <cell r="V597">
            <v>33.619992732547431</v>
          </cell>
          <cell r="W597">
            <v>33.619992732547431</v>
          </cell>
          <cell r="X597">
            <v>33.619992732547431</v>
          </cell>
          <cell r="Y597">
            <v>33.619992732547431</v>
          </cell>
          <cell r="Z597">
            <v>33.619992732547431</v>
          </cell>
          <cell r="AA597">
            <v>33.619992732547431</v>
          </cell>
          <cell r="AB597">
            <v>33.619992732547431</v>
          </cell>
          <cell r="AC597">
            <v>33.619992732547431</v>
          </cell>
          <cell r="AD597">
            <v>33.619992732547431</v>
          </cell>
          <cell r="AE597">
            <v>33.619992732547431</v>
          </cell>
          <cell r="AF597">
            <v>33.619992732547431</v>
          </cell>
        </row>
        <row r="598">
          <cell r="A598" t="str">
            <v>Minnesota</v>
          </cell>
          <cell r="B598">
            <v>39.913196161883391</v>
          </cell>
          <cell r="C598">
            <v>38.534208292509398</v>
          </cell>
          <cell r="D598">
            <v>37.457761990299318</v>
          </cell>
          <cell r="E598">
            <v>36.1648836362669</v>
          </cell>
          <cell r="F598">
            <v>35.398064725686964</v>
          </cell>
          <cell r="G598">
            <v>34.350323738461242</v>
          </cell>
          <cell r="H598">
            <v>33.029719316677884</v>
          </cell>
          <cell r="I598">
            <v>33.792665400767497</v>
          </cell>
          <cell r="J598">
            <v>33.646747297357066</v>
          </cell>
          <cell r="K598">
            <v>33.076615132144354</v>
          </cell>
          <cell r="L598">
            <v>33.399027229006307</v>
          </cell>
          <cell r="M598">
            <v>33.382651207060547</v>
          </cell>
          <cell r="N598">
            <v>33.654195653859482</v>
          </cell>
          <cell r="O598">
            <v>32.573554440667927</v>
          </cell>
          <cell r="P598">
            <v>32.987085472862873</v>
          </cell>
          <cell r="Q598">
            <v>33.5414517974136</v>
          </cell>
          <cell r="R598">
            <v>33.198701729144076</v>
          </cell>
          <cell r="S598">
            <v>33.218551307121622</v>
          </cell>
          <cell r="T598">
            <v>33.218551307121622</v>
          </cell>
          <cell r="U598">
            <v>33.218551307121622</v>
          </cell>
          <cell r="V598">
            <v>33.218551307121622</v>
          </cell>
          <cell r="W598">
            <v>33.218551307121622</v>
          </cell>
          <cell r="X598">
            <v>33.218551307121622</v>
          </cell>
          <cell r="Y598">
            <v>33.218551307121622</v>
          </cell>
          <cell r="Z598">
            <v>33.218551307121622</v>
          </cell>
          <cell r="AA598">
            <v>33.218551307121622</v>
          </cell>
          <cell r="AB598">
            <v>33.218551307121622</v>
          </cell>
          <cell r="AC598">
            <v>33.218551307121622</v>
          </cell>
          <cell r="AD598">
            <v>33.218551307121622</v>
          </cell>
          <cell r="AE598">
            <v>33.218551307121622</v>
          </cell>
          <cell r="AF598">
            <v>33.218551307121622</v>
          </cell>
        </row>
        <row r="599">
          <cell r="A599" t="str">
            <v>Mississippi</v>
          </cell>
          <cell r="B599">
            <v>42.122960218135482</v>
          </cell>
          <cell r="C599">
            <v>38.564729884762997</v>
          </cell>
          <cell r="D599">
            <v>37.017643715599995</v>
          </cell>
          <cell r="E599">
            <v>35.971009881268849</v>
          </cell>
          <cell r="F599">
            <v>38.939015651136678</v>
          </cell>
          <cell r="G599">
            <v>35.107926438510901</v>
          </cell>
          <cell r="H599">
            <v>33.36551349590539</v>
          </cell>
          <cell r="I599">
            <v>33.232021773718124</v>
          </cell>
          <cell r="J599">
            <v>34.737181858304083</v>
          </cell>
          <cell r="K599">
            <v>31.860803598315414</v>
          </cell>
          <cell r="L599">
            <v>35.115798625214069</v>
          </cell>
          <cell r="M599">
            <v>33.308852226673878</v>
          </cell>
          <cell r="N599">
            <v>33.426866137034494</v>
          </cell>
          <cell r="O599">
            <v>33.184385416974081</v>
          </cell>
          <cell r="P599">
            <v>32.064585398729946</v>
          </cell>
          <cell r="Q599">
            <v>32.561408488490926</v>
          </cell>
          <cell r="R599">
            <v>33.756953810871856</v>
          </cell>
          <cell r="S599">
            <v>32.507047787388018</v>
          </cell>
          <cell r="T599">
            <v>32.507047787388018</v>
          </cell>
          <cell r="U599">
            <v>32.507047787388018</v>
          </cell>
          <cell r="V599">
            <v>32.507047787388018</v>
          </cell>
          <cell r="W599">
            <v>32.507047787388018</v>
          </cell>
          <cell r="X599">
            <v>32.507047787388018</v>
          </cell>
          <cell r="Y599">
            <v>32.507047787388018</v>
          </cell>
          <cell r="Z599">
            <v>32.507047787388018</v>
          </cell>
          <cell r="AA599">
            <v>32.507047787388018</v>
          </cell>
          <cell r="AB599">
            <v>32.507047787388018</v>
          </cell>
          <cell r="AC599">
            <v>32.507047787388018</v>
          </cell>
          <cell r="AD599">
            <v>32.507047787388018</v>
          </cell>
          <cell r="AE599">
            <v>32.507047787388018</v>
          </cell>
          <cell r="AF599">
            <v>32.507047787388018</v>
          </cell>
        </row>
        <row r="600">
          <cell r="A600" t="str">
            <v>Missouri</v>
          </cell>
          <cell r="B600">
            <v>40.018423021704926</v>
          </cell>
          <cell r="C600">
            <v>38.416482150959794</v>
          </cell>
          <cell r="D600">
            <v>37.775625188693276</v>
          </cell>
          <cell r="E600">
            <v>35.760092279677565</v>
          </cell>
          <cell r="F600">
            <v>34.826943608678931</v>
          </cell>
          <cell r="G600">
            <v>37.026530678896428</v>
          </cell>
          <cell r="H600">
            <v>32.055916196918183</v>
          </cell>
          <cell r="I600">
            <v>33.44226313386163</v>
          </cell>
          <cell r="J600">
            <v>33.116157797579177</v>
          </cell>
          <cell r="K600">
            <v>32.950521409961993</v>
          </cell>
          <cell r="L600">
            <v>33.957943611408488</v>
          </cell>
          <cell r="M600">
            <v>34.469469610744</v>
          </cell>
          <cell r="N600">
            <v>34.687150018307726</v>
          </cell>
          <cell r="O600">
            <v>32.850451057969515</v>
          </cell>
          <cell r="P600">
            <v>33.582212278108003</v>
          </cell>
          <cell r="Q600">
            <v>32.80265904683197</v>
          </cell>
          <cell r="R600">
            <v>33.198701729144084</v>
          </cell>
          <cell r="S600">
            <v>32.722653075713261</v>
          </cell>
          <cell r="T600">
            <v>32.722653075713261</v>
          </cell>
          <cell r="U600">
            <v>32.722653075713261</v>
          </cell>
          <cell r="V600">
            <v>32.722653075713261</v>
          </cell>
          <cell r="W600">
            <v>32.722653075713261</v>
          </cell>
          <cell r="X600">
            <v>32.722653075713261</v>
          </cell>
          <cell r="Y600">
            <v>32.722653075713261</v>
          </cell>
          <cell r="Z600">
            <v>32.722653075713261</v>
          </cell>
          <cell r="AA600">
            <v>32.722653075713261</v>
          </cell>
          <cell r="AB600">
            <v>32.722653075713261</v>
          </cell>
          <cell r="AC600">
            <v>32.722653075713261</v>
          </cell>
          <cell r="AD600">
            <v>32.722653075713261</v>
          </cell>
          <cell r="AE600">
            <v>32.722653075713261</v>
          </cell>
          <cell r="AF600">
            <v>32.722653075713261</v>
          </cell>
        </row>
        <row r="601">
          <cell r="A601" t="str">
            <v>Montana</v>
          </cell>
          <cell r="B601">
            <v>40.347256958647186</v>
          </cell>
          <cell r="C601">
            <v>38.564729884762997</v>
          </cell>
          <cell r="D601">
            <v>37.017643715599995</v>
          </cell>
          <cell r="E601">
            <v>37.447433092407842</v>
          </cell>
          <cell r="F601">
            <v>34.120830227650835</v>
          </cell>
          <cell r="G601">
            <v>34.48806968392482</v>
          </cell>
          <cell r="H601">
            <v>33.157640908764563</v>
          </cell>
          <cell r="I601">
            <v>34.171924324947959</v>
          </cell>
          <cell r="J601">
            <v>33.591893119748455</v>
          </cell>
          <cell r="K601">
            <v>33.775862136973828</v>
          </cell>
          <cell r="L601">
            <v>33.685651014853569</v>
          </cell>
          <cell r="M601">
            <v>34.414464839876956</v>
          </cell>
          <cell r="N601">
            <v>32.812041777111858</v>
          </cell>
          <cell r="O601">
            <v>32.850451057969515</v>
          </cell>
          <cell r="P601">
            <v>33.162918392594392</v>
          </cell>
          <cell r="Q601">
            <v>34.055582425011337</v>
          </cell>
          <cell r="R601">
            <v>33.694722477644149</v>
          </cell>
          <cell r="S601">
            <v>33.115239175578211</v>
          </cell>
          <cell r="T601">
            <v>33.115239175578211</v>
          </cell>
          <cell r="U601">
            <v>33.115239175578211</v>
          </cell>
          <cell r="V601">
            <v>33.115239175578211</v>
          </cell>
          <cell r="W601">
            <v>33.115239175578211</v>
          </cell>
          <cell r="X601">
            <v>33.115239175578211</v>
          </cell>
          <cell r="Y601">
            <v>33.115239175578211</v>
          </cell>
          <cell r="Z601">
            <v>33.115239175578211</v>
          </cell>
          <cell r="AA601">
            <v>33.115239175578211</v>
          </cell>
          <cell r="AB601">
            <v>33.115239175578211</v>
          </cell>
          <cell r="AC601">
            <v>33.115239175578211</v>
          </cell>
          <cell r="AD601">
            <v>33.115239175578211</v>
          </cell>
          <cell r="AE601">
            <v>33.115239175578211</v>
          </cell>
          <cell r="AF601">
            <v>33.115239175578211</v>
          </cell>
        </row>
        <row r="602">
          <cell r="A602" t="str">
            <v>Nebraska</v>
          </cell>
          <cell r="B602">
            <v>39.502504922579966</v>
          </cell>
          <cell r="C602">
            <v>38.68925798115766</v>
          </cell>
          <cell r="D602">
            <v>37.611840247271111</v>
          </cell>
          <cell r="E602">
            <v>36.139677947643108</v>
          </cell>
          <cell r="F602">
            <v>35.31848671222707</v>
          </cell>
          <cell r="G602">
            <v>34.436947477361016</v>
          </cell>
          <cell r="H602">
            <v>33.171976949257036</v>
          </cell>
          <cell r="I602">
            <v>32.890142805196454</v>
          </cell>
          <cell r="J602">
            <v>33.180508469176957</v>
          </cell>
          <cell r="K602">
            <v>33.253146343199667</v>
          </cell>
          <cell r="L602">
            <v>33.241091673539437</v>
          </cell>
          <cell r="M602">
            <v>33.259364651668875</v>
          </cell>
          <cell r="N602">
            <v>33.890229015799477</v>
          </cell>
          <cell r="O602">
            <v>33.091230725188289</v>
          </cell>
          <cell r="P602">
            <v>32.829194687797838</v>
          </cell>
          <cell r="Q602">
            <v>33.135926520299108</v>
          </cell>
          <cell r="R602">
            <v>32.92589031746904</v>
          </cell>
          <cell r="S602">
            <v>32.897135786764359</v>
          </cell>
          <cell r="T602">
            <v>32.897135786764359</v>
          </cell>
          <cell r="U602">
            <v>32.897135786764359</v>
          </cell>
          <cell r="V602">
            <v>32.897135786764359</v>
          </cell>
          <cell r="W602">
            <v>32.897135786764359</v>
          </cell>
          <cell r="X602">
            <v>32.897135786764359</v>
          </cell>
          <cell r="Y602">
            <v>32.897135786764359</v>
          </cell>
          <cell r="Z602">
            <v>32.897135786764359</v>
          </cell>
          <cell r="AA602">
            <v>32.897135786764359</v>
          </cell>
          <cell r="AB602">
            <v>32.897135786764359</v>
          </cell>
          <cell r="AC602">
            <v>32.897135786764359</v>
          </cell>
          <cell r="AD602">
            <v>32.897135786764359</v>
          </cell>
          <cell r="AE602">
            <v>32.897135786764359</v>
          </cell>
          <cell r="AF602">
            <v>32.897135786764359</v>
          </cell>
        </row>
        <row r="603">
          <cell r="A603" t="str">
            <v>Nevada</v>
          </cell>
          <cell r="B603">
            <v>39.924470468292846</v>
          </cell>
          <cell r="C603">
            <v>37.319448920816278</v>
          </cell>
          <cell r="D603">
            <v>37.017643715599995</v>
          </cell>
          <cell r="E603">
            <v>37.078327289623097</v>
          </cell>
          <cell r="F603">
            <v>37.476945591596163</v>
          </cell>
          <cell r="G603">
            <v>34.074831847534099</v>
          </cell>
          <cell r="H603">
            <v>33.960784995445017</v>
          </cell>
          <cell r="I603">
            <v>32.75267147259089</v>
          </cell>
          <cell r="J603">
            <v>33.503793986013392</v>
          </cell>
          <cell r="K603">
            <v>35.323376000121009</v>
          </cell>
          <cell r="L603">
            <v>32.389019602687341</v>
          </cell>
          <cell r="M603">
            <v>32.581705874586802</v>
          </cell>
          <cell r="N603">
            <v>34.874660842427311</v>
          </cell>
          <cell r="O603">
            <v>34.234934144477442</v>
          </cell>
          <cell r="P603">
            <v>34.420800049135238</v>
          </cell>
          <cell r="Q603">
            <v>34.757219516791778</v>
          </cell>
          <cell r="R603">
            <v>34.562758787519286</v>
          </cell>
          <cell r="S603">
            <v>33.115239175578211</v>
          </cell>
          <cell r="T603">
            <v>33.115239175578211</v>
          </cell>
          <cell r="U603">
            <v>33.115239175578211</v>
          </cell>
          <cell r="V603">
            <v>33.115239175578211</v>
          </cell>
          <cell r="W603">
            <v>33.115239175578211</v>
          </cell>
          <cell r="X603">
            <v>33.115239175578211</v>
          </cell>
          <cell r="Y603">
            <v>33.115239175578211</v>
          </cell>
          <cell r="Z603">
            <v>33.115239175578211</v>
          </cell>
          <cell r="AA603">
            <v>33.115239175578211</v>
          </cell>
          <cell r="AB603">
            <v>33.115239175578211</v>
          </cell>
          <cell r="AC603">
            <v>33.115239175578211</v>
          </cell>
          <cell r="AD603">
            <v>33.115239175578211</v>
          </cell>
          <cell r="AE603">
            <v>33.115239175578211</v>
          </cell>
          <cell r="AF603">
            <v>33.115239175578211</v>
          </cell>
        </row>
        <row r="604">
          <cell r="A604" t="str">
            <v>New Hampshire</v>
          </cell>
          <cell r="B604">
            <v>37.874425752841269</v>
          </cell>
          <cell r="C604">
            <v>40.025089617348357</v>
          </cell>
          <cell r="D604">
            <v>36.99526037008583</v>
          </cell>
          <cell r="E604">
            <v>39.764112576073273</v>
          </cell>
          <cell r="F604">
            <v>34.424464957363291</v>
          </cell>
          <cell r="G604">
            <v>34.887819896488899</v>
          </cell>
          <cell r="H604">
            <v>31.480619493746008</v>
          </cell>
          <cell r="I604">
            <v>34.807772752255651</v>
          </cell>
          <cell r="J604">
            <v>37.540663011965613</v>
          </cell>
          <cell r="K604">
            <v>36.320318097378504</v>
          </cell>
          <cell r="L604">
            <v>33.044714425979528</v>
          </cell>
          <cell r="M604">
            <v>36.075725951489275</v>
          </cell>
          <cell r="N604">
            <v>34.303737703684675</v>
          </cell>
          <cell r="O604">
            <v>33.112777286424858</v>
          </cell>
          <cell r="P604">
            <v>31.070498743427063</v>
          </cell>
          <cell r="Q604">
            <v>34.530952349911708</v>
          </cell>
          <cell r="R604">
            <v>32.608120492232679</v>
          </cell>
          <cell r="S604">
            <v>33.16712280111102</v>
          </cell>
          <cell r="T604">
            <v>33.16712280111102</v>
          </cell>
          <cell r="U604">
            <v>33.16712280111102</v>
          </cell>
          <cell r="V604">
            <v>33.16712280111102</v>
          </cell>
          <cell r="W604">
            <v>33.16712280111102</v>
          </cell>
          <cell r="X604">
            <v>33.16712280111102</v>
          </cell>
          <cell r="Y604">
            <v>33.16712280111102</v>
          </cell>
          <cell r="Z604">
            <v>33.16712280111102</v>
          </cell>
          <cell r="AA604">
            <v>33.16712280111102</v>
          </cell>
          <cell r="AB604">
            <v>33.16712280111102</v>
          </cell>
          <cell r="AC604">
            <v>33.16712280111102</v>
          </cell>
          <cell r="AD604">
            <v>33.16712280111102</v>
          </cell>
          <cell r="AE604">
            <v>33.16712280111102</v>
          </cell>
          <cell r="AF604">
            <v>33.16712280111102</v>
          </cell>
        </row>
        <row r="605">
          <cell r="A605" t="str">
            <v>New Jersey</v>
          </cell>
          <cell r="B605">
            <v>42.122960218135482</v>
          </cell>
          <cell r="C605">
            <v>39.083596953074121</v>
          </cell>
          <cell r="D605">
            <v>37.017643715599995</v>
          </cell>
          <cell r="E605">
            <v>33.182210482450763</v>
          </cell>
          <cell r="F605">
            <v>37.111428076711007</v>
          </cell>
          <cell r="G605">
            <v>34.074831847534092</v>
          </cell>
          <cell r="H605">
            <v>33.36551349590539</v>
          </cell>
          <cell r="I605">
            <v>31.900493159475825</v>
          </cell>
          <cell r="J605">
            <v>35.441974928184486</v>
          </cell>
          <cell r="K605">
            <v>33.156856591714948</v>
          </cell>
          <cell r="L605">
            <v>35.500934991886311</v>
          </cell>
          <cell r="M605">
            <v>36.284627049356693</v>
          </cell>
          <cell r="N605">
            <v>33.56208507359019</v>
          </cell>
          <cell r="O605">
            <v>32.850451057969522</v>
          </cell>
          <cell r="P605">
            <v>62.783794821969359</v>
          </cell>
          <cell r="Q605">
            <v>33.979727810080099</v>
          </cell>
          <cell r="R605">
            <v>32.608120492232679</v>
          </cell>
          <cell r="S605">
            <v>34.652291581987782</v>
          </cell>
          <cell r="T605">
            <v>34.652291581987782</v>
          </cell>
          <cell r="U605">
            <v>34.652291581987782</v>
          </cell>
          <cell r="V605">
            <v>34.652291581987782</v>
          </cell>
          <cell r="W605">
            <v>34.652291581987782</v>
          </cell>
          <cell r="X605">
            <v>34.652291581987782</v>
          </cell>
          <cell r="Y605">
            <v>34.652291581987782</v>
          </cell>
          <cell r="Z605">
            <v>34.652291581987782</v>
          </cell>
          <cell r="AA605">
            <v>34.652291581987782</v>
          </cell>
          <cell r="AB605">
            <v>34.652291581987782</v>
          </cell>
          <cell r="AC605">
            <v>34.652291581987782</v>
          </cell>
          <cell r="AD605">
            <v>34.652291581987782</v>
          </cell>
          <cell r="AE605">
            <v>34.652291581987782</v>
          </cell>
          <cell r="AF605">
            <v>34.652291581987782</v>
          </cell>
        </row>
        <row r="606">
          <cell r="A606" t="str">
            <v>New Mexico</v>
          </cell>
          <cell r="B606">
            <v>40.236902518791993</v>
          </cell>
          <cell r="C606">
            <v>39.205417916938472</v>
          </cell>
          <cell r="D606">
            <v>36.828148347326675</v>
          </cell>
          <cell r="E606">
            <v>36.084580897510307</v>
          </cell>
          <cell r="F606">
            <v>34.508500319195697</v>
          </cell>
          <cell r="G606">
            <v>34.341436903270051</v>
          </cell>
          <cell r="H606">
            <v>33.975374983178831</v>
          </cell>
          <cell r="I606">
            <v>33.202864212822305</v>
          </cell>
          <cell r="J606">
            <v>33.808917815046975</v>
          </cell>
          <cell r="K606">
            <v>33.340459931410379</v>
          </cell>
          <cell r="L606">
            <v>33.779545013665611</v>
          </cell>
          <cell r="M606">
            <v>33.52817057538438</v>
          </cell>
          <cell r="N606">
            <v>33.902382495140571</v>
          </cell>
          <cell r="O606">
            <v>32.338541345311121</v>
          </cell>
          <cell r="P606">
            <v>33.352512149522276</v>
          </cell>
          <cell r="Q606">
            <v>32.71913082162002</v>
          </cell>
          <cell r="R606">
            <v>32.550059211874753</v>
          </cell>
          <cell r="S606">
            <v>33.418338737973947</v>
          </cell>
          <cell r="T606">
            <v>33.418338737973947</v>
          </cell>
          <cell r="U606">
            <v>33.418338737973947</v>
          </cell>
          <cell r="V606">
            <v>33.418338737973947</v>
          </cell>
          <cell r="W606">
            <v>33.418338737973947</v>
          </cell>
          <cell r="X606">
            <v>33.418338737973947</v>
          </cell>
          <cell r="Y606">
            <v>33.418338737973947</v>
          </cell>
          <cell r="Z606">
            <v>33.418338737973947</v>
          </cell>
          <cell r="AA606">
            <v>33.418338737973947</v>
          </cell>
          <cell r="AB606">
            <v>33.418338737973947</v>
          </cell>
          <cell r="AC606">
            <v>33.418338737973947</v>
          </cell>
          <cell r="AD606">
            <v>33.418338737973947</v>
          </cell>
          <cell r="AE606">
            <v>33.418338737973947</v>
          </cell>
          <cell r="AF606">
            <v>33.418338737973947</v>
          </cell>
        </row>
        <row r="607">
          <cell r="A607" t="str">
            <v>New York</v>
          </cell>
          <cell r="B607">
            <v>40.018423021704919</v>
          </cell>
          <cell r="C607">
            <v>37.776051940930067</v>
          </cell>
          <cell r="D607">
            <v>36.259662242506728</v>
          </cell>
          <cell r="E607">
            <v>35.760092279677565</v>
          </cell>
          <cell r="F607">
            <v>36.745910561825895</v>
          </cell>
          <cell r="G607">
            <v>34.074831847534099</v>
          </cell>
          <cell r="H607">
            <v>32.637959440912503</v>
          </cell>
          <cell r="I607">
            <v>33.232021773718117</v>
          </cell>
          <cell r="J607">
            <v>33.3275957185433</v>
          </cell>
          <cell r="K607">
            <v>33.156856591714963</v>
          </cell>
          <cell r="L607">
            <v>33.685651014853583</v>
          </cell>
          <cell r="M607">
            <v>33.479383735137077</v>
          </cell>
          <cell r="N607">
            <v>34.612145688659893</v>
          </cell>
          <cell r="O607">
            <v>34.23493414447745</v>
          </cell>
          <cell r="P607">
            <v>33.162918392594385</v>
          </cell>
          <cell r="Q607">
            <v>32.492151948761432</v>
          </cell>
          <cell r="R607">
            <v>34.714320682894311</v>
          </cell>
          <cell r="S607">
            <v>32.526360025780789</v>
          </cell>
          <cell r="T607">
            <v>32.526360025780789</v>
          </cell>
          <cell r="U607">
            <v>32.526360025780789</v>
          </cell>
          <cell r="V607">
            <v>32.526360025780789</v>
          </cell>
          <cell r="W607">
            <v>32.526360025780789</v>
          </cell>
          <cell r="X607">
            <v>32.526360025780789</v>
          </cell>
          <cell r="Y607">
            <v>32.526360025780789</v>
          </cell>
          <cell r="Z607">
            <v>32.526360025780789</v>
          </cell>
          <cell r="AA607">
            <v>32.526360025780789</v>
          </cell>
          <cell r="AB607">
            <v>32.526360025780789</v>
          </cell>
          <cell r="AC607">
            <v>32.526360025780789</v>
          </cell>
          <cell r="AD607">
            <v>32.526360025780789</v>
          </cell>
          <cell r="AE607">
            <v>32.526360025780789</v>
          </cell>
          <cell r="AF607">
            <v>32.526360025780789</v>
          </cell>
        </row>
        <row r="608">
          <cell r="A608" t="str">
            <v>North Carolina</v>
          </cell>
          <cell r="B608">
            <v>40.465637175946412</v>
          </cell>
          <cell r="C608">
            <v>39.083596953074135</v>
          </cell>
          <cell r="D608">
            <v>37.017643715600009</v>
          </cell>
          <cell r="E608">
            <v>38.103621186247395</v>
          </cell>
          <cell r="F608">
            <v>35.283840502285344</v>
          </cell>
          <cell r="G608">
            <v>34.074831847534078</v>
          </cell>
          <cell r="H608">
            <v>35.548175660884041</v>
          </cell>
          <cell r="I608">
            <v>33.232021773718117</v>
          </cell>
          <cell r="J608">
            <v>33.327595718543307</v>
          </cell>
          <cell r="K608">
            <v>34.240116295917986</v>
          </cell>
          <cell r="L608">
            <v>36.953162173512489</v>
          </cell>
          <cell r="M608">
            <v>33.479383735137084</v>
          </cell>
          <cell r="N608">
            <v>33.562085073590197</v>
          </cell>
          <cell r="O608">
            <v>34.234934144477442</v>
          </cell>
          <cell r="P608">
            <v>32.07275429025897</v>
          </cell>
          <cell r="Q608">
            <v>34.494105607374102</v>
          </cell>
          <cell r="R608">
            <v>33.198701729144076</v>
          </cell>
          <cell r="S608">
            <v>33.115239175578211</v>
          </cell>
          <cell r="T608">
            <v>33.115239175578211</v>
          </cell>
          <cell r="U608">
            <v>33.115239175578211</v>
          </cell>
          <cell r="V608">
            <v>33.115239175578211</v>
          </cell>
          <cell r="W608">
            <v>33.115239175578211</v>
          </cell>
          <cell r="X608">
            <v>33.115239175578211</v>
          </cell>
          <cell r="Y608">
            <v>33.115239175578211</v>
          </cell>
          <cell r="Z608">
            <v>33.115239175578211</v>
          </cell>
          <cell r="AA608">
            <v>33.115239175578211</v>
          </cell>
          <cell r="AB608">
            <v>33.115239175578211</v>
          </cell>
          <cell r="AC608">
            <v>33.115239175578211</v>
          </cell>
          <cell r="AD608">
            <v>33.115239175578211</v>
          </cell>
          <cell r="AE608">
            <v>33.115239175578211</v>
          </cell>
          <cell r="AF608">
            <v>33.115239175578211</v>
          </cell>
        </row>
        <row r="609">
          <cell r="A609" t="str">
            <v>North Dakota</v>
          </cell>
          <cell r="B609">
            <v>39.755355872151092</v>
          </cell>
          <cell r="C609">
            <v>38.149636230114083</v>
          </cell>
          <cell r="D609">
            <v>35.968130906701624</v>
          </cell>
          <cell r="E609">
            <v>36.111621615663047</v>
          </cell>
          <cell r="F609">
            <v>34.826943608678938</v>
          </cell>
          <cell r="G609">
            <v>33.248356174752644</v>
          </cell>
          <cell r="H609">
            <v>34.820621605891155</v>
          </cell>
          <cell r="I609">
            <v>32.233375313036404</v>
          </cell>
          <cell r="J609">
            <v>35.139920755378597</v>
          </cell>
          <cell r="K609">
            <v>32.867987337260807</v>
          </cell>
          <cell r="L609">
            <v>34.074640438503437</v>
          </cell>
          <cell r="M609">
            <v>33.910959629632409</v>
          </cell>
          <cell r="N609">
            <v>33.816131996590933</v>
          </cell>
          <cell r="O609">
            <v>32.217544504137329</v>
          </cell>
          <cell r="P609">
            <v>33.582212278108003</v>
          </cell>
          <cell r="Q609">
            <v>33.617059242648551</v>
          </cell>
          <cell r="R609">
            <v>33.198701729144076</v>
          </cell>
          <cell r="S609">
            <v>33.115239175578211</v>
          </cell>
          <cell r="T609">
            <v>33.115239175578211</v>
          </cell>
          <cell r="U609">
            <v>33.115239175578211</v>
          </cell>
          <cell r="V609">
            <v>33.115239175578211</v>
          </cell>
          <cell r="W609">
            <v>33.115239175578211</v>
          </cell>
          <cell r="X609">
            <v>33.115239175578211</v>
          </cell>
          <cell r="Y609">
            <v>33.115239175578211</v>
          </cell>
          <cell r="Z609">
            <v>33.115239175578211</v>
          </cell>
          <cell r="AA609">
            <v>33.115239175578211</v>
          </cell>
          <cell r="AB609">
            <v>33.115239175578211</v>
          </cell>
          <cell r="AC609">
            <v>33.115239175578211</v>
          </cell>
          <cell r="AD609">
            <v>33.115239175578211</v>
          </cell>
          <cell r="AE609">
            <v>33.115239175578211</v>
          </cell>
          <cell r="AF609">
            <v>33.115239175578211</v>
          </cell>
        </row>
        <row r="610">
          <cell r="A610" t="str">
            <v>Ohio</v>
          </cell>
          <cell r="B610">
            <v>39.529869743962109</v>
          </cell>
          <cell r="C610">
            <v>38.586809334478346</v>
          </cell>
          <cell r="D610">
            <v>37.219772108424863</v>
          </cell>
          <cell r="E610">
            <v>36.692053775080922</v>
          </cell>
          <cell r="F610">
            <v>34.903093090946669</v>
          </cell>
          <cell r="G610">
            <v>34.350323738461235</v>
          </cell>
          <cell r="H610">
            <v>33.179755013779534</v>
          </cell>
          <cell r="I610">
            <v>33.93107429619532</v>
          </cell>
          <cell r="J610">
            <v>33.931704064155063</v>
          </cell>
          <cell r="K610">
            <v>33.036494402359061</v>
          </cell>
          <cell r="L610">
            <v>33.3990272290063</v>
          </cell>
          <cell r="M610">
            <v>33.479383735137084</v>
          </cell>
          <cell r="N610">
            <v>33.853768577776229</v>
          </cell>
          <cell r="O610">
            <v>32.850451057969515</v>
          </cell>
          <cell r="P610">
            <v>32.617836341426681</v>
          </cell>
          <cell r="Q610">
            <v>33.178536060285786</v>
          </cell>
          <cell r="R610">
            <v>33.804949310644169</v>
          </cell>
          <cell r="S610">
            <v>32.956082648605943</v>
          </cell>
          <cell r="T610">
            <v>32.956082648605943</v>
          </cell>
          <cell r="U610">
            <v>32.956082648605943</v>
          </cell>
          <cell r="V610">
            <v>32.956082648605943</v>
          </cell>
          <cell r="W610">
            <v>32.956082648605943</v>
          </cell>
          <cell r="X610">
            <v>32.956082648605943</v>
          </cell>
          <cell r="Y610">
            <v>32.956082648605943</v>
          </cell>
          <cell r="Z610">
            <v>32.956082648605943</v>
          </cell>
          <cell r="AA610">
            <v>32.956082648605943</v>
          </cell>
          <cell r="AB610">
            <v>32.956082648605943</v>
          </cell>
          <cell r="AC610">
            <v>32.956082648605943</v>
          </cell>
          <cell r="AD610">
            <v>32.956082648605943</v>
          </cell>
          <cell r="AE610">
            <v>32.956082648605943</v>
          </cell>
          <cell r="AF610">
            <v>32.956082648605943</v>
          </cell>
        </row>
        <row r="611">
          <cell r="A611" t="str">
            <v>Oklahoma</v>
          </cell>
          <cell r="B611">
            <v>39.463958414183793</v>
          </cell>
          <cell r="C611">
            <v>39.012842352849873</v>
          </cell>
          <cell r="D611">
            <v>36.819909418271322</v>
          </cell>
          <cell r="E611">
            <v>36.463150951648515</v>
          </cell>
          <cell r="F611">
            <v>34.86208952357174</v>
          </cell>
          <cell r="G611">
            <v>34.183578646584294</v>
          </cell>
          <cell r="H611">
            <v>32.997353612655971</v>
          </cell>
          <cell r="I611">
            <v>33.381818742820379</v>
          </cell>
          <cell r="J611">
            <v>32.987350788256222</v>
          </cell>
          <cell r="K611">
            <v>33.365677739513131</v>
          </cell>
          <cell r="L611">
            <v>33.43526701802147</v>
          </cell>
          <cell r="M611">
            <v>33.749768632893193</v>
          </cell>
          <cell r="N611">
            <v>34.281304672952999</v>
          </cell>
          <cell r="O611">
            <v>33.257651965765973</v>
          </cell>
          <cell r="P611">
            <v>32.86009503083455</v>
          </cell>
          <cell r="Q611">
            <v>33.252652654487939</v>
          </cell>
          <cell r="R611">
            <v>32.907702890024041</v>
          </cell>
          <cell r="S611">
            <v>33.447002076872536</v>
          </cell>
          <cell r="T611">
            <v>33.447002076872536</v>
          </cell>
          <cell r="U611">
            <v>33.447002076872536</v>
          </cell>
          <cell r="V611">
            <v>33.447002076872536</v>
          </cell>
          <cell r="W611">
            <v>33.447002076872536</v>
          </cell>
          <cell r="X611">
            <v>33.447002076872536</v>
          </cell>
          <cell r="Y611">
            <v>33.447002076872536</v>
          </cell>
          <cell r="Z611">
            <v>33.447002076872536</v>
          </cell>
          <cell r="AA611">
            <v>33.447002076872536</v>
          </cell>
          <cell r="AB611">
            <v>33.447002076872536</v>
          </cell>
          <cell r="AC611">
            <v>33.447002076872536</v>
          </cell>
          <cell r="AD611">
            <v>33.447002076872536</v>
          </cell>
          <cell r="AE611">
            <v>33.447002076872536</v>
          </cell>
          <cell r="AF611">
            <v>33.447002076872536</v>
          </cell>
        </row>
        <row r="612">
          <cell r="A612" t="str">
            <v>Oregon</v>
          </cell>
          <cell r="B612">
            <v>40.149956596481836</v>
          </cell>
          <cell r="C612">
            <v>38.772276712087454</v>
          </cell>
          <cell r="D612">
            <v>37.285166588456448</v>
          </cell>
          <cell r="E612">
            <v>35.724939346079019</v>
          </cell>
          <cell r="F612">
            <v>36.19763428949819</v>
          </cell>
          <cell r="G612">
            <v>33.248356174752644</v>
          </cell>
          <cell r="H612">
            <v>34.456844578394708</v>
          </cell>
          <cell r="I612">
            <v>33.232021773718117</v>
          </cell>
          <cell r="J612">
            <v>34.737181858304091</v>
          </cell>
          <cell r="K612">
            <v>32.823545913498634</v>
          </cell>
          <cell r="L612">
            <v>35.319406594183029</v>
          </cell>
          <cell r="M612">
            <v>32.969339496188056</v>
          </cell>
          <cell r="N612">
            <v>34.087115381125038</v>
          </cell>
          <cell r="O612">
            <v>32.347002662875717</v>
          </cell>
          <cell r="P612">
            <v>31.239099388473072</v>
          </cell>
          <cell r="Q612">
            <v>33.507428447057869</v>
          </cell>
          <cell r="R612">
            <v>34.457831321490424</v>
          </cell>
          <cell r="S612">
            <v>31.479463759474257</v>
          </cell>
          <cell r="T612">
            <v>31.479463759474257</v>
          </cell>
          <cell r="U612">
            <v>31.479463759474257</v>
          </cell>
          <cell r="V612">
            <v>31.479463759474257</v>
          </cell>
          <cell r="W612">
            <v>31.479463759474257</v>
          </cell>
          <cell r="X612">
            <v>31.479463759474257</v>
          </cell>
          <cell r="Y612">
            <v>31.479463759474257</v>
          </cell>
          <cell r="Z612">
            <v>31.479463759474257</v>
          </cell>
          <cell r="AA612">
            <v>31.479463759474257</v>
          </cell>
          <cell r="AB612">
            <v>31.479463759474257</v>
          </cell>
          <cell r="AC612">
            <v>31.479463759474257</v>
          </cell>
          <cell r="AD612">
            <v>31.479463759474257</v>
          </cell>
          <cell r="AE612">
            <v>31.479463759474257</v>
          </cell>
          <cell r="AF612">
            <v>31.479463759474257</v>
          </cell>
        </row>
        <row r="613">
          <cell r="A613" t="str">
            <v>Pennsylvania</v>
          </cell>
          <cell r="B613">
            <v>39.459405328903038</v>
          </cell>
          <cell r="C613">
            <v>38.80890262279177</v>
          </cell>
          <cell r="D613">
            <v>37.301886768009986</v>
          </cell>
          <cell r="E613">
            <v>36.17365620436636</v>
          </cell>
          <cell r="F613">
            <v>35.771197188798872</v>
          </cell>
          <cell r="G613">
            <v>33.816558199789895</v>
          </cell>
          <cell r="H613">
            <v>33.656535117902528</v>
          </cell>
          <cell r="I613">
            <v>33.232021773718117</v>
          </cell>
          <cell r="J613">
            <v>33.327595718543293</v>
          </cell>
          <cell r="K613">
            <v>33.156856591714948</v>
          </cell>
          <cell r="L613">
            <v>33.685651014853569</v>
          </cell>
          <cell r="M613">
            <v>33.479383735137077</v>
          </cell>
          <cell r="N613">
            <v>33.562085073590204</v>
          </cell>
          <cell r="O613">
            <v>32.850451057969522</v>
          </cell>
          <cell r="P613">
            <v>33.162918392594392</v>
          </cell>
          <cell r="Q613">
            <v>33.178536060285786</v>
          </cell>
          <cell r="R613">
            <v>33.198701729144084</v>
          </cell>
          <cell r="S613">
            <v>33.115239175578203</v>
          </cell>
          <cell r="T613">
            <v>33.115239175578203</v>
          </cell>
          <cell r="U613">
            <v>33.115239175578203</v>
          </cell>
          <cell r="V613">
            <v>33.115239175578203</v>
          </cell>
          <cell r="W613">
            <v>33.115239175578203</v>
          </cell>
          <cell r="X613">
            <v>33.115239175578203</v>
          </cell>
          <cell r="Y613">
            <v>33.115239175578203</v>
          </cell>
          <cell r="Z613">
            <v>33.115239175578203</v>
          </cell>
          <cell r="AA613">
            <v>33.115239175578203</v>
          </cell>
          <cell r="AB613">
            <v>33.115239175578203</v>
          </cell>
          <cell r="AC613">
            <v>33.115239175578203</v>
          </cell>
          <cell r="AD613">
            <v>33.115239175578203</v>
          </cell>
          <cell r="AE613">
            <v>33.115239175578203</v>
          </cell>
          <cell r="AF613">
            <v>33.115239175578203</v>
          </cell>
        </row>
        <row r="614">
          <cell r="A614" t="str">
            <v>Rhode Island</v>
          </cell>
          <cell r="B614">
            <v>37.874425752841283</v>
          </cell>
          <cell r="C614">
            <v>40.025089617348371</v>
          </cell>
          <cell r="D614">
            <v>36.99526037008583</v>
          </cell>
          <cell r="E614">
            <v>39.764112576073281</v>
          </cell>
          <cell r="F614">
            <v>35.356398158673052</v>
          </cell>
          <cell r="G614">
            <v>32.415136690057878</v>
          </cell>
          <cell r="H614">
            <v>32.720834657644986</v>
          </cell>
          <cell r="I614">
            <v>35.921840116508541</v>
          </cell>
          <cell r="J614">
            <v>33.788740472985765</v>
          </cell>
          <cell r="K614">
            <v>38.194443177997407</v>
          </cell>
          <cell r="L614">
            <v>35.447172097091588</v>
          </cell>
          <cell r="M614">
            <v>33.12126756736437</v>
          </cell>
          <cell r="N614">
            <v>33.305078419444193</v>
          </cell>
          <cell r="O614">
            <v>33.112777286424851</v>
          </cell>
          <cell r="P614">
            <v>31.74217891592901</v>
          </cell>
          <cell r="Q614">
            <v>32.641039641917644</v>
          </cell>
          <cell r="R614">
            <v>33.419061658330932</v>
          </cell>
          <cell r="S614">
            <v>34.355257825812437</v>
          </cell>
          <cell r="T614">
            <v>34.355257825812437</v>
          </cell>
          <cell r="U614">
            <v>34.355257825812437</v>
          </cell>
          <cell r="V614">
            <v>34.355257825812437</v>
          </cell>
          <cell r="W614">
            <v>34.355257825812437</v>
          </cell>
          <cell r="X614">
            <v>34.355257825812437</v>
          </cell>
          <cell r="Y614">
            <v>34.355257825812437</v>
          </cell>
          <cell r="Z614">
            <v>34.355257825812437</v>
          </cell>
          <cell r="AA614">
            <v>34.355257825812437</v>
          </cell>
          <cell r="AB614">
            <v>34.355257825812437</v>
          </cell>
          <cell r="AC614">
            <v>34.355257825812437</v>
          </cell>
          <cell r="AD614">
            <v>34.355257825812437</v>
          </cell>
          <cell r="AE614">
            <v>34.355257825812437</v>
          </cell>
          <cell r="AF614">
            <v>34.355257825812437</v>
          </cell>
        </row>
        <row r="615">
          <cell r="A615" t="str">
            <v>South Carolina</v>
          </cell>
          <cell r="B615">
            <v>40.590980935439717</v>
          </cell>
          <cell r="C615">
            <v>39.37545967899915</v>
          </cell>
          <cell r="D615">
            <v>37.320836304837307</v>
          </cell>
          <cell r="E615">
            <v>36.81468028763399</v>
          </cell>
          <cell r="F615">
            <v>36.745910561825895</v>
          </cell>
          <cell r="G615">
            <v>35.845851146351492</v>
          </cell>
          <cell r="H615">
            <v>32.819847954660723</v>
          </cell>
          <cell r="I615">
            <v>34.563550387960404</v>
          </cell>
          <cell r="J615">
            <v>32.723487372931537</v>
          </cell>
          <cell r="K615">
            <v>33.879029727850302</v>
          </cell>
          <cell r="L615">
            <v>33.685651014853583</v>
          </cell>
          <cell r="M615">
            <v>36.284627049356693</v>
          </cell>
          <cell r="N615">
            <v>33.56208507359019</v>
          </cell>
          <cell r="O615">
            <v>32.850451057969522</v>
          </cell>
          <cell r="P615">
            <v>40.156893569677734</v>
          </cell>
          <cell r="Q615">
            <v>34.019100991496643</v>
          </cell>
          <cell r="R615">
            <v>34.554379290868454</v>
          </cell>
          <cell r="S615">
            <v>32.392252132827501</v>
          </cell>
          <cell r="T615">
            <v>32.392252132827501</v>
          </cell>
          <cell r="U615">
            <v>32.392252132827501</v>
          </cell>
          <cell r="V615">
            <v>32.392252132827501</v>
          </cell>
          <cell r="W615">
            <v>32.392252132827501</v>
          </cell>
          <cell r="X615">
            <v>32.392252132827501</v>
          </cell>
          <cell r="Y615">
            <v>32.392252132827501</v>
          </cell>
          <cell r="Z615">
            <v>32.392252132827501</v>
          </cell>
          <cell r="AA615">
            <v>32.392252132827501</v>
          </cell>
          <cell r="AB615">
            <v>32.392252132827501</v>
          </cell>
          <cell r="AC615">
            <v>32.392252132827501</v>
          </cell>
          <cell r="AD615">
            <v>32.392252132827501</v>
          </cell>
          <cell r="AE615">
            <v>32.392252132827501</v>
          </cell>
          <cell r="AF615">
            <v>32.392252132827501</v>
          </cell>
        </row>
        <row r="616">
          <cell r="A616" t="str">
            <v>South Dakota</v>
          </cell>
          <cell r="B616">
            <v>39.755355872151107</v>
          </cell>
          <cell r="C616">
            <v>38.208008775299085</v>
          </cell>
          <cell r="D616">
            <v>37.488114974761338</v>
          </cell>
          <cell r="E616">
            <v>35.739414083443123</v>
          </cell>
          <cell r="F616">
            <v>35.914043114156286</v>
          </cell>
          <cell r="G616">
            <v>33.467129146959493</v>
          </cell>
          <cell r="H616">
            <v>33.497796051358634</v>
          </cell>
          <cell r="I616">
            <v>33.356852581303329</v>
          </cell>
          <cell r="J616">
            <v>33.46400728045564</v>
          </cell>
          <cell r="K616">
            <v>32.454201648448119</v>
          </cell>
          <cell r="L616">
            <v>33.836924679606298</v>
          </cell>
          <cell r="M616">
            <v>33.115066421602066</v>
          </cell>
          <cell r="N616">
            <v>33.774935198266498</v>
          </cell>
          <cell r="O616">
            <v>32.499949010752324</v>
          </cell>
          <cell r="P616">
            <v>33.453628819883825</v>
          </cell>
          <cell r="Q616">
            <v>32.849643673513704</v>
          </cell>
          <cell r="R616">
            <v>33.198701729144069</v>
          </cell>
          <cell r="S616">
            <v>32.834820532817531</v>
          </cell>
          <cell r="T616">
            <v>32.834820532817531</v>
          </cell>
          <cell r="U616">
            <v>32.834820532817531</v>
          </cell>
          <cell r="V616">
            <v>32.834820532817531</v>
          </cell>
          <cell r="W616">
            <v>32.834820532817531</v>
          </cell>
          <cell r="X616">
            <v>32.834820532817531</v>
          </cell>
          <cell r="Y616">
            <v>32.834820532817531</v>
          </cell>
          <cell r="Z616">
            <v>32.834820532817531</v>
          </cell>
          <cell r="AA616">
            <v>32.834820532817531</v>
          </cell>
          <cell r="AB616">
            <v>32.834820532817531</v>
          </cell>
          <cell r="AC616">
            <v>32.834820532817531</v>
          </cell>
          <cell r="AD616">
            <v>32.834820532817531</v>
          </cell>
          <cell r="AE616">
            <v>32.834820532817531</v>
          </cell>
          <cell r="AF616">
            <v>32.834820532817531</v>
          </cell>
        </row>
        <row r="617">
          <cell r="A617" t="str">
            <v>Tennessee</v>
          </cell>
          <cell r="B617">
            <v>39.755355872151092</v>
          </cell>
          <cell r="C617">
            <v>40.640198158007536</v>
          </cell>
          <cell r="D617">
            <v>35.198488180176135</v>
          </cell>
          <cell r="E617">
            <v>36.463150951648515</v>
          </cell>
          <cell r="F617">
            <v>35.283840502285365</v>
          </cell>
          <cell r="G617">
            <v>33.768729746503936</v>
          </cell>
          <cell r="H617">
            <v>34.893377011390442</v>
          </cell>
          <cell r="I617">
            <v>33.232021773718117</v>
          </cell>
          <cell r="J617">
            <v>33.327595718543307</v>
          </cell>
          <cell r="K617">
            <v>34.601202863985662</v>
          </cell>
          <cell r="L617">
            <v>36.408576980402678</v>
          </cell>
          <cell r="M617">
            <v>33.479383735137084</v>
          </cell>
          <cell r="N617">
            <v>33.562085073590197</v>
          </cell>
          <cell r="O617">
            <v>38.388383404001232</v>
          </cell>
          <cell r="P617">
            <v>33.162918392594385</v>
          </cell>
          <cell r="Q617">
            <v>33.178536060285779</v>
          </cell>
          <cell r="R617">
            <v>31.152616141581273</v>
          </cell>
          <cell r="S617">
            <v>33.956495103860242</v>
          </cell>
          <cell r="T617">
            <v>33.956495103860242</v>
          </cell>
          <cell r="U617">
            <v>33.956495103860242</v>
          </cell>
          <cell r="V617">
            <v>33.956495103860242</v>
          </cell>
          <cell r="W617">
            <v>33.956495103860242</v>
          </cell>
          <cell r="X617">
            <v>33.956495103860242</v>
          </cell>
          <cell r="Y617">
            <v>33.956495103860242</v>
          </cell>
          <cell r="Z617">
            <v>33.956495103860242</v>
          </cell>
          <cell r="AA617">
            <v>33.956495103860242</v>
          </cell>
          <cell r="AB617">
            <v>33.956495103860242</v>
          </cell>
          <cell r="AC617">
            <v>33.956495103860242</v>
          </cell>
          <cell r="AD617">
            <v>33.956495103860242</v>
          </cell>
          <cell r="AE617">
            <v>33.956495103860242</v>
          </cell>
          <cell r="AF617">
            <v>33.956495103860242</v>
          </cell>
        </row>
        <row r="618">
          <cell r="A618" t="str">
            <v>Texas</v>
          </cell>
          <cell r="B618">
            <v>39.687710033694408</v>
          </cell>
          <cell r="C618">
            <v>38.622629214274106</v>
          </cell>
          <cell r="D618">
            <v>37.330571846693545</v>
          </cell>
          <cell r="E618">
            <v>35.9029903837367</v>
          </cell>
          <cell r="F618">
            <v>34.92233966338798</v>
          </cell>
          <cell r="G618">
            <v>34.682534548108698</v>
          </cell>
          <cell r="H618">
            <v>32.950558711688899</v>
          </cell>
          <cell r="I618">
            <v>33.232021773718124</v>
          </cell>
          <cell r="J618">
            <v>32.987520740768851</v>
          </cell>
          <cell r="K618">
            <v>33.363191773467911</v>
          </cell>
          <cell r="L618">
            <v>33.348794194373276</v>
          </cell>
          <cell r="M618">
            <v>33.422133871581586</v>
          </cell>
          <cell r="N618">
            <v>33.652920766935331</v>
          </cell>
          <cell r="O618">
            <v>33.374876469525546</v>
          </cell>
          <cell r="P618">
            <v>32.761278986470806</v>
          </cell>
          <cell r="Q618">
            <v>33.430042003111502</v>
          </cell>
          <cell r="R618">
            <v>32.807641002510913</v>
          </cell>
          <cell r="S618">
            <v>33.217475139084705</v>
          </cell>
          <cell r="T618">
            <v>33.217475139084705</v>
          </cell>
          <cell r="U618">
            <v>33.217475139084705</v>
          </cell>
          <cell r="V618">
            <v>33.217475139084705</v>
          </cell>
          <cell r="W618">
            <v>33.217475139084705</v>
          </cell>
          <cell r="X618">
            <v>33.217475139084705</v>
          </cell>
          <cell r="Y618">
            <v>33.217475139084705</v>
          </cell>
          <cell r="Z618">
            <v>33.217475139084705</v>
          </cell>
          <cell r="AA618">
            <v>33.217475139084705</v>
          </cell>
          <cell r="AB618">
            <v>33.217475139084705</v>
          </cell>
          <cell r="AC618">
            <v>33.217475139084705</v>
          </cell>
          <cell r="AD618">
            <v>33.217475139084705</v>
          </cell>
          <cell r="AE618">
            <v>33.217475139084705</v>
          </cell>
          <cell r="AF618">
            <v>33.217475139084705</v>
          </cell>
        </row>
        <row r="619">
          <cell r="A619" t="str">
            <v>Utah</v>
          </cell>
          <cell r="B619">
            <v>40.56380613663358</v>
          </cell>
          <cell r="C619">
            <v>38.095753880712536</v>
          </cell>
          <cell r="D619">
            <v>37.199559269142377</v>
          </cell>
          <cell r="E619">
            <v>35.784335682159323</v>
          </cell>
          <cell r="F619">
            <v>36.339779989731291</v>
          </cell>
          <cell r="G619">
            <v>33.041737256557269</v>
          </cell>
          <cell r="H619">
            <v>33.36551349590539</v>
          </cell>
          <cell r="I619">
            <v>34.030938942263482</v>
          </cell>
          <cell r="J619">
            <v>34.384785323363893</v>
          </cell>
          <cell r="K619">
            <v>33.156856591714963</v>
          </cell>
          <cell r="L619">
            <v>34.463629862153311</v>
          </cell>
          <cell r="M619">
            <v>33.479383735137077</v>
          </cell>
          <cell r="N619">
            <v>35.662206303729576</v>
          </cell>
          <cell r="O619">
            <v>31.927462333630896</v>
          </cell>
          <cell r="P619">
            <v>32.384229748069103</v>
          </cell>
          <cell r="Q619">
            <v>33.178536060285786</v>
          </cell>
          <cell r="R619">
            <v>34.108073101394211</v>
          </cell>
          <cell r="S619">
            <v>33.115239175578211</v>
          </cell>
          <cell r="T619">
            <v>33.115239175578211</v>
          </cell>
          <cell r="U619">
            <v>33.115239175578211</v>
          </cell>
          <cell r="V619">
            <v>33.115239175578211</v>
          </cell>
          <cell r="W619">
            <v>33.115239175578211</v>
          </cell>
          <cell r="X619">
            <v>33.115239175578211</v>
          </cell>
          <cell r="Y619">
            <v>33.115239175578211</v>
          </cell>
          <cell r="Z619">
            <v>33.115239175578211</v>
          </cell>
          <cell r="AA619">
            <v>33.115239175578211</v>
          </cell>
          <cell r="AB619">
            <v>33.115239175578211</v>
          </cell>
          <cell r="AC619">
            <v>33.115239175578211</v>
          </cell>
          <cell r="AD619">
            <v>33.115239175578211</v>
          </cell>
          <cell r="AE619">
            <v>33.115239175578211</v>
          </cell>
          <cell r="AF619">
            <v>33.115239175578211</v>
          </cell>
        </row>
        <row r="620">
          <cell r="A620" t="str">
            <v>Vermont</v>
          </cell>
          <cell r="B620">
            <v>40.015134682335493</v>
          </cell>
          <cell r="C620">
            <v>40.025089617348357</v>
          </cell>
          <cell r="D620">
            <v>36.99526037008583</v>
          </cell>
          <cell r="E620">
            <v>42.504903352147068</v>
          </cell>
          <cell r="F620">
            <v>33.725515056380985</v>
          </cell>
          <cell r="G620">
            <v>33.898746613916501</v>
          </cell>
          <cell r="H620">
            <v>32.100727075695495</v>
          </cell>
          <cell r="I620">
            <v>34.012010349217881</v>
          </cell>
          <cell r="J620">
            <v>36.977874631118645</v>
          </cell>
          <cell r="K620">
            <v>39.235623778341242</v>
          </cell>
          <cell r="L620">
            <v>30.942563963756466</v>
          </cell>
          <cell r="M620">
            <v>35.372283479078583</v>
          </cell>
          <cell r="N620">
            <v>34.303737703684668</v>
          </cell>
          <cell r="O620">
            <v>32.387744964613972</v>
          </cell>
          <cell r="P620">
            <v>33.085539260932897</v>
          </cell>
          <cell r="Q620">
            <v>32.641039641917637</v>
          </cell>
          <cell r="R620">
            <v>31.999914617659012</v>
          </cell>
          <cell r="S620">
            <v>33.16712280111102</v>
          </cell>
          <cell r="T620">
            <v>33.16712280111102</v>
          </cell>
          <cell r="U620">
            <v>33.16712280111102</v>
          </cell>
          <cell r="V620">
            <v>33.16712280111102</v>
          </cell>
          <cell r="W620">
            <v>33.16712280111102</v>
          </cell>
          <cell r="X620">
            <v>33.16712280111102</v>
          </cell>
          <cell r="Y620">
            <v>33.16712280111102</v>
          </cell>
          <cell r="Z620">
            <v>33.16712280111102</v>
          </cell>
          <cell r="AA620">
            <v>33.16712280111102</v>
          </cell>
          <cell r="AB620">
            <v>33.16712280111102</v>
          </cell>
          <cell r="AC620">
            <v>33.16712280111102</v>
          </cell>
          <cell r="AD620">
            <v>33.16712280111102</v>
          </cell>
          <cell r="AE620">
            <v>33.16712280111102</v>
          </cell>
          <cell r="AF620">
            <v>33.16712280111102</v>
          </cell>
        </row>
        <row r="621">
          <cell r="A621" t="str">
            <v>Virginia</v>
          </cell>
          <cell r="B621">
            <v>41.333758769474017</v>
          </cell>
          <cell r="C621">
            <v>38.416482150959808</v>
          </cell>
          <cell r="D621">
            <v>37.017643715600002</v>
          </cell>
          <cell r="E621">
            <v>35.847974613673934</v>
          </cell>
          <cell r="F621">
            <v>35.283840502285358</v>
          </cell>
          <cell r="G621">
            <v>34.074831847534092</v>
          </cell>
          <cell r="H621">
            <v>33.989131257327848</v>
          </cell>
          <cell r="I621">
            <v>33.897786080839268</v>
          </cell>
          <cell r="J621">
            <v>33.3275957185433</v>
          </cell>
          <cell r="K621">
            <v>33.156856591714963</v>
          </cell>
          <cell r="L621">
            <v>34.290745673864492</v>
          </cell>
          <cell r="M621">
            <v>32.918335072293161</v>
          </cell>
          <cell r="N621">
            <v>34.145452081962254</v>
          </cell>
          <cell r="O621">
            <v>32.468524689277679</v>
          </cell>
          <cell r="P621">
            <v>33.162918392594392</v>
          </cell>
          <cell r="Q621">
            <v>33.003126787340676</v>
          </cell>
          <cell r="R621">
            <v>33.588432317251282</v>
          </cell>
          <cell r="S621">
            <v>32.722653075713254</v>
          </cell>
          <cell r="T621">
            <v>32.722653075713254</v>
          </cell>
          <cell r="U621">
            <v>32.722653075713254</v>
          </cell>
          <cell r="V621">
            <v>32.722653075713254</v>
          </cell>
          <cell r="W621">
            <v>32.722653075713254</v>
          </cell>
          <cell r="X621">
            <v>32.722653075713254</v>
          </cell>
          <cell r="Y621">
            <v>32.722653075713254</v>
          </cell>
          <cell r="Z621">
            <v>32.722653075713254</v>
          </cell>
          <cell r="AA621">
            <v>32.722653075713254</v>
          </cell>
          <cell r="AB621">
            <v>32.722653075713254</v>
          </cell>
          <cell r="AC621">
            <v>32.722653075713254</v>
          </cell>
          <cell r="AD621">
            <v>32.722653075713254</v>
          </cell>
          <cell r="AE621">
            <v>32.722653075713254</v>
          </cell>
          <cell r="AF621">
            <v>32.722653075713254</v>
          </cell>
        </row>
        <row r="622">
          <cell r="A622" t="str">
            <v>Washington</v>
          </cell>
          <cell r="B622">
            <v>40.312439247676842</v>
          </cell>
          <cell r="C622">
            <v>38.704964227549787</v>
          </cell>
          <cell r="D622">
            <v>37.333104213072339</v>
          </cell>
          <cell r="E622">
            <v>36.119181386329394</v>
          </cell>
          <cell r="F622">
            <v>34.850762878013875</v>
          </cell>
          <cell r="G622">
            <v>35.531760116860362</v>
          </cell>
          <cell r="H622">
            <v>33.102542150727231</v>
          </cell>
          <cell r="I622">
            <v>33.305541758553581</v>
          </cell>
          <cell r="J622">
            <v>32.54527541097606</v>
          </cell>
          <cell r="K622">
            <v>33.051172718134175</v>
          </cell>
          <cell r="L622">
            <v>32.990435874713377</v>
          </cell>
          <cell r="M622">
            <v>33.039345568200666</v>
          </cell>
          <cell r="N622">
            <v>33.667091135097174</v>
          </cell>
          <cell r="O622">
            <v>34.599271798821633</v>
          </cell>
          <cell r="P622">
            <v>32.764077867349727</v>
          </cell>
          <cell r="Q622">
            <v>33.448396480201339</v>
          </cell>
          <cell r="R622">
            <v>34.606760628112035</v>
          </cell>
          <cell r="S622">
            <v>32.107531539561244</v>
          </cell>
          <cell r="T622">
            <v>32.107531539561244</v>
          </cell>
          <cell r="U622">
            <v>32.107531539561244</v>
          </cell>
          <cell r="V622">
            <v>32.107531539561244</v>
          </cell>
          <cell r="W622">
            <v>32.107531539561244</v>
          </cell>
          <cell r="X622">
            <v>32.107531539561244</v>
          </cell>
          <cell r="Y622">
            <v>32.107531539561244</v>
          </cell>
          <cell r="Z622">
            <v>32.107531539561244</v>
          </cell>
          <cell r="AA622">
            <v>32.107531539561244</v>
          </cell>
          <cell r="AB622">
            <v>32.107531539561244</v>
          </cell>
          <cell r="AC622">
            <v>32.107531539561244</v>
          </cell>
          <cell r="AD622">
            <v>32.107531539561244</v>
          </cell>
          <cell r="AE622">
            <v>32.107531539561244</v>
          </cell>
          <cell r="AF622">
            <v>32.107531539561244</v>
          </cell>
        </row>
        <row r="623">
          <cell r="A623" t="str">
            <v>West Virginia</v>
          </cell>
          <cell r="B623">
            <v>41.784731025852004</v>
          </cell>
          <cell r="C623">
            <v>37.137845446907377</v>
          </cell>
          <cell r="D623">
            <v>36.367945310091464</v>
          </cell>
          <cell r="E623">
            <v>38.431715233167168</v>
          </cell>
          <cell r="F623">
            <v>36.850344137507349</v>
          </cell>
          <cell r="G623">
            <v>32.835118338361923</v>
          </cell>
          <cell r="H623">
            <v>33.850549532567314</v>
          </cell>
          <cell r="I623">
            <v>33.73134500405898</v>
          </cell>
          <cell r="J623">
            <v>32.48184403468683</v>
          </cell>
          <cell r="K623">
            <v>33.156856591714963</v>
          </cell>
          <cell r="L623">
            <v>36.019587556752796</v>
          </cell>
          <cell r="M623">
            <v>33.479383735137077</v>
          </cell>
          <cell r="N623">
            <v>32.905797189171643</v>
          </cell>
          <cell r="O623">
            <v>33.641584250259768</v>
          </cell>
          <cell r="P623">
            <v>35.343246597265214</v>
          </cell>
          <cell r="Q623">
            <v>31.675028006470558</v>
          </cell>
          <cell r="R623">
            <v>31.986206566143906</v>
          </cell>
          <cell r="S623">
            <v>32.526360025780789</v>
          </cell>
          <cell r="T623">
            <v>32.526360025780789</v>
          </cell>
          <cell r="U623">
            <v>32.526360025780789</v>
          </cell>
          <cell r="V623">
            <v>32.526360025780789</v>
          </cell>
          <cell r="W623">
            <v>32.526360025780789</v>
          </cell>
          <cell r="X623">
            <v>32.526360025780789</v>
          </cell>
          <cell r="Y623">
            <v>32.526360025780789</v>
          </cell>
          <cell r="Z623">
            <v>32.526360025780789</v>
          </cell>
          <cell r="AA623">
            <v>32.526360025780789</v>
          </cell>
          <cell r="AB623">
            <v>32.526360025780789</v>
          </cell>
          <cell r="AC623">
            <v>32.526360025780789</v>
          </cell>
          <cell r="AD623">
            <v>32.526360025780789</v>
          </cell>
          <cell r="AE623">
            <v>32.526360025780789</v>
          </cell>
          <cell r="AF623">
            <v>32.526360025780789</v>
          </cell>
        </row>
        <row r="624">
          <cell r="A624" t="str">
            <v>Wisconsin</v>
          </cell>
          <cell r="B624">
            <v>38.966154423489627</v>
          </cell>
          <cell r="C624">
            <v>38.149636230114076</v>
          </cell>
          <cell r="D624">
            <v>37.342492918354253</v>
          </cell>
          <cell r="E624">
            <v>36.463150951648508</v>
          </cell>
          <cell r="F624">
            <v>35.157799979911175</v>
          </cell>
          <cell r="G624">
            <v>33.937085902070514</v>
          </cell>
          <cell r="H624">
            <v>33.365513495905375</v>
          </cell>
          <cell r="I624">
            <v>33.232021773718117</v>
          </cell>
          <cell r="J624">
            <v>33.191184156630968</v>
          </cell>
          <cell r="K624">
            <v>32.555045644935497</v>
          </cell>
          <cell r="L624">
            <v>33.3990272290063</v>
          </cell>
          <cell r="M624">
            <v>33.791077436717039</v>
          </cell>
          <cell r="N624">
            <v>33.03705476605537</v>
          </cell>
          <cell r="O624">
            <v>32.850451057969508</v>
          </cell>
          <cell r="P624">
            <v>32.903355511085962</v>
          </cell>
          <cell r="Q624">
            <v>32.827717514395566</v>
          </cell>
          <cell r="R624">
            <v>33.080088071894068</v>
          </cell>
          <cell r="S624">
            <v>32.869872863162612</v>
          </cell>
          <cell r="T624">
            <v>32.869872863162612</v>
          </cell>
          <cell r="U624">
            <v>32.869872863162612</v>
          </cell>
          <cell r="V624">
            <v>32.869872863162612</v>
          </cell>
          <cell r="W624">
            <v>32.869872863162612</v>
          </cell>
          <cell r="X624">
            <v>32.869872863162612</v>
          </cell>
          <cell r="Y624">
            <v>32.869872863162612</v>
          </cell>
          <cell r="Z624">
            <v>32.869872863162612</v>
          </cell>
          <cell r="AA624">
            <v>32.869872863162612</v>
          </cell>
          <cell r="AB624">
            <v>32.869872863162612</v>
          </cell>
          <cell r="AC624">
            <v>32.869872863162612</v>
          </cell>
          <cell r="AD624">
            <v>32.869872863162612</v>
          </cell>
          <cell r="AE624">
            <v>32.869872863162612</v>
          </cell>
          <cell r="AF624">
            <v>32.869872863162612</v>
          </cell>
        </row>
        <row r="625">
          <cell r="A625" t="str">
            <v>Wyoming</v>
          </cell>
          <cell r="B625">
            <v>41.901983812510281</v>
          </cell>
          <cell r="C625">
            <v>41.418498760474215</v>
          </cell>
          <cell r="D625">
            <v>34.635416228735416</v>
          </cell>
          <cell r="E625">
            <v>37.283386068947962</v>
          </cell>
          <cell r="F625">
            <v>35.091462862872127</v>
          </cell>
          <cell r="G625">
            <v>33.868212929338718</v>
          </cell>
          <cell r="H625">
            <v>33.595267408008397</v>
          </cell>
          <cell r="I625">
            <v>33.981006619229404</v>
          </cell>
          <cell r="J625">
            <v>33.078845223291395</v>
          </cell>
          <cell r="K625">
            <v>32.506900769193123</v>
          </cell>
          <cell r="L625">
            <v>34.290745673864485</v>
          </cell>
          <cell r="M625">
            <v>34.180694563691986</v>
          </cell>
          <cell r="N625">
            <v>33.562085073590197</v>
          </cell>
          <cell r="O625">
            <v>33.219646547704968</v>
          </cell>
          <cell r="P625">
            <v>31.800213264675126</v>
          </cell>
          <cell r="Q625">
            <v>34.494105607374102</v>
          </cell>
          <cell r="R625">
            <v>33.198701729144076</v>
          </cell>
          <cell r="S625">
            <v>32.460929009136635</v>
          </cell>
          <cell r="T625">
            <v>32.460929009136635</v>
          </cell>
          <cell r="U625">
            <v>32.460929009136635</v>
          </cell>
          <cell r="V625">
            <v>32.460929009136635</v>
          </cell>
          <cell r="W625">
            <v>32.460929009136635</v>
          </cell>
          <cell r="X625">
            <v>32.460929009136635</v>
          </cell>
          <cell r="Y625">
            <v>32.460929009136635</v>
          </cell>
          <cell r="Z625">
            <v>32.460929009136635</v>
          </cell>
          <cell r="AA625">
            <v>32.460929009136635</v>
          </cell>
          <cell r="AB625">
            <v>32.460929009136635</v>
          </cell>
          <cell r="AC625">
            <v>32.460929009136635</v>
          </cell>
          <cell r="AD625">
            <v>32.460929009136635</v>
          </cell>
          <cell r="AE625">
            <v>32.460929009136635</v>
          </cell>
          <cell r="AF625">
            <v>32.460929009136635</v>
          </cell>
        </row>
      </sheetData>
      <sheetData sheetId="18"/>
      <sheetData sheetId="19">
        <row r="3">
          <cell r="A3" t="str">
            <v>Dairy Cows</v>
          </cell>
          <cell r="B3">
            <v>1990</v>
          </cell>
          <cell r="C3">
            <v>1991</v>
          </cell>
          <cell r="D3">
            <v>1992</v>
          </cell>
          <cell r="E3">
            <v>1993</v>
          </cell>
          <cell r="F3">
            <v>1994</v>
          </cell>
          <cell r="G3">
            <v>1995</v>
          </cell>
          <cell r="H3">
            <v>1996</v>
          </cell>
          <cell r="I3">
            <v>1997</v>
          </cell>
          <cell r="J3">
            <v>1998</v>
          </cell>
          <cell r="K3">
            <v>1999</v>
          </cell>
          <cell r="L3">
            <v>2000</v>
          </cell>
          <cell r="M3">
            <v>2001</v>
          </cell>
          <cell r="N3">
            <v>2002</v>
          </cell>
          <cell r="O3">
            <v>2003</v>
          </cell>
          <cell r="P3">
            <v>2004</v>
          </cell>
          <cell r="Q3">
            <v>2005</v>
          </cell>
          <cell r="R3">
            <v>2006</v>
          </cell>
          <cell r="S3">
            <v>2007</v>
          </cell>
          <cell r="T3">
            <v>2008</v>
          </cell>
          <cell r="U3">
            <v>2009</v>
          </cell>
          <cell r="V3">
            <v>2010</v>
          </cell>
          <cell r="W3">
            <v>2011</v>
          </cell>
          <cell r="X3">
            <v>2012</v>
          </cell>
          <cell r="Y3">
            <v>2013</v>
          </cell>
          <cell r="Z3">
            <v>2014</v>
          </cell>
          <cell r="AA3">
            <v>2015</v>
          </cell>
          <cell r="AB3">
            <v>2016</v>
          </cell>
          <cell r="AC3">
            <v>2017</v>
          </cell>
          <cell r="AD3">
            <v>2018</v>
          </cell>
          <cell r="AE3">
            <v>2019</v>
          </cell>
          <cell r="AF3">
            <v>2020</v>
          </cell>
        </row>
        <row r="4">
          <cell r="A4" t="str">
            <v>Alabama</v>
          </cell>
          <cell r="B4">
            <v>7.830880776606608</v>
          </cell>
          <cell r="C4">
            <v>7.9683599948356338</v>
          </cell>
          <cell r="D4">
            <v>7.8459405737460921</v>
          </cell>
          <cell r="E4">
            <v>7.8141384325970202</v>
          </cell>
          <cell r="F4">
            <v>7.897021705571591</v>
          </cell>
          <cell r="G4">
            <v>8.075202149705401</v>
          </cell>
          <cell r="H4">
            <v>7.6234756082425763</v>
          </cell>
          <cell r="I4">
            <v>7.6031087519910558</v>
          </cell>
          <cell r="J4">
            <v>7.6812934005283742</v>
          </cell>
          <cell r="K4">
            <v>7.7176114610859763</v>
          </cell>
          <cell r="L4">
            <v>7.7160765393267834</v>
          </cell>
          <cell r="M4">
            <v>7.7984525003118605</v>
          </cell>
          <cell r="N4">
            <v>7.6855919012579648</v>
          </cell>
          <cell r="O4">
            <v>7.7244453075382387</v>
          </cell>
          <cell r="P4">
            <v>7.8311023396701689</v>
          </cell>
          <cell r="Q4">
            <v>7.7244453075382404</v>
          </cell>
          <cell r="R4">
            <v>7.8539576242146154</v>
          </cell>
          <cell r="S4">
            <v>8.0233194402950705</v>
          </cell>
          <cell r="T4">
            <v>8.0233194402950705</v>
          </cell>
          <cell r="U4">
            <v>8.0233194402950705</v>
          </cell>
          <cell r="V4">
            <v>8.0233194402950705</v>
          </cell>
          <cell r="W4">
            <v>8.0233194402950705</v>
          </cell>
          <cell r="X4">
            <v>8.0233194402950705</v>
          </cell>
          <cell r="Y4">
            <v>8.0233194402950705</v>
          </cell>
          <cell r="Z4">
            <v>8.0233194402950705</v>
          </cell>
          <cell r="AA4">
            <v>8.0233194402950705</v>
          </cell>
          <cell r="AB4">
            <v>8.0233194402950705</v>
          </cell>
          <cell r="AC4">
            <v>8.0233194402950705</v>
          </cell>
          <cell r="AD4">
            <v>8.0233194402950705</v>
          </cell>
          <cell r="AE4">
            <v>8.0233194402950705</v>
          </cell>
          <cell r="AF4">
            <v>8.0233194402950705</v>
          </cell>
        </row>
        <row r="5">
          <cell r="A5" t="str">
            <v>Alaska</v>
          </cell>
          <cell r="B5">
            <v>8.120218118729861</v>
          </cell>
          <cell r="C5">
            <v>7.9250266434891588</v>
          </cell>
          <cell r="D5">
            <v>9.0762576485850488</v>
          </cell>
          <cell r="E5">
            <v>8.9366922706067129</v>
          </cell>
          <cell r="F5">
            <v>9.3323897698075786</v>
          </cell>
          <cell r="G5">
            <v>8.9366922706067129</v>
          </cell>
          <cell r="H5">
            <v>8.9754374131162695</v>
          </cell>
          <cell r="I5">
            <v>8.7461513018341464</v>
          </cell>
          <cell r="J5">
            <v>8.4404361034286204</v>
          </cell>
          <cell r="K5">
            <v>8.0124347489884151</v>
          </cell>
          <cell r="L5">
            <v>8.1347209050231459</v>
          </cell>
          <cell r="M5">
            <v>7.649130203514197</v>
          </cell>
          <cell r="N5">
            <v>7.9569830318436772</v>
          </cell>
          <cell r="O5">
            <v>7.6818394682875324</v>
          </cell>
          <cell r="P5">
            <v>7.4948827231619894</v>
          </cell>
          <cell r="Q5">
            <v>7.5240646685431196</v>
          </cell>
          <cell r="R5">
            <v>7.5178116409802724</v>
          </cell>
          <cell r="S5">
            <v>8.1827418237336822</v>
          </cell>
          <cell r="T5">
            <v>8.1827418237336822</v>
          </cell>
          <cell r="U5">
            <v>8.1827418237336822</v>
          </cell>
          <cell r="V5">
            <v>8.1827418237336822</v>
          </cell>
          <cell r="W5">
            <v>8.1827418237336822</v>
          </cell>
          <cell r="X5">
            <v>8.1827418237336822</v>
          </cell>
          <cell r="Y5">
            <v>8.1827418237336822</v>
          </cell>
          <cell r="Z5">
            <v>8.1827418237336822</v>
          </cell>
          <cell r="AA5">
            <v>8.1827418237336822</v>
          </cell>
          <cell r="AB5">
            <v>8.1827418237336822</v>
          </cell>
          <cell r="AC5">
            <v>8.1827418237336822</v>
          </cell>
          <cell r="AD5">
            <v>8.1827418237336822</v>
          </cell>
          <cell r="AE5">
            <v>8.1827418237336822</v>
          </cell>
          <cell r="AF5">
            <v>8.1827418237336822</v>
          </cell>
        </row>
        <row r="6">
          <cell r="A6" t="str">
            <v>Arizona</v>
          </cell>
          <cell r="B6">
            <v>9.0961751064137371</v>
          </cell>
          <cell r="C6">
            <v>9.2444031081849278</v>
          </cell>
          <cell r="D6">
            <v>9.3010407199541483</v>
          </cell>
          <cell r="E6">
            <v>9.2827336993125069</v>
          </cell>
          <cell r="F6">
            <v>9.6111935638984747</v>
          </cell>
          <cell r="G6">
            <v>9.6545508217673586</v>
          </cell>
          <cell r="H6">
            <v>9.7860879416452473</v>
          </cell>
          <cell r="I6">
            <v>9.9319405475218918</v>
          </cell>
          <cell r="J6">
            <v>9.7893166215627669</v>
          </cell>
          <cell r="K6">
            <v>10.178677708260809</v>
          </cell>
          <cell r="L6">
            <v>10.164097661404661</v>
          </cell>
          <cell r="M6">
            <v>10.210288407005976</v>
          </cell>
          <cell r="N6">
            <v>10.567320141279044</v>
          </cell>
          <cell r="O6">
            <v>10.452528724307149</v>
          </cell>
          <cell r="P6">
            <v>10.417137454700873</v>
          </cell>
          <cell r="Q6">
            <v>10.387225970269256</v>
          </cell>
          <cell r="R6">
            <v>10.435844783436867</v>
          </cell>
          <cell r="S6">
            <v>10.547051759987394</v>
          </cell>
          <cell r="T6">
            <v>10.547051759987394</v>
          </cell>
          <cell r="U6">
            <v>10.547051759987394</v>
          </cell>
          <cell r="V6">
            <v>10.547051759987394</v>
          </cell>
          <cell r="W6">
            <v>10.547051759987394</v>
          </cell>
          <cell r="X6">
            <v>10.547051759987394</v>
          </cell>
          <cell r="Y6">
            <v>10.547051759987394</v>
          </cell>
          <cell r="Z6">
            <v>10.547051759987394</v>
          </cell>
          <cell r="AA6">
            <v>10.547051759987394</v>
          </cell>
          <cell r="AB6">
            <v>10.547051759987394</v>
          </cell>
          <cell r="AC6">
            <v>10.547051759987394</v>
          </cell>
          <cell r="AD6">
            <v>10.547051759987394</v>
          </cell>
          <cell r="AE6">
            <v>10.547051759987394</v>
          </cell>
          <cell r="AF6">
            <v>10.547051759987394</v>
          </cell>
        </row>
        <row r="7">
          <cell r="A7" t="str">
            <v>Arkansas</v>
          </cell>
          <cell r="B7">
            <v>8.2885500340354508</v>
          </cell>
          <cell r="C7">
            <v>8.2413130342411129</v>
          </cell>
          <cell r="D7">
            <v>8.3704759610420822</v>
          </cell>
          <cell r="E7">
            <v>7.6375422253641849</v>
          </cell>
          <cell r="F7">
            <v>7.6759986734437256</v>
          </cell>
          <cell r="G7">
            <v>7.6218297152792021</v>
          </cell>
          <cell r="H7">
            <v>6.9014709031558272</v>
          </cell>
          <cell r="I7">
            <v>6.8831157349224776</v>
          </cell>
          <cell r="J7">
            <v>6.8878966717810917</v>
          </cell>
          <cell r="K7">
            <v>6.984424147062442</v>
          </cell>
          <cell r="L7">
            <v>6.9983461278690156</v>
          </cell>
          <cell r="M7">
            <v>6.962686945948966</v>
          </cell>
          <cell r="N7">
            <v>6.9470767034338099</v>
          </cell>
          <cell r="O7">
            <v>6.9282368042665619</v>
          </cell>
          <cell r="P7">
            <v>7.2453313293218535</v>
          </cell>
          <cell r="Q7">
            <v>7.2674065338629532</v>
          </cell>
          <cell r="R7">
            <v>7.1038583873741219</v>
          </cell>
          <cell r="S7">
            <v>7.1142919294640867</v>
          </cell>
          <cell r="T7">
            <v>7.1142919294640867</v>
          </cell>
          <cell r="U7">
            <v>7.1142919294640867</v>
          </cell>
          <cell r="V7">
            <v>7.1142919294640867</v>
          </cell>
          <cell r="W7">
            <v>7.1142919294640867</v>
          </cell>
          <cell r="X7">
            <v>7.1142919294640867</v>
          </cell>
          <cell r="Y7">
            <v>7.1142919294640867</v>
          </cell>
          <cell r="Z7">
            <v>7.1142919294640867</v>
          </cell>
          <cell r="AA7">
            <v>7.1142919294640867</v>
          </cell>
          <cell r="AB7">
            <v>7.1142919294640867</v>
          </cell>
          <cell r="AC7">
            <v>7.1142919294640867</v>
          </cell>
          <cell r="AD7">
            <v>7.1142919294640867</v>
          </cell>
          <cell r="AE7">
            <v>7.1142919294640867</v>
          </cell>
          <cell r="AF7">
            <v>7.1142919294640867</v>
          </cell>
        </row>
        <row r="8">
          <cell r="A8" t="str">
            <v>California</v>
          </cell>
          <cell r="B8">
            <v>9.2899855985410031</v>
          </cell>
          <cell r="C8">
            <v>9.3119284090988508</v>
          </cell>
          <cell r="D8">
            <v>9.3643055148201295</v>
          </cell>
          <cell r="E8">
            <v>8.7436937064238123</v>
          </cell>
          <cell r="F8">
            <v>9.0941914636104944</v>
          </cell>
          <cell r="G8">
            <v>8.9306071485839169</v>
          </cell>
          <cell r="H8">
            <v>8.2030057468745525</v>
          </cell>
          <cell r="I8">
            <v>8.3640794185476111</v>
          </cell>
          <cell r="J8">
            <v>8.2728910125403345</v>
          </cell>
          <cell r="K8">
            <v>8.5936166235656728</v>
          </cell>
          <cell r="L8">
            <v>8.6778902100174999</v>
          </cell>
          <cell r="M8">
            <v>8.6118842694724567</v>
          </cell>
          <cell r="N8">
            <v>8.7018108544502386</v>
          </cell>
          <cell r="O8">
            <v>8.633377220485329</v>
          </cell>
          <cell r="P8">
            <v>8.6684948822735848</v>
          </cell>
          <cell r="Q8">
            <v>8.732355590824902</v>
          </cell>
          <cell r="R8">
            <v>8.8313615089078787</v>
          </cell>
          <cell r="S8">
            <v>8.9820564002599941</v>
          </cell>
          <cell r="T8">
            <v>8.9820564002599941</v>
          </cell>
          <cell r="U8">
            <v>8.9820564002599941</v>
          </cell>
          <cell r="V8">
            <v>8.9820564002599941</v>
          </cell>
          <cell r="W8">
            <v>8.9820564002599941</v>
          </cell>
          <cell r="X8">
            <v>8.9820564002599941</v>
          </cell>
          <cell r="Y8">
            <v>8.9820564002599941</v>
          </cell>
          <cell r="Z8">
            <v>8.9820564002599941</v>
          </cell>
          <cell r="AA8">
            <v>8.9820564002599941</v>
          </cell>
          <cell r="AB8">
            <v>8.9820564002599941</v>
          </cell>
          <cell r="AC8">
            <v>8.9820564002599941</v>
          </cell>
          <cell r="AD8">
            <v>8.9820564002599941</v>
          </cell>
          <cell r="AE8">
            <v>8.9820564002599941</v>
          </cell>
          <cell r="AF8">
            <v>8.9820564002599941</v>
          </cell>
        </row>
        <row r="9">
          <cell r="A9" t="str">
            <v>Colorado</v>
          </cell>
          <cell r="B9">
            <v>9.0074519911367954</v>
          </cell>
          <cell r="C9">
            <v>9.0509082980829643</v>
          </cell>
          <cell r="D9">
            <v>9.1519439883340628</v>
          </cell>
          <cell r="E9">
            <v>8.6127352509973054</v>
          </cell>
          <cell r="F9">
            <v>8.8708489665472872</v>
          </cell>
          <cell r="G9">
            <v>8.7451102508132657</v>
          </cell>
          <cell r="H9">
            <v>8.2886351339150259</v>
          </cell>
          <cell r="I9">
            <v>8.4199669592883435</v>
          </cell>
          <cell r="J9">
            <v>8.506615850394887</v>
          </cell>
          <cell r="K9">
            <v>8.6193037506000252</v>
          </cell>
          <cell r="L9">
            <v>8.8108511604332023</v>
          </cell>
          <cell r="M9">
            <v>8.7502654690645034</v>
          </cell>
          <cell r="N9">
            <v>8.7927039146610984</v>
          </cell>
          <cell r="O9">
            <v>8.7783143932072392</v>
          </cell>
          <cell r="P9">
            <v>8.7499587189380872</v>
          </cell>
          <cell r="Q9">
            <v>9.0293913765965179</v>
          </cell>
          <cell r="R9">
            <v>9.1679187980729644</v>
          </cell>
          <cell r="S9">
            <v>9.1105311289944471</v>
          </cell>
          <cell r="T9">
            <v>9.1105311289944471</v>
          </cell>
          <cell r="U9">
            <v>9.1105311289944471</v>
          </cell>
          <cell r="V9">
            <v>9.1105311289944471</v>
          </cell>
          <cell r="W9">
            <v>9.1105311289944471</v>
          </cell>
          <cell r="X9">
            <v>9.1105311289944471</v>
          </cell>
          <cell r="Y9">
            <v>9.1105311289944471</v>
          </cell>
          <cell r="Z9">
            <v>9.1105311289944471</v>
          </cell>
          <cell r="AA9">
            <v>9.1105311289944471</v>
          </cell>
          <cell r="AB9">
            <v>9.1105311289944471</v>
          </cell>
          <cell r="AC9">
            <v>9.1105311289944471</v>
          </cell>
          <cell r="AD9">
            <v>9.1105311289944471</v>
          </cell>
          <cell r="AE9">
            <v>9.1105311289944471</v>
          </cell>
          <cell r="AF9">
            <v>9.1105311289944471</v>
          </cell>
        </row>
        <row r="10">
          <cell r="A10" t="str">
            <v>Connecticut</v>
          </cell>
          <cell r="B10">
            <v>7.7857374370006296</v>
          </cell>
          <cell r="C10">
            <v>7.8471637554196052</v>
          </cell>
          <cell r="D10">
            <v>7.8631980051099974</v>
          </cell>
          <cell r="E10">
            <v>7.6647597843639819</v>
          </cell>
          <cell r="F10">
            <v>7.6869512852107924</v>
          </cell>
          <cell r="G10">
            <v>7.7798641765471093</v>
          </cell>
          <cell r="H10">
            <v>7.6154161783272967</v>
          </cell>
          <cell r="I10">
            <v>7.6953573330089871</v>
          </cell>
          <cell r="J10">
            <v>7.8552396423722826</v>
          </cell>
          <cell r="K10">
            <v>7.92663556722467</v>
          </cell>
          <cell r="L10">
            <v>7.8898806868791667</v>
          </cell>
          <cell r="M10">
            <v>7.9892949258373358</v>
          </cell>
          <cell r="N10">
            <v>8.0816270480445276</v>
          </cell>
          <cell r="O10">
            <v>8.1170556851963145</v>
          </cell>
          <cell r="P10">
            <v>8.3154551844550131</v>
          </cell>
          <cell r="Q10">
            <v>8.2195255983467259</v>
          </cell>
          <cell r="R10">
            <v>8.2472948385506548</v>
          </cell>
          <cell r="S10">
            <v>8.2220501051062147</v>
          </cell>
          <cell r="T10">
            <v>8.2220501051062147</v>
          </cell>
          <cell r="U10">
            <v>8.2220501051062147</v>
          </cell>
          <cell r="V10">
            <v>8.2220501051062147</v>
          </cell>
          <cell r="W10">
            <v>8.2220501051062147</v>
          </cell>
          <cell r="X10">
            <v>8.2220501051062147</v>
          </cell>
          <cell r="Y10">
            <v>8.2220501051062147</v>
          </cell>
          <cell r="Z10">
            <v>8.2220501051062147</v>
          </cell>
          <cell r="AA10">
            <v>8.2220501051062147</v>
          </cell>
          <cell r="AB10">
            <v>8.2220501051062147</v>
          </cell>
          <cell r="AC10">
            <v>8.2220501051062147</v>
          </cell>
          <cell r="AD10">
            <v>8.2220501051062147</v>
          </cell>
          <cell r="AE10">
            <v>8.2220501051062147</v>
          </cell>
          <cell r="AF10">
            <v>8.2220501051062147</v>
          </cell>
        </row>
        <row r="11">
          <cell r="A11" t="str">
            <v>Delaware</v>
          </cell>
          <cell r="B11">
            <v>7.2943251244232785</v>
          </cell>
          <cell r="C11">
            <v>7.4118368948606159</v>
          </cell>
          <cell r="D11">
            <v>7.4790845740728136</v>
          </cell>
          <cell r="E11">
            <v>7.3515311482297436</v>
          </cell>
          <cell r="F11">
            <v>7.2529222540060543</v>
          </cell>
          <cell r="G11">
            <v>7.3022267011178963</v>
          </cell>
          <cell r="H11">
            <v>7.0877220890936821</v>
          </cell>
          <cell r="I11">
            <v>7.17573966050292</v>
          </cell>
          <cell r="J11">
            <v>7.1246948355420283</v>
          </cell>
          <cell r="K11">
            <v>7.1037927215345649</v>
          </cell>
          <cell r="L11">
            <v>7.1631428562912438</v>
          </cell>
          <cell r="M11">
            <v>7.6119728895961902</v>
          </cell>
          <cell r="N11">
            <v>7.6119728895961902</v>
          </cell>
          <cell r="O11">
            <v>7.4289750535483732</v>
          </cell>
          <cell r="P11">
            <v>7.7470084387183391</v>
          </cell>
          <cell r="Q11">
            <v>7.8507160451893485</v>
          </cell>
          <cell r="R11">
            <v>7.5206114744884189</v>
          </cell>
          <cell r="S11">
            <v>7.6002168079532444</v>
          </cell>
          <cell r="T11">
            <v>7.6002168079532444</v>
          </cell>
          <cell r="U11">
            <v>7.6002168079532444</v>
          </cell>
          <cell r="V11">
            <v>7.6002168079532444</v>
          </cell>
          <cell r="W11">
            <v>7.6002168079532444</v>
          </cell>
          <cell r="X11">
            <v>7.6002168079532444</v>
          </cell>
          <cell r="Y11">
            <v>7.6002168079532444</v>
          </cell>
          <cell r="Z11">
            <v>7.6002168079532444</v>
          </cell>
          <cell r="AA11">
            <v>7.6002168079532444</v>
          </cell>
          <cell r="AB11">
            <v>7.6002168079532444</v>
          </cell>
          <cell r="AC11">
            <v>7.6002168079532444</v>
          </cell>
          <cell r="AD11">
            <v>7.6002168079532444</v>
          </cell>
          <cell r="AE11">
            <v>7.6002168079532444</v>
          </cell>
          <cell r="AF11">
            <v>7.6002168079532444</v>
          </cell>
        </row>
        <row r="12">
          <cell r="A12" t="str">
            <v>Florida</v>
          </cell>
          <cell r="B12">
            <v>8.338112942522832</v>
          </cell>
          <cell r="C12">
            <v>8.3102285015626602</v>
          </cell>
          <cell r="D12">
            <v>8.3981442730891516</v>
          </cell>
          <cell r="E12">
            <v>8.1274277751209638</v>
          </cell>
          <cell r="F12">
            <v>8.270578557780059</v>
          </cell>
          <cell r="G12">
            <v>8.2152455258143657</v>
          </cell>
          <cell r="H12">
            <v>8.0971081442102744</v>
          </cell>
          <cell r="I12">
            <v>8.1188594255425279</v>
          </cell>
          <cell r="J12">
            <v>7.8938322444915849</v>
          </cell>
          <cell r="K12">
            <v>8.0417260883347623</v>
          </cell>
          <cell r="L12">
            <v>8.1740050897527787</v>
          </cell>
          <cell r="M12">
            <v>8.1798540310837371</v>
          </cell>
          <cell r="N12">
            <v>8.0836256608737518</v>
          </cell>
          <cell r="O12">
            <v>8.0400173535406569</v>
          </cell>
          <cell r="P12">
            <v>8.3269585793973082</v>
          </cell>
          <cell r="Q12">
            <v>8.3956399220884546</v>
          </cell>
          <cell r="R12">
            <v>8.3582701892979863</v>
          </cell>
          <cell r="S12">
            <v>8.4036194941778621</v>
          </cell>
          <cell r="T12">
            <v>8.4036194941778621</v>
          </cell>
          <cell r="U12">
            <v>8.4036194941778621</v>
          </cell>
          <cell r="V12">
            <v>8.4036194941778621</v>
          </cell>
          <cell r="W12">
            <v>8.4036194941778621</v>
          </cell>
          <cell r="X12">
            <v>8.4036194941778621</v>
          </cell>
          <cell r="Y12">
            <v>8.4036194941778621</v>
          </cell>
          <cell r="Z12">
            <v>8.4036194941778621</v>
          </cell>
          <cell r="AA12">
            <v>8.4036194941778621</v>
          </cell>
          <cell r="AB12">
            <v>8.4036194941778621</v>
          </cell>
          <cell r="AC12">
            <v>8.4036194941778621</v>
          </cell>
          <cell r="AD12">
            <v>8.4036194941778621</v>
          </cell>
          <cell r="AE12">
            <v>8.4036194941778621</v>
          </cell>
          <cell r="AF12">
            <v>8.4036194941778621</v>
          </cell>
        </row>
        <row r="13">
          <cell r="A13" t="str">
            <v>Georgia</v>
          </cell>
          <cell r="B13">
            <v>8.042436697838605</v>
          </cell>
          <cell r="C13">
            <v>8.1959108799094249</v>
          </cell>
          <cell r="D13">
            <v>8.5748577556578134</v>
          </cell>
          <cell r="E13">
            <v>8.3497597554166934</v>
          </cell>
          <cell r="F13">
            <v>8.4678112461956339</v>
          </cell>
          <cell r="G13">
            <v>8.444360025685361</v>
          </cell>
          <cell r="H13">
            <v>8.0786039099195488</v>
          </cell>
          <cell r="I13">
            <v>8.0839445570375386</v>
          </cell>
          <cell r="J13">
            <v>8.1128016635560787</v>
          </cell>
          <cell r="K13">
            <v>8.280749821388028</v>
          </cell>
          <cell r="L13">
            <v>8.328433809752589</v>
          </cell>
          <cell r="M13">
            <v>8.4141730286436527</v>
          </cell>
          <cell r="N13">
            <v>8.5777019254971094</v>
          </cell>
          <cell r="O13">
            <v>8.4984710182765006</v>
          </cell>
          <cell r="P13">
            <v>8.4645147089515032</v>
          </cell>
          <cell r="Q13">
            <v>8.5686728465946569</v>
          </cell>
          <cell r="R13">
            <v>8.8210936712594599</v>
          </cell>
          <cell r="S13">
            <v>8.8042741335998276</v>
          </cell>
          <cell r="T13">
            <v>8.8042741335998276</v>
          </cell>
          <cell r="U13">
            <v>8.8042741335998276</v>
          </cell>
          <cell r="V13">
            <v>8.8042741335998276</v>
          </cell>
          <cell r="W13">
            <v>8.8042741335998276</v>
          </cell>
          <cell r="X13">
            <v>8.8042741335998276</v>
          </cell>
          <cell r="Y13">
            <v>8.8042741335998276</v>
          </cell>
          <cell r="Z13">
            <v>8.8042741335998276</v>
          </cell>
          <cell r="AA13">
            <v>8.8042741335998276</v>
          </cell>
          <cell r="AB13">
            <v>8.8042741335998276</v>
          </cell>
          <cell r="AC13">
            <v>8.8042741335998276</v>
          </cell>
          <cell r="AD13">
            <v>8.8042741335998276</v>
          </cell>
          <cell r="AE13">
            <v>8.8042741335998276</v>
          </cell>
          <cell r="AF13">
            <v>8.8042741335998276</v>
          </cell>
        </row>
        <row r="14">
          <cell r="A14" t="str">
            <v>Hawaii</v>
          </cell>
          <cell r="B14">
            <v>8.0096850666017954</v>
          </cell>
          <cell r="C14">
            <v>7.8568647630353601</v>
          </cell>
          <cell r="D14">
            <v>7.8920724101324886</v>
          </cell>
          <cell r="E14">
            <v>7.796792433108183</v>
          </cell>
          <cell r="F14">
            <v>7.7865798738462075</v>
          </cell>
          <cell r="G14">
            <v>7.9702766530038565</v>
          </cell>
          <cell r="H14">
            <v>7.9363311367225862</v>
          </cell>
          <cell r="I14">
            <v>7.8793983385904971</v>
          </cell>
          <cell r="J14">
            <v>8.1484610043965606</v>
          </cell>
          <cell r="K14">
            <v>7.999637338277612</v>
          </cell>
          <cell r="L14">
            <v>8.1007526774322738</v>
          </cell>
          <cell r="M14">
            <v>8.035998666509597</v>
          </cell>
          <cell r="N14">
            <v>8.1910795771800995</v>
          </cell>
          <cell r="O14">
            <v>8.0416425308821378</v>
          </cell>
          <cell r="P14">
            <v>7.7782958016196346</v>
          </cell>
          <cell r="Q14">
            <v>7.6935975829574081</v>
          </cell>
          <cell r="R14">
            <v>7.7945549767159328</v>
          </cell>
          <cell r="S14">
            <v>7.5154397765003873</v>
          </cell>
          <cell r="T14">
            <v>7.5154397765003873</v>
          </cell>
          <cell r="U14">
            <v>7.5154397765003873</v>
          </cell>
          <cell r="V14">
            <v>7.5154397765003873</v>
          </cell>
          <cell r="W14">
            <v>7.5154397765003873</v>
          </cell>
          <cell r="X14">
            <v>7.5154397765003873</v>
          </cell>
          <cell r="Y14">
            <v>7.5154397765003873</v>
          </cell>
          <cell r="Z14">
            <v>7.5154397765003873</v>
          </cell>
          <cell r="AA14">
            <v>7.5154397765003873</v>
          </cell>
          <cell r="AB14">
            <v>7.5154397765003873</v>
          </cell>
          <cell r="AC14">
            <v>7.5154397765003873</v>
          </cell>
          <cell r="AD14">
            <v>7.5154397765003873</v>
          </cell>
          <cell r="AE14">
            <v>7.5154397765003873</v>
          </cell>
          <cell r="AF14">
            <v>7.5154397765003873</v>
          </cell>
        </row>
        <row r="15">
          <cell r="A15" t="str">
            <v>Idaho</v>
          </cell>
          <cell r="B15">
            <v>8.8103202489615828</v>
          </cell>
          <cell r="C15">
            <v>8.7891327205264229</v>
          </cell>
          <cell r="D15">
            <v>8.9978936316809719</v>
          </cell>
          <cell r="E15">
            <v>8.920571076989809</v>
          </cell>
          <cell r="F15">
            <v>9.1874275429470611</v>
          </cell>
          <cell r="G15">
            <v>9.2147041301648986</v>
          </cell>
          <cell r="H15">
            <v>9.2495064112712946</v>
          </cell>
          <cell r="I15">
            <v>9.4134418481890858</v>
          </cell>
          <cell r="J15">
            <v>9.5926262997207896</v>
          </cell>
          <cell r="K15">
            <v>9.7437631758400052</v>
          </cell>
          <cell r="L15">
            <v>9.8876932182178976</v>
          </cell>
          <cell r="M15">
            <v>9.9786929193496583</v>
          </cell>
          <cell r="N15">
            <v>9.9302822720803174</v>
          </cell>
          <cell r="O15">
            <v>10.122822310285747</v>
          </cell>
          <cell r="P15">
            <v>10.047964626508634</v>
          </cell>
          <cell r="Q15">
            <v>10.291773280255155</v>
          </cell>
          <cell r="R15">
            <v>10.295747217090222</v>
          </cell>
          <cell r="S15">
            <v>10.34151994622697</v>
          </cell>
          <cell r="T15">
            <v>10.34151994622697</v>
          </cell>
          <cell r="U15">
            <v>10.34151994622697</v>
          </cell>
          <cell r="V15">
            <v>10.34151994622697</v>
          </cell>
          <cell r="W15">
            <v>10.34151994622697</v>
          </cell>
          <cell r="X15">
            <v>10.34151994622697</v>
          </cell>
          <cell r="Y15">
            <v>10.34151994622697</v>
          </cell>
          <cell r="Z15">
            <v>10.34151994622697</v>
          </cell>
          <cell r="AA15">
            <v>10.34151994622697</v>
          </cell>
          <cell r="AB15">
            <v>10.34151994622697</v>
          </cell>
          <cell r="AC15">
            <v>10.34151994622697</v>
          </cell>
          <cell r="AD15">
            <v>10.34151994622697</v>
          </cell>
          <cell r="AE15">
            <v>10.34151994622697</v>
          </cell>
          <cell r="AF15">
            <v>10.34151994622697</v>
          </cell>
        </row>
        <row r="16">
          <cell r="A16" t="str">
            <v>Illinois</v>
          </cell>
          <cell r="B16">
            <v>8.3173327660421847</v>
          </cell>
          <cell r="C16">
            <v>8.3811257434766908</v>
          </cell>
          <cell r="D16">
            <v>8.3825632660352944</v>
          </cell>
          <cell r="E16">
            <v>7.8766231084517653</v>
          </cell>
          <cell r="F16">
            <v>7.9256980201691372</v>
          </cell>
          <cell r="G16">
            <v>8.0210009415258501</v>
          </cell>
          <cell r="H16">
            <v>7.4755190740967876</v>
          </cell>
          <cell r="I16">
            <v>7.5987667972818702</v>
          </cell>
          <cell r="J16">
            <v>7.6003022186663536</v>
          </cell>
          <cell r="K16">
            <v>7.5824649327195335</v>
          </cell>
          <cell r="L16">
            <v>7.8112721242500394</v>
          </cell>
          <cell r="M16">
            <v>7.7911513858344534</v>
          </cell>
          <cell r="N16">
            <v>7.8921142803898929</v>
          </cell>
          <cell r="O16">
            <v>8.0376053975470168</v>
          </cell>
          <cell r="P16">
            <v>8.0482871854465223</v>
          </cell>
          <cell r="Q16">
            <v>8.1300531358149488</v>
          </cell>
          <cell r="R16">
            <v>8.2320990120258841</v>
          </cell>
          <cell r="S16">
            <v>8.0784255524439157</v>
          </cell>
          <cell r="T16">
            <v>8.0784255524439157</v>
          </cell>
          <cell r="U16">
            <v>8.0784255524439157</v>
          </cell>
          <cell r="V16">
            <v>8.0784255524439157</v>
          </cell>
          <cell r="W16">
            <v>8.0784255524439157</v>
          </cell>
          <cell r="X16">
            <v>8.0784255524439157</v>
          </cell>
          <cell r="Y16">
            <v>8.0784255524439157</v>
          </cell>
          <cell r="Z16">
            <v>8.0784255524439157</v>
          </cell>
          <cell r="AA16">
            <v>8.0784255524439157</v>
          </cell>
          <cell r="AB16">
            <v>8.0784255524439157</v>
          </cell>
          <cell r="AC16">
            <v>8.0784255524439157</v>
          </cell>
          <cell r="AD16">
            <v>8.0784255524439157</v>
          </cell>
          <cell r="AE16">
            <v>8.0784255524439157</v>
          </cell>
          <cell r="AF16">
            <v>8.0784255524439157</v>
          </cell>
        </row>
        <row r="17">
          <cell r="A17" t="str">
            <v>Indiana</v>
          </cell>
          <cell r="B17">
            <v>8.28466526015802</v>
          </cell>
          <cell r="C17">
            <v>8.5215285717742013</v>
          </cell>
          <cell r="D17">
            <v>8.6488616003768488</v>
          </cell>
          <cell r="E17">
            <v>7.9621022533884407</v>
          </cell>
          <cell r="F17">
            <v>7.9377340114208126</v>
          </cell>
          <cell r="G17">
            <v>7.8884525830696024</v>
          </cell>
          <cell r="H17">
            <v>7.3367640961539848</v>
          </cell>
          <cell r="I17">
            <v>7.4582762418263497</v>
          </cell>
          <cell r="J17">
            <v>7.4882157892973327</v>
          </cell>
          <cell r="K17">
            <v>7.4793985609899192</v>
          </cell>
          <cell r="L17">
            <v>7.5998658181596994</v>
          </cell>
          <cell r="M17">
            <v>7.6386197183897657</v>
          </cell>
          <cell r="N17">
            <v>7.8364434763980828</v>
          </cell>
          <cell r="O17">
            <v>8.3453927270232402</v>
          </cell>
          <cell r="P17">
            <v>8.4225022906685112</v>
          </cell>
          <cell r="Q17">
            <v>8.4821017016717537</v>
          </cell>
          <cell r="R17">
            <v>8.3779546873398356</v>
          </cell>
          <cell r="S17">
            <v>8.4850652821415888</v>
          </cell>
          <cell r="T17">
            <v>8.4850652821415888</v>
          </cell>
          <cell r="U17">
            <v>8.4850652821415888</v>
          </cell>
          <cell r="V17">
            <v>8.4850652821415888</v>
          </cell>
          <cell r="W17">
            <v>8.4850652821415888</v>
          </cell>
          <cell r="X17">
            <v>8.4850652821415888</v>
          </cell>
          <cell r="Y17">
            <v>8.4850652821415888</v>
          </cell>
          <cell r="Z17">
            <v>8.4850652821415888</v>
          </cell>
          <cell r="AA17">
            <v>8.4850652821415888</v>
          </cell>
          <cell r="AB17">
            <v>8.4850652821415888</v>
          </cell>
          <cell r="AC17">
            <v>8.4850652821415888</v>
          </cell>
          <cell r="AD17">
            <v>8.4850652821415888</v>
          </cell>
          <cell r="AE17">
            <v>8.4850652821415888</v>
          </cell>
          <cell r="AF17">
            <v>8.4850652821415888</v>
          </cell>
        </row>
        <row r="18">
          <cell r="A18" t="str">
            <v>Iowa</v>
          </cell>
          <cell r="B18">
            <v>8.4319270136580684</v>
          </cell>
          <cell r="C18">
            <v>8.4254266920559697</v>
          </cell>
          <cell r="D18">
            <v>8.3844965396167908</v>
          </cell>
          <cell r="E18">
            <v>7.8835534895201489</v>
          </cell>
          <cell r="F18">
            <v>7.9283946300372437</v>
          </cell>
          <cell r="G18">
            <v>8.0820703970029459</v>
          </cell>
          <cell r="H18">
            <v>7.3918795420737533</v>
          </cell>
          <cell r="I18">
            <v>7.4770832324212195</v>
          </cell>
          <cell r="J18">
            <v>7.7433219589878828</v>
          </cell>
          <cell r="K18">
            <v>7.8282366091835307</v>
          </cell>
          <cell r="L18">
            <v>8.0145642546103275</v>
          </cell>
          <cell r="M18">
            <v>7.9374474714606569</v>
          </cell>
          <cell r="N18">
            <v>7.9799316956708655</v>
          </cell>
          <cell r="O18">
            <v>8.1608227130398259</v>
          </cell>
          <cell r="P18">
            <v>8.4002010886660887</v>
          </cell>
          <cell r="Q18">
            <v>8.5651173747774791</v>
          </cell>
          <cell r="R18">
            <v>8.4418011507471853</v>
          </cell>
          <cell r="S18">
            <v>8.4316513303872398</v>
          </cell>
          <cell r="T18">
            <v>8.4316513303872398</v>
          </cell>
          <cell r="U18">
            <v>8.4316513303872398</v>
          </cell>
          <cell r="V18">
            <v>8.4316513303872398</v>
          </cell>
          <cell r="W18">
            <v>8.4316513303872398</v>
          </cell>
          <cell r="X18">
            <v>8.4316513303872398</v>
          </cell>
          <cell r="Y18">
            <v>8.4316513303872398</v>
          </cell>
          <cell r="Z18">
            <v>8.4316513303872398</v>
          </cell>
          <cell r="AA18">
            <v>8.4316513303872398</v>
          </cell>
          <cell r="AB18">
            <v>8.4316513303872398</v>
          </cell>
          <cell r="AC18">
            <v>8.4316513303872398</v>
          </cell>
          <cell r="AD18">
            <v>8.4316513303872398</v>
          </cell>
          <cell r="AE18">
            <v>8.4316513303872398</v>
          </cell>
          <cell r="AF18">
            <v>8.4316513303872398</v>
          </cell>
        </row>
        <row r="19">
          <cell r="A19" t="str">
            <v>Kansas</v>
          </cell>
          <cell r="B19">
            <v>7.7230757040662033</v>
          </cell>
          <cell r="C19">
            <v>7.7522578005251894</v>
          </cell>
          <cell r="D19">
            <v>8.0387579890502483</v>
          </cell>
          <cell r="E19">
            <v>7.3603297217776715</v>
          </cell>
          <cell r="F19">
            <v>7.6422162770629507</v>
          </cell>
          <cell r="G19">
            <v>7.6337235057542188</v>
          </cell>
          <cell r="H19">
            <v>7.1359640599581375</v>
          </cell>
          <cell r="I19">
            <v>7.4309594413513853</v>
          </cell>
          <cell r="J19">
            <v>7.4723018734243167</v>
          </cell>
          <cell r="K19">
            <v>7.5443985118007877</v>
          </cell>
          <cell r="L19">
            <v>7.6849034357263148</v>
          </cell>
          <cell r="M19">
            <v>7.7666975865395598</v>
          </cell>
          <cell r="N19">
            <v>8.1648368625701817</v>
          </cell>
          <cell r="O19">
            <v>8.2169329248924665</v>
          </cell>
          <cell r="P19">
            <v>8.3180017451451587</v>
          </cell>
          <cell r="Q19">
            <v>8.5323766439623672</v>
          </cell>
          <cell r="R19">
            <v>8.6362189130705893</v>
          </cell>
          <cell r="S19">
            <v>8.3475780710612533</v>
          </cell>
          <cell r="T19">
            <v>8.3475780710612533</v>
          </cell>
          <cell r="U19">
            <v>8.3475780710612533</v>
          </cell>
          <cell r="V19">
            <v>8.3475780710612533</v>
          </cell>
          <cell r="W19">
            <v>8.3475780710612533</v>
          </cell>
          <cell r="X19">
            <v>8.3475780710612533</v>
          </cell>
          <cell r="Y19">
            <v>8.3475780710612533</v>
          </cell>
          <cell r="Z19">
            <v>8.3475780710612533</v>
          </cell>
          <cell r="AA19">
            <v>8.3475780710612533</v>
          </cell>
          <cell r="AB19">
            <v>8.3475780710612533</v>
          </cell>
          <cell r="AC19">
            <v>8.3475780710612533</v>
          </cell>
          <cell r="AD19">
            <v>8.3475780710612533</v>
          </cell>
          <cell r="AE19">
            <v>8.3475780710612533</v>
          </cell>
          <cell r="AF19">
            <v>8.3475780710612533</v>
          </cell>
        </row>
        <row r="20">
          <cell r="A20" t="str">
            <v>Kentucky</v>
          </cell>
          <cell r="B20">
            <v>7.4773937851894869</v>
          </cell>
          <cell r="C20">
            <v>7.5566323597366365</v>
          </cell>
          <cell r="D20">
            <v>7.6832316690549876</v>
          </cell>
          <cell r="E20">
            <v>7.4481991827074623</v>
          </cell>
          <cell r="F20">
            <v>7.4758426683814427</v>
          </cell>
          <cell r="G20">
            <v>7.61632867579221</v>
          </cell>
          <cell r="H20">
            <v>7.2593811954963892</v>
          </cell>
          <cell r="I20">
            <v>7.2870061781292073</v>
          </cell>
          <cell r="J20">
            <v>7.2742551034349141</v>
          </cell>
          <cell r="K20">
            <v>7.3258653588623623</v>
          </cell>
          <cell r="L20">
            <v>7.4365659516315681</v>
          </cell>
          <cell r="M20">
            <v>7.4573266957481064</v>
          </cell>
          <cell r="N20">
            <v>7.5248693885097575</v>
          </cell>
          <cell r="O20">
            <v>7.3694034324093165</v>
          </cell>
          <cell r="P20">
            <v>7.4465829652402169</v>
          </cell>
          <cell r="Q20">
            <v>7.4385413177822146</v>
          </cell>
          <cell r="R20">
            <v>7.5420711227701487</v>
          </cell>
          <cell r="S20">
            <v>7.6956650734238199</v>
          </cell>
          <cell r="T20">
            <v>7.6956650734238199</v>
          </cell>
          <cell r="U20">
            <v>7.6956650734238199</v>
          </cell>
          <cell r="V20">
            <v>7.6956650734238199</v>
          </cell>
          <cell r="W20">
            <v>7.6956650734238199</v>
          </cell>
          <cell r="X20">
            <v>7.6956650734238199</v>
          </cell>
          <cell r="Y20">
            <v>7.6956650734238199</v>
          </cell>
          <cell r="Z20">
            <v>7.6956650734238199</v>
          </cell>
          <cell r="AA20">
            <v>7.6956650734238199</v>
          </cell>
          <cell r="AB20">
            <v>7.6956650734238199</v>
          </cell>
          <cell r="AC20">
            <v>7.6956650734238199</v>
          </cell>
          <cell r="AD20">
            <v>7.6956650734238199</v>
          </cell>
          <cell r="AE20">
            <v>7.6956650734238199</v>
          </cell>
          <cell r="AF20">
            <v>7.6956650734238199</v>
          </cell>
        </row>
        <row r="21">
          <cell r="A21" t="str">
            <v>Louisiana</v>
          </cell>
          <cell r="B21">
            <v>8.2162767170974433</v>
          </cell>
          <cell r="C21">
            <v>8.2377654463059855</v>
          </cell>
          <cell r="D21">
            <v>8.3374457656939267</v>
          </cell>
          <cell r="E21">
            <v>7.5341171395089486</v>
          </cell>
          <cell r="F21">
            <v>7.4988201329014021</v>
          </cell>
          <cell r="G21">
            <v>7.5543197707317011</v>
          </cell>
          <cell r="H21">
            <v>6.9246190117814788</v>
          </cell>
          <cell r="I21">
            <v>6.8955750498447328</v>
          </cell>
          <cell r="J21">
            <v>6.8677868693587403</v>
          </cell>
          <cell r="K21">
            <v>6.8006659333404915</v>
          </cell>
          <cell r="L21">
            <v>6.896634185170087</v>
          </cell>
          <cell r="M21">
            <v>6.8007356224856803</v>
          </cell>
          <cell r="N21">
            <v>6.8916489744525027</v>
          </cell>
          <cell r="O21">
            <v>6.8934904577381708</v>
          </cell>
          <cell r="P21">
            <v>7.0291766373133147</v>
          </cell>
          <cell r="Q21">
            <v>6.9771660319366857</v>
          </cell>
          <cell r="R21">
            <v>6.9708316966008725</v>
          </cell>
          <cell r="S21">
            <v>6.884549943411816</v>
          </cell>
          <cell r="T21">
            <v>6.884549943411816</v>
          </cell>
          <cell r="U21">
            <v>6.884549943411816</v>
          </cell>
          <cell r="V21">
            <v>6.884549943411816</v>
          </cell>
          <cell r="W21">
            <v>6.884549943411816</v>
          </cell>
          <cell r="X21">
            <v>6.884549943411816</v>
          </cell>
          <cell r="Y21">
            <v>6.884549943411816</v>
          </cell>
          <cell r="Z21">
            <v>6.884549943411816</v>
          </cell>
          <cell r="AA21">
            <v>6.884549943411816</v>
          </cell>
          <cell r="AB21">
            <v>6.884549943411816</v>
          </cell>
          <cell r="AC21">
            <v>6.884549943411816</v>
          </cell>
          <cell r="AD21">
            <v>6.884549943411816</v>
          </cell>
          <cell r="AE21">
            <v>6.884549943411816</v>
          </cell>
          <cell r="AF21">
            <v>6.884549943411816</v>
          </cell>
        </row>
        <row r="22">
          <cell r="A22" t="str">
            <v>Maine</v>
          </cell>
          <cell r="B22">
            <v>7.5356438126267005</v>
          </cell>
          <cell r="C22">
            <v>7.5778743624091058</v>
          </cell>
          <cell r="D22">
            <v>7.7990338218750219</v>
          </cell>
          <cell r="E22">
            <v>7.6191842046069906</v>
          </cell>
          <cell r="F22">
            <v>7.6658475996654349</v>
          </cell>
          <cell r="G22">
            <v>7.6781735397011799</v>
          </cell>
          <cell r="H22">
            <v>7.4167329853242299</v>
          </cell>
          <cell r="I22">
            <v>7.4986239079663868</v>
          </cell>
          <cell r="J22">
            <v>7.6039123802850872</v>
          </cell>
          <cell r="K22">
            <v>7.560599462922835</v>
          </cell>
          <cell r="L22">
            <v>7.7340980695651096</v>
          </cell>
          <cell r="M22">
            <v>7.7424031770162589</v>
          </cell>
          <cell r="N22">
            <v>7.8669203378160661</v>
          </cell>
          <cell r="O22">
            <v>7.890624971769471</v>
          </cell>
          <cell r="P22">
            <v>7.9317375083228328</v>
          </cell>
          <cell r="Q22">
            <v>7.9390049467757935</v>
          </cell>
          <cell r="R22">
            <v>7.9167485209356219</v>
          </cell>
          <cell r="S22">
            <v>7.8808657733025393</v>
          </cell>
          <cell r="T22">
            <v>7.8808657733025393</v>
          </cell>
          <cell r="U22">
            <v>7.8808657733025393</v>
          </cell>
          <cell r="V22">
            <v>7.8808657733025393</v>
          </cell>
          <cell r="W22">
            <v>7.8808657733025393</v>
          </cell>
          <cell r="X22">
            <v>7.8808657733025393</v>
          </cell>
          <cell r="Y22">
            <v>7.8808657733025393</v>
          </cell>
          <cell r="Z22">
            <v>7.8808657733025393</v>
          </cell>
          <cell r="AA22">
            <v>7.8808657733025393</v>
          </cell>
          <cell r="AB22">
            <v>7.8808657733025393</v>
          </cell>
          <cell r="AC22">
            <v>7.8808657733025393</v>
          </cell>
          <cell r="AD22">
            <v>7.8808657733025393</v>
          </cell>
          <cell r="AE22">
            <v>7.8808657733025393</v>
          </cell>
          <cell r="AF22">
            <v>7.8808657733025393</v>
          </cell>
        </row>
        <row r="23">
          <cell r="A23" t="str">
            <v>Maryland</v>
          </cell>
          <cell r="B23">
            <v>7.242157767018484</v>
          </cell>
          <cell r="C23">
            <v>7.5003078807671857</v>
          </cell>
          <cell r="D23">
            <v>7.6828480888650033</v>
          </cell>
          <cell r="E23">
            <v>7.285707159245872</v>
          </cell>
          <cell r="F23">
            <v>7.3049062234313658</v>
          </cell>
          <cell r="G23">
            <v>7.3577619564294823</v>
          </cell>
          <cell r="H23">
            <v>7.2430004733567683</v>
          </cell>
          <cell r="I23">
            <v>7.3240957837429175</v>
          </cell>
          <cell r="J23">
            <v>7.3631365874162045</v>
          </cell>
          <cell r="K23">
            <v>7.4328527378833824</v>
          </cell>
          <cell r="L23">
            <v>7.4835132898100829</v>
          </cell>
          <cell r="M23">
            <v>7.3994461769982802</v>
          </cell>
          <cell r="N23">
            <v>7.4668944482627468</v>
          </cell>
          <cell r="O23">
            <v>7.3506264599806626</v>
          </cell>
          <cell r="P23">
            <v>7.3807915590152211</v>
          </cell>
          <cell r="Q23">
            <v>7.4487126531869778</v>
          </cell>
          <cell r="R23">
            <v>7.7593643204450569</v>
          </cell>
          <cell r="S23">
            <v>7.9358722861708575</v>
          </cell>
          <cell r="T23">
            <v>7.9358722861708575</v>
          </cell>
          <cell r="U23">
            <v>7.9358722861708575</v>
          </cell>
          <cell r="V23">
            <v>7.9358722861708575</v>
          </cell>
          <cell r="W23">
            <v>7.9358722861708575</v>
          </cell>
          <cell r="X23">
            <v>7.9358722861708575</v>
          </cell>
          <cell r="Y23">
            <v>7.9358722861708575</v>
          </cell>
          <cell r="Z23">
            <v>7.9358722861708575</v>
          </cell>
          <cell r="AA23">
            <v>7.9358722861708575</v>
          </cell>
          <cell r="AB23">
            <v>7.9358722861708575</v>
          </cell>
          <cell r="AC23">
            <v>7.9358722861708575</v>
          </cell>
          <cell r="AD23">
            <v>7.9358722861708575</v>
          </cell>
          <cell r="AE23">
            <v>7.9358722861708575</v>
          </cell>
          <cell r="AF23">
            <v>7.9358722861708575</v>
          </cell>
        </row>
        <row r="24">
          <cell r="A24" t="str">
            <v>Massachusetts</v>
          </cell>
          <cell r="B24">
            <v>7.5994761334597758</v>
          </cell>
          <cell r="C24">
            <v>7.6321709348629776</v>
          </cell>
          <cell r="D24">
            <v>7.7466027397742003</v>
          </cell>
          <cell r="E24">
            <v>7.528868399312481</v>
          </cell>
          <cell r="F24">
            <v>7.5955036986032693</v>
          </cell>
          <cell r="G24">
            <v>7.6720107414255478</v>
          </cell>
          <cell r="H24">
            <v>7.5345868517109231</v>
          </cell>
          <cell r="I24">
            <v>7.6295594308887953</v>
          </cell>
          <cell r="J24">
            <v>7.66645565688078</v>
          </cell>
          <cell r="K24">
            <v>7.6553865885928953</v>
          </cell>
          <cell r="L24">
            <v>7.7251535299307008</v>
          </cell>
          <cell r="M24">
            <v>7.6919140442778486</v>
          </cell>
          <cell r="N24">
            <v>7.7375947518317103</v>
          </cell>
          <cell r="O24">
            <v>7.8055145094016209</v>
          </cell>
          <cell r="P24">
            <v>7.790664862758109</v>
          </cell>
          <cell r="Q24">
            <v>7.706021208589183</v>
          </cell>
          <cell r="R24">
            <v>7.7818476344506911</v>
          </cell>
          <cell r="S24">
            <v>7.6919140442778486</v>
          </cell>
          <cell r="T24">
            <v>7.6919140442778486</v>
          </cell>
          <cell r="U24">
            <v>7.6919140442778486</v>
          </cell>
          <cell r="V24">
            <v>7.6919140442778486</v>
          </cell>
          <cell r="W24">
            <v>7.6919140442778486</v>
          </cell>
          <cell r="X24">
            <v>7.6919140442778486</v>
          </cell>
          <cell r="Y24">
            <v>7.6919140442778486</v>
          </cell>
          <cell r="Z24">
            <v>7.6919140442778486</v>
          </cell>
          <cell r="AA24">
            <v>7.6919140442778486</v>
          </cell>
          <cell r="AB24">
            <v>7.6919140442778486</v>
          </cell>
          <cell r="AC24">
            <v>7.6919140442778486</v>
          </cell>
          <cell r="AD24">
            <v>7.6919140442778486</v>
          </cell>
          <cell r="AE24">
            <v>7.6919140442778486</v>
          </cell>
          <cell r="AF24">
            <v>7.6919140442778486</v>
          </cell>
        </row>
        <row r="25">
          <cell r="A25" t="str">
            <v>Michigan</v>
          </cell>
          <cell r="B25">
            <v>8.5089607394160325</v>
          </cell>
          <cell r="C25">
            <v>8.5913412720527234</v>
          </cell>
          <cell r="D25">
            <v>8.7675065534510939</v>
          </cell>
          <cell r="E25">
            <v>8.1716204064758351</v>
          </cell>
          <cell r="F25">
            <v>8.2843474930387817</v>
          </cell>
          <cell r="G25">
            <v>8.3270452576021814</v>
          </cell>
          <cell r="H25">
            <v>7.6958568879534432</v>
          </cell>
          <cell r="I25">
            <v>7.8663688577437858</v>
          </cell>
          <cell r="J25">
            <v>7.9295396689118531</v>
          </cell>
          <cell r="K25">
            <v>8.0017271962146612</v>
          </cell>
          <cell r="L25">
            <v>8.1869955846688907</v>
          </cell>
          <cell r="M25">
            <v>8.261000019853153</v>
          </cell>
          <cell r="N25">
            <v>8.4910599414751733</v>
          </cell>
          <cell r="O25">
            <v>8.6774139847886893</v>
          </cell>
          <cell r="P25">
            <v>8.6250886952476939</v>
          </cell>
          <cell r="Q25">
            <v>8.8034037466856496</v>
          </cell>
          <cell r="R25">
            <v>8.9472401507424664</v>
          </cell>
          <cell r="S25">
            <v>9.0542548443609387</v>
          </cell>
          <cell r="T25">
            <v>9.0542548443609387</v>
          </cell>
          <cell r="U25">
            <v>9.0542548443609387</v>
          </cell>
          <cell r="V25">
            <v>9.0542548443609387</v>
          </cell>
          <cell r="W25">
            <v>9.0542548443609387</v>
          </cell>
          <cell r="X25">
            <v>9.0542548443609387</v>
          </cell>
          <cell r="Y25">
            <v>9.0542548443609387</v>
          </cell>
          <cell r="Z25">
            <v>9.0542548443609387</v>
          </cell>
          <cell r="AA25">
            <v>9.0542548443609387</v>
          </cell>
          <cell r="AB25">
            <v>9.0542548443609387</v>
          </cell>
          <cell r="AC25">
            <v>9.0542548443609387</v>
          </cell>
          <cell r="AD25">
            <v>9.0542548443609387</v>
          </cell>
          <cell r="AE25">
            <v>9.0542548443609387</v>
          </cell>
          <cell r="AF25">
            <v>9.0542548443609387</v>
          </cell>
        </row>
        <row r="26">
          <cell r="A26" t="str">
            <v>Minnesota</v>
          </cell>
          <cell r="B26">
            <v>8.1555648558475387</v>
          </cell>
          <cell r="C26">
            <v>8.2188989916221225</v>
          </cell>
          <cell r="D26">
            <v>8.4259655687556094</v>
          </cell>
          <cell r="E26">
            <v>7.8598866111990722</v>
          </cell>
          <cell r="F26">
            <v>7.8793734198529233</v>
          </cell>
          <cell r="G26">
            <v>8.0225950481078367</v>
          </cell>
          <cell r="H26">
            <v>7.5096004165755925</v>
          </cell>
          <cell r="I26">
            <v>7.5082050042357338</v>
          </cell>
          <cell r="J26">
            <v>7.6633082936554118</v>
          </cell>
          <cell r="K26">
            <v>7.7970807540216631</v>
          </cell>
          <cell r="L26">
            <v>7.8897309874710819</v>
          </cell>
          <cell r="M26">
            <v>7.7586883340553623</v>
          </cell>
          <cell r="N26">
            <v>7.780062602669183</v>
          </cell>
          <cell r="O26">
            <v>7.8019387652807355</v>
          </cell>
          <cell r="P26">
            <v>7.8115666426151069</v>
          </cell>
          <cell r="Q26">
            <v>7.9534432541974818</v>
          </cell>
          <cell r="R26">
            <v>8.0756317204099997</v>
          </cell>
          <cell r="S26">
            <v>8.1277672124871234</v>
          </cell>
          <cell r="T26">
            <v>8.1277672124871234</v>
          </cell>
          <cell r="U26">
            <v>8.1277672124871234</v>
          </cell>
          <cell r="V26">
            <v>8.1277672124871234</v>
          </cell>
          <cell r="W26">
            <v>8.1277672124871234</v>
          </cell>
          <cell r="X26">
            <v>8.1277672124871234</v>
          </cell>
          <cell r="Y26">
            <v>8.1277672124871234</v>
          </cell>
          <cell r="Z26">
            <v>8.1277672124871234</v>
          </cell>
          <cell r="AA26">
            <v>8.1277672124871234</v>
          </cell>
          <cell r="AB26">
            <v>8.1277672124871234</v>
          </cell>
          <cell r="AC26">
            <v>8.1277672124871234</v>
          </cell>
          <cell r="AD26">
            <v>8.1277672124871234</v>
          </cell>
          <cell r="AE26">
            <v>8.1277672124871234</v>
          </cell>
          <cell r="AF26">
            <v>8.1277672124871234</v>
          </cell>
        </row>
        <row r="27">
          <cell r="A27" t="str">
            <v>Mississippi</v>
          </cell>
          <cell r="B27">
            <v>7.7936159181722431</v>
          </cell>
          <cell r="C27">
            <v>7.7985555564992355</v>
          </cell>
          <cell r="D27">
            <v>7.9384354374011012</v>
          </cell>
          <cell r="E27">
            <v>7.6587890757791026</v>
          </cell>
          <cell r="F27">
            <v>7.7118550266102526</v>
          </cell>
          <cell r="G27">
            <v>7.7345737709561622</v>
          </cell>
          <cell r="H27">
            <v>7.4523796517781546</v>
          </cell>
          <cell r="I27">
            <v>7.6045307110155953</v>
          </cell>
          <cell r="J27">
            <v>7.6812934005283724</v>
          </cell>
          <cell r="K27">
            <v>7.8731272218425961</v>
          </cell>
          <cell r="L27">
            <v>8.0030181260866939</v>
          </cell>
          <cell r="M27">
            <v>7.7762500898474789</v>
          </cell>
          <cell r="N27">
            <v>7.7396819232989698</v>
          </cell>
          <cell r="O27">
            <v>7.6325333408646543</v>
          </cell>
          <cell r="P27">
            <v>7.7340388392107782</v>
          </cell>
          <cell r="Q27">
            <v>8.0559963474012957</v>
          </cell>
          <cell r="R27">
            <v>7.9722079532361185</v>
          </cell>
          <cell r="S27">
            <v>8.0944801886965028</v>
          </cell>
          <cell r="T27">
            <v>8.0944801886965028</v>
          </cell>
          <cell r="U27">
            <v>8.0944801886965028</v>
          </cell>
          <cell r="V27">
            <v>8.0944801886965028</v>
          </cell>
          <cell r="W27">
            <v>8.0944801886965028</v>
          </cell>
          <cell r="X27">
            <v>8.0944801886965028</v>
          </cell>
          <cell r="Y27">
            <v>8.0944801886965028</v>
          </cell>
          <cell r="Z27">
            <v>8.0944801886965028</v>
          </cell>
          <cell r="AA27">
            <v>8.0944801886965028</v>
          </cell>
          <cell r="AB27">
            <v>8.0944801886965028</v>
          </cell>
          <cell r="AC27">
            <v>8.0944801886965028</v>
          </cell>
          <cell r="AD27">
            <v>8.0944801886965028</v>
          </cell>
          <cell r="AE27">
            <v>8.0944801886965028</v>
          </cell>
          <cell r="AF27">
            <v>8.0944801886965028</v>
          </cell>
        </row>
        <row r="28">
          <cell r="A28" t="str">
            <v>Missouri</v>
          </cell>
          <cell r="B28">
            <v>8.0176831313021104</v>
          </cell>
          <cell r="C28">
            <v>7.967049701592452</v>
          </cell>
          <cell r="D28">
            <v>8.1993137180603739</v>
          </cell>
          <cell r="E28">
            <v>7.4263386370572588</v>
          </cell>
          <cell r="F28">
            <v>7.4763163832733674</v>
          </cell>
          <cell r="G28">
            <v>7.573621038285169</v>
          </cell>
          <cell r="H28">
            <v>6.8455211444935999</v>
          </cell>
          <cell r="I28">
            <v>6.8267084733408083</v>
          </cell>
          <cell r="J28">
            <v>6.9655413083418329</v>
          </cell>
          <cell r="K28">
            <v>7.0004723954518999</v>
          </cell>
          <cell r="L28">
            <v>7.1427249263068919</v>
          </cell>
          <cell r="M28">
            <v>6.8384730405511718</v>
          </cell>
          <cell r="N28">
            <v>7.0214585130317637</v>
          </cell>
          <cell r="O28">
            <v>7.1211710165489386</v>
          </cell>
          <cell r="P28">
            <v>7.2456848358441395</v>
          </cell>
          <cell r="Q28">
            <v>7.4582396170810545</v>
          </cell>
          <cell r="R28">
            <v>7.4520905802328317</v>
          </cell>
          <cell r="S28">
            <v>7.2079843096840355</v>
          </cell>
          <cell r="T28">
            <v>7.2079843096840355</v>
          </cell>
          <cell r="U28">
            <v>7.2079843096840355</v>
          </cell>
          <cell r="V28">
            <v>7.2079843096840355</v>
          </cell>
          <cell r="W28">
            <v>7.2079843096840355</v>
          </cell>
          <cell r="X28">
            <v>7.2079843096840355</v>
          </cell>
          <cell r="Y28">
            <v>7.2079843096840355</v>
          </cell>
          <cell r="Z28">
            <v>7.2079843096840355</v>
          </cell>
          <cell r="AA28">
            <v>7.2079843096840355</v>
          </cell>
          <cell r="AB28">
            <v>7.2079843096840355</v>
          </cell>
          <cell r="AC28">
            <v>7.2079843096840355</v>
          </cell>
          <cell r="AD28">
            <v>7.2079843096840355</v>
          </cell>
          <cell r="AE28">
            <v>7.2079843096840355</v>
          </cell>
          <cell r="AF28">
            <v>7.2079843096840355</v>
          </cell>
        </row>
        <row r="29">
          <cell r="A29" t="str">
            <v>Montana</v>
          </cell>
          <cell r="B29">
            <v>7.9924142043593704</v>
          </cell>
          <cell r="C29">
            <v>8.0505068220696856</v>
          </cell>
          <cell r="D29">
            <v>8.180836502427546</v>
          </cell>
          <cell r="E29">
            <v>7.5210202064475427</v>
          </cell>
          <cell r="F29">
            <v>7.6929087222056109</v>
          </cell>
          <cell r="G29">
            <v>7.7914503145426162</v>
          </cell>
          <cell r="H29">
            <v>7.3076425490201338</v>
          </cell>
          <cell r="I29">
            <v>7.3499272854030444</v>
          </cell>
          <cell r="J29">
            <v>7.5034984949428747</v>
          </cell>
          <cell r="K29">
            <v>7.663380804306227</v>
          </cell>
          <cell r="L29">
            <v>7.8926858800288633</v>
          </cell>
          <cell r="M29">
            <v>7.9822266410612226</v>
          </cell>
          <cell r="N29">
            <v>8.158237390895783</v>
          </cell>
          <cell r="O29">
            <v>8.2115317167838864</v>
          </cell>
          <cell r="P29">
            <v>8.2515021270495197</v>
          </cell>
          <cell r="Q29">
            <v>8.3104061709360355</v>
          </cell>
          <cell r="R29">
            <v>8.0832049065380289</v>
          </cell>
          <cell r="S29">
            <v>8.0516490732700987</v>
          </cell>
          <cell r="T29">
            <v>8.0516490732700987</v>
          </cell>
          <cell r="U29">
            <v>8.0516490732700987</v>
          </cell>
          <cell r="V29">
            <v>8.0516490732700987</v>
          </cell>
          <cell r="W29">
            <v>8.0516490732700987</v>
          </cell>
          <cell r="X29">
            <v>8.0516490732700987</v>
          </cell>
          <cell r="Y29">
            <v>8.0516490732700987</v>
          </cell>
          <cell r="Z29">
            <v>8.0516490732700987</v>
          </cell>
          <cell r="AA29">
            <v>8.0516490732700987</v>
          </cell>
          <cell r="AB29">
            <v>8.0516490732700987</v>
          </cell>
          <cell r="AC29">
            <v>8.0516490732700987</v>
          </cell>
          <cell r="AD29">
            <v>8.0516490732700987</v>
          </cell>
          <cell r="AE29">
            <v>8.0516490732700987</v>
          </cell>
          <cell r="AF29">
            <v>8.0516490732700987</v>
          </cell>
        </row>
        <row r="30">
          <cell r="A30" t="str">
            <v>Nebraska</v>
          </cell>
          <cell r="B30">
            <v>8.0828471944418308</v>
          </cell>
          <cell r="C30">
            <v>8.0959709983625281</v>
          </cell>
          <cell r="D30">
            <v>8.1138809753641272</v>
          </cell>
          <cell r="E30">
            <v>7.4602235835914072</v>
          </cell>
          <cell r="F30">
            <v>7.6402783365041556</v>
          </cell>
          <cell r="G30">
            <v>7.7390167143247579</v>
          </cell>
          <cell r="H30">
            <v>7.2758401127093908</v>
          </cell>
          <cell r="I30">
            <v>7.2410827838408469</v>
          </cell>
          <cell r="J30">
            <v>7.2237042864818228</v>
          </cell>
          <cell r="K30">
            <v>7.3176894510370332</v>
          </cell>
          <cell r="L30">
            <v>7.5865953666115331</v>
          </cell>
          <cell r="M30">
            <v>7.4987226141592327</v>
          </cell>
          <cell r="N30">
            <v>7.7921388004571499</v>
          </cell>
          <cell r="O30">
            <v>7.8455507473087263</v>
          </cell>
          <cell r="P30">
            <v>7.7390924142137312</v>
          </cell>
          <cell r="Q30">
            <v>7.9197461847528903</v>
          </cell>
          <cell r="R30">
            <v>8.0103681248826479</v>
          </cell>
          <cell r="S30">
            <v>7.9845800627828778</v>
          </cell>
          <cell r="T30">
            <v>7.9845800627828778</v>
          </cell>
          <cell r="U30">
            <v>7.9845800627828778</v>
          </cell>
          <cell r="V30">
            <v>7.9845800627828778</v>
          </cell>
          <cell r="W30">
            <v>7.9845800627828778</v>
          </cell>
          <cell r="X30">
            <v>7.9845800627828778</v>
          </cell>
          <cell r="Y30">
            <v>7.9845800627828778</v>
          </cell>
          <cell r="Z30">
            <v>7.9845800627828778</v>
          </cell>
          <cell r="AA30">
            <v>7.9845800627828778</v>
          </cell>
          <cell r="AB30">
            <v>7.9845800627828778</v>
          </cell>
          <cell r="AC30">
            <v>7.9845800627828778</v>
          </cell>
          <cell r="AD30">
            <v>7.9845800627828778</v>
          </cell>
          <cell r="AE30">
            <v>7.9845800627828778</v>
          </cell>
          <cell r="AF30">
            <v>7.9845800627828778</v>
          </cell>
        </row>
        <row r="31">
          <cell r="A31" t="str">
            <v>Nevada</v>
          </cell>
          <cell r="B31">
            <v>8.7894458673324163</v>
          </cell>
          <cell r="C31">
            <v>9.0961751064137406</v>
          </cell>
          <cell r="D31">
            <v>9.1380019621137905</v>
          </cell>
          <cell r="E31">
            <v>9.0079177509949684</v>
          </cell>
          <cell r="F31">
            <v>9.1620678849807753</v>
          </cell>
          <cell r="G31">
            <v>9.1048637367120886</v>
          </cell>
          <cell r="H31">
            <v>9.3331243140931424</v>
          </cell>
          <cell r="I31">
            <v>9.2082512271532746</v>
          </cell>
          <cell r="J31">
            <v>9.4728124491702914</v>
          </cell>
          <cell r="K31">
            <v>9.1790435964771149</v>
          </cell>
          <cell r="L31">
            <v>9.3991585239945525</v>
          </cell>
          <cell r="M31">
            <v>9.4850882545838076</v>
          </cell>
          <cell r="N31">
            <v>9.661180503287838</v>
          </cell>
          <cell r="O31">
            <v>9.4850882545838076</v>
          </cell>
          <cell r="P31">
            <v>9.7492262442772688</v>
          </cell>
          <cell r="Q31">
            <v>10.112415932185485</v>
          </cell>
          <cell r="R31">
            <v>9.6909367258616683</v>
          </cell>
          <cell r="S31">
            <v>9.7520796121977149</v>
          </cell>
          <cell r="T31">
            <v>9.7520796121977149</v>
          </cell>
          <cell r="U31">
            <v>9.7520796121977149</v>
          </cell>
          <cell r="V31">
            <v>9.7520796121977149</v>
          </cell>
          <cell r="W31">
            <v>9.7520796121977149</v>
          </cell>
          <cell r="X31">
            <v>9.7520796121977149</v>
          </cell>
          <cell r="Y31">
            <v>9.7520796121977149</v>
          </cell>
          <cell r="Z31">
            <v>9.7520796121977149</v>
          </cell>
          <cell r="AA31">
            <v>9.7520796121977149</v>
          </cell>
          <cell r="AB31">
            <v>9.7520796121977149</v>
          </cell>
          <cell r="AC31">
            <v>9.7520796121977149</v>
          </cell>
          <cell r="AD31">
            <v>9.7520796121977149</v>
          </cell>
          <cell r="AE31">
            <v>9.7520796121977149</v>
          </cell>
          <cell r="AF31">
            <v>9.7520796121977149</v>
          </cell>
        </row>
        <row r="32">
          <cell r="A32" t="str">
            <v>New Hampshire</v>
          </cell>
          <cell r="B32">
            <v>7.6575093353414214</v>
          </cell>
          <cell r="C32">
            <v>7.6683690028773297</v>
          </cell>
          <cell r="D32">
            <v>7.8372919080971624</v>
          </cell>
          <cell r="E32">
            <v>7.5428798176192116</v>
          </cell>
          <cell r="F32">
            <v>7.5857277872376265</v>
          </cell>
          <cell r="G32">
            <v>7.7459674120932949</v>
          </cell>
          <cell r="H32">
            <v>7.5114927106561984</v>
          </cell>
          <cell r="I32">
            <v>7.5594573366351012</v>
          </cell>
          <cell r="J32">
            <v>7.6194132861839705</v>
          </cell>
          <cell r="K32">
            <v>7.6781068152778698</v>
          </cell>
          <cell r="L32">
            <v>7.7832927034039479</v>
          </cell>
          <cell r="M32">
            <v>7.9050903453788024</v>
          </cell>
          <cell r="N32">
            <v>7.9850315000604573</v>
          </cell>
          <cell r="O32">
            <v>8.1865499597550411</v>
          </cell>
          <cell r="P32">
            <v>8.1565719849806158</v>
          </cell>
          <cell r="Q32">
            <v>8.1415829975933764</v>
          </cell>
          <cell r="R32">
            <v>8.2994667530284154</v>
          </cell>
          <cell r="S32">
            <v>8.5826870062022298</v>
          </cell>
          <cell r="T32">
            <v>8.5826870062022298</v>
          </cell>
          <cell r="U32">
            <v>8.5826870062022298</v>
          </cell>
          <cell r="V32">
            <v>8.5826870062022298</v>
          </cell>
          <cell r="W32">
            <v>8.5826870062022298</v>
          </cell>
          <cell r="X32">
            <v>8.5826870062022298</v>
          </cell>
          <cell r="Y32">
            <v>8.5826870062022298</v>
          </cell>
          <cell r="Z32">
            <v>8.5826870062022298</v>
          </cell>
          <cell r="AA32">
            <v>8.5826870062022298</v>
          </cell>
          <cell r="AB32">
            <v>8.5826870062022298</v>
          </cell>
          <cell r="AC32">
            <v>8.5826870062022298</v>
          </cell>
          <cell r="AD32">
            <v>8.5826870062022298</v>
          </cell>
          <cell r="AE32">
            <v>8.5826870062022298</v>
          </cell>
          <cell r="AF32">
            <v>8.5826870062022298</v>
          </cell>
        </row>
        <row r="33">
          <cell r="A33" t="str">
            <v>New Jersey</v>
          </cell>
          <cell r="B33">
            <v>7.2618400318145033</v>
          </cell>
          <cell r="C33">
            <v>7.4193281590167812</v>
          </cell>
          <cell r="D33">
            <v>7.4497341689819363</v>
          </cell>
          <cell r="E33">
            <v>7.3071570771321808</v>
          </cell>
          <cell r="F33">
            <v>7.1173345092218465</v>
          </cell>
          <cell r="G33">
            <v>7.1575287178616627</v>
          </cell>
          <cell r="H33">
            <v>6.8639692574895719</v>
          </cell>
          <cell r="I33">
            <v>7.0409817904168213</v>
          </cell>
          <cell r="J33">
            <v>7.3120603523116472</v>
          </cell>
          <cell r="K33">
            <v>7.5763860674688654</v>
          </cell>
          <cell r="L33">
            <v>7.283660236030693</v>
          </cell>
          <cell r="M33">
            <v>7.6062625923079041</v>
          </cell>
          <cell r="N33">
            <v>7.9686334001643386</v>
          </cell>
          <cell r="O33">
            <v>7.5996741475988472</v>
          </cell>
          <cell r="P33">
            <v>7.611972889596192</v>
          </cell>
          <cell r="Q33">
            <v>7.4520905802328343</v>
          </cell>
          <cell r="R33">
            <v>7.4956945426497139</v>
          </cell>
          <cell r="S33">
            <v>7.6439490841484927</v>
          </cell>
          <cell r="T33">
            <v>7.6439490841484927</v>
          </cell>
          <cell r="U33">
            <v>7.6439490841484927</v>
          </cell>
          <cell r="V33">
            <v>7.6439490841484927</v>
          </cell>
          <cell r="W33">
            <v>7.6439490841484927</v>
          </cell>
          <cell r="X33">
            <v>7.6439490841484927</v>
          </cell>
          <cell r="Y33">
            <v>7.6439490841484927</v>
          </cell>
          <cell r="Z33">
            <v>7.6439490841484927</v>
          </cell>
          <cell r="AA33">
            <v>7.6439490841484927</v>
          </cell>
          <cell r="AB33">
            <v>7.6439490841484927</v>
          </cell>
          <cell r="AC33">
            <v>7.6439490841484927</v>
          </cell>
          <cell r="AD33">
            <v>7.6439490841484927</v>
          </cell>
          <cell r="AE33">
            <v>7.6439490841484927</v>
          </cell>
          <cell r="AF33">
            <v>7.6439490841484927</v>
          </cell>
        </row>
        <row r="34">
          <cell r="A34" t="str">
            <v>New Mexico</v>
          </cell>
          <cell r="B34">
            <v>9.4628047449527042</v>
          </cell>
          <cell r="C34">
            <v>9.6709370313776226</v>
          </cell>
          <cell r="D34">
            <v>9.6777299082463522</v>
          </cell>
          <cell r="E34">
            <v>9.8217748223376358</v>
          </cell>
          <cell r="F34">
            <v>9.7700555539809386</v>
          </cell>
          <cell r="G34">
            <v>9.4423980441189279</v>
          </cell>
          <cell r="H34">
            <v>9.4558804726900814</v>
          </cell>
          <cell r="I34">
            <v>9.6237955968821076</v>
          </cell>
          <cell r="J34">
            <v>9.6810477360699121</v>
          </cell>
          <cell r="K34">
            <v>9.762917505381429</v>
          </cell>
          <cell r="L34">
            <v>9.9230319671463221</v>
          </cell>
          <cell r="M34">
            <v>9.8565325062516553</v>
          </cell>
          <cell r="N34">
            <v>9.9207476605595275</v>
          </cell>
          <cell r="O34">
            <v>9.9331298895616005</v>
          </cell>
          <cell r="P34">
            <v>9.8333222002761627</v>
          </cell>
          <cell r="Q34">
            <v>9.9781657957582723</v>
          </cell>
          <cell r="R34">
            <v>10.060952568437498</v>
          </cell>
          <cell r="S34">
            <v>10.025077878577612</v>
          </cell>
          <cell r="T34">
            <v>10.025077878577612</v>
          </cell>
          <cell r="U34">
            <v>10.025077878577612</v>
          </cell>
          <cell r="V34">
            <v>10.025077878577612</v>
          </cell>
          <cell r="W34">
            <v>10.025077878577612</v>
          </cell>
          <cell r="X34">
            <v>10.025077878577612</v>
          </cell>
          <cell r="Y34">
            <v>10.025077878577612</v>
          </cell>
          <cell r="Z34">
            <v>10.025077878577612</v>
          </cell>
          <cell r="AA34">
            <v>10.025077878577612</v>
          </cell>
          <cell r="AB34">
            <v>10.025077878577612</v>
          </cell>
          <cell r="AC34">
            <v>10.025077878577612</v>
          </cell>
          <cell r="AD34">
            <v>10.025077878577612</v>
          </cell>
          <cell r="AE34">
            <v>10.025077878577612</v>
          </cell>
          <cell r="AF34">
            <v>10.025077878577612</v>
          </cell>
        </row>
        <row r="35">
          <cell r="A35" t="str">
            <v>New York</v>
          </cell>
          <cell r="B35">
            <v>7.5455841507001855</v>
          </cell>
          <cell r="C35">
            <v>7.6335315707109244</v>
          </cell>
          <cell r="D35">
            <v>7.8155732791156138</v>
          </cell>
          <cell r="E35">
            <v>7.5984267514026067</v>
          </cell>
          <cell r="F35">
            <v>7.6417961304392525</v>
          </cell>
          <cell r="G35">
            <v>7.7954473797668573</v>
          </cell>
          <cell r="H35">
            <v>7.5585006638551437</v>
          </cell>
          <cell r="I35">
            <v>7.582238712855041</v>
          </cell>
          <cell r="J35">
            <v>7.6462181681472616</v>
          </cell>
          <cell r="K35">
            <v>7.7598005891459367</v>
          </cell>
          <cell r="L35">
            <v>7.7938969683956758</v>
          </cell>
          <cell r="M35">
            <v>7.8189633972978427</v>
          </cell>
          <cell r="N35">
            <v>7.9558975893594122</v>
          </cell>
          <cell r="O35">
            <v>7.8867033819178447</v>
          </cell>
          <cell r="P35">
            <v>7.8804774904627646</v>
          </cell>
          <cell r="Q35">
            <v>8.0849581940253969</v>
          </cell>
          <cell r="R35">
            <v>8.1426168591306496</v>
          </cell>
          <cell r="S35">
            <v>8.244234688596535</v>
          </cell>
          <cell r="T35">
            <v>8.244234688596535</v>
          </cell>
          <cell r="U35">
            <v>8.244234688596535</v>
          </cell>
          <cell r="V35">
            <v>8.244234688596535</v>
          </cell>
          <cell r="W35">
            <v>8.244234688596535</v>
          </cell>
          <cell r="X35">
            <v>8.244234688596535</v>
          </cell>
          <cell r="Y35">
            <v>8.244234688596535</v>
          </cell>
          <cell r="Z35">
            <v>8.244234688596535</v>
          </cell>
          <cell r="AA35">
            <v>8.244234688596535</v>
          </cell>
          <cell r="AB35">
            <v>8.244234688596535</v>
          </cell>
          <cell r="AC35">
            <v>8.244234688596535</v>
          </cell>
          <cell r="AD35">
            <v>8.244234688596535</v>
          </cell>
          <cell r="AE35">
            <v>8.244234688596535</v>
          </cell>
          <cell r="AF35">
            <v>8.244234688596535</v>
          </cell>
        </row>
        <row r="36">
          <cell r="A36" t="str">
            <v>North Carolina</v>
          </cell>
          <cell r="B36">
            <v>8.669008878412102</v>
          </cell>
          <cell r="C36">
            <v>8.7259608025461564</v>
          </cell>
          <cell r="D36">
            <v>8.7484937743922515</v>
          </cell>
          <cell r="E36">
            <v>8.503064470180659</v>
          </cell>
          <cell r="F36">
            <v>8.6638523501761195</v>
          </cell>
          <cell r="G36">
            <v>8.6496847782298438</v>
          </cell>
          <cell r="H36">
            <v>8.2422118445969463</v>
          </cell>
          <cell r="I36">
            <v>8.3859989697243851</v>
          </cell>
          <cell r="J36">
            <v>8.4309837622654644</v>
          </cell>
          <cell r="K36">
            <v>8.4251645573641056</v>
          </cell>
          <cell r="L36">
            <v>8.448203541691143</v>
          </cell>
          <cell r="M36">
            <v>8.5595087898559044</v>
          </cell>
          <cell r="N36">
            <v>8.6998337695715851</v>
          </cell>
          <cell r="O36">
            <v>8.5312424820488459</v>
          </cell>
          <cell r="P36">
            <v>8.6696568396640359</v>
          </cell>
          <cell r="Q36">
            <v>8.9524126698842537</v>
          </cell>
          <cell r="R36">
            <v>8.8925943905748905</v>
          </cell>
          <cell r="S36">
            <v>9.0681341494425993</v>
          </cell>
          <cell r="T36">
            <v>9.0681341494425993</v>
          </cell>
          <cell r="U36">
            <v>9.0681341494425993</v>
          </cell>
          <cell r="V36">
            <v>9.0681341494425993</v>
          </cell>
          <cell r="W36">
            <v>9.0681341494425993</v>
          </cell>
          <cell r="X36">
            <v>9.0681341494425993</v>
          </cell>
          <cell r="Y36">
            <v>9.0681341494425993</v>
          </cell>
          <cell r="Z36">
            <v>9.0681341494425993</v>
          </cell>
          <cell r="AA36">
            <v>9.0681341494425993</v>
          </cell>
          <cell r="AB36">
            <v>9.0681341494425993</v>
          </cell>
          <cell r="AC36">
            <v>9.0681341494425993</v>
          </cell>
          <cell r="AD36">
            <v>9.0681341494425993</v>
          </cell>
          <cell r="AE36">
            <v>9.0681341494425993</v>
          </cell>
          <cell r="AF36">
            <v>9.0681341494425993</v>
          </cell>
        </row>
        <row r="37">
          <cell r="A37" t="str">
            <v>North Dakota</v>
          </cell>
          <cell r="B37">
            <v>7.7363964874293982</v>
          </cell>
          <cell r="C37">
            <v>7.7359562947107783</v>
          </cell>
          <cell r="D37">
            <v>7.751999823503879</v>
          </cell>
          <cell r="E37">
            <v>7.255889250302598</v>
          </cell>
          <cell r="F37">
            <v>7.2170453816653568</v>
          </cell>
          <cell r="G37">
            <v>7.2983559901499406</v>
          </cell>
          <cell r="H37">
            <v>6.7363211068371687</v>
          </cell>
          <cell r="I37">
            <v>6.6798189364896201</v>
          </cell>
          <cell r="J37">
            <v>6.9462614948396322</v>
          </cell>
          <cell r="K37">
            <v>6.9985640621490157</v>
          </cell>
          <cell r="L37">
            <v>7.0538295416273424</v>
          </cell>
          <cell r="M37">
            <v>6.9724433179924059</v>
          </cell>
          <cell r="N37">
            <v>7.1702978178434664</v>
          </cell>
          <cell r="O37">
            <v>7.1780063349096039</v>
          </cell>
          <cell r="P37">
            <v>7.3251250989794379</v>
          </cell>
          <cell r="Q37">
            <v>7.0160476145597261</v>
          </cell>
          <cell r="R37">
            <v>7.1373221792517869</v>
          </cell>
          <cell r="S37">
            <v>7.2866947882048656</v>
          </cell>
          <cell r="T37">
            <v>7.2866947882048656</v>
          </cell>
          <cell r="U37">
            <v>7.2866947882048656</v>
          </cell>
          <cell r="V37">
            <v>7.2866947882048656</v>
          </cell>
          <cell r="W37">
            <v>7.2866947882048656</v>
          </cell>
          <cell r="X37">
            <v>7.2866947882048656</v>
          </cell>
          <cell r="Y37">
            <v>7.2866947882048656</v>
          </cell>
          <cell r="Z37">
            <v>7.2866947882048656</v>
          </cell>
          <cell r="AA37">
            <v>7.2866947882048656</v>
          </cell>
          <cell r="AB37">
            <v>7.2866947882048656</v>
          </cell>
          <cell r="AC37">
            <v>7.2866947882048656</v>
          </cell>
          <cell r="AD37">
            <v>7.2866947882048656</v>
          </cell>
          <cell r="AE37">
            <v>7.2866947882048656</v>
          </cell>
          <cell r="AF37">
            <v>7.2866947882048656</v>
          </cell>
        </row>
        <row r="38">
          <cell r="A38" t="str">
            <v>Ohio</v>
          </cell>
          <cell r="B38">
            <v>8.0552366598070186</v>
          </cell>
          <cell r="C38">
            <v>8.2446259831855837</v>
          </cell>
          <cell r="D38">
            <v>8.3990629168510349</v>
          </cell>
          <cell r="E38">
            <v>7.8296151651376951</v>
          </cell>
          <cell r="F38">
            <v>7.8820736338507498</v>
          </cell>
          <cell r="G38">
            <v>8.0286413361521056</v>
          </cell>
          <cell r="H38">
            <v>7.3474569110188019</v>
          </cell>
          <cell r="I38">
            <v>7.5479104331829392</v>
          </cell>
          <cell r="J38">
            <v>7.6324946085692034</v>
          </cell>
          <cell r="K38">
            <v>7.7217993275677967</v>
          </cell>
          <cell r="L38">
            <v>7.7097588838795756</v>
          </cell>
          <cell r="M38">
            <v>7.5766140898914953</v>
          </cell>
          <cell r="N38">
            <v>7.711136383900139</v>
          </cell>
          <cell r="O38">
            <v>7.7564819385380765</v>
          </cell>
          <cell r="P38">
            <v>7.7730708383494456</v>
          </cell>
          <cell r="Q38">
            <v>7.8278140406517176</v>
          </cell>
          <cell r="R38">
            <v>7.8687180673152035</v>
          </cell>
          <cell r="S38">
            <v>7.9421646735683495</v>
          </cell>
          <cell r="T38">
            <v>7.9421646735683495</v>
          </cell>
          <cell r="U38">
            <v>7.9421646735683495</v>
          </cell>
          <cell r="V38">
            <v>7.9421646735683495</v>
          </cell>
          <cell r="W38">
            <v>7.9421646735683495</v>
          </cell>
          <cell r="X38">
            <v>7.9421646735683495</v>
          </cell>
          <cell r="Y38">
            <v>7.9421646735683495</v>
          </cell>
          <cell r="Z38">
            <v>7.9421646735683495</v>
          </cell>
          <cell r="AA38">
            <v>7.9421646735683495</v>
          </cell>
          <cell r="AB38">
            <v>7.9421646735683495</v>
          </cell>
          <cell r="AC38">
            <v>7.9421646735683495</v>
          </cell>
          <cell r="AD38">
            <v>7.9421646735683495</v>
          </cell>
          <cell r="AE38">
            <v>7.9421646735683495</v>
          </cell>
          <cell r="AF38">
            <v>7.9421646735683495</v>
          </cell>
        </row>
        <row r="39">
          <cell r="A39" t="str">
            <v>Oklahoma</v>
          </cell>
          <cell r="B39">
            <v>8.4376576997769295</v>
          </cell>
          <cell r="C39">
            <v>8.4458780697727569</v>
          </cell>
          <cell r="D39">
            <v>8.5898413804503289</v>
          </cell>
          <cell r="E39">
            <v>7.8849891996880741</v>
          </cell>
          <cell r="F39">
            <v>7.9721283205133222</v>
          </cell>
          <cell r="G39">
            <v>8.0290899576376624</v>
          </cell>
          <cell r="H39">
            <v>7.2032792811055204</v>
          </cell>
          <cell r="I39">
            <v>7.2872524723304499</v>
          </cell>
          <cell r="J39">
            <v>7.2514480496120308</v>
          </cell>
          <cell r="K39">
            <v>7.2872524723304517</v>
          </cell>
          <cell r="L39">
            <v>7.5060433521637986</v>
          </cell>
          <cell r="M39">
            <v>7.7390871553290852</v>
          </cell>
          <cell r="N39">
            <v>7.7777402990275792</v>
          </cell>
          <cell r="O39">
            <v>7.8893502143869831</v>
          </cell>
          <cell r="P39">
            <v>7.9380778533001637</v>
          </cell>
          <cell r="Q39">
            <v>8.0109746072926438</v>
          </cell>
          <cell r="R39">
            <v>8.0490169829535354</v>
          </cell>
          <cell r="S39">
            <v>8.0362395743885671</v>
          </cell>
          <cell r="T39">
            <v>8.0362395743885671</v>
          </cell>
          <cell r="U39">
            <v>8.0362395743885671</v>
          </cell>
          <cell r="V39">
            <v>8.0362395743885671</v>
          </cell>
          <cell r="W39">
            <v>8.0362395743885671</v>
          </cell>
          <cell r="X39">
            <v>8.0362395743885671</v>
          </cell>
          <cell r="Y39">
            <v>8.0362395743885671</v>
          </cell>
          <cell r="Z39">
            <v>8.0362395743885671</v>
          </cell>
          <cell r="AA39">
            <v>8.0362395743885671</v>
          </cell>
          <cell r="AB39">
            <v>8.0362395743885671</v>
          </cell>
          <cell r="AC39">
            <v>8.0362395743885671</v>
          </cell>
          <cell r="AD39">
            <v>8.0362395743885671</v>
          </cell>
          <cell r="AE39">
            <v>8.0362395743885671</v>
          </cell>
          <cell r="AF39">
            <v>8.0362395743885671</v>
          </cell>
        </row>
        <row r="40">
          <cell r="A40" t="str">
            <v>Oregon</v>
          </cell>
          <cell r="B40">
            <v>8.7539565435177256</v>
          </cell>
          <cell r="C40">
            <v>8.8424263440086932</v>
          </cell>
          <cell r="D40">
            <v>8.8966096773988319</v>
          </cell>
          <cell r="E40">
            <v>8.8749634437503406</v>
          </cell>
          <cell r="F40">
            <v>8.9359007220069948</v>
          </cell>
          <cell r="G40">
            <v>8.9770778443127757</v>
          </cell>
          <cell r="H40">
            <v>8.9177459403752639</v>
          </cell>
          <cell r="I40">
            <v>9.0824377517263297</v>
          </cell>
          <cell r="J40">
            <v>9.0542709505415448</v>
          </cell>
          <cell r="K40">
            <v>9.3077740780180402</v>
          </cell>
          <cell r="L40">
            <v>9.1741522729117495</v>
          </cell>
          <cell r="M40">
            <v>9.1201611673184413</v>
          </cell>
          <cell r="N40">
            <v>9.1988425097867204</v>
          </cell>
          <cell r="O40">
            <v>9.1808118160607961</v>
          </cell>
          <cell r="P40">
            <v>9.3521024480506902</v>
          </cell>
          <cell r="Q40">
            <v>9.3409224441995882</v>
          </cell>
          <cell r="R40">
            <v>9.3750309825063738</v>
          </cell>
          <cell r="S40">
            <v>9.4898733867056464</v>
          </cell>
          <cell r="T40">
            <v>9.4898733867056464</v>
          </cell>
          <cell r="U40">
            <v>9.4898733867056464</v>
          </cell>
          <cell r="V40">
            <v>9.4898733867056464</v>
          </cell>
          <cell r="W40">
            <v>9.4898733867056464</v>
          </cell>
          <cell r="X40">
            <v>9.4898733867056464</v>
          </cell>
          <cell r="Y40">
            <v>9.4898733867056464</v>
          </cell>
          <cell r="Z40">
            <v>9.4898733867056464</v>
          </cell>
          <cell r="AA40">
            <v>9.4898733867056464</v>
          </cell>
          <cell r="AB40">
            <v>9.4898733867056464</v>
          </cell>
          <cell r="AC40">
            <v>9.4898733867056464</v>
          </cell>
          <cell r="AD40">
            <v>9.4898733867056464</v>
          </cell>
          <cell r="AE40">
            <v>9.4898733867056464</v>
          </cell>
          <cell r="AF40">
            <v>9.4898733867056464</v>
          </cell>
        </row>
        <row r="41">
          <cell r="A41" t="str">
            <v>Pennsylvania</v>
          </cell>
          <cell r="B41">
            <v>7.5628628843978767</v>
          </cell>
          <cell r="C41">
            <v>7.6986892228810726</v>
          </cell>
          <cell r="D41">
            <v>7.8981071054334038</v>
          </cell>
          <cell r="E41">
            <v>7.6492844352663036</v>
          </cell>
          <cell r="F41">
            <v>7.6743254832368901</v>
          </cell>
          <cell r="G41">
            <v>7.793333919852155</v>
          </cell>
          <cell r="H41">
            <v>7.5921399252693984</v>
          </cell>
          <cell r="I41">
            <v>7.6915319784911018</v>
          </cell>
          <cell r="J41">
            <v>7.8018985354191921</v>
          </cell>
          <cell r="K41">
            <v>7.8820512073448787</v>
          </cell>
          <cell r="L41">
            <v>7.9626095379345312</v>
          </cell>
          <cell r="M41">
            <v>7.9585624393140133</v>
          </cell>
          <cell r="N41">
            <v>8.032176454949882</v>
          </cell>
          <cell r="O41">
            <v>7.9267326026651812</v>
          </cell>
          <cell r="P41">
            <v>7.9086938239882523</v>
          </cell>
          <cell r="Q41">
            <v>8.1048722251092222</v>
          </cell>
          <cell r="R41">
            <v>8.2650662968559843</v>
          </cell>
          <cell r="S41">
            <v>8.2727230206000968</v>
          </cell>
          <cell r="T41">
            <v>8.2727230206000968</v>
          </cell>
          <cell r="U41">
            <v>8.2727230206000968</v>
          </cell>
          <cell r="V41">
            <v>8.2727230206000968</v>
          </cell>
          <cell r="W41">
            <v>8.2727230206000968</v>
          </cell>
          <cell r="X41">
            <v>8.2727230206000968</v>
          </cell>
          <cell r="Y41">
            <v>8.2727230206000968</v>
          </cell>
          <cell r="Z41">
            <v>8.2727230206000968</v>
          </cell>
          <cell r="AA41">
            <v>8.2727230206000968</v>
          </cell>
          <cell r="AB41">
            <v>8.2727230206000968</v>
          </cell>
          <cell r="AC41">
            <v>8.2727230206000968</v>
          </cell>
          <cell r="AD41">
            <v>8.2727230206000968</v>
          </cell>
          <cell r="AE41">
            <v>8.2727230206000968</v>
          </cell>
          <cell r="AF41">
            <v>8.2727230206000968</v>
          </cell>
        </row>
        <row r="42">
          <cell r="A42" t="str">
            <v>Rhode Island</v>
          </cell>
          <cell r="B42">
            <v>7.4421327547519081</v>
          </cell>
          <cell r="C42">
            <v>7.4632480296431147</v>
          </cell>
          <cell r="D42">
            <v>7.4999703696435009</v>
          </cell>
          <cell r="E42">
            <v>7.1575287178616662</v>
          </cell>
          <cell r="F42">
            <v>7.313432194827949</v>
          </cell>
          <cell r="G42">
            <v>7.4254878188974889</v>
          </cell>
          <cell r="H42">
            <v>7.3436161855795694</v>
          </cell>
          <cell r="I42">
            <v>7.4515367611073229</v>
          </cell>
          <cell r="J42">
            <v>7.3950068562712516</v>
          </cell>
          <cell r="K42">
            <v>7.3436161855795694</v>
          </cell>
          <cell r="L42">
            <v>7.3569397670515704</v>
          </cell>
          <cell r="M42">
            <v>7.5548719216162237</v>
          </cell>
          <cell r="N42">
            <v>7.5548719216162263</v>
          </cell>
          <cell r="O42">
            <v>7.6919140442778478</v>
          </cell>
          <cell r="P42">
            <v>7.5320317349145203</v>
          </cell>
          <cell r="Q42">
            <v>7.6919140442778504</v>
          </cell>
          <cell r="R42">
            <v>7.7573203220535758</v>
          </cell>
          <cell r="S42">
            <v>7.5611011545759199</v>
          </cell>
          <cell r="T42">
            <v>7.5611011545759199</v>
          </cell>
          <cell r="U42">
            <v>7.5611011545759199</v>
          </cell>
          <cell r="V42">
            <v>7.5611011545759199</v>
          </cell>
          <cell r="W42">
            <v>7.5611011545759199</v>
          </cell>
          <cell r="X42">
            <v>7.5611011545759199</v>
          </cell>
          <cell r="Y42">
            <v>7.5611011545759199</v>
          </cell>
          <cell r="Z42">
            <v>7.5611011545759199</v>
          </cell>
          <cell r="AA42">
            <v>7.5611011545759199</v>
          </cell>
          <cell r="AB42">
            <v>7.5611011545759199</v>
          </cell>
          <cell r="AC42">
            <v>7.5611011545759199</v>
          </cell>
          <cell r="AD42">
            <v>7.5611011545759199</v>
          </cell>
          <cell r="AE42">
            <v>7.5611011545759199</v>
          </cell>
          <cell r="AF42">
            <v>7.5611011545759199</v>
          </cell>
        </row>
        <row r="43">
          <cell r="A43" t="str">
            <v>South Carolina</v>
          </cell>
          <cell r="B43">
            <v>7.9862373361899461</v>
          </cell>
          <cell r="C43">
            <v>7.847176843146471</v>
          </cell>
          <cell r="D43">
            <v>8.1669082795104391</v>
          </cell>
          <cell r="E43">
            <v>8.1389863688273802</v>
          </cell>
          <cell r="F43">
            <v>8.2101496486953227</v>
          </cell>
          <cell r="G43">
            <v>8.1571788149121112</v>
          </cell>
          <cell r="H43">
            <v>7.9061607014148887</v>
          </cell>
          <cell r="I43">
            <v>8.0655601426443315</v>
          </cell>
          <cell r="J43">
            <v>7.9854619847800743</v>
          </cell>
          <cell r="K43">
            <v>8.092957034387922</v>
          </cell>
          <cell r="L43">
            <v>8.2773710446399189</v>
          </cell>
          <cell r="M43">
            <v>8.624863325874971</v>
          </cell>
          <cell r="N43">
            <v>8.8123475405487</v>
          </cell>
          <cell r="O43">
            <v>8.433353956632585</v>
          </cell>
          <cell r="P43">
            <v>8.4710448933651392</v>
          </cell>
          <cell r="Q43">
            <v>8.2424942133405086</v>
          </cell>
          <cell r="R43">
            <v>8.3186776530476223</v>
          </cell>
          <cell r="S43">
            <v>8.7317621632217648</v>
          </cell>
          <cell r="T43">
            <v>8.7317621632217648</v>
          </cell>
          <cell r="U43">
            <v>8.7317621632217648</v>
          </cell>
          <cell r="V43">
            <v>8.7317621632217648</v>
          </cell>
          <cell r="W43">
            <v>8.7317621632217648</v>
          </cell>
          <cell r="X43">
            <v>8.7317621632217648</v>
          </cell>
          <cell r="Y43">
            <v>8.7317621632217648</v>
          </cell>
          <cell r="Z43">
            <v>8.7317621632217648</v>
          </cell>
          <cell r="AA43">
            <v>8.7317621632217648</v>
          </cell>
          <cell r="AB43">
            <v>8.7317621632217648</v>
          </cell>
          <cell r="AC43">
            <v>8.7317621632217648</v>
          </cell>
          <cell r="AD43">
            <v>8.7317621632217648</v>
          </cell>
          <cell r="AE43">
            <v>8.7317621632217648</v>
          </cell>
          <cell r="AF43">
            <v>8.7317621632217648</v>
          </cell>
        </row>
        <row r="44">
          <cell r="A44" t="str">
            <v>South Dakota</v>
          </cell>
          <cell r="B44">
            <v>7.6342313706707596</v>
          </cell>
          <cell r="C44">
            <v>7.6486423400608317</v>
          </cell>
          <cell r="D44">
            <v>7.7770243716116338</v>
          </cell>
          <cell r="E44">
            <v>7.2616893762858989</v>
          </cell>
          <cell r="F44">
            <v>7.3366181522478753</v>
          </cell>
          <cell r="G44">
            <v>7.3771361391472396</v>
          </cell>
          <cell r="H44">
            <v>6.7826002778730095</v>
          </cell>
          <cell r="I44">
            <v>6.787454147520692</v>
          </cell>
          <cell r="J44">
            <v>6.9838808224368414</v>
          </cell>
          <cell r="K44">
            <v>7.0988984196806602</v>
          </cell>
          <cell r="L44">
            <v>7.3474027786435538</v>
          </cell>
          <cell r="M44">
            <v>7.3065794140478095</v>
          </cell>
          <cell r="N44">
            <v>7.2094782964109365</v>
          </cell>
          <cell r="O44">
            <v>7.504734649316978</v>
          </cell>
          <cell r="P44">
            <v>7.6529427439011748</v>
          </cell>
          <cell r="Q44">
            <v>7.8695611289371916</v>
          </cell>
          <cell r="R44">
            <v>8.0708944692744602</v>
          </cell>
          <cell r="S44">
            <v>8.2449186945974162</v>
          </cell>
          <cell r="T44">
            <v>8.2449186945974162</v>
          </cell>
          <cell r="U44">
            <v>8.2449186945974162</v>
          </cell>
          <cell r="V44">
            <v>8.2449186945974162</v>
          </cell>
          <cell r="W44">
            <v>8.2449186945974162</v>
          </cell>
          <cell r="X44">
            <v>8.2449186945974162</v>
          </cell>
          <cell r="Y44">
            <v>8.2449186945974162</v>
          </cell>
          <cell r="Z44">
            <v>8.2449186945974162</v>
          </cell>
          <cell r="AA44">
            <v>8.2449186945974162</v>
          </cell>
          <cell r="AB44">
            <v>8.2449186945974162</v>
          </cell>
          <cell r="AC44">
            <v>8.2449186945974162</v>
          </cell>
          <cell r="AD44">
            <v>8.2449186945974162</v>
          </cell>
          <cell r="AE44">
            <v>8.2449186945974162</v>
          </cell>
          <cell r="AF44">
            <v>8.2449186945974162</v>
          </cell>
        </row>
        <row r="45">
          <cell r="A45" t="str">
            <v>Tennessee</v>
          </cell>
          <cell r="B45">
            <v>7.7222083448929277</v>
          </cell>
          <cell r="C45">
            <v>7.7329532432389501</v>
          </cell>
          <cell r="D45">
            <v>7.730813277224696</v>
          </cell>
          <cell r="E45">
            <v>7.575757510084137</v>
          </cell>
          <cell r="F45">
            <v>7.794063492811711</v>
          </cell>
          <cell r="G45">
            <v>7.9579359362867343</v>
          </cell>
          <cell r="H45">
            <v>7.719087555606361</v>
          </cell>
          <cell r="I45">
            <v>7.798689471425222</v>
          </cell>
          <cell r="J45">
            <v>7.8132724912993208</v>
          </cell>
          <cell r="K45">
            <v>7.8943494189286785</v>
          </cell>
          <cell r="L45">
            <v>7.9412913900966959</v>
          </cell>
          <cell r="M45">
            <v>7.8567730309025201</v>
          </cell>
          <cell r="N45">
            <v>7.9687523040838748</v>
          </cell>
          <cell r="O45">
            <v>8.049045349733186</v>
          </cell>
          <cell r="P45">
            <v>8.0870795055094966</v>
          </cell>
          <cell r="Q45">
            <v>8.175887703753915</v>
          </cell>
          <cell r="R45">
            <v>8.1535752177812508</v>
          </cell>
          <cell r="S45">
            <v>8.2054904365020143</v>
          </cell>
          <cell r="T45">
            <v>8.2054904365020143</v>
          </cell>
          <cell r="U45">
            <v>8.2054904365020143</v>
          </cell>
          <cell r="V45">
            <v>8.2054904365020143</v>
          </cell>
          <cell r="W45">
            <v>8.2054904365020143</v>
          </cell>
          <cell r="X45">
            <v>8.2054904365020143</v>
          </cell>
          <cell r="Y45">
            <v>8.2054904365020143</v>
          </cell>
          <cell r="Z45">
            <v>8.2054904365020143</v>
          </cell>
          <cell r="AA45">
            <v>8.2054904365020143</v>
          </cell>
          <cell r="AB45">
            <v>8.2054904365020143</v>
          </cell>
          <cell r="AC45">
            <v>8.2054904365020143</v>
          </cell>
          <cell r="AD45">
            <v>8.2054904365020143</v>
          </cell>
          <cell r="AE45">
            <v>8.2054904365020143</v>
          </cell>
          <cell r="AF45">
            <v>8.2054904365020143</v>
          </cell>
        </row>
        <row r="46">
          <cell r="A46" t="str">
            <v>Texas</v>
          </cell>
          <cell r="B46">
            <v>9.0581319620917782</v>
          </cell>
          <cell r="C46">
            <v>8.9619874787064049</v>
          </cell>
          <cell r="D46">
            <v>9.0986556169885393</v>
          </cell>
          <cell r="E46">
            <v>8.4165372539426464</v>
          </cell>
          <cell r="F46">
            <v>8.5517980251961063</v>
          </cell>
          <cell r="G46">
            <v>8.4846839821316387</v>
          </cell>
          <cell r="H46">
            <v>7.7533606298048543</v>
          </cell>
          <cell r="I46">
            <v>7.7137422607798447</v>
          </cell>
          <cell r="J46">
            <v>7.8819986168349576</v>
          </cell>
          <cell r="K46">
            <v>7.9748791361460665</v>
          </cell>
          <cell r="L46">
            <v>8.0288544375512263</v>
          </cell>
          <cell r="M46">
            <v>7.8046296266674524</v>
          </cell>
          <cell r="N46">
            <v>8.0715949237290232</v>
          </cell>
          <cell r="O46">
            <v>8.3071561523038966</v>
          </cell>
          <cell r="P46">
            <v>8.6081991284584394</v>
          </cell>
          <cell r="Q46">
            <v>8.9361444949219351</v>
          </cell>
          <cell r="R46">
            <v>9.2394730851086013</v>
          </cell>
          <cell r="S46">
            <v>9.1925735137669733</v>
          </cell>
          <cell r="T46">
            <v>9.1925735137669733</v>
          </cell>
          <cell r="U46">
            <v>9.1925735137669733</v>
          </cell>
          <cell r="V46">
            <v>9.1925735137669733</v>
          </cell>
          <cell r="W46">
            <v>9.1925735137669733</v>
          </cell>
          <cell r="X46">
            <v>9.1925735137669733</v>
          </cell>
          <cell r="Y46">
            <v>9.1925735137669733</v>
          </cell>
          <cell r="Z46">
            <v>9.1925735137669733</v>
          </cell>
          <cell r="AA46">
            <v>9.1925735137669733</v>
          </cell>
          <cell r="AB46">
            <v>9.1925735137669733</v>
          </cell>
          <cell r="AC46">
            <v>9.1925735137669733</v>
          </cell>
          <cell r="AD46">
            <v>9.1925735137669733</v>
          </cell>
          <cell r="AE46">
            <v>9.1925735137669733</v>
          </cell>
          <cell r="AF46">
            <v>9.1925735137669733</v>
          </cell>
        </row>
        <row r="47">
          <cell r="A47" t="str">
            <v>Utah</v>
          </cell>
          <cell r="B47">
            <v>8.6325954498469901</v>
          </cell>
          <cell r="C47">
            <v>8.6708487021702858</v>
          </cell>
          <cell r="D47">
            <v>8.7901257766506777</v>
          </cell>
          <cell r="E47">
            <v>8.7432398768687953</v>
          </cell>
          <cell r="F47">
            <v>8.7972778307385475</v>
          </cell>
          <cell r="G47">
            <v>8.8247277018770003</v>
          </cell>
          <cell r="H47">
            <v>8.8378658230195093</v>
          </cell>
          <cell r="I47">
            <v>8.8167007565786157</v>
          </cell>
          <cell r="J47">
            <v>8.7858941204481731</v>
          </cell>
          <cell r="K47">
            <v>8.9473315665867457</v>
          </cell>
          <cell r="L47">
            <v>8.9954999286853727</v>
          </cell>
          <cell r="M47">
            <v>8.8826687959657171</v>
          </cell>
          <cell r="N47">
            <v>9.0762189946535319</v>
          </cell>
          <cell r="O47">
            <v>9.0515105075907325</v>
          </cell>
          <cell r="P47">
            <v>9.1780531387055007</v>
          </cell>
          <cell r="Q47">
            <v>9.3406379891415146</v>
          </cell>
          <cell r="R47">
            <v>9.7365568766789075</v>
          </cell>
          <cell r="S47">
            <v>9.7537579737126485</v>
          </cell>
          <cell r="T47">
            <v>9.7537579737126485</v>
          </cell>
          <cell r="U47">
            <v>9.7537579737126485</v>
          </cell>
          <cell r="V47">
            <v>9.7537579737126485</v>
          </cell>
          <cell r="W47">
            <v>9.7537579737126485</v>
          </cell>
          <cell r="X47">
            <v>9.7537579737126485</v>
          </cell>
          <cell r="Y47">
            <v>9.7537579737126485</v>
          </cell>
          <cell r="Z47">
            <v>9.7537579737126485</v>
          </cell>
          <cell r="AA47">
            <v>9.7537579737126485</v>
          </cell>
          <cell r="AB47">
            <v>9.7537579737126485</v>
          </cell>
          <cell r="AC47">
            <v>9.7537579737126485</v>
          </cell>
          <cell r="AD47">
            <v>9.7537579737126485</v>
          </cell>
          <cell r="AE47">
            <v>9.7537579737126485</v>
          </cell>
          <cell r="AF47">
            <v>9.7537579737126485</v>
          </cell>
        </row>
        <row r="48">
          <cell r="A48" t="str">
            <v>Vermont</v>
          </cell>
          <cell r="B48">
            <v>7.512474168249434</v>
          </cell>
          <cell r="C48">
            <v>7.5518295186686482</v>
          </cell>
          <cell r="D48">
            <v>7.7094225002681425</v>
          </cell>
          <cell r="E48">
            <v>7.5380971399249832</v>
          </cell>
          <cell r="F48">
            <v>7.5612315056289265</v>
          </cell>
          <cell r="G48">
            <v>7.7238274339162425</v>
          </cell>
          <cell r="H48">
            <v>7.5757531864890844</v>
          </cell>
          <cell r="I48">
            <v>7.5234837000756878</v>
          </cell>
          <cell r="J48">
            <v>7.5737573057644942</v>
          </cell>
          <cell r="K48">
            <v>7.6883625613350528</v>
          </cell>
          <cell r="L48">
            <v>7.7510087562738175</v>
          </cell>
          <cell r="M48">
            <v>7.7985020277531172</v>
          </cell>
          <cell r="N48">
            <v>7.8242840751444618</v>
          </cell>
          <cell r="O48">
            <v>7.8593073877827777</v>
          </cell>
          <cell r="P48">
            <v>7.9052741281342849</v>
          </cell>
          <cell r="Q48">
            <v>8.0441022850287975</v>
          </cell>
          <cell r="R48">
            <v>8.0235847782060219</v>
          </cell>
          <cell r="S48">
            <v>7.9505805871678916</v>
          </cell>
          <cell r="T48">
            <v>7.9505805871678916</v>
          </cell>
          <cell r="U48">
            <v>7.9505805871678916</v>
          </cell>
          <cell r="V48">
            <v>7.9505805871678916</v>
          </cell>
          <cell r="W48">
            <v>7.9505805871678916</v>
          </cell>
          <cell r="X48">
            <v>7.9505805871678916</v>
          </cell>
          <cell r="Y48">
            <v>7.9505805871678916</v>
          </cell>
          <cell r="Z48">
            <v>7.9505805871678916</v>
          </cell>
          <cell r="AA48">
            <v>7.9505805871678916</v>
          </cell>
          <cell r="AB48">
            <v>7.9505805871678916</v>
          </cell>
          <cell r="AC48">
            <v>7.9505805871678916</v>
          </cell>
          <cell r="AD48">
            <v>7.9505805871678916</v>
          </cell>
          <cell r="AE48">
            <v>7.9505805871678916</v>
          </cell>
          <cell r="AF48">
            <v>7.9505805871678916</v>
          </cell>
        </row>
        <row r="49">
          <cell r="A49" t="str">
            <v>Virginia</v>
          </cell>
          <cell r="B49">
            <v>8.3881468864735744</v>
          </cell>
          <cell r="C49">
            <v>8.5001085252091872</v>
          </cell>
          <cell r="D49">
            <v>8.5954508490890476</v>
          </cell>
          <cell r="E49">
            <v>8.3270803311102739</v>
          </cell>
          <cell r="F49">
            <v>8.2427856559559789</v>
          </cell>
          <cell r="G49">
            <v>8.327790713157226</v>
          </cell>
          <cell r="H49">
            <v>7.821084243351609</v>
          </cell>
          <cell r="I49">
            <v>7.9605957470161703</v>
          </cell>
          <cell r="J49">
            <v>7.9561335385442851</v>
          </cell>
          <cell r="K49">
            <v>8.1199832784365231</v>
          </cell>
          <cell r="L49">
            <v>8.2116765377068361</v>
          </cell>
          <cell r="M49">
            <v>8.2359088107210834</v>
          </cell>
          <cell r="N49">
            <v>8.2141972287524467</v>
          </cell>
          <cell r="O49">
            <v>8.0659908426464959</v>
          </cell>
          <cell r="P49">
            <v>8.3683058275200803</v>
          </cell>
          <cell r="Q49">
            <v>8.4990513507920831</v>
          </cell>
          <cell r="R49">
            <v>8.5954782178201832</v>
          </cell>
          <cell r="S49">
            <v>8.6388014115417651</v>
          </cell>
          <cell r="T49">
            <v>8.6388014115417651</v>
          </cell>
          <cell r="U49">
            <v>8.6388014115417651</v>
          </cell>
          <cell r="V49">
            <v>8.6388014115417651</v>
          </cell>
          <cell r="W49">
            <v>8.6388014115417651</v>
          </cell>
          <cell r="X49">
            <v>8.6388014115417651</v>
          </cell>
          <cell r="Y49">
            <v>8.6388014115417651</v>
          </cell>
          <cell r="Z49">
            <v>8.6388014115417651</v>
          </cell>
          <cell r="AA49">
            <v>8.6388014115417651</v>
          </cell>
          <cell r="AB49">
            <v>8.6388014115417651</v>
          </cell>
          <cell r="AC49">
            <v>8.6388014115417651</v>
          </cell>
          <cell r="AD49">
            <v>8.6388014115417651</v>
          </cell>
          <cell r="AE49">
            <v>8.6388014115417651</v>
          </cell>
          <cell r="AF49">
            <v>8.6388014115417651</v>
          </cell>
        </row>
        <row r="50">
          <cell r="A50" t="str">
            <v>Washington</v>
          </cell>
          <cell r="B50">
            <v>9.3838443504465872</v>
          </cell>
          <cell r="C50">
            <v>9.462673813843983</v>
          </cell>
          <cell r="D50">
            <v>9.6320275694322746</v>
          </cell>
          <cell r="E50">
            <v>9.5556435245027522</v>
          </cell>
          <cell r="F50">
            <v>9.7100464446089152</v>
          </cell>
          <cell r="G50">
            <v>9.7532686259249441</v>
          </cell>
          <cell r="H50">
            <v>9.8121098290164426</v>
          </cell>
          <cell r="I50">
            <v>9.9297400461295187</v>
          </cell>
          <cell r="J50">
            <v>10.069355342310395</v>
          </cell>
          <cell r="K50">
            <v>10.326091750055749</v>
          </cell>
          <cell r="L50">
            <v>10.390700617766077</v>
          </cell>
          <cell r="M50">
            <v>10.289577379214137</v>
          </cell>
          <cell r="N50">
            <v>10.407654980495318</v>
          </cell>
          <cell r="O50">
            <v>10.414961488515685</v>
          </cell>
          <cell r="P50">
            <v>10.434972633494775</v>
          </cell>
          <cell r="Q50">
            <v>10.549814270968808</v>
          </cell>
          <cell r="R50">
            <v>10.490697839399301</v>
          </cell>
          <cell r="S50">
            <v>10.54150105272956</v>
          </cell>
          <cell r="T50">
            <v>10.54150105272956</v>
          </cell>
          <cell r="U50">
            <v>10.54150105272956</v>
          </cell>
          <cell r="V50">
            <v>10.54150105272956</v>
          </cell>
          <cell r="W50">
            <v>10.54150105272956</v>
          </cell>
          <cell r="X50">
            <v>10.54150105272956</v>
          </cell>
          <cell r="Y50">
            <v>10.54150105272956</v>
          </cell>
          <cell r="Z50">
            <v>10.54150105272956</v>
          </cell>
          <cell r="AA50">
            <v>10.54150105272956</v>
          </cell>
          <cell r="AB50">
            <v>10.54150105272956</v>
          </cell>
          <cell r="AC50">
            <v>10.54150105272956</v>
          </cell>
          <cell r="AD50">
            <v>10.54150105272956</v>
          </cell>
          <cell r="AE50">
            <v>10.54150105272956</v>
          </cell>
          <cell r="AF50">
            <v>10.54150105272956</v>
          </cell>
        </row>
        <row r="51">
          <cell r="A51" t="str">
            <v>West Virginia</v>
          </cell>
          <cell r="B51">
            <v>6.6819795047400596</v>
          </cell>
          <cell r="C51">
            <v>6.8059175787639283</v>
          </cell>
          <cell r="D51">
            <v>6.8940514065919292</v>
          </cell>
          <cell r="E51">
            <v>6.6752016490283035</v>
          </cell>
          <cell r="F51">
            <v>6.7755647184160299</v>
          </cell>
          <cell r="G51">
            <v>6.8502684677957051</v>
          </cell>
          <cell r="H51">
            <v>6.6481281064340436</v>
          </cell>
          <cell r="I51">
            <v>7.1704102947442028</v>
          </cell>
          <cell r="J51">
            <v>7.3302926041075258</v>
          </cell>
          <cell r="K51">
            <v>7.290322193841928</v>
          </cell>
          <cell r="L51">
            <v>7.364776932046583</v>
          </cell>
          <cell r="M51">
            <v>7.3471676685223493</v>
          </cell>
          <cell r="N51">
            <v>7.2572337441990449</v>
          </cell>
          <cell r="O51">
            <v>7.0683729041006789</v>
          </cell>
          <cell r="P51">
            <v>7.1938190031918694</v>
          </cell>
          <cell r="Q51">
            <v>7.1938190031918694</v>
          </cell>
          <cell r="R51">
            <v>7.3045066787163888</v>
          </cell>
          <cell r="S51">
            <v>7.2860588998708753</v>
          </cell>
          <cell r="T51">
            <v>7.2860588998708753</v>
          </cell>
          <cell r="U51">
            <v>7.2860588998708753</v>
          </cell>
          <cell r="V51">
            <v>7.2860588998708753</v>
          </cell>
          <cell r="W51">
            <v>7.2860588998708753</v>
          </cell>
          <cell r="X51">
            <v>7.2860588998708753</v>
          </cell>
          <cell r="Y51">
            <v>7.2860588998708753</v>
          </cell>
          <cell r="Z51">
            <v>7.2860588998708753</v>
          </cell>
          <cell r="AA51">
            <v>7.2860588998708753</v>
          </cell>
          <cell r="AB51">
            <v>7.2860588998708753</v>
          </cell>
          <cell r="AC51">
            <v>7.2860588998708753</v>
          </cell>
          <cell r="AD51">
            <v>7.2860588998708753</v>
          </cell>
          <cell r="AE51">
            <v>7.2860588998708753</v>
          </cell>
          <cell r="AF51">
            <v>7.2860588998708753</v>
          </cell>
        </row>
        <row r="52">
          <cell r="A52" t="str">
            <v>Wisconsin</v>
          </cell>
          <cell r="B52">
            <v>8.1126470370813983</v>
          </cell>
          <cell r="C52">
            <v>8.1593661317159842</v>
          </cell>
          <cell r="D52">
            <v>8.3256466971857588</v>
          </cell>
          <cell r="E52">
            <v>7.7409899753549096</v>
          </cell>
          <cell r="F52">
            <v>7.7917966714102063</v>
          </cell>
          <cell r="G52">
            <v>7.8942249572539476</v>
          </cell>
          <cell r="H52">
            <v>7.3297960565172522</v>
          </cell>
          <cell r="I52">
            <v>7.4773010985240944</v>
          </cell>
          <cell r="J52">
            <v>7.6278482463599699</v>
          </cell>
          <cell r="K52">
            <v>7.6798083094431959</v>
          </cell>
          <cell r="L52">
            <v>7.776690224375395</v>
          </cell>
          <cell r="M52">
            <v>7.7355350483684004</v>
          </cell>
          <cell r="N52">
            <v>7.7800315266759874</v>
          </cell>
          <cell r="O52">
            <v>7.8664351513415651</v>
          </cell>
          <cell r="P52">
            <v>7.8828452806544025</v>
          </cell>
          <cell r="Q52">
            <v>8.0516490732700987</v>
          </cell>
          <cell r="R52">
            <v>8.1293073119781258</v>
          </cell>
          <cell r="S52">
            <v>8.2459889785353013</v>
          </cell>
          <cell r="T52">
            <v>8.2459889785353013</v>
          </cell>
          <cell r="U52">
            <v>8.2459889785353013</v>
          </cell>
          <cell r="V52">
            <v>8.2459889785353013</v>
          </cell>
          <cell r="W52">
            <v>8.2459889785353013</v>
          </cell>
          <cell r="X52">
            <v>8.2459889785353013</v>
          </cell>
          <cell r="Y52">
            <v>8.2459889785353013</v>
          </cell>
          <cell r="Z52">
            <v>8.2459889785353013</v>
          </cell>
          <cell r="AA52">
            <v>8.2459889785353013</v>
          </cell>
          <cell r="AB52">
            <v>8.2459889785353013</v>
          </cell>
          <cell r="AC52">
            <v>8.2459889785353013</v>
          </cell>
          <cell r="AD52">
            <v>8.2459889785353013</v>
          </cell>
          <cell r="AE52">
            <v>8.2459889785353013</v>
          </cell>
          <cell r="AF52">
            <v>8.2459889785353013</v>
          </cell>
        </row>
        <row r="53">
          <cell r="A53" t="str">
            <v>Wyoming</v>
          </cell>
          <cell r="B53">
            <v>7.656397191485004</v>
          </cell>
          <cell r="C53">
            <v>7.7195790275723475</v>
          </cell>
          <cell r="D53">
            <v>7.8943184420003938</v>
          </cell>
          <cell r="E53">
            <v>7.4548220743568461</v>
          </cell>
          <cell r="F53">
            <v>7.226743013544632</v>
          </cell>
          <cell r="G53">
            <v>7.3211369733820453</v>
          </cell>
          <cell r="H53">
            <v>6.8239985130735024</v>
          </cell>
          <cell r="I53">
            <v>6.6713836421631543</v>
          </cell>
          <cell r="J53">
            <v>6.7715779906501643</v>
          </cell>
          <cell r="K53">
            <v>6.8239985130735024</v>
          </cell>
          <cell r="L53">
            <v>6.8810994810534449</v>
          </cell>
          <cell r="M53">
            <v>6.972443317992405</v>
          </cell>
          <cell r="N53">
            <v>7.0487509205228083</v>
          </cell>
          <cell r="O53">
            <v>7.0229324507308002</v>
          </cell>
          <cell r="P53">
            <v>7.1509167567505285</v>
          </cell>
          <cell r="Q53">
            <v>7.1829006367635158</v>
          </cell>
          <cell r="R53">
            <v>7.838671591695543</v>
          </cell>
          <cell r="S53">
            <v>8.1310275185695211</v>
          </cell>
          <cell r="T53">
            <v>8.1310275185695211</v>
          </cell>
          <cell r="U53">
            <v>8.1310275185695211</v>
          </cell>
          <cell r="V53">
            <v>8.1310275185695211</v>
          </cell>
          <cell r="W53">
            <v>8.1310275185695211</v>
          </cell>
          <cell r="X53">
            <v>8.1310275185695211</v>
          </cell>
          <cell r="Y53">
            <v>8.1310275185695211</v>
          </cell>
          <cell r="Z53">
            <v>8.1310275185695211</v>
          </cell>
          <cell r="AA53">
            <v>8.1310275185695211</v>
          </cell>
          <cell r="AB53">
            <v>8.1310275185695211</v>
          </cell>
          <cell r="AC53">
            <v>8.1310275185695211</v>
          </cell>
          <cell r="AD53">
            <v>8.1310275185695211</v>
          </cell>
          <cell r="AE53">
            <v>8.1310275185695211</v>
          </cell>
          <cell r="AF53">
            <v>8.1310275185695211</v>
          </cell>
        </row>
        <row r="55">
          <cell r="A55" t="str">
            <v>Dairy Replacements</v>
          </cell>
          <cell r="B55">
            <v>1990</v>
          </cell>
          <cell r="C55">
            <v>1991</v>
          </cell>
          <cell r="D55">
            <v>1992</v>
          </cell>
          <cell r="E55">
            <v>1993</v>
          </cell>
          <cell r="F55">
            <v>1994</v>
          </cell>
          <cell r="G55">
            <v>1995</v>
          </cell>
          <cell r="H55">
            <v>1996</v>
          </cell>
          <cell r="I55">
            <v>1997</v>
          </cell>
          <cell r="J55">
            <v>1998</v>
          </cell>
          <cell r="K55">
            <v>1999</v>
          </cell>
          <cell r="L55">
            <v>2000</v>
          </cell>
          <cell r="M55">
            <v>2001</v>
          </cell>
          <cell r="N55">
            <v>2002</v>
          </cell>
          <cell r="O55">
            <v>2003</v>
          </cell>
          <cell r="P55">
            <v>2004</v>
          </cell>
          <cell r="Q55">
            <v>2005</v>
          </cell>
          <cell r="R55">
            <v>2006</v>
          </cell>
          <cell r="S55">
            <v>2007</v>
          </cell>
          <cell r="T55">
            <v>2008</v>
          </cell>
          <cell r="U55">
            <v>2009</v>
          </cell>
          <cell r="V55">
            <v>2010</v>
          </cell>
          <cell r="W55">
            <v>2011</v>
          </cell>
          <cell r="X55">
            <v>2012</v>
          </cell>
          <cell r="Y55">
            <v>2013</v>
          </cell>
          <cell r="Z55">
            <v>2014</v>
          </cell>
          <cell r="AA55">
            <v>2015</v>
          </cell>
          <cell r="AB55">
            <v>2016</v>
          </cell>
          <cell r="AC55">
            <v>2017</v>
          </cell>
          <cell r="AD55">
            <v>2018</v>
          </cell>
          <cell r="AE55">
            <v>2019</v>
          </cell>
          <cell r="AF55">
            <v>2020</v>
          </cell>
        </row>
        <row r="56">
          <cell r="A56" t="str">
            <v>Alabama</v>
          </cell>
          <cell r="B56">
            <v>7.4244257975461538</v>
          </cell>
          <cell r="C56">
            <v>7.4270847091491126</v>
          </cell>
          <cell r="D56">
            <v>7.4273384913097154</v>
          </cell>
          <cell r="E56">
            <v>7.4257401459392716</v>
          </cell>
          <cell r="F56">
            <v>7.4267728459529243</v>
          </cell>
          <cell r="G56">
            <v>7.4265832924357635</v>
          </cell>
          <cell r="H56">
            <v>7.4260608391227922</v>
          </cell>
          <cell r="I56">
            <v>7.4246502334324864</v>
          </cell>
          <cell r="J56">
            <v>7.4274224144707111</v>
          </cell>
          <cell r="K56">
            <v>7.4248945699605189</v>
          </cell>
          <cell r="L56">
            <v>7.4277274403708731</v>
          </cell>
          <cell r="M56">
            <v>7.4157721839183308</v>
          </cell>
          <cell r="N56">
            <v>7.4168666254564393</v>
          </cell>
          <cell r="O56">
            <v>7.4139199468050769</v>
          </cell>
          <cell r="P56">
            <v>7.4177729115685462</v>
          </cell>
          <cell r="Q56">
            <v>7.4187762609740275</v>
          </cell>
          <cell r="R56">
            <v>7.4167307672934584</v>
          </cell>
          <cell r="S56">
            <v>7.4188382815555549</v>
          </cell>
          <cell r="T56">
            <v>7.4188382815555549</v>
          </cell>
          <cell r="U56">
            <v>7.4188382815555549</v>
          </cell>
          <cell r="V56">
            <v>7.4188382815555549</v>
          </cell>
          <cell r="W56">
            <v>7.4188382815555549</v>
          </cell>
          <cell r="X56">
            <v>7.4188382815555549</v>
          </cell>
          <cell r="Y56">
            <v>7.4188382815555549</v>
          </cell>
          <cell r="Z56">
            <v>7.4188382815555549</v>
          </cell>
          <cell r="AA56">
            <v>7.4188382815555549</v>
          </cell>
          <cell r="AB56">
            <v>7.4188382815555549</v>
          </cell>
          <cell r="AC56">
            <v>7.4188382815555549</v>
          </cell>
          <cell r="AD56">
            <v>7.4188382815555549</v>
          </cell>
          <cell r="AE56">
            <v>7.4188382815555549</v>
          </cell>
          <cell r="AF56">
            <v>7.4188382815555549</v>
          </cell>
        </row>
        <row r="57">
          <cell r="A57" t="str">
            <v>Alaska</v>
          </cell>
          <cell r="B57">
            <v>7.4244257975461538</v>
          </cell>
          <cell r="C57">
            <v>7.4270847091491126</v>
          </cell>
          <cell r="D57">
            <v>7.427338491309718</v>
          </cell>
          <cell r="E57">
            <v>7.4257401459392725</v>
          </cell>
          <cell r="F57">
            <v>7.426772845952927</v>
          </cell>
          <cell r="G57">
            <v>7.4265832924357644</v>
          </cell>
          <cell r="H57">
            <v>7.4260608391227922</v>
          </cell>
          <cell r="I57">
            <v>7.4246502334324855</v>
          </cell>
          <cell r="J57">
            <v>7.4274224144707084</v>
          </cell>
          <cell r="K57">
            <v>7.4248945699605198</v>
          </cell>
          <cell r="L57">
            <v>7.427727440370874</v>
          </cell>
          <cell r="M57">
            <v>7.4157721839183282</v>
          </cell>
          <cell r="N57">
            <v>7.4168666254564419</v>
          </cell>
          <cell r="O57">
            <v>7.4139199468050778</v>
          </cell>
          <cell r="P57">
            <v>7.4177729115685462</v>
          </cell>
          <cell r="Q57">
            <v>7.4187762609740293</v>
          </cell>
          <cell r="R57">
            <v>7.416730767293461</v>
          </cell>
          <cell r="S57">
            <v>7.4188382815555531</v>
          </cell>
          <cell r="T57">
            <v>7.4188382815555531</v>
          </cell>
          <cell r="U57">
            <v>7.4188382815555531</v>
          </cell>
          <cell r="V57">
            <v>7.4188382815555531</v>
          </cell>
          <cell r="W57">
            <v>7.4188382815555531</v>
          </cell>
          <cell r="X57">
            <v>7.4188382815555531</v>
          </cell>
          <cell r="Y57">
            <v>7.4188382815555531</v>
          </cell>
          <cell r="Z57">
            <v>7.4188382815555531</v>
          </cell>
          <cell r="AA57">
            <v>7.4188382815555531</v>
          </cell>
          <cell r="AB57">
            <v>7.4188382815555531</v>
          </cell>
          <cell r="AC57">
            <v>7.4188382815555531</v>
          </cell>
          <cell r="AD57">
            <v>7.4188382815555531</v>
          </cell>
          <cell r="AE57">
            <v>7.4188382815555531</v>
          </cell>
          <cell r="AF57">
            <v>7.4188382815555531</v>
          </cell>
        </row>
        <row r="58">
          <cell r="A58" t="str">
            <v>Arizona</v>
          </cell>
          <cell r="B58">
            <v>7.4244257975461565</v>
          </cell>
          <cell r="C58">
            <v>7.4270847091491126</v>
          </cell>
          <cell r="D58">
            <v>7.4273384913097171</v>
          </cell>
          <cell r="E58">
            <v>7.4257401459392725</v>
          </cell>
          <cell r="F58">
            <v>7.4267728459529243</v>
          </cell>
          <cell r="G58">
            <v>7.4265832924357627</v>
          </cell>
          <cell r="H58">
            <v>7.426060839122794</v>
          </cell>
          <cell r="I58">
            <v>7.4246502334324855</v>
          </cell>
          <cell r="J58">
            <v>7.4274224144707093</v>
          </cell>
          <cell r="K58">
            <v>7.4248945699605189</v>
          </cell>
          <cell r="L58">
            <v>7.427727440370874</v>
          </cell>
          <cell r="M58">
            <v>7.4157721839183308</v>
          </cell>
          <cell r="N58">
            <v>7.4168666254564419</v>
          </cell>
          <cell r="O58">
            <v>7.4139199468050769</v>
          </cell>
          <cell r="P58">
            <v>7.4177729115685462</v>
          </cell>
          <cell r="Q58">
            <v>7.4187762609740302</v>
          </cell>
          <cell r="R58">
            <v>7.416730767293461</v>
          </cell>
          <cell r="S58">
            <v>7.4188382815555522</v>
          </cell>
          <cell r="T58">
            <v>7.4188382815555522</v>
          </cell>
          <cell r="U58">
            <v>7.4188382815555522</v>
          </cell>
          <cell r="V58">
            <v>7.4188382815555522</v>
          </cell>
          <cell r="W58">
            <v>7.4188382815555522</v>
          </cell>
          <cell r="X58">
            <v>7.4188382815555522</v>
          </cell>
          <cell r="Y58">
            <v>7.4188382815555522</v>
          </cell>
          <cell r="Z58">
            <v>7.4188382815555522</v>
          </cell>
          <cell r="AA58">
            <v>7.4188382815555522</v>
          </cell>
          <cell r="AB58">
            <v>7.4188382815555522</v>
          </cell>
          <cell r="AC58">
            <v>7.4188382815555522</v>
          </cell>
          <cell r="AD58">
            <v>7.4188382815555522</v>
          </cell>
          <cell r="AE58">
            <v>7.4188382815555522</v>
          </cell>
          <cell r="AF58">
            <v>7.4188382815555522</v>
          </cell>
        </row>
        <row r="59">
          <cell r="A59" t="str">
            <v>Arkansas</v>
          </cell>
          <cell r="B59">
            <v>8.2288479404102617</v>
          </cell>
          <cell r="C59">
            <v>8.2317918019240697</v>
          </cell>
          <cell r="D59">
            <v>8.2320729113149103</v>
          </cell>
          <cell r="E59">
            <v>8.2303025567370742</v>
          </cell>
          <cell r="F59">
            <v>8.2314462032010738</v>
          </cell>
          <cell r="G59">
            <v>8.2312352923523697</v>
          </cell>
          <cell r="H59">
            <v>8.230657126301006</v>
          </cell>
          <cell r="I59">
            <v>8.2290957145784347</v>
          </cell>
          <cell r="J59">
            <v>8.2321666411366614</v>
          </cell>
          <cell r="K59">
            <v>8.2293666284637474</v>
          </cell>
          <cell r="L59">
            <v>8.2325030470501588</v>
          </cell>
          <cell r="M59">
            <v>8.2193429773749642</v>
          </cell>
          <cell r="N59">
            <v>8.2205552070608476</v>
          </cell>
          <cell r="O59">
            <v>8.217292110317489</v>
          </cell>
          <cell r="P59">
            <v>8.2215582866774675</v>
          </cell>
          <cell r="Q59">
            <v>8.2226697589026241</v>
          </cell>
          <cell r="R59">
            <v>8.2204041962349592</v>
          </cell>
          <cell r="S59">
            <v>8.2227376673712911</v>
          </cell>
          <cell r="T59">
            <v>8.2227376673712911</v>
          </cell>
          <cell r="U59">
            <v>8.2227376673712911</v>
          </cell>
          <cell r="V59">
            <v>8.2227376673712911</v>
          </cell>
          <cell r="W59">
            <v>8.2227376673712911</v>
          </cell>
          <cell r="X59">
            <v>8.2227376673712911</v>
          </cell>
          <cell r="Y59">
            <v>8.2227376673712911</v>
          </cell>
          <cell r="Z59">
            <v>8.2227376673712911</v>
          </cell>
          <cell r="AA59">
            <v>8.2227376673712911</v>
          </cell>
          <cell r="AB59">
            <v>8.2227376673712911</v>
          </cell>
          <cell r="AC59">
            <v>8.2227376673712911</v>
          </cell>
          <cell r="AD59">
            <v>8.2227376673712911</v>
          </cell>
          <cell r="AE59">
            <v>8.2227376673712911</v>
          </cell>
          <cell r="AF59">
            <v>8.2227376673712911</v>
          </cell>
        </row>
        <row r="60">
          <cell r="A60" t="str">
            <v>California</v>
          </cell>
          <cell r="B60">
            <v>7.4244257975461547</v>
          </cell>
          <cell r="C60">
            <v>7.4270847091491126</v>
          </cell>
          <cell r="D60">
            <v>7.4273384913097171</v>
          </cell>
          <cell r="E60">
            <v>7.4257401459392716</v>
          </cell>
          <cell r="F60">
            <v>7.426772845952927</v>
          </cell>
          <cell r="G60">
            <v>7.4265832924357644</v>
          </cell>
          <cell r="H60">
            <v>7.4260608391227896</v>
          </cell>
          <cell r="I60">
            <v>7.4246502334324855</v>
          </cell>
          <cell r="J60">
            <v>7.4274224144707084</v>
          </cell>
          <cell r="K60">
            <v>7.4248945699605189</v>
          </cell>
          <cell r="L60">
            <v>7.4277274403708731</v>
          </cell>
          <cell r="M60">
            <v>7.415772183918329</v>
          </cell>
          <cell r="N60">
            <v>7.4168666254564419</v>
          </cell>
          <cell r="O60">
            <v>7.4139199468050769</v>
          </cell>
          <cell r="P60">
            <v>7.4177729115685471</v>
          </cell>
          <cell r="Q60">
            <v>7.4187762609740293</v>
          </cell>
          <cell r="R60">
            <v>7.416730767293461</v>
          </cell>
          <cell r="S60">
            <v>7.4188382815555531</v>
          </cell>
          <cell r="T60">
            <v>7.4188382815555531</v>
          </cell>
          <cell r="U60">
            <v>7.4188382815555531</v>
          </cell>
          <cell r="V60">
            <v>7.4188382815555531</v>
          </cell>
          <cell r="W60">
            <v>7.4188382815555531</v>
          </cell>
          <cell r="X60">
            <v>7.4188382815555531</v>
          </cell>
          <cell r="Y60">
            <v>7.4188382815555531</v>
          </cell>
          <cell r="Z60">
            <v>7.4188382815555531</v>
          </cell>
          <cell r="AA60">
            <v>7.4188382815555531</v>
          </cell>
          <cell r="AB60">
            <v>7.4188382815555531</v>
          </cell>
          <cell r="AC60">
            <v>7.4188382815555531</v>
          </cell>
          <cell r="AD60">
            <v>7.4188382815555531</v>
          </cell>
          <cell r="AE60">
            <v>7.4188382815555531</v>
          </cell>
          <cell r="AF60">
            <v>7.4188382815555531</v>
          </cell>
        </row>
        <row r="61">
          <cell r="A61" t="str">
            <v>Colorado</v>
          </cell>
          <cell r="B61">
            <v>7.4244257975461538</v>
          </cell>
          <cell r="C61">
            <v>7.4270847091491099</v>
          </cell>
          <cell r="D61">
            <v>7.4273384913097154</v>
          </cell>
          <cell r="E61">
            <v>7.4257401459392725</v>
          </cell>
          <cell r="F61">
            <v>7.426772845952927</v>
          </cell>
          <cell r="G61">
            <v>7.4265832924357662</v>
          </cell>
          <cell r="H61">
            <v>7.426060839122794</v>
          </cell>
          <cell r="I61">
            <v>7.4246502334324882</v>
          </cell>
          <cell r="J61">
            <v>7.4274224144707084</v>
          </cell>
          <cell r="K61">
            <v>7.4248945699605189</v>
          </cell>
          <cell r="L61">
            <v>7.4277274403708731</v>
          </cell>
          <cell r="M61">
            <v>7.415772183918329</v>
          </cell>
          <cell r="N61">
            <v>7.416866625456441</v>
          </cell>
          <cell r="O61">
            <v>7.4139199468050778</v>
          </cell>
          <cell r="P61">
            <v>7.4177729115685462</v>
          </cell>
          <cell r="Q61">
            <v>7.4187762609740275</v>
          </cell>
          <cell r="R61">
            <v>7.416730767293461</v>
          </cell>
          <cell r="S61">
            <v>7.4188382815555522</v>
          </cell>
          <cell r="T61">
            <v>7.4188382815555522</v>
          </cell>
          <cell r="U61">
            <v>7.4188382815555522</v>
          </cell>
          <cell r="V61">
            <v>7.4188382815555522</v>
          </cell>
          <cell r="W61">
            <v>7.4188382815555522</v>
          </cell>
          <cell r="X61">
            <v>7.4188382815555522</v>
          </cell>
          <cell r="Y61">
            <v>7.4188382815555522</v>
          </cell>
          <cell r="Z61">
            <v>7.4188382815555522</v>
          </cell>
          <cell r="AA61">
            <v>7.4188382815555522</v>
          </cell>
          <cell r="AB61">
            <v>7.4188382815555522</v>
          </cell>
          <cell r="AC61">
            <v>7.4188382815555522</v>
          </cell>
          <cell r="AD61">
            <v>7.4188382815555522</v>
          </cell>
          <cell r="AE61">
            <v>7.4188382815555522</v>
          </cell>
          <cell r="AF61">
            <v>7.4188382815555522</v>
          </cell>
        </row>
        <row r="62">
          <cell r="A62" t="str">
            <v>Connecticut</v>
          </cell>
          <cell r="B62">
            <v>6.7022358854945905</v>
          </cell>
          <cell r="C62">
            <v>6.7046383817894482</v>
          </cell>
          <cell r="D62">
            <v>6.7048675981276435</v>
          </cell>
          <cell r="E62">
            <v>6.7034238996302529</v>
          </cell>
          <cell r="F62">
            <v>6.7043568157747711</v>
          </cell>
          <cell r="G62">
            <v>6.7041862810707018</v>
          </cell>
          <cell r="H62">
            <v>6.7037140146210676</v>
          </cell>
          <cell r="I62">
            <v>6.7024391834149188</v>
          </cell>
          <cell r="J62">
            <v>6.7049428523286778</v>
          </cell>
          <cell r="K62">
            <v>6.7026596791576178</v>
          </cell>
          <cell r="L62">
            <v>6.7052193898777537</v>
          </cell>
          <cell r="M62">
            <v>6.6943629316514146</v>
          </cell>
          <cell r="N62">
            <v>6.6953514758351922</v>
          </cell>
          <cell r="O62">
            <v>6.6926894090491365</v>
          </cell>
          <cell r="P62">
            <v>6.6961705978049073</v>
          </cell>
          <cell r="Q62">
            <v>6.6970767658517802</v>
          </cell>
          <cell r="R62">
            <v>6.6952291393811194</v>
          </cell>
          <cell r="S62">
            <v>6.697133342837132</v>
          </cell>
          <cell r="T62">
            <v>6.697133342837132</v>
          </cell>
          <cell r="U62">
            <v>6.697133342837132</v>
          </cell>
          <cell r="V62">
            <v>6.697133342837132</v>
          </cell>
          <cell r="W62">
            <v>6.697133342837132</v>
          </cell>
          <cell r="X62">
            <v>6.697133342837132</v>
          </cell>
          <cell r="Y62">
            <v>6.697133342837132</v>
          </cell>
          <cell r="Z62">
            <v>6.697133342837132</v>
          </cell>
          <cell r="AA62">
            <v>6.697133342837132</v>
          </cell>
          <cell r="AB62">
            <v>6.697133342837132</v>
          </cell>
          <cell r="AC62">
            <v>6.697133342837132</v>
          </cell>
          <cell r="AD62">
            <v>6.697133342837132</v>
          </cell>
          <cell r="AE62">
            <v>6.697133342837132</v>
          </cell>
          <cell r="AF62">
            <v>6.697133342837132</v>
          </cell>
        </row>
        <row r="63">
          <cell r="A63" t="str">
            <v>Delaware</v>
          </cell>
          <cell r="B63">
            <v>6.7022358854945905</v>
          </cell>
          <cell r="C63">
            <v>6.7046383817894482</v>
          </cell>
          <cell r="D63">
            <v>6.7048675981276453</v>
          </cell>
          <cell r="E63">
            <v>6.7034238996302538</v>
          </cell>
          <cell r="F63">
            <v>6.7043568157747719</v>
          </cell>
          <cell r="G63">
            <v>6.7041862810707009</v>
          </cell>
          <cell r="H63">
            <v>6.7037140146210685</v>
          </cell>
          <cell r="I63">
            <v>6.702439183414918</v>
          </cell>
          <cell r="J63">
            <v>6.7049428523286778</v>
          </cell>
          <cell r="K63">
            <v>6.7026596791576205</v>
          </cell>
          <cell r="L63">
            <v>6.7052193898777528</v>
          </cell>
          <cell r="M63">
            <v>6.6943629316514146</v>
          </cell>
          <cell r="N63">
            <v>6.6953514758351922</v>
          </cell>
          <cell r="O63">
            <v>6.69268940904914</v>
          </cell>
          <cell r="P63">
            <v>6.6961705978049073</v>
          </cell>
          <cell r="Q63">
            <v>6.6970767658517785</v>
          </cell>
          <cell r="R63">
            <v>6.6952291393811167</v>
          </cell>
          <cell r="S63">
            <v>6.697133342837132</v>
          </cell>
          <cell r="T63">
            <v>6.697133342837132</v>
          </cell>
          <cell r="U63">
            <v>6.697133342837132</v>
          </cell>
          <cell r="V63">
            <v>6.697133342837132</v>
          </cell>
          <cell r="W63">
            <v>6.697133342837132</v>
          </cell>
          <cell r="X63">
            <v>6.697133342837132</v>
          </cell>
          <cell r="Y63">
            <v>6.697133342837132</v>
          </cell>
          <cell r="Z63">
            <v>6.697133342837132</v>
          </cell>
          <cell r="AA63">
            <v>6.697133342837132</v>
          </cell>
          <cell r="AB63">
            <v>6.697133342837132</v>
          </cell>
          <cell r="AC63">
            <v>6.697133342837132</v>
          </cell>
          <cell r="AD63">
            <v>6.697133342837132</v>
          </cell>
          <cell r="AE63">
            <v>6.697133342837132</v>
          </cell>
          <cell r="AF63">
            <v>6.697133342837132</v>
          </cell>
        </row>
        <row r="64">
          <cell r="A64" t="str">
            <v>Florida</v>
          </cell>
          <cell r="B64">
            <v>7.4244257975461547</v>
          </cell>
          <cell r="C64">
            <v>7.4270847091491099</v>
          </cell>
          <cell r="D64">
            <v>7.4273384913097171</v>
          </cell>
          <cell r="E64">
            <v>7.4257401459392716</v>
          </cell>
          <cell r="F64">
            <v>7.4267728459529287</v>
          </cell>
          <cell r="G64">
            <v>7.4265832924357627</v>
          </cell>
          <cell r="H64">
            <v>7.4260608391227914</v>
          </cell>
          <cell r="I64">
            <v>7.4246502334324855</v>
          </cell>
          <cell r="J64">
            <v>7.4274224144707093</v>
          </cell>
          <cell r="K64">
            <v>7.4248945699605189</v>
          </cell>
          <cell r="L64">
            <v>7.4277274403708731</v>
          </cell>
          <cell r="M64">
            <v>7.4157721839183317</v>
          </cell>
          <cell r="N64">
            <v>7.416866625456441</v>
          </cell>
          <cell r="O64">
            <v>7.4139199468050778</v>
          </cell>
          <cell r="P64">
            <v>7.4177729115685462</v>
          </cell>
          <cell r="Q64">
            <v>7.4187762609740302</v>
          </cell>
          <cell r="R64">
            <v>7.4167307672934619</v>
          </cell>
          <cell r="S64">
            <v>7.4188382815555522</v>
          </cell>
          <cell r="T64">
            <v>7.4188382815555522</v>
          </cell>
          <cell r="U64">
            <v>7.4188382815555522</v>
          </cell>
          <cell r="V64">
            <v>7.4188382815555522</v>
          </cell>
          <cell r="W64">
            <v>7.4188382815555522</v>
          </cell>
          <cell r="X64">
            <v>7.4188382815555522</v>
          </cell>
          <cell r="Y64">
            <v>7.4188382815555522</v>
          </cell>
          <cell r="Z64">
            <v>7.4188382815555522</v>
          </cell>
          <cell r="AA64">
            <v>7.4188382815555522</v>
          </cell>
          <cell r="AB64">
            <v>7.4188382815555522</v>
          </cell>
          <cell r="AC64">
            <v>7.4188382815555522</v>
          </cell>
          <cell r="AD64">
            <v>7.4188382815555522</v>
          </cell>
          <cell r="AE64">
            <v>7.4188382815555522</v>
          </cell>
          <cell r="AF64">
            <v>7.4188382815555522</v>
          </cell>
        </row>
        <row r="65">
          <cell r="A65" t="str">
            <v>Georgia</v>
          </cell>
          <cell r="B65">
            <v>7.4244257975461547</v>
          </cell>
          <cell r="C65">
            <v>7.4270847091491099</v>
          </cell>
          <cell r="D65">
            <v>7.4273384913097145</v>
          </cell>
          <cell r="E65">
            <v>7.4257401459392716</v>
          </cell>
          <cell r="F65">
            <v>7.426772845952927</v>
          </cell>
          <cell r="G65">
            <v>7.4265832924357635</v>
          </cell>
          <cell r="H65">
            <v>7.4260608391227922</v>
          </cell>
          <cell r="I65">
            <v>7.4246502334324838</v>
          </cell>
          <cell r="J65">
            <v>7.4274224144707111</v>
          </cell>
          <cell r="K65">
            <v>7.4248945699605198</v>
          </cell>
          <cell r="L65">
            <v>7.4277274403708722</v>
          </cell>
          <cell r="M65">
            <v>7.4157721839183308</v>
          </cell>
          <cell r="N65">
            <v>7.416866625456441</v>
          </cell>
          <cell r="O65">
            <v>7.4139199468050778</v>
          </cell>
          <cell r="P65">
            <v>7.4177729115685445</v>
          </cell>
          <cell r="Q65">
            <v>7.4187762609740302</v>
          </cell>
          <cell r="R65">
            <v>7.4167307672934619</v>
          </cell>
          <cell r="S65">
            <v>7.4188382815555549</v>
          </cell>
          <cell r="T65">
            <v>7.4188382815555549</v>
          </cell>
          <cell r="U65">
            <v>7.4188382815555549</v>
          </cell>
          <cell r="V65">
            <v>7.4188382815555549</v>
          </cell>
          <cell r="W65">
            <v>7.4188382815555549</v>
          </cell>
          <cell r="X65">
            <v>7.4188382815555549</v>
          </cell>
          <cell r="Y65">
            <v>7.4188382815555549</v>
          </cell>
          <cell r="Z65">
            <v>7.4188382815555549</v>
          </cell>
          <cell r="AA65">
            <v>7.4188382815555549</v>
          </cell>
          <cell r="AB65">
            <v>7.4188382815555549</v>
          </cell>
          <cell r="AC65">
            <v>7.4188382815555549</v>
          </cell>
          <cell r="AD65">
            <v>7.4188382815555549</v>
          </cell>
          <cell r="AE65">
            <v>7.4188382815555549</v>
          </cell>
          <cell r="AF65">
            <v>7.4188382815555549</v>
          </cell>
        </row>
        <row r="66">
          <cell r="A66" t="str">
            <v>Hawaii</v>
          </cell>
          <cell r="B66">
            <v>7.4244257975461547</v>
          </cell>
          <cell r="C66">
            <v>7.4270847091491099</v>
          </cell>
          <cell r="D66">
            <v>7.4273384913097171</v>
          </cell>
          <cell r="E66">
            <v>7.4257401459392716</v>
          </cell>
          <cell r="F66">
            <v>7.4267728459529279</v>
          </cell>
          <cell r="G66">
            <v>7.4265832924357689</v>
          </cell>
          <cell r="H66">
            <v>7.4260608391227914</v>
          </cell>
          <cell r="I66">
            <v>7.4246502334324855</v>
          </cell>
          <cell r="J66">
            <v>7.4274224144707111</v>
          </cell>
          <cell r="K66">
            <v>7.4248945699605189</v>
          </cell>
          <cell r="L66">
            <v>7.427727440370874</v>
          </cell>
          <cell r="M66">
            <v>7.4157721839183308</v>
          </cell>
          <cell r="N66">
            <v>7.416866625456441</v>
          </cell>
          <cell r="O66">
            <v>7.4139199468050778</v>
          </cell>
          <cell r="P66">
            <v>7.4177729115685462</v>
          </cell>
          <cell r="Q66">
            <v>7.4187762609740293</v>
          </cell>
          <cell r="R66">
            <v>7.416730767293461</v>
          </cell>
          <cell r="S66">
            <v>7.4188382815555531</v>
          </cell>
          <cell r="T66">
            <v>7.4188382815555531</v>
          </cell>
          <cell r="U66">
            <v>7.4188382815555531</v>
          </cell>
          <cell r="V66">
            <v>7.4188382815555531</v>
          </cell>
          <cell r="W66">
            <v>7.4188382815555531</v>
          </cell>
          <cell r="X66">
            <v>7.4188382815555531</v>
          </cell>
          <cell r="Y66">
            <v>7.4188382815555531</v>
          </cell>
          <cell r="Z66">
            <v>7.4188382815555531</v>
          </cell>
          <cell r="AA66">
            <v>7.4188382815555531</v>
          </cell>
          <cell r="AB66">
            <v>7.4188382815555531</v>
          </cell>
          <cell r="AC66">
            <v>7.4188382815555531</v>
          </cell>
          <cell r="AD66">
            <v>7.4188382815555531</v>
          </cell>
          <cell r="AE66">
            <v>7.4188382815555531</v>
          </cell>
          <cell r="AF66">
            <v>7.4188382815555531</v>
          </cell>
        </row>
        <row r="67">
          <cell r="A67" t="str">
            <v>Idaho</v>
          </cell>
          <cell r="B67">
            <v>7.4244257975461547</v>
          </cell>
          <cell r="C67">
            <v>7.4270847091491117</v>
          </cell>
          <cell r="D67">
            <v>7.4273384913097154</v>
          </cell>
          <cell r="E67">
            <v>7.4257401459392733</v>
          </cell>
          <cell r="F67">
            <v>7.4267728459529279</v>
          </cell>
          <cell r="G67">
            <v>7.4265832924357644</v>
          </cell>
          <cell r="H67">
            <v>7.426060839122794</v>
          </cell>
          <cell r="I67">
            <v>7.4246502334324838</v>
          </cell>
          <cell r="J67">
            <v>7.4274224144707093</v>
          </cell>
          <cell r="K67">
            <v>7.4248945699605198</v>
          </cell>
          <cell r="L67">
            <v>7.4277274403708731</v>
          </cell>
          <cell r="M67">
            <v>7.4157721839183317</v>
          </cell>
          <cell r="N67">
            <v>7.4168666254564393</v>
          </cell>
          <cell r="O67">
            <v>7.4139199468050752</v>
          </cell>
          <cell r="P67">
            <v>7.4177729115685462</v>
          </cell>
          <cell r="Q67">
            <v>7.4187762609740275</v>
          </cell>
          <cell r="R67">
            <v>7.416730767293461</v>
          </cell>
          <cell r="S67">
            <v>7.4188382815555522</v>
          </cell>
          <cell r="T67">
            <v>7.4188382815555522</v>
          </cell>
          <cell r="U67">
            <v>7.4188382815555522</v>
          </cell>
          <cell r="V67">
            <v>7.4188382815555522</v>
          </cell>
          <cell r="W67">
            <v>7.4188382815555522</v>
          </cell>
          <cell r="X67">
            <v>7.4188382815555522</v>
          </cell>
          <cell r="Y67">
            <v>7.4188382815555522</v>
          </cell>
          <cell r="Z67">
            <v>7.4188382815555522</v>
          </cell>
          <cell r="AA67">
            <v>7.4188382815555522</v>
          </cell>
          <cell r="AB67">
            <v>7.4188382815555522</v>
          </cell>
          <cell r="AC67">
            <v>7.4188382815555522</v>
          </cell>
          <cell r="AD67">
            <v>7.4188382815555522</v>
          </cell>
          <cell r="AE67">
            <v>7.4188382815555522</v>
          </cell>
          <cell r="AF67">
            <v>7.4188382815555522</v>
          </cell>
        </row>
        <row r="68">
          <cell r="A68" t="str">
            <v>Illinois</v>
          </cell>
          <cell r="B68">
            <v>7.4244257975461538</v>
          </cell>
          <cell r="C68">
            <v>7.4270847091491126</v>
          </cell>
          <cell r="D68">
            <v>7.4273384913097171</v>
          </cell>
          <cell r="E68">
            <v>7.4257401459392716</v>
          </cell>
          <cell r="F68">
            <v>7.4267728459529279</v>
          </cell>
          <cell r="G68">
            <v>7.4265832924357644</v>
          </cell>
          <cell r="H68">
            <v>7.4260608391227922</v>
          </cell>
          <cell r="I68">
            <v>7.4246502334324864</v>
          </cell>
          <cell r="J68">
            <v>7.4274224144707111</v>
          </cell>
          <cell r="K68">
            <v>7.4248945699605189</v>
          </cell>
          <cell r="L68">
            <v>7.427727440370874</v>
          </cell>
          <cell r="M68">
            <v>7.4157721839183308</v>
          </cell>
          <cell r="N68">
            <v>7.416866625456441</v>
          </cell>
          <cell r="O68">
            <v>7.4139199468050769</v>
          </cell>
          <cell r="P68">
            <v>7.4177729115685445</v>
          </cell>
          <cell r="Q68">
            <v>7.4187762609740293</v>
          </cell>
          <cell r="R68">
            <v>7.416730767293461</v>
          </cell>
          <cell r="S68">
            <v>7.4188382815555522</v>
          </cell>
          <cell r="T68">
            <v>7.4188382815555522</v>
          </cell>
          <cell r="U68">
            <v>7.4188382815555522</v>
          </cell>
          <cell r="V68">
            <v>7.4188382815555522</v>
          </cell>
          <cell r="W68">
            <v>7.4188382815555522</v>
          </cell>
          <cell r="X68">
            <v>7.4188382815555522</v>
          </cell>
          <cell r="Y68">
            <v>7.4188382815555522</v>
          </cell>
          <cell r="Z68">
            <v>7.4188382815555522</v>
          </cell>
          <cell r="AA68">
            <v>7.4188382815555522</v>
          </cell>
          <cell r="AB68">
            <v>7.4188382815555522</v>
          </cell>
          <cell r="AC68">
            <v>7.4188382815555522</v>
          </cell>
          <cell r="AD68">
            <v>7.4188382815555522</v>
          </cell>
          <cell r="AE68">
            <v>7.4188382815555522</v>
          </cell>
          <cell r="AF68">
            <v>7.4188382815555522</v>
          </cell>
        </row>
        <row r="69">
          <cell r="A69" t="str">
            <v>Indiana</v>
          </cell>
          <cell r="B69">
            <v>7.4244257975461547</v>
          </cell>
          <cell r="C69">
            <v>7.4270847091491117</v>
          </cell>
          <cell r="D69">
            <v>7.4273384913097154</v>
          </cell>
          <cell r="E69">
            <v>7.4257401459392716</v>
          </cell>
          <cell r="F69">
            <v>7.4267728459529287</v>
          </cell>
          <cell r="G69">
            <v>7.4265832924357644</v>
          </cell>
          <cell r="H69">
            <v>7.426060839122794</v>
          </cell>
          <cell r="I69">
            <v>7.4246502334324864</v>
          </cell>
          <cell r="J69">
            <v>7.4274224144707093</v>
          </cell>
          <cell r="K69">
            <v>7.4248945699605198</v>
          </cell>
          <cell r="L69">
            <v>7.427727440370874</v>
          </cell>
          <cell r="M69">
            <v>7.4157721839183308</v>
          </cell>
          <cell r="N69">
            <v>7.4168666254564419</v>
          </cell>
          <cell r="O69">
            <v>7.4139199468050778</v>
          </cell>
          <cell r="P69">
            <v>7.4177729115685462</v>
          </cell>
          <cell r="Q69">
            <v>7.4187762609740275</v>
          </cell>
          <cell r="R69">
            <v>7.4167307672934619</v>
          </cell>
          <cell r="S69">
            <v>7.4188382815555549</v>
          </cell>
          <cell r="T69">
            <v>7.4188382815555549</v>
          </cell>
          <cell r="U69">
            <v>7.4188382815555549</v>
          </cell>
          <cell r="V69">
            <v>7.4188382815555549</v>
          </cell>
          <cell r="W69">
            <v>7.4188382815555549</v>
          </cell>
          <cell r="X69">
            <v>7.4188382815555549</v>
          </cell>
          <cell r="Y69">
            <v>7.4188382815555549</v>
          </cell>
          <cell r="Z69">
            <v>7.4188382815555549</v>
          </cell>
          <cell r="AA69">
            <v>7.4188382815555549</v>
          </cell>
          <cell r="AB69">
            <v>7.4188382815555549</v>
          </cell>
          <cell r="AC69">
            <v>7.4188382815555549</v>
          </cell>
          <cell r="AD69">
            <v>7.4188382815555549</v>
          </cell>
          <cell r="AE69">
            <v>7.4188382815555549</v>
          </cell>
          <cell r="AF69">
            <v>7.4188382815555549</v>
          </cell>
        </row>
        <row r="70">
          <cell r="A70" t="str">
            <v>Iowa</v>
          </cell>
          <cell r="B70">
            <v>7.4244257975461565</v>
          </cell>
          <cell r="C70">
            <v>7.4270847091491099</v>
          </cell>
          <cell r="D70">
            <v>7.4273384913097154</v>
          </cell>
          <cell r="E70">
            <v>7.4257401459392733</v>
          </cell>
          <cell r="F70">
            <v>7.426772845952927</v>
          </cell>
          <cell r="G70">
            <v>7.4265832924357644</v>
          </cell>
          <cell r="H70">
            <v>7.426060839122794</v>
          </cell>
          <cell r="I70">
            <v>7.4246502334324882</v>
          </cell>
          <cell r="J70">
            <v>7.4274224144707084</v>
          </cell>
          <cell r="K70">
            <v>7.4248945699605189</v>
          </cell>
          <cell r="L70">
            <v>7.4277274403708731</v>
          </cell>
          <cell r="M70">
            <v>7.4157721839183308</v>
          </cell>
          <cell r="N70">
            <v>7.416866625456441</v>
          </cell>
          <cell r="O70">
            <v>7.4139199468050769</v>
          </cell>
          <cell r="P70">
            <v>7.4177729115685445</v>
          </cell>
          <cell r="Q70">
            <v>7.4187762609740275</v>
          </cell>
          <cell r="R70">
            <v>7.4167307672934637</v>
          </cell>
          <cell r="S70">
            <v>7.4188382815555522</v>
          </cell>
          <cell r="T70">
            <v>7.4188382815555522</v>
          </cell>
          <cell r="U70">
            <v>7.4188382815555522</v>
          </cell>
          <cell r="V70">
            <v>7.4188382815555522</v>
          </cell>
          <cell r="W70">
            <v>7.4188382815555522</v>
          </cell>
          <cell r="X70">
            <v>7.4188382815555522</v>
          </cell>
          <cell r="Y70">
            <v>7.4188382815555522</v>
          </cell>
          <cell r="Z70">
            <v>7.4188382815555522</v>
          </cell>
          <cell r="AA70">
            <v>7.4188382815555522</v>
          </cell>
          <cell r="AB70">
            <v>7.4188382815555522</v>
          </cell>
          <cell r="AC70">
            <v>7.4188382815555522</v>
          </cell>
          <cell r="AD70">
            <v>7.4188382815555522</v>
          </cell>
          <cell r="AE70">
            <v>7.4188382815555522</v>
          </cell>
          <cell r="AF70">
            <v>7.4188382815555522</v>
          </cell>
        </row>
        <row r="71">
          <cell r="A71" t="str">
            <v>Kansas</v>
          </cell>
          <cell r="B71">
            <v>7.4244257975461565</v>
          </cell>
          <cell r="C71">
            <v>7.4270847091491126</v>
          </cell>
          <cell r="D71">
            <v>7.4273384913097171</v>
          </cell>
          <cell r="E71">
            <v>7.4257401459392725</v>
          </cell>
          <cell r="F71">
            <v>7.426772845952927</v>
          </cell>
          <cell r="G71">
            <v>7.4265832924357627</v>
          </cell>
          <cell r="H71">
            <v>7.4260608391227914</v>
          </cell>
          <cell r="I71">
            <v>7.4246502334324882</v>
          </cell>
          <cell r="J71">
            <v>7.4274224144707093</v>
          </cell>
          <cell r="K71">
            <v>7.4248945699605189</v>
          </cell>
          <cell r="L71">
            <v>7.427727440370874</v>
          </cell>
          <cell r="M71">
            <v>7.4157721839183308</v>
          </cell>
          <cell r="N71">
            <v>7.416866625456441</v>
          </cell>
          <cell r="O71">
            <v>7.4139199468050769</v>
          </cell>
          <cell r="P71">
            <v>7.4177729115685462</v>
          </cell>
          <cell r="Q71">
            <v>7.4187762609740275</v>
          </cell>
          <cell r="R71">
            <v>7.416730767293461</v>
          </cell>
          <cell r="S71">
            <v>7.4188382815555522</v>
          </cell>
          <cell r="T71">
            <v>7.4188382815555522</v>
          </cell>
          <cell r="U71">
            <v>7.4188382815555522</v>
          </cell>
          <cell r="V71">
            <v>7.4188382815555522</v>
          </cell>
          <cell r="W71">
            <v>7.4188382815555522</v>
          </cell>
          <cell r="X71">
            <v>7.4188382815555522</v>
          </cell>
          <cell r="Y71">
            <v>7.4188382815555522</v>
          </cell>
          <cell r="Z71">
            <v>7.4188382815555522</v>
          </cell>
          <cell r="AA71">
            <v>7.4188382815555522</v>
          </cell>
          <cell r="AB71">
            <v>7.4188382815555522</v>
          </cell>
          <cell r="AC71">
            <v>7.4188382815555522</v>
          </cell>
          <cell r="AD71">
            <v>7.4188382815555522</v>
          </cell>
          <cell r="AE71">
            <v>7.4188382815555522</v>
          </cell>
          <cell r="AF71">
            <v>7.4188382815555522</v>
          </cell>
        </row>
        <row r="72">
          <cell r="A72" t="str">
            <v>Kentucky</v>
          </cell>
          <cell r="B72">
            <v>7.4244257975461565</v>
          </cell>
          <cell r="C72">
            <v>7.4270847091491126</v>
          </cell>
          <cell r="D72">
            <v>7.4273384913097154</v>
          </cell>
          <cell r="E72">
            <v>7.4257401459392716</v>
          </cell>
          <cell r="F72">
            <v>7.4267728459529287</v>
          </cell>
          <cell r="G72">
            <v>7.4265832924357662</v>
          </cell>
          <cell r="H72">
            <v>7.4260608391227914</v>
          </cell>
          <cell r="I72">
            <v>7.4246502334324855</v>
          </cell>
          <cell r="J72">
            <v>7.4274224144707084</v>
          </cell>
          <cell r="K72">
            <v>7.424894569960518</v>
          </cell>
          <cell r="L72">
            <v>7.4277274403708731</v>
          </cell>
          <cell r="M72">
            <v>7.4157721839183317</v>
          </cell>
          <cell r="N72">
            <v>7.416866625456441</v>
          </cell>
          <cell r="O72">
            <v>7.4139199468050769</v>
          </cell>
          <cell r="P72">
            <v>7.4177729115685462</v>
          </cell>
          <cell r="Q72">
            <v>7.4187762609740275</v>
          </cell>
          <cell r="R72">
            <v>7.4167307672934619</v>
          </cell>
          <cell r="S72">
            <v>7.4188382815555549</v>
          </cell>
          <cell r="T72">
            <v>7.4188382815555549</v>
          </cell>
          <cell r="U72">
            <v>7.4188382815555549</v>
          </cell>
          <cell r="V72">
            <v>7.4188382815555549</v>
          </cell>
          <cell r="W72">
            <v>7.4188382815555549</v>
          </cell>
          <cell r="X72">
            <v>7.4188382815555549</v>
          </cell>
          <cell r="Y72">
            <v>7.4188382815555549</v>
          </cell>
          <cell r="Z72">
            <v>7.4188382815555549</v>
          </cell>
          <cell r="AA72">
            <v>7.4188382815555549</v>
          </cell>
          <cell r="AB72">
            <v>7.4188382815555549</v>
          </cell>
          <cell r="AC72">
            <v>7.4188382815555549</v>
          </cell>
          <cell r="AD72">
            <v>7.4188382815555549</v>
          </cell>
          <cell r="AE72">
            <v>7.4188382815555549</v>
          </cell>
          <cell r="AF72">
            <v>7.4188382815555549</v>
          </cell>
        </row>
        <row r="73">
          <cell r="A73" t="str">
            <v>Louisiana</v>
          </cell>
          <cell r="B73">
            <v>8.2288479404102599</v>
          </cell>
          <cell r="C73">
            <v>8.2317918019240697</v>
          </cell>
          <cell r="D73">
            <v>8.2320729113149103</v>
          </cell>
          <cell r="E73">
            <v>8.2303025567370742</v>
          </cell>
          <cell r="F73">
            <v>8.2314462032010738</v>
          </cell>
          <cell r="G73">
            <v>8.2312352923523662</v>
          </cell>
          <cell r="H73">
            <v>8.230657126301006</v>
          </cell>
          <cell r="I73">
            <v>8.2290957145784329</v>
          </cell>
          <cell r="J73">
            <v>8.232166641136665</v>
          </cell>
          <cell r="K73">
            <v>8.2293666284637474</v>
          </cell>
          <cell r="L73">
            <v>8.2325030470501588</v>
          </cell>
          <cell r="M73">
            <v>8.2193429773749624</v>
          </cell>
          <cell r="N73">
            <v>8.2205552070608494</v>
          </cell>
          <cell r="O73">
            <v>8.217292110317489</v>
          </cell>
          <cell r="P73">
            <v>8.2215582866774675</v>
          </cell>
          <cell r="Q73">
            <v>8.2226697589026223</v>
          </cell>
          <cell r="R73">
            <v>8.2204041962349574</v>
          </cell>
          <cell r="S73">
            <v>8.2227376673712911</v>
          </cell>
          <cell r="T73">
            <v>8.2227376673712911</v>
          </cell>
          <cell r="U73">
            <v>8.2227376673712911</v>
          </cell>
          <cell r="V73">
            <v>8.2227376673712911</v>
          </cell>
          <cell r="W73">
            <v>8.2227376673712911</v>
          </cell>
          <cell r="X73">
            <v>8.2227376673712911</v>
          </cell>
          <cell r="Y73">
            <v>8.2227376673712911</v>
          </cell>
          <cell r="Z73">
            <v>8.2227376673712911</v>
          </cell>
          <cell r="AA73">
            <v>8.2227376673712911</v>
          </cell>
          <cell r="AB73">
            <v>8.2227376673712911</v>
          </cell>
          <cell r="AC73">
            <v>8.2227376673712911</v>
          </cell>
          <cell r="AD73">
            <v>8.2227376673712911</v>
          </cell>
          <cell r="AE73">
            <v>8.2227376673712911</v>
          </cell>
          <cell r="AF73">
            <v>8.2227376673712911</v>
          </cell>
        </row>
        <row r="74">
          <cell r="A74" t="str">
            <v>Maine</v>
          </cell>
          <cell r="B74">
            <v>6.7022358854945905</v>
          </cell>
          <cell r="C74">
            <v>6.7046383817894464</v>
          </cell>
          <cell r="D74">
            <v>6.7048675981276427</v>
          </cell>
          <cell r="E74">
            <v>6.7034238996302555</v>
          </cell>
          <cell r="F74">
            <v>6.7043568157747719</v>
          </cell>
          <cell r="G74">
            <v>6.7041862810707018</v>
          </cell>
          <cell r="H74">
            <v>6.7037140146210685</v>
          </cell>
          <cell r="I74">
            <v>6.702439183414918</v>
          </cell>
          <cell r="J74">
            <v>6.7049428523286778</v>
          </cell>
          <cell r="K74">
            <v>6.7026596791576178</v>
          </cell>
          <cell r="L74">
            <v>6.7052193898777537</v>
          </cell>
          <cell r="M74">
            <v>6.6943629316514146</v>
          </cell>
          <cell r="N74">
            <v>6.6953514758351904</v>
          </cell>
          <cell r="O74">
            <v>6.6926894090491427</v>
          </cell>
          <cell r="P74">
            <v>6.6961705978049055</v>
          </cell>
          <cell r="Q74">
            <v>6.6970767658517785</v>
          </cell>
          <cell r="R74">
            <v>6.6952291393811185</v>
          </cell>
          <cell r="S74">
            <v>6.6971333428371311</v>
          </cell>
          <cell r="T74">
            <v>6.6971333428371311</v>
          </cell>
          <cell r="U74">
            <v>6.6971333428371311</v>
          </cell>
          <cell r="V74">
            <v>6.6971333428371311</v>
          </cell>
          <cell r="W74">
            <v>6.6971333428371311</v>
          </cell>
          <cell r="X74">
            <v>6.6971333428371311</v>
          </cell>
          <cell r="Y74">
            <v>6.6971333428371311</v>
          </cell>
          <cell r="Z74">
            <v>6.6971333428371311</v>
          </cell>
          <cell r="AA74">
            <v>6.6971333428371311</v>
          </cell>
          <cell r="AB74">
            <v>6.6971333428371311</v>
          </cell>
          <cell r="AC74">
            <v>6.6971333428371311</v>
          </cell>
          <cell r="AD74">
            <v>6.6971333428371311</v>
          </cell>
          <cell r="AE74">
            <v>6.6971333428371311</v>
          </cell>
          <cell r="AF74">
            <v>6.6971333428371311</v>
          </cell>
        </row>
        <row r="75">
          <cell r="A75" t="str">
            <v>Maryland</v>
          </cell>
          <cell r="B75">
            <v>6.7022358854945923</v>
          </cell>
          <cell r="C75">
            <v>6.7046383817894464</v>
          </cell>
          <cell r="D75">
            <v>6.7048675981276453</v>
          </cell>
          <cell r="E75">
            <v>6.7034238996302529</v>
          </cell>
          <cell r="F75">
            <v>6.7043568157747711</v>
          </cell>
          <cell r="G75">
            <v>6.7041862810707018</v>
          </cell>
          <cell r="H75">
            <v>6.7037140146210685</v>
          </cell>
          <cell r="I75">
            <v>6.7024391834149188</v>
          </cell>
          <cell r="J75">
            <v>6.7049428523286787</v>
          </cell>
          <cell r="K75">
            <v>6.7026596791576187</v>
          </cell>
          <cell r="L75">
            <v>6.705219389877751</v>
          </cell>
          <cell r="M75">
            <v>6.6943629316514119</v>
          </cell>
          <cell r="N75">
            <v>6.6953514758351922</v>
          </cell>
          <cell r="O75">
            <v>6.6926894090491391</v>
          </cell>
          <cell r="P75">
            <v>6.6961705978049046</v>
          </cell>
          <cell r="Q75">
            <v>6.6970767658517802</v>
          </cell>
          <cell r="R75">
            <v>6.6952291393811194</v>
          </cell>
          <cell r="S75">
            <v>6.697133342837132</v>
          </cell>
          <cell r="T75">
            <v>6.697133342837132</v>
          </cell>
          <cell r="U75">
            <v>6.697133342837132</v>
          </cell>
          <cell r="V75">
            <v>6.697133342837132</v>
          </cell>
          <cell r="W75">
            <v>6.697133342837132</v>
          </cell>
          <cell r="X75">
            <v>6.697133342837132</v>
          </cell>
          <cell r="Y75">
            <v>6.697133342837132</v>
          </cell>
          <cell r="Z75">
            <v>6.697133342837132</v>
          </cell>
          <cell r="AA75">
            <v>6.697133342837132</v>
          </cell>
          <cell r="AB75">
            <v>6.697133342837132</v>
          </cell>
          <cell r="AC75">
            <v>6.697133342837132</v>
          </cell>
          <cell r="AD75">
            <v>6.697133342837132</v>
          </cell>
          <cell r="AE75">
            <v>6.697133342837132</v>
          </cell>
          <cell r="AF75">
            <v>6.697133342837132</v>
          </cell>
        </row>
        <row r="76">
          <cell r="A76" t="str">
            <v>Massachusetts</v>
          </cell>
          <cell r="B76">
            <v>6.7022358854945914</v>
          </cell>
          <cell r="C76">
            <v>6.7046383817894482</v>
          </cell>
          <cell r="D76">
            <v>6.7048675981276427</v>
          </cell>
          <cell r="E76">
            <v>6.7034238996302529</v>
          </cell>
          <cell r="F76">
            <v>6.7043568157747719</v>
          </cell>
          <cell r="G76">
            <v>6.7041862810707018</v>
          </cell>
          <cell r="H76">
            <v>6.7037140146210685</v>
          </cell>
          <cell r="I76">
            <v>6.702439183414918</v>
          </cell>
          <cell r="J76">
            <v>6.7049428523286778</v>
          </cell>
          <cell r="K76">
            <v>6.7026596791576178</v>
          </cell>
          <cell r="L76">
            <v>6.7052193898777528</v>
          </cell>
          <cell r="M76">
            <v>6.6943629316514146</v>
          </cell>
          <cell r="N76">
            <v>6.6953514758351904</v>
          </cell>
          <cell r="O76">
            <v>6.6926894090491391</v>
          </cell>
          <cell r="P76">
            <v>6.6961705978049073</v>
          </cell>
          <cell r="Q76">
            <v>6.6970767658517785</v>
          </cell>
          <cell r="R76">
            <v>6.6952291393811185</v>
          </cell>
          <cell r="S76">
            <v>6.6971333428371311</v>
          </cell>
          <cell r="T76">
            <v>6.6971333428371311</v>
          </cell>
          <cell r="U76">
            <v>6.6971333428371311</v>
          </cell>
          <cell r="V76">
            <v>6.6971333428371311</v>
          </cell>
          <cell r="W76">
            <v>6.6971333428371311</v>
          </cell>
          <cell r="X76">
            <v>6.6971333428371311</v>
          </cell>
          <cell r="Y76">
            <v>6.6971333428371311</v>
          </cell>
          <cell r="Z76">
            <v>6.6971333428371311</v>
          </cell>
          <cell r="AA76">
            <v>6.6971333428371311</v>
          </cell>
          <cell r="AB76">
            <v>6.6971333428371311</v>
          </cell>
          <cell r="AC76">
            <v>6.6971333428371311</v>
          </cell>
          <cell r="AD76">
            <v>6.6971333428371311</v>
          </cell>
          <cell r="AE76">
            <v>6.6971333428371311</v>
          </cell>
          <cell r="AF76">
            <v>6.6971333428371311</v>
          </cell>
        </row>
        <row r="77">
          <cell r="A77" t="str">
            <v>Michigan</v>
          </cell>
          <cell r="B77">
            <v>7.4244257975461565</v>
          </cell>
          <cell r="C77">
            <v>7.4270847091491117</v>
          </cell>
          <cell r="D77">
            <v>7.4273384913097154</v>
          </cell>
          <cell r="E77">
            <v>7.4257401459392725</v>
          </cell>
          <cell r="F77">
            <v>7.426772845952927</v>
          </cell>
          <cell r="G77">
            <v>7.4265832924357662</v>
          </cell>
          <cell r="H77">
            <v>7.4260608391227896</v>
          </cell>
          <cell r="I77">
            <v>7.4246502334324864</v>
          </cell>
          <cell r="J77">
            <v>7.4274224144707093</v>
          </cell>
          <cell r="K77">
            <v>7.4248945699605198</v>
          </cell>
          <cell r="L77">
            <v>7.427727440370874</v>
          </cell>
          <cell r="M77">
            <v>7.415772183918329</v>
          </cell>
          <cell r="N77">
            <v>7.416866625456441</v>
          </cell>
          <cell r="O77">
            <v>7.4139199468050778</v>
          </cell>
          <cell r="P77">
            <v>7.4177729115685436</v>
          </cell>
          <cell r="Q77">
            <v>7.4187762609740293</v>
          </cell>
          <cell r="R77">
            <v>7.4167307672934619</v>
          </cell>
          <cell r="S77">
            <v>7.4188382815555531</v>
          </cell>
          <cell r="T77">
            <v>7.4188382815555531</v>
          </cell>
          <cell r="U77">
            <v>7.4188382815555531</v>
          </cell>
          <cell r="V77">
            <v>7.4188382815555531</v>
          </cell>
          <cell r="W77">
            <v>7.4188382815555531</v>
          </cell>
          <cell r="X77">
            <v>7.4188382815555531</v>
          </cell>
          <cell r="Y77">
            <v>7.4188382815555531</v>
          </cell>
          <cell r="Z77">
            <v>7.4188382815555531</v>
          </cell>
          <cell r="AA77">
            <v>7.4188382815555531</v>
          </cell>
          <cell r="AB77">
            <v>7.4188382815555531</v>
          </cell>
          <cell r="AC77">
            <v>7.4188382815555531</v>
          </cell>
          <cell r="AD77">
            <v>7.4188382815555531</v>
          </cell>
          <cell r="AE77">
            <v>7.4188382815555531</v>
          </cell>
          <cell r="AF77">
            <v>7.4188382815555531</v>
          </cell>
        </row>
        <row r="78">
          <cell r="A78" t="str">
            <v>Minnesota</v>
          </cell>
          <cell r="B78">
            <v>7.4244257975461538</v>
          </cell>
          <cell r="C78">
            <v>7.4270847091491126</v>
          </cell>
          <cell r="D78">
            <v>7.427338491309718</v>
          </cell>
          <cell r="E78">
            <v>7.4257401459392725</v>
          </cell>
          <cell r="F78">
            <v>7.4267728459529279</v>
          </cell>
          <cell r="G78">
            <v>7.4265832924357644</v>
          </cell>
          <cell r="H78">
            <v>7.4260608391227896</v>
          </cell>
          <cell r="I78">
            <v>7.4246502334324855</v>
          </cell>
          <cell r="J78">
            <v>7.4274224144707093</v>
          </cell>
          <cell r="K78">
            <v>7.4248945699605198</v>
          </cell>
          <cell r="L78">
            <v>7.4277274403708731</v>
          </cell>
          <cell r="M78">
            <v>7.4157721839183317</v>
          </cell>
          <cell r="N78">
            <v>7.4168666254564419</v>
          </cell>
          <cell r="O78">
            <v>7.4139199468050778</v>
          </cell>
          <cell r="P78">
            <v>7.4177729115685462</v>
          </cell>
          <cell r="Q78">
            <v>7.4187762609740275</v>
          </cell>
          <cell r="R78">
            <v>7.416730767293461</v>
          </cell>
          <cell r="S78">
            <v>7.4188382815555531</v>
          </cell>
          <cell r="T78">
            <v>7.4188382815555531</v>
          </cell>
          <cell r="U78">
            <v>7.4188382815555531</v>
          </cell>
          <cell r="V78">
            <v>7.4188382815555531</v>
          </cell>
          <cell r="W78">
            <v>7.4188382815555531</v>
          </cell>
          <cell r="X78">
            <v>7.4188382815555531</v>
          </cell>
          <cell r="Y78">
            <v>7.4188382815555531</v>
          </cell>
          <cell r="Z78">
            <v>7.4188382815555531</v>
          </cell>
          <cell r="AA78">
            <v>7.4188382815555531</v>
          </cell>
          <cell r="AB78">
            <v>7.4188382815555531</v>
          </cell>
          <cell r="AC78">
            <v>7.4188382815555531</v>
          </cell>
          <cell r="AD78">
            <v>7.4188382815555531</v>
          </cell>
          <cell r="AE78">
            <v>7.4188382815555531</v>
          </cell>
          <cell r="AF78">
            <v>7.4188382815555531</v>
          </cell>
        </row>
        <row r="79">
          <cell r="A79" t="str">
            <v>Mississippi</v>
          </cell>
          <cell r="B79">
            <v>7.4244257975461565</v>
          </cell>
          <cell r="C79">
            <v>7.4270847091491126</v>
          </cell>
          <cell r="D79">
            <v>7.4273384913097171</v>
          </cell>
          <cell r="E79">
            <v>7.4257401459392725</v>
          </cell>
          <cell r="F79">
            <v>7.426772845952927</v>
          </cell>
          <cell r="G79">
            <v>7.4265832924357627</v>
          </cell>
          <cell r="H79">
            <v>7.4260608391227922</v>
          </cell>
          <cell r="I79">
            <v>7.4246502334324864</v>
          </cell>
          <cell r="J79">
            <v>7.4274224144707111</v>
          </cell>
          <cell r="K79">
            <v>7.4248945699605189</v>
          </cell>
          <cell r="L79">
            <v>7.427727440370874</v>
          </cell>
          <cell r="M79">
            <v>7.4157721839183308</v>
          </cell>
          <cell r="N79">
            <v>7.416866625456441</v>
          </cell>
          <cell r="O79">
            <v>7.4139199468050778</v>
          </cell>
          <cell r="P79">
            <v>7.4177729115685436</v>
          </cell>
          <cell r="Q79">
            <v>7.4187762609740293</v>
          </cell>
          <cell r="R79">
            <v>7.416730767293461</v>
          </cell>
          <cell r="S79">
            <v>7.4188382815555549</v>
          </cell>
          <cell r="T79">
            <v>7.4188382815555549</v>
          </cell>
          <cell r="U79">
            <v>7.4188382815555549</v>
          </cell>
          <cell r="V79">
            <v>7.4188382815555549</v>
          </cell>
          <cell r="W79">
            <v>7.4188382815555549</v>
          </cell>
          <cell r="X79">
            <v>7.4188382815555549</v>
          </cell>
          <cell r="Y79">
            <v>7.4188382815555549</v>
          </cell>
          <cell r="Z79">
            <v>7.4188382815555549</v>
          </cell>
          <cell r="AA79">
            <v>7.4188382815555549</v>
          </cell>
          <cell r="AB79">
            <v>7.4188382815555549</v>
          </cell>
          <cell r="AC79">
            <v>7.4188382815555549</v>
          </cell>
          <cell r="AD79">
            <v>7.4188382815555549</v>
          </cell>
          <cell r="AE79">
            <v>7.4188382815555549</v>
          </cell>
          <cell r="AF79">
            <v>7.4188382815555549</v>
          </cell>
        </row>
        <row r="80">
          <cell r="A80" t="str">
            <v>Missouri</v>
          </cell>
          <cell r="B80">
            <v>7.4244257975461529</v>
          </cell>
          <cell r="C80">
            <v>7.4270847091491099</v>
          </cell>
          <cell r="D80">
            <v>7.4273384913097154</v>
          </cell>
          <cell r="E80">
            <v>7.4257401459392733</v>
          </cell>
          <cell r="F80">
            <v>7.426772845952927</v>
          </cell>
          <cell r="G80">
            <v>7.4265832924357627</v>
          </cell>
          <cell r="H80">
            <v>7.4260608391227914</v>
          </cell>
          <cell r="I80">
            <v>7.4246502334324864</v>
          </cell>
          <cell r="J80">
            <v>7.4274224144707111</v>
          </cell>
          <cell r="K80">
            <v>7.4248945699605189</v>
          </cell>
          <cell r="L80">
            <v>7.4277274403708722</v>
          </cell>
          <cell r="M80">
            <v>7.415772183918329</v>
          </cell>
          <cell r="N80">
            <v>7.416866625456441</v>
          </cell>
          <cell r="O80">
            <v>7.4139199468050778</v>
          </cell>
          <cell r="P80">
            <v>7.4177729115685445</v>
          </cell>
          <cell r="Q80">
            <v>7.4187762609740293</v>
          </cell>
          <cell r="R80">
            <v>7.4167307672934637</v>
          </cell>
          <cell r="S80">
            <v>7.4188382815555531</v>
          </cell>
          <cell r="T80">
            <v>7.4188382815555531</v>
          </cell>
          <cell r="U80">
            <v>7.4188382815555531</v>
          </cell>
          <cell r="V80">
            <v>7.4188382815555531</v>
          </cell>
          <cell r="W80">
            <v>7.4188382815555531</v>
          </cell>
          <cell r="X80">
            <v>7.4188382815555531</v>
          </cell>
          <cell r="Y80">
            <v>7.4188382815555531</v>
          </cell>
          <cell r="Z80">
            <v>7.4188382815555531</v>
          </cell>
          <cell r="AA80">
            <v>7.4188382815555531</v>
          </cell>
          <cell r="AB80">
            <v>7.4188382815555531</v>
          </cell>
          <cell r="AC80">
            <v>7.4188382815555531</v>
          </cell>
          <cell r="AD80">
            <v>7.4188382815555531</v>
          </cell>
          <cell r="AE80">
            <v>7.4188382815555531</v>
          </cell>
          <cell r="AF80">
            <v>7.4188382815555531</v>
          </cell>
        </row>
        <row r="81">
          <cell r="A81" t="str">
            <v>Montana</v>
          </cell>
          <cell r="B81">
            <v>7.4244257975461538</v>
          </cell>
          <cell r="C81">
            <v>7.4270847091491126</v>
          </cell>
          <cell r="D81">
            <v>7.4273384913097154</v>
          </cell>
          <cell r="E81">
            <v>7.4257401459392716</v>
          </cell>
          <cell r="F81">
            <v>7.4267728459529279</v>
          </cell>
          <cell r="G81">
            <v>7.4265832924357635</v>
          </cell>
          <cell r="H81">
            <v>7.426060839122794</v>
          </cell>
          <cell r="I81">
            <v>7.4246502334324864</v>
          </cell>
          <cell r="J81">
            <v>7.4274224144707111</v>
          </cell>
          <cell r="K81">
            <v>7.4248945699605189</v>
          </cell>
          <cell r="L81">
            <v>7.4277274403708731</v>
          </cell>
          <cell r="M81">
            <v>7.4157721839183317</v>
          </cell>
          <cell r="N81">
            <v>7.4168666254564419</v>
          </cell>
          <cell r="O81">
            <v>7.4139199468050752</v>
          </cell>
          <cell r="P81">
            <v>7.4177729115685462</v>
          </cell>
          <cell r="Q81">
            <v>7.4187762609740302</v>
          </cell>
          <cell r="R81">
            <v>7.416730767293461</v>
          </cell>
          <cell r="S81">
            <v>7.4188382815555549</v>
          </cell>
          <cell r="T81">
            <v>7.4188382815555549</v>
          </cell>
          <cell r="U81">
            <v>7.4188382815555549</v>
          </cell>
          <cell r="V81">
            <v>7.4188382815555549</v>
          </cell>
          <cell r="W81">
            <v>7.4188382815555549</v>
          </cell>
          <cell r="X81">
            <v>7.4188382815555549</v>
          </cell>
          <cell r="Y81">
            <v>7.4188382815555549</v>
          </cell>
          <cell r="Z81">
            <v>7.4188382815555549</v>
          </cell>
          <cell r="AA81">
            <v>7.4188382815555549</v>
          </cell>
          <cell r="AB81">
            <v>7.4188382815555549</v>
          </cell>
          <cell r="AC81">
            <v>7.4188382815555549</v>
          </cell>
          <cell r="AD81">
            <v>7.4188382815555549</v>
          </cell>
          <cell r="AE81">
            <v>7.4188382815555549</v>
          </cell>
          <cell r="AF81">
            <v>7.4188382815555549</v>
          </cell>
        </row>
        <row r="82">
          <cell r="A82" t="str">
            <v>Nebraska</v>
          </cell>
          <cell r="B82">
            <v>7.4244257975461547</v>
          </cell>
          <cell r="C82">
            <v>7.4270847091491117</v>
          </cell>
          <cell r="D82">
            <v>7.4273384913097154</v>
          </cell>
          <cell r="E82">
            <v>7.4257401459392716</v>
          </cell>
          <cell r="F82">
            <v>7.426772845952927</v>
          </cell>
          <cell r="G82">
            <v>7.4265832924357662</v>
          </cell>
          <cell r="H82">
            <v>7.426060839122794</v>
          </cell>
          <cell r="I82">
            <v>7.4246502334324882</v>
          </cell>
          <cell r="J82">
            <v>7.4274224144707093</v>
          </cell>
          <cell r="K82">
            <v>7.4248945699605189</v>
          </cell>
          <cell r="L82">
            <v>7.427727440370874</v>
          </cell>
          <cell r="M82">
            <v>7.4157721839183308</v>
          </cell>
          <cell r="N82">
            <v>7.416866625456441</v>
          </cell>
          <cell r="O82">
            <v>7.4139199468050778</v>
          </cell>
          <cell r="P82">
            <v>7.4177729115685462</v>
          </cell>
          <cell r="Q82">
            <v>7.4187762609740302</v>
          </cell>
          <cell r="R82">
            <v>7.4167307672934637</v>
          </cell>
          <cell r="S82">
            <v>7.4188382815555549</v>
          </cell>
          <cell r="T82">
            <v>7.4188382815555549</v>
          </cell>
          <cell r="U82">
            <v>7.4188382815555549</v>
          </cell>
          <cell r="V82">
            <v>7.4188382815555549</v>
          </cell>
          <cell r="W82">
            <v>7.4188382815555549</v>
          </cell>
          <cell r="X82">
            <v>7.4188382815555549</v>
          </cell>
          <cell r="Y82">
            <v>7.4188382815555549</v>
          </cell>
          <cell r="Z82">
            <v>7.4188382815555549</v>
          </cell>
          <cell r="AA82">
            <v>7.4188382815555549</v>
          </cell>
          <cell r="AB82">
            <v>7.4188382815555549</v>
          </cell>
          <cell r="AC82">
            <v>7.4188382815555549</v>
          </cell>
          <cell r="AD82">
            <v>7.4188382815555549</v>
          </cell>
          <cell r="AE82">
            <v>7.4188382815555549</v>
          </cell>
          <cell r="AF82">
            <v>7.4188382815555549</v>
          </cell>
        </row>
        <row r="83">
          <cell r="A83" t="str">
            <v>Nevada</v>
          </cell>
          <cell r="B83">
            <v>7.4244257975461538</v>
          </cell>
          <cell r="C83">
            <v>7.4270847091491099</v>
          </cell>
          <cell r="D83">
            <v>7.4273384913097171</v>
          </cell>
          <cell r="E83">
            <v>7.4257401459392725</v>
          </cell>
          <cell r="F83">
            <v>7.4267728459529279</v>
          </cell>
          <cell r="G83">
            <v>7.4265832924357644</v>
          </cell>
          <cell r="H83">
            <v>7.4260608391227922</v>
          </cell>
          <cell r="I83">
            <v>7.4246502334324855</v>
          </cell>
          <cell r="J83">
            <v>7.4274224144707093</v>
          </cell>
          <cell r="K83">
            <v>7.4248945699605189</v>
          </cell>
          <cell r="L83">
            <v>7.4277274403708722</v>
          </cell>
          <cell r="M83">
            <v>7.4157721839183308</v>
          </cell>
          <cell r="N83">
            <v>7.416866625456441</v>
          </cell>
          <cell r="O83">
            <v>7.4139199468050752</v>
          </cell>
          <cell r="P83">
            <v>7.4177729115685462</v>
          </cell>
          <cell r="Q83">
            <v>7.4187762609740302</v>
          </cell>
          <cell r="R83">
            <v>7.4167307672934584</v>
          </cell>
          <cell r="S83">
            <v>7.4188382815555522</v>
          </cell>
          <cell r="T83">
            <v>7.4188382815555522</v>
          </cell>
          <cell r="U83">
            <v>7.4188382815555522</v>
          </cell>
          <cell r="V83">
            <v>7.4188382815555522</v>
          </cell>
          <cell r="W83">
            <v>7.4188382815555522</v>
          </cell>
          <cell r="X83">
            <v>7.4188382815555522</v>
          </cell>
          <cell r="Y83">
            <v>7.4188382815555522</v>
          </cell>
          <cell r="Z83">
            <v>7.4188382815555522</v>
          </cell>
          <cell r="AA83">
            <v>7.4188382815555522</v>
          </cell>
          <cell r="AB83">
            <v>7.4188382815555522</v>
          </cell>
          <cell r="AC83">
            <v>7.4188382815555522</v>
          </cell>
          <cell r="AD83">
            <v>7.4188382815555522</v>
          </cell>
          <cell r="AE83">
            <v>7.4188382815555522</v>
          </cell>
          <cell r="AF83">
            <v>7.4188382815555522</v>
          </cell>
        </row>
        <row r="84">
          <cell r="A84" t="str">
            <v>New Hampshire</v>
          </cell>
          <cell r="B84">
            <v>6.7022358854945905</v>
          </cell>
          <cell r="C84">
            <v>6.7046383817894482</v>
          </cell>
          <cell r="D84">
            <v>6.7048675981276453</v>
          </cell>
          <cell r="E84">
            <v>6.7034238996302529</v>
          </cell>
          <cell r="F84">
            <v>6.7043568157747719</v>
          </cell>
          <cell r="G84">
            <v>6.7041862810707018</v>
          </cell>
          <cell r="H84">
            <v>6.7037140146210685</v>
          </cell>
          <cell r="I84">
            <v>6.7024391834149206</v>
          </cell>
          <cell r="J84">
            <v>6.7049428523286778</v>
          </cell>
          <cell r="K84">
            <v>6.7026596791576178</v>
          </cell>
          <cell r="L84">
            <v>6.7052193898777528</v>
          </cell>
          <cell r="M84">
            <v>6.6943629316514128</v>
          </cell>
          <cell r="N84">
            <v>6.6953514758351904</v>
          </cell>
          <cell r="O84">
            <v>6.6926894090491391</v>
          </cell>
          <cell r="P84">
            <v>6.6961705978049073</v>
          </cell>
          <cell r="Q84">
            <v>6.6970767658517802</v>
          </cell>
          <cell r="R84">
            <v>6.6952291393811185</v>
          </cell>
          <cell r="S84">
            <v>6.697133342837132</v>
          </cell>
          <cell r="T84">
            <v>6.697133342837132</v>
          </cell>
          <cell r="U84">
            <v>6.697133342837132</v>
          </cell>
          <cell r="V84">
            <v>6.697133342837132</v>
          </cell>
          <cell r="W84">
            <v>6.697133342837132</v>
          </cell>
          <cell r="X84">
            <v>6.697133342837132</v>
          </cell>
          <cell r="Y84">
            <v>6.697133342837132</v>
          </cell>
          <cell r="Z84">
            <v>6.697133342837132</v>
          </cell>
          <cell r="AA84">
            <v>6.697133342837132</v>
          </cell>
          <cell r="AB84">
            <v>6.697133342837132</v>
          </cell>
          <cell r="AC84">
            <v>6.697133342837132</v>
          </cell>
          <cell r="AD84">
            <v>6.697133342837132</v>
          </cell>
          <cell r="AE84">
            <v>6.697133342837132</v>
          </cell>
          <cell r="AF84">
            <v>6.697133342837132</v>
          </cell>
        </row>
        <row r="85">
          <cell r="A85" t="str">
            <v>New Jersey</v>
          </cell>
          <cell r="B85">
            <v>6.7022358854945905</v>
          </cell>
          <cell r="C85">
            <v>6.704638381789449</v>
          </cell>
          <cell r="D85">
            <v>6.7048675981276462</v>
          </cell>
          <cell r="E85">
            <v>6.7034238996302529</v>
          </cell>
          <cell r="F85">
            <v>6.7043568157747711</v>
          </cell>
          <cell r="G85">
            <v>6.7041862810707018</v>
          </cell>
          <cell r="H85">
            <v>6.7037140146210676</v>
          </cell>
          <cell r="I85">
            <v>6.702439183414918</v>
          </cell>
          <cell r="J85">
            <v>6.7049428523286778</v>
          </cell>
          <cell r="K85">
            <v>6.7026596791576187</v>
          </cell>
          <cell r="L85">
            <v>6.7052193898777528</v>
          </cell>
          <cell r="M85">
            <v>6.6943629316514128</v>
          </cell>
          <cell r="N85">
            <v>6.6953514758351922</v>
          </cell>
          <cell r="O85">
            <v>6.69268940904914</v>
          </cell>
          <cell r="P85">
            <v>6.6961705978049073</v>
          </cell>
          <cell r="Q85">
            <v>6.6970767658517802</v>
          </cell>
          <cell r="R85">
            <v>6.6952291393811167</v>
          </cell>
          <cell r="S85">
            <v>6.697133342837132</v>
          </cell>
          <cell r="T85">
            <v>6.697133342837132</v>
          </cell>
          <cell r="U85">
            <v>6.697133342837132</v>
          </cell>
          <cell r="V85">
            <v>6.697133342837132</v>
          </cell>
          <cell r="W85">
            <v>6.697133342837132</v>
          </cell>
          <cell r="X85">
            <v>6.697133342837132</v>
          </cell>
          <cell r="Y85">
            <v>6.697133342837132</v>
          </cell>
          <cell r="Z85">
            <v>6.697133342837132</v>
          </cell>
          <cell r="AA85">
            <v>6.697133342837132</v>
          </cell>
          <cell r="AB85">
            <v>6.697133342837132</v>
          </cell>
          <cell r="AC85">
            <v>6.697133342837132</v>
          </cell>
          <cell r="AD85">
            <v>6.697133342837132</v>
          </cell>
          <cell r="AE85">
            <v>6.697133342837132</v>
          </cell>
          <cell r="AF85">
            <v>6.697133342837132</v>
          </cell>
        </row>
        <row r="86">
          <cell r="A86" t="str">
            <v>New Mexico</v>
          </cell>
          <cell r="B86">
            <v>7.4244257975461565</v>
          </cell>
          <cell r="C86">
            <v>7.4270847091491099</v>
          </cell>
          <cell r="D86">
            <v>7.4273384913097171</v>
          </cell>
          <cell r="E86">
            <v>7.4257401459392733</v>
          </cell>
          <cell r="F86">
            <v>7.4267728459529252</v>
          </cell>
          <cell r="G86">
            <v>7.4265832924357627</v>
          </cell>
          <cell r="H86">
            <v>7.4260608391227914</v>
          </cell>
          <cell r="I86">
            <v>7.4246502334324882</v>
          </cell>
          <cell r="J86">
            <v>7.4274224144707084</v>
          </cell>
          <cell r="K86">
            <v>7.424894569960518</v>
          </cell>
          <cell r="L86">
            <v>7.4277274403708731</v>
          </cell>
          <cell r="M86">
            <v>7.4157721839183317</v>
          </cell>
          <cell r="N86">
            <v>7.416866625456441</v>
          </cell>
          <cell r="O86">
            <v>7.4139199468050769</v>
          </cell>
          <cell r="P86">
            <v>7.4177729115685445</v>
          </cell>
          <cell r="Q86">
            <v>7.4187762609740275</v>
          </cell>
          <cell r="R86">
            <v>7.416730767293461</v>
          </cell>
          <cell r="S86">
            <v>7.4188382815555522</v>
          </cell>
          <cell r="T86">
            <v>7.4188382815555522</v>
          </cell>
          <cell r="U86">
            <v>7.4188382815555522</v>
          </cell>
          <cell r="V86">
            <v>7.4188382815555522</v>
          </cell>
          <cell r="W86">
            <v>7.4188382815555522</v>
          </cell>
          <cell r="X86">
            <v>7.4188382815555522</v>
          </cell>
          <cell r="Y86">
            <v>7.4188382815555522</v>
          </cell>
          <cell r="Z86">
            <v>7.4188382815555522</v>
          </cell>
          <cell r="AA86">
            <v>7.4188382815555522</v>
          </cell>
          <cell r="AB86">
            <v>7.4188382815555522</v>
          </cell>
          <cell r="AC86">
            <v>7.4188382815555522</v>
          </cell>
          <cell r="AD86">
            <v>7.4188382815555522</v>
          </cell>
          <cell r="AE86">
            <v>7.4188382815555522</v>
          </cell>
          <cell r="AF86">
            <v>7.4188382815555522</v>
          </cell>
        </row>
        <row r="87">
          <cell r="A87" t="str">
            <v>New York</v>
          </cell>
          <cell r="B87">
            <v>6.7022358854945914</v>
          </cell>
          <cell r="C87">
            <v>6.704638381789449</v>
          </cell>
          <cell r="D87">
            <v>6.7048675981276435</v>
          </cell>
          <cell r="E87">
            <v>6.7034238996302538</v>
          </cell>
          <cell r="F87">
            <v>6.7043568157747719</v>
          </cell>
          <cell r="G87">
            <v>6.7041862810707009</v>
          </cell>
          <cell r="H87">
            <v>6.7037140146210685</v>
          </cell>
          <cell r="I87">
            <v>6.702439183414918</v>
          </cell>
          <cell r="J87">
            <v>6.7049428523286778</v>
          </cell>
          <cell r="K87">
            <v>6.7026596791576187</v>
          </cell>
          <cell r="L87">
            <v>6.7052193898777528</v>
          </cell>
          <cell r="M87">
            <v>6.6943629316514146</v>
          </cell>
          <cell r="N87">
            <v>6.6953514758351922</v>
          </cell>
          <cell r="O87">
            <v>6.6926894090491418</v>
          </cell>
          <cell r="P87">
            <v>6.6961705978049046</v>
          </cell>
          <cell r="Q87">
            <v>6.6970767658517811</v>
          </cell>
          <cell r="R87">
            <v>6.6952291393811185</v>
          </cell>
          <cell r="S87">
            <v>6.6971333428371311</v>
          </cell>
          <cell r="T87">
            <v>6.6971333428371311</v>
          </cell>
          <cell r="U87">
            <v>6.6971333428371311</v>
          </cell>
          <cell r="V87">
            <v>6.6971333428371311</v>
          </cell>
          <cell r="W87">
            <v>6.6971333428371311</v>
          </cell>
          <cell r="X87">
            <v>6.6971333428371311</v>
          </cell>
          <cell r="Y87">
            <v>6.6971333428371311</v>
          </cell>
          <cell r="Z87">
            <v>6.6971333428371311</v>
          </cell>
          <cell r="AA87">
            <v>6.6971333428371311</v>
          </cell>
          <cell r="AB87">
            <v>6.6971333428371311</v>
          </cell>
          <cell r="AC87">
            <v>6.6971333428371311</v>
          </cell>
          <cell r="AD87">
            <v>6.6971333428371311</v>
          </cell>
          <cell r="AE87">
            <v>6.6971333428371311</v>
          </cell>
          <cell r="AF87">
            <v>6.6971333428371311</v>
          </cell>
        </row>
        <row r="88">
          <cell r="A88" t="str">
            <v>North Carolina</v>
          </cell>
          <cell r="B88">
            <v>7.4244257975461538</v>
          </cell>
          <cell r="C88">
            <v>7.4270847091491117</v>
          </cell>
          <cell r="D88">
            <v>7.4273384913097171</v>
          </cell>
          <cell r="E88">
            <v>7.4257401459392725</v>
          </cell>
          <cell r="F88">
            <v>7.4267728459529252</v>
          </cell>
          <cell r="G88">
            <v>7.4265832924357644</v>
          </cell>
          <cell r="H88">
            <v>7.4260608391227896</v>
          </cell>
          <cell r="I88">
            <v>7.4246502334324838</v>
          </cell>
          <cell r="J88">
            <v>7.4274224144707093</v>
          </cell>
          <cell r="K88">
            <v>7.4248945699605189</v>
          </cell>
          <cell r="L88">
            <v>7.4277274403708731</v>
          </cell>
          <cell r="M88">
            <v>7.4157721839183308</v>
          </cell>
          <cell r="N88">
            <v>7.416866625456441</v>
          </cell>
          <cell r="O88">
            <v>7.4139199468050769</v>
          </cell>
          <cell r="P88">
            <v>7.4177729115685445</v>
          </cell>
          <cell r="Q88">
            <v>7.4187762609740275</v>
          </cell>
          <cell r="R88">
            <v>7.416730767293461</v>
          </cell>
          <cell r="S88">
            <v>7.4188382815555522</v>
          </cell>
          <cell r="T88">
            <v>7.4188382815555522</v>
          </cell>
          <cell r="U88">
            <v>7.4188382815555522</v>
          </cell>
          <cell r="V88">
            <v>7.4188382815555522</v>
          </cell>
          <cell r="W88">
            <v>7.4188382815555522</v>
          </cell>
          <cell r="X88">
            <v>7.4188382815555522</v>
          </cell>
          <cell r="Y88">
            <v>7.4188382815555522</v>
          </cell>
          <cell r="Z88">
            <v>7.4188382815555522</v>
          </cell>
          <cell r="AA88">
            <v>7.4188382815555522</v>
          </cell>
          <cell r="AB88">
            <v>7.4188382815555522</v>
          </cell>
          <cell r="AC88">
            <v>7.4188382815555522</v>
          </cell>
          <cell r="AD88">
            <v>7.4188382815555522</v>
          </cell>
          <cell r="AE88">
            <v>7.4188382815555522</v>
          </cell>
          <cell r="AF88">
            <v>7.4188382815555522</v>
          </cell>
        </row>
        <row r="89">
          <cell r="A89" t="str">
            <v>North Dakota</v>
          </cell>
          <cell r="B89">
            <v>7.4244257975461529</v>
          </cell>
          <cell r="C89">
            <v>7.4270847091491099</v>
          </cell>
          <cell r="D89">
            <v>7.4273384913097171</v>
          </cell>
          <cell r="E89">
            <v>7.4257401459392733</v>
          </cell>
          <cell r="F89">
            <v>7.426772845952927</v>
          </cell>
          <cell r="G89">
            <v>7.4265832924357627</v>
          </cell>
          <cell r="H89">
            <v>7.4260608391227914</v>
          </cell>
          <cell r="I89">
            <v>7.4246502334324855</v>
          </cell>
          <cell r="J89">
            <v>7.4274224144707093</v>
          </cell>
          <cell r="K89">
            <v>7.4248945699605189</v>
          </cell>
          <cell r="L89">
            <v>7.427727440370874</v>
          </cell>
          <cell r="M89">
            <v>7.4157721839183326</v>
          </cell>
          <cell r="N89">
            <v>7.416866625456441</v>
          </cell>
          <cell r="O89">
            <v>7.4139199468050752</v>
          </cell>
          <cell r="P89">
            <v>7.4177729115685462</v>
          </cell>
          <cell r="Q89">
            <v>7.4187762609740302</v>
          </cell>
          <cell r="R89">
            <v>7.4167307672934619</v>
          </cell>
          <cell r="S89">
            <v>7.4188382815555531</v>
          </cell>
          <cell r="T89">
            <v>7.4188382815555531</v>
          </cell>
          <cell r="U89">
            <v>7.4188382815555531</v>
          </cell>
          <cell r="V89">
            <v>7.4188382815555531</v>
          </cell>
          <cell r="W89">
            <v>7.4188382815555531</v>
          </cell>
          <cell r="X89">
            <v>7.4188382815555531</v>
          </cell>
          <cell r="Y89">
            <v>7.4188382815555531</v>
          </cell>
          <cell r="Z89">
            <v>7.4188382815555531</v>
          </cell>
          <cell r="AA89">
            <v>7.4188382815555531</v>
          </cell>
          <cell r="AB89">
            <v>7.4188382815555531</v>
          </cell>
          <cell r="AC89">
            <v>7.4188382815555531</v>
          </cell>
          <cell r="AD89">
            <v>7.4188382815555531</v>
          </cell>
          <cell r="AE89">
            <v>7.4188382815555531</v>
          </cell>
          <cell r="AF89">
            <v>7.4188382815555531</v>
          </cell>
        </row>
        <row r="90">
          <cell r="A90" t="str">
            <v>Ohio</v>
          </cell>
          <cell r="B90">
            <v>7.4244257975461538</v>
          </cell>
          <cell r="C90">
            <v>7.4270847091491117</v>
          </cell>
          <cell r="D90">
            <v>7.427338491309718</v>
          </cell>
          <cell r="E90">
            <v>7.4257401459392733</v>
          </cell>
          <cell r="F90">
            <v>7.426772845952927</v>
          </cell>
          <cell r="G90">
            <v>7.4265832924357644</v>
          </cell>
          <cell r="H90">
            <v>7.4260608391227914</v>
          </cell>
          <cell r="I90">
            <v>7.4246502334324864</v>
          </cell>
          <cell r="J90">
            <v>7.4274224144707111</v>
          </cell>
          <cell r="K90">
            <v>7.4248945699605198</v>
          </cell>
          <cell r="L90">
            <v>7.4277274403708731</v>
          </cell>
          <cell r="M90">
            <v>7.4157721839183308</v>
          </cell>
          <cell r="N90">
            <v>7.416866625456441</v>
          </cell>
          <cell r="O90">
            <v>7.4139199468050778</v>
          </cell>
          <cell r="P90">
            <v>7.4177729115685462</v>
          </cell>
          <cell r="Q90">
            <v>7.4187762609740293</v>
          </cell>
          <cell r="R90">
            <v>7.4167307672934637</v>
          </cell>
          <cell r="S90">
            <v>7.4188382815555522</v>
          </cell>
          <cell r="T90">
            <v>7.4188382815555522</v>
          </cell>
          <cell r="U90">
            <v>7.4188382815555522</v>
          </cell>
          <cell r="V90">
            <v>7.4188382815555522</v>
          </cell>
          <cell r="W90">
            <v>7.4188382815555522</v>
          </cell>
          <cell r="X90">
            <v>7.4188382815555522</v>
          </cell>
          <cell r="Y90">
            <v>7.4188382815555522</v>
          </cell>
          <cell r="Z90">
            <v>7.4188382815555522</v>
          </cell>
          <cell r="AA90">
            <v>7.4188382815555522</v>
          </cell>
          <cell r="AB90">
            <v>7.4188382815555522</v>
          </cell>
          <cell r="AC90">
            <v>7.4188382815555522</v>
          </cell>
          <cell r="AD90">
            <v>7.4188382815555522</v>
          </cell>
          <cell r="AE90">
            <v>7.4188382815555522</v>
          </cell>
          <cell r="AF90">
            <v>7.4188382815555522</v>
          </cell>
        </row>
        <row r="91">
          <cell r="A91" t="str">
            <v>Oklahoma</v>
          </cell>
          <cell r="B91">
            <v>8.2288479404102617</v>
          </cell>
          <cell r="C91">
            <v>8.2317918019240697</v>
          </cell>
          <cell r="D91">
            <v>8.2320729113149067</v>
          </cell>
          <cell r="E91">
            <v>8.2303025567370725</v>
          </cell>
          <cell r="F91">
            <v>8.2314462032010756</v>
          </cell>
          <cell r="G91">
            <v>8.2312352923523697</v>
          </cell>
          <cell r="H91">
            <v>8.230657126301006</v>
          </cell>
          <cell r="I91">
            <v>8.2290957145784329</v>
          </cell>
          <cell r="J91">
            <v>8.2321666411366614</v>
          </cell>
          <cell r="K91">
            <v>8.2293666284637474</v>
          </cell>
          <cell r="L91">
            <v>8.2325030470501588</v>
          </cell>
          <cell r="M91">
            <v>8.2193429773749642</v>
          </cell>
          <cell r="N91">
            <v>8.2205552070608476</v>
          </cell>
          <cell r="O91">
            <v>8.2172921103174872</v>
          </cell>
          <cell r="P91">
            <v>8.2215582866774675</v>
          </cell>
          <cell r="Q91">
            <v>8.2226697589026241</v>
          </cell>
          <cell r="R91">
            <v>8.2204041962349592</v>
          </cell>
          <cell r="S91">
            <v>8.2227376673712911</v>
          </cell>
          <cell r="T91">
            <v>8.2227376673712911</v>
          </cell>
          <cell r="U91">
            <v>8.2227376673712911</v>
          </cell>
          <cell r="V91">
            <v>8.2227376673712911</v>
          </cell>
          <cell r="W91">
            <v>8.2227376673712911</v>
          </cell>
          <cell r="X91">
            <v>8.2227376673712911</v>
          </cell>
          <cell r="Y91">
            <v>8.2227376673712911</v>
          </cell>
          <cell r="Z91">
            <v>8.2227376673712911</v>
          </cell>
          <cell r="AA91">
            <v>8.2227376673712911</v>
          </cell>
          <cell r="AB91">
            <v>8.2227376673712911</v>
          </cell>
          <cell r="AC91">
            <v>8.2227376673712911</v>
          </cell>
          <cell r="AD91">
            <v>8.2227376673712911</v>
          </cell>
          <cell r="AE91">
            <v>8.2227376673712911</v>
          </cell>
          <cell r="AF91">
            <v>8.2227376673712911</v>
          </cell>
        </row>
        <row r="92">
          <cell r="A92" t="str">
            <v>Oregon</v>
          </cell>
          <cell r="B92">
            <v>7.4244257975461529</v>
          </cell>
          <cell r="C92">
            <v>7.4270847091491117</v>
          </cell>
          <cell r="D92">
            <v>7.4273384913097154</v>
          </cell>
          <cell r="E92">
            <v>7.4257401459392725</v>
          </cell>
          <cell r="F92">
            <v>7.4267728459529252</v>
          </cell>
          <cell r="G92">
            <v>7.4265832924357662</v>
          </cell>
          <cell r="H92">
            <v>7.426060839122794</v>
          </cell>
          <cell r="I92">
            <v>7.4246502334324882</v>
          </cell>
          <cell r="J92">
            <v>7.4274224144707084</v>
          </cell>
          <cell r="K92">
            <v>7.424894569960518</v>
          </cell>
          <cell r="L92">
            <v>7.427727440370874</v>
          </cell>
          <cell r="M92">
            <v>7.4157721839183308</v>
          </cell>
          <cell r="N92">
            <v>7.416866625456441</v>
          </cell>
          <cell r="O92">
            <v>7.4139199468050778</v>
          </cell>
          <cell r="P92">
            <v>7.4177729115685462</v>
          </cell>
          <cell r="Q92">
            <v>7.4187762609740293</v>
          </cell>
          <cell r="R92">
            <v>7.416730767293461</v>
          </cell>
          <cell r="S92">
            <v>7.4188382815555522</v>
          </cell>
          <cell r="T92">
            <v>7.4188382815555522</v>
          </cell>
          <cell r="U92">
            <v>7.4188382815555522</v>
          </cell>
          <cell r="V92">
            <v>7.4188382815555522</v>
          </cell>
          <cell r="W92">
            <v>7.4188382815555522</v>
          </cell>
          <cell r="X92">
            <v>7.4188382815555522</v>
          </cell>
          <cell r="Y92">
            <v>7.4188382815555522</v>
          </cell>
          <cell r="Z92">
            <v>7.4188382815555522</v>
          </cell>
          <cell r="AA92">
            <v>7.4188382815555522</v>
          </cell>
          <cell r="AB92">
            <v>7.4188382815555522</v>
          </cell>
          <cell r="AC92">
            <v>7.4188382815555522</v>
          </cell>
          <cell r="AD92">
            <v>7.4188382815555522</v>
          </cell>
          <cell r="AE92">
            <v>7.4188382815555522</v>
          </cell>
          <cell r="AF92">
            <v>7.4188382815555522</v>
          </cell>
        </row>
        <row r="93">
          <cell r="A93" t="str">
            <v>Pennsylvania</v>
          </cell>
          <cell r="B93">
            <v>6.7022358854945905</v>
          </cell>
          <cell r="C93">
            <v>6.704638381789449</v>
          </cell>
          <cell r="D93">
            <v>6.7048675981276453</v>
          </cell>
          <cell r="E93">
            <v>6.7034238996302538</v>
          </cell>
          <cell r="F93">
            <v>6.7043568157747719</v>
          </cell>
          <cell r="G93">
            <v>6.7041862810707018</v>
          </cell>
          <cell r="H93">
            <v>6.7037140146210703</v>
          </cell>
          <cell r="I93">
            <v>6.7024391834149188</v>
          </cell>
          <cell r="J93">
            <v>6.7049428523286778</v>
          </cell>
          <cell r="K93">
            <v>6.7026596791576178</v>
          </cell>
          <cell r="L93">
            <v>6.7052193898777528</v>
          </cell>
          <cell r="M93">
            <v>6.6943629316514146</v>
          </cell>
          <cell r="N93">
            <v>6.6953514758351904</v>
          </cell>
          <cell r="O93">
            <v>6.69268940904914</v>
          </cell>
          <cell r="P93">
            <v>6.6961705978049055</v>
          </cell>
          <cell r="Q93">
            <v>6.6970767658517811</v>
          </cell>
          <cell r="R93">
            <v>6.6952291393811185</v>
          </cell>
          <cell r="S93">
            <v>6.697133342837132</v>
          </cell>
          <cell r="T93">
            <v>6.697133342837132</v>
          </cell>
          <cell r="U93">
            <v>6.697133342837132</v>
          </cell>
          <cell r="V93">
            <v>6.697133342837132</v>
          </cell>
          <cell r="W93">
            <v>6.697133342837132</v>
          </cell>
          <cell r="X93">
            <v>6.697133342837132</v>
          </cell>
          <cell r="Y93">
            <v>6.697133342837132</v>
          </cell>
          <cell r="Z93">
            <v>6.697133342837132</v>
          </cell>
          <cell r="AA93">
            <v>6.697133342837132</v>
          </cell>
          <cell r="AB93">
            <v>6.697133342837132</v>
          </cell>
          <cell r="AC93">
            <v>6.697133342837132</v>
          </cell>
          <cell r="AD93">
            <v>6.697133342837132</v>
          </cell>
          <cell r="AE93">
            <v>6.697133342837132</v>
          </cell>
          <cell r="AF93">
            <v>6.697133342837132</v>
          </cell>
        </row>
        <row r="94">
          <cell r="A94" t="str">
            <v>Rhode Island</v>
          </cell>
          <cell r="B94">
            <v>6.7022358854945914</v>
          </cell>
          <cell r="C94">
            <v>6.7046383817894464</v>
          </cell>
          <cell r="D94">
            <v>6.7048675981276453</v>
          </cell>
          <cell r="E94">
            <v>6.7034238996302538</v>
          </cell>
          <cell r="F94">
            <v>6.7043568157747719</v>
          </cell>
          <cell r="G94">
            <v>6.7041862810707018</v>
          </cell>
          <cell r="H94">
            <v>6.7037140146210685</v>
          </cell>
          <cell r="I94">
            <v>6.7024391834149188</v>
          </cell>
          <cell r="J94">
            <v>6.7049428523286787</v>
          </cell>
          <cell r="K94">
            <v>6.7026596791576178</v>
          </cell>
          <cell r="L94">
            <v>6.7052193898777528</v>
          </cell>
          <cell r="M94">
            <v>6.6943629316514146</v>
          </cell>
          <cell r="N94">
            <v>6.6953514758351922</v>
          </cell>
          <cell r="O94">
            <v>6.69268940904914</v>
          </cell>
          <cell r="P94">
            <v>6.6961705978049073</v>
          </cell>
          <cell r="Q94">
            <v>6.6970767658517838</v>
          </cell>
          <cell r="R94">
            <v>6.6952291393811167</v>
          </cell>
          <cell r="S94">
            <v>6.6971333428371311</v>
          </cell>
          <cell r="T94">
            <v>6.6971333428371311</v>
          </cell>
          <cell r="U94">
            <v>6.6971333428371311</v>
          </cell>
          <cell r="V94">
            <v>6.6971333428371311</v>
          </cell>
          <cell r="W94">
            <v>6.6971333428371311</v>
          </cell>
          <cell r="X94">
            <v>6.6971333428371311</v>
          </cell>
          <cell r="Y94">
            <v>6.6971333428371311</v>
          </cell>
          <cell r="Z94">
            <v>6.6971333428371311</v>
          </cell>
          <cell r="AA94">
            <v>6.6971333428371311</v>
          </cell>
          <cell r="AB94">
            <v>6.6971333428371311</v>
          </cell>
          <cell r="AC94">
            <v>6.6971333428371311</v>
          </cell>
          <cell r="AD94">
            <v>6.6971333428371311</v>
          </cell>
          <cell r="AE94">
            <v>6.6971333428371311</v>
          </cell>
          <cell r="AF94">
            <v>6.6971333428371311</v>
          </cell>
        </row>
        <row r="95">
          <cell r="A95" t="str">
            <v>South Carolina</v>
          </cell>
          <cell r="B95">
            <v>7.4244257975461538</v>
          </cell>
          <cell r="C95">
            <v>7.4270847091491117</v>
          </cell>
          <cell r="D95">
            <v>7.4273384913097154</v>
          </cell>
          <cell r="E95">
            <v>7.4257401459392725</v>
          </cell>
          <cell r="F95">
            <v>7.426772845952927</v>
          </cell>
          <cell r="G95">
            <v>7.4265832924357627</v>
          </cell>
          <cell r="H95">
            <v>7.4260608391227914</v>
          </cell>
          <cell r="I95">
            <v>7.4246502334324855</v>
          </cell>
          <cell r="J95">
            <v>7.4274224144707093</v>
          </cell>
          <cell r="K95">
            <v>7.4248945699605189</v>
          </cell>
          <cell r="L95">
            <v>7.4277274403708731</v>
          </cell>
          <cell r="M95">
            <v>7.4157721839183317</v>
          </cell>
          <cell r="N95">
            <v>7.416866625456441</v>
          </cell>
          <cell r="O95">
            <v>7.4139199468050769</v>
          </cell>
          <cell r="P95">
            <v>7.4177729115685462</v>
          </cell>
          <cell r="Q95">
            <v>7.4187762609740275</v>
          </cell>
          <cell r="R95">
            <v>7.4167307672934584</v>
          </cell>
          <cell r="S95">
            <v>7.4188382815555531</v>
          </cell>
          <cell r="T95">
            <v>7.4188382815555531</v>
          </cell>
          <cell r="U95">
            <v>7.4188382815555531</v>
          </cell>
          <cell r="V95">
            <v>7.4188382815555531</v>
          </cell>
          <cell r="W95">
            <v>7.4188382815555531</v>
          </cell>
          <cell r="X95">
            <v>7.4188382815555531</v>
          </cell>
          <cell r="Y95">
            <v>7.4188382815555531</v>
          </cell>
          <cell r="Z95">
            <v>7.4188382815555531</v>
          </cell>
          <cell r="AA95">
            <v>7.4188382815555531</v>
          </cell>
          <cell r="AB95">
            <v>7.4188382815555531</v>
          </cell>
          <cell r="AC95">
            <v>7.4188382815555531</v>
          </cell>
          <cell r="AD95">
            <v>7.4188382815555531</v>
          </cell>
          <cell r="AE95">
            <v>7.4188382815555531</v>
          </cell>
          <cell r="AF95">
            <v>7.4188382815555531</v>
          </cell>
        </row>
        <row r="96">
          <cell r="A96" t="str">
            <v>South Dakota</v>
          </cell>
          <cell r="B96">
            <v>7.4244257975461538</v>
          </cell>
          <cell r="C96">
            <v>7.4270847091491099</v>
          </cell>
          <cell r="D96">
            <v>7.4273384913097154</v>
          </cell>
          <cell r="E96">
            <v>7.4257401459392716</v>
          </cell>
          <cell r="F96">
            <v>7.4267728459529287</v>
          </cell>
          <cell r="G96">
            <v>7.4265832924357644</v>
          </cell>
          <cell r="H96">
            <v>7.4260608391227922</v>
          </cell>
          <cell r="I96">
            <v>7.4246502334324864</v>
          </cell>
          <cell r="J96">
            <v>7.4274224144707084</v>
          </cell>
          <cell r="K96">
            <v>7.4248945699605198</v>
          </cell>
          <cell r="L96">
            <v>7.4277274403708731</v>
          </cell>
          <cell r="M96">
            <v>7.4157721839183308</v>
          </cell>
          <cell r="N96">
            <v>7.416866625456441</v>
          </cell>
          <cell r="O96">
            <v>7.4139199468050778</v>
          </cell>
          <cell r="P96">
            <v>7.4177729115685462</v>
          </cell>
          <cell r="Q96">
            <v>7.4187762609740302</v>
          </cell>
          <cell r="R96">
            <v>7.416730767293461</v>
          </cell>
          <cell r="S96">
            <v>7.4188382815555549</v>
          </cell>
          <cell r="T96">
            <v>7.4188382815555549</v>
          </cell>
          <cell r="U96">
            <v>7.4188382815555549</v>
          </cell>
          <cell r="V96">
            <v>7.4188382815555549</v>
          </cell>
          <cell r="W96">
            <v>7.4188382815555549</v>
          </cell>
          <cell r="X96">
            <v>7.4188382815555549</v>
          </cell>
          <cell r="Y96">
            <v>7.4188382815555549</v>
          </cell>
          <cell r="Z96">
            <v>7.4188382815555549</v>
          </cell>
          <cell r="AA96">
            <v>7.4188382815555549</v>
          </cell>
          <cell r="AB96">
            <v>7.4188382815555549</v>
          </cell>
          <cell r="AC96">
            <v>7.4188382815555549</v>
          </cell>
          <cell r="AD96">
            <v>7.4188382815555549</v>
          </cell>
          <cell r="AE96">
            <v>7.4188382815555549</v>
          </cell>
          <cell r="AF96">
            <v>7.4188382815555549</v>
          </cell>
        </row>
        <row r="97">
          <cell r="A97" t="str">
            <v>Tennessee</v>
          </cell>
          <cell r="B97">
            <v>7.4244257975461538</v>
          </cell>
          <cell r="C97">
            <v>7.4270847091491099</v>
          </cell>
          <cell r="D97">
            <v>7.4273384913097171</v>
          </cell>
          <cell r="E97">
            <v>7.4257401459392733</v>
          </cell>
          <cell r="F97">
            <v>7.426772845952927</v>
          </cell>
          <cell r="G97">
            <v>7.4265832924357644</v>
          </cell>
          <cell r="H97">
            <v>7.4260608391227914</v>
          </cell>
          <cell r="I97">
            <v>7.4246502334324838</v>
          </cell>
          <cell r="J97">
            <v>7.4274224144707084</v>
          </cell>
          <cell r="K97">
            <v>7.4248945699605189</v>
          </cell>
          <cell r="L97">
            <v>7.4277274403708731</v>
          </cell>
          <cell r="M97">
            <v>7.415772183918329</v>
          </cell>
          <cell r="N97">
            <v>7.416866625456441</v>
          </cell>
          <cell r="O97">
            <v>7.4139199468050778</v>
          </cell>
          <cell r="P97">
            <v>7.4177729115685462</v>
          </cell>
          <cell r="Q97">
            <v>7.4187762609740302</v>
          </cell>
          <cell r="R97">
            <v>7.4167307672934619</v>
          </cell>
          <cell r="S97">
            <v>7.4188382815555549</v>
          </cell>
          <cell r="T97">
            <v>7.4188382815555549</v>
          </cell>
          <cell r="U97">
            <v>7.4188382815555549</v>
          </cell>
          <cell r="V97">
            <v>7.4188382815555549</v>
          </cell>
          <cell r="W97">
            <v>7.4188382815555549</v>
          </cell>
          <cell r="X97">
            <v>7.4188382815555549</v>
          </cell>
          <cell r="Y97">
            <v>7.4188382815555549</v>
          </cell>
          <cell r="Z97">
            <v>7.4188382815555549</v>
          </cell>
          <cell r="AA97">
            <v>7.4188382815555549</v>
          </cell>
          <cell r="AB97">
            <v>7.4188382815555549</v>
          </cell>
          <cell r="AC97">
            <v>7.4188382815555549</v>
          </cell>
          <cell r="AD97">
            <v>7.4188382815555549</v>
          </cell>
          <cell r="AE97">
            <v>7.4188382815555549</v>
          </cell>
          <cell r="AF97">
            <v>7.4188382815555549</v>
          </cell>
        </row>
        <row r="98">
          <cell r="A98" t="str">
            <v>Texas</v>
          </cell>
          <cell r="B98">
            <v>8.2288479404102617</v>
          </cell>
          <cell r="C98">
            <v>8.2317918019240715</v>
          </cell>
          <cell r="D98">
            <v>8.2320729113149103</v>
          </cell>
          <cell r="E98">
            <v>8.2303025567370725</v>
          </cell>
          <cell r="F98">
            <v>8.2314462032010756</v>
          </cell>
          <cell r="G98">
            <v>8.2312352923523662</v>
          </cell>
          <cell r="H98">
            <v>8.2306571263010042</v>
          </cell>
          <cell r="I98">
            <v>8.2290957145784365</v>
          </cell>
          <cell r="J98">
            <v>8.2321666411366614</v>
          </cell>
          <cell r="K98">
            <v>8.2293666284637474</v>
          </cell>
          <cell r="L98">
            <v>8.2325030470501606</v>
          </cell>
          <cell r="M98">
            <v>8.2193429773749642</v>
          </cell>
          <cell r="N98">
            <v>8.2205552070608494</v>
          </cell>
          <cell r="O98">
            <v>8.217292110317489</v>
          </cell>
          <cell r="P98">
            <v>8.2215582866774692</v>
          </cell>
          <cell r="Q98">
            <v>8.2226697589026223</v>
          </cell>
          <cell r="R98">
            <v>8.2204041962349592</v>
          </cell>
          <cell r="S98">
            <v>8.2227376673712858</v>
          </cell>
          <cell r="T98">
            <v>8.2227376673712858</v>
          </cell>
          <cell r="U98">
            <v>8.2227376673712858</v>
          </cell>
          <cell r="V98">
            <v>8.2227376673712858</v>
          </cell>
          <cell r="W98">
            <v>8.2227376673712858</v>
          </cell>
          <cell r="X98">
            <v>8.2227376673712858</v>
          </cell>
          <cell r="Y98">
            <v>8.2227376673712858</v>
          </cell>
          <cell r="Z98">
            <v>8.2227376673712858</v>
          </cell>
          <cell r="AA98">
            <v>8.2227376673712858</v>
          </cell>
          <cell r="AB98">
            <v>8.2227376673712858</v>
          </cell>
          <cell r="AC98">
            <v>8.2227376673712858</v>
          </cell>
          <cell r="AD98">
            <v>8.2227376673712858</v>
          </cell>
          <cell r="AE98">
            <v>8.2227376673712858</v>
          </cell>
          <cell r="AF98">
            <v>8.2227376673712858</v>
          </cell>
        </row>
        <row r="99">
          <cell r="A99" t="str">
            <v>Utah</v>
          </cell>
          <cell r="B99">
            <v>7.4244257975461547</v>
          </cell>
          <cell r="C99">
            <v>7.4270847091491117</v>
          </cell>
          <cell r="D99">
            <v>7.4273384913097171</v>
          </cell>
          <cell r="E99">
            <v>7.4257401459392733</v>
          </cell>
          <cell r="F99">
            <v>7.4267728459529252</v>
          </cell>
          <cell r="G99">
            <v>7.4265832924357644</v>
          </cell>
          <cell r="H99">
            <v>7.4260608391227922</v>
          </cell>
          <cell r="I99">
            <v>7.4246502334324855</v>
          </cell>
          <cell r="J99">
            <v>7.4274224144707084</v>
          </cell>
          <cell r="K99">
            <v>7.4248945699605198</v>
          </cell>
          <cell r="L99">
            <v>7.427727440370874</v>
          </cell>
          <cell r="M99">
            <v>7.415772183918329</v>
          </cell>
          <cell r="N99">
            <v>7.4168666254564419</v>
          </cell>
          <cell r="O99">
            <v>7.4139199468050769</v>
          </cell>
          <cell r="P99">
            <v>7.4177729115685462</v>
          </cell>
          <cell r="Q99">
            <v>7.4187762609740275</v>
          </cell>
          <cell r="R99">
            <v>7.416730767293461</v>
          </cell>
          <cell r="S99">
            <v>7.4188382815555522</v>
          </cell>
          <cell r="T99">
            <v>7.4188382815555522</v>
          </cell>
          <cell r="U99">
            <v>7.4188382815555522</v>
          </cell>
          <cell r="V99">
            <v>7.4188382815555522</v>
          </cell>
          <cell r="W99">
            <v>7.4188382815555522</v>
          </cell>
          <cell r="X99">
            <v>7.4188382815555522</v>
          </cell>
          <cell r="Y99">
            <v>7.4188382815555522</v>
          </cell>
          <cell r="Z99">
            <v>7.4188382815555522</v>
          </cell>
          <cell r="AA99">
            <v>7.4188382815555522</v>
          </cell>
          <cell r="AB99">
            <v>7.4188382815555522</v>
          </cell>
          <cell r="AC99">
            <v>7.4188382815555522</v>
          </cell>
          <cell r="AD99">
            <v>7.4188382815555522</v>
          </cell>
          <cell r="AE99">
            <v>7.4188382815555522</v>
          </cell>
          <cell r="AF99">
            <v>7.4188382815555522</v>
          </cell>
        </row>
        <row r="100">
          <cell r="A100" t="str">
            <v>Vermont</v>
          </cell>
          <cell r="B100">
            <v>6.7022358854945905</v>
          </cell>
          <cell r="C100">
            <v>6.7046383817894508</v>
          </cell>
          <cell r="D100">
            <v>6.7048675981276435</v>
          </cell>
          <cell r="E100">
            <v>6.7034238996302538</v>
          </cell>
          <cell r="F100">
            <v>6.7043568157747711</v>
          </cell>
          <cell r="G100">
            <v>6.7041862810707018</v>
          </cell>
          <cell r="H100">
            <v>6.7037140146210685</v>
          </cell>
          <cell r="I100">
            <v>6.7024391834149206</v>
          </cell>
          <cell r="J100">
            <v>6.7049428523286778</v>
          </cell>
          <cell r="K100">
            <v>6.7026596791576178</v>
          </cell>
          <cell r="L100">
            <v>6.7052193898777528</v>
          </cell>
          <cell r="M100">
            <v>6.6943629316514119</v>
          </cell>
          <cell r="N100">
            <v>6.6953514758351904</v>
          </cell>
          <cell r="O100">
            <v>6.6926894090491391</v>
          </cell>
          <cell r="P100">
            <v>6.6961705978049073</v>
          </cell>
          <cell r="Q100">
            <v>6.6970767658517811</v>
          </cell>
          <cell r="R100">
            <v>6.6952291393811194</v>
          </cell>
          <cell r="S100">
            <v>6.6971333428371302</v>
          </cell>
          <cell r="T100">
            <v>6.6971333428371302</v>
          </cell>
          <cell r="U100">
            <v>6.6971333428371302</v>
          </cell>
          <cell r="V100">
            <v>6.6971333428371302</v>
          </cell>
          <cell r="W100">
            <v>6.6971333428371302</v>
          </cell>
          <cell r="X100">
            <v>6.6971333428371302</v>
          </cell>
          <cell r="Y100">
            <v>6.6971333428371302</v>
          </cell>
          <cell r="Z100">
            <v>6.6971333428371302</v>
          </cell>
          <cell r="AA100">
            <v>6.6971333428371302</v>
          </cell>
          <cell r="AB100">
            <v>6.6971333428371302</v>
          </cell>
          <cell r="AC100">
            <v>6.6971333428371302</v>
          </cell>
          <cell r="AD100">
            <v>6.6971333428371302</v>
          </cell>
          <cell r="AE100">
            <v>6.6971333428371302</v>
          </cell>
          <cell r="AF100">
            <v>6.6971333428371302</v>
          </cell>
        </row>
        <row r="101">
          <cell r="A101" t="str">
            <v>Virginia</v>
          </cell>
          <cell r="B101">
            <v>7.4244257975461538</v>
          </cell>
          <cell r="C101">
            <v>7.4270847091491117</v>
          </cell>
          <cell r="D101">
            <v>7.4273384913097171</v>
          </cell>
          <cell r="E101">
            <v>7.4257401459392733</v>
          </cell>
          <cell r="F101">
            <v>7.4267728459529287</v>
          </cell>
          <cell r="G101">
            <v>7.4265832924357662</v>
          </cell>
          <cell r="H101">
            <v>7.4260608391227922</v>
          </cell>
          <cell r="I101">
            <v>7.4246502334324864</v>
          </cell>
          <cell r="J101">
            <v>7.4274224144707093</v>
          </cell>
          <cell r="K101">
            <v>7.4248945699605216</v>
          </cell>
          <cell r="L101">
            <v>7.427727440370874</v>
          </cell>
          <cell r="M101">
            <v>7.415772183918329</v>
          </cell>
          <cell r="N101">
            <v>7.416866625456441</v>
          </cell>
          <cell r="O101">
            <v>7.4139199468050778</v>
          </cell>
          <cell r="P101">
            <v>7.4177729115685462</v>
          </cell>
          <cell r="Q101">
            <v>7.4187762609740302</v>
          </cell>
          <cell r="R101">
            <v>7.4167307672934619</v>
          </cell>
          <cell r="S101">
            <v>7.4188382815555549</v>
          </cell>
          <cell r="T101">
            <v>7.4188382815555549</v>
          </cell>
          <cell r="U101">
            <v>7.4188382815555549</v>
          </cell>
          <cell r="V101">
            <v>7.4188382815555549</v>
          </cell>
          <cell r="W101">
            <v>7.4188382815555549</v>
          </cell>
          <cell r="X101">
            <v>7.4188382815555549</v>
          </cell>
          <cell r="Y101">
            <v>7.4188382815555549</v>
          </cell>
          <cell r="Z101">
            <v>7.4188382815555549</v>
          </cell>
          <cell r="AA101">
            <v>7.4188382815555549</v>
          </cell>
          <cell r="AB101">
            <v>7.4188382815555549</v>
          </cell>
          <cell r="AC101">
            <v>7.4188382815555549</v>
          </cell>
          <cell r="AD101">
            <v>7.4188382815555549</v>
          </cell>
          <cell r="AE101">
            <v>7.4188382815555549</v>
          </cell>
          <cell r="AF101">
            <v>7.4188382815555549</v>
          </cell>
        </row>
        <row r="102">
          <cell r="A102" t="str">
            <v>Washington</v>
          </cell>
          <cell r="B102">
            <v>7.4244257975461547</v>
          </cell>
          <cell r="C102">
            <v>7.4270847091491135</v>
          </cell>
          <cell r="D102">
            <v>7.4273384913097154</v>
          </cell>
          <cell r="E102">
            <v>7.4257401459392725</v>
          </cell>
          <cell r="F102">
            <v>7.426772845952927</v>
          </cell>
          <cell r="G102">
            <v>7.4265832924357662</v>
          </cell>
          <cell r="H102">
            <v>7.4260608391227922</v>
          </cell>
          <cell r="I102">
            <v>7.4246502334324855</v>
          </cell>
          <cell r="J102">
            <v>7.4274224144707084</v>
          </cell>
          <cell r="K102">
            <v>7.424894569960518</v>
          </cell>
          <cell r="L102">
            <v>7.4277274403708731</v>
          </cell>
          <cell r="M102">
            <v>7.4157721839183308</v>
          </cell>
          <cell r="N102">
            <v>7.416866625456441</v>
          </cell>
          <cell r="O102">
            <v>7.4139199468050778</v>
          </cell>
          <cell r="P102">
            <v>7.4177729115685445</v>
          </cell>
          <cell r="Q102">
            <v>7.4187762609740293</v>
          </cell>
          <cell r="R102">
            <v>7.416730767293461</v>
          </cell>
          <cell r="S102">
            <v>7.4188382815555531</v>
          </cell>
          <cell r="T102">
            <v>7.4188382815555531</v>
          </cell>
          <cell r="U102">
            <v>7.4188382815555531</v>
          </cell>
          <cell r="V102">
            <v>7.4188382815555531</v>
          </cell>
          <cell r="W102">
            <v>7.4188382815555531</v>
          </cell>
          <cell r="X102">
            <v>7.4188382815555531</v>
          </cell>
          <cell r="Y102">
            <v>7.4188382815555531</v>
          </cell>
          <cell r="Z102">
            <v>7.4188382815555531</v>
          </cell>
          <cell r="AA102">
            <v>7.4188382815555531</v>
          </cell>
          <cell r="AB102">
            <v>7.4188382815555531</v>
          </cell>
          <cell r="AC102">
            <v>7.4188382815555531</v>
          </cell>
          <cell r="AD102">
            <v>7.4188382815555531</v>
          </cell>
          <cell r="AE102">
            <v>7.4188382815555531</v>
          </cell>
          <cell r="AF102">
            <v>7.4188382815555531</v>
          </cell>
        </row>
        <row r="103">
          <cell r="A103" t="str">
            <v>West Virginia</v>
          </cell>
          <cell r="B103">
            <v>6.7022358854945923</v>
          </cell>
          <cell r="C103">
            <v>6.7046383817894482</v>
          </cell>
          <cell r="D103">
            <v>6.7048675981276427</v>
          </cell>
          <cell r="E103">
            <v>6.7034238996302529</v>
          </cell>
          <cell r="F103">
            <v>6.7043568157747719</v>
          </cell>
          <cell r="G103">
            <v>6.7041862810707018</v>
          </cell>
          <cell r="H103">
            <v>6.7037140146210685</v>
          </cell>
          <cell r="I103">
            <v>6.702439183414918</v>
          </cell>
          <cell r="J103">
            <v>6.7049428523286778</v>
          </cell>
          <cell r="K103">
            <v>6.7026596791576178</v>
          </cell>
          <cell r="L103">
            <v>6.7052193898777528</v>
          </cell>
          <cell r="M103">
            <v>6.6943629316514146</v>
          </cell>
          <cell r="N103">
            <v>6.6953514758351904</v>
          </cell>
          <cell r="O103">
            <v>6.69268940904914</v>
          </cell>
          <cell r="P103">
            <v>6.6961705978049073</v>
          </cell>
          <cell r="Q103">
            <v>6.6970767658517802</v>
          </cell>
          <cell r="R103">
            <v>6.6952291393811185</v>
          </cell>
          <cell r="S103">
            <v>6.6971333428371311</v>
          </cell>
          <cell r="T103">
            <v>6.6971333428371311</v>
          </cell>
          <cell r="U103">
            <v>6.6971333428371311</v>
          </cell>
          <cell r="V103">
            <v>6.6971333428371311</v>
          </cell>
          <cell r="W103">
            <v>6.6971333428371311</v>
          </cell>
          <cell r="X103">
            <v>6.6971333428371311</v>
          </cell>
          <cell r="Y103">
            <v>6.6971333428371311</v>
          </cell>
          <cell r="Z103">
            <v>6.6971333428371311</v>
          </cell>
          <cell r="AA103">
            <v>6.6971333428371311</v>
          </cell>
          <cell r="AB103">
            <v>6.6971333428371311</v>
          </cell>
          <cell r="AC103">
            <v>6.6971333428371311</v>
          </cell>
          <cell r="AD103">
            <v>6.6971333428371311</v>
          </cell>
          <cell r="AE103">
            <v>6.6971333428371311</v>
          </cell>
          <cell r="AF103">
            <v>6.6971333428371311</v>
          </cell>
        </row>
        <row r="104">
          <cell r="A104" t="str">
            <v>Wisconsin</v>
          </cell>
          <cell r="B104">
            <v>7.4244257975461565</v>
          </cell>
          <cell r="C104">
            <v>7.4270847091491117</v>
          </cell>
          <cell r="D104">
            <v>7.4273384913097171</v>
          </cell>
          <cell r="E104">
            <v>7.4257401459392733</v>
          </cell>
          <cell r="F104">
            <v>7.4267728459529252</v>
          </cell>
          <cell r="G104">
            <v>7.4265832924357644</v>
          </cell>
          <cell r="H104">
            <v>7.4260608391227922</v>
          </cell>
          <cell r="I104">
            <v>7.4246502334324855</v>
          </cell>
          <cell r="J104">
            <v>7.4274224144707084</v>
          </cell>
          <cell r="K104">
            <v>7.4248945699605189</v>
          </cell>
          <cell r="L104">
            <v>7.4277274403708731</v>
          </cell>
          <cell r="M104">
            <v>7.4157721839183317</v>
          </cell>
          <cell r="N104">
            <v>7.4168666254564419</v>
          </cell>
          <cell r="O104">
            <v>7.4139199468050769</v>
          </cell>
          <cell r="P104">
            <v>7.4177729115685471</v>
          </cell>
          <cell r="Q104">
            <v>7.4187762609740302</v>
          </cell>
          <cell r="R104">
            <v>7.416730767293461</v>
          </cell>
          <cell r="S104">
            <v>7.4188382815555549</v>
          </cell>
          <cell r="T104">
            <v>7.4188382815555549</v>
          </cell>
          <cell r="U104">
            <v>7.4188382815555549</v>
          </cell>
          <cell r="V104">
            <v>7.4188382815555549</v>
          </cell>
          <cell r="W104">
            <v>7.4188382815555549</v>
          </cell>
          <cell r="X104">
            <v>7.4188382815555549</v>
          </cell>
          <cell r="Y104">
            <v>7.4188382815555549</v>
          </cell>
          <cell r="Z104">
            <v>7.4188382815555549</v>
          </cell>
          <cell r="AA104">
            <v>7.4188382815555549</v>
          </cell>
          <cell r="AB104">
            <v>7.4188382815555549</v>
          </cell>
          <cell r="AC104">
            <v>7.4188382815555549</v>
          </cell>
          <cell r="AD104">
            <v>7.4188382815555549</v>
          </cell>
          <cell r="AE104">
            <v>7.4188382815555549</v>
          </cell>
          <cell r="AF104">
            <v>7.4188382815555549</v>
          </cell>
        </row>
        <row r="105">
          <cell r="A105" t="str">
            <v>Wyoming</v>
          </cell>
          <cell r="B105">
            <v>7.4244257975461529</v>
          </cell>
          <cell r="C105">
            <v>7.4270847091491126</v>
          </cell>
          <cell r="D105">
            <v>7.4273384913097154</v>
          </cell>
          <cell r="E105">
            <v>7.4257401459392716</v>
          </cell>
          <cell r="F105">
            <v>7.4267728459529279</v>
          </cell>
          <cell r="G105">
            <v>7.4265832924357689</v>
          </cell>
          <cell r="H105">
            <v>7.4260608391227914</v>
          </cell>
          <cell r="I105">
            <v>7.4246502334324855</v>
          </cell>
          <cell r="J105">
            <v>7.4274224144707111</v>
          </cell>
          <cell r="K105">
            <v>7.4248945699605189</v>
          </cell>
          <cell r="L105">
            <v>7.427727440370874</v>
          </cell>
          <cell r="M105">
            <v>7.4157721839183308</v>
          </cell>
          <cell r="N105">
            <v>7.416866625456441</v>
          </cell>
          <cell r="O105">
            <v>7.4139199468050769</v>
          </cell>
          <cell r="P105">
            <v>7.4177729115685436</v>
          </cell>
          <cell r="Q105">
            <v>7.4187762609740302</v>
          </cell>
          <cell r="R105">
            <v>7.4167307672934619</v>
          </cell>
          <cell r="S105">
            <v>7.4188382815555549</v>
          </cell>
          <cell r="T105">
            <v>7.4188382815555549</v>
          </cell>
          <cell r="U105">
            <v>7.4188382815555549</v>
          </cell>
          <cell r="V105">
            <v>7.4188382815555549</v>
          </cell>
          <cell r="W105">
            <v>7.4188382815555549</v>
          </cell>
          <cell r="X105">
            <v>7.4188382815555549</v>
          </cell>
          <cell r="Y105">
            <v>7.4188382815555549</v>
          </cell>
          <cell r="Z105">
            <v>7.4188382815555549</v>
          </cell>
          <cell r="AA105">
            <v>7.4188382815555549</v>
          </cell>
          <cell r="AB105">
            <v>7.4188382815555549</v>
          </cell>
          <cell r="AC105">
            <v>7.4188382815555549</v>
          </cell>
          <cell r="AD105">
            <v>7.4188382815555549</v>
          </cell>
          <cell r="AE105">
            <v>7.4188382815555549</v>
          </cell>
          <cell r="AF105">
            <v>7.4188382815555549</v>
          </cell>
        </row>
        <row r="107">
          <cell r="A107" t="str">
            <v>Beef Cows</v>
          </cell>
          <cell r="B107">
            <v>1990</v>
          </cell>
          <cell r="C107">
            <v>1991</v>
          </cell>
          <cell r="D107">
            <v>1992</v>
          </cell>
          <cell r="E107">
            <v>1993</v>
          </cell>
          <cell r="F107">
            <v>1994</v>
          </cell>
          <cell r="G107">
            <v>1995</v>
          </cell>
          <cell r="H107">
            <v>1996</v>
          </cell>
          <cell r="I107">
            <v>1997</v>
          </cell>
          <cell r="J107">
            <v>1998</v>
          </cell>
          <cell r="K107">
            <v>1999</v>
          </cell>
          <cell r="L107">
            <v>2000</v>
          </cell>
          <cell r="M107">
            <v>2001</v>
          </cell>
          <cell r="N107">
            <v>2002</v>
          </cell>
          <cell r="O107">
            <v>2003</v>
          </cell>
          <cell r="P107">
            <v>2004</v>
          </cell>
          <cell r="Q107">
            <v>2005</v>
          </cell>
          <cell r="R107">
            <v>2006</v>
          </cell>
          <cell r="S107">
            <v>2007</v>
          </cell>
          <cell r="T107">
            <v>2008</v>
          </cell>
          <cell r="U107">
            <v>2009</v>
          </cell>
          <cell r="V107">
            <v>2010</v>
          </cell>
          <cell r="W107">
            <v>2011</v>
          </cell>
          <cell r="X107">
            <v>2012</v>
          </cell>
          <cell r="Y107">
            <v>2013</v>
          </cell>
          <cell r="Z107">
            <v>2014</v>
          </cell>
          <cell r="AA107">
            <v>2015</v>
          </cell>
          <cell r="AB107">
            <v>2016</v>
          </cell>
          <cell r="AC107">
            <v>2017</v>
          </cell>
          <cell r="AD107">
            <v>2018</v>
          </cell>
          <cell r="AE107">
            <v>2019</v>
          </cell>
          <cell r="AF107">
            <v>2020</v>
          </cell>
        </row>
        <row r="108">
          <cell r="A108" t="str">
            <v>Alabama</v>
          </cell>
          <cell r="B108">
            <v>7.2833290471679826</v>
          </cell>
          <cell r="C108">
            <v>7.2743998210939704</v>
          </cell>
          <cell r="D108">
            <v>7.1918615384680615</v>
          </cell>
          <cell r="E108">
            <v>7.1564608763390121</v>
          </cell>
          <cell r="F108">
            <v>7.1561258752185362</v>
          </cell>
          <cell r="G108">
            <v>7.1519764844614633</v>
          </cell>
          <cell r="H108">
            <v>7.1453908168462172</v>
          </cell>
          <cell r="I108">
            <v>7.1437082469938469</v>
          </cell>
          <cell r="J108">
            <v>7.1232138717706688</v>
          </cell>
          <cell r="K108">
            <v>7.1313816206567084</v>
          </cell>
          <cell r="L108">
            <v>7.1728262464426455</v>
          </cell>
          <cell r="M108">
            <v>7.1728262464426447</v>
          </cell>
          <cell r="N108">
            <v>7.1644554133099634</v>
          </cell>
          <cell r="O108">
            <v>7.0989470472367611</v>
          </cell>
          <cell r="P108">
            <v>7.0691018336397926</v>
          </cell>
          <cell r="Q108">
            <v>7.0612328436485328</v>
          </cell>
          <cell r="R108">
            <v>7.0339824152082899</v>
          </cell>
          <cell r="S108">
            <v>7.020524178437566</v>
          </cell>
          <cell r="T108">
            <v>7.020524178437566</v>
          </cell>
          <cell r="U108">
            <v>7.020524178437566</v>
          </cell>
          <cell r="V108">
            <v>7.020524178437566</v>
          </cell>
          <cell r="W108">
            <v>7.020524178437566</v>
          </cell>
          <cell r="X108">
            <v>7.020524178437566</v>
          </cell>
          <cell r="Y108">
            <v>7.020524178437566</v>
          </cell>
          <cell r="Z108">
            <v>7.020524178437566</v>
          </cell>
          <cell r="AA108">
            <v>7.020524178437566</v>
          </cell>
          <cell r="AB108">
            <v>7.020524178437566</v>
          </cell>
          <cell r="AC108">
            <v>7.020524178437566</v>
          </cell>
          <cell r="AD108">
            <v>7.020524178437566</v>
          </cell>
          <cell r="AE108">
            <v>7.020524178437566</v>
          </cell>
          <cell r="AF108">
            <v>7.020524178437566</v>
          </cell>
        </row>
        <row r="109">
          <cell r="A109" t="str">
            <v>Alaska</v>
          </cell>
          <cell r="B109">
            <v>9.3564152755243342</v>
          </cell>
          <cell r="C109">
            <v>9.3449444842561658</v>
          </cell>
          <cell r="D109">
            <v>9.2389129644147072</v>
          </cell>
          <cell r="E109">
            <v>9.1934360549186867</v>
          </cell>
          <cell r="F109">
            <v>9.1930057009444628</v>
          </cell>
          <cell r="G109">
            <v>9.1876752507049968</v>
          </cell>
          <cell r="H109">
            <v>9.1792150753269919</v>
          </cell>
          <cell r="I109">
            <v>9.1770535881599375</v>
          </cell>
          <cell r="J109">
            <v>9.1507258080804394</v>
          </cell>
          <cell r="K109">
            <v>9.1612183795335564</v>
          </cell>
          <cell r="L109">
            <v>9.2144595728506005</v>
          </cell>
          <cell r="M109">
            <v>9.2144595728506022</v>
          </cell>
          <cell r="N109">
            <v>9.2037061123815942</v>
          </cell>
          <cell r="O109">
            <v>9.11955180972239</v>
          </cell>
          <cell r="P109">
            <v>9.0812116206973563</v>
          </cell>
          <cell r="Q109">
            <v>9.0711028452074185</v>
          </cell>
          <cell r="R109">
            <v>9.0360960065390419</v>
          </cell>
          <cell r="S109">
            <v>9.0188070921857637</v>
          </cell>
          <cell r="T109">
            <v>9.0188070921857637</v>
          </cell>
          <cell r="U109">
            <v>9.0188070921857637</v>
          </cell>
          <cell r="V109">
            <v>9.0188070921857637</v>
          </cell>
          <cell r="W109">
            <v>9.0188070921857637</v>
          </cell>
          <cell r="X109">
            <v>9.0188070921857637</v>
          </cell>
          <cell r="Y109">
            <v>9.0188070921857637</v>
          </cell>
          <cell r="Z109">
            <v>9.0188070921857637</v>
          </cell>
          <cell r="AA109">
            <v>9.0188070921857637</v>
          </cell>
          <cell r="AB109">
            <v>9.0188070921857637</v>
          </cell>
          <cell r="AC109">
            <v>9.0188070921857637</v>
          </cell>
          <cell r="AD109">
            <v>9.0188070921857637</v>
          </cell>
          <cell r="AE109">
            <v>9.0188070921857637</v>
          </cell>
          <cell r="AF109">
            <v>9.0188070921857637</v>
          </cell>
        </row>
        <row r="110">
          <cell r="A110" t="str">
            <v>Arizona</v>
          </cell>
          <cell r="B110">
            <v>9.3564152755243359</v>
          </cell>
          <cell r="C110">
            <v>9.3449444842561658</v>
          </cell>
          <cell r="D110">
            <v>9.2389129644147072</v>
          </cell>
          <cell r="E110">
            <v>9.1934360549186831</v>
          </cell>
          <cell r="F110">
            <v>9.1930057009444628</v>
          </cell>
          <cell r="G110">
            <v>9.187675250704995</v>
          </cell>
          <cell r="H110">
            <v>9.1792150753269901</v>
          </cell>
          <cell r="I110">
            <v>9.1770535881599411</v>
          </cell>
          <cell r="J110">
            <v>9.1507258080804377</v>
          </cell>
          <cell r="K110">
            <v>9.1612183795335564</v>
          </cell>
          <cell r="L110">
            <v>9.2144595728506022</v>
          </cell>
          <cell r="M110">
            <v>9.2144595728506005</v>
          </cell>
          <cell r="N110">
            <v>9.2037061123815942</v>
          </cell>
          <cell r="O110">
            <v>9.1195518097223918</v>
          </cell>
          <cell r="P110">
            <v>9.0812116206973545</v>
          </cell>
          <cell r="Q110">
            <v>9.071102845207422</v>
          </cell>
          <cell r="R110">
            <v>9.0360960065390437</v>
          </cell>
          <cell r="S110">
            <v>9.0188070921857655</v>
          </cell>
          <cell r="T110">
            <v>9.0188070921857655</v>
          </cell>
          <cell r="U110">
            <v>9.0188070921857655</v>
          </cell>
          <cell r="V110">
            <v>9.0188070921857655</v>
          </cell>
          <cell r="W110">
            <v>9.0188070921857655</v>
          </cell>
          <cell r="X110">
            <v>9.0188070921857655</v>
          </cell>
          <cell r="Y110">
            <v>9.0188070921857655</v>
          </cell>
          <cell r="Z110">
            <v>9.0188070921857655</v>
          </cell>
          <cell r="AA110">
            <v>9.0188070921857655</v>
          </cell>
          <cell r="AB110">
            <v>9.0188070921857655</v>
          </cell>
          <cell r="AC110">
            <v>9.0188070921857655</v>
          </cell>
          <cell r="AD110">
            <v>9.0188070921857655</v>
          </cell>
          <cell r="AE110">
            <v>9.0188070921857655</v>
          </cell>
          <cell r="AF110">
            <v>9.0188070921857655</v>
          </cell>
        </row>
        <row r="111">
          <cell r="A111" t="str">
            <v>Arkansas</v>
          </cell>
          <cell r="B111">
            <v>7.2613438769530569</v>
          </cell>
          <cell r="C111">
            <v>7.2524416042892046</v>
          </cell>
          <cell r="D111">
            <v>7.1701524684725415</v>
          </cell>
          <cell r="E111">
            <v>7.1348586653879762</v>
          </cell>
          <cell r="F111">
            <v>7.1345246754886826</v>
          </cell>
          <cell r="G111">
            <v>7.1303878099191245</v>
          </cell>
          <cell r="H111">
            <v>7.1238220215407821</v>
          </cell>
          <cell r="I111">
            <v>7.1221445306274997</v>
          </cell>
          <cell r="J111">
            <v>7.1017120189182164</v>
          </cell>
          <cell r="K111">
            <v>7.1098551129591492</v>
          </cell>
          <cell r="L111">
            <v>7.1511746356299399</v>
          </cell>
          <cell r="M111">
            <v>7.1511746356299399</v>
          </cell>
          <cell r="N111">
            <v>7.1428290703644848</v>
          </cell>
          <cell r="O111">
            <v>7.0775184452651212</v>
          </cell>
          <cell r="P111">
            <v>7.0477633212544948</v>
          </cell>
          <cell r="Q111">
            <v>7.0399180842865077</v>
          </cell>
          <cell r="R111">
            <v>7.0127499129163207</v>
          </cell>
          <cell r="S111">
            <v>6.9993323006490744</v>
          </cell>
          <cell r="T111">
            <v>6.9993323006490744</v>
          </cell>
          <cell r="U111">
            <v>6.9993323006490744</v>
          </cell>
          <cell r="V111">
            <v>6.9993323006490744</v>
          </cell>
          <cell r="W111">
            <v>6.9993323006490744</v>
          </cell>
          <cell r="X111">
            <v>6.9993323006490744</v>
          </cell>
          <cell r="Y111">
            <v>6.9993323006490744</v>
          </cell>
          <cell r="Z111">
            <v>6.9993323006490744</v>
          </cell>
          <cell r="AA111">
            <v>6.9993323006490744</v>
          </cell>
          <cell r="AB111">
            <v>6.9993323006490744</v>
          </cell>
          <cell r="AC111">
            <v>6.9993323006490744</v>
          </cell>
          <cell r="AD111">
            <v>6.9993323006490744</v>
          </cell>
          <cell r="AE111">
            <v>6.9993323006490744</v>
          </cell>
          <cell r="AF111">
            <v>6.9993323006490744</v>
          </cell>
        </row>
        <row r="112">
          <cell r="A112" t="str">
            <v>California</v>
          </cell>
          <cell r="B112">
            <v>7.1031142523638433</v>
          </cell>
          <cell r="C112">
            <v>7.0944059662795329</v>
          </cell>
          <cell r="D112">
            <v>7.0139099667319584</v>
          </cell>
          <cell r="E112">
            <v>6.9793852396348459</v>
          </cell>
          <cell r="F112">
            <v>6.9790585276027448</v>
          </cell>
          <cell r="G112">
            <v>6.9750118071491789</v>
          </cell>
          <cell r="H112">
            <v>6.9685890917677611</v>
          </cell>
          <cell r="I112">
            <v>6.9669481545230525</v>
          </cell>
          <cell r="J112">
            <v>6.9469608811487049</v>
          </cell>
          <cell r="K112">
            <v>6.9549265316289226</v>
          </cell>
          <cell r="L112">
            <v>6.9953456737818485</v>
          </cell>
          <cell r="M112">
            <v>6.9953456737818458</v>
          </cell>
          <cell r="N112">
            <v>6.9871819640628603</v>
          </cell>
          <cell r="O112">
            <v>6.9232945019297913</v>
          </cell>
          <cell r="P112">
            <v>6.8941877623204002</v>
          </cell>
          <cell r="Q112">
            <v>6.8865134784048125</v>
          </cell>
          <cell r="R112">
            <v>6.8599373199773392</v>
          </cell>
          <cell r="S112">
            <v>6.8468120866123856</v>
          </cell>
          <cell r="T112">
            <v>6.8468120866123856</v>
          </cell>
          <cell r="U112">
            <v>6.8468120866123856</v>
          </cell>
          <cell r="V112">
            <v>6.8468120866123856</v>
          </cell>
          <cell r="W112">
            <v>6.8468120866123856</v>
          </cell>
          <cell r="X112">
            <v>6.8468120866123856</v>
          </cell>
          <cell r="Y112">
            <v>6.8468120866123856</v>
          </cell>
          <cell r="Z112">
            <v>6.8468120866123856</v>
          </cell>
          <cell r="AA112">
            <v>6.8468120866123856</v>
          </cell>
          <cell r="AB112">
            <v>6.8468120866123856</v>
          </cell>
          <cell r="AC112">
            <v>6.8468120866123856</v>
          </cell>
          <cell r="AD112">
            <v>6.8468120866123856</v>
          </cell>
          <cell r="AE112">
            <v>6.8468120866123856</v>
          </cell>
          <cell r="AF112">
            <v>6.8468120866123856</v>
          </cell>
        </row>
        <row r="113">
          <cell r="A113" t="str">
            <v>Colorado</v>
          </cell>
          <cell r="B113">
            <v>6.7047610404946214</v>
          </cell>
          <cell r="C113">
            <v>6.6965411280459168</v>
          </cell>
          <cell r="D113">
            <v>6.6205594638761909</v>
          </cell>
          <cell r="E113">
            <v>6.5879709348239706</v>
          </cell>
          <cell r="F113">
            <v>6.5876625452885538</v>
          </cell>
          <cell r="G113">
            <v>6.5838427709367853</v>
          </cell>
          <cell r="H113">
            <v>6.5777802509865921</v>
          </cell>
          <cell r="I113">
            <v>6.5762313399431607</v>
          </cell>
          <cell r="J113">
            <v>6.5573649825870994</v>
          </cell>
          <cell r="K113">
            <v>6.5648839075409198</v>
          </cell>
          <cell r="L113">
            <v>6.6030362840857473</v>
          </cell>
          <cell r="M113">
            <v>6.6030362840857455</v>
          </cell>
          <cell r="N113">
            <v>6.5953304073498469</v>
          </cell>
          <cell r="O113">
            <v>6.5350258491142359</v>
          </cell>
          <cell r="P113">
            <v>6.5075514587531424</v>
          </cell>
          <cell r="Q113">
            <v>6.5003075600936473</v>
          </cell>
          <cell r="R113">
            <v>6.4752218321580122</v>
          </cell>
          <cell r="S113">
            <v>6.4628326814015757</v>
          </cell>
          <cell r="T113">
            <v>6.4628326814015757</v>
          </cell>
          <cell r="U113">
            <v>6.4628326814015757</v>
          </cell>
          <cell r="V113">
            <v>6.4628326814015757</v>
          </cell>
          <cell r="W113">
            <v>6.4628326814015757</v>
          </cell>
          <cell r="X113">
            <v>6.4628326814015757</v>
          </cell>
          <cell r="Y113">
            <v>6.4628326814015757</v>
          </cell>
          <cell r="Z113">
            <v>6.4628326814015757</v>
          </cell>
          <cell r="AA113">
            <v>6.4628326814015757</v>
          </cell>
          <cell r="AB113">
            <v>6.4628326814015757</v>
          </cell>
          <cell r="AC113">
            <v>6.4628326814015757</v>
          </cell>
          <cell r="AD113">
            <v>6.4628326814015757</v>
          </cell>
          <cell r="AE113">
            <v>6.4628326814015757</v>
          </cell>
          <cell r="AF113">
            <v>6.4628326814015757</v>
          </cell>
        </row>
        <row r="114">
          <cell r="A114" t="str">
            <v>Connecticut</v>
          </cell>
          <cell r="B114">
            <v>7.1622944318681458</v>
          </cell>
          <cell r="C114">
            <v>7.1535135919834429</v>
          </cell>
          <cell r="D114">
            <v>7.0723469334075286</v>
          </cell>
          <cell r="E114">
            <v>7.0375345607123991</v>
          </cell>
          <cell r="F114">
            <v>7.0372051266521831</v>
          </cell>
          <cell r="G114">
            <v>7.0331246906149518</v>
          </cell>
          <cell r="H114">
            <v>7.0266484638530899</v>
          </cell>
          <cell r="I114">
            <v>7.0249938550050119</v>
          </cell>
          <cell r="J114">
            <v>7.0048400560217443</v>
          </cell>
          <cell r="K114">
            <v>7.012872072972856</v>
          </cell>
          <cell r="L114">
            <v>7.05362797052672</v>
          </cell>
          <cell r="M114">
            <v>7.05362797052672</v>
          </cell>
          <cell r="N114">
            <v>7.04539624419004</v>
          </cell>
          <cell r="O114">
            <v>6.9809764984215468</v>
          </cell>
          <cell r="P114">
            <v>6.9516272536216555</v>
          </cell>
          <cell r="Q114">
            <v>6.9438890307796264</v>
          </cell>
          <cell r="R114">
            <v>6.9170914509065149</v>
          </cell>
          <cell r="S114">
            <v>6.903856863582309</v>
          </cell>
          <cell r="T114">
            <v>6.903856863582309</v>
          </cell>
          <cell r="U114">
            <v>6.903856863582309</v>
          </cell>
          <cell r="V114">
            <v>6.903856863582309</v>
          </cell>
          <cell r="W114">
            <v>6.903856863582309</v>
          </cell>
          <cell r="X114">
            <v>6.903856863582309</v>
          </cell>
          <cell r="Y114">
            <v>6.903856863582309</v>
          </cell>
          <cell r="Z114">
            <v>6.903856863582309</v>
          </cell>
          <cell r="AA114">
            <v>6.903856863582309</v>
          </cell>
          <cell r="AB114">
            <v>6.903856863582309</v>
          </cell>
          <cell r="AC114">
            <v>6.903856863582309</v>
          </cell>
          <cell r="AD114">
            <v>6.903856863582309</v>
          </cell>
          <cell r="AE114">
            <v>6.903856863582309</v>
          </cell>
          <cell r="AF114">
            <v>6.903856863582309</v>
          </cell>
        </row>
        <row r="115">
          <cell r="A115" t="str">
            <v>Delaware</v>
          </cell>
          <cell r="B115">
            <v>7.1622944318681458</v>
          </cell>
          <cell r="C115">
            <v>7.1535135919834421</v>
          </cell>
          <cell r="D115">
            <v>7.0723469334075286</v>
          </cell>
          <cell r="E115">
            <v>7.0375345607123991</v>
          </cell>
          <cell r="F115">
            <v>7.0372051266521831</v>
          </cell>
          <cell r="G115">
            <v>7.0331246906149545</v>
          </cell>
          <cell r="H115">
            <v>7.0266484638530899</v>
          </cell>
          <cell r="I115">
            <v>7.0249938550050111</v>
          </cell>
          <cell r="J115">
            <v>7.0048400560217443</v>
          </cell>
          <cell r="K115">
            <v>7.012872072972856</v>
          </cell>
          <cell r="L115">
            <v>7.05362797052672</v>
          </cell>
          <cell r="M115">
            <v>7.05362797052672</v>
          </cell>
          <cell r="N115">
            <v>7.04539624419004</v>
          </cell>
          <cell r="O115">
            <v>6.9809764984215459</v>
          </cell>
          <cell r="P115">
            <v>6.9516272536216555</v>
          </cell>
          <cell r="Q115">
            <v>6.9438890307796273</v>
          </cell>
          <cell r="R115">
            <v>6.9170914509065149</v>
          </cell>
          <cell r="S115">
            <v>6.903856863582309</v>
          </cell>
          <cell r="T115">
            <v>6.903856863582309</v>
          </cell>
          <cell r="U115">
            <v>6.903856863582309</v>
          </cell>
          <cell r="V115">
            <v>6.903856863582309</v>
          </cell>
          <cell r="W115">
            <v>6.903856863582309</v>
          </cell>
          <cell r="X115">
            <v>6.903856863582309</v>
          </cell>
          <cell r="Y115">
            <v>6.903856863582309</v>
          </cell>
          <cell r="Z115">
            <v>6.903856863582309</v>
          </cell>
          <cell r="AA115">
            <v>6.903856863582309</v>
          </cell>
          <cell r="AB115">
            <v>6.903856863582309</v>
          </cell>
          <cell r="AC115">
            <v>6.903856863582309</v>
          </cell>
          <cell r="AD115">
            <v>6.903856863582309</v>
          </cell>
          <cell r="AE115">
            <v>6.903856863582309</v>
          </cell>
          <cell r="AF115">
            <v>6.903856863582309</v>
          </cell>
        </row>
        <row r="116">
          <cell r="A116" t="str">
            <v>Florida</v>
          </cell>
          <cell r="B116">
            <v>7.2833290471679817</v>
          </cell>
          <cell r="C116">
            <v>7.2743998210939687</v>
          </cell>
          <cell r="D116">
            <v>7.1918615384680615</v>
          </cell>
          <cell r="E116">
            <v>7.156460876339013</v>
          </cell>
          <cell r="F116">
            <v>7.156125875218537</v>
          </cell>
          <cell r="G116">
            <v>7.1519764844614615</v>
          </cell>
          <cell r="H116">
            <v>7.1453908168462172</v>
          </cell>
          <cell r="I116">
            <v>7.1437082469938469</v>
          </cell>
          <cell r="J116">
            <v>7.1232138717706697</v>
          </cell>
          <cell r="K116">
            <v>7.1313816206567076</v>
          </cell>
          <cell r="L116">
            <v>7.172826246442642</v>
          </cell>
          <cell r="M116">
            <v>7.1728262464426429</v>
          </cell>
          <cell r="N116">
            <v>7.1644554133099652</v>
          </cell>
          <cell r="O116">
            <v>7.0989470472367602</v>
          </cell>
          <cell r="P116">
            <v>7.0691018336397926</v>
          </cell>
          <cell r="Q116">
            <v>7.0612328436485337</v>
          </cell>
          <cell r="R116">
            <v>7.0339824152082899</v>
          </cell>
          <cell r="S116">
            <v>7.0205241784375643</v>
          </cell>
          <cell r="T116">
            <v>7.0205241784375643</v>
          </cell>
          <cell r="U116">
            <v>7.0205241784375643</v>
          </cell>
          <cell r="V116">
            <v>7.0205241784375643</v>
          </cell>
          <cell r="W116">
            <v>7.0205241784375643</v>
          </cell>
          <cell r="X116">
            <v>7.0205241784375643</v>
          </cell>
          <cell r="Y116">
            <v>7.0205241784375643</v>
          </cell>
          <cell r="Z116">
            <v>7.0205241784375643</v>
          </cell>
          <cell r="AA116">
            <v>7.0205241784375643</v>
          </cell>
          <cell r="AB116">
            <v>7.0205241784375643</v>
          </cell>
          <cell r="AC116">
            <v>7.0205241784375643</v>
          </cell>
          <cell r="AD116">
            <v>7.0205241784375643</v>
          </cell>
          <cell r="AE116">
            <v>7.0205241784375643</v>
          </cell>
          <cell r="AF116">
            <v>7.0205241784375643</v>
          </cell>
        </row>
        <row r="117">
          <cell r="A117" t="str">
            <v>Georgia</v>
          </cell>
          <cell r="B117">
            <v>7.2833290471679817</v>
          </cell>
          <cell r="C117">
            <v>7.2743998210939695</v>
          </cell>
          <cell r="D117">
            <v>7.1918615384680615</v>
          </cell>
          <cell r="E117">
            <v>7.1564608763390121</v>
          </cell>
          <cell r="F117">
            <v>7.1561258752185388</v>
          </cell>
          <cell r="G117">
            <v>7.1519764844614615</v>
          </cell>
          <cell r="H117">
            <v>7.1453908168462172</v>
          </cell>
          <cell r="I117">
            <v>7.1437082469938469</v>
          </cell>
          <cell r="J117">
            <v>7.1232138717706697</v>
          </cell>
          <cell r="K117">
            <v>7.1313816206567076</v>
          </cell>
          <cell r="L117">
            <v>7.1728262464426447</v>
          </cell>
          <cell r="M117">
            <v>7.1728262464426447</v>
          </cell>
          <cell r="N117">
            <v>7.1644554133099634</v>
          </cell>
          <cell r="O117">
            <v>7.0989470472367611</v>
          </cell>
          <cell r="P117">
            <v>7.0691018336397935</v>
          </cell>
          <cell r="Q117">
            <v>7.0612328436485328</v>
          </cell>
          <cell r="R117">
            <v>7.0339824152082882</v>
          </cell>
          <cell r="S117">
            <v>7.020524178437566</v>
          </cell>
          <cell r="T117">
            <v>7.020524178437566</v>
          </cell>
          <cell r="U117">
            <v>7.020524178437566</v>
          </cell>
          <cell r="V117">
            <v>7.020524178437566</v>
          </cell>
          <cell r="W117">
            <v>7.020524178437566</v>
          </cell>
          <cell r="X117">
            <v>7.020524178437566</v>
          </cell>
          <cell r="Y117">
            <v>7.020524178437566</v>
          </cell>
          <cell r="Z117">
            <v>7.020524178437566</v>
          </cell>
          <cell r="AA117">
            <v>7.020524178437566</v>
          </cell>
          <cell r="AB117">
            <v>7.020524178437566</v>
          </cell>
          <cell r="AC117">
            <v>7.020524178437566</v>
          </cell>
          <cell r="AD117">
            <v>7.020524178437566</v>
          </cell>
          <cell r="AE117">
            <v>7.020524178437566</v>
          </cell>
          <cell r="AF117">
            <v>7.020524178437566</v>
          </cell>
        </row>
        <row r="118">
          <cell r="A118" t="str">
            <v>Hawaii</v>
          </cell>
          <cell r="B118">
            <v>9.3564152755243377</v>
          </cell>
          <cell r="C118">
            <v>9.3449444842561658</v>
          </cell>
          <cell r="D118">
            <v>9.2389129644147072</v>
          </cell>
          <cell r="E118">
            <v>9.1934360549186867</v>
          </cell>
          <cell r="F118">
            <v>9.1930057009444628</v>
          </cell>
          <cell r="G118">
            <v>9.1876752507049968</v>
          </cell>
          <cell r="H118">
            <v>9.1792150753269901</v>
          </cell>
          <cell r="I118">
            <v>9.1770535881599393</v>
          </cell>
          <cell r="J118">
            <v>9.1507258080804377</v>
          </cell>
          <cell r="K118">
            <v>9.1612183795335564</v>
          </cell>
          <cell r="L118">
            <v>9.2144595728506005</v>
          </cell>
          <cell r="M118">
            <v>9.2144595728506005</v>
          </cell>
          <cell r="N118">
            <v>9.203706112381596</v>
          </cell>
          <cell r="O118">
            <v>9.1195518097223918</v>
          </cell>
          <cell r="P118">
            <v>9.0812116206973563</v>
          </cell>
          <cell r="Q118">
            <v>9.0711028452074203</v>
          </cell>
          <cell r="R118">
            <v>9.0360960065390437</v>
          </cell>
          <cell r="S118">
            <v>9.0188070921857655</v>
          </cell>
          <cell r="T118">
            <v>9.0188070921857655</v>
          </cell>
          <cell r="U118">
            <v>9.0188070921857655</v>
          </cell>
          <cell r="V118">
            <v>9.0188070921857655</v>
          </cell>
          <cell r="W118">
            <v>9.0188070921857655</v>
          </cell>
          <cell r="X118">
            <v>9.0188070921857655</v>
          </cell>
          <cell r="Y118">
            <v>9.0188070921857655</v>
          </cell>
          <cell r="Z118">
            <v>9.0188070921857655</v>
          </cell>
          <cell r="AA118">
            <v>9.0188070921857655</v>
          </cell>
          <cell r="AB118">
            <v>9.0188070921857655</v>
          </cell>
          <cell r="AC118">
            <v>9.0188070921857655</v>
          </cell>
          <cell r="AD118">
            <v>9.0188070921857655</v>
          </cell>
          <cell r="AE118">
            <v>9.0188070921857655</v>
          </cell>
          <cell r="AF118">
            <v>9.0188070921857655</v>
          </cell>
        </row>
        <row r="119">
          <cell r="A119" t="str">
            <v>Idaho</v>
          </cell>
          <cell r="B119">
            <v>9.3564152755243342</v>
          </cell>
          <cell r="C119">
            <v>9.344944484256164</v>
          </cell>
          <cell r="D119">
            <v>9.2389129644147072</v>
          </cell>
          <cell r="E119">
            <v>9.1934360549186902</v>
          </cell>
          <cell r="F119">
            <v>9.1930057009444628</v>
          </cell>
          <cell r="G119">
            <v>9.187675250704995</v>
          </cell>
          <cell r="H119">
            <v>9.1792150753269901</v>
          </cell>
          <cell r="I119">
            <v>9.1770535881599393</v>
          </cell>
          <cell r="J119">
            <v>9.1507258080804359</v>
          </cell>
          <cell r="K119">
            <v>9.1612183795335564</v>
          </cell>
          <cell r="L119">
            <v>9.2144595728506022</v>
          </cell>
          <cell r="M119">
            <v>9.2144595728506005</v>
          </cell>
          <cell r="N119">
            <v>9.2037061123815942</v>
          </cell>
          <cell r="O119">
            <v>9.11955180972239</v>
          </cell>
          <cell r="P119">
            <v>9.0812116206973581</v>
          </cell>
          <cell r="Q119">
            <v>9.0711028452074203</v>
          </cell>
          <cell r="R119">
            <v>9.0360960065390437</v>
          </cell>
          <cell r="S119">
            <v>9.0188070921857655</v>
          </cell>
          <cell r="T119">
            <v>9.0188070921857655</v>
          </cell>
          <cell r="U119">
            <v>9.0188070921857655</v>
          </cell>
          <cell r="V119">
            <v>9.0188070921857655</v>
          </cell>
          <cell r="W119">
            <v>9.0188070921857655</v>
          </cell>
          <cell r="X119">
            <v>9.0188070921857655</v>
          </cell>
          <cell r="Y119">
            <v>9.0188070921857655</v>
          </cell>
          <cell r="Z119">
            <v>9.0188070921857655</v>
          </cell>
          <cell r="AA119">
            <v>9.0188070921857655</v>
          </cell>
          <cell r="AB119">
            <v>9.0188070921857655</v>
          </cell>
          <cell r="AC119">
            <v>9.0188070921857655</v>
          </cell>
          <cell r="AD119">
            <v>9.0188070921857655</v>
          </cell>
          <cell r="AE119">
            <v>9.0188070921857655</v>
          </cell>
          <cell r="AF119">
            <v>9.0188070921857655</v>
          </cell>
        </row>
        <row r="120">
          <cell r="A120" t="str">
            <v>Illinois</v>
          </cell>
          <cell r="B120">
            <v>7.1646519068741483</v>
          </cell>
          <cell r="C120">
            <v>7.155868176768899</v>
          </cell>
          <cell r="D120">
            <v>7.0746748021216606</v>
          </cell>
          <cell r="E120">
            <v>7.0398509709058921</v>
          </cell>
          <cell r="F120">
            <v>7.0395214284121908</v>
          </cell>
          <cell r="G120">
            <v>7.0354396492961415</v>
          </cell>
          <cell r="H120">
            <v>7.0289612908789953</v>
          </cell>
          <cell r="I120">
            <v>7.0273061374150769</v>
          </cell>
          <cell r="J120">
            <v>7.0071457047925758</v>
          </cell>
          <cell r="K120">
            <v>7.0151803654885638</v>
          </cell>
          <cell r="L120">
            <v>7.0559496778790773</v>
          </cell>
          <cell r="M120">
            <v>7.0559496778790756</v>
          </cell>
          <cell r="N120">
            <v>7.047715242063016</v>
          </cell>
          <cell r="O120">
            <v>6.9832742924830846</v>
          </cell>
          <cell r="P120">
            <v>6.9539153873555319</v>
          </cell>
          <cell r="Q120">
            <v>6.9461746174711916</v>
          </cell>
          <cell r="R120">
            <v>6.9193682171529911</v>
          </cell>
          <cell r="S120">
            <v>6.9061292736536624</v>
          </cell>
          <cell r="T120">
            <v>6.9061292736536624</v>
          </cell>
          <cell r="U120">
            <v>6.9061292736536624</v>
          </cell>
          <cell r="V120">
            <v>6.9061292736536624</v>
          </cell>
          <cell r="W120">
            <v>6.9061292736536624</v>
          </cell>
          <cell r="X120">
            <v>6.9061292736536624</v>
          </cell>
          <cell r="Y120">
            <v>6.9061292736536624</v>
          </cell>
          <cell r="Z120">
            <v>6.9061292736536624</v>
          </cell>
          <cell r="AA120">
            <v>6.9061292736536624</v>
          </cell>
          <cell r="AB120">
            <v>6.9061292736536624</v>
          </cell>
          <cell r="AC120">
            <v>6.9061292736536624</v>
          </cell>
          <cell r="AD120">
            <v>6.9061292736536624</v>
          </cell>
          <cell r="AE120">
            <v>6.9061292736536624</v>
          </cell>
          <cell r="AF120">
            <v>6.9061292736536624</v>
          </cell>
        </row>
        <row r="121">
          <cell r="A121" t="str">
            <v>Indiana</v>
          </cell>
          <cell r="B121">
            <v>7.1646519068741483</v>
          </cell>
          <cell r="C121">
            <v>7.155868176768899</v>
          </cell>
          <cell r="D121">
            <v>7.0746748021216606</v>
          </cell>
          <cell r="E121">
            <v>7.0398509709058921</v>
          </cell>
          <cell r="F121">
            <v>7.0395214284121908</v>
          </cell>
          <cell r="G121">
            <v>7.0354396492961415</v>
          </cell>
          <cell r="H121">
            <v>7.028961290878998</v>
          </cell>
          <cell r="I121">
            <v>7.027306137415076</v>
          </cell>
          <cell r="J121">
            <v>7.0071457047925758</v>
          </cell>
          <cell r="K121">
            <v>7.0151803654885629</v>
          </cell>
          <cell r="L121">
            <v>7.0559496778790782</v>
          </cell>
          <cell r="M121">
            <v>7.0559496778790773</v>
          </cell>
          <cell r="N121">
            <v>7.0477152420630151</v>
          </cell>
          <cell r="O121">
            <v>6.9832742924830855</v>
          </cell>
          <cell r="P121">
            <v>6.9539153873555311</v>
          </cell>
          <cell r="Q121">
            <v>6.9461746174711916</v>
          </cell>
          <cell r="R121">
            <v>6.9193682171529902</v>
          </cell>
          <cell r="S121">
            <v>6.9061292736536624</v>
          </cell>
          <cell r="T121">
            <v>6.9061292736536624</v>
          </cell>
          <cell r="U121">
            <v>6.9061292736536624</v>
          </cell>
          <cell r="V121">
            <v>6.9061292736536624</v>
          </cell>
          <cell r="W121">
            <v>6.9061292736536624</v>
          </cell>
          <cell r="X121">
            <v>6.9061292736536624</v>
          </cell>
          <cell r="Y121">
            <v>6.9061292736536624</v>
          </cell>
          <cell r="Z121">
            <v>6.9061292736536624</v>
          </cell>
          <cell r="AA121">
            <v>6.9061292736536624</v>
          </cell>
          <cell r="AB121">
            <v>6.9061292736536624</v>
          </cell>
          <cell r="AC121">
            <v>6.9061292736536624</v>
          </cell>
          <cell r="AD121">
            <v>6.9061292736536624</v>
          </cell>
          <cell r="AE121">
            <v>6.9061292736536624</v>
          </cell>
          <cell r="AF121">
            <v>6.9061292736536624</v>
          </cell>
        </row>
        <row r="122">
          <cell r="A122" t="str">
            <v>Iowa</v>
          </cell>
          <cell r="B122">
            <v>7.1646519068741465</v>
          </cell>
          <cell r="C122">
            <v>7.155868176768899</v>
          </cell>
          <cell r="D122">
            <v>7.0746748021216606</v>
          </cell>
          <cell r="E122">
            <v>7.0398509709058921</v>
          </cell>
          <cell r="F122">
            <v>7.0395214284121925</v>
          </cell>
          <cell r="G122">
            <v>7.0354396492961433</v>
          </cell>
          <cell r="H122">
            <v>7.0289612908789953</v>
          </cell>
          <cell r="I122">
            <v>7.0273061374150769</v>
          </cell>
          <cell r="J122">
            <v>7.0071457047925758</v>
          </cell>
          <cell r="K122">
            <v>7.0151803654885638</v>
          </cell>
          <cell r="L122">
            <v>7.0559496778790773</v>
          </cell>
          <cell r="M122">
            <v>7.0559496778790782</v>
          </cell>
          <cell r="N122">
            <v>7.047715242063016</v>
          </cell>
          <cell r="O122">
            <v>6.9832742924830873</v>
          </cell>
          <cell r="P122">
            <v>6.9539153873555302</v>
          </cell>
          <cell r="Q122">
            <v>6.9461746174711925</v>
          </cell>
          <cell r="R122">
            <v>6.9193682171529911</v>
          </cell>
          <cell r="S122">
            <v>6.9061292736536615</v>
          </cell>
          <cell r="T122">
            <v>6.9061292736536615</v>
          </cell>
          <cell r="U122">
            <v>6.9061292736536615</v>
          </cell>
          <cell r="V122">
            <v>6.9061292736536615</v>
          </cell>
          <cell r="W122">
            <v>6.9061292736536615</v>
          </cell>
          <cell r="X122">
            <v>6.9061292736536615</v>
          </cell>
          <cell r="Y122">
            <v>6.9061292736536615</v>
          </cell>
          <cell r="Z122">
            <v>6.9061292736536615</v>
          </cell>
          <cell r="AA122">
            <v>6.9061292736536615</v>
          </cell>
          <cell r="AB122">
            <v>6.9061292736536615</v>
          </cell>
          <cell r="AC122">
            <v>6.9061292736536615</v>
          </cell>
          <cell r="AD122">
            <v>6.9061292736536615</v>
          </cell>
          <cell r="AE122">
            <v>6.9061292736536615</v>
          </cell>
          <cell r="AF122">
            <v>6.9061292736536615</v>
          </cell>
        </row>
        <row r="123">
          <cell r="A123" t="str">
            <v>Kansas</v>
          </cell>
          <cell r="B123">
            <v>6.7047610404946187</v>
          </cell>
          <cell r="C123">
            <v>6.6965411280459177</v>
          </cell>
          <cell r="D123">
            <v>6.6205594638761891</v>
          </cell>
          <cell r="E123">
            <v>6.5879709348239688</v>
          </cell>
          <cell r="F123">
            <v>6.5876625452885538</v>
          </cell>
          <cell r="G123">
            <v>6.5838427709367862</v>
          </cell>
          <cell r="H123">
            <v>6.5777802509865912</v>
          </cell>
          <cell r="I123">
            <v>6.5762313399431607</v>
          </cell>
          <cell r="J123">
            <v>6.5573649825870968</v>
          </cell>
          <cell r="K123">
            <v>6.5648839075409189</v>
          </cell>
          <cell r="L123">
            <v>6.6030362840857473</v>
          </cell>
          <cell r="M123">
            <v>6.6030362840857455</v>
          </cell>
          <cell r="N123">
            <v>6.5953304073498469</v>
          </cell>
          <cell r="O123">
            <v>6.535025849114235</v>
          </cell>
          <cell r="P123">
            <v>6.5075514587531433</v>
          </cell>
          <cell r="Q123">
            <v>6.5003075600936482</v>
          </cell>
          <cell r="R123">
            <v>6.4752218321580122</v>
          </cell>
          <cell r="S123">
            <v>6.4628326814015766</v>
          </cell>
          <cell r="T123">
            <v>6.4628326814015766</v>
          </cell>
          <cell r="U123">
            <v>6.4628326814015766</v>
          </cell>
          <cell r="V123">
            <v>6.4628326814015766</v>
          </cell>
          <cell r="W123">
            <v>6.4628326814015766</v>
          </cell>
          <cell r="X123">
            <v>6.4628326814015766</v>
          </cell>
          <cell r="Y123">
            <v>6.4628326814015766</v>
          </cell>
          <cell r="Z123">
            <v>6.4628326814015766</v>
          </cell>
          <cell r="AA123">
            <v>6.4628326814015766</v>
          </cell>
          <cell r="AB123">
            <v>6.4628326814015766</v>
          </cell>
          <cell r="AC123">
            <v>6.4628326814015766</v>
          </cell>
          <cell r="AD123">
            <v>6.4628326814015766</v>
          </cell>
          <cell r="AE123">
            <v>6.4628326814015766</v>
          </cell>
          <cell r="AF123">
            <v>6.4628326814015766</v>
          </cell>
        </row>
        <row r="124">
          <cell r="A124" t="str">
            <v>Kentucky</v>
          </cell>
          <cell r="B124">
            <v>7.2833290471679817</v>
          </cell>
          <cell r="C124">
            <v>7.2743998210939695</v>
          </cell>
          <cell r="D124">
            <v>7.1918615384680615</v>
          </cell>
          <cell r="E124">
            <v>7.156460876339013</v>
          </cell>
          <cell r="F124">
            <v>7.1561258752185362</v>
          </cell>
          <cell r="G124">
            <v>7.1519764844614633</v>
          </cell>
          <cell r="H124">
            <v>7.1453908168462172</v>
          </cell>
          <cell r="I124">
            <v>7.1437082469938469</v>
          </cell>
          <cell r="J124">
            <v>7.1232138717706697</v>
          </cell>
          <cell r="K124">
            <v>7.1313816206567076</v>
          </cell>
          <cell r="L124">
            <v>7.1728262464426429</v>
          </cell>
          <cell r="M124">
            <v>7.1728262464426447</v>
          </cell>
          <cell r="N124">
            <v>7.1644554133099625</v>
          </cell>
          <cell r="O124">
            <v>7.0989470472367611</v>
          </cell>
          <cell r="P124">
            <v>7.0691018336397926</v>
          </cell>
          <cell r="Q124">
            <v>7.0612328436485337</v>
          </cell>
          <cell r="R124">
            <v>7.0339824152082882</v>
          </cell>
          <cell r="S124">
            <v>7.020524178437566</v>
          </cell>
          <cell r="T124">
            <v>7.020524178437566</v>
          </cell>
          <cell r="U124">
            <v>7.020524178437566</v>
          </cell>
          <cell r="V124">
            <v>7.020524178437566</v>
          </cell>
          <cell r="W124">
            <v>7.020524178437566</v>
          </cell>
          <cell r="X124">
            <v>7.020524178437566</v>
          </cell>
          <cell r="Y124">
            <v>7.020524178437566</v>
          </cell>
          <cell r="Z124">
            <v>7.020524178437566</v>
          </cell>
          <cell r="AA124">
            <v>7.020524178437566</v>
          </cell>
          <cell r="AB124">
            <v>7.020524178437566</v>
          </cell>
          <cell r="AC124">
            <v>7.020524178437566</v>
          </cell>
          <cell r="AD124">
            <v>7.020524178437566</v>
          </cell>
          <cell r="AE124">
            <v>7.020524178437566</v>
          </cell>
          <cell r="AF124">
            <v>7.020524178437566</v>
          </cell>
        </row>
        <row r="125">
          <cell r="A125" t="str">
            <v>Louisiana</v>
          </cell>
          <cell r="B125">
            <v>7.2613438769530561</v>
          </cell>
          <cell r="C125">
            <v>7.2524416042892046</v>
          </cell>
          <cell r="D125">
            <v>7.1701524684725442</v>
          </cell>
          <cell r="E125">
            <v>7.1348586653879789</v>
          </cell>
          <cell r="F125">
            <v>7.1345246754886817</v>
          </cell>
          <cell r="G125">
            <v>7.1303878099191262</v>
          </cell>
          <cell r="H125">
            <v>7.1238220215407821</v>
          </cell>
          <cell r="I125">
            <v>7.1221445306274997</v>
          </cell>
          <cell r="J125">
            <v>7.1017120189182164</v>
          </cell>
          <cell r="K125">
            <v>7.109855112959151</v>
          </cell>
          <cell r="L125">
            <v>7.1511746356299417</v>
          </cell>
          <cell r="M125">
            <v>7.1511746356299399</v>
          </cell>
          <cell r="N125">
            <v>7.1428290703644839</v>
          </cell>
          <cell r="O125">
            <v>7.0775184452651212</v>
          </cell>
          <cell r="P125">
            <v>7.047763321254493</v>
          </cell>
          <cell r="Q125">
            <v>7.039918084286505</v>
          </cell>
          <cell r="R125">
            <v>7.0127499129163215</v>
          </cell>
          <cell r="S125">
            <v>6.9993323006490717</v>
          </cell>
          <cell r="T125">
            <v>6.9993323006490717</v>
          </cell>
          <cell r="U125">
            <v>6.9993323006490717</v>
          </cell>
          <cell r="V125">
            <v>6.9993323006490717</v>
          </cell>
          <cell r="W125">
            <v>6.9993323006490717</v>
          </cell>
          <cell r="X125">
            <v>6.9993323006490717</v>
          </cell>
          <cell r="Y125">
            <v>6.9993323006490717</v>
          </cell>
          <cell r="Z125">
            <v>6.9993323006490717</v>
          </cell>
          <cell r="AA125">
            <v>6.9993323006490717</v>
          </cell>
          <cell r="AB125">
            <v>6.9993323006490717</v>
          </cell>
          <cell r="AC125">
            <v>6.9993323006490717</v>
          </cell>
          <cell r="AD125">
            <v>6.9993323006490717</v>
          </cell>
          <cell r="AE125">
            <v>6.9993323006490717</v>
          </cell>
          <cell r="AF125">
            <v>6.9993323006490717</v>
          </cell>
        </row>
        <row r="126">
          <cell r="A126" t="str">
            <v>Maine</v>
          </cell>
          <cell r="B126">
            <v>7.1622944318681458</v>
          </cell>
          <cell r="C126">
            <v>7.1535135919834429</v>
          </cell>
          <cell r="D126">
            <v>7.0723469334075286</v>
          </cell>
          <cell r="E126">
            <v>7.0375345607123991</v>
          </cell>
          <cell r="F126">
            <v>7.037205126652184</v>
          </cell>
          <cell r="G126">
            <v>7.0331246906149545</v>
          </cell>
          <cell r="H126">
            <v>7.0266484638530882</v>
          </cell>
          <cell r="I126">
            <v>7.0249938550050119</v>
          </cell>
          <cell r="J126">
            <v>7.0048400560217443</v>
          </cell>
          <cell r="K126">
            <v>7.012872072972856</v>
          </cell>
          <cell r="L126">
            <v>7.0536279705267191</v>
          </cell>
          <cell r="M126">
            <v>7.0536279705267217</v>
          </cell>
          <cell r="N126">
            <v>7.04539624419004</v>
          </cell>
          <cell r="O126">
            <v>6.9809764984215459</v>
          </cell>
          <cell r="P126">
            <v>6.9516272536216555</v>
          </cell>
          <cell r="Q126">
            <v>6.9438890307796237</v>
          </cell>
          <cell r="R126">
            <v>6.9170914509065158</v>
          </cell>
          <cell r="S126">
            <v>6.9038568635823099</v>
          </cell>
          <cell r="T126">
            <v>6.9038568635823099</v>
          </cell>
          <cell r="U126">
            <v>6.9038568635823099</v>
          </cell>
          <cell r="V126">
            <v>6.9038568635823099</v>
          </cell>
          <cell r="W126">
            <v>6.9038568635823099</v>
          </cell>
          <cell r="X126">
            <v>6.9038568635823099</v>
          </cell>
          <cell r="Y126">
            <v>6.9038568635823099</v>
          </cell>
          <cell r="Z126">
            <v>6.9038568635823099</v>
          </cell>
          <cell r="AA126">
            <v>6.9038568635823099</v>
          </cell>
          <cell r="AB126">
            <v>6.9038568635823099</v>
          </cell>
          <cell r="AC126">
            <v>6.9038568635823099</v>
          </cell>
          <cell r="AD126">
            <v>6.9038568635823099</v>
          </cell>
          <cell r="AE126">
            <v>6.9038568635823099</v>
          </cell>
          <cell r="AF126">
            <v>6.9038568635823099</v>
          </cell>
        </row>
        <row r="127">
          <cell r="A127" t="str">
            <v>Maryland</v>
          </cell>
          <cell r="B127">
            <v>7.1622944318681458</v>
          </cell>
          <cell r="C127">
            <v>7.1535135919834421</v>
          </cell>
          <cell r="D127">
            <v>7.0723469334075286</v>
          </cell>
          <cell r="E127">
            <v>7.0375345607123991</v>
          </cell>
          <cell r="F127">
            <v>7.037205126652184</v>
          </cell>
          <cell r="G127">
            <v>7.0331246906149518</v>
          </cell>
          <cell r="H127">
            <v>7.0266484638530899</v>
          </cell>
          <cell r="I127">
            <v>7.0249938550050137</v>
          </cell>
          <cell r="J127">
            <v>7.0048400560217443</v>
          </cell>
          <cell r="K127">
            <v>7.012872072972856</v>
          </cell>
          <cell r="L127">
            <v>7.05362797052672</v>
          </cell>
          <cell r="M127">
            <v>7.05362797052672</v>
          </cell>
          <cell r="N127">
            <v>7.0453962441900417</v>
          </cell>
          <cell r="O127">
            <v>6.9809764984215459</v>
          </cell>
          <cell r="P127">
            <v>6.9516272536216572</v>
          </cell>
          <cell r="Q127">
            <v>6.9438890307796264</v>
          </cell>
          <cell r="R127">
            <v>6.9170914509065149</v>
          </cell>
          <cell r="S127">
            <v>6.9038568635823063</v>
          </cell>
          <cell r="T127">
            <v>6.9038568635823063</v>
          </cell>
          <cell r="U127">
            <v>6.9038568635823063</v>
          </cell>
          <cell r="V127">
            <v>6.9038568635823063</v>
          </cell>
          <cell r="W127">
            <v>6.9038568635823063</v>
          </cell>
          <cell r="X127">
            <v>6.9038568635823063</v>
          </cell>
          <cell r="Y127">
            <v>6.9038568635823063</v>
          </cell>
          <cell r="Z127">
            <v>6.9038568635823063</v>
          </cell>
          <cell r="AA127">
            <v>6.9038568635823063</v>
          </cell>
          <cell r="AB127">
            <v>6.9038568635823063</v>
          </cell>
          <cell r="AC127">
            <v>6.9038568635823063</v>
          </cell>
          <cell r="AD127">
            <v>6.9038568635823063</v>
          </cell>
          <cell r="AE127">
            <v>6.9038568635823063</v>
          </cell>
          <cell r="AF127">
            <v>6.9038568635823063</v>
          </cell>
        </row>
        <row r="128">
          <cell r="A128" t="str">
            <v>Massachusetts</v>
          </cell>
          <cell r="B128">
            <v>7.1622944318681441</v>
          </cell>
          <cell r="C128">
            <v>7.1535135919834447</v>
          </cell>
          <cell r="D128">
            <v>7.0723469334075268</v>
          </cell>
          <cell r="E128">
            <v>7.0375345607124009</v>
          </cell>
          <cell r="F128">
            <v>7.0372051266521822</v>
          </cell>
          <cell r="G128">
            <v>7.0331246906149536</v>
          </cell>
          <cell r="H128">
            <v>7.0266484638530882</v>
          </cell>
          <cell r="I128">
            <v>7.0249938550050119</v>
          </cell>
          <cell r="J128">
            <v>7.0048400560217443</v>
          </cell>
          <cell r="K128">
            <v>7.012872072972856</v>
          </cell>
          <cell r="L128">
            <v>7.05362797052672</v>
          </cell>
          <cell r="M128">
            <v>7.0536279705267191</v>
          </cell>
          <cell r="N128">
            <v>7.0453962441900417</v>
          </cell>
          <cell r="O128">
            <v>6.9809764984215459</v>
          </cell>
          <cell r="P128">
            <v>6.9516272536216555</v>
          </cell>
          <cell r="Q128">
            <v>6.9438890307796264</v>
          </cell>
          <cell r="R128">
            <v>6.9170914509065149</v>
          </cell>
          <cell r="S128">
            <v>6.9038568635823063</v>
          </cell>
          <cell r="T128">
            <v>6.9038568635823063</v>
          </cell>
          <cell r="U128">
            <v>6.9038568635823063</v>
          </cell>
          <cell r="V128">
            <v>6.9038568635823063</v>
          </cell>
          <cell r="W128">
            <v>6.9038568635823063</v>
          </cell>
          <cell r="X128">
            <v>6.9038568635823063</v>
          </cell>
          <cell r="Y128">
            <v>6.9038568635823063</v>
          </cell>
          <cell r="Z128">
            <v>6.9038568635823063</v>
          </cell>
          <cell r="AA128">
            <v>6.9038568635823063</v>
          </cell>
          <cell r="AB128">
            <v>6.9038568635823063</v>
          </cell>
          <cell r="AC128">
            <v>6.9038568635823063</v>
          </cell>
          <cell r="AD128">
            <v>6.9038568635823063</v>
          </cell>
          <cell r="AE128">
            <v>6.9038568635823063</v>
          </cell>
          <cell r="AF128">
            <v>6.9038568635823063</v>
          </cell>
        </row>
        <row r="129">
          <cell r="A129" t="str">
            <v>Michigan</v>
          </cell>
          <cell r="B129">
            <v>7.1646519068741465</v>
          </cell>
          <cell r="C129">
            <v>7.1558681767688981</v>
          </cell>
          <cell r="D129">
            <v>7.0746748021216606</v>
          </cell>
          <cell r="E129">
            <v>7.0398509709058921</v>
          </cell>
          <cell r="F129">
            <v>7.0395214284121925</v>
          </cell>
          <cell r="G129">
            <v>7.0354396492961415</v>
          </cell>
          <cell r="H129">
            <v>7.0289612908789962</v>
          </cell>
          <cell r="I129">
            <v>7.027306137415076</v>
          </cell>
          <cell r="J129">
            <v>7.0071457047925767</v>
          </cell>
          <cell r="K129">
            <v>7.0151803654885638</v>
          </cell>
          <cell r="L129">
            <v>7.0559496778790773</v>
          </cell>
          <cell r="M129">
            <v>7.0559496778790756</v>
          </cell>
          <cell r="N129">
            <v>7.047715242063016</v>
          </cell>
          <cell r="O129">
            <v>6.9832742924830846</v>
          </cell>
          <cell r="P129">
            <v>6.9539153873555302</v>
          </cell>
          <cell r="Q129">
            <v>6.9461746174711925</v>
          </cell>
          <cell r="R129">
            <v>6.9193682171529911</v>
          </cell>
          <cell r="S129">
            <v>6.9061292736536615</v>
          </cell>
          <cell r="T129">
            <v>6.9061292736536615</v>
          </cell>
          <cell r="U129">
            <v>6.9061292736536615</v>
          </cell>
          <cell r="V129">
            <v>6.9061292736536615</v>
          </cell>
          <cell r="W129">
            <v>6.9061292736536615</v>
          </cell>
          <cell r="X129">
            <v>6.9061292736536615</v>
          </cell>
          <cell r="Y129">
            <v>6.9061292736536615</v>
          </cell>
          <cell r="Z129">
            <v>6.9061292736536615</v>
          </cell>
          <cell r="AA129">
            <v>6.9061292736536615</v>
          </cell>
          <cell r="AB129">
            <v>6.9061292736536615</v>
          </cell>
          <cell r="AC129">
            <v>6.9061292736536615</v>
          </cell>
          <cell r="AD129">
            <v>6.9061292736536615</v>
          </cell>
          <cell r="AE129">
            <v>6.9061292736536615</v>
          </cell>
          <cell r="AF129">
            <v>6.9061292736536615</v>
          </cell>
        </row>
        <row r="130">
          <cell r="A130" t="str">
            <v>Minnesota</v>
          </cell>
          <cell r="B130">
            <v>7.1646519068741465</v>
          </cell>
          <cell r="C130">
            <v>7.155868176768899</v>
          </cell>
          <cell r="D130">
            <v>7.0746748021216606</v>
          </cell>
          <cell r="E130">
            <v>7.0398509709058921</v>
          </cell>
          <cell r="F130">
            <v>7.0395214284121908</v>
          </cell>
          <cell r="G130">
            <v>7.0354396492961415</v>
          </cell>
          <cell r="H130">
            <v>7.0289612908789953</v>
          </cell>
          <cell r="I130">
            <v>7.0273061374150778</v>
          </cell>
          <cell r="J130">
            <v>7.0071457047925758</v>
          </cell>
          <cell r="K130">
            <v>7.0151803654885638</v>
          </cell>
          <cell r="L130">
            <v>7.0559496778790756</v>
          </cell>
          <cell r="M130">
            <v>7.0559496778790756</v>
          </cell>
          <cell r="N130">
            <v>7.047715242063016</v>
          </cell>
          <cell r="O130">
            <v>6.9832742924830828</v>
          </cell>
          <cell r="P130">
            <v>6.9539153873555319</v>
          </cell>
          <cell r="Q130">
            <v>6.9461746174711898</v>
          </cell>
          <cell r="R130">
            <v>6.9193682171529902</v>
          </cell>
          <cell r="S130">
            <v>6.9061292736536615</v>
          </cell>
          <cell r="T130">
            <v>6.9061292736536615</v>
          </cell>
          <cell r="U130">
            <v>6.9061292736536615</v>
          </cell>
          <cell r="V130">
            <v>6.9061292736536615</v>
          </cell>
          <cell r="W130">
            <v>6.9061292736536615</v>
          </cell>
          <cell r="X130">
            <v>6.9061292736536615</v>
          </cell>
          <cell r="Y130">
            <v>6.9061292736536615</v>
          </cell>
          <cell r="Z130">
            <v>6.9061292736536615</v>
          </cell>
          <cell r="AA130">
            <v>6.9061292736536615</v>
          </cell>
          <cell r="AB130">
            <v>6.9061292736536615</v>
          </cell>
          <cell r="AC130">
            <v>6.9061292736536615</v>
          </cell>
          <cell r="AD130">
            <v>6.9061292736536615</v>
          </cell>
          <cell r="AE130">
            <v>6.9061292736536615</v>
          </cell>
          <cell r="AF130">
            <v>6.9061292736536615</v>
          </cell>
        </row>
        <row r="131">
          <cell r="A131" t="str">
            <v>Mississippi</v>
          </cell>
          <cell r="B131">
            <v>7.2833290471679817</v>
          </cell>
          <cell r="C131">
            <v>7.2743998210939695</v>
          </cell>
          <cell r="D131">
            <v>7.1918615384680589</v>
          </cell>
          <cell r="E131">
            <v>7.156460876339013</v>
          </cell>
          <cell r="F131">
            <v>7.156125875218537</v>
          </cell>
          <cell r="G131">
            <v>7.1519764844614615</v>
          </cell>
          <cell r="H131">
            <v>7.1453908168462164</v>
          </cell>
          <cell r="I131">
            <v>7.1437082469938469</v>
          </cell>
          <cell r="J131">
            <v>7.1232138717706688</v>
          </cell>
          <cell r="K131">
            <v>7.1313816206567076</v>
          </cell>
          <cell r="L131">
            <v>7.1728262464426447</v>
          </cell>
          <cell r="M131">
            <v>7.1728262464426447</v>
          </cell>
          <cell r="N131">
            <v>7.1644554133099652</v>
          </cell>
          <cell r="O131">
            <v>7.0989470472367602</v>
          </cell>
          <cell r="P131">
            <v>7.0691018336397935</v>
          </cell>
          <cell r="Q131">
            <v>7.0612328436485337</v>
          </cell>
          <cell r="R131">
            <v>7.0339824152082882</v>
          </cell>
          <cell r="S131">
            <v>7.0205241784375643</v>
          </cell>
          <cell r="T131">
            <v>7.0205241784375643</v>
          </cell>
          <cell r="U131">
            <v>7.0205241784375643</v>
          </cell>
          <cell r="V131">
            <v>7.0205241784375643</v>
          </cell>
          <cell r="W131">
            <v>7.0205241784375643</v>
          </cell>
          <cell r="X131">
            <v>7.0205241784375643</v>
          </cell>
          <cell r="Y131">
            <v>7.0205241784375643</v>
          </cell>
          <cell r="Z131">
            <v>7.0205241784375643</v>
          </cell>
          <cell r="AA131">
            <v>7.0205241784375643</v>
          </cell>
          <cell r="AB131">
            <v>7.0205241784375643</v>
          </cell>
          <cell r="AC131">
            <v>7.0205241784375643</v>
          </cell>
          <cell r="AD131">
            <v>7.0205241784375643</v>
          </cell>
          <cell r="AE131">
            <v>7.0205241784375643</v>
          </cell>
          <cell r="AF131">
            <v>7.0205241784375643</v>
          </cell>
        </row>
        <row r="132">
          <cell r="A132" t="str">
            <v>Missouri</v>
          </cell>
          <cell r="B132">
            <v>7.1646519068741465</v>
          </cell>
          <cell r="C132">
            <v>7.1558681767688981</v>
          </cell>
          <cell r="D132">
            <v>7.0746748021216606</v>
          </cell>
          <cell r="E132">
            <v>7.0398509709058921</v>
          </cell>
          <cell r="F132">
            <v>7.0395214284121899</v>
          </cell>
          <cell r="G132">
            <v>7.0354396492961415</v>
          </cell>
          <cell r="H132">
            <v>7.0289612908789962</v>
          </cell>
          <cell r="I132">
            <v>7.0273061374150769</v>
          </cell>
          <cell r="J132">
            <v>7.0071457047925758</v>
          </cell>
          <cell r="K132">
            <v>7.0151803654885629</v>
          </cell>
          <cell r="L132">
            <v>7.0559496778790773</v>
          </cell>
          <cell r="M132">
            <v>7.0559496778790756</v>
          </cell>
          <cell r="N132">
            <v>7.047715242063016</v>
          </cell>
          <cell r="O132">
            <v>6.9832742924830846</v>
          </cell>
          <cell r="P132">
            <v>6.9539153873555302</v>
          </cell>
          <cell r="Q132">
            <v>6.9461746174711916</v>
          </cell>
          <cell r="R132">
            <v>6.9193682171529902</v>
          </cell>
          <cell r="S132">
            <v>6.9061292736536615</v>
          </cell>
          <cell r="T132">
            <v>6.9061292736536615</v>
          </cell>
          <cell r="U132">
            <v>6.9061292736536615</v>
          </cell>
          <cell r="V132">
            <v>6.9061292736536615</v>
          </cell>
          <cell r="W132">
            <v>6.9061292736536615</v>
          </cell>
          <cell r="X132">
            <v>6.9061292736536615</v>
          </cell>
          <cell r="Y132">
            <v>6.9061292736536615</v>
          </cell>
          <cell r="Z132">
            <v>6.9061292736536615</v>
          </cell>
          <cell r="AA132">
            <v>6.9061292736536615</v>
          </cell>
          <cell r="AB132">
            <v>6.9061292736536615</v>
          </cell>
          <cell r="AC132">
            <v>6.9061292736536615</v>
          </cell>
          <cell r="AD132">
            <v>6.9061292736536615</v>
          </cell>
          <cell r="AE132">
            <v>6.9061292736536615</v>
          </cell>
          <cell r="AF132">
            <v>6.9061292736536615</v>
          </cell>
        </row>
        <row r="133">
          <cell r="A133" t="str">
            <v>Montana</v>
          </cell>
          <cell r="B133">
            <v>6.7047610404946187</v>
          </cell>
          <cell r="C133">
            <v>6.6965411280459151</v>
          </cell>
          <cell r="D133">
            <v>6.6205594638761909</v>
          </cell>
          <cell r="E133">
            <v>6.5879709348239679</v>
          </cell>
          <cell r="F133">
            <v>6.5876625452885538</v>
          </cell>
          <cell r="G133">
            <v>6.5838427709367853</v>
          </cell>
          <cell r="H133">
            <v>6.577780250986593</v>
          </cell>
          <cell r="I133">
            <v>6.5762313399431598</v>
          </cell>
          <cell r="J133">
            <v>6.5573649825870994</v>
          </cell>
          <cell r="K133">
            <v>6.5648839075409198</v>
          </cell>
          <cell r="L133">
            <v>6.6030362840857455</v>
          </cell>
          <cell r="M133">
            <v>6.6030362840857482</v>
          </cell>
          <cell r="N133">
            <v>6.595330407349846</v>
          </cell>
          <cell r="O133">
            <v>6.5350258491142377</v>
          </cell>
          <cell r="P133">
            <v>6.5075514587531424</v>
          </cell>
          <cell r="Q133">
            <v>6.5003075600936482</v>
          </cell>
          <cell r="R133">
            <v>6.4752218321580122</v>
          </cell>
          <cell r="S133">
            <v>6.4628326814015757</v>
          </cell>
          <cell r="T133">
            <v>6.4628326814015757</v>
          </cell>
          <cell r="U133">
            <v>6.4628326814015757</v>
          </cell>
          <cell r="V133">
            <v>6.4628326814015757</v>
          </cell>
          <cell r="W133">
            <v>6.4628326814015757</v>
          </cell>
          <cell r="X133">
            <v>6.4628326814015757</v>
          </cell>
          <cell r="Y133">
            <v>6.4628326814015757</v>
          </cell>
          <cell r="Z133">
            <v>6.4628326814015757</v>
          </cell>
          <cell r="AA133">
            <v>6.4628326814015757</v>
          </cell>
          <cell r="AB133">
            <v>6.4628326814015757</v>
          </cell>
          <cell r="AC133">
            <v>6.4628326814015757</v>
          </cell>
          <cell r="AD133">
            <v>6.4628326814015757</v>
          </cell>
          <cell r="AE133">
            <v>6.4628326814015757</v>
          </cell>
          <cell r="AF133">
            <v>6.4628326814015757</v>
          </cell>
        </row>
        <row r="134">
          <cell r="A134" t="str">
            <v>Nebraska</v>
          </cell>
          <cell r="B134">
            <v>6.7047610404946187</v>
          </cell>
          <cell r="C134">
            <v>6.6965411280459151</v>
          </cell>
          <cell r="D134">
            <v>6.6205594638761891</v>
          </cell>
          <cell r="E134">
            <v>6.5879709348239679</v>
          </cell>
          <cell r="F134">
            <v>6.5876625452885538</v>
          </cell>
          <cell r="G134">
            <v>6.5838427709367862</v>
          </cell>
          <cell r="H134">
            <v>6.5777802509865912</v>
          </cell>
          <cell r="I134">
            <v>6.5762313399431607</v>
          </cell>
          <cell r="J134">
            <v>6.5573649825870985</v>
          </cell>
          <cell r="K134">
            <v>6.5648839075409198</v>
          </cell>
          <cell r="L134">
            <v>6.6030362840857473</v>
          </cell>
          <cell r="M134">
            <v>6.6030362840857473</v>
          </cell>
          <cell r="N134">
            <v>6.5953304073498469</v>
          </cell>
          <cell r="O134">
            <v>6.5350258491142359</v>
          </cell>
          <cell r="P134">
            <v>6.5075514587531433</v>
          </cell>
          <cell r="Q134">
            <v>6.5003075600936482</v>
          </cell>
          <cell r="R134">
            <v>6.4752218321580122</v>
          </cell>
          <cell r="S134">
            <v>6.4628326814015766</v>
          </cell>
          <cell r="T134">
            <v>6.4628326814015766</v>
          </cell>
          <cell r="U134">
            <v>6.4628326814015766</v>
          </cell>
          <cell r="V134">
            <v>6.4628326814015766</v>
          </cell>
          <cell r="W134">
            <v>6.4628326814015766</v>
          </cell>
          <cell r="X134">
            <v>6.4628326814015766</v>
          </cell>
          <cell r="Y134">
            <v>6.4628326814015766</v>
          </cell>
          <cell r="Z134">
            <v>6.4628326814015766</v>
          </cell>
          <cell r="AA134">
            <v>6.4628326814015766</v>
          </cell>
          <cell r="AB134">
            <v>6.4628326814015766</v>
          </cell>
          <cell r="AC134">
            <v>6.4628326814015766</v>
          </cell>
          <cell r="AD134">
            <v>6.4628326814015766</v>
          </cell>
          <cell r="AE134">
            <v>6.4628326814015766</v>
          </cell>
          <cell r="AF134">
            <v>6.4628326814015766</v>
          </cell>
        </row>
        <row r="135">
          <cell r="A135" t="str">
            <v>Nevada</v>
          </cell>
          <cell r="B135">
            <v>9.3564152755243359</v>
          </cell>
          <cell r="C135">
            <v>9.3449444842561604</v>
          </cell>
          <cell r="D135">
            <v>9.2389129644147072</v>
          </cell>
          <cell r="E135">
            <v>9.1934360549186867</v>
          </cell>
          <cell r="F135">
            <v>9.1930057009444646</v>
          </cell>
          <cell r="G135">
            <v>9.1876752507049968</v>
          </cell>
          <cell r="H135">
            <v>9.1792150753269937</v>
          </cell>
          <cell r="I135">
            <v>9.1770535881599393</v>
          </cell>
          <cell r="J135">
            <v>9.1507258080804377</v>
          </cell>
          <cell r="K135">
            <v>9.1612183795335547</v>
          </cell>
          <cell r="L135">
            <v>9.2144595728506022</v>
          </cell>
          <cell r="M135">
            <v>9.2144595728506005</v>
          </cell>
          <cell r="N135">
            <v>9.2037061123815942</v>
          </cell>
          <cell r="O135">
            <v>9.11955180972239</v>
          </cell>
          <cell r="P135">
            <v>9.0812116206973581</v>
          </cell>
          <cell r="Q135">
            <v>9.0711028452074203</v>
          </cell>
          <cell r="R135">
            <v>9.0360960065390401</v>
          </cell>
          <cell r="S135">
            <v>9.0188070921857655</v>
          </cell>
          <cell r="T135">
            <v>9.0188070921857655</v>
          </cell>
          <cell r="U135">
            <v>9.0188070921857655</v>
          </cell>
          <cell r="V135">
            <v>9.0188070921857655</v>
          </cell>
          <cell r="W135">
            <v>9.0188070921857655</v>
          </cell>
          <cell r="X135">
            <v>9.0188070921857655</v>
          </cell>
          <cell r="Y135">
            <v>9.0188070921857655</v>
          </cell>
          <cell r="Z135">
            <v>9.0188070921857655</v>
          </cell>
          <cell r="AA135">
            <v>9.0188070921857655</v>
          </cell>
          <cell r="AB135">
            <v>9.0188070921857655</v>
          </cell>
          <cell r="AC135">
            <v>9.0188070921857655</v>
          </cell>
          <cell r="AD135">
            <v>9.0188070921857655</v>
          </cell>
          <cell r="AE135">
            <v>9.0188070921857655</v>
          </cell>
          <cell r="AF135">
            <v>9.0188070921857655</v>
          </cell>
        </row>
        <row r="136">
          <cell r="A136" t="str">
            <v>New Hampshire</v>
          </cell>
          <cell r="B136">
            <v>7.1622944318681458</v>
          </cell>
          <cell r="C136">
            <v>7.1535135919834447</v>
          </cell>
          <cell r="D136">
            <v>7.0723469334075286</v>
          </cell>
          <cell r="E136">
            <v>7.0375345607123991</v>
          </cell>
          <cell r="F136">
            <v>7.0372051266521831</v>
          </cell>
          <cell r="G136">
            <v>7.0331246906149536</v>
          </cell>
          <cell r="H136">
            <v>7.0266484638530899</v>
          </cell>
          <cell r="I136">
            <v>7.0249938550050093</v>
          </cell>
          <cell r="J136">
            <v>7.0048400560217434</v>
          </cell>
          <cell r="K136">
            <v>7.012872072972856</v>
          </cell>
          <cell r="L136">
            <v>7.0536279705267191</v>
          </cell>
          <cell r="M136">
            <v>7.05362797052672</v>
          </cell>
          <cell r="N136">
            <v>7.04539624419004</v>
          </cell>
          <cell r="O136">
            <v>6.9809764984215459</v>
          </cell>
          <cell r="P136">
            <v>6.9516272536216555</v>
          </cell>
          <cell r="Q136">
            <v>6.9438890307796273</v>
          </cell>
          <cell r="R136">
            <v>6.9170914509065149</v>
          </cell>
          <cell r="S136">
            <v>6.903856863582309</v>
          </cell>
          <cell r="T136">
            <v>6.903856863582309</v>
          </cell>
          <cell r="U136">
            <v>6.903856863582309</v>
          </cell>
          <cell r="V136">
            <v>6.903856863582309</v>
          </cell>
          <cell r="W136">
            <v>6.903856863582309</v>
          </cell>
          <cell r="X136">
            <v>6.903856863582309</v>
          </cell>
          <cell r="Y136">
            <v>6.903856863582309</v>
          </cell>
          <cell r="Z136">
            <v>6.903856863582309</v>
          </cell>
          <cell r="AA136">
            <v>6.903856863582309</v>
          </cell>
          <cell r="AB136">
            <v>6.903856863582309</v>
          </cell>
          <cell r="AC136">
            <v>6.903856863582309</v>
          </cell>
          <cell r="AD136">
            <v>6.903856863582309</v>
          </cell>
          <cell r="AE136">
            <v>6.903856863582309</v>
          </cell>
          <cell r="AF136">
            <v>6.903856863582309</v>
          </cell>
        </row>
        <row r="137">
          <cell r="A137" t="str">
            <v>New Jersey</v>
          </cell>
          <cell r="B137">
            <v>7.1622944318681458</v>
          </cell>
          <cell r="C137">
            <v>7.1535135919834421</v>
          </cell>
          <cell r="D137">
            <v>7.0723469334075304</v>
          </cell>
          <cell r="E137">
            <v>7.0375345607123982</v>
          </cell>
          <cell r="F137">
            <v>7.0372051266521831</v>
          </cell>
          <cell r="G137">
            <v>7.0331246906149545</v>
          </cell>
          <cell r="H137">
            <v>7.0266484638530899</v>
          </cell>
          <cell r="I137">
            <v>7.0249938550050137</v>
          </cell>
          <cell r="J137">
            <v>7.0048400560217443</v>
          </cell>
          <cell r="K137">
            <v>7.012872072972856</v>
          </cell>
          <cell r="L137">
            <v>7.0536279705267191</v>
          </cell>
          <cell r="M137">
            <v>7.05362797052672</v>
          </cell>
          <cell r="N137">
            <v>7.04539624419004</v>
          </cell>
          <cell r="O137">
            <v>6.9809764984215459</v>
          </cell>
          <cell r="P137">
            <v>6.9516272536216546</v>
          </cell>
          <cell r="Q137">
            <v>6.9438890307796264</v>
          </cell>
          <cell r="R137">
            <v>6.9170914509065149</v>
          </cell>
          <cell r="S137">
            <v>6.9038568635823081</v>
          </cell>
          <cell r="T137">
            <v>6.9038568635823081</v>
          </cell>
          <cell r="U137">
            <v>6.9038568635823081</v>
          </cell>
          <cell r="V137">
            <v>6.9038568635823081</v>
          </cell>
          <cell r="W137">
            <v>6.9038568635823081</v>
          </cell>
          <cell r="X137">
            <v>6.9038568635823081</v>
          </cell>
          <cell r="Y137">
            <v>6.9038568635823081</v>
          </cell>
          <cell r="Z137">
            <v>6.9038568635823081</v>
          </cell>
          <cell r="AA137">
            <v>6.9038568635823081</v>
          </cell>
          <cell r="AB137">
            <v>6.9038568635823081</v>
          </cell>
          <cell r="AC137">
            <v>6.9038568635823081</v>
          </cell>
          <cell r="AD137">
            <v>6.9038568635823081</v>
          </cell>
          <cell r="AE137">
            <v>6.9038568635823081</v>
          </cell>
          <cell r="AF137">
            <v>6.9038568635823081</v>
          </cell>
        </row>
        <row r="138">
          <cell r="A138" t="str">
            <v>New Mexico</v>
          </cell>
          <cell r="B138">
            <v>9.3564152755243342</v>
          </cell>
          <cell r="C138">
            <v>9.344944484256164</v>
          </cell>
          <cell r="D138">
            <v>9.238912964414709</v>
          </cell>
          <cell r="E138">
            <v>9.1934360549186849</v>
          </cell>
          <cell r="F138">
            <v>9.1930057009444628</v>
          </cell>
          <cell r="G138">
            <v>9.1876752507049968</v>
          </cell>
          <cell r="H138">
            <v>9.1792150753269901</v>
          </cell>
          <cell r="I138">
            <v>9.1770535881599393</v>
          </cell>
          <cell r="J138">
            <v>9.1507258080804394</v>
          </cell>
          <cell r="K138">
            <v>9.1612183795335529</v>
          </cell>
          <cell r="L138">
            <v>9.2144595728506005</v>
          </cell>
          <cell r="M138">
            <v>9.2144595728506005</v>
          </cell>
          <cell r="N138">
            <v>9.2037061123815924</v>
          </cell>
          <cell r="O138">
            <v>9.1195518097223918</v>
          </cell>
          <cell r="P138">
            <v>9.0812116206973545</v>
          </cell>
          <cell r="Q138">
            <v>9.0711028452074203</v>
          </cell>
          <cell r="R138">
            <v>9.0360960065390437</v>
          </cell>
          <cell r="S138">
            <v>9.0188070921857619</v>
          </cell>
          <cell r="T138">
            <v>9.0188070921857619</v>
          </cell>
          <cell r="U138">
            <v>9.0188070921857619</v>
          </cell>
          <cell r="V138">
            <v>9.0188070921857619</v>
          </cell>
          <cell r="W138">
            <v>9.0188070921857619</v>
          </cell>
          <cell r="X138">
            <v>9.0188070921857619</v>
          </cell>
          <cell r="Y138">
            <v>9.0188070921857619</v>
          </cell>
          <cell r="Z138">
            <v>9.0188070921857619</v>
          </cell>
          <cell r="AA138">
            <v>9.0188070921857619</v>
          </cell>
          <cell r="AB138">
            <v>9.0188070921857619</v>
          </cell>
          <cell r="AC138">
            <v>9.0188070921857619</v>
          </cell>
          <cell r="AD138">
            <v>9.0188070921857619</v>
          </cell>
          <cell r="AE138">
            <v>9.0188070921857619</v>
          </cell>
          <cell r="AF138">
            <v>9.0188070921857619</v>
          </cell>
        </row>
        <row r="139">
          <cell r="A139" t="str">
            <v>New York</v>
          </cell>
          <cell r="B139">
            <v>7.1622944318681441</v>
          </cell>
          <cell r="C139">
            <v>7.1535135919834429</v>
          </cell>
          <cell r="D139">
            <v>7.0723469334075286</v>
          </cell>
          <cell r="E139">
            <v>7.0375345607123991</v>
          </cell>
          <cell r="F139">
            <v>7.0372051266521831</v>
          </cell>
          <cell r="G139">
            <v>7.0331246906149518</v>
          </cell>
          <cell r="H139">
            <v>7.0266484638530882</v>
          </cell>
          <cell r="I139">
            <v>7.0249938550050093</v>
          </cell>
          <cell r="J139">
            <v>7.0048400560217443</v>
          </cell>
          <cell r="K139">
            <v>7.012872072972856</v>
          </cell>
          <cell r="L139">
            <v>7.0536279705267191</v>
          </cell>
          <cell r="M139">
            <v>7.0536279705267191</v>
          </cell>
          <cell r="N139">
            <v>7.0453962441900391</v>
          </cell>
          <cell r="O139">
            <v>6.9809764984215459</v>
          </cell>
          <cell r="P139">
            <v>6.9516272536216572</v>
          </cell>
          <cell r="Q139">
            <v>6.9438890307796264</v>
          </cell>
          <cell r="R139">
            <v>6.9170914509065149</v>
          </cell>
          <cell r="S139">
            <v>6.903856863582309</v>
          </cell>
          <cell r="T139">
            <v>6.903856863582309</v>
          </cell>
          <cell r="U139">
            <v>6.903856863582309</v>
          </cell>
          <cell r="V139">
            <v>6.903856863582309</v>
          </cell>
          <cell r="W139">
            <v>6.903856863582309</v>
          </cell>
          <cell r="X139">
            <v>6.903856863582309</v>
          </cell>
          <cell r="Y139">
            <v>6.903856863582309</v>
          </cell>
          <cell r="Z139">
            <v>6.903856863582309</v>
          </cell>
          <cell r="AA139">
            <v>6.903856863582309</v>
          </cell>
          <cell r="AB139">
            <v>6.903856863582309</v>
          </cell>
          <cell r="AC139">
            <v>6.903856863582309</v>
          </cell>
          <cell r="AD139">
            <v>6.903856863582309</v>
          </cell>
          <cell r="AE139">
            <v>6.903856863582309</v>
          </cell>
          <cell r="AF139">
            <v>6.903856863582309</v>
          </cell>
        </row>
        <row r="140">
          <cell r="A140" t="str">
            <v>North Carolina</v>
          </cell>
          <cell r="B140">
            <v>7.2833290471679799</v>
          </cell>
          <cell r="C140">
            <v>7.2743998210939687</v>
          </cell>
          <cell r="D140">
            <v>7.1918615384680615</v>
          </cell>
          <cell r="E140">
            <v>7.156460876339013</v>
          </cell>
          <cell r="F140">
            <v>7.156125875218537</v>
          </cell>
          <cell r="G140">
            <v>7.1519764844614615</v>
          </cell>
          <cell r="H140">
            <v>7.1453908168462164</v>
          </cell>
          <cell r="I140">
            <v>7.1437082469938469</v>
          </cell>
          <cell r="J140">
            <v>7.1232138717706688</v>
          </cell>
          <cell r="K140">
            <v>7.1313816206567076</v>
          </cell>
          <cell r="L140">
            <v>7.1728262464426447</v>
          </cell>
          <cell r="M140">
            <v>7.1728262464426447</v>
          </cell>
          <cell r="N140">
            <v>7.1644554133099634</v>
          </cell>
          <cell r="O140">
            <v>7.0989470472367602</v>
          </cell>
          <cell r="P140">
            <v>7.0691018336397935</v>
          </cell>
          <cell r="Q140">
            <v>7.0612328436485345</v>
          </cell>
          <cell r="R140">
            <v>7.0339824152082882</v>
          </cell>
          <cell r="S140">
            <v>7.0205241784375669</v>
          </cell>
          <cell r="T140">
            <v>7.0205241784375669</v>
          </cell>
          <cell r="U140">
            <v>7.0205241784375669</v>
          </cell>
          <cell r="V140">
            <v>7.0205241784375669</v>
          </cell>
          <cell r="W140">
            <v>7.0205241784375669</v>
          </cell>
          <cell r="X140">
            <v>7.0205241784375669</v>
          </cell>
          <cell r="Y140">
            <v>7.0205241784375669</v>
          </cell>
          <cell r="Z140">
            <v>7.0205241784375669</v>
          </cell>
          <cell r="AA140">
            <v>7.0205241784375669</v>
          </cell>
          <cell r="AB140">
            <v>7.0205241784375669</v>
          </cell>
          <cell r="AC140">
            <v>7.0205241784375669</v>
          </cell>
          <cell r="AD140">
            <v>7.0205241784375669</v>
          </cell>
          <cell r="AE140">
            <v>7.0205241784375669</v>
          </cell>
          <cell r="AF140">
            <v>7.0205241784375669</v>
          </cell>
        </row>
        <row r="141">
          <cell r="A141" t="str">
            <v>North Dakota</v>
          </cell>
          <cell r="B141">
            <v>6.7047610404946196</v>
          </cell>
          <cell r="C141">
            <v>6.6965411280459168</v>
          </cell>
          <cell r="D141">
            <v>6.6205594638761909</v>
          </cell>
          <cell r="E141">
            <v>6.5879709348239706</v>
          </cell>
          <cell r="F141">
            <v>6.5876625452885538</v>
          </cell>
          <cell r="G141">
            <v>6.5838427709367862</v>
          </cell>
          <cell r="H141">
            <v>6.5777802509865921</v>
          </cell>
          <cell r="I141">
            <v>6.5762313399431624</v>
          </cell>
          <cell r="J141">
            <v>6.5573649825870968</v>
          </cell>
          <cell r="K141">
            <v>6.5648839075409215</v>
          </cell>
          <cell r="L141">
            <v>6.6030362840857455</v>
          </cell>
          <cell r="M141">
            <v>6.6030362840857482</v>
          </cell>
          <cell r="N141">
            <v>6.595330407349846</v>
          </cell>
          <cell r="O141">
            <v>6.535025849114235</v>
          </cell>
          <cell r="P141">
            <v>6.5075514587531424</v>
          </cell>
          <cell r="Q141">
            <v>6.5003075600936491</v>
          </cell>
          <cell r="R141">
            <v>6.4752218321580104</v>
          </cell>
          <cell r="S141">
            <v>6.462832681401574</v>
          </cell>
          <cell r="T141">
            <v>6.462832681401574</v>
          </cell>
          <cell r="U141">
            <v>6.462832681401574</v>
          </cell>
          <cell r="V141">
            <v>6.462832681401574</v>
          </cell>
          <cell r="W141">
            <v>6.462832681401574</v>
          </cell>
          <cell r="X141">
            <v>6.462832681401574</v>
          </cell>
          <cell r="Y141">
            <v>6.462832681401574</v>
          </cell>
          <cell r="Z141">
            <v>6.462832681401574</v>
          </cell>
          <cell r="AA141">
            <v>6.462832681401574</v>
          </cell>
          <cell r="AB141">
            <v>6.462832681401574</v>
          </cell>
          <cell r="AC141">
            <v>6.462832681401574</v>
          </cell>
          <cell r="AD141">
            <v>6.462832681401574</v>
          </cell>
          <cell r="AE141">
            <v>6.462832681401574</v>
          </cell>
          <cell r="AF141">
            <v>6.462832681401574</v>
          </cell>
        </row>
        <row r="142">
          <cell r="A142" t="str">
            <v>Ohio</v>
          </cell>
          <cell r="B142">
            <v>7.1646519068741465</v>
          </cell>
          <cell r="C142">
            <v>7.1558681767688981</v>
          </cell>
          <cell r="D142">
            <v>7.0746748021216606</v>
          </cell>
          <cell r="E142">
            <v>7.0398509709058921</v>
          </cell>
          <cell r="F142">
            <v>7.0395214284121908</v>
          </cell>
          <cell r="G142">
            <v>7.0354396492961415</v>
          </cell>
          <cell r="H142">
            <v>7.028961290878998</v>
          </cell>
          <cell r="I142">
            <v>7.0273061374150769</v>
          </cell>
          <cell r="J142">
            <v>7.0071457047925767</v>
          </cell>
          <cell r="K142">
            <v>7.0151803654885638</v>
          </cell>
          <cell r="L142">
            <v>7.0559496778790756</v>
          </cell>
          <cell r="M142">
            <v>7.0559496778790756</v>
          </cell>
          <cell r="N142">
            <v>7.047715242063016</v>
          </cell>
          <cell r="O142">
            <v>6.9832742924830828</v>
          </cell>
          <cell r="P142">
            <v>6.9539153873555311</v>
          </cell>
          <cell r="Q142">
            <v>6.9461746174711925</v>
          </cell>
          <cell r="R142">
            <v>6.9193682171529902</v>
          </cell>
          <cell r="S142">
            <v>6.9061292736536597</v>
          </cell>
          <cell r="T142">
            <v>6.9061292736536597</v>
          </cell>
          <cell r="U142">
            <v>6.9061292736536597</v>
          </cell>
          <cell r="V142">
            <v>6.9061292736536597</v>
          </cell>
          <cell r="W142">
            <v>6.9061292736536597</v>
          </cell>
          <cell r="X142">
            <v>6.9061292736536597</v>
          </cell>
          <cell r="Y142">
            <v>6.9061292736536597</v>
          </cell>
          <cell r="Z142">
            <v>6.9061292736536597</v>
          </cell>
          <cell r="AA142">
            <v>6.9061292736536597</v>
          </cell>
          <cell r="AB142">
            <v>6.9061292736536597</v>
          </cell>
          <cell r="AC142">
            <v>6.9061292736536597</v>
          </cell>
          <cell r="AD142">
            <v>6.9061292736536597</v>
          </cell>
          <cell r="AE142">
            <v>6.9061292736536597</v>
          </cell>
          <cell r="AF142">
            <v>6.9061292736536597</v>
          </cell>
        </row>
        <row r="143">
          <cell r="A143" t="str">
            <v>Oklahoma</v>
          </cell>
          <cell r="B143">
            <v>7.2613438769530561</v>
          </cell>
          <cell r="C143">
            <v>7.2524416042892055</v>
          </cell>
          <cell r="D143">
            <v>7.1701524684725442</v>
          </cell>
          <cell r="E143">
            <v>7.1348586653879797</v>
          </cell>
          <cell r="F143">
            <v>7.1345246754886826</v>
          </cell>
          <cell r="G143">
            <v>7.1303878099191262</v>
          </cell>
          <cell r="H143">
            <v>7.123822021540783</v>
          </cell>
          <cell r="I143">
            <v>7.1221445306275015</v>
          </cell>
          <cell r="J143">
            <v>7.1017120189182164</v>
          </cell>
          <cell r="K143">
            <v>7.109855112959151</v>
          </cell>
          <cell r="L143">
            <v>7.1511746356299417</v>
          </cell>
          <cell r="M143">
            <v>7.1511746356299417</v>
          </cell>
          <cell r="N143">
            <v>7.1428290703644839</v>
          </cell>
          <cell r="O143">
            <v>7.0775184452651221</v>
          </cell>
          <cell r="P143">
            <v>7.0477633212544948</v>
          </cell>
          <cell r="Q143">
            <v>7.0399180842865068</v>
          </cell>
          <cell r="R143">
            <v>7.0127499129163215</v>
          </cell>
          <cell r="S143">
            <v>6.9993323006490717</v>
          </cell>
          <cell r="T143">
            <v>6.9993323006490717</v>
          </cell>
          <cell r="U143">
            <v>6.9993323006490717</v>
          </cell>
          <cell r="V143">
            <v>6.9993323006490717</v>
          </cell>
          <cell r="W143">
            <v>6.9993323006490717</v>
          </cell>
          <cell r="X143">
            <v>6.9993323006490717</v>
          </cell>
          <cell r="Y143">
            <v>6.9993323006490717</v>
          </cell>
          <cell r="Z143">
            <v>6.9993323006490717</v>
          </cell>
          <cell r="AA143">
            <v>6.9993323006490717</v>
          </cell>
          <cell r="AB143">
            <v>6.9993323006490717</v>
          </cell>
          <cell r="AC143">
            <v>6.9993323006490717</v>
          </cell>
          <cell r="AD143">
            <v>6.9993323006490717</v>
          </cell>
          <cell r="AE143">
            <v>6.9993323006490717</v>
          </cell>
          <cell r="AF143">
            <v>6.9993323006490717</v>
          </cell>
        </row>
        <row r="144">
          <cell r="A144" t="str">
            <v>Oregon</v>
          </cell>
          <cell r="B144">
            <v>9.3564152755243359</v>
          </cell>
          <cell r="C144">
            <v>9.3449444842561658</v>
          </cell>
          <cell r="D144">
            <v>9.238912964414709</v>
          </cell>
          <cell r="E144">
            <v>9.1934360549186867</v>
          </cell>
          <cell r="F144">
            <v>9.1930057009444646</v>
          </cell>
          <cell r="G144">
            <v>9.1876752507049932</v>
          </cell>
          <cell r="H144">
            <v>9.1792150753269883</v>
          </cell>
          <cell r="I144">
            <v>9.1770535881599393</v>
          </cell>
          <cell r="J144">
            <v>9.1507258080804377</v>
          </cell>
          <cell r="K144">
            <v>9.1612183795335564</v>
          </cell>
          <cell r="L144">
            <v>9.2144595728506005</v>
          </cell>
          <cell r="M144">
            <v>9.2144595728506005</v>
          </cell>
          <cell r="N144">
            <v>9.2037061123815924</v>
          </cell>
          <cell r="O144">
            <v>9.11955180972239</v>
          </cell>
          <cell r="P144">
            <v>9.0812116206973581</v>
          </cell>
          <cell r="Q144">
            <v>9.071102845207422</v>
          </cell>
          <cell r="R144">
            <v>9.0360960065390419</v>
          </cell>
          <cell r="S144">
            <v>9.0188070921857655</v>
          </cell>
          <cell r="T144">
            <v>9.0188070921857655</v>
          </cell>
          <cell r="U144">
            <v>9.0188070921857655</v>
          </cell>
          <cell r="V144">
            <v>9.0188070921857655</v>
          </cell>
          <cell r="W144">
            <v>9.0188070921857655</v>
          </cell>
          <cell r="X144">
            <v>9.0188070921857655</v>
          </cell>
          <cell r="Y144">
            <v>9.0188070921857655</v>
          </cell>
          <cell r="Z144">
            <v>9.0188070921857655</v>
          </cell>
          <cell r="AA144">
            <v>9.0188070921857655</v>
          </cell>
          <cell r="AB144">
            <v>9.0188070921857655</v>
          </cell>
          <cell r="AC144">
            <v>9.0188070921857655</v>
          </cell>
          <cell r="AD144">
            <v>9.0188070921857655</v>
          </cell>
          <cell r="AE144">
            <v>9.0188070921857655</v>
          </cell>
          <cell r="AF144">
            <v>9.0188070921857655</v>
          </cell>
        </row>
        <row r="145">
          <cell r="A145" t="str">
            <v>Pennsylvania</v>
          </cell>
          <cell r="B145">
            <v>7.1622944318681458</v>
          </cell>
          <cell r="C145">
            <v>7.1535135919834429</v>
          </cell>
          <cell r="D145">
            <v>7.0723469334075286</v>
          </cell>
          <cell r="E145">
            <v>7.0375345607123982</v>
          </cell>
          <cell r="F145">
            <v>7.0372051266521831</v>
          </cell>
          <cell r="G145">
            <v>7.0331246906149536</v>
          </cell>
          <cell r="H145">
            <v>7.0266484638530882</v>
          </cell>
          <cell r="I145">
            <v>7.0249938550050119</v>
          </cell>
          <cell r="J145">
            <v>7.0048400560217416</v>
          </cell>
          <cell r="K145">
            <v>7.012872072972856</v>
          </cell>
          <cell r="L145">
            <v>7.05362797052672</v>
          </cell>
          <cell r="M145">
            <v>7.0536279705267217</v>
          </cell>
          <cell r="N145">
            <v>7.04539624419004</v>
          </cell>
          <cell r="O145">
            <v>6.9809764984215459</v>
          </cell>
          <cell r="P145">
            <v>6.9516272536216572</v>
          </cell>
          <cell r="Q145">
            <v>6.9438890307796264</v>
          </cell>
          <cell r="R145">
            <v>6.9170914509065149</v>
          </cell>
          <cell r="S145">
            <v>6.9038568635823081</v>
          </cell>
          <cell r="T145">
            <v>6.9038568635823081</v>
          </cell>
          <cell r="U145">
            <v>6.9038568635823081</v>
          </cell>
          <cell r="V145">
            <v>6.9038568635823081</v>
          </cell>
          <cell r="W145">
            <v>6.9038568635823081</v>
          </cell>
          <cell r="X145">
            <v>6.9038568635823081</v>
          </cell>
          <cell r="Y145">
            <v>6.9038568635823081</v>
          </cell>
          <cell r="Z145">
            <v>6.9038568635823081</v>
          </cell>
          <cell r="AA145">
            <v>6.9038568635823081</v>
          </cell>
          <cell r="AB145">
            <v>6.9038568635823081</v>
          </cell>
          <cell r="AC145">
            <v>6.9038568635823081</v>
          </cell>
          <cell r="AD145">
            <v>6.9038568635823081</v>
          </cell>
          <cell r="AE145">
            <v>6.9038568635823081</v>
          </cell>
          <cell r="AF145">
            <v>6.9038568635823081</v>
          </cell>
        </row>
        <row r="146">
          <cell r="A146" t="str">
            <v>Rhode Island</v>
          </cell>
          <cell r="B146">
            <v>7.1622944318681441</v>
          </cell>
          <cell r="C146">
            <v>7.1535135919834421</v>
          </cell>
          <cell r="D146">
            <v>7.0723469334075286</v>
          </cell>
          <cell r="E146">
            <v>7.0375345607124009</v>
          </cell>
          <cell r="F146">
            <v>7.0372051266521858</v>
          </cell>
          <cell r="G146">
            <v>7.0331246906149536</v>
          </cell>
          <cell r="H146">
            <v>7.0266484638530899</v>
          </cell>
          <cell r="I146">
            <v>7.0249938550050111</v>
          </cell>
          <cell r="J146">
            <v>7.0048400560217443</v>
          </cell>
          <cell r="K146">
            <v>7.012872072972856</v>
          </cell>
          <cell r="L146">
            <v>7.05362797052672</v>
          </cell>
          <cell r="M146">
            <v>7.05362797052672</v>
          </cell>
          <cell r="N146">
            <v>7.04539624419004</v>
          </cell>
          <cell r="O146">
            <v>6.9809764984215468</v>
          </cell>
          <cell r="P146">
            <v>6.9516272536216555</v>
          </cell>
          <cell r="Q146">
            <v>6.9438890307796264</v>
          </cell>
          <cell r="R146">
            <v>6.9170914509065158</v>
          </cell>
          <cell r="S146">
            <v>6.903856863582309</v>
          </cell>
          <cell r="T146">
            <v>6.903856863582309</v>
          </cell>
          <cell r="U146">
            <v>6.903856863582309</v>
          </cell>
          <cell r="V146">
            <v>6.903856863582309</v>
          </cell>
          <cell r="W146">
            <v>6.903856863582309</v>
          </cell>
          <cell r="X146">
            <v>6.903856863582309</v>
          </cell>
          <cell r="Y146">
            <v>6.903856863582309</v>
          </cell>
          <cell r="Z146">
            <v>6.903856863582309</v>
          </cell>
          <cell r="AA146">
            <v>6.903856863582309</v>
          </cell>
          <cell r="AB146">
            <v>6.903856863582309</v>
          </cell>
          <cell r="AC146">
            <v>6.903856863582309</v>
          </cell>
          <cell r="AD146">
            <v>6.903856863582309</v>
          </cell>
          <cell r="AE146">
            <v>6.903856863582309</v>
          </cell>
          <cell r="AF146">
            <v>6.903856863582309</v>
          </cell>
        </row>
        <row r="147">
          <cell r="A147" t="str">
            <v>South Carolina</v>
          </cell>
          <cell r="B147">
            <v>7.2833290471679817</v>
          </cell>
          <cell r="C147">
            <v>7.2743998210939704</v>
          </cell>
          <cell r="D147">
            <v>7.1918615384680615</v>
          </cell>
          <cell r="E147">
            <v>7.1564608763390121</v>
          </cell>
          <cell r="F147">
            <v>7.156125875218537</v>
          </cell>
          <cell r="G147">
            <v>7.1519764844614633</v>
          </cell>
          <cell r="H147">
            <v>7.1453908168462172</v>
          </cell>
          <cell r="I147">
            <v>7.1437082469938487</v>
          </cell>
          <cell r="J147">
            <v>7.1232138717706714</v>
          </cell>
          <cell r="K147">
            <v>7.1313816206567076</v>
          </cell>
          <cell r="L147">
            <v>7.1728262464426447</v>
          </cell>
          <cell r="M147">
            <v>7.1728262464426447</v>
          </cell>
          <cell r="N147">
            <v>7.1644554133099634</v>
          </cell>
          <cell r="O147">
            <v>7.0989470472367611</v>
          </cell>
          <cell r="P147">
            <v>7.0691018336397953</v>
          </cell>
          <cell r="Q147">
            <v>7.0612328436485345</v>
          </cell>
          <cell r="R147">
            <v>7.0339824152082873</v>
          </cell>
          <cell r="S147">
            <v>7.020524178437566</v>
          </cell>
          <cell r="T147">
            <v>7.020524178437566</v>
          </cell>
          <cell r="U147">
            <v>7.020524178437566</v>
          </cell>
          <cell r="V147">
            <v>7.020524178437566</v>
          </cell>
          <cell r="W147">
            <v>7.020524178437566</v>
          </cell>
          <cell r="X147">
            <v>7.020524178437566</v>
          </cell>
          <cell r="Y147">
            <v>7.020524178437566</v>
          </cell>
          <cell r="Z147">
            <v>7.020524178437566</v>
          </cell>
          <cell r="AA147">
            <v>7.020524178437566</v>
          </cell>
          <cell r="AB147">
            <v>7.020524178437566</v>
          </cell>
          <cell r="AC147">
            <v>7.020524178437566</v>
          </cell>
          <cell r="AD147">
            <v>7.020524178437566</v>
          </cell>
          <cell r="AE147">
            <v>7.020524178437566</v>
          </cell>
          <cell r="AF147">
            <v>7.020524178437566</v>
          </cell>
        </row>
        <row r="148">
          <cell r="A148" t="str">
            <v>South Dakota</v>
          </cell>
          <cell r="B148">
            <v>6.7047610404946187</v>
          </cell>
          <cell r="C148">
            <v>6.6965411280459168</v>
          </cell>
          <cell r="D148">
            <v>6.6205594638761891</v>
          </cell>
          <cell r="E148">
            <v>6.5879709348239706</v>
          </cell>
          <cell r="F148">
            <v>6.587662545288552</v>
          </cell>
          <cell r="G148">
            <v>6.5838427709367835</v>
          </cell>
          <cell r="H148">
            <v>6.5777802509865895</v>
          </cell>
          <cell r="I148">
            <v>6.5762313399431624</v>
          </cell>
          <cell r="J148">
            <v>6.5573649825870985</v>
          </cell>
          <cell r="K148">
            <v>6.5648839075409189</v>
          </cell>
          <cell r="L148">
            <v>6.6030362840857482</v>
          </cell>
          <cell r="M148">
            <v>6.6030362840857473</v>
          </cell>
          <cell r="N148">
            <v>6.5953304073498469</v>
          </cell>
          <cell r="O148">
            <v>6.5350258491142359</v>
          </cell>
          <cell r="P148">
            <v>6.5075514587531433</v>
          </cell>
          <cell r="Q148">
            <v>6.5003075600936482</v>
          </cell>
          <cell r="R148">
            <v>6.4752218321580131</v>
          </cell>
          <cell r="S148">
            <v>6.4628326814015766</v>
          </cell>
          <cell r="T148">
            <v>6.4628326814015766</v>
          </cell>
          <cell r="U148">
            <v>6.4628326814015766</v>
          </cell>
          <cell r="V148">
            <v>6.4628326814015766</v>
          </cell>
          <cell r="W148">
            <v>6.4628326814015766</v>
          </cell>
          <cell r="X148">
            <v>6.4628326814015766</v>
          </cell>
          <cell r="Y148">
            <v>6.4628326814015766</v>
          </cell>
          <cell r="Z148">
            <v>6.4628326814015766</v>
          </cell>
          <cell r="AA148">
            <v>6.4628326814015766</v>
          </cell>
          <cell r="AB148">
            <v>6.4628326814015766</v>
          </cell>
          <cell r="AC148">
            <v>6.4628326814015766</v>
          </cell>
          <cell r="AD148">
            <v>6.4628326814015766</v>
          </cell>
          <cell r="AE148">
            <v>6.4628326814015766</v>
          </cell>
          <cell r="AF148">
            <v>6.4628326814015766</v>
          </cell>
        </row>
        <row r="149">
          <cell r="A149" t="str">
            <v>Tennessee</v>
          </cell>
          <cell r="B149">
            <v>7.2833290471679817</v>
          </cell>
          <cell r="C149">
            <v>7.2743998210939695</v>
          </cell>
          <cell r="D149">
            <v>7.1918615384680624</v>
          </cell>
          <cell r="E149">
            <v>7.1564608763390121</v>
          </cell>
          <cell r="F149">
            <v>7.1561258752185362</v>
          </cell>
          <cell r="G149">
            <v>7.1519764844614615</v>
          </cell>
          <cell r="H149">
            <v>7.1453908168462172</v>
          </cell>
          <cell r="I149">
            <v>7.1437082469938469</v>
          </cell>
          <cell r="J149">
            <v>7.1232138717706688</v>
          </cell>
          <cell r="K149">
            <v>7.1313816206567076</v>
          </cell>
          <cell r="L149">
            <v>7.1728262464426447</v>
          </cell>
          <cell r="M149">
            <v>7.1728262464426455</v>
          </cell>
          <cell r="N149">
            <v>7.1644554133099625</v>
          </cell>
          <cell r="O149">
            <v>7.0989470472367611</v>
          </cell>
          <cell r="P149">
            <v>7.0691018336397935</v>
          </cell>
          <cell r="Q149">
            <v>7.0612328436485345</v>
          </cell>
          <cell r="R149">
            <v>7.0339824152082882</v>
          </cell>
          <cell r="S149">
            <v>7.020524178437566</v>
          </cell>
          <cell r="T149">
            <v>7.020524178437566</v>
          </cell>
          <cell r="U149">
            <v>7.020524178437566</v>
          </cell>
          <cell r="V149">
            <v>7.020524178437566</v>
          </cell>
          <cell r="W149">
            <v>7.020524178437566</v>
          </cell>
          <cell r="X149">
            <v>7.020524178437566</v>
          </cell>
          <cell r="Y149">
            <v>7.020524178437566</v>
          </cell>
          <cell r="Z149">
            <v>7.020524178437566</v>
          </cell>
          <cell r="AA149">
            <v>7.020524178437566</v>
          </cell>
          <cell r="AB149">
            <v>7.020524178437566</v>
          </cell>
          <cell r="AC149">
            <v>7.020524178437566</v>
          </cell>
          <cell r="AD149">
            <v>7.020524178437566</v>
          </cell>
          <cell r="AE149">
            <v>7.020524178437566</v>
          </cell>
          <cell r="AF149">
            <v>7.020524178437566</v>
          </cell>
        </row>
        <row r="150">
          <cell r="A150" t="str">
            <v>Texas</v>
          </cell>
          <cell r="B150">
            <v>7.2613438769530561</v>
          </cell>
          <cell r="C150">
            <v>7.2524416042892073</v>
          </cell>
          <cell r="D150">
            <v>7.1701524684725415</v>
          </cell>
          <cell r="E150">
            <v>7.1348586653879762</v>
          </cell>
          <cell r="F150">
            <v>7.1345246754886817</v>
          </cell>
          <cell r="G150">
            <v>7.1303878099191245</v>
          </cell>
          <cell r="H150">
            <v>7.1238220215407804</v>
          </cell>
          <cell r="I150">
            <v>7.1221445306275015</v>
          </cell>
          <cell r="J150">
            <v>7.1017120189182146</v>
          </cell>
          <cell r="K150">
            <v>7.109855112959151</v>
          </cell>
          <cell r="L150">
            <v>7.1511746356299417</v>
          </cell>
          <cell r="M150">
            <v>7.1511746356299399</v>
          </cell>
          <cell r="N150">
            <v>7.1428290703644848</v>
          </cell>
          <cell r="O150">
            <v>7.0775184452651221</v>
          </cell>
          <cell r="P150">
            <v>7.047763321254493</v>
          </cell>
          <cell r="Q150">
            <v>7.039918084286505</v>
          </cell>
          <cell r="R150">
            <v>7.0127499129163215</v>
          </cell>
          <cell r="S150">
            <v>6.9993323006490717</v>
          </cell>
          <cell r="T150">
            <v>6.9993323006490717</v>
          </cell>
          <cell r="U150">
            <v>6.9993323006490717</v>
          </cell>
          <cell r="V150">
            <v>6.9993323006490717</v>
          </cell>
          <cell r="W150">
            <v>6.9993323006490717</v>
          </cell>
          <cell r="X150">
            <v>6.9993323006490717</v>
          </cell>
          <cell r="Y150">
            <v>6.9993323006490717</v>
          </cell>
          <cell r="Z150">
            <v>6.9993323006490717</v>
          </cell>
          <cell r="AA150">
            <v>6.9993323006490717</v>
          </cell>
          <cell r="AB150">
            <v>6.9993323006490717</v>
          </cell>
          <cell r="AC150">
            <v>6.9993323006490717</v>
          </cell>
          <cell r="AD150">
            <v>6.9993323006490717</v>
          </cell>
          <cell r="AE150">
            <v>6.9993323006490717</v>
          </cell>
          <cell r="AF150">
            <v>6.9993323006490717</v>
          </cell>
        </row>
        <row r="151">
          <cell r="A151" t="str">
            <v>Utah</v>
          </cell>
          <cell r="B151">
            <v>9.3564152755243359</v>
          </cell>
          <cell r="C151">
            <v>9.3449444842561658</v>
          </cell>
          <cell r="D151">
            <v>9.238912964414709</v>
          </cell>
          <cell r="E151">
            <v>9.1934360549186849</v>
          </cell>
          <cell r="F151">
            <v>9.1930057009444646</v>
          </cell>
          <cell r="G151">
            <v>9.187675250704995</v>
          </cell>
          <cell r="H151">
            <v>9.1792150753269883</v>
          </cell>
          <cell r="I151">
            <v>9.1770535881599393</v>
          </cell>
          <cell r="J151">
            <v>9.1507258080804394</v>
          </cell>
          <cell r="K151">
            <v>9.1612183795335564</v>
          </cell>
          <cell r="L151">
            <v>9.2144595728506022</v>
          </cell>
          <cell r="M151">
            <v>9.2144595728506022</v>
          </cell>
          <cell r="N151">
            <v>9.203706112381596</v>
          </cell>
          <cell r="O151">
            <v>9.1195518097223882</v>
          </cell>
          <cell r="P151">
            <v>9.0812116206973563</v>
          </cell>
          <cell r="Q151">
            <v>9.0711028452074185</v>
          </cell>
          <cell r="R151">
            <v>9.0360960065390437</v>
          </cell>
          <cell r="S151">
            <v>9.0188070921857637</v>
          </cell>
          <cell r="T151">
            <v>9.0188070921857637</v>
          </cell>
          <cell r="U151">
            <v>9.0188070921857637</v>
          </cell>
          <cell r="V151">
            <v>9.0188070921857637</v>
          </cell>
          <cell r="W151">
            <v>9.0188070921857637</v>
          </cell>
          <cell r="X151">
            <v>9.0188070921857637</v>
          </cell>
          <cell r="Y151">
            <v>9.0188070921857637</v>
          </cell>
          <cell r="Z151">
            <v>9.0188070921857637</v>
          </cell>
          <cell r="AA151">
            <v>9.0188070921857637</v>
          </cell>
          <cell r="AB151">
            <v>9.0188070921857637</v>
          </cell>
          <cell r="AC151">
            <v>9.0188070921857637</v>
          </cell>
          <cell r="AD151">
            <v>9.0188070921857637</v>
          </cell>
          <cell r="AE151">
            <v>9.0188070921857637</v>
          </cell>
          <cell r="AF151">
            <v>9.0188070921857637</v>
          </cell>
        </row>
        <row r="152">
          <cell r="A152" t="str">
            <v>Vermont</v>
          </cell>
          <cell r="B152">
            <v>7.1622944318681458</v>
          </cell>
          <cell r="C152">
            <v>7.1535135919834429</v>
          </cell>
          <cell r="D152">
            <v>7.0723469334075277</v>
          </cell>
          <cell r="E152">
            <v>7.0375345607124009</v>
          </cell>
          <cell r="F152">
            <v>7.0372051266521831</v>
          </cell>
          <cell r="G152">
            <v>7.0331246906149545</v>
          </cell>
          <cell r="H152">
            <v>7.0266484638530882</v>
          </cell>
          <cell r="I152">
            <v>7.0249938550050111</v>
          </cell>
          <cell r="J152">
            <v>7.0048400560217443</v>
          </cell>
          <cell r="K152">
            <v>7.012872072972856</v>
          </cell>
          <cell r="L152">
            <v>7.0536279705267217</v>
          </cell>
          <cell r="M152">
            <v>7.05362797052672</v>
          </cell>
          <cell r="N152">
            <v>7.0453962441900417</v>
          </cell>
          <cell r="O152">
            <v>6.9809764984215459</v>
          </cell>
          <cell r="P152">
            <v>6.9516272536216572</v>
          </cell>
          <cell r="Q152">
            <v>6.9438890307796264</v>
          </cell>
          <cell r="R152">
            <v>6.9170914509065149</v>
          </cell>
          <cell r="S152">
            <v>6.9038568635823063</v>
          </cell>
          <cell r="T152">
            <v>6.9038568635823063</v>
          </cell>
          <cell r="U152">
            <v>6.9038568635823063</v>
          </cell>
          <cell r="V152">
            <v>6.9038568635823063</v>
          </cell>
          <cell r="W152">
            <v>6.9038568635823063</v>
          </cell>
          <cell r="X152">
            <v>6.9038568635823063</v>
          </cell>
          <cell r="Y152">
            <v>6.9038568635823063</v>
          </cell>
          <cell r="Z152">
            <v>6.9038568635823063</v>
          </cell>
          <cell r="AA152">
            <v>6.9038568635823063</v>
          </cell>
          <cell r="AB152">
            <v>6.9038568635823063</v>
          </cell>
          <cell r="AC152">
            <v>6.9038568635823063</v>
          </cell>
          <cell r="AD152">
            <v>6.9038568635823063</v>
          </cell>
          <cell r="AE152">
            <v>6.9038568635823063</v>
          </cell>
          <cell r="AF152">
            <v>6.9038568635823063</v>
          </cell>
        </row>
        <row r="153">
          <cell r="A153" t="str">
            <v>Virginia</v>
          </cell>
          <cell r="B153">
            <v>7.283329047167979</v>
          </cell>
          <cell r="C153">
            <v>7.2743998210939695</v>
          </cell>
          <cell r="D153">
            <v>7.1918615384680615</v>
          </cell>
          <cell r="E153">
            <v>7.1564608763390121</v>
          </cell>
          <cell r="F153">
            <v>7.1561258752185362</v>
          </cell>
          <cell r="G153">
            <v>7.1519764844614615</v>
          </cell>
          <cell r="H153">
            <v>7.1453908168462164</v>
          </cell>
          <cell r="I153">
            <v>7.1437082469938469</v>
          </cell>
          <cell r="J153">
            <v>7.1232138717706688</v>
          </cell>
          <cell r="K153">
            <v>7.1313816206567084</v>
          </cell>
          <cell r="L153">
            <v>7.1728262464426447</v>
          </cell>
          <cell r="M153">
            <v>7.1728262464426429</v>
          </cell>
          <cell r="N153">
            <v>7.1644554133099634</v>
          </cell>
          <cell r="O153">
            <v>7.0989470472367611</v>
          </cell>
          <cell r="P153">
            <v>7.0691018336397926</v>
          </cell>
          <cell r="Q153">
            <v>7.0612328436485337</v>
          </cell>
          <cell r="R153">
            <v>7.0339824152082873</v>
          </cell>
          <cell r="S153">
            <v>7.020524178437566</v>
          </cell>
          <cell r="T153">
            <v>7.020524178437566</v>
          </cell>
          <cell r="U153">
            <v>7.020524178437566</v>
          </cell>
          <cell r="V153">
            <v>7.020524178437566</v>
          </cell>
          <cell r="W153">
            <v>7.020524178437566</v>
          </cell>
          <cell r="X153">
            <v>7.020524178437566</v>
          </cell>
          <cell r="Y153">
            <v>7.020524178437566</v>
          </cell>
          <cell r="Z153">
            <v>7.020524178437566</v>
          </cell>
          <cell r="AA153">
            <v>7.020524178437566</v>
          </cell>
          <cell r="AB153">
            <v>7.020524178437566</v>
          </cell>
          <cell r="AC153">
            <v>7.020524178437566</v>
          </cell>
          <cell r="AD153">
            <v>7.020524178437566</v>
          </cell>
          <cell r="AE153">
            <v>7.020524178437566</v>
          </cell>
          <cell r="AF153">
            <v>7.020524178437566</v>
          </cell>
        </row>
        <row r="154">
          <cell r="A154" t="str">
            <v>Washington</v>
          </cell>
          <cell r="B154">
            <v>9.3564152755243359</v>
          </cell>
          <cell r="C154">
            <v>9.3449444842561622</v>
          </cell>
          <cell r="D154">
            <v>9.238912964414709</v>
          </cell>
          <cell r="E154">
            <v>9.1934360549186849</v>
          </cell>
          <cell r="F154">
            <v>9.193005700944461</v>
          </cell>
          <cell r="G154">
            <v>9.187675250704995</v>
          </cell>
          <cell r="H154">
            <v>9.1792150753269937</v>
          </cell>
          <cell r="I154">
            <v>9.1770535881599375</v>
          </cell>
          <cell r="J154">
            <v>9.1507258080804377</v>
          </cell>
          <cell r="K154">
            <v>9.1612183795335582</v>
          </cell>
          <cell r="L154">
            <v>9.2144595728506022</v>
          </cell>
          <cell r="M154">
            <v>9.2144595728506022</v>
          </cell>
          <cell r="N154">
            <v>9.2037061123815942</v>
          </cell>
          <cell r="O154">
            <v>9.11955180972239</v>
          </cell>
          <cell r="P154">
            <v>9.0812116206973563</v>
          </cell>
          <cell r="Q154">
            <v>9.0711028452074203</v>
          </cell>
          <cell r="R154">
            <v>9.0360960065390401</v>
          </cell>
          <cell r="S154">
            <v>9.0188070921857655</v>
          </cell>
          <cell r="T154">
            <v>9.0188070921857655</v>
          </cell>
          <cell r="U154">
            <v>9.0188070921857655</v>
          </cell>
          <cell r="V154">
            <v>9.0188070921857655</v>
          </cell>
          <cell r="W154">
            <v>9.0188070921857655</v>
          </cell>
          <cell r="X154">
            <v>9.0188070921857655</v>
          </cell>
          <cell r="Y154">
            <v>9.0188070921857655</v>
          </cell>
          <cell r="Z154">
            <v>9.0188070921857655</v>
          </cell>
          <cell r="AA154">
            <v>9.0188070921857655</v>
          </cell>
          <cell r="AB154">
            <v>9.0188070921857655</v>
          </cell>
          <cell r="AC154">
            <v>9.0188070921857655</v>
          </cell>
          <cell r="AD154">
            <v>9.0188070921857655</v>
          </cell>
          <cell r="AE154">
            <v>9.0188070921857655</v>
          </cell>
          <cell r="AF154">
            <v>9.0188070921857655</v>
          </cell>
        </row>
        <row r="155">
          <cell r="A155" t="str">
            <v>West Virginia</v>
          </cell>
          <cell r="B155">
            <v>7.1622944318681432</v>
          </cell>
          <cell r="C155">
            <v>7.1535135919834429</v>
          </cell>
          <cell r="D155">
            <v>7.0723469334075286</v>
          </cell>
          <cell r="E155">
            <v>7.0375345607124018</v>
          </cell>
          <cell r="F155">
            <v>7.037205126652184</v>
          </cell>
          <cell r="G155">
            <v>7.0331246906149545</v>
          </cell>
          <cell r="H155">
            <v>7.0266484638530899</v>
          </cell>
          <cell r="I155">
            <v>7.0249938550050111</v>
          </cell>
          <cell r="J155">
            <v>7.0048400560217416</v>
          </cell>
          <cell r="K155">
            <v>7.012872072972856</v>
          </cell>
          <cell r="L155">
            <v>7.0536279705267217</v>
          </cell>
          <cell r="M155">
            <v>7.05362797052672</v>
          </cell>
          <cell r="N155">
            <v>7.04539624419004</v>
          </cell>
          <cell r="O155">
            <v>6.9809764984215459</v>
          </cell>
          <cell r="P155">
            <v>6.9516272536216572</v>
          </cell>
          <cell r="Q155">
            <v>6.9438890307796273</v>
          </cell>
          <cell r="R155">
            <v>6.9170914509065158</v>
          </cell>
          <cell r="S155">
            <v>6.9038568635823063</v>
          </cell>
          <cell r="T155">
            <v>6.9038568635823063</v>
          </cell>
          <cell r="U155">
            <v>6.9038568635823063</v>
          </cell>
          <cell r="V155">
            <v>6.9038568635823063</v>
          </cell>
          <cell r="W155">
            <v>6.9038568635823063</v>
          </cell>
          <cell r="X155">
            <v>6.9038568635823063</v>
          </cell>
          <cell r="Y155">
            <v>6.9038568635823063</v>
          </cell>
          <cell r="Z155">
            <v>6.9038568635823063</v>
          </cell>
          <cell r="AA155">
            <v>6.9038568635823063</v>
          </cell>
          <cell r="AB155">
            <v>6.9038568635823063</v>
          </cell>
          <cell r="AC155">
            <v>6.9038568635823063</v>
          </cell>
          <cell r="AD155">
            <v>6.9038568635823063</v>
          </cell>
          <cell r="AE155">
            <v>6.9038568635823063</v>
          </cell>
          <cell r="AF155">
            <v>6.9038568635823063</v>
          </cell>
        </row>
        <row r="156">
          <cell r="A156" t="str">
            <v>Wisconsin</v>
          </cell>
          <cell r="B156">
            <v>7.1646519068741465</v>
          </cell>
          <cell r="C156">
            <v>7.1558681767688981</v>
          </cell>
          <cell r="D156">
            <v>7.0746748021216606</v>
          </cell>
          <cell r="E156">
            <v>7.0398509709058921</v>
          </cell>
          <cell r="F156">
            <v>7.0395214284121925</v>
          </cell>
          <cell r="G156">
            <v>7.0354396492961406</v>
          </cell>
          <cell r="H156">
            <v>7.0289612908789953</v>
          </cell>
          <cell r="I156">
            <v>7.0273061374150769</v>
          </cell>
          <cell r="J156">
            <v>7.0071457047925758</v>
          </cell>
          <cell r="K156">
            <v>7.0151803654885638</v>
          </cell>
          <cell r="L156">
            <v>7.0559496778790756</v>
          </cell>
          <cell r="M156">
            <v>7.0559496778790747</v>
          </cell>
          <cell r="N156">
            <v>7.047715242063016</v>
          </cell>
          <cell r="O156">
            <v>6.9832742924830846</v>
          </cell>
          <cell r="P156">
            <v>6.9539153873555319</v>
          </cell>
          <cell r="Q156">
            <v>6.9461746174711898</v>
          </cell>
          <cell r="R156">
            <v>6.9193682171529929</v>
          </cell>
          <cell r="S156">
            <v>6.9061292736536615</v>
          </cell>
          <cell r="T156">
            <v>6.9061292736536615</v>
          </cell>
          <cell r="U156">
            <v>6.9061292736536615</v>
          </cell>
          <cell r="V156">
            <v>6.9061292736536615</v>
          </cell>
          <cell r="W156">
            <v>6.9061292736536615</v>
          </cell>
          <cell r="X156">
            <v>6.9061292736536615</v>
          </cell>
          <cell r="Y156">
            <v>6.9061292736536615</v>
          </cell>
          <cell r="Z156">
            <v>6.9061292736536615</v>
          </cell>
          <cell r="AA156">
            <v>6.9061292736536615</v>
          </cell>
          <cell r="AB156">
            <v>6.9061292736536615</v>
          </cell>
          <cell r="AC156">
            <v>6.9061292736536615</v>
          </cell>
          <cell r="AD156">
            <v>6.9061292736536615</v>
          </cell>
          <cell r="AE156">
            <v>6.9061292736536615</v>
          </cell>
          <cell r="AF156">
            <v>6.9061292736536615</v>
          </cell>
        </row>
        <row r="157">
          <cell r="A157" t="str">
            <v>Wyoming</v>
          </cell>
          <cell r="B157">
            <v>6.7047610404946187</v>
          </cell>
          <cell r="C157">
            <v>6.6965411280459168</v>
          </cell>
          <cell r="D157">
            <v>6.6205594638761909</v>
          </cell>
          <cell r="E157">
            <v>6.5879709348239679</v>
          </cell>
          <cell r="F157">
            <v>6.5876625452885547</v>
          </cell>
          <cell r="G157">
            <v>6.5838427709367862</v>
          </cell>
          <cell r="H157">
            <v>6.5777802509865895</v>
          </cell>
          <cell r="I157">
            <v>6.5762313399431607</v>
          </cell>
          <cell r="J157">
            <v>6.5573649825871012</v>
          </cell>
          <cell r="K157">
            <v>6.5648839075409189</v>
          </cell>
          <cell r="L157">
            <v>6.6030362840857482</v>
          </cell>
          <cell r="M157">
            <v>6.6030362840857473</v>
          </cell>
          <cell r="N157">
            <v>6.5953304073498469</v>
          </cell>
          <cell r="O157">
            <v>6.5350258491142377</v>
          </cell>
          <cell r="P157">
            <v>6.5075514587531433</v>
          </cell>
          <cell r="Q157">
            <v>6.5003075600936482</v>
          </cell>
          <cell r="R157">
            <v>6.4752218321580122</v>
          </cell>
          <cell r="S157">
            <v>6.4628326814015766</v>
          </cell>
          <cell r="T157">
            <v>6.4628326814015766</v>
          </cell>
          <cell r="U157">
            <v>6.4628326814015766</v>
          </cell>
          <cell r="V157">
            <v>6.4628326814015766</v>
          </cell>
          <cell r="W157">
            <v>6.4628326814015766</v>
          </cell>
          <cell r="X157">
            <v>6.4628326814015766</v>
          </cell>
          <cell r="Y157">
            <v>6.4628326814015766</v>
          </cell>
          <cell r="Z157">
            <v>6.4628326814015766</v>
          </cell>
          <cell r="AA157">
            <v>6.4628326814015766</v>
          </cell>
          <cell r="AB157">
            <v>6.4628326814015766</v>
          </cell>
          <cell r="AC157">
            <v>6.4628326814015766</v>
          </cell>
          <cell r="AD157">
            <v>6.4628326814015766</v>
          </cell>
          <cell r="AE157">
            <v>6.4628326814015766</v>
          </cell>
          <cell r="AF157">
            <v>6.4628326814015766</v>
          </cell>
        </row>
        <row r="159">
          <cell r="A159" t="str">
            <v>Beef Replacements</v>
          </cell>
          <cell r="B159">
            <v>1990</v>
          </cell>
          <cell r="C159">
            <v>1991</v>
          </cell>
          <cell r="D159">
            <v>1992</v>
          </cell>
          <cell r="E159">
            <v>1993</v>
          </cell>
          <cell r="F159">
            <v>1994</v>
          </cell>
          <cell r="G159">
            <v>1995</v>
          </cell>
          <cell r="H159">
            <v>1996</v>
          </cell>
          <cell r="I159">
            <v>1997</v>
          </cell>
          <cell r="J159">
            <v>1998</v>
          </cell>
          <cell r="K159">
            <v>1999</v>
          </cell>
          <cell r="L159">
            <v>2000</v>
          </cell>
          <cell r="M159">
            <v>2001</v>
          </cell>
          <cell r="N159">
            <v>2002</v>
          </cell>
          <cell r="O159">
            <v>2003</v>
          </cell>
          <cell r="P159">
            <v>2004</v>
          </cell>
          <cell r="Q159">
            <v>2005</v>
          </cell>
          <cell r="R159">
            <v>2006</v>
          </cell>
          <cell r="S159">
            <v>2007</v>
          </cell>
          <cell r="T159">
            <v>2008</v>
          </cell>
          <cell r="U159">
            <v>2009</v>
          </cell>
          <cell r="V159">
            <v>2010</v>
          </cell>
          <cell r="W159">
            <v>2011</v>
          </cell>
          <cell r="X159">
            <v>2012</v>
          </cell>
          <cell r="Y159">
            <v>2013</v>
          </cell>
          <cell r="Z159">
            <v>2014</v>
          </cell>
          <cell r="AA159">
            <v>2015</v>
          </cell>
          <cell r="AB159">
            <v>2016</v>
          </cell>
          <cell r="AC159">
            <v>2017</v>
          </cell>
          <cell r="AD159">
            <v>2018</v>
          </cell>
          <cell r="AE159">
            <v>2019</v>
          </cell>
          <cell r="AF159">
            <v>2020</v>
          </cell>
        </row>
        <row r="160">
          <cell r="A160" t="str">
            <v>Alabama</v>
          </cell>
          <cell r="B160">
            <v>7.5299841462951891</v>
          </cell>
          <cell r="C160">
            <v>7.5360539434353173</v>
          </cell>
          <cell r="D160">
            <v>7.5815853719660558</v>
          </cell>
          <cell r="E160">
            <v>7.5938723159462418</v>
          </cell>
          <cell r="F160">
            <v>7.5824290256080307</v>
          </cell>
          <cell r="G160">
            <v>7.570483711317185</v>
          </cell>
          <cell r="H160">
            <v>7.5703799072827014</v>
          </cell>
          <cell r="I160">
            <v>7.5683366129418586</v>
          </cell>
          <cell r="J160">
            <v>7.5776209747395615</v>
          </cell>
          <cell r="K160">
            <v>7.5851149499540407</v>
          </cell>
          <cell r="L160">
            <v>7.5739527928480301</v>
          </cell>
          <cell r="M160">
            <v>7.5688584686347058</v>
          </cell>
          <cell r="N160">
            <v>7.575205061170232</v>
          </cell>
          <cell r="O160">
            <v>7.594230434059531</v>
          </cell>
          <cell r="P160">
            <v>7.6183178422682669</v>
          </cell>
          <cell r="Q160">
            <v>7.6234471333035412</v>
          </cell>
          <cell r="R160">
            <v>7.6236162856934389</v>
          </cell>
          <cell r="S160">
            <v>7.6194858321960579</v>
          </cell>
          <cell r="T160">
            <v>7.6194858321960579</v>
          </cell>
          <cell r="U160">
            <v>7.6194858321960579</v>
          </cell>
          <cell r="V160">
            <v>7.6194858321960579</v>
          </cell>
          <cell r="W160">
            <v>7.6194858321960579</v>
          </cell>
          <cell r="X160">
            <v>7.6194858321960579</v>
          </cell>
          <cell r="Y160">
            <v>7.6194858321960579</v>
          </cell>
          <cell r="Z160">
            <v>7.6194858321960579</v>
          </cell>
          <cell r="AA160">
            <v>7.6194858321960579</v>
          </cell>
          <cell r="AB160">
            <v>7.6194858321960579</v>
          </cell>
          <cell r="AC160">
            <v>7.6194858321960579</v>
          </cell>
          <cell r="AD160">
            <v>7.6194858321960579</v>
          </cell>
          <cell r="AE160">
            <v>7.6194858321960579</v>
          </cell>
          <cell r="AF160">
            <v>7.6194858321960579</v>
          </cell>
        </row>
        <row r="161">
          <cell r="A161" t="str">
            <v>Alaska</v>
          </cell>
          <cell r="B161">
            <v>9.8552666309514994</v>
          </cell>
          <cell r="C161">
            <v>9.8639538107232259</v>
          </cell>
          <cell r="D161">
            <v>9.9299079540191038</v>
          </cell>
          <cell r="E161">
            <v>9.9479214388172963</v>
          </cell>
          <cell r="F161">
            <v>9.932681724287356</v>
          </cell>
          <cell r="G161">
            <v>9.9165717118130825</v>
          </cell>
          <cell r="H161">
            <v>9.9170794664214359</v>
          </cell>
          <cell r="I161">
            <v>9.9140397652756178</v>
          </cell>
          <cell r="J161">
            <v>9.9276652912905803</v>
          </cell>
          <cell r="K161">
            <v>9.9375056089779186</v>
          </cell>
          <cell r="L161">
            <v>9.9203469923355527</v>
          </cell>
          <cell r="M161">
            <v>9.9133967220876098</v>
          </cell>
          <cell r="N161">
            <v>9.9224466629045249</v>
          </cell>
          <cell r="O161">
            <v>9.9514597216848557</v>
          </cell>
          <cell r="P161">
            <v>9.985733566092458</v>
          </cell>
          <cell r="Q161">
            <v>9.9931017835351419</v>
          </cell>
          <cell r="R161">
            <v>9.9946122405148117</v>
          </cell>
          <cell r="S161">
            <v>9.9896111396649125</v>
          </cell>
          <cell r="T161">
            <v>9.9896111396649125</v>
          </cell>
          <cell r="U161">
            <v>9.9896111396649125</v>
          </cell>
          <cell r="V161">
            <v>9.9896111396649125</v>
          </cell>
          <cell r="W161">
            <v>9.9896111396649125</v>
          </cell>
          <cell r="X161">
            <v>9.9896111396649125</v>
          </cell>
          <cell r="Y161">
            <v>9.9896111396649125</v>
          </cell>
          <cell r="Z161">
            <v>9.9896111396649125</v>
          </cell>
          <cell r="AA161">
            <v>9.9896111396649125</v>
          </cell>
          <cell r="AB161">
            <v>9.9896111396649125</v>
          </cell>
          <cell r="AC161">
            <v>9.9896111396649125</v>
          </cell>
          <cell r="AD161">
            <v>9.9896111396649125</v>
          </cell>
          <cell r="AE161">
            <v>9.9896111396649125</v>
          </cell>
          <cell r="AF161">
            <v>9.9896111396649125</v>
          </cell>
        </row>
        <row r="162">
          <cell r="A162" t="str">
            <v>Arizona</v>
          </cell>
          <cell r="B162">
            <v>9.8552666309515011</v>
          </cell>
          <cell r="C162">
            <v>9.8639538107232241</v>
          </cell>
          <cell r="D162">
            <v>9.9299079540191038</v>
          </cell>
          <cell r="E162">
            <v>9.9479214388172963</v>
          </cell>
          <cell r="F162">
            <v>9.9326817242873524</v>
          </cell>
          <cell r="G162">
            <v>9.9165717118130807</v>
          </cell>
          <cell r="H162">
            <v>9.9170794664214341</v>
          </cell>
          <cell r="I162">
            <v>9.9140397652756178</v>
          </cell>
          <cell r="J162">
            <v>9.9276652912905803</v>
          </cell>
          <cell r="K162">
            <v>9.9375056089779221</v>
          </cell>
          <cell r="L162">
            <v>9.9203469923355527</v>
          </cell>
          <cell r="M162">
            <v>9.9133967220876098</v>
          </cell>
          <cell r="N162">
            <v>9.9224466629045249</v>
          </cell>
          <cell r="O162">
            <v>9.9514597216848593</v>
          </cell>
          <cell r="P162">
            <v>9.985733566092458</v>
          </cell>
          <cell r="Q162">
            <v>9.9931017835351401</v>
          </cell>
          <cell r="R162">
            <v>9.9946122405148135</v>
          </cell>
          <cell r="S162">
            <v>9.9896111396649125</v>
          </cell>
          <cell r="T162">
            <v>9.9896111396649125</v>
          </cell>
          <cell r="U162">
            <v>9.9896111396649125</v>
          </cell>
          <cell r="V162">
            <v>9.9896111396649125</v>
          </cell>
          <cell r="W162">
            <v>9.9896111396649125</v>
          </cell>
          <cell r="X162">
            <v>9.9896111396649125</v>
          </cell>
          <cell r="Y162">
            <v>9.9896111396649125</v>
          </cell>
          <cell r="Z162">
            <v>9.9896111396649125</v>
          </cell>
          <cell r="AA162">
            <v>9.9896111396649125</v>
          </cell>
          <cell r="AB162">
            <v>9.9896111396649125</v>
          </cell>
          <cell r="AC162">
            <v>9.9896111396649125</v>
          </cell>
          <cell r="AD162">
            <v>9.9896111396649125</v>
          </cell>
          <cell r="AE162">
            <v>9.9896111396649125</v>
          </cell>
          <cell r="AF162">
            <v>9.9896111396649125</v>
          </cell>
        </row>
        <row r="163">
          <cell r="A163" t="str">
            <v>Arkansas</v>
          </cell>
          <cell r="B163">
            <v>7.505760285266887</v>
          </cell>
          <cell r="C163">
            <v>7.5118049691984785</v>
          </cell>
          <cell r="D163">
            <v>7.5571420838487873</v>
          </cell>
          <cell r="E163">
            <v>7.5693749718264574</v>
          </cell>
          <cell r="F163">
            <v>7.5579704696695664</v>
          </cell>
          <cell r="G163">
            <v>7.5460671619877324</v>
          </cell>
          <cell r="H163">
            <v>7.5459588525110535</v>
          </cell>
          <cell r="I163">
            <v>7.5439248791253739</v>
          </cell>
          <cell r="J163">
            <v>7.5531682892015892</v>
          </cell>
          <cell r="K163">
            <v>7.5606379144340865</v>
          </cell>
          <cell r="L163">
            <v>7.5495308361021385</v>
          </cell>
          <cell r="M163">
            <v>7.5444550266793522</v>
          </cell>
          <cell r="N163">
            <v>7.5507756118720071</v>
          </cell>
          <cell r="O163">
            <v>7.5697088575047369</v>
          </cell>
          <cell r="P163">
            <v>7.5936981131439731</v>
          </cell>
          <cell r="Q163">
            <v>7.5988059784332114</v>
          </cell>
          <cell r="R163">
            <v>7.5989648940512984</v>
          </cell>
          <cell r="S163">
            <v>7.5948446840757873</v>
          </cell>
          <cell r="T163">
            <v>7.5948446840757873</v>
          </cell>
          <cell r="U163">
            <v>7.5948446840757873</v>
          </cell>
          <cell r="V163">
            <v>7.5948446840757873</v>
          </cell>
          <cell r="W163">
            <v>7.5948446840757873</v>
          </cell>
          <cell r="X163">
            <v>7.5948446840757873</v>
          </cell>
          <cell r="Y163">
            <v>7.5948446840757873</v>
          </cell>
          <cell r="Z163">
            <v>7.5948446840757873</v>
          </cell>
          <cell r="AA163">
            <v>7.5948446840757873</v>
          </cell>
          <cell r="AB163">
            <v>7.5948446840757873</v>
          </cell>
          <cell r="AC163">
            <v>7.5948446840757873</v>
          </cell>
          <cell r="AD163">
            <v>7.5948446840757873</v>
          </cell>
          <cell r="AE163">
            <v>7.5948446840757873</v>
          </cell>
          <cell r="AF163">
            <v>7.5948446840757873</v>
          </cell>
        </row>
        <row r="164">
          <cell r="A164" t="str">
            <v>California</v>
          </cell>
          <cell r="B164">
            <v>7.3316743000621099</v>
          </cell>
          <cell r="C164">
            <v>7.3375397609931854</v>
          </cell>
          <cell r="D164">
            <v>7.3814911701544599</v>
          </cell>
          <cell r="E164">
            <v>7.3933388440080838</v>
          </cell>
          <cell r="F164">
            <v>7.3822126515681834</v>
          </cell>
          <cell r="G164">
            <v>7.3706104229974159</v>
          </cell>
          <cell r="H164">
            <v>7.3704708214623844</v>
          </cell>
          <cell r="I164">
            <v>7.3685032166773414</v>
          </cell>
          <cell r="J164">
            <v>7.3774548137316991</v>
          </cell>
          <cell r="K164">
            <v>7.38474950092907</v>
          </cell>
          <cell r="L164">
            <v>7.3740339448887227</v>
          </cell>
          <cell r="M164">
            <v>7.3690907155131473</v>
          </cell>
          <cell r="N164">
            <v>7.3752256527921611</v>
          </cell>
          <cell r="O164">
            <v>7.393503764038746</v>
          </cell>
          <cell r="P164">
            <v>7.416792280709422</v>
          </cell>
          <cell r="Q164">
            <v>7.4217472745304249</v>
          </cell>
          <cell r="R164">
            <v>7.421834799241176</v>
          </cell>
          <cell r="S164">
            <v>7.4177888882995626</v>
          </cell>
          <cell r="T164">
            <v>7.4177888882995626</v>
          </cell>
          <cell r="U164">
            <v>7.4177888882995626</v>
          </cell>
          <cell r="V164">
            <v>7.4177888882995626</v>
          </cell>
          <cell r="W164">
            <v>7.4177888882995626</v>
          </cell>
          <cell r="X164">
            <v>7.4177888882995626</v>
          </cell>
          <cell r="Y164">
            <v>7.4177888882995626</v>
          </cell>
          <cell r="Z164">
            <v>7.4177888882995626</v>
          </cell>
          <cell r="AA164">
            <v>7.4177888882995626</v>
          </cell>
          <cell r="AB164">
            <v>7.4177888882995626</v>
          </cell>
          <cell r="AC164">
            <v>7.4177888882995626</v>
          </cell>
          <cell r="AD164">
            <v>7.4177888882995626</v>
          </cell>
          <cell r="AE164">
            <v>7.4177888882995626</v>
          </cell>
          <cell r="AF164">
            <v>7.4177888882995626</v>
          </cell>
        </row>
        <row r="165">
          <cell r="A165" t="str">
            <v>Colorado</v>
          </cell>
          <cell r="B165">
            <v>6.8952192950818878</v>
          </cell>
          <cell r="C165">
            <v>6.9006450064278573</v>
          </cell>
          <cell r="D165">
            <v>6.9412043546711395</v>
          </cell>
          <cell r="E165">
            <v>6.952111175130824</v>
          </cell>
          <cell r="F165">
            <v>6.9416793506903032</v>
          </cell>
          <cell r="G165">
            <v>6.9308258249838293</v>
          </cell>
          <cell r="H165">
            <v>6.9306160727742236</v>
          </cell>
          <cell r="I165">
            <v>6.9288101483226923</v>
          </cell>
          <cell r="J165">
            <v>6.9370491498331734</v>
          </cell>
          <cell r="K165">
            <v>6.9439056609367471</v>
          </cell>
          <cell r="L165">
            <v>6.9341388112721685</v>
          </cell>
          <cell r="M165">
            <v>6.9295243283541508</v>
          </cell>
          <cell r="N165">
            <v>6.935203414325195</v>
          </cell>
          <cell r="O165">
            <v>6.9518920738380796</v>
          </cell>
          <cell r="P165">
            <v>6.9734592019502362</v>
          </cell>
          <cell r="Q165">
            <v>6.9780393772339542</v>
          </cell>
          <cell r="R165">
            <v>6.9779645446544185</v>
          </cell>
          <cell r="S165">
            <v>6.9741101329449435</v>
          </cell>
          <cell r="T165">
            <v>6.9741101329449435</v>
          </cell>
          <cell r="U165">
            <v>6.9741101329449435</v>
          </cell>
          <cell r="V165">
            <v>6.9741101329449435</v>
          </cell>
          <cell r="W165">
            <v>6.9741101329449435</v>
          </cell>
          <cell r="X165">
            <v>6.9741101329449435</v>
          </cell>
          <cell r="Y165">
            <v>6.9741101329449435</v>
          </cell>
          <cell r="Z165">
            <v>6.9741101329449435</v>
          </cell>
          <cell r="AA165">
            <v>6.9741101329449435</v>
          </cell>
          <cell r="AB165">
            <v>6.9741101329449435</v>
          </cell>
          <cell r="AC165">
            <v>6.9741101329449435</v>
          </cell>
          <cell r="AD165">
            <v>6.9741101329449435</v>
          </cell>
          <cell r="AE165">
            <v>6.9741101329449435</v>
          </cell>
          <cell r="AF165">
            <v>6.9741101329449435</v>
          </cell>
        </row>
        <row r="166">
          <cell r="A166" t="str">
            <v>Connecticut</v>
          </cell>
          <cell r="B166">
            <v>7.3967357295736651</v>
          </cell>
          <cell r="C166">
            <v>7.402667914401353</v>
          </cell>
          <cell r="D166">
            <v>7.4471350013371902</v>
          </cell>
          <cell r="E166">
            <v>7.459125972476329</v>
          </cell>
          <cell r="F166">
            <v>7.4478958579136174</v>
          </cell>
          <cell r="G166">
            <v>7.4361812714528526</v>
          </cell>
          <cell r="H166">
            <v>7.4360531417839386</v>
          </cell>
          <cell r="I166">
            <v>7.4340608595518782</v>
          </cell>
          <cell r="J166">
            <v>7.443121005672392</v>
          </cell>
          <cell r="K166">
            <v>7.4504810615893815</v>
          </cell>
          <cell r="L166">
            <v>7.4396200645354513</v>
          </cell>
          <cell r="M166">
            <v>7.4346273837800823</v>
          </cell>
          <cell r="N166">
            <v>7.4408314459787386</v>
          </cell>
          <cell r="O166">
            <v>7.4593529769251514</v>
          </cell>
          <cell r="P166">
            <v>7.4829024298385685</v>
          </cell>
          <cell r="Q166">
            <v>7.4879143296506232</v>
          </cell>
          <cell r="R166">
            <v>7.4880280888310509</v>
          </cell>
          <cell r="S166">
            <v>7.4839542697442738</v>
          </cell>
          <cell r="T166">
            <v>7.4839542697442738</v>
          </cell>
          <cell r="U166">
            <v>7.4839542697442738</v>
          </cell>
          <cell r="V166">
            <v>7.4839542697442738</v>
          </cell>
          <cell r="W166">
            <v>7.4839542697442738</v>
          </cell>
          <cell r="X166">
            <v>7.4839542697442738</v>
          </cell>
          <cell r="Y166">
            <v>7.4839542697442738</v>
          </cell>
          <cell r="Z166">
            <v>7.4839542697442738</v>
          </cell>
          <cell r="AA166">
            <v>7.4839542697442738</v>
          </cell>
          <cell r="AB166">
            <v>7.4839542697442738</v>
          </cell>
          <cell r="AC166">
            <v>7.4839542697442738</v>
          </cell>
          <cell r="AD166">
            <v>7.4839542697442738</v>
          </cell>
          <cell r="AE166">
            <v>7.4839542697442738</v>
          </cell>
          <cell r="AF166">
            <v>7.4839542697442738</v>
          </cell>
        </row>
        <row r="167">
          <cell r="A167" t="str">
            <v>Delaware</v>
          </cell>
          <cell r="B167">
            <v>7.3967357295736651</v>
          </cell>
          <cell r="C167">
            <v>7.402667914401353</v>
          </cell>
          <cell r="D167">
            <v>7.4471350013371902</v>
          </cell>
          <cell r="E167">
            <v>7.459125972476329</v>
          </cell>
          <cell r="F167">
            <v>7.4478958579136174</v>
          </cell>
          <cell r="G167">
            <v>7.4361812714528508</v>
          </cell>
          <cell r="H167">
            <v>7.4360531417839386</v>
          </cell>
          <cell r="I167">
            <v>7.4340608595518782</v>
          </cell>
          <cell r="J167">
            <v>7.443121005672392</v>
          </cell>
          <cell r="K167">
            <v>7.4504810615893815</v>
          </cell>
          <cell r="L167">
            <v>7.4396200645354496</v>
          </cell>
          <cell r="M167">
            <v>7.4346273837800823</v>
          </cell>
          <cell r="N167">
            <v>7.4408314459787386</v>
          </cell>
          <cell r="O167">
            <v>7.4593529769251514</v>
          </cell>
          <cell r="P167">
            <v>7.4829024298385685</v>
          </cell>
          <cell r="Q167">
            <v>7.4879143296506205</v>
          </cell>
          <cell r="R167">
            <v>7.48802808883105</v>
          </cell>
          <cell r="S167">
            <v>7.4839542697442738</v>
          </cell>
          <cell r="T167">
            <v>7.4839542697442738</v>
          </cell>
          <cell r="U167">
            <v>7.4839542697442738</v>
          </cell>
          <cell r="V167">
            <v>7.4839542697442738</v>
          </cell>
          <cell r="W167">
            <v>7.4839542697442738</v>
          </cell>
          <cell r="X167">
            <v>7.4839542697442738</v>
          </cell>
          <cell r="Y167">
            <v>7.4839542697442738</v>
          </cell>
          <cell r="Z167">
            <v>7.4839542697442738</v>
          </cell>
          <cell r="AA167">
            <v>7.4839542697442738</v>
          </cell>
          <cell r="AB167">
            <v>7.4839542697442738</v>
          </cell>
          <cell r="AC167">
            <v>7.4839542697442738</v>
          </cell>
          <cell r="AD167">
            <v>7.4839542697442738</v>
          </cell>
          <cell r="AE167">
            <v>7.4839542697442738</v>
          </cell>
          <cell r="AF167">
            <v>7.4839542697442738</v>
          </cell>
        </row>
        <row r="168">
          <cell r="A168" t="str">
            <v>Florida</v>
          </cell>
          <cell r="B168">
            <v>7.5299841462951917</v>
          </cell>
          <cell r="C168">
            <v>7.5360539434353173</v>
          </cell>
          <cell r="D168">
            <v>7.5815853719660549</v>
          </cell>
          <cell r="E168">
            <v>7.5938723159462391</v>
          </cell>
          <cell r="F168">
            <v>7.5824290256080333</v>
          </cell>
          <cell r="G168">
            <v>7.5704837113171877</v>
          </cell>
          <cell r="H168">
            <v>7.5703799072827014</v>
          </cell>
          <cell r="I168">
            <v>7.5683366129418586</v>
          </cell>
          <cell r="J168">
            <v>7.5776209747395624</v>
          </cell>
          <cell r="K168">
            <v>7.5851149499540416</v>
          </cell>
          <cell r="L168">
            <v>7.5739527928480275</v>
          </cell>
          <cell r="M168">
            <v>7.5688584686347058</v>
          </cell>
          <cell r="N168">
            <v>7.5752050611702302</v>
          </cell>
          <cell r="O168">
            <v>7.594230434059531</v>
          </cell>
          <cell r="P168">
            <v>7.6183178422682651</v>
          </cell>
          <cell r="Q168">
            <v>7.6234471333035412</v>
          </cell>
          <cell r="R168">
            <v>7.6236162856934415</v>
          </cell>
          <cell r="S168">
            <v>7.6194858321960561</v>
          </cell>
          <cell r="T168">
            <v>7.6194858321960561</v>
          </cell>
          <cell r="U168">
            <v>7.6194858321960561</v>
          </cell>
          <cell r="V168">
            <v>7.6194858321960561</v>
          </cell>
          <cell r="W168">
            <v>7.6194858321960561</v>
          </cell>
          <cell r="X168">
            <v>7.6194858321960561</v>
          </cell>
          <cell r="Y168">
            <v>7.6194858321960561</v>
          </cell>
          <cell r="Z168">
            <v>7.6194858321960561</v>
          </cell>
          <cell r="AA168">
            <v>7.6194858321960561</v>
          </cell>
          <cell r="AB168">
            <v>7.6194858321960561</v>
          </cell>
          <cell r="AC168">
            <v>7.6194858321960561</v>
          </cell>
          <cell r="AD168">
            <v>7.6194858321960561</v>
          </cell>
          <cell r="AE168">
            <v>7.6194858321960561</v>
          </cell>
          <cell r="AF168">
            <v>7.6194858321960561</v>
          </cell>
        </row>
        <row r="169">
          <cell r="A169" t="str">
            <v>Georgia</v>
          </cell>
          <cell r="B169">
            <v>7.5299841462951891</v>
          </cell>
          <cell r="C169">
            <v>7.5360539434353173</v>
          </cell>
          <cell r="D169">
            <v>7.5815853719660558</v>
          </cell>
          <cell r="E169">
            <v>7.5938723159462391</v>
          </cell>
          <cell r="F169">
            <v>7.5824290256080316</v>
          </cell>
          <cell r="G169">
            <v>7.5704837113171841</v>
          </cell>
          <cell r="H169">
            <v>7.5703799072827023</v>
          </cell>
          <cell r="I169">
            <v>7.5683366129418594</v>
          </cell>
          <cell r="J169">
            <v>7.5776209747395624</v>
          </cell>
          <cell r="K169">
            <v>7.5851149499540416</v>
          </cell>
          <cell r="L169">
            <v>7.5739527928480284</v>
          </cell>
          <cell r="M169">
            <v>7.5688584686347058</v>
          </cell>
          <cell r="N169">
            <v>7.575205061170232</v>
          </cell>
          <cell r="O169">
            <v>7.5942304340595284</v>
          </cell>
          <cell r="P169">
            <v>7.6183178422682669</v>
          </cell>
          <cell r="Q169">
            <v>7.6234471333035412</v>
          </cell>
          <cell r="R169">
            <v>7.6236162856934362</v>
          </cell>
          <cell r="S169">
            <v>7.6194858321960561</v>
          </cell>
          <cell r="T169">
            <v>7.6194858321960561</v>
          </cell>
          <cell r="U169">
            <v>7.6194858321960561</v>
          </cell>
          <cell r="V169">
            <v>7.6194858321960561</v>
          </cell>
          <cell r="W169">
            <v>7.6194858321960561</v>
          </cell>
          <cell r="X169">
            <v>7.6194858321960561</v>
          </cell>
          <cell r="Y169">
            <v>7.6194858321960561</v>
          </cell>
          <cell r="Z169">
            <v>7.6194858321960561</v>
          </cell>
          <cell r="AA169">
            <v>7.6194858321960561</v>
          </cell>
          <cell r="AB169">
            <v>7.6194858321960561</v>
          </cell>
          <cell r="AC169">
            <v>7.6194858321960561</v>
          </cell>
          <cell r="AD169">
            <v>7.6194858321960561</v>
          </cell>
          <cell r="AE169">
            <v>7.6194858321960561</v>
          </cell>
          <cell r="AF169">
            <v>7.6194858321960561</v>
          </cell>
        </row>
        <row r="170">
          <cell r="A170" t="str">
            <v>Hawaii</v>
          </cell>
          <cell r="B170">
            <v>9.8552666309514994</v>
          </cell>
          <cell r="C170">
            <v>9.8639538107232241</v>
          </cell>
          <cell r="D170">
            <v>9.9299079540191038</v>
          </cell>
          <cell r="E170">
            <v>9.9479214388172945</v>
          </cell>
          <cell r="F170">
            <v>9.9326817242873542</v>
          </cell>
          <cell r="G170">
            <v>9.9165717118130825</v>
          </cell>
          <cell r="H170">
            <v>9.9170794664214377</v>
          </cell>
          <cell r="I170">
            <v>9.9140397652756231</v>
          </cell>
          <cell r="J170">
            <v>9.9276652912905803</v>
          </cell>
          <cell r="K170">
            <v>9.9375056089779203</v>
          </cell>
          <cell r="L170">
            <v>9.920346992335551</v>
          </cell>
          <cell r="M170">
            <v>9.9133967220876098</v>
          </cell>
          <cell r="N170">
            <v>9.9224466629045249</v>
          </cell>
          <cell r="O170">
            <v>9.9514597216848575</v>
          </cell>
          <cell r="P170">
            <v>9.985733566092458</v>
          </cell>
          <cell r="Q170">
            <v>9.9931017835351401</v>
          </cell>
          <cell r="R170">
            <v>9.9946122405148135</v>
          </cell>
          <cell r="S170">
            <v>9.9896111396649108</v>
          </cell>
          <cell r="T170">
            <v>9.9896111396649108</v>
          </cell>
          <cell r="U170">
            <v>9.9896111396649108</v>
          </cell>
          <cell r="V170">
            <v>9.9896111396649108</v>
          </cell>
          <cell r="W170">
            <v>9.9896111396649108</v>
          </cell>
          <cell r="X170">
            <v>9.9896111396649108</v>
          </cell>
          <cell r="Y170">
            <v>9.9896111396649108</v>
          </cell>
          <cell r="Z170">
            <v>9.9896111396649108</v>
          </cell>
          <cell r="AA170">
            <v>9.9896111396649108</v>
          </cell>
          <cell r="AB170">
            <v>9.9896111396649108</v>
          </cell>
          <cell r="AC170">
            <v>9.9896111396649108</v>
          </cell>
          <cell r="AD170">
            <v>9.9896111396649108</v>
          </cell>
          <cell r="AE170">
            <v>9.9896111396649108</v>
          </cell>
          <cell r="AF170">
            <v>9.9896111396649108</v>
          </cell>
        </row>
        <row r="171">
          <cell r="A171" t="str">
            <v>Idaho</v>
          </cell>
          <cell r="B171">
            <v>9.8552666309514994</v>
          </cell>
          <cell r="C171">
            <v>9.8639538107232259</v>
          </cell>
          <cell r="D171">
            <v>9.9299079540191055</v>
          </cell>
          <cell r="E171">
            <v>9.9479214388172963</v>
          </cell>
          <cell r="F171">
            <v>9.9326817242873542</v>
          </cell>
          <cell r="G171">
            <v>9.9165717118130825</v>
          </cell>
          <cell r="H171">
            <v>9.9170794664214341</v>
          </cell>
          <cell r="I171">
            <v>9.9140397652756196</v>
          </cell>
          <cell r="J171">
            <v>9.9276652912905803</v>
          </cell>
          <cell r="K171">
            <v>9.9375056089779186</v>
          </cell>
          <cell r="L171">
            <v>9.920346992335551</v>
          </cell>
          <cell r="M171">
            <v>9.9133967220876116</v>
          </cell>
          <cell r="N171">
            <v>9.9224466629045267</v>
          </cell>
          <cell r="O171">
            <v>9.9514597216848575</v>
          </cell>
          <cell r="P171">
            <v>9.985733566092458</v>
          </cell>
          <cell r="Q171">
            <v>9.9931017835351401</v>
          </cell>
          <cell r="R171">
            <v>9.9946122405148099</v>
          </cell>
          <cell r="S171">
            <v>9.9896111396649108</v>
          </cell>
          <cell r="T171">
            <v>9.9896111396649108</v>
          </cell>
          <cell r="U171">
            <v>9.9896111396649108</v>
          </cell>
          <cell r="V171">
            <v>9.9896111396649108</v>
          </cell>
          <cell r="W171">
            <v>9.9896111396649108</v>
          </cell>
          <cell r="X171">
            <v>9.9896111396649108</v>
          </cell>
          <cell r="Y171">
            <v>9.9896111396649108</v>
          </cell>
          <cell r="Z171">
            <v>9.9896111396649108</v>
          </cell>
          <cell r="AA171">
            <v>9.9896111396649108</v>
          </cell>
          <cell r="AB171">
            <v>9.9896111396649108</v>
          </cell>
          <cell r="AC171">
            <v>9.9896111396649108</v>
          </cell>
          <cell r="AD171">
            <v>9.9896111396649108</v>
          </cell>
          <cell r="AE171">
            <v>9.9896111396649108</v>
          </cell>
          <cell r="AF171">
            <v>9.9896111396649108</v>
          </cell>
        </row>
        <row r="172">
          <cell r="A172" t="str">
            <v>Illinois</v>
          </cell>
          <cell r="B172">
            <v>7.3993307830569552</v>
          </cell>
          <cell r="C172">
            <v>7.4052656354765514</v>
          </cell>
          <cell r="D172">
            <v>7.4497533441804169</v>
          </cell>
          <cell r="E172">
            <v>7.4617500471035072</v>
          </cell>
          <cell r="F172">
            <v>7.4505157852794364</v>
          </cell>
          <cell r="G172">
            <v>7.4387967132988519</v>
          </cell>
          <cell r="H172">
            <v>7.4386690465947796</v>
          </cell>
          <cell r="I172">
            <v>7.4366757770094791</v>
          </cell>
          <cell r="J172">
            <v>7.4457402650983591</v>
          </cell>
          <cell r="K172">
            <v>7.4531029285952446</v>
          </cell>
          <cell r="L172">
            <v>7.442236109077502</v>
          </cell>
          <cell r="M172">
            <v>7.4372414535234466</v>
          </cell>
          <cell r="N172">
            <v>7.4434482790858203</v>
          </cell>
          <cell r="O172">
            <v>7.4619795535974953</v>
          </cell>
          <cell r="P172">
            <v>7.4855394373061417</v>
          </cell>
          <cell r="Q172">
            <v>7.4905536123731675</v>
          </cell>
          <cell r="R172">
            <v>7.4906684287537573</v>
          </cell>
          <cell r="S172">
            <v>7.48659349991099</v>
          </cell>
          <cell r="T172">
            <v>7.48659349991099</v>
          </cell>
          <cell r="U172">
            <v>7.48659349991099</v>
          </cell>
          <cell r="V172">
            <v>7.48659349991099</v>
          </cell>
          <cell r="W172">
            <v>7.48659349991099</v>
          </cell>
          <cell r="X172">
            <v>7.48659349991099</v>
          </cell>
          <cell r="Y172">
            <v>7.48659349991099</v>
          </cell>
          <cell r="Z172">
            <v>7.48659349991099</v>
          </cell>
          <cell r="AA172">
            <v>7.48659349991099</v>
          </cell>
          <cell r="AB172">
            <v>7.48659349991099</v>
          </cell>
          <cell r="AC172">
            <v>7.48659349991099</v>
          </cell>
          <cell r="AD172">
            <v>7.48659349991099</v>
          </cell>
          <cell r="AE172">
            <v>7.48659349991099</v>
          </cell>
          <cell r="AF172">
            <v>7.48659349991099</v>
          </cell>
        </row>
        <row r="173">
          <cell r="A173" t="str">
            <v>Indiana</v>
          </cell>
          <cell r="B173">
            <v>7.3993307830569552</v>
          </cell>
          <cell r="C173">
            <v>7.4052656354765531</v>
          </cell>
          <cell r="D173">
            <v>7.4497533441804187</v>
          </cell>
          <cell r="E173">
            <v>7.4617500471035054</v>
          </cell>
          <cell r="F173">
            <v>7.4505157852794346</v>
          </cell>
          <cell r="G173">
            <v>7.4387967132988511</v>
          </cell>
          <cell r="H173">
            <v>7.4386690465947813</v>
          </cell>
          <cell r="I173">
            <v>7.4366757770094791</v>
          </cell>
          <cell r="J173">
            <v>7.4457402650983617</v>
          </cell>
          <cell r="K173">
            <v>7.4531029285952473</v>
          </cell>
          <cell r="L173">
            <v>7.442236109077502</v>
          </cell>
          <cell r="M173">
            <v>7.4372414535234492</v>
          </cell>
          <cell r="N173">
            <v>7.4434482790858194</v>
          </cell>
          <cell r="O173">
            <v>7.4619795535974909</v>
          </cell>
          <cell r="P173">
            <v>7.4855394373061444</v>
          </cell>
          <cell r="Q173">
            <v>7.4905536123731657</v>
          </cell>
          <cell r="R173">
            <v>7.4906684287537537</v>
          </cell>
          <cell r="S173">
            <v>7.4865934999109909</v>
          </cell>
          <cell r="T173">
            <v>7.4865934999109909</v>
          </cell>
          <cell r="U173">
            <v>7.4865934999109909</v>
          </cell>
          <cell r="V173">
            <v>7.4865934999109909</v>
          </cell>
          <cell r="W173">
            <v>7.4865934999109909</v>
          </cell>
          <cell r="X173">
            <v>7.4865934999109909</v>
          </cell>
          <cell r="Y173">
            <v>7.4865934999109909</v>
          </cell>
          <cell r="Z173">
            <v>7.4865934999109909</v>
          </cell>
          <cell r="AA173">
            <v>7.4865934999109909</v>
          </cell>
          <cell r="AB173">
            <v>7.4865934999109909</v>
          </cell>
          <cell r="AC173">
            <v>7.4865934999109909</v>
          </cell>
          <cell r="AD173">
            <v>7.4865934999109909</v>
          </cell>
          <cell r="AE173">
            <v>7.4865934999109909</v>
          </cell>
          <cell r="AF173">
            <v>7.4865934999109909</v>
          </cell>
        </row>
        <row r="174">
          <cell r="A174" t="str">
            <v>Iowa</v>
          </cell>
          <cell r="B174">
            <v>7.3993307830569526</v>
          </cell>
          <cell r="C174">
            <v>7.4052656354765514</v>
          </cell>
          <cell r="D174">
            <v>7.4497533441804196</v>
          </cell>
          <cell r="E174">
            <v>7.4617500471035054</v>
          </cell>
          <cell r="F174">
            <v>7.4505157852794364</v>
          </cell>
          <cell r="G174">
            <v>7.4387967132988519</v>
          </cell>
          <cell r="H174">
            <v>7.4386690465947787</v>
          </cell>
          <cell r="I174">
            <v>7.4366757770094809</v>
          </cell>
          <cell r="J174">
            <v>7.4457402650983617</v>
          </cell>
          <cell r="K174">
            <v>7.4531029285952446</v>
          </cell>
          <cell r="L174">
            <v>7.4422361090775038</v>
          </cell>
          <cell r="M174">
            <v>7.4372414535234492</v>
          </cell>
          <cell r="N174">
            <v>7.4434482790858203</v>
          </cell>
          <cell r="O174">
            <v>7.4619795535974927</v>
          </cell>
          <cell r="P174">
            <v>7.4855394373061435</v>
          </cell>
          <cell r="Q174">
            <v>7.4905536123731657</v>
          </cell>
          <cell r="R174">
            <v>7.4906684287537573</v>
          </cell>
          <cell r="S174">
            <v>7.4865934999109909</v>
          </cell>
          <cell r="T174">
            <v>7.4865934999109909</v>
          </cell>
          <cell r="U174">
            <v>7.4865934999109909</v>
          </cell>
          <cell r="V174">
            <v>7.4865934999109909</v>
          </cell>
          <cell r="W174">
            <v>7.4865934999109909</v>
          </cell>
          <cell r="X174">
            <v>7.4865934999109909</v>
          </cell>
          <cell r="Y174">
            <v>7.4865934999109909</v>
          </cell>
          <cell r="Z174">
            <v>7.4865934999109909</v>
          </cell>
          <cell r="AA174">
            <v>7.4865934999109909</v>
          </cell>
          <cell r="AB174">
            <v>7.4865934999109909</v>
          </cell>
          <cell r="AC174">
            <v>7.4865934999109909</v>
          </cell>
          <cell r="AD174">
            <v>7.4865934999109909</v>
          </cell>
          <cell r="AE174">
            <v>7.4865934999109909</v>
          </cell>
          <cell r="AF174">
            <v>7.4865934999109909</v>
          </cell>
        </row>
        <row r="175">
          <cell r="A175" t="str">
            <v>Kansas</v>
          </cell>
          <cell r="B175">
            <v>6.8952192950818851</v>
          </cell>
          <cell r="C175">
            <v>6.9006450064278546</v>
          </cell>
          <cell r="D175">
            <v>6.9412043546711395</v>
          </cell>
          <cell r="E175">
            <v>6.952111175130824</v>
          </cell>
          <cell r="F175">
            <v>6.9416793506903023</v>
          </cell>
          <cell r="G175">
            <v>6.9308258249838284</v>
          </cell>
          <cell r="H175">
            <v>6.9306160727742254</v>
          </cell>
          <cell r="I175">
            <v>6.9288101483226932</v>
          </cell>
          <cell r="J175">
            <v>6.9370491498331734</v>
          </cell>
          <cell r="K175">
            <v>6.9439056609367471</v>
          </cell>
          <cell r="L175">
            <v>6.9341388112721676</v>
          </cell>
          <cell r="M175">
            <v>6.9295243283541526</v>
          </cell>
          <cell r="N175">
            <v>6.9352034143251959</v>
          </cell>
          <cell r="O175">
            <v>6.9518920738380778</v>
          </cell>
          <cell r="P175">
            <v>6.9734592019502362</v>
          </cell>
          <cell r="Q175">
            <v>6.9780393772339533</v>
          </cell>
          <cell r="R175">
            <v>6.9779645446544176</v>
          </cell>
          <cell r="S175">
            <v>6.9741101329449435</v>
          </cell>
          <cell r="T175">
            <v>6.9741101329449435</v>
          </cell>
          <cell r="U175">
            <v>6.9741101329449435</v>
          </cell>
          <cell r="V175">
            <v>6.9741101329449435</v>
          </cell>
          <cell r="W175">
            <v>6.9741101329449435</v>
          </cell>
          <cell r="X175">
            <v>6.9741101329449435</v>
          </cell>
          <cell r="Y175">
            <v>6.9741101329449435</v>
          </cell>
          <cell r="Z175">
            <v>6.9741101329449435</v>
          </cell>
          <cell r="AA175">
            <v>6.9741101329449435</v>
          </cell>
          <cell r="AB175">
            <v>6.9741101329449435</v>
          </cell>
          <cell r="AC175">
            <v>6.9741101329449435</v>
          </cell>
          <cell r="AD175">
            <v>6.9741101329449435</v>
          </cell>
          <cell r="AE175">
            <v>6.9741101329449435</v>
          </cell>
          <cell r="AF175">
            <v>6.9741101329449435</v>
          </cell>
        </row>
        <row r="176">
          <cell r="A176" t="str">
            <v>Kentucky</v>
          </cell>
          <cell r="B176">
            <v>7.5299841462951873</v>
          </cell>
          <cell r="C176">
            <v>7.5360539434353173</v>
          </cell>
          <cell r="D176">
            <v>7.5815853719660575</v>
          </cell>
          <cell r="E176">
            <v>7.5938723159462409</v>
          </cell>
          <cell r="F176">
            <v>7.5824290256080316</v>
          </cell>
          <cell r="G176">
            <v>7.570483711317185</v>
          </cell>
          <cell r="H176">
            <v>7.5703799072827014</v>
          </cell>
          <cell r="I176">
            <v>7.5683366129418559</v>
          </cell>
          <cell r="J176">
            <v>7.5776209747395624</v>
          </cell>
          <cell r="K176">
            <v>7.5851149499540425</v>
          </cell>
          <cell r="L176">
            <v>7.5739527928480275</v>
          </cell>
          <cell r="M176">
            <v>7.5688584686347058</v>
          </cell>
          <cell r="N176">
            <v>7.5752050611702293</v>
          </cell>
          <cell r="O176">
            <v>7.5942304340595284</v>
          </cell>
          <cell r="P176">
            <v>7.6183178422682669</v>
          </cell>
          <cell r="Q176">
            <v>7.6234471333035421</v>
          </cell>
          <cell r="R176">
            <v>7.6236162856934389</v>
          </cell>
          <cell r="S176">
            <v>7.6194858321960561</v>
          </cell>
          <cell r="T176">
            <v>7.6194858321960561</v>
          </cell>
          <cell r="U176">
            <v>7.6194858321960561</v>
          </cell>
          <cell r="V176">
            <v>7.6194858321960561</v>
          </cell>
          <cell r="W176">
            <v>7.6194858321960561</v>
          </cell>
          <cell r="X176">
            <v>7.6194858321960561</v>
          </cell>
          <cell r="Y176">
            <v>7.6194858321960561</v>
          </cell>
          <cell r="Z176">
            <v>7.6194858321960561</v>
          </cell>
          <cell r="AA176">
            <v>7.6194858321960561</v>
          </cell>
          <cell r="AB176">
            <v>7.6194858321960561</v>
          </cell>
          <cell r="AC176">
            <v>7.6194858321960561</v>
          </cell>
          <cell r="AD176">
            <v>7.6194858321960561</v>
          </cell>
          <cell r="AE176">
            <v>7.6194858321960561</v>
          </cell>
          <cell r="AF176">
            <v>7.6194858321960561</v>
          </cell>
        </row>
        <row r="177">
          <cell r="A177" t="str">
            <v>Louisiana</v>
          </cell>
          <cell r="B177">
            <v>7.5057602852668861</v>
          </cell>
          <cell r="C177">
            <v>7.5118049691984803</v>
          </cell>
          <cell r="D177">
            <v>7.5571420838487855</v>
          </cell>
          <cell r="E177">
            <v>7.5693749718264582</v>
          </cell>
          <cell r="F177">
            <v>7.5579704696695664</v>
          </cell>
          <cell r="G177">
            <v>7.5460671619877306</v>
          </cell>
          <cell r="H177">
            <v>7.5459588525110526</v>
          </cell>
          <cell r="I177">
            <v>7.5439248791253739</v>
          </cell>
          <cell r="J177">
            <v>7.5531682892015874</v>
          </cell>
          <cell r="K177">
            <v>7.5606379144340865</v>
          </cell>
          <cell r="L177">
            <v>7.5495308361021385</v>
          </cell>
          <cell r="M177">
            <v>7.5444550266793504</v>
          </cell>
          <cell r="N177">
            <v>7.5507756118720115</v>
          </cell>
          <cell r="O177">
            <v>7.5697088575047387</v>
          </cell>
          <cell r="P177">
            <v>7.5936981131439731</v>
          </cell>
          <cell r="Q177">
            <v>7.5988059784332087</v>
          </cell>
          <cell r="R177">
            <v>7.5989648940512957</v>
          </cell>
          <cell r="S177">
            <v>7.5948446840757917</v>
          </cell>
          <cell r="T177">
            <v>7.5948446840757917</v>
          </cell>
          <cell r="U177">
            <v>7.5948446840757917</v>
          </cell>
          <cell r="V177">
            <v>7.5948446840757917</v>
          </cell>
          <cell r="W177">
            <v>7.5948446840757917</v>
          </cell>
          <cell r="X177">
            <v>7.5948446840757917</v>
          </cell>
          <cell r="Y177">
            <v>7.5948446840757917</v>
          </cell>
          <cell r="Z177">
            <v>7.5948446840757917</v>
          </cell>
          <cell r="AA177">
            <v>7.5948446840757917</v>
          </cell>
          <cell r="AB177">
            <v>7.5948446840757917</v>
          </cell>
          <cell r="AC177">
            <v>7.5948446840757917</v>
          </cell>
          <cell r="AD177">
            <v>7.5948446840757917</v>
          </cell>
          <cell r="AE177">
            <v>7.5948446840757917</v>
          </cell>
          <cell r="AF177">
            <v>7.5948446840757917</v>
          </cell>
        </row>
        <row r="178">
          <cell r="A178" t="str">
            <v>Maine</v>
          </cell>
          <cell r="B178">
            <v>7.3967357295736651</v>
          </cell>
          <cell r="C178">
            <v>7.4026679144013539</v>
          </cell>
          <cell r="D178">
            <v>7.4471350013371902</v>
          </cell>
          <cell r="E178">
            <v>7.4591259724763272</v>
          </cell>
          <cell r="F178">
            <v>7.447895857913613</v>
          </cell>
          <cell r="G178">
            <v>7.4361812714528526</v>
          </cell>
          <cell r="H178">
            <v>7.4360531417839377</v>
          </cell>
          <cell r="I178">
            <v>7.4340608595518773</v>
          </cell>
          <cell r="J178">
            <v>7.4431210056723938</v>
          </cell>
          <cell r="K178">
            <v>7.4504810615893824</v>
          </cell>
          <cell r="L178">
            <v>7.4396200645354513</v>
          </cell>
          <cell r="M178">
            <v>7.4346273837800805</v>
          </cell>
          <cell r="N178">
            <v>7.4408314459787386</v>
          </cell>
          <cell r="O178">
            <v>7.4593529769251532</v>
          </cell>
          <cell r="P178">
            <v>7.4829024298385685</v>
          </cell>
          <cell r="Q178">
            <v>7.4879143296506214</v>
          </cell>
          <cell r="R178">
            <v>7.4880280888310482</v>
          </cell>
          <cell r="S178">
            <v>7.4839542697442738</v>
          </cell>
          <cell r="T178">
            <v>7.4839542697442738</v>
          </cell>
          <cell r="U178">
            <v>7.4839542697442738</v>
          </cell>
          <cell r="V178">
            <v>7.4839542697442738</v>
          </cell>
          <cell r="W178">
            <v>7.4839542697442738</v>
          </cell>
          <cell r="X178">
            <v>7.4839542697442738</v>
          </cell>
          <cell r="Y178">
            <v>7.4839542697442738</v>
          </cell>
          <cell r="Z178">
            <v>7.4839542697442738</v>
          </cell>
          <cell r="AA178">
            <v>7.4839542697442738</v>
          </cell>
          <cell r="AB178">
            <v>7.4839542697442738</v>
          </cell>
          <cell r="AC178">
            <v>7.4839542697442738</v>
          </cell>
          <cell r="AD178">
            <v>7.4839542697442738</v>
          </cell>
          <cell r="AE178">
            <v>7.4839542697442738</v>
          </cell>
          <cell r="AF178">
            <v>7.4839542697442738</v>
          </cell>
        </row>
        <row r="179">
          <cell r="A179" t="str">
            <v>Maryland</v>
          </cell>
          <cell r="B179">
            <v>7.396735729573666</v>
          </cell>
          <cell r="C179">
            <v>7.402667914401353</v>
          </cell>
          <cell r="D179">
            <v>7.4471350013371902</v>
          </cell>
          <cell r="E179">
            <v>7.459125972476329</v>
          </cell>
          <cell r="F179">
            <v>7.4478958579136174</v>
          </cell>
          <cell r="G179">
            <v>7.4361812714528508</v>
          </cell>
          <cell r="H179">
            <v>7.4360531417839377</v>
          </cell>
          <cell r="I179">
            <v>7.4340608595518782</v>
          </cell>
          <cell r="J179">
            <v>7.4431210056723938</v>
          </cell>
          <cell r="K179">
            <v>7.4504810615893824</v>
          </cell>
          <cell r="L179">
            <v>7.4396200645354496</v>
          </cell>
          <cell r="M179">
            <v>7.4346273837800805</v>
          </cell>
          <cell r="N179">
            <v>7.4408314459787386</v>
          </cell>
          <cell r="O179">
            <v>7.4593529769251523</v>
          </cell>
          <cell r="P179">
            <v>7.4829024298385693</v>
          </cell>
          <cell r="Q179">
            <v>7.4879143296506232</v>
          </cell>
          <cell r="R179">
            <v>7.48802808883105</v>
          </cell>
          <cell r="S179">
            <v>7.4839542697442738</v>
          </cell>
          <cell r="T179">
            <v>7.4839542697442738</v>
          </cell>
          <cell r="U179">
            <v>7.4839542697442738</v>
          </cell>
          <cell r="V179">
            <v>7.4839542697442738</v>
          </cell>
          <cell r="W179">
            <v>7.4839542697442738</v>
          </cell>
          <cell r="X179">
            <v>7.4839542697442738</v>
          </cell>
          <cell r="Y179">
            <v>7.4839542697442738</v>
          </cell>
          <cell r="Z179">
            <v>7.4839542697442738</v>
          </cell>
          <cell r="AA179">
            <v>7.4839542697442738</v>
          </cell>
          <cell r="AB179">
            <v>7.4839542697442738</v>
          </cell>
          <cell r="AC179">
            <v>7.4839542697442738</v>
          </cell>
          <cell r="AD179">
            <v>7.4839542697442738</v>
          </cell>
          <cell r="AE179">
            <v>7.4839542697442738</v>
          </cell>
          <cell r="AF179">
            <v>7.4839542697442738</v>
          </cell>
        </row>
        <row r="180">
          <cell r="A180" t="str">
            <v>Massachusetts</v>
          </cell>
          <cell r="B180">
            <v>7.3967357295736651</v>
          </cell>
          <cell r="C180">
            <v>7.402667914401353</v>
          </cell>
          <cell r="D180">
            <v>7.4471350013371902</v>
          </cell>
          <cell r="E180">
            <v>7.4591259724763272</v>
          </cell>
          <cell r="F180">
            <v>7.4478958579136139</v>
          </cell>
          <cell r="G180">
            <v>7.4361812714528526</v>
          </cell>
          <cell r="H180">
            <v>7.4360531417839377</v>
          </cell>
          <cell r="I180">
            <v>7.4340608595518782</v>
          </cell>
          <cell r="J180">
            <v>7.443121005672392</v>
          </cell>
          <cell r="K180">
            <v>7.4504810615893842</v>
          </cell>
          <cell r="L180">
            <v>7.4396200645354513</v>
          </cell>
          <cell r="M180">
            <v>7.4346273837800823</v>
          </cell>
          <cell r="N180">
            <v>7.4408314459787386</v>
          </cell>
          <cell r="O180">
            <v>7.4593529769251514</v>
          </cell>
          <cell r="P180">
            <v>7.4829024298385685</v>
          </cell>
          <cell r="Q180">
            <v>7.4879143296506232</v>
          </cell>
          <cell r="R180">
            <v>7.4880280888310482</v>
          </cell>
          <cell r="S180">
            <v>7.4839542697442738</v>
          </cell>
          <cell r="T180">
            <v>7.4839542697442738</v>
          </cell>
          <cell r="U180">
            <v>7.4839542697442738</v>
          </cell>
          <cell r="V180">
            <v>7.4839542697442738</v>
          </cell>
          <cell r="W180">
            <v>7.4839542697442738</v>
          </cell>
          <cell r="X180">
            <v>7.4839542697442738</v>
          </cell>
          <cell r="Y180">
            <v>7.4839542697442738</v>
          </cell>
          <cell r="Z180">
            <v>7.4839542697442738</v>
          </cell>
          <cell r="AA180">
            <v>7.4839542697442738</v>
          </cell>
          <cell r="AB180">
            <v>7.4839542697442738</v>
          </cell>
          <cell r="AC180">
            <v>7.4839542697442738</v>
          </cell>
          <cell r="AD180">
            <v>7.4839542697442738</v>
          </cell>
          <cell r="AE180">
            <v>7.4839542697442738</v>
          </cell>
          <cell r="AF180">
            <v>7.4839542697442738</v>
          </cell>
        </row>
        <row r="181">
          <cell r="A181" t="str">
            <v>Michigan</v>
          </cell>
          <cell r="B181">
            <v>7.3993307830569544</v>
          </cell>
          <cell r="C181">
            <v>7.4052656354765514</v>
          </cell>
          <cell r="D181">
            <v>7.4497533441804187</v>
          </cell>
          <cell r="E181">
            <v>7.4617500471035072</v>
          </cell>
          <cell r="F181">
            <v>7.4505157852794346</v>
          </cell>
          <cell r="G181">
            <v>7.4387967132988519</v>
          </cell>
          <cell r="H181">
            <v>7.4386690465947796</v>
          </cell>
          <cell r="I181">
            <v>7.4366757770094774</v>
          </cell>
          <cell r="J181">
            <v>7.4457402650983591</v>
          </cell>
          <cell r="K181">
            <v>7.4531029285952446</v>
          </cell>
          <cell r="L181">
            <v>7.4422361090775038</v>
          </cell>
          <cell r="M181">
            <v>7.4372414535234483</v>
          </cell>
          <cell r="N181">
            <v>7.4434482790858203</v>
          </cell>
          <cell r="O181">
            <v>7.4619795535974935</v>
          </cell>
          <cell r="P181">
            <v>7.4855394373061444</v>
          </cell>
          <cell r="Q181">
            <v>7.4905536123731684</v>
          </cell>
          <cell r="R181">
            <v>7.4906684287537537</v>
          </cell>
          <cell r="S181">
            <v>7.4865934999109909</v>
          </cell>
          <cell r="T181">
            <v>7.4865934999109909</v>
          </cell>
          <cell r="U181">
            <v>7.4865934999109909</v>
          </cell>
          <cell r="V181">
            <v>7.4865934999109909</v>
          </cell>
          <cell r="W181">
            <v>7.4865934999109909</v>
          </cell>
          <cell r="X181">
            <v>7.4865934999109909</v>
          </cell>
          <cell r="Y181">
            <v>7.4865934999109909</v>
          </cell>
          <cell r="Z181">
            <v>7.4865934999109909</v>
          </cell>
          <cell r="AA181">
            <v>7.4865934999109909</v>
          </cell>
          <cell r="AB181">
            <v>7.4865934999109909</v>
          </cell>
          <cell r="AC181">
            <v>7.4865934999109909</v>
          </cell>
          <cell r="AD181">
            <v>7.4865934999109909</v>
          </cell>
          <cell r="AE181">
            <v>7.4865934999109909</v>
          </cell>
          <cell r="AF181">
            <v>7.4865934999109909</v>
          </cell>
        </row>
        <row r="182">
          <cell r="A182" t="str">
            <v>Minnesota</v>
          </cell>
          <cell r="B182">
            <v>7.3993307830569544</v>
          </cell>
          <cell r="C182">
            <v>7.4052656354765514</v>
          </cell>
          <cell r="D182">
            <v>7.4497533441804205</v>
          </cell>
          <cell r="E182">
            <v>7.4617500471035072</v>
          </cell>
          <cell r="F182">
            <v>7.4505157852794364</v>
          </cell>
          <cell r="G182">
            <v>7.4387967132988511</v>
          </cell>
          <cell r="H182">
            <v>7.4386690465947769</v>
          </cell>
          <cell r="I182">
            <v>7.4366757770094809</v>
          </cell>
          <cell r="J182">
            <v>7.4457402650983608</v>
          </cell>
          <cell r="K182">
            <v>7.4531029285952473</v>
          </cell>
          <cell r="L182">
            <v>7.4422361090775038</v>
          </cell>
          <cell r="M182">
            <v>7.4372414535234492</v>
          </cell>
          <cell r="N182">
            <v>7.4434482790858176</v>
          </cell>
          <cell r="O182">
            <v>7.4619795535974927</v>
          </cell>
          <cell r="P182">
            <v>7.4855394373061435</v>
          </cell>
          <cell r="Q182">
            <v>7.4905536123731675</v>
          </cell>
          <cell r="R182">
            <v>7.4906684287537528</v>
          </cell>
          <cell r="S182">
            <v>7.4865934999109909</v>
          </cell>
          <cell r="T182">
            <v>7.4865934999109909</v>
          </cell>
          <cell r="U182">
            <v>7.4865934999109909</v>
          </cell>
          <cell r="V182">
            <v>7.4865934999109909</v>
          </cell>
          <cell r="W182">
            <v>7.4865934999109909</v>
          </cell>
          <cell r="X182">
            <v>7.4865934999109909</v>
          </cell>
          <cell r="Y182">
            <v>7.4865934999109909</v>
          </cell>
          <cell r="Z182">
            <v>7.4865934999109909</v>
          </cell>
          <cell r="AA182">
            <v>7.4865934999109909</v>
          </cell>
          <cell r="AB182">
            <v>7.4865934999109909</v>
          </cell>
          <cell r="AC182">
            <v>7.4865934999109909</v>
          </cell>
          <cell r="AD182">
            <v>7.4865934999109909</v>
          </cell>
          <cell r="AE182">
            <v>7.4865934999109909</v>
          </cell>
          <cell r="AF182">
            <v>7.4865934999109909</v>
          </cell>
        </row>
        <row r="183">
          <cell r="A183" t="str">
            <v>Mississippi</v>
          </cell>
          <cell r="B183">
            <v>7.5299841462951891</v>
          </cell>
          <cell r="C183">
            <v>7.5360539434353182</v>
          </cell>
          <cell r="D183">
            <v>7.5815853719660549</v>
          </cell>
          <cell r="E183">
            <v>7.5938723159462391</v>
          </cell>
          <cell r="F183">
            <v>7.5824290256080316</v>
          </cell>
          <cell r="G183">
            <v>7.5704837113171868</v>
          </cell>
          <cell r="H183">
            <v>7.5703799072827032</v>
          </cell>
          <cell r="I183">
            <v>7.5683366129418568</v>
          </cell>
          <cell r="J183">
            <v>7.5776209747395642</v>
          </cell>
          <cell r="K183">
            <v>7.5851149499540416</v>
          </cell>
          <cell r="L183">
            <v>7.5739527928480301</v>
          </cell>
          <cell r="M183">
            <v>7.568858468634704</v>
          </cell>
          <cell r="N183">
            <v>7.575205061170232</v>
          </cell>
          <cell r="O183">
            <v>7.5942304340595284</v>
          </cell>
          <cell r="P183">
            <v>7.6183178422682669</v>
          </cell>
          <cell r="Q183">
            <v>7.623447133303543</v>
          </cell>
          <cell r="R183">
            <v>7.6236162856934389</v>
          </cell>
          <cell r="S183">
            <v>7.6194858321960561</v>
          </cell>
          <cell r="T183">
            <v>7.6194858321960561</v>
          </cell>
          <cell r="U183">
            <v>7.6194858321960561</v>
          </cell>
          <cell r="V183">
            <v>7.6194858321960561</v>
          </cell>
          <cell r="W183">
            <v>7.6194858321960561</v>
          </cell>
          <cell r="X183">
            <v>7.6194858321960561</v>
          </cell>
          <cell r="Y183">
            <v>7.6194858321960561</v>
          </cell>
          <cell r="Z183">
            <v>7.6194858321960561</v>
          </cell>
          <cell r="AA183">
            <v>7.6194858321960561</v>
          </cell>
          <cell r="AB183">
            <v>7.6194858321960561</v>
          </cell>
          <cell r="AC183">
            <v>7.6194858321960561</v>
          </cell>
          <cell r="AD183">
            <v>7.6194858321960561</v>
          </cell>
          <cell r="AE183">
            <v>7.6194858321960561</v>
          </cell>
          <cell r="AF183">
            <v>7.6194858321960561</v>
          </cell>
        </row>
        <row r="184">
          <cell r="A184" t="str">
            <v>Missouri</v>
          </cell>
          <cell r="B184">
            <v>7.3993307830569526</v>
          </cell>
          <cell r="C184">
            <v>7.4052656354765514</v>
          </cell>
          <cell r="D184">
            <v>7.4497533441804196</v>
          </cell>
          <cell r="E184">
            <v>7.4617500471035072</v>
          </cell>
          <cell r="F184">
            <v>7.4505157852794364</v>
          </cell>
          <cell r="G184">
            <v>7.4387967132988511</v>
          </cell>
          <cell r="H184">
            <v>7.4386690465947796</v>
          </cell>
          <cell r="I184">
            <v>7.4366757770094818</v>
          </cell>
          <cell r="J184">
            <v>7.4457402650983591</v>
          </cell>
          <cell r="K184">
            <v>7.4531029285952437</v>
          </cell>
          <cell r="L184">
            <v>7.442236109077502</v>
          </cell>
          <cell r="M184">
            <v>7.4372414535234457</v>
          </cell>
          <cell r="N184">
            <v>7.4434482790858203</v>
          </cell>
          <cell r="O184">
            <v>7.4619795535974909</v>
          </cell>
          <cell r="P184">
            <v>7.4855394373061444</v>
          </cell>
          <cell r="Q184">
            <v>7.4905536123731657</v>
          </cell>
          <cell r="R184">
            <v>7.4906684287537537</v>
          </cell>
          <cell r="S184">
            <v>7.4865934999109909</v>
          </cell>
          <cell r="T184">
            <v>7.4865934999109909</v>
          </cell>
          <cell r="U184">
            <v>7.4865934999109909</v>
          </cell>
          <cell r="V184">
            <v>7.4865934999109909</v>
          </cell>
          <cell r="W184">
            <v>7.4865934999109909</v>
          </cell>
          <cell r="X184">
            <v>7.4865934999109909</v>
          </cell>
          <cell r="Y184">
            <v>7.4865934999109909</v>
          </cell>
          <cell r="Z184">
            <v>7.4865934999109909</v>
          </cell>
          <cell r="AA184">
            <v>7.4865934999109909</v>
          </cell>
          <cell r="AB184">
            <v>7.4865934999109909</v>
          </cell>
          <cell r="AC184">
            <v>7.4865934999109909</v>
          </cell>
          <cell r="AD184">
            <v>7.4865934999109909</v>
          </cell>
          <cell r="AE184">
            <v>7.4865934999109909</v>
          </cell>
          <cell r="AF184">
            <v>7.4865934999109909</v>
          </cell>
        </row>
        <row r="185">
          <cell r="A185" t="str">
            <v>Montana</v>
          </cell>
          <cell r="B185">
            <v>6.8952192950818869</v>
          </cell>
          <cell r="C185">
            <v>6.9006450064278546</v>
          </cell>
          <cell r="D185">
            <v>6.9412043546711395</v>
          </cell>
          <cell r="E185">
            <v>6.952111175130824</v>
          </cell>
          <cell r="F185">
            <v>6.9416793506903023</v>
          </cell>
          <cell r="G185">
            <v>6.9308258249838293</v>
          </cell>
          <cell r="H185">
            <v>6.9306160727742236</v>
          </cell>
          <cell r="I185">
            <v>6.9288101483226949</v>
          </cell>
          <cell r="J185">
            <v>6.9370491498331752</v>
          </cell>
          <cell r="K185">
            <v>6.9439056609367498</v>
          </cell>
          <cell r="L185">
            <v>6.9341388112721685</v>
          </cell>
          <cell r="M185">
            <v>6.9295243283541526</v>
          </cell>
          <cell r="N185">
            <v>6.935203414325195</v>
          </cell>
          <cell r="O185">
            <v>6.9518920738380778</v>
          </cell>
          <cell r="P185">
            <v>6.9734592019502362</v>
          </cell>
          <cell r="Q185">
            <v>6.978039377233956</v>
          </cell>
          <cell r="R185">
            <v>6.9779645446544158</v>
          </cell>
          <cell r="S185">
            <v>6.9741101329449435</v>
          </cell>
          <cell r="T185">
            <v>6.9741101329449435</v>
          </cell>
          <cell r="U185">
            <v>6.9741101329449435</v>
          </cell>
          <cell r="V185">
            <v>6.9741101329449435</v>
          </cell>
          <cell r="W185">
            <v>6.9741101329449435</v>
          </cell>
          <cell r="X185">
            <v>6.9741101329449435</v>
          </cell>
          <cell r="Y185">
            <v>6.9741101329449435</v>
          </cell>
          <cell r="Z185">
            <v>6.9741101329449435</v>
          </cell>
          <cell r="AA185">
            <v>6.9741101329449435</v>
          </cell>
          <cell r="AB185">
            <v>6.9741101329449435</v>
          </cell>
          <cell r="AC185">
            <v>6.9741101329449435</v>
          </cell>
          <cell r="AD185">
            <v>6.9741101329449435</v>
          </cell>
          <cell r="AE185">
            <v>6.9741101329449435</v>
          </cell>
          <cell r="AF185">
            <v>6.9741101329449435</v>
          </cell>
        </row>
        <row r="186">
          <cell r="A186" t="str">
            <v>Nebraska</v>
          </cell>
          <cell r="B186">
            <v>6.8952192950818878</v>
          </cell>
          <cell r="C186">
            <v>6.9006450064278564</v>
          </cell>
          <cell r="D186">
            <v>6.9412043546711395</v>
          </cell>
          <cell r="E186">
            <v>6.952111175130824</v>
          </cell>
          <cell r="F186">
            <v>6.9416793506903023</v>
          </cell>
          <cell r="G186">
            <v>6.9308258249838293</v>
          </cell>
          <cell r="H186">
            <v>6.9306160727742263</v>
          </cell>
          <cell r="I186">
            <v>6.9288101483226932</v>
          </cell>
          <cell r="J186">
            <v>6.9370491498331734</v>
          </cell>
          <cell r="K186">
            <v>6.9439056609367507</v>
          </cell>
          <cell r="L186">
            <v>6.9341388112721685</v>
          </cell>
          <cell r="M186">
            <v>6.9295243283541526</v>
          </cell>
          <cell r="N186">
            <v>6.935203414325195</v>
          </cell>
          <cell r="O186">
            <v>6.9518920738380796</v>
          </cell>
          <cell r="P186">
            <v>6.9734592019502362</v>
          </cell>
          <cell r="Q186">
            <v>6.9780393772339542</v>
          </cell>
          <cell r="R186">
            <v>6.9779645446544185</v>
          </cell>
          <cell r="S186">
            <v>6.9741101329449435</v>
          </cell>
          <cell r="T186">
            <v>6.9741101329449435</v>
          </cell>
          <cell r="U186">
            <v>6.9741101329449435</v>
          </cell>
          <cell r="V186">
            <v>6.9741101329449435</v>
          </cell>
          <cell r="W186">
            <v>6.9741101329449435</v>
          </cell>
          <cell r="X186">
            <v>6.9741101329449435</v>
          </cell>
          <cell r="Y186">
            <v>6.9741101329449435</v>
          </cell>
          <cell r="Z186">
            <v>6.9741101329449435</v>
          </cell>
          <cell r="AA186">
            <v>6.9741101329449435</v>
          </cell>
          <cell r="AB186">
            <v>6.9741101329449435</v>
          </cell>
          <cell r="AC186">
            <v>6.9741101329449435</v>
          </cell>
          <cell r="AD186">
            <v>6.9741101329449435</v>
          </cell>
          <cell r="AE186">
            <v>6.9741101329449435</v>
          </cell>
          <cell r="AF186">
            <v>6.9741101329449435</v>
          </cell>
        </row>
        <row r="187">
          <cell r="A187" t="str">
            <v>Nevada</v>
          </cell>
          <cell r="B187">
            <v>9.8552666309514994</v>
          </cell>
          <cell r="C187">
            <v>9.8639538107232241</v>
          </cell>
          <cell r="D187">
            <v>9.9299079540191038</v>
          </cell>
          <cell r="E187">
            <v>9.9479214388172963</v>
          </cell>
          <cell r="F187">
            <v>9.9326817242873524</v>
          </cell>
          <cell r="G187">
            <v>9.9165717118130843</v>
          </cell>
          <cell r="H187">
            <v>9.9170794664214394</v>
          </cell>
          <cell r="I187">
            <v>9.9140397652756196</v>
          </cell>
          <cell r="J187">
            <v>9.9276652912905803</v>
          </cell>
          <cell r="K187">
            <v>9.9375056089779186</v>
          </cell>
          <cell r="L187">
            <v>9.9203469923355527</v>
          </cell>
          <cell r="M187">
            <v>9.9133967220876098</v>
          </cell>
          <cell r="N187">
            <v>9.9224466629045285</v>
          </cell>
          <cell r="O187">
            <v>9.9514597216848575</v>
          </cell>
          <cell r="P187">
            <v>9.985733566092458</v>
          </cell>
          <cell r="Q187">
            <v>9.9931017835351401</v>
          </cell>
          <cell r="R187">
            <v>9.9946122405148117</v>
          </cell>
          <cell r="S187">
            <v>9.989611139664909</v>
          </cell>
          <cell r="T187">
            <v>9.989611139664909</v>
          </cell>
          <cell r="U187">
            <v>9.989611139664909</v>
          </cell>
          <cell r="V187">
            <v>9.989611139664909</v>
          </cell>
          <cell r="W187">
            <v>9.989611139664909</v>
          </cell>
          <cell r="X187">
            <v>9.989611139664909</v>
          </cell>
          <cell r="Y187">
            <v>9.989611139664909</v>
          </cell>
          <cell r="Z187">
            <v>9.989611139664909</v>
          </cell>
          <cell r="AA187">
            <v>9.989611139664909</v>
          </cell>
          <cell r="AB187">
            <v>9.989611139664909</v>
          </cell>
          <cell r="AC187">
            <v>9.989611139664909</v>
          </cell>
          <cell r="AD187">
            <v>9.989611139664909</v>
          </cell>
          <cell r="AE187">
            <v>9.989611139664909</v>
          </cell>
          <cell r="AF187">
            <v>9.989611139664909</v>
          </cell>
        </row>
        <row r="188">
          <cell r="A188" t="str">
            <v>New Hampshire</v>
          </cell>
          <cell r="B188">
            <v>7.3967357295736651</v>
          </cell>
          <cell r="C188">
            <v>7.402667914401353</v>
          </cell>
          <cell r="D188">
            <v>7.4471350013371902</v>
          </cell>
          <cell r="E188">
            <v>7.459125972476329</v>
          </cell>
          <cell r="F188">
            <v>7.4478958579136174</v>
          </cell>
          <cell r="G188">
            <v>7.4361812714528508</v>
          </cell>
          <cell r="H188">
            <v>7.4360531417839386</v>
          </cell>
          <cell r="I188">
            <v>7.4340608595518782</v>
          </cell>
          <cell r="J188">
            <v>7.443121005672392</v>
          </cell>
          <cell r="K188">
            <v>7.4504810615893824</v>
          </cell>
          <cell r="L188">
            <v>7.4396200645354513</v>
          </cell>
          <cell r="M188">
            <v>7.434627383780084</v>
          </cell>
          <cell r="N188">
            <v>7.4408314459787386</v>
          </cell>
          <cell r="O188">
            <v>7.4593529769251496</v>
          </cell>
          <cell r="P188">
            <v>7.4829024298385685</v>
          </cell>
          <cell r="Q188">
            <v>7.4879143296506232</v>
          </cell>
          <cell r="R188">
            <v>7.4880280888310509</v>
          </cell>
          <cell r="S188">
            <v>7.4839542697442738</v>
          </cell>
          <cell r="T188">
            <v>7.4839542697442738</v>
          </cell>
          <cell r="U188">
            <v>7.4839542697442738</v>
          </cell>
          <cell r="V188">
            <v>7.4839542697442738</v>
          </cell>
          <cell r="W188">
            <v>7.4839542697442738</v>
          </cell>
          <cell r="X188">
            <v>7.4839542697442738</v>
          </cell>
          <cell r="Y188">
            <v>7.4839542697442738</v>
          </cell>
          <cell r="Z188">
            <v>7.4839542697442738</v>
          </cell>
          <cell r="AA188">
            <v>7.4839542697442738</v>
          </cell>
          <cell r="AB188">
            <v>7.4839542697442738</v>
          </cell>
          <cell r="AC188">
            <v>7.4839542697442738</v>
          </cell>
          <cell r="AD188">
            <v>7.4839542697442738</v>
          </cell>
          <cell r="AE188">
            <v>7.4839542697442738</v>
          </cell>
          <cell r="AF188">
            <v>7.4839542697442738</v>
          </cell>
        </row>
        <row r="189">
          <cell r="A189" t="str">
            <v>New Jersey</v>
          </cell>
          <cell r="B189">
            <v>7.3967357295736651</v>
          </cell>
          <cell r="C189">
            <v>7.402667914401353</v>
          </cell>
          <cell r="D189">
            <v>7.4471350013371902</v>
          </cell>
          <cell r="E189">
            <v>7.4591259724763281</v>
          </cell>
          <cell r="F189">
            <v>7.4478958579136174</v>
          </cell>
          <cell r="G189">
            <v>7.4361812714528508</v>
          </cell>
          <cell r="H189">
            <v>7.4360531417839386</v>
          </cell>
          <cell r="I189">
            <v>7.4340608595518782</v>
          </cell>
          <cell r="J189">
            <v>7.443121005672392</v>
          </cell>
          <cell r="K189">
            <v>7.4504810615893824</v>
          </cell>
          <cell r="L189">
            <v>7.4396200645354496</v>
          </cell>
          <cell r="M189">
            <v>7.434627383780084</v>
          </cell>
          <cell r="N189">
            <v>7.4408314459787386</v>
          </cell>
          <cell r="O189">
            <v>7.4593529769251496</v>
          </cell>
          <cell r="P189">
            <v>7.4829024298385685</v>
          </cell>
          <cell r="Q189">
            <v>7.4879143296506232</v>
          </cell>
          <cell r="R189">
            <v>7.4880280888310482</v>
          </cell>
          <cell r="S189">
            <v>7.4839542697442738</v>
          </cell>
          <cell r="T189">
            <v>7.4839542697442738</v>
          </cell>
          <cell r="U189">
            <v>7.4839542697442738</v>
          </cell>
          <cell r="V189">
            <v>7.4839542697442738</v>
          </cell>
          <cell r="W189">
            <v>7.4839542697442738</v>
          </cell>
          <cell r="X189">
            <v>7.4839542697442738</v>
          </cell>
          <cell r="Y189">
            <v>7.4839542697442738</v>
          </cell>
          <cell r="Z189">
            <v>7.4839542697442738</v>
          </cell>
          <cell r="AA189">
            <v>7.4839542697442738</v>
          </cell>
          <cell r="AB189">
            <v>7.4839542697442738</v>
          </cell>
          <cell r="AC189">
            <v>7.4839542697442738</v>
          </cell>
          <cell r="AD189">
            <v>7.4839542697442738</v>
          </cell>
          <cell r="AE189">
            <v>7.4839542697442738</v>
          </cell>
          <cell r="AF189">
            <v>7.4839542697442738</v>
          </cell>
        </row>
        <row r="190">
          <cell r="A190" t="str">
            <v>New Mexico</v>
          </cell>
          <cell r="B190">
            <v>9.8552666309515029</v>
          </cell>
          <cell r="C190">
            <v>9.8639538107232259</v>
          </cell>
          <cell r="D190">
            <v>9.9299079540191038</v>
          </cell>
          <cell r="E190">
            <v>9.9479214388172963</v>
          </cell>
          <cell r="F190">
            <v>9.9326817242873524</v>
          </cell>
          <cell r="G190">
            <v>9.9165717118130825</v>
          </cell>
          <cell r="H190">
            <v>9.9170794664214359</v>
          </cell>
          <cell r="I190">
            <v>9.9140397652756196</v>
          </cell>
          <cell r="J190">
            <v>9.9276652912905803</v>
          </cell>
          <cell r="K190">
            <v>9.9375056089779239</v>
          </cell>
          <cell r="L190">
            <v>9.920346992335551</v>
          </cell>
          <cell r="M190">
            <v>9.9133967220876116</v>
          </cell>
          <cell r="N190">
            <v>9.9224466629045249</v>
          </cell>
          <cell r="O190">
            <v>9.9514597216848575</v>
          </cell>
          <cell r="P190">
            <v>9.9857335660924598</v>
          </cell>
          <cell r="Q190">
            <v>9.9931017835351401</v>
          </cell>
          <cell r="R190">
            <v>9.9946122405148099</v>
          </cell>
          <cell r="S190">
            <v>9.9896111396649125</v>
          </cell>
          <cell r="T190">
            <v>9.9896111396649125</v>
          </cell>
          <cell r="U190">
            <v>9.9896111396649125</v>
          </cell>
          <cell r="V190">
            <v>9.9896111396649125</v>
          </cell>
          <cell r="W190">
            <v>9.9896111396649125</v>
          </cell>
          <cell r="X190">
            <v>9.9896111396649125</v>
          </cell>
          <cell r="Y190">
            <v>9.9896111396649125</v>
          </cell>
          <cell r="Z190">
            <v>9.9896111396649125</v>
          </cell>
          <cell r="AA190">
            <v>9.9896111396649125</v>
          </cell>
          <cell r="AB190">
            <v>9.9896111396649125</v>
          </cell>
          <cell r="AC190">
            <v>9.9896111396649125</v>
          </cell>
          <cell r="AD190">
            <v>9.9896111396649125</v>
          </cell>
          <cell r="AE190">
            <v>9.9896111396649125</v>
          </cell>
          <cell r="AF190">
            <v>9.9896111396649125</v>
          </cell>
        </row>
        <row r="191">
          <cell r="A191" t="str">
            <v>New York</v>
          </cell>
          <cell r="B191">
            <v>7.3967357295736651</v>
          </cell>
          <cell r="C191">
            <v>7.402667914401353</v>
          </cell>
          <cell r="D191">
            <v>7.447135001337192</v>
          </cell>
          <cell r="E191">
            <v>7.4591259724763281</v>
          </cell>
          <cell r="F191">
            <v>7.4478958579136147</v>
          </cell>
          <cell r="G191">
            <v>7.4361812714528552</v>
          </cell>
          <cell r="H191">
            <v>7.4360531417839386</v>
          </cell>
          <cell r="I191">
            <v>7.4340608595518782</v>
          </cell>
          <cell r="J191">
            <v>7.443121005672392</v>
          </cell>
          <cell r="K191">
            <v>7.4504810615893824</v>
          </cell>
          <cell r="L191">
            <v>7.4396200645354496</v>
          </cell>
          <cell r="M191">
            <v>7.4346273837800823</v>
          </cell>
          <cell r="N191">
            <v>7.4408314459787386</v>
          </cell>
          <cell r="O191">
            <v>7.4593529769251523</v>
          </cell>
          <cell r="P191">
            <v>7.4829024298385685</v>
          </cell>
          <cell r="Q191">
            <v>7.4879143296506214</v>
          </cell>
          <cell r="R191">
            <v>7.4880280888310509</v>
          </cell>
          <cell r="S191">
            <v>7.483954269744272</v>
          </cell>
          <cell r="T191">
            <v>7.483954269744272</v>
          </cell>
          <cell r="U191">
            <v>7.483954269744272</v>
          </cell>
          <cell r="V191">
            <v>7.483954269744272</v>
          </cell>
          <cell r="W191">
            <v>7.483954269744272</v>
          </cell>
          <cell r="X191">
            <v>7.483954269744272</v>
          </cell>
          <cell r="Y191">
            <v>7.483954269744272</v>
          </cell>
          <cell r="Z191">
            <v>7.483954269744272</v>
          </cell>
          <cell r="AA191">
            <v>7.483954269744272</v>
          </cell>
          <cell r="AB191">
            <v>7.483954269744272</v>
          </cell>
          <cell r="AC191">
            <v>7.483954269744272</v>
          </cell>
          <cell r="AD191">
            <v>7.483954269744272</v>
          </cell>
          <cell r="AE191">
            <v>7.483954269744272</v>
          </cell>
          <cell r="AF191">
            <v>7.483954269744272</v>
          </cell>
        </row>
        <row r="192">
          <cell r="A192" t="str">
            <v>North Carolina</v>
          </cell>
          <cell r="B192">
            <v>7.5299841462951891</v>
          </cell>
          <cell r="C192">
            <v>7.5360539434353155</v>
          </cell>
          <cell r="D192">
            <v>7.5815853719660575</v>
          </cell>
          <cell r="E192">
            <v>7.5938723159462391</v>
          </cell>
          <cell r="F192">
            <v>7.5824290256080316</v>
          </cell>
          <cell r="G192">
            <v>7.5704837113171868</v>
          </cell>
          <cell r="H192">
            <v>7.5703799072827023</v>
          </cell>
          <cell r="I192">
            <v>7.5683366129418568</v>
          </cell>
          <cell r="J192">
            <v>7.5776209747395642</v>
          </cell>
          <cell r="K192">
            <v>7.5851149499540425</v>
          </cell>
          <cell r="L192">
            <v>7.5739527928480284</v>
          </cell>
          <cell r="M192">
            <v>7.568858468634704</v>
          </cell>
          <cell r="N192">
            <v>7.575205061170232</v>
          </cell>
          <cell r="O192">
            <v>7.5942304340595292</v>
          </cell>
          <cell r="P192">
            <v>7.6183178422682651</v>
          </cell>
          <cell r="Q192">
            <v>7.6234471333035412</v>
          </cell>
          <cell r="R192">
            <v>7.6236162856934406</v>
          </cell>
          <cell r="S192">
            <v>7.6194858321960561</v>
          </cell>
          <cell r="T192">
            <v>7.6194858321960561</v>
          </cell>
          <cell r="U192">
            <v>7.6194858321960561</v>
          </cell>
          <cell r="V192">
            <v>7.6194858321960561</v>
          </cell>
          <cell r="W192">
            <v>7.6194858321960561</v>
          </cell>
          <cell r="X192">
            <v>7.6194858321960561</v>
          </cell>
          <cell r="Y192">
            <v>7.6194858321960561</v>
          </cell>
          <cell r="Z192">
            <v>7.6194858321960561</v>
          </cell>
          <cell r="AA192">
            <v>7.6194858321960561</v>
          </cell>
          <cell r="AB192">
            <v>7.6194858321960561</v>
          </cell>
          <cell r="AC192">
            <v>7.6194858321960561</v>
          </cell>
          <cell r="AD192">
            <v>7.6194858321960561</v>
          </cell>
          <cell r="AE192">
            <v>7.6194858321960561</v>
          </cell>
          <cell r="AF192">
            <v>7.6194858321960561</v>
          </cell>
        </row>
        <row r="193">
          <cell r="A193" t="str">
            <v>North Dakota</v>
          </cell>
          <cell r="B193">
            <v>6.8952192950818851</v>
          </cell>
          <cell r="C193">
            <v>6.9006450064278546</v>
          </cell>
          <cell r="D193">
            <v>6.9412043546711413</v>
          </cell>
          <cell r="E193">
            <v>6.952111175130824</v>
          </cell>
          <cell r="F193">
            <v>6.9416793506903023</v>
          </cell>
          <cell r="G193">
            <v>6.9308258249838302</v>
          </cell>
          <cell r="H193">
            <v>6.9306160727742254</v>
          </cell>
          <cell r="I193">
            <v>6.9288101483226905</v>
          </cell>
          <cell r="J193">
            <v>6.9370491498331752</v>
          </cell>
          <cell r="K193">
            <v>6.9439056609367498</v>
          </cell>
          <cell r="L193">
            <v>6.9341388112721685</v>
          </cell>
          <cell r="M193">
            <v>6.9295243283541508</v>
          </cell>
          <cell r="N193">
            <v>6.9352034143251942</v>
          </cell>
          <cell r="O193">
            <v>6.9518920738380778</v>
          </cell>
          <cell r="P193">
            <v>6.9734592019502353</v>
          </cell>
          <cell r="Q193">
            <v>6.9780393772339542</v>
          </cell>
          <cell r="R193">
            <v>6.9779645446544176</v>
          </cell>
          <cell r="S193">
            <v>6.9741101329449435</v>
          </cell>
          <cell r="T193">
            <v>6.9741101329449435</v>
          </cell>
          <cell r="U193">
            <v>6.9741101329449435</v>
          </cell>
          <cell r="V193">
            <v>6.9741101329449435</v>
          </cell>
          <cell r="W193">
            <v>6.9741101329449435</v>
          </cell>
          <cell r="X193">
            <v>6.9741101329449435</v>
          </cell>
          <cell r="Y193">
            <v>6.9741101329449435</v>
          </cell>
          <cell r="Z193">
            <v>6.9741101329449435</v>
          </cell>
          <cell r="AA193">
            <v>6.9741101329449435</v>
          </cell>
          <cell r="AB193">
            <v>6.9741101329449435</v>
          </cell>
          <cell r="AC193">
            <v>6.9741101329449435</v>
          </cell>
          <cell r="AD193">
            <v>6.9741101329449435</v>
          </cell>
          <cell r="AE193">
            <v>6.9741101329449435</v>
          </cell>
          <cell r="AF193">
            <v>6.9741101329449435</v>
          </cell>
        </row>
        <row r="194">
          <cell r="A194" t="str">
            <v>Ohio</v>
          </cell>
          <cell r="B194">
            <v>7.3993307830569544</v>
          </cell>
          <cell r="C194">
            <v>7.4052656354765514</v>
          </cell>
          <cell r="D194">
            <v>7.4497533441804196</v>
          </cell>
          <cell r="E194">
            <v>7.4617500471035072</v>
          </cell>
          <cell r="F194">
            <v>7.4505157852794364</v>
          </cell>
          <cell r="G194">
            <v>7.4387967132988519</v>
          </cell>
          <cell r="H194">
            <v>7.4386690465947796</v>
          </cell>
          <cell r="I194">
            <v>7.4366757770094809</v>
          </cell>
          <cell r="J194">
            <v>7.4457402650983591</v>
          </cell>
          <cell r="K194">
            <v>7.4531029285952446</v>
          </cell>
          <cell r="L194">
            <v>7.4422361090775038</v>
          </cell>
          <cell r="M194">
            <v>7.4372414535234466</v>
          </cell>
          <cell r="N194">
            <v>7.4434482790858203</v>
          </cell>
          <cell r="O194">
            <v>7.4619795535974935</v>
          </cell>
          <cell r="P194">
            <v>7.4855394373061417</v>
          </cell>
          <cell r="Q194">
            <v>7.4905536123731684</v>
          </cell>
          <cell r="R194">
            <v>7.4906684287537573</v>
          </cell>
          <cell r="S194">
            <v>7.48659349991099</v>
          </cell>
          <cell r="T194">
            <v>7.48659349991099</v>
          </cell>
          <cell r="U194">
            <v>7.48659349991099</v>
          </cell>
          <cell r="V194">
            <v>7.48659349991099</v>
          </cell>
          <cell r="W194">
            <v>7.48659349991099</v>
          </cell>
          <cell r="X194">
            <v>7.48659349991099</v>
          </cell>
          <cell r="Y194">
            <v>7.48659349991099</v>
          </cell>
          <cell r="Z194">
            <v>7.48659349991099</v>
          </cell>
          <cell r="AA194">
            <v>7.48659349991099</v>
          </cell>
          <cell r="AB194">
            <v>7.48659349991099</v>
          </cell>
          <cell r="AC194">
            <v>7.48659349991099</v>
          </cell>
          <cell r="AD194">
            <v>7.48659349991099</v>
          </cell>
          <cell r="AE194">
            <v>7.48659349991099</v>
          </cell>
          <cell r="AF194">
            <v>7.48659349991099</v>
          </cell>
        </row>
        <row r="195">
          <cell r="A195" t="str">
            <v>Oklahoma</v>
          </cell>
          <cell r="B195">
            <v>7.505760285266887</v>
          </cell>
          <cell r="C195">
            <v>7.5118049691984803</v>
          </cell>
          <cell r="D195">
            <v>7.5571420838487873</v>
          </cell>
          <cell r="E195">
            <v>7.5693749718264582</v>
          </cell>
          <cell r="F195">
            <v>7.5579704696695647</v>
          </cell>
          <cell r="G195">
            <v>7.5460671619877324</v>
          </cell>
          <cell r="H195">
            <v>7.5459588525110535</v>
          </cell>
          <cell r="I195">
            <v>7.5439248791253748</v>
          </cell>
          <cell r="J195">
            <v>7.5531682892015892</v>
          </cell>
          <cell r="K195">
            <v>7.5606379144340838</v>
          </cell>
          <cell r="L195">
            <v>7.5495308361021385</v>
          </cell>
          <cell r="M195">
            <v>7.5444550266793522</v>
          </cell>
          <cell r="N195">
            <v>7.5507756118720071</v>
          </cell>
          <cell r="O195">
            <v>7.569708857504736</v>
          </cell>
          <cell r="P195">
            <v>7.593698113143974</v>
          </cell>
          <cell r="Q195">
            <v>7.5988059784332105</v>
          </cell>
          <cell r="R195">
            <v>7.5989648940513002</v>
          </cell>
          <cell r="S195">
            <v>7.5948446840757917</v>
          </cell>
          <cell r="T195">
            <v>7.5948446840757917</v>
          </cell>
          <cell r="U195">
            <v>7.5948446840757917</v>
          </cell>
          <cell r="V195">
            <v>7.5948446840757917</v>
          </cell>
          <cell r="W195">
            <v>7.5948446840757917</v>
          </cell>
          <cell r="X195">
            <v>7.5948446840757917</v>
          </cell>
          <cell r="Y195">
            <v>7.5948446840757917</v>
          </cell>
          <cell r="Z195">
            <v>7.5948446840757917</v>
          </cell>
          <cell r="AA195">
            <v>7.5948446840757917</v>
          </cell>
          <cell r="AB195">
            <v>7.5948446840757917</v>
          </cell>
          <cell r="AC195">
            <v>7.5948446840757917</v>
          </cell>
          <cell r="AD195">
            <v>7.5948446840757917</v>
          </cell>
          <cell r="AE195">
            <v>7.5948446840757917</v>
          </cell>
          <cell r="AF195">
            <v>7.5948446840757917</v>
          </cell>
        </row>
        <row r="196">
          <cell r="A196" t="str">
            <v>Oregon</v>
          </cell>
          <cell r="B196">
            <v>9.8552666309514976</v>
          </cell>
          <cell r="C196">
            <v>9.8639538107232259</v>
          </cell>
          <cell r="D196">
            <v>9.9299079540191055</v>
          </cell>
          <cell r="E196">
            <v>9.9479214388172963</v>
          </cell>
          <cell r="F196">
            <v>9.932681724287356</v>
          </cell>
          <cell r="G196">
            <v>9.9165717118130861</v>
          </cell>
          <cell r="H196">
            <v>9.9170794664214341</v>
          </cell>
          <cell r="I196">
            <v>9.9140397652756196</v>
          </cell>
          <cell r="J196">
            <v>9.9276652912905803</v>
          </cell>
          <cell r="K196">
            <v>9.9375056089779221</v>
          </cell>
          <cell r="L196">
            <v>9.920346992335551</v>
          </cell>
          <cell r="M196">
            <v>9.9133967220876098</v>
          </cell>
          <cell r="N196">
            <v>9.9224466629045249</v>
          </cell>
          <cell r="O196">
            <v>9.9514597216848593</v>
          </cell>
          <cell r="P196">
            <v>9.9857335660924598</v>
          </cell>
          <cell r="Q196">
            <v>9.9931017835351401</v>
          </cell>
          <cell r="R196">
            <v>9.9946122405148117</v>
          </cell>
          <cell r="S196">
            <v>9.989611139664909</v>
          </cell>
          <cell r="T196">
            <v>9.989611139664909</v>
          </cell>
          <cell r="U196">
            <v>9.989611139664909</v>
          </cell>
          <cell r="V196">
            <v>9.989611139664909</v>
          </cell>
          <cell r="W196">
            <v>9.989611139664909</v>
          </cell>
          <cell r="X196">
            <v>9.989611139664909</v>
          </cell>
          <cell r="Y196">
            <v>9.989611139664909</v>
          </cell>
          <cell r="Z196">
            <v>9.989611139664909</v>
          </cell>
          <cell r="AA196">
            <v>9.989611139664909</v>
          </cell>
          <cell r="AB196">
            <v>9.989611139664909</v>
          </cell>
          <cell r="AC196">
            <v>9.989611139664909</v>
          </cell>
          <cell r="AD196">
            <v>9.989611139664909</v>
          </cell>
          <cell r="AE196">
            <v>9.989611139664909</v>
          </cell>
          <cell r="AF196">
            <v>9.989611139664909</v>
          </cell>
        </row>
        <row r="197">
          <cell r="A197" t="str">
            <v>Pennsylvania</v>
          </cell>
          <cell r="B197">
            <v>7.3967357295736642</v>
          </cell>
          <cell r="C197">
            <v>7.4026679144013547</v>
          </cell>
          <cell r="D197">
            <v>7.4471350013371893</v>
          </cell>
          <cell r="E197">
            <v>7.4591259724763272</v>
          </cell>
          <cell r="F197">
            <v>7.4478958579136139</v>
          </cell>
          <cell r="G197">
            <v>7.4361812714528508</v>
          </cell>
          <cell r="H197">
            <v>7.4360531417839377</v>
          </cell>
          <cell r="I197">
            <v>7.43406085955188</v>
          </cell>
          <cell r="J197">
            <v>7.4431210056723938</v>
          </cell>
          <cell r="K197">
            <v>7.4504810615893824</v>
          </cell>
          <cell r="L197">
            <v>7.4396200645354496</v>
          </cell>
          <cell r="M197">
            <v>7.4346273837800805</v>
          </cell>
          <cell r="N197">
            <v>7.4408314459787386</v>
          </cell>
          <cell r="O197">
            <v>7.4593529769251523</v>
          </cell>
          <cell r="P197">
            <v>7.4829024298385693</v>
          </cell>
          <cell r="Q197">
            <v>7.4879143296506214</v>
          </cell>
          <cell r="R197">
            <v>7.4880280888310482</v>
          </cell>
          <cell r="S197">
            <v>7.4839542697442711</v>
          </cell>
          <cell r="T197">
            <v>7.4839542697442711</v>
          </cell>
          <cell r="U197">
            <v>7.4839542697442711</v>
          </cell>
          <cell r="V197">
            <v>7.4839542697442711</v>
          </cell>
          <cell r="W197">
            <v>7.4839542697442711</v>
          </cell>
          <cell r="X197">
            <v>7.4839542697442711</v>
          </cell>
          <cell r="Y197">
            <v>7.4839542697442711</v>
          </cell>
          <cell r="Z197">
            <v>7.4839542697442711</v>
          </cell>
          <cell r="AA197">
            <v>7.4839542697442711</v>
          </cell>
          <cell r="AB197">
            <v>7.4839542697442711</v>
          </cell>
          <cell r="AC197">
            <v>7.4839542697442711</v>
          </cell>
          <cell r="AD197">
            <v>7.4839542697442711</v>
          </cell>
          <cell r="AE197">
            <v>7.4839542697442711</v>
          </cell>
          <cell r="AF197">
            <v>7.4839542697442711</v>
          </cell>
        </row>
        <row r="198">
          <cell r="A198" t="str">
            <v>Rhode Island</v>
          </cell>
          <cell r="B198">
            <v>7.396735729573666</v>
          </cell>
          <cell r="C198">
            <v>7.402667914401353</v>
          </cell>
          <cell r="D198">
            <v>7.447135001337192</v>
          </cell>
          <cell r="E198">
            <v>7.4591259724763281</v>
          </cell>
          <cell r="F198">
            <v>7.4478958579136174</v>
          </cell>
          <cell r="G198">
            <v>7.4361812714528535</v>
          </cell>
          <cell r="H198">
            <v>7.4360531417839386</v>
          </cell>
          <cell r="I198">
            <v>7.4340608595518782</v>
          </cell>
          <cell r="J198">
            <v>7.4431210056723938</v>
          </cell>
          <cell r="K198">
            <v>7.4504810615893842</v>
          </cell>
          <cell r="L198">
            <v>7.4396200645354496</v>
          </cell>
          <cell r="M198">
            <v>7.4346273837800823</v>
          </cell>
          <cell r="N198">
            <v>7.4408314459787377</v>
          </cell>
          <cell r="O198">
            <v>7.4593529769251514</v>
          </cell>
          <cell r="P198">
            <v>7.4829024298385685</v>
          </cell>
          <cell r="Q198">
            <v>7.4879143296506214</v>
          </cell>
          <cell r="R198">
            <v>7.4880280888310509</v>
          </cell>
          <cell r="S198">
            <v>7.483954269744272</v>
          </cell>
          <cell r="T198">
            <v>7.483954269744272</v>
          </cell>
          <cell r="U198">
            <v>7.483954269744272</v>
          </cell>
          <cell r="V198">
            <v>7.483954269744272</v>
          </cell>
          <cell r="W198">
            <v>7.483954269744272</v>
          </cell>
          <cell r="X198">
            <v>7.483954269744272</v>
          </cell>
          <cell r="Y198">
            <v>7.483954269744272</v>
          </cell>
          <cell r="Z198">
            <v>7.483954269744272</v>
          </cell>
          <cell r="AA198">
            <v>7.483954269744272</v>
          </cell>
          <cell r="AB198">
            <v>7.483954269744272</v>
          </cell>
          <cell r="AC198">
            <v>7.483954269744272</v>
          </cell>
          <cell r="AD198">
            <v>7.483954269744272</v>
          </cell>
          <cell r="AE198">
            <v>7.483954269744272</v>
          </cell>
          <cell r="AF198">
            <v>7.483954269744272</v>
          </cell>
        </row>
        <row r="199">
          <cell r="A199" t="str">
            <v>South Carolina</v>
          </cell>
          <cell r="B199">
            <v>7.5299841462951873</v>
          </cell>
          <cell r="C199">
            <v>7.5360539434353182</v>
          </cell>
          <cell r="D199">
            <v>7.5815853719660558</v>
          </cell>
          <cell r="E199">
            <v>7.5938723159462418</v>
          </cell>
          <cell r="F199">
            <v>7.5824290256080316</v>
          </cell>
          <cell r="G199">
            <v>7.5704837113171868</v>
          </cell>
          <cell r="H199">
            <v>7.5703799072827023</v>
          </cell>
          <cell r="I199">
            <v>7.5683366129418586</v>
          </cell>
          <cell r="J199">
            <v>7.5776209747395624</v>
          </cell>
          <cell r="K199">
            <v>7.5851149499540416</v>
          </cell>
          <cell r="L199">
            <v>7.5739527928480301</v>
          </cell>
          <cell r="M199">
            <v>7.568858468634704</v>
          </cell>
          <cell r="N199">
            <v>7.5752050611702302</v>
          </cell>
          <cell r="O199">
            <v>7.5942304340595292</v>
          </cell>
          <cell r="P199">
            <v>7.618317842268266</v>
          </cell>
          <cell r="Q199">
            <v>7.6234471333035421</v>
          </cell>
          <cell r="R199">
            <v>7.623616285693438</v>
          </cell>
          <cell r="S199">
            <v>7.6194858321960561</v>
          </cell>
          <cell r="T199">
            <v>7.6194858321960561</v>
          </cell>
          <cell r="U199">
            <v>7.6194858321960561</v>
          </cell>
          <cell r="V199">
            <v>7.6194858321960561</v>
          </cell>
          <cell r="W199">
            <v>7.6194858321960561</v>
          </cell>
          <cell r="X199">
            <v>7.6194858321960561</v>
          </cell>
          <cell r="Y199">
            <v>7.6194858321960561</v>
          </cell>
          <cell r="Z199">
            <v>7.6194858321960561</v>
          </cell>
          <cell r="AA199">
            <v>7.6194858321960561</v>
          </cell>
          <cell r="AB199">
            <v>7.6194858321960561</v>
          </cell>
          <cell r="AC199">
            <v>7.6194858321960561</v>
          </cell>
          <cell r="AD199">
            <v>7.6194858321960561</v>
          </cell>
          <cell r="AE199">
            <v>7.6194858321960561</v>
          </cell>
          <cell r="AF199">
            <v>7.6194858321960561</v>
          </cell>
        </row>
        <row r="200">
          <cell r="A200" t="str">
            <v>South Dakota</v>
          </cell>
          <cell r="B200">
            <v>6.8952192950818851</v>
          </cell>
          <cell r="C200">
            <v>6.9006450064278564</v>
          </cell>
          <cell r="D200">
            <v>6.9412043546711386</v>
          </cell>
          <cell r="E200">
            <v>6.9521111751308231</v>
          </cell>
          <cell r="F200">
            <v>6.9416793506903023</v>
          </cell>
          <cell r="G200">
            <v>6.9308258249838284</v>
          </cell>
          <cell r="H200">
            <v>6.9306160727742263</v>
          </cell>
          <cell r="I200">
            <v>6.9288101483226949</v>
          </cell>
          <cell r="J200">
            <v>6.9370491498331752</v>
          </cell>
          <cell r="K200">
            <v>6.9439056609367471</v>
          </cell>
          <cell r="L200">
            <v>6.9341388112721685</v>
          </cell>
          <cell r="M200">
            <v>6.9295243283541526</v>
          </cell>
          <cell r="N200">
            <v>6.9352034143251959</v>
          </cell>
          <cell r="O200">
            <v>6.9518920738380778</v>
          </cell>
          <cell r="P200">
            <v>6.9734592019502353</v>
          </cell>
          <cell r="Q200">
            <v>6.9780393772339542</v>
          </cell>
          <cell r="R200">
            <v>6.9779645446544185</v>
          </cell>
          <cell r="S200">
            <v>6.9741101329449453</v>
          </cell>
          <cell r="T200">
            <v>6.9741101329449453</v>
          </cell>
          <cell r="U200">
            <v>6.9741101329449453</v>
          </cell>
          <cell r="V200">
            <v>6.9741101329449453</v>
          </cell>
          <cell r="W200">
            <v>6.9741101329449453</v>
          </cell>
          <cell r="X200">
            <v>6.9741101329449453</v>
          </cell>
          <cell r="Y200">
            <v>6.9741101329449453</v>
          </cell>
          <cell r="Z200">
            <v>6.9741101329449453</v>
          </cell>
          <cell r="AA200">
            <v>6.9741101329449453</v>
          </cell>
          <cell r="AB200">
            <v>6.9741101329449453</v>
          </cell>
          <cell r="AC200">
            <v>6.9741101329449453</v>
          </cell>
          <cell r="AD200">
            <v>6.9741101329449453</v>
          </cell>
          <cell r="AE200">
            <v>6.9741101329449453</v>
          </cell>
          <cell r="AF200">
            <v>6.9741101329449453</v>
          </cell>
        </row>
        <row r="201">
          <cell r="A201" t="str">
            <v>Tennessee</v>
          </cell>
          <cell r="B201">
            <v>7.5299841462951873</v>
          </cell>
          <cell r="C201">
            <v>7.5360539434353147</v>
          </cell>
          <cell r="D201">
            <v>7.5815853719660549</v>
          </cell>
          <cell r="E201">
            <v>7.5938723159462436</v>
          </cell>
          <cell r="F201">
            <v>7.5824290256080342</v>
          </cell>
          <cell r="G201">
            <v>7.570483711317185</v>
          </cell>
          <cell r="H201">
            <v>7.5703799072827023</v>
          </cell>
          <cell r="I201">
            <v>7.5683366129418559</v>
          </cell>
          <cell r="J201">
            <v>7.5776209747395651</v>
          </cell>
          <cell r="K201">
            <v>7.5851149499540416</v>
          </cell>
          <cell r="L201">
            <v>7.5739527928480275</v>
          </cell>
          <cell r="M201">
            <v>7.568858468634704</v>
          </cell>
          <cell r="N201">
            <v>7.5752050611702302</v>
          </cell>
          <cell r="O201">
            <v>7.5942304340595292</v>
          </cell>
          <cell r="P201">
            <v>7.6183178422682669</v>
          </cell>
          <cell r="Q201">
            <v>7.6234471333035412</v>
          </cell>
          <cell r="R201">
            <v>7.623616285693438</v>
          </cell>
          <cell r="S201">
            <v>7.6194858321960588</v>
          </cell>
          <cell r="T201">
            <v>7.6194858321960588</v>
          </cell>
          <cell r="U201">
            <v>7.6194858321960588</v>
          </cell>
          <cell r="V201">
            <v>7.6194858321960588</v>
          </cell>
          <cell r="W201">
            <v>7.6194858321960588</v>
          </cell>
          <cell r="X201">
            <v>7.6194858321960588</v>
          </cell>
          <cell r="Y201">
            <v>7.6194858321960588</v>
          </cell>
          <cell r="Z201">
            <v>7.6194858321960588</v>
          </cell>
          <cell r="AA201">
            <v>7.6194858321960588</v>
          </cell>
          <cell r="AB201">
            <v>7.6194858321960588</v>
          </cell>
          <cell r="AC201">
            <v>7.6194858321960588</v>
          </cell>
          <cell r="AD201">
            <v>7.6194858321960588</v>
          </cell>
          <cell r="AE201">
            <v>7.6194858321960588</v>
          </cell>
          <cell r="AF201">
            <v>7.6194858321960588</v>
          </cell>
        </row>
        <row r="202">
          <cell r="A202" t="str">
            <v>Texas</v>
          </cell>
          <cell r="B202">
            <v>7.505760285266887</v>
          </cell>
          <cell r="C202">
            <v>7.5118049691984803</v>
          </cell>
          <cell r="D202">
            <v>7.5571420838487882</v>
          </cell>
          <cell r="E202">
            <v>7.5693749718264574</v>
          </cell>
          <cell r="F202">
            <v>7.5579704696695673</v>
          </cell>
          <cell r="G202">
            <v>7.5460671619877306</v>
          </cell>
          <cell r="H202">
            <v>7.5459588525110526</v>
          </cell>
          <cell r="I202">
            <v>7.5439248791253739</v>
          </cell>
          <cell r="J202">
            <v>7.5531682892015892</v>
          </cell>
          <cell r="K202">
            <v>7.5606379144340847</v>
          </cell>
          <cell r="L202">
            <v>7.5495308361021385</v>
          </cell>
          <cell r="M202">
            <v>7.5444550266793504</v>
          </cell>
          <cell r="N202">
            <v>7.5507756118720071</v>
          </cell>
          <cell r="O202">
            <v>7.569708857504736</v>
          </cell>
          <cell r="P202">
            <v>7.593698113143974</v>
          </cell>
          <cell r="Q202">
            <v>7.5988059784332105</v>
          </cell>
          <cell r="R202">
            <v>7.5989648940512975</v>
          </cell>
          <cell r="S202">
            <v>7.5948446840757891</v>
          </cell>
          <cell r="T202">
            <v>7.5948446840757891</v>
          </cell>
          <cell r="U202">
            <v>7.5948446840757891</v>
          </cell>
          <cell r="V202">
            <v>7.5948446840757891</v>
          </cell>
          <cell r="W202">
            <v>7.5948446840757891</v>
          </cell>
          <cell r="X202">
            <v>7.5948446840757891</v>
          </cell>
          <cell r="Y202">
            <v>7.5948446840757891</v>
          </cell>
          <cell r="Z202">
            <v>7.5948446840757891</v>
          </cell>
          <cell r="AA202">
            <v>7.5948446840757891</v>
          </cell>
          <cell r="AB202">
            <v>7.5948446840757891</v>
          </cell>
          <cell r="AC202">
            <v>7.5948446840757891</v>
          </cell>
          <cell r="AD202">
            <v>7.5948446840757891</v>
          </cell>
          <cell r="AE202">
            <v>7.5948446840757891</v>
          </cell>
          <cell r="AF202">
            <v>7.5948446840757891</v>
          </cell>
        </row>
        <row r="203">
          <cell r="A203" t="str">
            <v>Utah</v>
          </cell>
          <cell r="B203">
            <v>9.8552666309514994</v>
          </cell>
          <cell r="C203">
            <v>9.8639538107232259</v>
          </cell>
          <cell r="D203">
            <v>9.9299079540191055</v>
          </cell>
          <cell r="E203">
            <v>9.9479214388172963</v>
          </cell>
          <cell r="F203">
            <v>9.932681724287356</v>
          </cell>
          <cell r="G203">
            <v>9.9165717118130825</v>
          </cell>
          <cell r="H203">
            <v>9.9170794664214323</v>
          </cell>
          <cell r="I203">
            <v>9.9140397652756196</v>
          </cell>
          <cell r="J203">
            <v>9.9276652912905803</v>
          </cell>
          <cell r="K203">
            <v>9.9375056089779203</v>
          </cell>
          <cell r="L203">
            <v>9.9203469923355492</v>
          </cell>
          <cell r="M203">
            <v>9.9133967220876098</v>
          </cell>
          <cell r="N203">
            <v>9.9224466629045249</v>
          </cell>
          <cell r="O203">
            <v>9.9514597216848575</v>
          </cell>
          <cell r="P203">
            <v>9.985733566092458</v>
          </cell>
          <cell r="Q203">
            <v>9.9931017835351401</v>
          </cell>
          <cell r="R203">
            <v>9.9946122405148135</v>
          </cell>
          <cell r="S203">
            <v>9.9896111396649072</v>
          </cell>
          <cell r="T203">
            <v>9.9896111396649072</v>
          </cell>
          <cell r="U203">
            <v>9.9896111396649072</v>
          </cell>
          <cell r="V203">
            <v>9.9896111396649072</v>
          </cell>
          <cell r="W203">
            <v>9.9896111396649072</v>
          </cell>
          <cell r="X203">
            <v>9.9896111396649072</v>
          </cell>
          <cell r="Y203">
            <v>9.9896111396649072</v>
          </cell>
          <cell r="Z203">
            <v>9.9896111396649072</v>
          </cell>
          <cell r="AA203">
            <v>9.9896111396649072</v>
          </cell>
          <cell r="AB203">
            <v>9.9896111396649072</v>
          </cell>
          <cell r="AC203">
            <v>9.9896111396649072</v>
          </cell>
          <cell r="AD203">
            <v>9.9896111396649072</v>
          </cell>
          <cell r="AE203">
            <v>9.9896111396649072</v>
          </cell>
          <cell r="AF203">
            <v>9.9896111396649072</v>
          </cell>
        </row>
        <row r="204">
          <cell r="A204" t="str">
            <v>Vermont</v>
          </cell>
          <cell r="B204">
            <v>7.3967357295736651</v>
          </cell>
          <cell r="C204">
            <v>7.402667914401353</v>
          </cell>
          <cell r="D204">
            <v>7.4471350013371902</v>
          </cell>
          <cell r="E204">
            <v>7.4591259724763272</v>
          </cell>
          <cell r="F204">
            <v>7.4478958579136174</v>
          </cell>
          <cell r="G204">
            <v>7.4361812714528526</v>
          </cell>
          <cell r="H204">
            <v>7.4360531417839386</v>
          </cell>
          <cell r="I204">
            <v>7.4340608595518773</v>
          </cell>
          <cell r="J204">
            <v>7.4431210056723938</v>
          </cell>
          <cell r="K204">
            <v>7.4504810615893815</v>
          </cell>
          <cell r="L204">
            <v>7.4396200645354513</v>
          </cell>
          <cell r="M204">
            <v>7.4346273837800823</v>
          </cell>
          <cell r="N204">
            <v>7.4408314459787386</v>
          </cell>
          <cell r="O204">
            <v>7.4593529769251523</v>
          </cell>
          <cell r="P204">
            <v>7.4829024298385685</v>
          </cell>
          <cell r="Q204">
            <v>7.4879143296506232</v>
          </cell>
          <cell r="R204">
            <v>7.4880280888310482</v>
          </cell>
          <cell r="S204">
            <v>7.4839542697442738</v>
          </cell>
          <cell r="T204">
            <v>7.4839542697442738</v>
          </cell>
          <cell r="U204">
            <v>7.4839542697442738</v>
          </cell>
          <cell r="V204">
            <v>7.4839542697442738</v>
          </cell>
          <cell r="W204">
            <v>7.4839542697442738</v>
          </cell>
          <cell r="X204">
            <v>7.4839542697442738</v>
          </cell>
          <cell r="Y204">
            <v>7.4839542697442738</v>
          </cell>
          <cell r="Z204">
            <v>7.4839542697442738</v>
          </cell>
          <cell r="AA204">
            <v>7.4839542697442738</v>
          </cell>
          <cell r="AB204">
            <v>7.4839542697442738</v>
          </cell>
          <cell r="AC204">
            <v>7.4839542697442738</v>
          </cell>
          <cell r="AD204">
            <v>7.4839542697442738</v>
          </cell>
          <cell r="AE204">
            <v>7.4839542697442738</v>
          </cell>
          <cell r="AF204">
            <v>7.4839542697442738</v>
          </cell>
        </row>
        <row r="205">
          <cell r="A205" t="str">
            <v>Virginia</v>
          </cell>
          <cell r="B205">
            <v>7.5299841462951891</v>
          </cell>
          <cell r="C205">
            <v>7.5360539434353147</v>
          </cell>
          <cell r="D205">
            <v>7.5815853719660558</v>
          </cell>
          <cell r="E205">
            <v>7.5938723159462409</v>
          </cell>
          <cell r="F205">
            <v>7.5824290256080316</v>
          </cell>
          <cell r="G205">
            <v>7.5704837113171841</v>
          </cell>
          <cell r="H205">
            <v>7.5703799072827032</v>
          </cell>
          <cell r="I205">
            <v>7.5683366129418586</v>
          </cell>
          <cell r="J205">
            <v>7.5776209747395642</v>
          </cell>
          <cell r="K205">
            <v>7.5851149499540416</v>
          </cell>
          <cell r="L205">
            <v>7.5739527928480284</v>
          </cell>
          <cell r="M205">
            <v>7.568858468634704</v>
          </cell>
          <cell r="N205">
            <v>7.5752050611702328</v>
          </cell>
          <cell r="O205">
            <v>7.594230434059531</v>
          </cell>
          <cell r="P205">
            <v>7.6183178422682669</v>
          </cell>
          <cell r="Q205">
            <v>7.6234471333035421</v>
          </cell>
          <cell r="R205">
            <v>7.623616285693438</v>
          </cell>
          <cell r="S205">
            <v>7.6194858321960579</v>
          </cell>
          <cell r="T205">
            <v>7.6194858321960579</v>
          </cell>
          <cell r="U205">
            <v>7.6194858321960579</v>
          </cell>
          <cell r="V205">
            <v>7.6194858321960579</v>
          </cell>
          <cell r="W205">
            <v>7.6194858321960579</v>
          </cell>
          <cell r="X205">
            <v>7.6194858321960579</v>
          </cell>
          <cell r="Y205">
            <v>7.6194858321960579</v>
          </cell>
          <cell r="Z205">
            <v>7.6194858321960579</v>
          </cell>
          <cell r="AA205">
            <v>7.6194858321960579</v>
          </cell>
          <cell r="AB205">
            <v>7.6194858321960579</v>
          </cell>
          <cell r="AC205">
            <v>7.6194858321960579</v>
          </cell>
          <cell r="AD205">
            <v>7.6194858321960579</v>
          </cell>
          <cell r="AE205">
            <v>7.6194858321960579</v>
          </cell>
          <cell r="AF205">
            <v>7.6194858321960579</v>
          </cell>
        </row>
        <row r="206">
          <cell r="A206" t="str">
            <v>Washington</v>
          </cell>
          <cell r="B206">
            <v>9.8552666309515011</v>
          </cell>
          <cell r="C206">
            <v>9.8639538107232259</v>
          </cell>
          <cell r="D206">
            <v>9.929907954019102</v>
          </cell>
          <cell r="E206">
            <v>9.9479214388172945</v>
          </cell>
          <cell r="F206">
            <v>9.932681724287356</v>
          </cell>
          <cell r="G206">
            <v>9.9165717118130825</v>
          </cell>
          <cell r="H206">
            <v>9.9170794664214377</v>
          </cell>
          <cell r="I206">
            <v>9.9140397652756231</v>
          </cell>
          <cell r="J206">
            <v>9.9276652912905803</v>
          </cell>
          <cell r="K206">
            <v>9.9375056089779221</v>
          </cell>
          <cell r="L206">
            <v>9.9203469923355527</v>
          </cell>
          <cell r="M206">
            <v>9.9133967220876116</v>
          </cell>
          <cell r="N206">
            <v>9.9224466629045267</v>
          </cell>
          <cell r="O206">
            <v>9.9514597216848575</v>
          </cell>
          <cell r="P206">
            <v>9.9857335660924598</v>
          </cell>
          <cell r="Q206">
            <v>9.9931017835351401</v>
          </cell>
          <cell r="R206">
            <v>9.9946122405148135</v>
          </cell>
          <cell r="S206">
            <v>9.989611139664909</v>
          </cell>
          <cell r="T206">
            <v>9.989611139664909</v>
          </cell>
          <cell r="U206">
            <v>9.989611139664909</v>
          </cell>
          <cell r="V206">
            <v>9.989611139664909</v>
          </cell>
          <cell r="W206">
            <v>9.989611139664909</v>
          </cell>
          <cell r="X206">
            <v>9.989611139664909</v>
          </cell>
          <cell r="Y206">
            <v>9.989611139664909</v>
          </cell>
          <cell r="Z206">
            <v>9.989611139664909</v>
          </cell>
          <cell r="AA206">
            <v>9.989611139664909</v>
          </cell>
          <cell r="AB206">
            <v>9.989611139664909</v>
          </cell>
          <cell r="AC206">
            <v>9.989611139664909</v>
          </cell>
          <cell r="AD206">
            <v>9.989611139664909</v>
          </cell>
          <cell r="AE206">
            <v>9.989611139664909</v>
          </cell>
          <cell r="AF206">
            <v>9.989611139664909</v>
          </cell>
        </row>
        <row r="207">
          <cell r="A207" t="str">
            <v>West Virginia</v>
          </cell>
          <cell r="B207">
            <v>7.3967357295736642</v>
          </cell>
          <cell r="C207">
            <v>7.4026679144013539</v>
          </cell>
          <cell r="D207">
            <v>7.4471350013371929</v>
          </cell>
          <cell r="E207">
            <v>7.4591259724763272</v>
          </cell>
          <cell r="F207">
            <v>7.4478958579136147</v>
          </cell>
          <cell r="G207">
            <v>7.4361812714528508</v>
          </cell>
          <cell r="H207">
            <v>7.4360531417839377</v>
          </cell>
          <cell r="I207">
            <v>7.43406085955188</v>
          </cell>
          <cell r="J207">
            <v>7.4431210056723955</v>
          </cell>
          <cell r="K207">
            <v>7.4504810615893824</v>
          </cell>
          <cell r="L207">
            <v>7.4396200645354496</v>
          </cell>
          <cell r="M207">
            <v>7.4346273837800814</v>
          </cell>
          <cell r="N207">
            <v>7.4408314459787386</v>
          </cell>
          <cell r="O207">
            <v>7.4593529769251532</v>
          </cell>
          <cell r="P207">
            <v>7.4829024298385693</v>
          </cell>
          <cell r="Q207">
            <v>7.4879143296506205</v>
          </cell>
          <cell r="R207">
            <v>7.4880280888310482</v>
          </cell>
          <cell r="S207">
            <v>7.4839542697442747</v>
          </cell>
          <cell r="T207">
            <v>7.4839542697442747</v>
          </cell>
          <cell r="U207">
            <v>7.4839542697442747</v>
          </cell>
          <cell r="V207">
            <v>7.4839542697442747</v>
          </cell>
          <cell r="W207">
            <v>7.4839542697442747</v>
          </cell>
          <cell r="X207">
            <v>7.4839542697442747</v>
          </cell>
          <cell r="Y207">
            <v>7.4839542697442747</v>
          </cell>
          <cell r="Z207">
            <v>7.4839542697442747</v>
          </cell>
          <cell r="AA207">
            <v>7.4839542697442747</v>
          </cell>
          <cell r="AB207">
            <v>7.4839542697442747</v>
          </cell>
          <cell r="AC207">
            <v>7.4839542697442747</v>
          </cell>
          <cell r="AD207">
            <v>7.4839542697442747</v>
          </cell>
          <cell r="AE207">
            <v>7.4839542697442747</v>
          </cell>
          <cell r="AF207">
            <v>7.4839542697442747</v>
          </cell>
        </row>
        <row r="208">
          <cell r="A208" t="str">
            <v>Wisconsin</v>
          </cell>
          <cell r="B208">
            <v>7.3993307830569544</v>
          </cell>
          <cell r="C208">
            <v>7.4052656354765531</v>
          </cell>
          <cell r="D208">
            <v>7.4497533441804205</v>
          </cell>
          <cell r="E208">
            <v>7.4617500471035054</v>
          </cell>
          <cell r="F208">
            <v>7.4505157852794346</v>
          </cell>
          <cell r="G208">
            <v>7.4387967132988511</v>
          </cell>
          <cell r="H208">
            <v>7.4386690465947787</v>
          </cell>
          <cell r="I208">
            <v>7.4366757770094791</v>
          </cell>
          <cell r="J208">
            <v>7.4457402650983617</v>
          </cell>
          <cell r="K208">
            <v>7.4531029285952446</v>
          </cell>
          <cell r="L208">
            <v>7.4422361090775038</v>
          </cell>
          <cell r="M208">
            <v>7.4372414535234492</v>
          </cell>
          <cell r="N208">
            <v>7.4434482790858203</v>
          </cell>
          <cell r="O208">
            <v>7.4619795535974935</v>
          </cell>
          <cell r="P208">
            <v>7.4855394373061435</v>
          </cell>
          <cell r="Q208">
            <v>7.4905536123731684</v>
          </cell>
          <cell r="R208">
            <v>7.4906684287537573</v>
          </cell>
          <cell r="S208">
            <v>7.4865934999109935</v>
          </cell>
          <cell r="T208">
            <v>7.4865934999109935</v>
          </cell>
          <cell r="U208">
            <v>7.4865934999109935</v>
          </cell>
          <cell r="V208">
            <v>7.4865934999109935</v>
          </cell>
          <cell r="W208">
            <v>7.4865934999109935</v>
          </cell>
          <cell r="X208">
            <v>7.4865934999109935</v>
          </cell>
          <cell r="Y208">
            <v>7.4865934999109935</v>
          </cell>
          <cell r="Z208">
            <v>7.4865934999109935</v>
          </cell>
          <cell r="AA208">
            <v>7.4865934999109935</v>
          </cell>
          <cell r="AB208">
            <v>7.4865934999109935</v>
          </cell>
          <cell r="AC208">
            <v>7.4865934999109935</v>
          </cell>
          <cell r="AD208">
            <v>7.4865934999109935</v>
          </cell>
          <cell r="AE208">
            <v>7.4865934999109935</v>
          </cell>
          <cell r="AF208">
            <v>7.4865934999109935</v>
          </cell>
        </row>
        <row r="209">
          <cell r="A209" t="str">
            <v>Wyoming</v>
          </cell>
          <cell r="B209">
            <v>6.8952192950818869</v>
          </cell>
          <cell r="C209">
            <v>6.9006450064278564</v>
          </cell>
          <cell r="D209">
            <v>6.9412043546711395</v>
          </cell>
          <cell r="E209">
            <v>6.9521111751308231</v>
          </cell>
          <cell r="F209">
            <v>6.9416793506903023</v>
          </cell>
          <cell r="G209">
            <v>6.9308258249838284</v>
          </cell>
          <cell r="H209">
            <v>6.9306160727742236</v>
          </cell>
          <cell r="I209">
            <v>6.9288101483226949</v>
          </cell>
          <cell r="J209">
            <v>6.9370491498331726</v>
          </cell>
          <cell r="K209">
            <v>6.9439056609367489</v>
          </cell>
          <cell r="L209">
            <v>6.9341388112721676</v>
          </cell>
          <cell r="M209">
            <v>6.9295243283541534</v>
          </cell>
          <cell r="N209">
            <v>6.935203414325195</v>
          </cell>
          <cell r="O209">
            <v>6.9518920738380796</v>
          </cell>
          <cell r="P209">
            <v>6.9734592019502379</v>
          </cell>
          <cell r="Q209">
            <v>6.9780393772339542</v>
          </cell>
          <cell r="R209">
            <v>6.9779645446544158</v>
          </cell>
          <cell r="S209">
            <v>6.9741101329449462</v>
          </cell>
          <cell r="T209">
            <v>6.9741101329449462</v>
          </cell>
          <cell r="U209">
            <v>6.9741101329449462</v>
          </cell>
          <cell r="V209">
            <v>6.9741101329449462</v>
          </cell>
          <cell r="W209">
            <v>6.9741101329449462</v>
          </cell>
          <cell r="X209">
            <v>6.9741101329449462</v>
          </cell>
          <cell r="Y209">
            <v>6.9741101329449462</v>
          </cell>
          <cell r="Z209">
            <v>6.9741101329449462</v>
          </cell>
          <cell r="AA209">
            <v>6.9741101329449462</v>
          </cell>
          <cell r="AB209">
            <v>6.9741101329449462</v>
          </cell>
          <cell r="AC209">
            <v>6.9741101329449462</v>
          </cell>
          <cell r="AD209">
            <v>6.9741101329449462</v>
          </cell>
          <cell r="AE209">
            <v>6.9741101329449462</v>
          </cell>
          <cell r="AF209">
            <v>6.9741101329449462</v>
          </cell>
        </row>
        <row r="211">
          <cell r="A211" t="str">
            <v>Steer Stockers</v>
          </cell>
          <cell r="B211">
            <v>1990</v>
          </cell>
          <cell r="C211">
            <v>1991</v>
          </cell>
          <cell r="D211">
            <v>1992</v>
          </cell>
          <cell r="E211">
            <v>1993</v>
          </cell>
          <cell r="F211">
            <v>1994</v>
          </cell>
          <cell r="G211">
            <v>1995</v>
          </cell>
          <cell r="H211">
            <v>1996</v>
          </cell>
          <cell r="I211">
            <v>1997</v>
          </cell>
          <cell r="J211">
            <v>1998</v>
          </cell>
          <cell r="K211">
            <v>1999</v>
          </cell>
          <cell r="L211">
            <v>2000</v>
          </cell>
          <cell r="M211">
            <v>2001</v>
          </cell>
          <cell r="N211">
            <v>2002</v>
          </cell>
          <cell r="O211">
            <v>2003</v>
          </cell>
          <cell r="P211">
            <v>2004</v>
          </cell>
          <cell r="Q211">
            <v>2005</v>
          </cell>
          <cell r="R211">
            <v>2006</v>
          </cell>
          <cell r="S211">
            <v>2007</v>
          </cell>
          <cell r="T211">
            <v>2008</v>
          </cell>
          <cell r="U211">
            <v>2009</v>
          </cell>
          <cell r="V211">
            <v>2010</v>
          </cell>
          <cell r="W211">
            <v>2011</v>
          </cell>
          <cell r="X211">
            <v>2012</v>
          </cell>
          <cell r="Y211">
            <v>2013</v>
          </cell>
          <cell r="Z211">
            <v>2014</v>
          </cell>
          <cell r="AA211">
            <v>2015</v>
          </cell>
          <cell r="AB211">
            <v>2016</v>
          </cell>
          <cell r="AC211">
            <v>2017</v>
          </cell>
          <cell r="AD211">
            <v>2018</v>
          </cell>
          <cell r="AE211">
            <v>2019</v>
          </cell>
          <cell r="AF211">
            <v>2020</v>
          </cell>
        </row>
        <row r="212">
          <cell r="A212" t="str">
            <v>Alabama</v>
          </cell>
          <cell r="B212">
            <v>8.0659099007677018</v>
          </cell>
          <cell r="C212">
            <v>8.0989381615450284</v>
          </cell>
          <cell r="D212">
            <v>7.9370938386556107</v>
          </cell>
          <cell r="E212">
            <v>7.9000772267876789</v>
          </cell>
          <cell r="F212">
            <v>7.9344054631506671</v>
          </cell>
          <cell r="G212">
            <v>7.854601459051608</v>
          </cell>
          <cell r="H212">
            <v>7.8213372251499518</v>
          </cell>
          <cell r="I212">
            <v>7.9218328712060915</v>
          </cell>
          <cell r="J212">
            <v>7.9567427782022975</v>
          </cell>
          <cell r="K212">
            <v>8.0847755865398216</v>
          </cell>
          <cell r="L212">
            <v>8.2951621179357655</v>
          </cell>
          <cell r="M212">
            <v>8.1925613898602716</v>
          </cell>
          <cell r="N212">
            <v>8.2171348140345692</v>
          </cell>
          <cell r="O212">
            <v>8.2656935808985406</v>
          </cell>
          <cell r="P212">
            <v>8.1563478501583333</v>
          </cell>
          <cell r="Q212">
            <v>8.1848160141874455</v>
          </cell>
          <cell r="R212">
            <v>8.084098215274329</v>
          </cell>
          <cell r="S212">
            <v>8.0790185934377821</v>
          </cell>
          <cell r="T212">
            <v>8.0790185934377821</v>
          </cell>
          <cell r="U212">
            <v>8.0790185934377821</v>
          </cell>
          <cell r="V212">
            <v>8.0790185934377821</v>
          </cell>
          <cell r="W212">
            <v>8.0790185934377821</v>
          </cell>
          <cell r="X212">
            <v>8.0790185934377821</v>
          </cell>
          <cell r="Y212">
            <v>8.0790185934377821</v>
          </cell>
          <cell r="Z212">
            <v>8.0790185934377821</v>
          </cell>
          <cell r="AA212">
            <v>8.0790185934377821</v>
          </cell>
          <cell r="AB212">
            <v>8.0790185934377821</v>
          </cell>
          <cell r="AC212">
            <v>8.0790185934377821</v>
          </cell>
          <cell r="AD212">
            <v>8.0790185934377821</v>
          </cell>
          <cell r="AE212">
            <v>8.0790185934377821</v>
          </cell>
          <cell r="AF212">
            <v>8.0790185934377821</v>
          </cell>
        </row>
        <row r="213">
          <cell r="A213" t="str">
            <v>Alaska</v>
          </cell>
          <cell r="B213">
            <v>10.59650324509354</v>
          </cell>
          <cell r="C213">
            <v>10.642481894807183</v>
          </cell>
          <cell r="D213">
            <v>10.423085031136061</v>
          </cell>
          <cell r="E213">
            <v>10.373394083792565</v>
          </cell>
          <cell r="F213">
            <v>10.420608350519526</v>
          </cell>
          <cell r="G213">
            <v>10.313209563681214</v>
          </cell>
          <cell r="H213">
            <v>10.268067078783805</v>
          </cell>
          <cell r="I213">
            <v>10.405981790192175</v>
          </cell>
          <cell r="J213">
            <v>10.454052552618823</v>
          </cell>
          <cell r="K213">
            <v>10.629336189525144</v>
          </cell>
          <cell r="L213">
            <v>10.917147003589589</v>
          </cell>
          <cell r="M213">
            <v>10.776911693796198</v>
          </cell>
          <cell r="N213">
            <v>10.81069605738586</v>
          </cell>
          <cell r="O213">
            <v>10.87640880269506</v>
          </cell>
          <cell r="P213">
            <v>10.726449277396082</v>
          </cell>
          <cell r="Q213">
            <v>10.7655941892349</v>
          </cell>
          <cell r="R213">
            <v>10.628101712666936</v>
          </cell>
          <cell r="S213">
            <v>10.621191137924189</v>
          </cell>
          <cell r="T213">
            <v>10.621191137924189</v>
          </cell>
          <cell r="U213">
            <v>10.621191137924189</v>
          </cell>
          <cell r="V213">
            <v>10.621191137924189</v>
          </cell>
          <cell r="W213">
            <v>10.621191137924189</v>
          </cell>
          <cell r="X213">
            <v>10.621191137924189</v>
          </cell>
          <cell r="Y213">
            <v>10.621191137924189</v>
          </cell>
          <cell r="Z213">
            <v>10.621191137924189</v>
          </cell>
          <cell r="AA213">
            <v>10.621191137924189</v>
          </cell>
          <cell r="AB213">
            <v>10.621191137924189</v>
          </cell>
          <cell r="AC213">
            <v>10.621191137924189</v>
          </cell>
          <cell r="AD213">
            <v>10.621191137924189</v>
          </cell>
          <cell r="AE213">
            <v>10.621191137924189</v>
          </cell>
          <cell r="AF213">
            <v>10.621191137924189</v>
          </cell>
        </row>
        <row r="214">
          <cell r="A214" t="str">
            <v>Arizona</v>
          </cell>
          <cell r="B214">
            <v>10.596503245093542</v>
          </cell>
          <cell r="C214">
            <v>10.642481894807183</v>
          </cell>
          <cell r="D214">
            <v>10.423085031136063</v>
          </cell>
          <cell r="E214">
            <v>10.373394083792565</v>
          </cell>
          <cell r="F214">
            <v>10.420608350519524</v>
          </cell>
          <cell r="G214">
            <v>10.313209563681216</v>
          </cell>
          <cell r="H214">
            <v>10.268067078783803</v>
          </cell>
          <cell r="I214">
            <v>10.405981790192174</v>
          </cell>
          <cell r="J214">
            <v>10.454052552618819</v>
          </cell>
          <cell r="K214">
            <v>10.629336189525148</v>
          </cell>
          <cell r="L214">
            <v>10.917147003589589</v>
          </cell>
          <cell r="M214">
            <v>10.776911693796198</v>
          </cell>
          <cell r="N214">
            <v>10.810696057385858</v>
          </cell>
          <cell r="O214">
            <v>10.87640880269506</v>
          </cell>
          <cell r="P214">
            <v>10.726449277396084</v>
          </cell>
          <cell r="Q214">
            <v>10.765594189234903</v>
          </cell>
          <cell r="R214">
            <v>10.628101712666934</v>
          </cell>
          <cell r="S214">
            <v>10.621191137924191</v>
          </cell>
          <cell r="T214">
            <v>10.621191137924191</v>
          </cell>
          <cell r="U214">
            <v>10.621191137924191</v>
          </cell>
          <cell r="V214">
            <v>10.621191137924191</v>
          </cell>
          <cell r="W214">
            <v>10.621191137924191</v>
          </cell>
          <cell r="X214">
            <v>10.621191137924191</v>
          </cell>
          <cell r="Y214">
            <v>10.621191137924191</v>
          </cell>
          <cell r="Z214">
            <v>10.621191137924191</v>
          </cell>
          <cell r="AA214">
            <v>10.621191137924191</v>
          </cell>
          <cell r="AB214">
            <v>10.621191137924191</v>
          </cell>
          <cell r="AC214">
            <v>10.621191137924191</v>
          </cell>
          <cell r="AD214">
            <v>10.621191137924191</v>
          </cell>
          <cell r="AE214">
            <v>10.621191137924191</v>
          </cell>
          <cell r="AF214">
            <v>10.621191137924191</v>
          </cell>
        </row>
        <row r="215">
          <cell r="A215" t="str">
            <v>Arkansas</v>
          </cell>
          <cell r="B215">
            <v>8.0396625992178592</v>
          </cell>
          <cell r="C215">
            <v>8.072563922339496</v>
          </cell>
          <cell r="D215">
            <v>7.9112972038395863</v>
          </cell>
          <cell r="E215">
            <v>7.8744090238292586</v>
          </cell>
          <cell r="F215">
            <v>7.9086096428794272</v>
          </cell>
          <cell r="G215">
            <v>7.8290845564492475</v>
          </cell>
          <cell r="H215">
            <v>7.7959394099325241</v>
          </cell>
          <cell r="I215">
            <v>7.8960637482708487</v>
          </cell>
          <cell r="J215">
            <v>7.9308434508862389</v>
          </cell>
          <cell r="K215">
            <v>8.0584063779645341</v>
          </cell>
          <cell r="L215">
            <v>8.2680224390261703</v>
          </cell>
          <cell r="M215">
            <v>8.1657965233554801</v>
          </cell>
          <cell r="N215">
            <v>8.1902786947722923</v>
          </cell>
          <cell r="O215">
            <v>8.2386650159339023</v>
          </cell>
          <cell r="P215">
            <v>8.1297225357937304</v>
          </cell>
          <cell r="Q215">
            <v>8.1580849394648745</v>
          </cell>
          <cell r="R215">
            <v>8.0577338019142157</v>
          </cell>
          <cell r="S215">
            <v>8.0526724937833247</v>
          </cell>
          <cell r="T215">
            <v>8.0526724937833247</v>
          </cell>
          <cell r="U215">
            <v>8.0526724937833247</v>
          </cell>
          <cell r="V215">
            <v>8.0526724937833247</v>
          </cell>
          <cell r="W215">
            <v>8.0526724937833247</v>
          </cell>
          <cell r="X215">
            <v>8.0526724937833247</v>
          </cell>
          <cell r="Y215">
            <v>8.0526724937833247</v>
          </cell>
          <cell r="Z215">
            <v>8.0526724937833247</v>
          </cell>
          <cell r="AA215">
            <v>8.0526724937833247</v>
          </cell>
          <cell r="AB215">
            <v>8.0526724937833247</v>
          </cell>
          <cell r="AC215">
            <v>8.0526724937833247</v>
          </cell>
          <cell r="AD215">
            <v>8.0526724937833247</v>
          </cell>
          <cell r="AE215">
            <v>8.0526724937833247</v>
          </cell>
          <cell r="AF215">
            <v>8.0526724937833247</v>
          </cell>
        </row>
        <row r="216">
          <cell r="A216" t="str">
            <v>California</v>
          </cell>
          <cell r="B216">
            <v>7.8511022726773305</v>
          </cell>
          <cell r="C216">
            <v>7.8830959964202787</v>
          </cell>
          <cell r="D216">
            <v>7.7259674736358326</v>
          </cell>
          <cell r="E216">
            <v>7.6900001763556309</v>
          </cell>
          <cell r="F216">
            <v>7.7232875252979083</v>
          </cell>
          <cell r="G216">
            <v>7.6457619127269894</v>
          </cell>
          <cell r="H216">
            <v>7.6134698821887676</v>
          </cell>
          <cell r="I216">
            <v>7.710936579215252</v>
          </cell>
          <cell r="J216">
            <v>7.7447845803486617</v>
          </cell>
          <cell r="K216">
            <v>7.8689837046697262</v>
          </cell>
          <cell r="L216">
            <v>8.0730837705024676</v>
          </cell>
          <cell r="M216">
            <v>7.9735414163262286</v>
          </cell>
          <cell r="N216">
            <v>7.997370534451731</v>
          </cell>
          <cell r="O216">
            <v>8.0445212105227508</v>
          </cell>
          <cell r="P216">
            <v>7.9384651512227835</v>
          </cell>
          <cell r="Q216">
            <v>7.9660706861659021</v>
          </cell>
          <cell r="R216">
            <v>7.8683450023067127</v>
          </cell>
          <cell r="S216">
            <v>7.863414863644528</v>
          </cell>
          <cell r="T216">
            <v>7.863414863644528</v>
          </cell>
          <cell r="U216">
            <v>7.863414863644528</v>
          </cell>
          <cell r="V216">
            <v>7.863414863644528</v>
          </cell>
          <cell r="W216">
            <v>7.863414863644528</v>
          </cell>
          <cell r="X216">
            <v>7.863414863644528</v>
          </cell>
          <cell r="Y216">
            <v>7.863414863644528</v>
          </cell>
          <cell r="Z216">
            <v>7.863414863644528</v>
          </cell>
          <cell r="AA216">
            <v>7.863414863644528</v>
          </cell>
          <cell r="AB216">
            <v>7.863414863644528</v>
          </cell>
          <cell r="AC216">
            <v>7.863414863644528</v>
          </cell>
          <cell r="AD216">
            <v>7.863414863644528</v>
          </cell>
          <cell r="AE216">
            <v>7.863414863644528</v>
          </cell>
          <cell r="AF216">
            <v>7.863414863644528</v>
          </cell>
        </row>
        <row r="217">
          <cell r="A217" t="str">
            <v>Colorado</v>
          </cell>
          <cell r="B217">
            <v>7.3788719137507091</v>
          </cell>
          <cell r="C217">
            <v>7.4086256629764735</v>
          </cell>
          <cell r="D217">
            <v>7.2617743982070584</v>
          </cell>
          <cell r="E217">
            <v>7.2280998267903103</v>
          </cell>
          <cell r="F217">
            <v>7.2591269754209051</v>
          </cell>
          <cell r="G217">
            <v>7.1865762225420768</v>
          </cell>
          <cell r="H217">
            <v>7.1564023400807022</v>
          </cell>
          <cell r="I217">
            <v>7.24728837608476</v>
          </cell>
          <cell r="J217">
            <v>7.2788311952686664</v>
          </cell>
          <cell r="K217">
            <v>7.3946963581514389</v>
          </cell>
          <cell r="L217">
            <v>7.5851278256998365</v>
          </cell>
          <cell r="M217">
            <v>7.4922367230291851</v>
          </cell>
          <cell r="N217">
            <v>7.5144494869107357</v>
          </cell>
          <cell r="O217">
            <v>7.5585300972912455</v>
          </cell>
          <cell r="P217">
            <v>7.4596223204812508</v>
          </cell>
          <cell r="Q217">
            <v>7.485354616992276</v>
          </cell>
          <cell r="R217">
            <v>7.3941380931145391</v>
          </cell>
          <cell r="S217">
            <v>7.3895334282516059</v>
          </cell>
          <cell r="T217">
            <v>7.3895334282516059</v>
          </cell>
          <cell r="U217">
            <v>7.3895334282516059</v>
          </cell>
          <cell r="V217">
            <v>7.3895334282516059</v>
          </cell>
          <cell r="W217">
            <v>7.3895334282516059</v>
          </cell>
          <cell r="X217">
            <v>7.3895334282516059</v>
          </cell>
          <cell r="Y217">
            <v>7.3895334282516059</v>
          </cell>
          <cell r="Z217">
            <v>7.3895334282516059</v>
          </cell>
          <cell r="AA217">
            <v>7.3895334282516059</v>
          </cell>
          <cell r="AB217">
            <v>7.3895334282516059</v>
          </cell>
          <cell r="AC217">
            <v>7.3895334282516059</v>
          </cell>
          <cell r="AD217">
            <v>7.3895334282516059</v>
          </cell>
          <cell r="AE217">
            <v>7.3895334282516059</v>
          </cell>
          <cell r="AF217">
            <v>7.3895334282516059</v>
          </cell>
        </row>
        <row r="218">
          <cell r="A218" t="str">
            <v>Connecticut</v>
          </cell>
          <cell r="B218">
            <v>7.9215594275385479</v>
          </cell>
          <cell r="C218">
            <v>7.9538913967555009</v>
          </cell>
          <cell r="D218">
            <v>7.7952189235703724</v>
          </cell>
          <cell r="E218">
            <v>7.7589078941135101</v>
          </cell>
          <cell r="F218">
            <v>7.792535769223619</v>
          </cell>
          <cell r="G218">
            <v>7.7142639124590087</v>
          </cell>
          <cell r="H218">
            <v>7.6816536019541388</v>
          </cell>
          <cell r="I218">
            <v>7.7801113312867889</v>
          </cell>
          <cell r="J218">
            <v>7.8143067139936333</v>
          </cell>
          <cell r="K218">
            <v>7.9397603253273834</v>
          </cell>
          <cell r="L218">
            <v>8.145917577578663</v>
          </cell>
          <cell r="M218">
            <v>8.045374353370029</v>
          </cell>
          <cell r="N218">
            <v>8.06944697602456</v>
          </cell>
          <cell r="O218">
            <v>8.1170587037908231</v>
          </cell>
          <cell r="P218">
            <v>8.0099262700288669</v>
          </cell>
          <cell r="Q218">
            <v>8.0378140174629724</v>
          </cell>
          <cell r="R218">
            <v>7.9391090838300871</v>
          </cell>
          <cell r="S218">
            <v>7.9341300138804023</v>
          </cell>
          <cell r="T218">
            <v>7.9341300138804023</v>
          </cell>
          <cell r="U218">
            <v>7.9341300138804023</v>
          </cell>
          <cell r="V218">
            <v>7.9341300138804023</v>
          </cell>
          <cell r="W218">
            <v>7.9341300138804023</v>
          </cell>
          <cell r="X218">
            <v>7.9341300138804023</v>
          </cell>
          <cell r="Y218">
            <v>7.9341300138804023</v>
          </cell>
          <cell r="Z218">
            <v>7.9341300138804023</v>
          </cell>
          <cell r="AA218">
            <v>7.9341300138804023</v>
          </cell>
          <cell r="AB218">
            <v>7.9341300138804023</v>
          </cell>
          <cell r="AC218">
            <v>7.9341300138804023</v>
          </cell>
          <cell r="AD218">
            <v>7.9341300138804023</v>
          </cell>
          <cell r="AE218">
            <v>7.9341300138804023</v>
          </cell>
          <cell r="AF218">
            <v>7.9341300138804023</v>
          </cell>
        </row>
        <row r="219">
          <cell r="A219" t="str">
            <v>Delaware</v>
          </cell>
          <cell r="B219">
            <v>7.9215594275385479</v>
          </cell>
          <cell r="C219">
            <v>7.9538913967555018</v>
          </cell>
          <cell r="D219">
            <v>7.7952189235703715</v>
          </cell>
          <cell r="E219">
            <v>7.7589078941135092</v>
          </cell>
          <cell r="F219">
            <v>7.7925357692236217</v>
          </cell>
          <cell r="G219">
            <v>7.714263912459006</v>
          </cell>
          <cell r="H219">
            <v>7.6816536019541388</v>
          </cell>
          <cell r="I219">
            <v>7.780111331286788</v>
          </cell>
          <cell r="J219">
            <v>7.8143067139936324</v>
          </cell>
          <cell r="K219">
            <v>7.9397603253273861</v>
          </cell>
          <cell r="L219">
            <v>8.1459175775786594</v>
          </cell>
          <cell r="M219">
            <v>8.045374353370029</v>
          </cell>
          <cell r="N219">
            <v>8.06944697602456</v>
          </cell>
          <cell r="O219">
            <v>8.1170587037908231</v>
          </cell>
          <cell r="P219">
            <v>8.0099262700288669</v>
          </cell>
          <cell r="Q219">
            <v>8.0378140174629724</v>
          </cell>
          <cell r="R219">
            <v>7.9391090838300844</v>
          </cell>
          <cell r="S219">
            <v>7.9341300138804023</v>
          </cell>
          <cell r="T219">
            <v>7.9341300138804023</v>
          </cell>
          <cell r="U219">
            <v>7.9341300138804023</v>
          </cell>
          <cell r="V219">
            <v>7.9341300138804023</v>
          </cell>
          <cell r="W219">
            <v>7.9341300138804023</v>
          </cell>
          <cell r="X219">
            <v>7.9341300138804023</v>
          </cell>
          <cell r="Y219">
            <v>7.9341300138804023</v>
          </cell>
          <cell r="Z219">
            <v>7.9341300138804023</v>
          </cell>
          <cell r="AA219">
            <v>7.9341300138804023</v>
          </cell>
          <cell r="AB219">
            <v>7.9341300138804023</v>
          </cell>
          <cell r="AC219">
            <v>7.9341300138804023</v>
          </cell>
          <cell r="AD219">
            <v>7.9341300138804023</v>
          </cell>
          <cell r="AE219">
            <v>7.9341300138804023</v>
          </cell>
          <cell r="AF219">
            <v>7.9341300138804023</v>
          </cell>
        </row>
        <row r="220">
          <cell r="A220" t="str">
            <v>Florida</v>
          </cell>
          <cell r="B220">
            <v>8.0659099007677</v>
          </cell>
          <cell r="C220">
            <v>8.0989381615450249</v>
          </cell>
          <cell r="D220">
            <v>7.9370938386556098</v>
          </cell>
          <cell r="E220">
            <v>7.9000772267876789</v>
          </cell>
          <cell r="F220">
            <v>7.9344054631506671</v>
          </cell>
          <cell r="G220">
            <v>7.8546014590516071</v>
          </cell>
          <cell r="H220">
            <v>7.8213372251499544</v>
          </cell>
          <cell r="I220">
            <v>7.9218328712060915</v>
          </cell>
          <cell r="J220">
            <v>7.9567427782022975</v>
          </cell>
          <cell r="K220">
            <v>8.0847755865398199</v>
          </cell>
          <cell r="L220">
            <v>8.2951621179357655</v>
          </cell>
          <cell r="M220">
            <v>8.1925613898602716</v>
          </cell>
          <cell r="N220">
            <v>8.2171348140345692</v>
          </cell>
          <cell r="O220">
            <v>8.2656935808985406</v>
          </cell>
          <cell r="P220">
            <v>8.1563478501583351</v>
          </cell>
          <cell r="Q220">
            <v>8.1848160141874473</v>
          </cell>
          <cell r="R220">
            <v>8.084098215274329</v>
          </cell>
          <cell r="S220">
            <v>8.0790185934377838</v>
          </cell>
          <cell r="T220">
            <v>8.0790185934377838</v>
          </cell>
          <cell r="U220">
            <v>8.0790185934377838</v>
          </cell>
          <cell r="V220">
            <v>8.0790185934377838</v>
          </cell>
          <cell r="W220">
            <v>8.0790185934377838</v>
          </cell>
          <cell r="X220">
            <v>8.0790185934377838</v>
          </cell>
          <cell r="Y220">
            <v>8.0790185934377838</v>
          </cell>
          <cell r="Z220">
            <v>8.0790185934377838</v>
          </cell>
          <cell r="AA220">
            <v>8.0790185934377838</v>
          </cell>
          <cell r="AB220">
            <v>8.0790185934377838</v>
          </cell>
          <cell r="AC220">
            <v>8.0790185934377838</v>
          </cell>
          <cell r="AD220">
            <v>8.0790185934377838</v>
          </cell>
          <cell r="AE220">
            <v>8.0790185934377838</v>
          </cell>
          <cell r="AF220">
            <v>8.0790185934377838</v>
          </cell>
        </row>
        <row r="221">
          <cell r="A221" t="str">
            <v>Georgia</v>
          </cell>
          <cell r="B221">
            <v>8.0659099007677</v>
          </cell>
          <cell r="C221">
            <v>8.0989381615450249</v>
          </cell>
          <cell r="D221">
            <v>7.9370938386556098</v>
          </cell>
          <cell r="E221">
            <v>7.900077226787678</v>
          </cell>
          <cell r="F221">
            <v>7.9344054631506653</v>
          </cell>
          <cell r="G221">
            <v>7.8546014590516098</v>
          </cell>
          <cell r="H221">
            <v>7.8213372251499562</v>
          </cell>
          <cell r="I221">
            <v>7.9218328712060888</v>
          </cell>
          <cell r="J221">
            <v>7.9567427782022975</v>
          </cell>
          <cell r="K221">
            <v>8.0847755865398234</v>
          </cell>
          <cell r="L221">
            <v>8.2951621179357655</v>
          </cell>
          <cell r="M221">
            <v>8.1925613898602716</v>
          </cell>
          <cell r="N221">
            <v>8.217134814034571</v>
          </cell>
          <cell r="O221">
            <v>8.2656935808985406</v>
          </cell>
          <cell r="P221">
            <v>8.1563478501583351</v>
          </cell>
          <cell r="Q221">
            <v>8.1848160141874473</v>
          </cell>
          <cell r="R221">
            <v>8.0840982152743273</v>
          </cell>
          <cell r="S221">
            <v>8.0790185934377821</v>
          </cell>
          <cell r="T221">
            <v>8.0790185934377821</v>
          </cell>
          <cell r="U221">
            <v>8.0790185934377821</v>
          </cell>
          <cell r="V221">
            <v>8.0790185934377821</v>
          </cell>
          <cell r="W221">
            <v>8.0790185934377821</v>
          </cell>
          <cell r="X221">
            <v>8.0790185934377821</v>
          </cell>
          <cell r="Y221">
            <v>8.0790185934377821</v>
          </cell>
          <cell r="Z221">
            <v>8.0790185934377821</v>
          </cell>
          <cell r="AA221">
            <v>8.0790185934377821</v>
          </cell>
          <cell r="AB221">
            <v>8.0790185934377821</v>
          </cell>
          <cell r="AC221">
            <v>8.0790185934377821</v>
          </cell>
          <cell r="AD221">
            <v>8.0790185934377821</v>
          </cell>
          <cell r="AE221">
            <v>8.0790185934377821</v>
          </cell>
          <cell r="AF221">
            <v>8.0790185934377821</v>
          </cell>
        </row>
        <row r="222">
          <cell r="A222" t="str">
            <v>Hawaii</v>
          </cell>
          <cell r="B222">
            <v>10.596503245093544</v>
          </cell>
          <cell r="C222">
            <v>10.642481894807183</v>
          </cell>
          <cell r="D222">
            <v>10.423085031136061</v>
          </cell>
          <cell r="E222">
            <v>10.373394083792567</v>
          </cell>
          <cell r="F222">
            <v>10.420608350519522</v>
          </cell>
          <cell r="G222">
            <v>10.313209563681212</v>
          </cell>
          <cell r="H222">
            <v>10.268067078783805</v>
          </cell>
          <cell r="I222">
            <v>10.405981790192175</v>
          </cell>
          <cell r="J222">
            <v>10.454052552618823</v>
          </cell>
          <cell r="K222">
            <v>10.629336189525144</v>
          </cell>
          <cell r="L222">
            <v>10.917147003589593</v>
          </cell>
          <cell r="M222">
            <v>10.776911693796194</v>
          </cell>
          <cell r="N222">
            <v>10.81069605738586</v>
          </cell>
          <cell r="O222">
            <v>10.876408802695062</v>
          </cell>
          <cell r="P222">
            <v>10.726449277396085</v>
          </cell>
          <cell r="Q222">
            <v>10.765594189234902</v>
          </cell>
          <cell r="R222">
            <v>10.628101712666936</v>
          </cell>
          <cell r="S222">
            <v>10.621191137924193</v>
          </cell>
          <cell r="T222">
            <v>10.621191137924193</v>
          </cell>
          <cell r="U222">
            <v>10.621191137924193</v>
          </cell>
          <cell r="V222">
            <v>10.621191137924193</v>
          </cell>
          <cell r="W222">
            <v>10.621191137924193</v>
          </cell>
          <cell r="X222">
            <v>10.621191137924193</v>
          </cell>
          <cell r="Y222">
            <v>10.621191137924193</v>
          </cell>
          <cell r="Z222">
            <v>10.621191137924193</v>
          </cell>
          <cell r="AA222">
            <v>10.621191137924193</v>
          </cell>
          <cell r="AB222">
            <v>10.621191137924193</v>
          </cell>
          <cell r="AC222">
            <v>10.621191137924193</v>
          </cell>
          <cell r="AD222">
            <v>10.621191137924193</v>
          </cell>
          <cell r="AE222">
            <v>10.621191137924193</v>
          </cell>
          <cell r="AF222">
            <v>10.621191137924193</v>
          </cell>
        </row>
        <row r="223">
          <cell r="A223" t="str">
            <v>Idaho</v>
          </cell>
          <cell r="B223">
            <v>10.59650324509354</v>
          </cell>
          <cell r="C223">
            <v>10.642481894807183</v>
          </cell>
          <cell r="D223">
            <v>10.423085031136063</v>
          </cell>
          <cell r="E223">
            <v>10.373394083792565</v>
          </cell>
          <cell r="F223">
            <v>10.420608350519524</v>
          </cell>
          <cell r="G223">
            <v>10.313209563681218</v>
          </cell>
          <cell r="H223">
            <v>10.268067078783805</v>
          </cell>
          <cell r="I223">
            <v>10.405981790192175</v>
          </cell>
          <cell r="J223">
            <v>10.454052552618821</v>
          </cell>
          <cell r="K223">
            <v>10.629336189525148</v>
          </cell>
          <cell r="L223">
            <v>10.917147003589589</v>
          </cell>
          <cell r="M223">
            <v>10.776911693796198</v>
          </cell>
          <cell r="N223">
            <v>10.810696057385854</v>
          </cell>
          <cell r="O223">
            <v>10.876408802695064</v>
          </cell>
          <cell r="P223">
            <v>10.72644927739608</v>
          </cell>
          <cell r="Q223">
            <v>10.7655941892349</v>
          </cell>
          <cell r="R223">
            <v>10.628101712666936</v>
          </cell>
          <cell r="S223">
            <v>10.621191137924193</v>
          </cell>
          <cell r="T223">
            <v>10.621191137924193</v>
          </cell>
          <cell r="U223">
            <v>10.621191137924193</v>
          </cell>
          <cell r="V223">
            <v>10.621191137924193</v>
          </cell>
          <cell r="W223">
            <v>10.621191137924193</v>
          </cell>
          <cell r="X223">
            <v>10.621191137924193</v>
          </cell>
          <cell r="Y223">
            <v>10.621191137924193</v>
          </cell>
          <cell r="Z223">
            <v>10.621191137924193</v>
          </cell>
          <cell r="AA223">
            <v>10.621191137924193</v>
          </cell>
          <cell r="AB223">
            <v>10.621191137924193</v>
          </cell>
          <cell r="AC223">
            <v>10.621191137924193</v>
          </cell>
          <cell r="AD223">
            <v>10.621191137924193</v>
          </cell>
          <cell r="AE223">
            <v>10.621191137924193</v>
          </cell>
          <cell r="AF223">
            <v>10.621191137924193</v>
          </cell>
        </row>
        <row r="224">
          <cell r="A224" t="str">
            <v>Illinois</v>
          </cell>
          <cell r="B224">
            <v>7.9243700298127351</v>
          </cell>
          <cell r="C224">
            <v>7.9567155134217895</v>
          </cell>
          <cell r="D224">
            <v>7.797981394415384</v>
          </cell>
          <cell r="E224">
            <v>7.761656644361997</v>
          </cell>
          <cell r="F224">
            <v>7.7952981209275105</v>
          </cell>
          <cell r="G224">
            <v>7.7169964745745911</v>
          </cell>
          <cell r="H224">
            <v>7.6843734556249297</v>
          </cell>
          <cell r="I224">
            <v>7.7828707670084141</v>
          </cell>
          <cell r="J224">
            <v>7.8170800254048967</v>
          </cell>
          <cell r="K224">
            <v>7.9425837381325737</v>
          </cell>
          <cell r="L224">
            <v>8.1488231481674198</v>
          </cell>
          <cell r="M224">
            <v>8.0482399531612963</v>
          </cell>
          <cell r="N224">
            <v>8.0723223018900168</v>
          </cell>
          <cell r="O224">
            <v>8.1199524373571581</v>
          </cell>
          <cell r="P224">
            <v>8.0127770136982885</v>
          </cell>
          <cell r="Q224">
            <v>8.0406760333259424</v>
          </cell>
          <cell r="R224">
            <v>7.9419319935799706</v>
          </cell>
          <cell r="S224">
            <v>7.9369509697475698</v>
          </cell>
          <cell r="T224">
            <v>7.9369509697475698</v>
          </cell>
          <cell r="U224">
            <v>7.9369509697475698</v>
          </cell>
          <cell r="V224">
            <v>7.9369509697475698</v>
          </cell>
          <cell r="W224">
            <v>7.9369509697475698</v>
          </cell>
          <cell r="X224">
            <v>7.9369509697475698</v>
          </cell>
          <cell r="Y224">
            <v>7.9369509697475698</v>
          </cell>
          <cell r="Z224">
            <v>7.9369509697475698</v>
          </cell>
          <cell r="AA224">
            <v>7.9369509697475698</v>
          </cell>
          <cell r="AB224">
            <v>7.9369509697475698</v>
          </cell>
          <cell r="AC224">
            <v>7.9369509697475698</v>
          </cell>
          <cell r="AD224">
            <v>7.9369509697475698</v>
          </cell>
          <cell r="AE224">
            <v>7.9369509697475698</v>
          </cell>
          <cell r="AF224">
            <v>7.9369509697475698</v>
          </cell>
        </row>
        <row r="225">
          <cell r="A225" t="str">
            <v>Indiana</v>
          </cell>
          <cell r="B225">
            <v>7.9243700298127342</v>
          </cell>
          <cell r="C225">
            <v>7.9567155134217895</v>
          </cell>
          <cell r="D225">
            <v>7.797981394415384</v>
          </cell>
          <cell r="E225">
            <v>7.7616566443619979</v>
          </cell>
          <cell r="F225">
            <v>7.7952981209275096</v>
          </cell>
          <cell r="G225">
            <v>7.7169964745745903</v>
          </cell>
          <cell r="H225">
            <v>7.6843734556249315</v>
          </cell>
          <cell r="I225">
            <v>7.7828707670084123</v>
          </cell>
          <cell r="J225">
            <v>7.8170800254048975</v>
          </cell>
          <cell r="K225">
            <v>7.9425837381325737</v>
          </cell>
          <cell r="L225">
            <v>8.1488231481674198</v>
          </cell>
          <cell r="M225">
            <v>8.0482399531612945</v>
          </cell>
          <cell r="N225">
            <v>8.0723223018900168</v>
          </cell>
          <cell r="O225">
            <v>8.1199524373571563</v>
          </cell>
          <cell r="P225">
            <v>8.0127770136982903</v>
          </cell>
          <cell r="Q225">
            <v>8.0406760333259459</v>
          </cell>
          <cell r="R225">
            <v>7.9419319935799706</v>
          </cell>
          <cell r="S225">
            <v>7.9369509697475715</v>
          </cell>
          <cell r="T225">
            <v>7.9369509697475715</v>
          </cell>
          <cell r="U225">
            <v>7.9369509697475715</v>
          </cell>
          <cell r="V225">
            <v>7.9369509697475715</v>
          </cell>
          <cell r="W225">
            <v>7.9369509697475715</v>
          </cell>
          <cell r="X225">
            <v>7.9369509697475715</v>
          </cell>
          <cell r="Y225">
            <v>7.9369509697475715</v>
          </cell>
          <cell r="Z225">
            <v>7.9369509697475715</v>
          </cell>
          <cell r="AA225">
            <v>7.9369509697475715</v>
          </cell>
          <cell r="AB225">
            <v>7.9369509697475715</v>
          </cell>
          <cell r="AC225">
            <v>7.9369509697475715</v>
          </cell>
          <cell r="AD225">
            <v>7.9369509697475715</v>
          </cell>
          <cell r="AE225">
            <v>7.9369509697475715</v>
          </cell>
          <cell r="AF225">
            <v>7.9369509697475715</v>
          </cell>
        </row>
        <row r="226">
          <cell r="A226" t="str">
            <v>Iowa</v>
          </cell>
          <cell r="B226">
            <v>7.9243700298127324</v>
          </cell>
          <cell r="C226">
            <v>7.9567155134217877</v>
          </cell>
          <cell r="D226">
            <v>7.7979813944153831</v>
          </cell>
          <cell r="E226">
            <v>7.7616566443619979</v>
          </cell>
          <cell r="F226">
            <v>7.7952981209275105</v>
          </cell>
          <cell r="G226">
            <v>7.7169964745745911</v>
          </cell>
          <cell r="H226">
            <v>7.6843734556249315</v>
          </cell>
          <cell r="I226">
            <v>7.7828707670084132</v>
          </cell>
          <cell r="J226">
            <v>7.8170800254048967</v>
          </cell>
          <cell r="K226">
            <v>7.9425837381325737</v>
          </cell>
          <cell r="L226">
            <v>8.1488231481674163</v>
          </cell>
          <cell r="M226">
            <v>8.0482399531612945</v>
          </cell>
          <cell r="N226">
            <v>8.0723223018900168</v>
          </cell>
          <cell r="O226">
            <v>8.1199524373571581</v>
          </cell>
          <cell r="P226">
            <v>8.0127770136982903</v>
          </cell>
          <cell r="Q226">
            <v>8.0406760333259442</v>
          </cell>
          <cell r="R226">
            <v>7.9419319935799679</v>
          </cell>
          <cell r="S226">
            <v>7.9369509697475689</v>
          </cell>
          <cell r="T226">
            <v>7.9369509697475689</v>
          </cell>
          <cell r="U226">
            <v>7.9369509697475689</v>
          </cell>
          <cell r="V226">
            <v>7.9369509697475689</v>
          </cell>
          <cell r="W226">
            <v>7.9369509697475689</v>
          </cell>
          <cell r="X226">
            <v>7.9369509697475689</v>
          </cell>
          <cell r="Y226">
            <v>7.9369509697475689</v>
          </cell>
          <cell r="Z226">
            <v>7.9369509697475689</v>
          </cell>
          <cell r="AA226">
            <v>7.9369509697475689</v>
          </cell>
          <cell r="AB226">
            <v>7.9369509697475689</v>
          </cell>
          <cell r="AC226">
            <v>7.9369509697475689</v>
          </cell>
          <cell r="AD226">
            <v>7.9369509697475689</v>
          </cell>
          <cell r="AE226">
            <v>7.9369509697475689</v>
          </cell>
          <cell r="AF226">
            <v>7.9369509697475689</v>
          </cell>
        </row>
        <row r="227">
          <cell r="A227" t="str">
            <v>Kansas</v>
          </cell>
          <cell r="B227">
            <v>7.3788719137507099</v>
          </cell>
          <cell r="C227">
            <v>7.4086256629764735</v>
          </cell>
          <cell r="D227">
            <v>7.2617743982070584</v>
          </cell>
          <cell r="E227">
            <v>7.2280998267903076</v>
          </cell>
          <cell r="F227">
            <v>7.2591269754209069</v>
          </cell>
          <cell r="G227">
            <v>7.1865762225420777</v>
          </cell>
          <cell r="H227">
            <v>7.1564023400807022</v>
          </cell>
          <cell r="I227">
            <v>7.24728837608476</v>
          </cell>
          <cell r="J227">
            <v>7.2788311952686673</v>
          </cell>
          <cell r="K227">
            <v>7.3946963581514416</v>
          </cell>
          <cell r="L227">
            <v>7.5851278256998365</v>
          </cell>
          <cell r="M227">
            <v>7.4922367230291833</v>
          </cell>
          <cell r="N227">
            <v>7.5144494869107339</v>
          </cell>
          <cell r="O227">
            <v>7.5585300972912428</v>
          </cell>
          <cell r="P227">
            <v>7.4596223204812508</v>
          </cell>
          <cell r="Q227">
            <v>7.4853546169922787</v>
          </cell>
          <cell r="R227">
            <v>7.3941380931145391</v>
          </cell>
          <cell r="S227">
            <v>7.3895334282516076</v>
          </cell>
          <cell r="T227">
            <v>7.3895334282516076</v>
          </cell>
          <cell r="U227">
            <v>7.3895334282516076</v>
          </cell>
          <cell r="V227">
            <v>7.3895334282516076</v>
          </cell>
          <cell r="W227">
            <v>7.3895334282516076</v>
          </cell>
          <cell r="X227">
            <v>7.3895334282516076</v>
          </cell>
          <cell r="Y227">
            <v>7.3895334282516076</v>
          </cell>
          <cell r="Z227">
            <v>7.3895334282516076</v>
          </cell>
          <cell r="AA227">
            <v>7.3895334282516076</v>
          </cell>
          <cell r="AB227">
            <v>7.3895334282516076</v>
          </cell>
          <cell r="AC227">
            <v>7.3895334282516076</v>
          </cell>
          <cell r="AD227">
            <v>7.3895334282516076</v>
          </cell>
          <cell r="AE227">
            <v>7.3895334282516076</v>
          </cell>
          <cell r="AF227">
            <v>7.3895334282516076</v>
          </cell>
        </row>
        <row r="228">
          <cell r="A228" t="str">
            <v>Kentucky</v>
          </cell>
          <cell r="B228">
            <v>8.0659099007676982</v>
          </cell>
          <cell r="C228">
            <v>8.0989381615450249</v>
          </cell>
          <cell r="D228">
            <v>7.9370938386556107</v>
          </cell>
          <cell r="E228">
            <v>7.9000772267876789</v>
          </cell>
          <cell r="F228">
            <v>7.9344054631506671</v>
          </cell>
          <cell r="G228">
            <v>7.854601459051608</v>
          </cell>
          <cell r="H228">
            <v>7.8213372251499562</v>
          </cell>
          <cell r="I228">
            <v>7.9218328712060906</v>
          </cell>
          <cell r="J228">
            <v>7.9567427782022975</v>
          </cell>
          <cell r="K228">
            <v>8.0847755865398216</v>
          </cell>
          <cell r="L228">
            <v>8.2951621179357655</v>
          </cell>
          <cell r="M228">
            <v>8.1925613898602716</v>
          </cell>
          <cell r="N228">
            <v>8.2171348140345692</v>
          </cell>
          <cell r="O228">
            <v>8.2656935808985423</v>
          </cell>
          <cell r="P228">
            <v>8.1563478501583333</v>
          </cell>
          <cell r="Q228">
            <v>8.1848160141874473</v>
          </cell>
          <cell r="R228">
            <v>8.084098215274329</v>
          </cell>
          <cell r="S228">
            <v>8.0790185934377821</v>
          </cell>
          <cell r="T228">
            <v>8.0790185934377821</v>
          </cell>
          <cell r="U228">
            <v>8.0790185934377821</v>
          </cell>
          <cell r="V228">
            <v>8.0790185934377821</v>
          </cell>
          <cell r="W228">
            <v>8.0790185934377821</v>
          </cell>
          <cell r="X228">
            <v>8.0790185934377821</v>
          </cell>
          <cell r="Y228">
            <v>8.0790185934377821</v>
          </cell>
          <cell r="Z228">
            <v>8.0790185934377821</v>
          </cell>
          <cell r="AA228">
            <v>8.0790185934377821</v>
          </cell>
          <cell r="AB228">
            <v>8.0790185934377821</v>
          </cell>
          <cell r="AC228">
            <v>8.0790185934377821</v>
          </cell>
          <cell r="AD228">
            <v>8.0790185934377821</v>
          </cell>
          <cell r="AE228">
            <v>8.0790185934377821</v>
          </cell>
          <cell r="AF228">
            <v>8.0790185934377821</v>
          </cell>
        </row>
        <row r="229">
          <cell r="A229" t="str">
            <v>Louisiana</v>
          </cell>
          <cell r="B229">
            <v>8.0396625992178592</v>
          </cell>
          <cell r="C229">
            <v>8.0725639223394978</v>
          </cell>
          <cell r="D229">
            <v>7.9112972038395846</v>
          </cell>
          <cell r="E229">
            <v>7.8744090238292612</v>
          </cell>
          <cell r="F229">
            <v>7.9086096428794264</v>
          </cell>
          <cell r="G229">
            <v>7.8290845564492475</v>
          </cell>
          <cell r="H229">
            <v>7.7959394099325223</v>
          </cell>
          <cell r="I229">
            <v>7.8960637482708504</v>
          </cell>
          <cell r="J229">
            <v>7.9308434508862362</v>
          </cell>
          <cell r="K229">
            <v>8.0584063779645341</v>
          </cell>
          <cell r="L229">
            <v>8.2680224390261703</v>
          </cell>
          <cell r="M229">
            <v>8.1657965233554801</v>
          </cell>
          <cell r="N229">
            <v>8.1902786947722905</v>
          </cell>
          <cell r="O229">
            <v>8.2386650159338988</v>
          </cell>
          <cell r="P229">
            <v>8.1297225357937286</v>
          </cell>
          <cell r="Q229">
            <v>8.1580849394648727</v>
          </cell>
          <cell r="R229">
            <v>8.0577338019142157</v>
          </cell>
          <cell r="S229">
            <v>8.0526724937833229</v>
          </cell>
          <cell r="T229">
            <v>8.0526724937833229</v>
          </cell>
          <cell r="U229">
            <v>8.0526724937833229</v>
          </cell>
          <cell r="V229">
            <v>8.0526724937833229</v>
          </cell>
          <cell r="W229">
            <v>8.0526724937833229</v>
          </cell>
          <cell r="X229">
            <v>8.0526724937833229</v>
          </cell>
          <cell r="Y229">
            <v>8.0526724937833229</v>
          </cell>
          <cell r="Z229">
            <v>8.0526724937833229</v>
          </cell>
          <cell r="AA229">
            <v>8.0526724937833229</v>
          </cell>
          <cell r="AB229">
            <v>8.0526724937833229</v>
          </cell>
          <cell r="AC229">
            <v>8.0526724937833229</v>
          </cell>
          <cell r="AD229">
            <v>8.0526724937833229</v>
          </cell>
          <cell r="AE229">
            <v>8.0526724937833229</v>
          </cell>
          <cell r="AF229">
            <v>8.0526724937833229</v>
          </cell>
        </row>
        <row r="230">
          <cell r="A230" t="str">
            <v>Maine</v>
          </cell>
          <cell r="B230">
            <v>7.9215594275385497</v>
          </cell>
          <cell r="C230">
            <v>7.9538913967555009</v>
          </cell>
          <cell r="D230">
            <v>7.7952189235703724</v>
          </cell>
          <cell r="E230">
            <v>7.7589078941135101</v>
          </cell>
          <cell r="F230">
            <v>7.792535769223619</v>
          </cell>
          <cell r="G230">
            <v>7.714263912459006</v>
          </cell>
          <cell r="H230">
            <v>7.6816536019541388</v>
          </cell>
          <cell r="I230">
            <v>7.7801113312867889</v>
          </cell>
          <cell r="J230">
            <v>7.8143067139936333</v>
          </cell>
          <cell r="K230">
            <v>7.9397603253273861</v>
          </cell>
          <cell r="L230">
            <v>8.1459175775786594</v>
          </cell>
          <cell r="M230">
            <v>8.045374353370029</v>
          </cell>
          <cell r="N230">
            <v>8.06944697602456</v>
          </cell>
          <cell r="O230">
            <v>8.1170587037908177</v>
          </cell>
          <cell r="P230">
            <v>8.0099262700288687</v>
          </cell>
          <cell r="Q230">
            <v>8.0378140174629724</v>
          </cell>
          <cell r="R230">
            <v>7.9391090838300871</v>
          </cell>
          <cell r="S230">
            <v>7.9341300138804041</v>
          </cell>
          <cell r="T230">
            <v>7.9341300138804041</v>
          </cell>
          <cell r="U230">
            <v>7.9341300138804041</v>
          </cell>
          <cell r="V230">
            <v>7.9341300138804041</v>
          </cell>
          <cell r="W230">
            <v>7.9341300138804041</v>
          </cell>
          <cell r="X230">
            <v>7.9341300138804041</v>
          </cell>
          <cell r="Y230">
            <v>7.9341300138804041</v>
          </cell>
          <cell r="Z230">
            <v>7.9341300138804041</v>
          </cell>
          <cell r="AA230">
            <v>7.9341300138804041</v>
          </cell>
          <cell r="AB230">
            <v>7.9341300138804041</v>
          </cell>
          <cell r="AC230">
            <v>7.9341300138804041</v>
          </cell>
          <cell r="AD230">
            <v>7.9341300138804041</v>
          </cell>
          <cell r="AE230">
            <v>7.9341300138804041</v>
          </cell>
          <cell r="AF230">
            <v>7.9341300138804041</v>
          </cell>
        </row>
        <row r="231">
          <cell r="A231" t="str">
            <v>Maryland</v>
          </cell>
          <cell r="B231">
            <v>7.9215594275385497</v>
          </cell>
          <cell r="C231">
            <v>7.9538913967555009</v>
          </cell>
          <cell r="D231">
            <v>7.7952189235703724</v>
          </cell>
          <cell r="E231">
            <v>7.7589078941135101</v>
          </cell>
          <cell r="F231">
            <v>7.792535769223619</v>
          </cell>
          <cell r="G231">
            <v>7.714263912459006</v>
          </cell>
          <cell r="H231">
            <v>7.681653601954137</v>
          </cell>
          <cell r="I231">
            <v>7.7801113312867907</v>
          </cell>
          <cell r="J231">
            <v>7.8143067139936324</v>
          </cell>
          <cell r="K231">
            <v>7.9397603253273852</v>
          </cell>
          <cell r="L231">
            <v>8.145917577578663</v>
          </cell>
          <cell r="M231">
            <v>8.0453743533700308</v>
          </cell>
          <cell r="N231">
            <v>8.06944697602456</v>
          </cell>
          <cell r="O231">
            <v>8.1170587037908195</v>
          </cell>
          <cell r="P231">
            <v>8.0099262700288669</v>
          </cell>
          <cell r="Q231">
            <v>8.0378140174629724</v>
          </cell>
          <cell r="R231">
            <v>7.9391090838300862</v>
          </cell>
          <cell r="S231">
            <v>7.9341300138804014</v>
          </cell>
          <cell r="T231">
            <v>7.9341300138804014</v>
          </cell>
          <cell r="U231">
            <v>7.9341300138804014</v>
          </cell>
          <cell r="V231">
            <v>7.9341300138804014</v>
          </cell>
          <cell r="W231">
            <v>7.9341300138804014</v>
          </cell>
          <cell r="X231">
            <v>7.9341300138804014</v>
          </cell>
          <cell r="Y231">
            <v>7.9341300138804014</v>
          </cell>
          <cell r="Z231">
            <v>7.9341300138804014</v>
          </cell>
          <cell r="AA231">
            <v>7.9341300138804014</v>
          </cell>
          <cell r="AB231">
            <v>7.9341300138804014</v>
          </cell>
          <cell r="AC231">
            <v>7.9341300138804014</v>
          </cell>
          <cell r="AD231">
            <v>7.9341300138804014</v>
          </cell>
          <cell r="AE231">
            <v>7.9341300138804014</v>
          </cell>
          <cell r="AF231">
            <v>7.9341300138804014</v>
          </cell>
        </row>
        <row r="232">
          <cell r="A232" t="str">
            <v>Massachusetts</v>
          </cell>
          <cell r="B232">
            <v>7.9215594275385497</v>
          </cell>
          <cell r="C232">
            <v>7.9538913967555009</v>
          </cell>
          <cell r="D232">
            <v>7.7952189235703724</v>
          </cell>
          <cell r="E232">
            <v>7.7589078941135101</v>
          </cell>
          <cell r="F232">
            <v>7.7925357692236217</v>
          </cell>
          <cell r="G232">
            <v>7.7142639124590087</v>
          </cell>
          <cell r="H232">
            <v>7.6816536019541388</v>
          </cell>
          <cell r="I232">
            <v>7.7801113312867889</v>
          </cell>
          <cell r="J232">
            <v>7.8143067139936333</v>
          </cell>
          <cell r="K232">
            <v>7.9397603253273852</v>
          </cell>
          <cell r="L232">
            <v>8.145917577578663</v>
          </cell>
          <cell r="M232">
            <v>8.045374353370029</v>
          </cell>
          <cell r="N232">
            <v>8.06944697602456</v>
          </cell>
          <cell r="O232">
            <v>8.1170587037908231</v>
          </cell>
          <cell r="P232">
            <v>8.0099262700288669</v>
          </cell>
          <cell r="Q232">
            <v>8.0378140174629706</v>
          </cell>
          <cell r="R232">
            <v>7.9391090838300871</v>
          </cell>
          <cell r="S232">
            <v>7.9341300138804023</v>
          </cell>
          <cell r="T232">
            <v>7.9341300138804023</v>
          </cell>
          <cell r="U232">
            <v>7.9341300138804023</v>
          </cell>
          <cell r="V232">
            <v>7.9341300138804023</v>
          </cell>
          <cell r="W232">
            <v>7.9341300138804023</v>
          </cell>
          <cell r="X232">
            <v>7.9341300138804023</v>
          </cell>
          <cell r="Y232">
            <v>7.9341300138804023</v>
          </cell>
          <cell r="Z232">
            <v>7.9341300138804023</v>
          </cell>
          <cell r="AA232">
            <v>7.9341300138804023</v>
          </cell>
          <cell r="AB232">
            <v>7.9341300138804023</v>
          </cell>
          <cell r="AC232">
            <v>7.9341300138804023</v>
          </cell>
          <cell r="AD232">
            <v>7.9341300138804023</v>
          </cell>
          <cell r="AE232">
            <v>7.9341300138804023</v>
          </cell>
          <cell r="AF232">
            <v>7.9341300138804023</v>
          </cell>
        </row>
        <row r="233">
          <cell r="A233" t="str">
            <v>Michigan</v>
          </cell>
          <cell r="B233">
            <v>7.9243700298127324</v>
          </cell>
          <cell r="C233">
            <v>7.9567155134217895</v>
          </cell>
          <cell r="D233">
            <v>7.797981394415384</v>
          </cell>
          <cell r="E233">
            <v>7.7616566443619996</v>
          </cell>
          <cell r="F233">
            <v>7.7952981209275078</v>
          </cell>
          <cell r="G233">
            <v>7.7169964745745929</v>
          </cell>
          <cell r="H233">
            <v>7.6843734556249315</v>
          </cell>
          <cell r="I233">
            <v>7.7828707670084105</v>
          </cell>
          <cell r="J233">
            <v>7.8170800254048967</v>
          </cell>
          <cell r="K233">
            <v>7.9425837381325737</v>
          </cell>
          <cell r="L233">
            <v>8.1488231481674198</v>
          </cell>
          <cell r="M233">
            <v>8.0482399531612963</v>
          </cell>
          <cell r="N233">
            <v>8.072322301890015</v>
          </cell>
          <cell r="O233">
            <v>8.1199524373571563</v>
          </cell>
          <cell r="P233">
            <v>8.0127770136982885</v>
          </cell>
          <cell r="Q233">
            <v>8.0406760333259442</v>
          </cell>
          <cell r="R233">
            <v>7.9419319935799706</v>
          </cell>
          <cell r="S233">
            <v>7.9369509697475698</v>
          </cell>
          <cell r="T233">
            <v>7.9369509697475698</v>
          </cell>
          <cell r="U233">
            <v>7.9369509697475698</v>
          </cell>
          <cell r="V233">
            <v>7.9369509697475698</v>
          </cell>
          <cell r="W233">
            <v>7.9369509697475698</v>
          </cell>
          <cell r="X233">
            <v>7.9369509697475698</v>
          </cell>
          <cell r="Y233">
            <v>7.9369509697475698</v>
          </cell>
          <cell r="Z233">
            <v>7.9369509697475698</v>
          </cell>
          <cell r="AA233">
            <v>7.9369509697475698</v>
          </cell>
          <cell r="AB233">
            <v>7.9369509697475698</v>
          </cell>
          <cell r="AC233">
            <v>7.9369509697475698</v>
          </cell>
          <cell r="AD233">
            <v>7.9369509697475698</v>
          </cell>
          <cell r="AE233">
            <v>7.9369509697475698</v>
          </cell>
          <cell r="AF233">
            <v>7.9369509697475698</v>
          </cell>
        </row>
        <row r="234">
          <cell r="A234" t="str">
            <v>Minnesota</v>
          </cell>
          <cell r="B234">
            <v>7.9243700298127342</v>
          </cell>
          <cell r="C234">
            <v>7.9567155134217877</v>
          </cell>
          <cell r="D234">
            <v>7.7979813944153857</v>
          </cell>
          <cell r="E234">
            <v>7.7616566443619979</v>
          </cell>
          <cell r="F234">
            <v>7.7952981209275105</v>
          </cell>
          <cell r="G234">
            <v>7.7169964745745911</v>
          </cell>
          <cell r="H234">
            <v>7.6843734556249323</v>
          </cell>
          <cell r="I234">
            <v>7.7828707670084141</v>
          </cell>
          <cell r="J234">
            <v>7.8170800254048949</v>
          </cell>
          <cell r="K234">
            <v>7.9425837381325737</v>
          </cell>
          <cell r="L234">
            <v>8.148823148167418</v>
          </cell>
          <cell r="M234">
            <v>8.048239953161298</v>
          </cell>
          <cell r="N234">
            <v>8.0723223018900168</v>
          </cell>
          <cell r="O234">
            <v>8.1199524373571581</v>
          </cell>
          <cell r="P234">
            <v>8.0127770136982885</v>
          </cell>
          <cell r="Q234">
            <v>8.0406760333259442</v>
          </cell>
          <cell r="R234">
            <v>7.9419319935799679</v>
          </cell>
          <cell r="S234">
            <v>7.9369509697475698</v>
          </cell>
          <cell r="T234">
            <v>7.9369509697475698</v>
          </cell>
          <cell r="U234">
            <v>7.9369509697475698</v>
          </cell>
          <cell r="V234">
            <v>7.9369509697475698</v>
          </cell>
          <cell r="W234">
            <v>7.9369509697475698</v>
          </cell>
          <cell r="X234">
            <v>7.9369509697475698</v>
          </cell>
          <cell r="Y234">
            <v>7.9369509697475698</v>
          </cell>
          <cell r="Z234">
            <v>7.9369509697475698</v>
          </cell>
          <cell r="AA234">
            <v>7.9369509697475698</v>
          </cell>
          <cell r="AB234">
            <v>7.9369509697475698</v>
          </cell>
          <cell r="AC234">
            <v>7.9369509697475698</v>
          </cell>
          <cell r="AD234">
            <v>7.9369509697475698</v>
          </cell>
          <cell r="AE234">
            <v>7.9369509697475698</v>
          </cell>
          <cell r="AF234">
            <v>7.9369509697475698</v>
          </cell>
        </row>
        <row r="235">
          <cell r="A235" t="str">
            <v>Mississippi</v>
          </cell>
          <cell r="B235">
            <v>8.0659099007677018</v>
          </cell>
          <cell r="C235">
            <v>8.0989381615450267</v>
          </cell>
          <cell r="D235">
            <v>7.9370938386556107</v>
          </cell>
          <cell r="E235">
            <v>7.900077226787678</v>
          </cell>
          <cell r="F235">
            <v>7.9344054631506671</v>
          </cell>
          <cell r="G235">
            <v>7.8546014590516071</v>
          </cell>
          <cell r="H235">
            <v>7.8213372251499544</v>
          </cell>
          <cell r="I235">
            <v>7.9218328712060915</v>
          </cell>
          <cell r="J235">
            <v>7.9567427782022992</v>
          </cell>
          <cell r="K235">
            <v>8.0847755865398199</v>
          </cell>
          <cell r="L235">
            <v>8.2951621179357637</v>
          </cell>
          <cell r="M235">
            <v>8.1925613898602716</v>
          </cell>
          <cell r="N235">
            <v>8.2171348140345692</v>
          </cell>
          <cell r="O235">
            <v>8.2656935808985406</v>
          </cell>
          <cell r="P235">
            <v>8.1563478501583351</v>
          </cell>
          <cell r="Q235">
            <v>8.1848160141874491</v>
          </cell>
          <cell r="R235">
            <v>8.084098215274329</v>
          </cell>
          <cell r="S235">
            <v>8.0790185934377821</v>
          </cell>
          <cell r="T235">
            <v>8.0790185934377821</v>
          </cell>
          <cell r="U235">
            <v>8.0790185934377821</v>
          </cell>
          <cell r="V235">
            <v>8.0790185934377821</v>
          </cell>
          <cell r="W235">
            <v>8.0790185934377821</v>
          </cell>
          <cell r="X235">
            <v>8.0790185934377821</v>
          </cell>
          <cell r="Y235">
            <v>8.0790185934377821</v>
          </cell>
          <cell r="Z235">
            <v>8.0790185934377821</v>
          </cell>
          <cell r="AA235">
            <v>8.0790185934377821</v>
          </cell>
          <cell r="AB235">
            <v>8.0790185934377821</v>
          </cell>
          <cell r="AC235">
            <v>8.0790185934377821</v>
          </cell>
          <cell r="AD235">
            <v>8.0790185934377821</v>
          </cell>
          <cell r="AE235">
            <v>8.0790185934377821</v>
          </cell>
          <cell r="AF235">
            <v>8.0790185934377821</v>
          </cell>
        </row>
        <row r="236">
          <cell r="A236" t="str">
            <v>Missouri</v>
          </cell>
          <cell r="B236">
            <v>7.9243700298127351</v>
          </cell>
          <cell r="C236">
            <v>7.9567155134217895</v>
          </cell>
          <cell r="D236">
            <v>7.7979813944153857</v>
          </cell>
          <cell r="E236">
            <v>7.7616566443619979</v>
          </cell>
          <cell r="F236">
            <v>7.7952981209275078</v>
          </cell>
          <cell r="G236">
            <v>7.7169964745745911</v>
          </cell>
          <cell r="H236">
            <v>7.6843734556249288</v>
          </cell>
          <cell r="I236">
            <v>7.7828707670084132</v>
          </cell>
          <cell r="J236">
            <v>7.8170800254048967</v>
          </cell>
          <cell r="K236">
            <v>7.9425837381325737</v>
          </cell>
          <cell r="L236">
            <v>8.1488231481674198</v>
          </cell>
          <cell r="M236">
            <v>8.0482399531612927</v>
          </cell>
          <cell r="N236">
            <v>8.0723223018900168</v>
          </cell>
          <cell r="O236">
            <v>8.1199524373571563</v>
          </cell>
          <cell r="P236">
            <v>8.0127770136982868</v>
          </cell>
          <cell r="Q236">
            <v>8.0406760333259459</v>
          </cell>
          <cell r="R236">
            <v>7.9419319935799679</v>
          </cell>
          <cell r="S236">
            <v>7.9369509697475698</v>
          </cell>
          <cell r="T236">
            <v>7.9369509697475698</v>
          </cell>
          <cell r="U236">
            <v>7.9369509697475698</v>
          </cell>
          <cell r="V236">
            <v>7.9369509697475698</v>
          </cell>
          <cell r="W236">
            <v>7.9369509697475698</v>
          </cell>
          <cell r="X236">
            <v>7.9369509697475698</v>
          </cell>
          <cell r="Y236">
            <v>7.9369509697475698</v>
          </cell>
          <cell r="Z236">
            <v>7.9369509697475698</v>
          </cell>
          <cell r="AA236">
            <v>7.9369509697475698</v>
          </cell>
          <cell r="AB236">
            <v>7.9369509697475698</v>
          </cell>
          <cell r="AC236">
            <v>7.9369509697475698</v>
          </cell>
          <cell r="AD236">
            <v>7.9369509697475698</v>
          </cell>
          <cell r="AE236">
            <v>7.9369509697475698</v>
          </cell>
          <cell r="AF236">
            <v>7.9369509697475698</v>
          </cell>
        </row>
        <row r="237">
          <cell r="A237" t="str">
            <v>Montana</v>
          </cell>
          <cell r="B237">
            <v>7.3788719137507126</v>
          </cell>
          <cell r="C237">
            <v>7.4086256629764762</v>
          </cell>
          <cell r="D237">
            <v>7.2617743982070593</v>
          </cell>
          <cell r="E237">
            <v>7.2280998267903103</v>
          </cell>
          <cell r="F237">
            <v>7.2591269754209042</v>
          </cell>
          <cell r="G237">
            <v>7.1865762225420768</v>
          </cell>
          <cell r="H237">
            <v>7.1564023400807004</v>
          </cell>
          <cell r="I237">
            <v>7.24728837608476</v>
          </cell>
          <cell r="J237">
            <v>7.2788311952686664</v>
          </cell>
          <cell r="K237">
            <v>7.3946963581514398</v>
          </cell>
          <cell r="L237">
            <v>7.5851278256998356</v>
          </cell>
          <cell r="M237">
            <v>7.4922367230291824</v>
          </cell>
          <cell r="N237">
            <v>7.5144494869107357</v>
          </cell>
          <cell r="O237">
            <v>7.5585300972912437</v>
          </cell>
          <cell r="P237">
            <v>7.45962232048125</v>
          </cell>
          <cell r="Q237">
            <v>7.4853546169922769</v>
          </cell>
          <cell r="R237">
            <v>7.3941380931145373</v>
          </cell>
          <cell r="S237">
            <v>7.3895334282516076</v>
          </cell>
          <cell r="T237">
            <v>7.3895334282516076</v>
          </cell>
          <cell r="U237">
            <v>7.3895334282516076</v>
          </cell>
          <cell r="V237">
            <v>7.3895334282516076</v>
          </cell>
          <cell r="W237">
            <v>7.3895334282516076</v>
          </cell>
          <cell r="X237">
            <v>7.3895334282516076</v>
          </cell>
          <cell r="Y237">
            <v>7.3895334282516076</v>
          </cell>
          <cell r="Z237">
            <v>7.3895334282516076</v>
          </cell>
          <cell r="AA237">
            <v>7.3895334282516076</v>
          </cell>
          <cell r="AB237">
            <v>7.3895334282516076</v>
          </cell>
          <cell r="AC237">
            <v>7.3895334282516076</v>
          </cell>
          <cell r="AD237">
            <v>7.3895334282516076</v>
          </cell>
          <cell r="AE237">
            <v>7.3895334282516076</v>
          </cell>
          <cell r="AF237">
            <v>7.3895334282516076</v>
          </cell>
        </row>
        <row r="238">
          <cell r="A238" t="str">
            <v>Nebraska</v>
          </cell>
          <cell r="B238">
            <v>7.3788719137507099</v>
          </cell>
          <cell r="C238">
            <v>7.4086256629764744</v>
          </cell>
          <cell r="D238">
            <v>7.2617743982070575</v>
          </cell>
          <cell r="E238">
            <v>7.2280998267903103</v>
          </cell>
          <cell r="F238">
            <v>7.2591269754209069</v>
          </cell>
          <cell r="G238">
            <v>7.1865762225420777</v>
          </cell>
          <cell r="H238">
            <v>7.1564023400807031</v>
          </cell>
          <cell r="I238">
            <v>7.24728837608476</v>
          </cell>
          <cell r="J238">
            <v>7.2788311952686691</v>
          </cell>
          <cell r="K238">
            <v>7.3946963581514389</v>
          </cell>
          <cell r="L238">
            <v>7.5851278256998356</v>
          </cell>
          <cell r="M238">
            <v>7.4922367230291824</v>
          </cell>
          <cell r="N238">
            <v>7.5144494869107339</v>
          </cell>
          <cell r="O238">
            <v>7.5585300972912437</v>
          </cell>
          <cell r="P238">
            <v>7.4596223204812508</v>
          </cell>
          <cell r="Q238">
            <v>7.4853546169922787</v>
          </cell>
          <cell r="R238">
            <v>7.3941380931145391</v>
          </cell>
          <cell r="S238">
            <v>7.3895334282516076</v>
          </cell>
          <cell r="T238">
            <v>7.3895334282516076</v>
          </cell>
          <cell r="U238">
            <v>7.3895334282516076</v>
          </cell>
          <cell r="V238">
            <v>7.3895334282516076</v>
          </cell>
          <cell r="W238">
            <v>7.3895334282516076</v>
          </cell>
          <cell r="X238">
            <v>7.3895334282516076</v>
          </cell>
          <cell r="Y238">
            <v>7.3895334282516076</v>
          </cell>
          <cell r="Z238">
            <v>7.3895334282516076</v>
          </cell>
          <cell r="AA238">
            <v>7.3895334282516076</v>
          </cell>
          <cell r="AB238">
            <v>7.3895334282516076</v>
          </cell>
          <cell r="AC238">
            <v>7.3895334282516076</v>
          </cell>
          <cell r="AD238">
            <v>7.3895334282516076</v>
          </cell>
          <cell r="AE238">
            <v>7.3895334282516076</v>
          </cell>
          <cell r="AF238">
            <v>7.3895334282516076</v>
          </cell>
        </row>
        <row r="239">
          <cell r="A239" t="str">
            <v>Nevada</v>
          </cell>
          <cell r="B239">
            <v>10.596503245093542</v>
          </cell>
          <cell r="C239">
            <v>10.642481894807183</v>
          </cell>
          <cell r="D239">
            <v>10.423085031136063</v>
          </cell>
          <cell r="E239">
            <v>10.373394083792569</v>
          </cell>
          <cell r="F239">
            <v>10.420608350519522</v>
          </cell>
          <cell r="G239">
            <v>10.313209563681211</v>
          </cell>
          <cell r="H239">
            <v>10.268067078783808</v>
          </cell>
          <cell r="I239">
            <v>10.405981790192174</v>
          </cell>
          <cell r="J239">
            <v>10.454052552618819</v>
          </cell>
          <cell r="K239">
            <v>10.629336189525148</v>
          </cell>
          <cell r="L239">
            <v>10.917147003589587</v>
          </cell>
          <cell r="M239">
            <v>10.776911693796198</v>
          </cell>
          <cell r="N239">
            <v>10.81069605738586</v>
          </cell>
          <cell r="O239">
            <v>10.876408802695064</v>
          </cell>
          <cell r="P239">
            <v>10.726449277396085</v>
          </cell>
          <cell r="Q239">
            <v>10.7655941892349</v>
          </cell>
          <cell r="R239">
            <v>10.628101712666934</v>
          </cell>
          <cell r="S239">
            <v>10.621191137924193</v>
          </cell>
          <cell r="T239">
            <v>10.621191137924193</v>
          </cell>
          <cell r="U239">
            <v>10.621191137924193</v>
          </cell>
          <cell r="V239">
            <v>10.621191137924193</v>
          </cell>
          <cell r="W239">
            <v>10.621191137924193</v>
          </cell>
          <cell r="X239">
            <v>10.621191137924193</v>
          </cell>
          <cell r="Y239">
            <v>10.621191137924193</v>
          </cell>
          <cell r="Z239">
            <v>10.621191137924193</v>
          </cell>
          <cell r="AA239">
            <v>10.621191137924193</v>
          </cell>
          <cell r="AB239">
            <v>10.621191137924193</v>
          </cell>
          <cell r="AC239">
            <v>10.621191137924193</v>
          </cell>
          <cell r="AD239">
            <v>10.621191137924193</v>
          </cell>
          <cell r="AE239">
            <v>10.621191137924193</v>
          </cell>
          <cell r="AF239">
            <v>10.621191137924193</v>
          </cell>
        </row>
        <row r="240">
          <cell r="A240" t="str">
            <v>New Hampshire</v>
          </cell>
          <cell r="B240">
            <v>7.9215594275385479</v>
          </cell>
          <cell r="C240">
            <v>7.9538913967555009</v>
          </cell>
          <cell r="D240">
            <v>7.7952189235703724</v>
          </cell>
          <cell r="E240">
            <v>7.7589078941135101</v>
          </cell>
          <cell r="F240">
            <v>7.792535769223619</v>
          </cell>
          <cell r="G240">
            <v>7.7142639124590087</v>
          </cell>
          <cell r="H240">
            <v>7.6816536019541388</v>
          </cell>
          <cell r="I240">
            <v>7.7801113312867889</v>
          </cell>
          <cell r="J240">
            <v>7.8143067139936333</v>
          </cell>
          <cell r="K240">
            <v>7.9397603253273852</v>
          </cell>
          <cell r="L240">
            <v>8.1459175775786594</v>
          </cell>
          <cell r="M240">
            <v>8.045374353370029</v>
          </cell>
          <cell r="N240">
            <v>8.06944697602456</v>
          </cell>
          <cell r="O240">
            <v>8.1170587037908213</v>
          </cell>
          <cell r="P240">
            <v>8.0099262700288669</v>
          </cell>
          <cell r="Q240">
            <v>8.0378140174629724</v>
          </cell>
          <cell r="R240">
            <v>7.9391090838300844</v>
          </cell>
          <cell r="S240">
            <v>7.9341300138804041</v>
          </cell>
          <cell r="T240">
            <v>7.9341300138804041</v>
          </cell>
          <cell r="U240">
            <v>7.9341300138804041</v>
          </cell>
          <cell r="V240">
            <v>7.9341300138804041</v>
          </cell>
          <cell r="W240">
            <v>7.9341300138804041</v>
          </cell>
          <cell r="X240">
            <v>7.9341300138804041</v>
          </cell>
          <cell r="Y240">
            <v>7.9341300138804041</v>
          </cell>
          <cell r="Z240">
            <v>7.9341300138804041</v>
          </cell>
          <cell r="AA240">
            <v>7.9341300138804041</v>
          </cell>
          <cell r="AB240">
            <v>7.9341300138804041</v>
          </cell>
          <cell r="AC240">
            <v>7.9341300138804041</v>
          </cell>
          <cell r="AD240">
            <v>7.9341300138804041</v>
          </cell>
          <cell r="AE240">
            <v>7.9341300138804041</v>
          </cell>
          <cell r="AF240">
            <v>7.9341300138804041</v>
          </cell>
        </row>
        <row r="241">
          <cell r="A241" t="str">
            <v>New Jersey</v>
          </cell>
          <cell r="B241">
            <v>7.9215594275385479</v>
          </cell>
          <cell r="C241">
            <v>7.9538913967555009</v>
          </cell>
          <cell r="D241">
            <v>7.7952189235703724</v>
          </cell>
          <cell r="E241">
            <v>7.7589078941135092</v>
          </cell>
          <cell r="F241">
            <v>7.792535769223619</v>
          </cell>
          <cell r="G241">
            <v>7.7142639124590087</v>
          </cell>
          <cell r="H241">
            <v>7.6816536019541388</v>
          </cell>
          <cell r="I241">
            <v>7.7801113312867907</v>
          </cell>
          <cell r="J241">
            <v>7.8143067139936333</v>
          </cell>
          <cell r="K241">
            <v>7.9397603253273852</v>
          </cell>
          <cell r="L241">
            <v>8.1459175775786594</v>
          </cell>
          <cell r="M241">
            <v>8.045374353370029</v>
          </cell>
          <cell r="N241">
            <v>8.06944697602456</v>
          </cell>
          <cell r="O241">
            <v>8.1170587037908195</v>
          </cell>
          <cell r="P241">
            <v>8.0099262700288669</v>
          </cell>
          <cell r="Q241">
            <v>8.0378140174629724</v>
          </cell>
          <cell r="R241">
            <v>7.9391090838300844</v>
          </cell>
          <cell r="S241">
            <v>7.9341300138804023</v>
          </cell>
          <cell r="T241">
            <v>7.9341300138804023</v>
          </cell>
          <cell r="U241">
            <v>7.9341300138804023</v>
          </cell>
          <cell r="V241">
            <v>7.9341300138804023</v>
          </cell>
          <cell r="W241">
            <v>7.9341300138804023</v>
          </cell>
          <cell r="X241">
            <v>7.9341300138804023</v>
          </cell>
          <cell r="Y241">
            <v>7.9341300138804023</v>
          </cell>
          <cell r="Z241">
            <v>7.9341300138804023</v>
          </cell>
          <cell r="AA241">
            <v>7.9341300138804023</v>
          </cell>
          <cell r="AB241">
            <v>7.9341300138804023</v>
          </cell>
          <cell r="AC241">
            <v>7.9341300138804023</v>
          </cell>
          <cell r="AD241">
            <v>7.9341300138804023</v>
          </cell>
          <cell r="AE241">
            <v>7.9341300138804023</v>
          </cell>
          <cell r="AF241">
            <v>7.9341300138804023</v>
          </cell>
        </row>
        <row r="242">
          <cell r="A242" t="str">
            <v>New Mexico</v>
          </cell>
          <cell r="B242">
            <v>10.596503245093546</v>
          </cell>
          <cell r="C242">
            <v>10.642481894807183</v>
          </cell>
          <cell r="D242">
            <v>10.423085031136063</v>
          </cell>
          <cell r="E242">
            <v>10.373394083792569</v>
          </cell>
          <cell r="F242">
            <v>10.420608350519522</v>
          </cell>
          <cell r="G242">
            <v>10.313209563681212</v>
          </cell>
          <cell r="H242">
            <v>10.268067078783805</v>
          </cell>
          <cell r="I242">
            <v>10.405981790192174</v>
          </cell>
          <cell r="J242">
            <v>10.454052552618817</v>
          </cell>
          <cell r="K242">
            <v>10.629336189525148</v>
          </cell>
          <cell r="L242">
            <v>10.917147003589591</v>
          </cell>
          <cell r="M242">
            <v>10.776911693796199</v>
          </cell>
          <cell r="N242">
            <v>10.81069605738586</v>
          </cell>
          <cell r="O242">
            <v>10.876408802695064</v>
          </cell>
          <cell r="P242">
            <v>10.72644927739608</v>
          </cell>
          <cell r="Q242">
            <v>10.765594189234903</v>
          </cell>
          <cell r="R242">
            <v>10.628101712666936</v>
          </cell>
          <cell r="S242">
            <v>10.621191137924191</v>
          </cell>
          <cell r="T242">
            <v>10.621191137924191</v>
          </cell>
          <cell r="U242">
            <v>10.621191137924191</v>
          </cell>
          <cell r="V242">
            <v>10.621191137924191</v>
          </cell>
          <cell r="W242">
            <v>10.621191137924191</v>
          </cell>
          <cell r="X242">
            <v>10.621191137924191</v>
          </cell>
          <cell r="Y242">
            <v>10.621191137924191</v>
          </cell>
          <cell r="Z242">
            <v>10.621191137924191</v>
          </cell>
          <cell r="AA242">
            <v>10.621191137924191</v>
          </cell>
          <cell r="AB242">
            <v>10.621191137924191</v>
          </cell>
          <cell r="AC242">
            <v>10.621191137924191</v>
          </cell>
          <cell r="AD242">
            <v>10.621191137924191</v>
          </cell>
          <cell r="AE242">
            <v>10.621191137924191</v>
          </cell>
          <cell r="AF242">
            <v>10.621191137924191</v>
          </cell>
        </row>
        <row r="243">
          <cell r="A243" t="str">
            <v>New York</v>
          </cell>
          <cell r="B243">
            <v>7.9215594275385479</v>
          </cell>
          <cell r="C243">
            <v>7.9538913967555009</v>
          </cell>
          <cell r="D243">
            <v>7.7952189235703724</v>
          </cell>
          <cell r="E243">
            <v>7.7589078941135101</v>
          </cell>
          <cell r="F243">
            <v>7.7925357692236208</v>
          </cell>
          <cell r="G243">
            <v>7.7142639124590051</v>
          </cell>
          <cell r="H243">
            <v>7.681653601954137</v>
          </cell>
          <cell r="I243">
            <v>7.7801113312867889</v>
          </cell>
          <cell r="J243">
            <v>7.8143067139936333</v>
          </cell>
          <cell r="K243">
            <v>7.9397603253273834</v>
          </cell>
          <cell r="L243">
            <v>8.145917577578663</v>
          </cell>
          <cell r="M243">
            <v>8.0453743533700308</v>
          </cell>
          <cell r="N243">
            <v>8.06944697602456</v>
          </cell>
          <cell r="O243">
            <v>8.1170587037908231</v>
          </cell>
          <cell r="P243">
            <v>8.0099262700288651</v>
          </cell>
          <cell r="Q243">
            <v>8.0378140174629689</v>
          </cell>
          <cell r="R243">
            <v>7.9391090838300862</v>
          </cell>
          <cell r="S243">
            <v>7.9341300138804014</v>
          </cell>
          <cell r="T243">
            <v>7.9341300138804014</v>
          </cell>
          <cell r="U243">
            <v>7.9341300138804014</v>
          </cell>
          <cell r="V243">
            <v>7.9341300138804014</v>
          </cell>
          <cell r="W243">
            <v>7.9341300138804014</v>
          </cell>
          <cell r="X243">
            <v>7.9341300138804014</v>
          </cell>
          <cell r="Y243">
            <v>7.9341300138804014</v>
          </cell>
          <cell r="Z243">
            <v>7.9341300138804014</v>
          </cell>
          <cell r="AA243">
            <v>7.9341300138804014</v>
          </cell>
          <cell r="AB243">
            <v>7.9341300138804014</v>
          </cell>
          <cell r="AC243">
            <v>7.9341300138804014</v>
          </cell>
          <cell r="AD243">
            <v>7.9341300138804014</v>
          </cell>
          <cell r="AE243">
            <v>7.9341300138804014</v>
          </cell>
          <cell r="AF243">
            <v>7.9341300138804014</v>
          </cell>
        </row>
        <row r="244">
          <cell r="A244" t="str">
            <v>North Carolina</v>
          </cell>
          <cell r="B244">
            <v>8.0659099007676982</v>
          </cell>
          <cell r="C244">
            <v>8.0989381615450267</v>
          </cell>
          <cell r="D244">
            <v>7.937093838655608</v>
          </cell>
          <cell r="E244">
            <v>7.9000772267876789</v>
          </cell>
          <cell r="F244">
            <v>7.934405463150668</v>
          </cell>
          <cell r="G244">
            <v>7.8546014590516071</v>
          </cell>
          <cell r="H244">
            <v>7.8213372251499536</v>
          </cell>
          <cell r="I244">
            <v>7.9218328712060915</v>
          </cell>
          <cell r="J244">
            <v>7.9567427782022975</v>
          </cell>
          <cell r="K244">
            <v>8.0847755865398216</v>
          </cell>
          <cell r="L244">
            <v>8.2951621179357655</v>
          </cell>
          <cell r="M244">
            <v>8.1925613898602716</v>
          </cell>
          <cell r="N244">
            <v>8.217134814034571</v>
          </cell>
          <cell r="O244">
            <v>8.2656935808985406</v>
          </cell>
          <cell r="P244">
            <v>8.1563478501583351</v>
          </cell>
          <cell r="Q244">
            <v>8.1848160141874491</v>
          </cell>
          <cell r="R244">
            <v>8.084098215274329</v>
          </cell>
          <cell r="S244">
            <v>8.0790185934377803</v>
          </cell>
          <cell r="T244">
            <v>8.0790185934377803</v>
          </cell>
          <cell r="U244">
            <v>8.0790185934377803</v>
          </cell>
          <cell r="V244">
            <v>8.0790185934377803</v>
          </cell>
          <cell r="W244">
            <v>8.0790185934377803</v>
          </cell>
          <cell r="X244">
            <v>8.0790185934377803</v>
          </cell>
          <cell r="Y244">
            <v>8.0790185934377803</v>
          </cell>
          <cell r="Z244">
            <v>8.0790185934377803</v>
          </cell>
          <cell r="AA244">
            <v>8.0790185934377803</v>
          </cell>
          <cell r="AB244">
            <v>8.0790185934377803</v>
          </cell>
          <cell r="AC244">
            <v>8.0790185934377803</v>
          </cell>
          <cell r="AD244">
            <v>8.0790185934377803</v>
          </cell>
          <cell r="AE244">
            <v>8.0790185934377803</v>
          </cell>
          <cell r="AF244">
            <v>8.0790185934377803</v>
          </cell>
        </row>
        <row r="245">
          <cell r="A245" t="str">
            <v>North Dakota</v>
          </cell>
          <cell r="B245">
            <v>7.3788719137507117</v>
          </cell>
          <cell r="C245">
            <v>7.4086256629764744</v>
          </cell>
          <cell r="D245">
            <v>7.2617743982070575</v>
          </cell>
          <cell r="E245">
            <v>7.2280998267903085</v>
          </cell>
          <cell r="F245">
            <v>7.2591269754209042</v>
          </cell>
          <cell r="G245">
            <v>7.1865762225420777</v>
          </cell>
          <cell r="H245">
            <v>7.1564023400807022</v>
          </cell>
          <cell r="I245">
            <v>7.24728837608476</v>
          </cell>
          <cell r="J245">
            <v>7.2788311952686673</v>
          </cell>
          <cell r="K245">
            <v>7.394696358151438</v>
          </cell>
          <cell r="L245">
            <v>7.5851278256998365</v>
          </cell>
          <cell r="M245">
            <v>7.4922367230291815</v>
          </cell>
          <cell r="N245">
            <v>7.5144494869107357</v>
          </cell>
          <cell r="O245">
            <v>7.5585300972912428</v>
          </cell>
          <cell r="P245">
            <v>7.45962232048125</v>
          </cell>
          <cell r="Q245">
            <v>7.4853546169922769</v>
          </cell>
          <cell r="R245">
            <v>7.3941380931145373</v>
          </cell>
          <cell r="S245">
            <v>7.3895334282516059</v>
          </cell>
          <cell r="T245">
            <v>7.3895334282516059</v>
          </cell>
          <cell r="U245">
            <v>7.3895334282516059</v>
          </cell>
          <cell r="V245">
            <v>7.3895334282516059</v>
          </cell>
          <cell r="W245">
            <v>7.3895334282516059</v>
          </cell>
          <cell r="X245">
            <v>7.3895334282516059</v>
          </cell>
          <cell r="Y245">
            <v>7.3895334282516059</v>
          </cell>
          <cell r="Z245">
            <v>7.3895334282516059</v>
          </cell>
          <cell r="AA245">
            <v>7.3895334282516059</v>
          </cell>
          <cell r="AB245">
            <v>7.3895334282516059</v>
          </cell>
          <cell r="AC245">
            <v>7.3895334282516059</v>
          </cell>
          <cell r="AD245">
            <v>7.3895334282516059</v>
          </cell>
          <cell r="AE245">
            <v>7.3895334282516059</v>
          </cell>
          <cell r="AF245">
            <v>7.3895334282516059</v>
          </cell>
        </row>
        <row r="246">
          <cell r="A246" t="str">
            <v>Ohio</v>
          </cell>
          <cell r="B246">
            <v>7.9243700298127315</v>
          </cell>
          <cell r="C246">
            <v>7.9567155134217895</v>
          </cell>
          <cell r="D246">
            <v>7.797981394415384</v>
          </cell>
          <cell r="E246">
            <v>7.761656644361997</v>
          </cell>
          <cell r="F246">
            <v>7.7952981209275096</v>
          </cell>
          <cell r="G246">
            <v>7.7169964745745911</v>
          </cell>
          <cell r="H246">
            <v>7.6843734556249315</v>
          </cell>
          <cell r="I246">
            <v>7.7828707670084105</v>
          </cell>
          <cell r="J246">
            <v>7.8170800254048975</v>
          </cell>
          <cell r="K246">
            <v>7.9425837381325737</v>
          </cell>
          <cell r="L246">
            <v>8.148823148167418</v>
          </cell>
          <cell r="M246">
            <v>8.0482399531612945</v>
          </cell>
          <cell r="N246">
            <v>8.0723223018900168</v>
          </cell>
          <cell r="O246">
            <v>8.1199524373571546</v>
          </cell>
          <cell r="P246">
            <v>8.0127770136982885</v>
          </cell>
          <cell r="Q246">
            <v>8.0406760333259442</v>
          </cell>
          <cell r="R246">
            <v>7.9419319935799688</v>
          </cell>
          <cell r="S246">
            <v>7.9369509697475715</v>
          </cell>
          <cell r="T246">
            <v>7.9369509697475715</v>
          </cell>
          <cell r="U246">
            <v>7.9369509697475715</v>
          </cell>
          <cell r="V246">
            <v>7.9369509697475715</v>
          </cell>
          <cell r="W246">
            <v>7.9369509697475715</v>
          </cell>
          <cell r="X246">
            <v>7.9369509697475715</v>
          </cell>
          <cell r="Y246">
            <v>7.9369509697475715</v>
          </cell>
          <cell r="Z246">
            <v>7.9369509697475715</v>
          </cell>
          <cell r="AA246">
            <v>7.9369509697475715</v>
          </cell>
          <cell r="AB246">
            <v>7.9369509697475715</v>
          </cell>
          <cell r="AC246">
            <v>7.9369509697475715</v>
          </cell>
          <cell r="AD246">
            <v>7.9369509697475715</v>
          </cell>
          <cell r="AE246">
            <v>7.9369509697475715</v>
          </cell>
          <cell r="AF246">
            <v>7.9369509697475715</v>
          </cell>
        </row>
        <row r="247">
          <cell r="A247" t="str">
            <v>Oklahoma</v>
          </cell>
          <cell r="B247">
            <v>8.0396625992178592</v>
          </cell>
          <cell r="C247">
            <v>8.072563922339496</v>
          </cell>
          <cell r="D247">
            <v>7.9112972038395863</v>
          </cell>
          <cell r="E247">
            <v>7.8744090238292559</v>
          </cell>
          <cell r="F247">
            <v>7.9086096428794299</v>
          </cell>
          <cell r="G247">
            <v>7.8290845564492475</v>
          </cell>
          <cell r="H247">
            <v>7.7959394099325241</v>
          </cell>
          <cell r="I247">
            <v>7.8960637482708478</v>
          </cell>
          <cell r="J247">
            <v>7.9308434508862362</v>
          </cell>
          <cell r="K247">
            <v>8.0584063779645341</v>
          </cell>
          <cell r="L247">
            <v>8.2680224390261703</v>
          </cell>
          <cell r="M247">
            <v>8.1657965233554783</v>
          </cell>
          <cell r="N247">
            <v>8.1902786947722923</v>
          </cell>
          <cell r="O247">
            <v>8.2386650159339023</v>
          </cell>
          <cell r="P247">
            <v>8.1297225357937268</v>
          </cell>
          <cell r="Q247">
            <v>8.1580849394648745</v>
          </cell>
          <cell r="R247">
            <v>8.0577338019142157</v>
          </cell>
          <cell r="S247">
            <v>8.0526724937833247</v>
          </cell>
          <cell r="T247">
            <v>8.0526724937833247</v>
          </cell>
          <cell r="U247">
            <v>8.0526724937833247</v>
          </cell>
          <cell r="V247">
            <v>8.0526724937833247</v>
          </cell>
          <cell r="W247">
            <v>8.0526724937833247</v>
          </cell>
          <cell r="X247">
            <v>8.0526724937833247</v>
          </cell>
          <cell r="Y247">
            <v>8.0526724937833247</v>
          </cell>
          <cell r="Z247">
            <v>8.0526724937833247</v>
          </cell>
          <cell r="AA247">
            <v>8.0526724937833247</v>
          </cell>
          <cell r="AB247">
            <v>8.0526724937833247</v>
          </cell>
          <cell r="AC247">
            <v>8.0526724937833247</v>
          </cell>
          <cell r="AD247">
            <v>8.0526724937833247</v>
          </cell>
          <cell r="AE247">
            <v>8.0526724937833247</v>
          </cell>
          <cell r="AF247">
            <v>8.0526724937833247</v>
          </cell>
        </row>
        <row r="248">
          <cell r="A248" t="str">
            <v>Oregon</v>
          </cell>
          <cell r="B248">
            <v>10.596503245093544</v>
          </cell>
          <cell r="C248">
            <v>10.642481894807185</v>
          </cell>
          <cell r="D248">
            <v>10.423085031136061</v>
          </cell>
          <cell r="E248">
            <v>10.373394083792565</v>
          </cell>
          <cell r="F248">
            <v>10.420608350519522</v>
          </cell>
          <cell r="G248">
            <v>10.313209563681218</v>
          </cell>
          <cell r="H248">
            <v>10.268067078783805</v>
          </cell>
          <cell r="I248">
            <v>10.405981790192175</v>
          </cell>
          <cell r="J248">
            <v>10.454052552618821</v>
          </cell>
          <cell r="K248">
            <v>10.629336189525148</v>
          </cell>
          <cell r="L248">
            <v>10.917147003589593</v>
          </cell>
          <cell r="M248">
            <v>10.776911693796198</v>
          </cell>
          <cell r="N248">
            <v>10.810696057385858</v>
          </cell>
          <cell r="O248">
            <v>10.876408802695062</v>
          </cell>
          <cell r="P248">
            <v>10.72644927739608</v>
          </cell>
          <cell r="Q248">
            <v>10.765594189234903</v>
          </cell>
          <cell r="R248">
            <v>10.628101712666936</v>
          </cell>
          <cell r="S248">
            <v>10.621191137924191</v>
          </cell>
          <cell r="T248">
            <v>10.621191137924191</v>
          </cell>
          <cell r="U248">
            <v>10.621191137924191</v>
          </cell>
          <cell r="V248">
            <v>10.621191137924191</v>
          </cell>
          <cell r="W248">
            <v>10.621191137924191</v>
          </cell>
          <cell r="X248">
            <v>10.621191137924191</v>
          </cell>
          <cell r="Y248">
            <v>10.621191137924191</v>
          </cell>
          <cell r="Z248">
            <v>10.621191137924191</v>
          </cell>
          <cell r="AA248">
            <v>10.621191137924191</v>
          </cell>
          <cell r="AB248">
            <v>10.621191137924191</v>
          </cell>
          <cell r="AC248">
            <v>10.621191137924191</v>
          </cell>
          <cell r="AD248">
            <v>10.621191137924191</v>
          </cell>
          <cell r="AE248">
            <v>10.621191137924191</v>
          </cell>
          <cell r="AF248">
            <v>10.621191137924191</v>
          </cell>
        </row>
        <row r="249">
          <cell r="A249" t="str">
            <v>Pennsylvania</v>
          </cell>
          <cell r="B249">
            <v>7.9215594275385524</v>
          </cell>
          <cell r="C249">
            <v>7.9538913967555009</v>
          </cell>
          <cell r="D249">
            <v>7.7952189235703724</v>
          </cell>
          <cell r="E249">
            <v>7.7589078941135101</v>
          </cell>
          <cell r="F249">
            <v>7.7925357692236181</v>
          </cell>
          <cell r="G249">
            <v>7.714263912459006</v>
          </cell>
          <cell r="H249">
            <v>7.6816536019541397</v>
          </cell>
          <cell r="I249">
            <v>7.7801113312867907</v>
          </cell>
          <cell r="J249">
            <v>7.8143067139936333</v>
          </cell>
          <cell r="K249">
            <v>7.9397603253273861</v>
          </cell>
          <cell r="L249">
            <v>8.1459175775786594</v>
          </cell>
          <cell r="M249">
            <v>8.045374353370029</v>
          </cell>
          <cell r="N249">
            <v>8.06944697602456</v>
          </cell>
          <cell r="O249">
            <v>8.1170587037908231</v>
          </cell>
          <cell r="P249">
            <v>8.0099262700288669</v>
          </cell>
          <cell r="Q249">
            <v>8.0378140174629724</v>
          </cell>
          <cell r="R249">
            <v>7.9391090838300862</v>
          </cell>
          <cell r="S249">
            <v>7.9341300138804023</v>
          </cell>
          <cell r="T249">
            <v>7.9341300138804023</v>
          </cell>
          <cell r="U249">
            <v>7.9341300138804023</v>
          </cell>
          <cell r="V249">
            <v>7.9341300138804023</v>
          </cell>
          <cell r="W249">
            <v>7.9341300138804023</v>
          </cell>
          <cell r="X249">
            <v>7.9341300138804023</v>
          </cell>
          <cell r="Y249">
            <v>7.9341300138804023</v>
          </cell>
          <cell r="Z249">
            <v>7.9341300138804023</v>
          </cell>
          <cell r="AA249">
            <v>7.9341300138804023</v>
          </cell>
          <cell r="AB249">
            <v>7.9341300138804023</v>
          </cell>
          <cell r="AC249">
            <v>7.9341300138804023</v>
          </cell>
          <cell r="AD249">
            <v>7.9341300138804023</v>
          </cell>
          <cell r="AE249">
            <v>7.9341300138804023</v>
          </cell>
          <cell r="AF249">
            <v>7.9341300138804023</v>
          </cell>
        </row>
        <row r="250">
          <cell r="A250" t="str">
            <v>Rhode Island</v>
          </cell>
          <cell r="B250">
            <v>7.9215594275385479</v>
          </cell>
          <cell r="C250">
            <v>7.9538913967555009</v>
          </cell>
          <cell r="D250">
            <v>7.7952189235703715</v>
          </cell>
          <cell r="E250">
            <v>7.7589078941135101</v>
          </cell>
          <cell r="F250">
            <v>7.7925357692236217</v>
          </cell>
          <cell r="G250">
            <v>7.7142639124590087</v>
          </cell>
          <cell r="H250">
            <v>7.6816536019541388</v>
          </cell>
          <cell r="I250">
            <v>7.7801113312867916</v>
          </cell>
          <cell r="J250">
            <v>7.8143067139936333</v>
          </cell>
          <cell r="K250">
            <v>7.9397603253273852</v>
          </cell>
          <cell r="L250">
            <v>8.1459175775786594</v>
          </cell>
          <cell r="M250">
            <v>8.0453743533700308</v>
          </cell>
          <cell r="N250">
            <v>8.06944697602456</v>
          </cell>
          <cell r="O250">
            <v>8.1170587037908195</v>
          </cell>
          <cell r="P250">
            <v>8.0099262700288669</v>
          </cell>
          <cell r="Q250">
            <v>8.0378140174629724</v>
          </cell>
          <cell r="R250">
            <v>7.9391090838300871</v>
          </cell>
          <cell r="S250">
            <v>7.9341300138804041</v>
          </cell>
          <cell r="T250">
            <v>7.9341300138804041</v>
          </cell>
          <cell r="U250">
            <v>7.9341300138804041</v>
          </cell>
          <cell r="V250">
            <v>7.9341300138804041</v>
          </cell>
          <cell r="W250">
            <v>7.9341300138804041</v>
          </cell>
          <cell r="X250">
            <v>7.9341300138804041</v>
          </cell>
          <cell r="Y250">
            <v>7.9341300138804041</v>
          </cell>
          <cell r="Z250">
            <v>7.9341300138804041</v>
          </cell>
          <cell r="AA250">
            <v>7.9341300138804041</v>
          </cell>
          <cell r="AB250">
            <v>7.9341300138804041</v>
          </cell>
          <cell r="AC250">
            <v>7.9341300138804041</v>
          </cell>
          <cell r="AD250">
            <v>7.9341300138804041</v>
          </cell>
          <cell r="AE250">
            <v>7.9341300138804041</v>
          </cell>
          <cell r="AF250">
            <v>7.9341300138804041</v>
          </cell>
        </row>
        <row r="251">
          <cell r="A251" t="str">
            <v>South Carolina</v>
          </cell>
          <cell r="B251">
            <v>8.0659099007677</v>
          </cell>
          <cell r="C251">
            <v>8.0989381615450249</v>
          </cell>
          <cell r="D251">
            <v>7.9370938386556098</v>
          </cell>
          <cell r="E251">
            <v>7.9000772267876833</v>
          </cell>
          <cell r="F251">
            <v>7.9344054631506653</v>
          </cell>
          <cell r="G251">
            <v>7.854601459051608</v>
          </cell>
          <cell r="H251">
            <v>7.8213372251499562</v>
          </cell>
          <cell r="I251">
            <v>7.9218328712060924</v>
          </cell>
          <cell r="J251">
            <v>7.9567427782022992</v>
          </cell>
          <cell r="K251">
            <v>8.0847755865398199</v>
          </cell>
          <cell r="L251">
            <v>8.2951621179357655</v>
          </cell>
          <cell r="M251">
            <v>8.1925613898602716</v>
          </cell>
          <cell r="N251">
            <v>8.217134814034571</v>
          </cell>
          <cell r="O251">
            <v>8.2656935808985406</v>
          </cell>
          <cell r="P251">
            <v>8.1563478501583369</v>
          </cell>
          <cell r="Q251">
            <v>8.1848160141874491</v>
          </cell>
          <cell r="R251">
            <v>8.084098215274329</v>
          </cell>
          <cell r="S251">
            <v>8.0790185934377803</v>
          </cell>
          <cell r="T251">
            <v>8.0790185934377803</v>
          </cell>
          <cell r="U251">
            <v>8.0790185934377803</v>
          </cell>
          <cell r="V251">
            <v>8.0790185934377803</v>
          </cell>
          <cell r="W251">
            <v>8.0790185934377803</v>
          </cell>
          <cell r="X251">
            <v>8.0790185934377803</v>
          </cell>
          <cell r="Y251">
            <v>8.0790185934377803</v>
          </cell>
          <cell r="Z251">
            <v>8.0790185934377803</v>
          </cell>
          <cell r="AA251">
            <v>8.0790185934377803</v>
          </cell>
          <cell r="AB251">
            <v>8.0790185934377803</v>
          </cell>
          <cell r="AC251">
            <v>8.0790185934377803</v>
          </cell>
          <cell r="AD251">
            <v>8.0790185934377803</v>
          </cell>
          <cell r="AE251">
            <v>8.0790185934377803</v>
          </cell>
          <cell r="AF251">
            <v>8.0790185934377803</v>
          </cell>
        </row>
        <row r="252">
          <cell r="A252" t="str">
            <v>South Dakota</v>
          </cell>
          <cell r="B252">
            <v>7.3788719137507091</v>
          </cell>
          <cell r="C252">
            <v>7.4086256629764744</v>
          </cell>
          <cell r="D252">
            <v>7.2617743982070584</v>
          </cell>
          <cell r="E252">
            <v>7.2280998267903112</v>
          </cell>
          <cell r="F252">
            <v>7.2591269754209069</v>
          </cell>
          <cell r="G252">
            <v>7.1865762225420768</v>
          </cell>
          <cell r="H252">
            <v>7.1564023400807022</v>
          </cell>
          <cell r="I252">
            <v>7.2472883760847617</v>
          </cell>
          <cell r="J252">
            <v>7.2788311952686655</v>
          </cell>
          <cell r="K252">
            <v>7.3946963581514389</v>
          </cell>
          <cell r="L252">
            <v>7.5851278256998338</v>
          </cell>
          <cell r="M252">
            <v>7.4922367230291824</v>
          </cell>
          <cell r="N252">
            <v>7.5144494869107339</v>
          </cell>
          <cell r="O252">
            <v>7.5585300972912428</v>
          </cell>
          <cell r="P252">
            <v>7.4596223204812526</v>
          </cell>
          <cell r="Q252">
            <v>7.4853546169922769</v>
          </cell>
          <cell r="R252">
            <v>7.3941380931145364</v>
          </cell>
          <cell r="S252">
            <v>7.3895334282516059</v>
          </cell>
          <cell r="T252">
            <v>7.3895334282516059</v>
          </cell>
          <cell r="U252">
            <v>7.3895334282516059</v>
          </cell>
          <cell r="V252">
            <v>7.3895334282516059</v>
          </cell>
          <cell r="W252">
            <v>7.3895334282516059</v>
          </cell>
          <cell r="X252">
            <v>7.3895334282516059</v>
          </cell>
          <cell r="Y252">
            <v>7.3895334282516059</v>
          </cell>
          <cell r="Z252">
            <v>7.3895334282516059</v>
          </cell>
          <cell r="AA252">
            <v>7.3895334282516059</v>
          </cell>
          <cell r="AB252">
            <v>7.3895334282516059</v>
          </cell>
          <cell r="AC252">
            <v>7.3895334282516059</v>
          </cell>
          <cell r="AD252">
            <v>7.3895334282516059</v>
          </cell>
          <cell r="AE252">
            <v>7.3895334282516059</v>
          </cell>
          <cell r="AF252">
            <v>7.3895334282516059</v>
          </cell>
        </row>
        <row r="253">
          <cell r="A253" t="str">
            <v>Tennessee</v>
          </cell>
          <cell r="B253">
            <v>8.0659099007676982</v>
          </cell>
          <cell r="C253">
            <v>8.0989381615450249</v>
          </cell>
          <cell r="D253">
            <v>7.937093838655608</v>
          </cell>
          <cell r="E253">
            <v>7.9000772267876815</v>
          </cell>
          <cell r="F253">
            <v>7.9344054631506671</v>
          </cell>
          <cell r="G253">
            <v>7.8546014590516053</v>
          </cell>
          <cell r="H253">
            <v>7.8213372251499518</v>
          </cell>
          <cell r="I253">
            <v>7.9218328712060915</v>
          </cell>
          <cell r="J253">
            <v>7.9567427782022992</v>
          </cell>
          <cell r="K253">
            <v>8.0847755865398199</v>
          </cell>
          <cell r="L253">
            <v>8.2951621179357655</v>
          </cell>
          <cell r="M253">
            <v>8.1925613898602716</v>
          </cell>
          <cell r="N253">
            <v>8.2171348140345692</v>
          </cell>
          <cell r="O253">
            <v>8.2656935808985406</v>
          </cell>
          <cell r="P253">
            <v>8.1563478501583333</v>
          </cell>
          <cell r="Q253">
            <v>8.1848160141874491</v>
          </cell>
          <cell r="R253">
            <v>8.084098215274329</v>
          </cell>
          <cell r="S253">
            <v>8.0790185934377821</v>
          </cell>
          <cell r="T253">
            <v>8.0790185934377821</v>
          </cell>
          <cell r="U253">
            <v>8.0790185934377821</v>
          </cell>
          <cell r="V253">
            <v>8.0790185934377821</v>
          </cell>
          <cell r="W253">
            <v>8.0790185934377821</v>
          </cell>
          <cell r="X253">
            <v>8.0790185934377821</v>
          </cell>
          <cell r="Y253">
            <v>8.0790185934377821</v>
          </cell>
          <cell r="Z253">
            <v>8.0790185934377821</v>
          </cell>
          <cell r="AA253">
            <v>8.0790185934377821</v>
          </cell>
          <cell r="AB253">
            <v>8.0790185934377821</v>
          </cell>
          <cell r="AC253">
            <v>8.0790185934377821</v>
          </cell>
          <cell r="AD253">
            <v>8.0790185934377821</v>
          </cell>
          <cell r="AE253">
            <v>8.0790185934377821</v>
          </cell>
          <cell r="AF253">
            <v>8.0790185934377821</v>
          </cell>
        </row>
        <row r="254">
          <cell r="A254" t="str">
            <v>Texas</v>
          </cell>
          <cell r="B254">
            <v>8.0396625992178592</v>
          </cell>
          <cell r="C254">
            <v>8.0725639223394978</v>
          </cell>
          <cell r="D254">
            <v>7.9112972038395846</v>
          </cell>
          <cell r="E254">
            <v>7.8744090238292568</v>
          </cell>
          <cell r="F254">
            <v>7.9086096428794272</v>
          </cell>
          <cell r="G254">
            <v>7.8290845564492475</v>
          </cell>
          <cell r="H254">
            <v>7.7959394099325223</v>
          </cell>
          <cell r="I254">
            <v>7.8960637482708504</v>
          </cell>
          <cell r="J254">
            <v>7.9308434508862344</v>
          </cell>
          <cell r="K254">
            <v>8.0584063779645323</v>
          </cell>
          <cell r="L254">
            <v>8.2680224390261703</v>
          </cell>
          <cell r="M254">
            <v>8.1657965233554783</v>
          </cell>
          <cell r="N254">
            <v>8.1902786947722923</v>
          </cell>
          <cell r="O254">
            <v>8.2386650159338988</v>
          </cell>
          <cell r="P254">
            <v>8.1297225357937304</v>
          </cell>
          <cell r="Q254">
            <v>8.1580849394648745</v>
          </cell>
          <cell r="R254">
            <v>8.0577338019142175</v>
          </cell>
          <cell r="S254">
            <v>8.0526724937833247</v>
          </cell>
          <cell r="T254">
            <v>8.0526724937833247</v>
          </cell>
          <cell r="U254">
            <v>8.0526724937833247</v>
          </cell>
          <cell r="V254">
            <v>8.0526724937833247</v>
          </cell>
          <cell r="W254">
            <v>8.0526724937833247</v>
          </cell>
          <cell r="X254">
            <v>8.0526724937833247</v>
          </cell>
          <cell r="Y254">
            <v>8.0526724937833247</v>
          </cell>
          <cell r="Z254">
            <v>8.0526724937833247</v>
          </cell>
          <cell r="AA254">
            <v>8.0526724937833247</v>
          </cell>
          <cell r="AB254">
            <v>8.0526724937833247</v>
          </cell>
          <cell r="AC254">
            <v>8.0526724937833247</v>
          </cell>
          <cell r="AD254">
            <v>8.0526724937833247</v>
          </cell>
          <cell r="AE254">
            <v>8.0526724937833247</v>
          </cell>
          <cell r="AF254">
            <v>8.0526724937833247</v>
          </cell>
        </row>
        <row r="255">
          <cell r="A255" t="str">
            <v>Utah</v>
          </cell>
          <cell r="B255">
            <v>10.596503245093542</v>
          </cell>
          <cell r="C255">
            <v>10.642481894807185</v>
          </cell>
          <cell r="D255">
            <v>10.423085031136061</v>
          </cell>
          <cell r="E255">
            <v>10.373394083792567</v>
          </cell>
          <cell r="F255">
            <v>10.420608350519524</v>
          </cell>
          <cell r="G255">
            <v>10.313209563681211</v>
          </cell>
          <cell r="H255">
            <v>10.268067078783803</v>
          </cell>
          <cell r="I255">
            <v>10.405981790192175</v>
          </cell>
          <cell r="J255">
            <v>10.454052552618823</v>
          </cell>
          <cell r="K255">
            <v>10.629336189525146</v>
          </cell>
          <cell r="L255">
            <v>10.917147003589589</v>
          </cell>
          <cell r="M255">
            <v>10.776911693796198</v>
          </cell>
          <cell r="N255">
            <v>10.810696057385858</v>
          </cell>
          <cell r="O255">
            <v>10.87640880269506</v>
          </cell>
          <cell r="P255">
            <v>10.726449277396082</v>
          </cell>
          <cell r="Q255">
            <v>10.765594189234902</v>
          </cell>
          <cell r="R255">
            <v>10.628101712666934</v>
          </cell>
          <cell r="S255">
            <v>10.621191137924191</v>
          </cell>
          <cell r="T255">
            <v>10.621191137924191</v>
          </cell>
          <cell r="U255">
            <v>10.621191137924191</v>
          </cell>
          <cell r="V255">
            <v>10.621191137924191</v>
          </cell>
          <cell r="W255">
            <v>10.621191137924191</v>
          </cell>
          <cell r="X255">
            <v>10.621191137924191</v>
          </cell>
          <cell r="Y255">
            <v>10.621191137924191</v>
          </cell>
          <cell r="Z255">
            <v>10.621191137924191</v>
          </cell>
          <cell r="AA255">
            <v>10.621191137924191</v>
          </cell>
          <cell r="AB255">
            <v>10.621191137924191</v>
          </cell>
          <cell r="AC255">
            <v>10.621191137924191</v>
          </cell>
          <cell r="AD255">
            <v>10.621191137924191</v>
          </cell>
          <cell r="AE255">
            <v>10.621191137924191</v>
          </cell>
          <cell r="AF255">
            <v>10.621191137924191</v>
          </cell>
        </row>
        <row r="256">
          <cell r="A256" t="str">
            <v>Vermont</v>
          </cell>
          <cell r="B256">
            <v>7.9215594275385497</v>
          </cell>
          <cell r="C256">
            <v>7.9538913967555009</v>
          </cell>
          <cell r="D256">
            <v>7.7952189235703724</v>
          </cell>
          <cell r="E256">
            <v>7.7589078941135101</v>
          </cell>
          <cell r="F256">
            <v>7.7925357692236217</v>
          </cell>
          <cell r="G256">
            <v>7.7142639124590087</v>
          </cell>
          <cell r="H256">
            <v>7.6816536019541388</v>
          </cell>
          <cell r="I256">
            <v>7.7801113312867907</v>
          </cell>
          <cell r="J256">
            <v>7.8143067139936333</v>
          </cell>
          <cell r="K256">
            <v>7.9397603253273834</v>
          </cell>
          <cell r="L256">
            <v>8.1459175775786594</v>
          </cell>
          <cell r="M256">
            <v>8.045374353370029</v>
          </cell>
          <cell r="N256">
            <v>8.06944697602456</v>
          </cell>
          <cell r="O256">
            <v>8.1170587037908213</v>
          </cell>
          <cell r="P256">
            <v>8.0099262700288669</v>
          </cell>
          <cell r="Q256">
            <v>8.0378140174629706</v>
          </cell>
          <cell r="R256">
            <v>7.9391090838300871</v>
          </cell>
          <cell r="S256">
            <v>7.9341300138804023</v>
          </cell>
          <cell r="T256">
            <v>7.9341300138804023</v>
          </cell>
          <cell r="U256">
            <v>7.9341300138804023</v>
          </cell>
          <cell r="V256">
            <v>7.9341300138804023</v>
          </cell>
          <cell r="W256">
            <v>7.9341300138804023</v>
          </cell>
          <cell r="X256">
            <v>7.9341300138804023</v>
          </cell>
          <cell r="Y256">
            <v>7.9341300138804023</v>
          </cell>
          <cell r="Z256">
            <v>7.9341300138804023</v>
          </cell>
          <cell r="AA256">
            <v>7.9341300138804023</v>
          </cell>
          <cell r="AB256">
            <v>7.9341300138804023</v>
          </cell>
          <cell r="AC256">
            <v>7.9341300138804023</v>
          </cell>
          <cell r="AD256">
            <v>7.9341300138804023</v>
          </cell>
          <cell r="AE256">
            <v>7.9341300138804023</v>
          </cell>
          <cell r="AF256">
            <v>7.9341300138804023</v>
          </cell>
        </row>
        <row r="257">
          <cell r="A257" t="str">
            <v>Virginia</v>
          </cell>
          <cell r="B257">
            <v>8.0659099007677</v>
          </cell>
          <cell r="C257">
            <v>8.0989381615450284</v>
          </cell>
          <cell r="D257">
            <v>7.9370938386556098</v>
          </cell>
          <cell r="E257">
            <v>7.9000772267876771</v>
          </cell>
          <cell r="F257">
            <v>7.9344054631506653</v>
          </cell>
          <cell r="G257">
            <v>7.854601459051608</v>
          </cell>
          <cell r="H257">
            <v>7.8213372251499562</v>
          </cell>
          <cell r="I257">
            <v>7.9218328712060924</v>
          </cell>
          <cell r="J257">
            <v>7.9567427782022992</v>
          </cell>
          <cell r="K257">
            <v>8.0847755865398199</v>
          </cell>
          <cell r="L257">
            <v>8.2951621179357655</v>
          </cell>
          <cell r="M257">
            <v>8.1925613898602716</v>
          </cell>
          <cell r="N257">
            <v>8.2171348140345692</v>
          </cell>
          <cell r="O257">
            <v>8.2656935808985406</v>
          </cell>
          <cell r="P257">
            <v>8.1563478501583351</v>
          </cell>
          <cell r="Q257">
            <v>8.1848160141874491</v>
          </cell>
          <cell r="R257">
            <v>8.0840982152743273</v>
          </cell>
          <cell r="S257">
            <v>8.0790185934377803</v>
          </cell>
          <cell r="T257">
            <v>8.0790185934377803</v>
          </cell>
          <cell r="U257">
            <v>8.0790185934377803</v>
          </cell>
          <cell r="V257">
            <v>8.0790185934377803</v>
          </cell>
          <cell r="W257">
            <v>8.0790185934377803</v>
          </cell>
          <cell r="X257">
            <v>8.0790185934377803</v>
          </cell>
          <cell r="Y257">
            <v>8.0790185934377803</v>
          </cell>
          <cell r="Z257">
            <v>8.0790185934377803</v>
          </cell>
          <cell r="AA257">
            <v>8.0790185934377803</v>
          </cell>
          <cell r="AB257">
            <v>8.0790185934377803</v>
          </cell>
          <cell r="AC257">
            <v>8.0790185934377803</v>
          </cell>
          <cell r="AD257">
            <v>8.0790185934377803</v>
          </cell>
          <cell r="AE257">
            <v>8.0790185934377803</v>
          </cell>
          <cell r="AF257">
            <v>8.0790185934377803</v>
          </cell>
        </row>
        <row r="258">
          <cell r="A258" t="str">
            <v>Washington</v>
          </cell>
          <cell r="B258">
            <v>10.596503245093542</v>
          </cell>
          <cell r="C258">
            <v>10.642481894807185</v>
          </cell>
          <cell r="D258">
            <v>10.423085031136059</v>
          </cell>
          <cell r="E258">
            <v>10.373394083792565</v>
          </cell>
          <cell r="F258">
            <v>10.420608350519524</v>
          </cell>
          <cell r="G258">
            <v>10.313209563681211</v>
          </cell>
          <cell r="H258">
            <v>10.268067078783805</v>
          </cell>
          <cell r="I258">
            <v>10.405981790192174</v>
          </cell>
          <cell r="J258">
            <v>10.454052552618819</v>
          </cell>
          <cell r="K258">
            <v>10.629336189525144</v>
          </cell>
          <cell r="L258">
            <v>10.917147003589589</v>
          </cell>
          <cell r="M258">
            <v>10.776911693796198</v>
          </cell>
          <cell r="N258">
            <v>10.810696057385858</v>
          </cell>
          <cell r="O258">
            <v>10.876408802695062</v>
          </cell>
          <cell r="P258">
            <v>10.726449277396082</v>
          </cell>
          <cell r="Q258">
            <v>10.765594189234903</v>
          </cell>
          <cell r="R258">
            <v>10.628101712666936</v>
          </cell>
          <cell r="S258">
            <v>10.621191137924193</v>
          </cell>
          <cell r="T258">
            <v>10.621191137924193</v>
          </cell>
          <cell r="U258">
            <v>10.621191137924193</v>
          </cell>
          <cell r="V258">
            <v>10.621191137924193</v>
          </cell>
          <cell r="W258">
            <v>10.621191137924193</v>
          </cell>
          <cell r="X258">
            <v>10.621191137924193</v>
          </cell>
          <cell r="Y258">
            <v>10.621191137924193</v>
          </cell>
          <cell r="Z258">
            <v>10.621191137924193</v>
          </cell>
          <cell r="AA258">
            <v>10.621191137924193</v>
          </cell>
          <cell r="AB258">
            <v>10.621191137924193</v>
          </cell>
          <cell r="AC258">
            <v>10.621191137924193</v>
          </cell>
          <cell r="AD258">
            <v>10.621191137924193</v>
          </cell>
          <cell r="AE258">
            <v>10.621191137924193</v>
          </cell>
          <cell r="AF258">
            <v>10.621191137924193</v>
          </cell>
        </row>
        <row r="259">
          <cell r="A259" t="str">
            <v>West Virginia</v>
          </cell>
          <cell r="B259">
            <v>7.9215594275385497</v>
          </cell>
          <cell r="C259">
            <v>7.9538913967555009</v>
          </cell>
          <cell r="D259">
            <v>7.7952189235703724</v>
          </cell>
          <cell r="E259">
            <v>7.7589078941135101</v>
          </cell>
          <cell r="F259">
            <v>7.792535769223619</v>
          </cell>
          <cell r="G259">
            <v>7.7142639124590051</v>
          </cell>
          <cell r="H259">
            <v>7.6816536019541397</v>
          </cell>
          <cell r="I259">
            <v>7.7801113312867907</v>
          </cell>
          <cell r="J259">
            <v>7.8143067139936333</v>
          </cell>
          <cell r="K259">
            <v>7.9397603253273852</v>
          </cell>
          <cell r="L259">
            <v>8.1459175775786612</v>
          </cell>
          <cell r="M259">
            <v>8.0453743533700308</v>
          </cell>
          <cell r="N259">
            <v>8.0694469760245582</v>
          </cell>
          <cell r="O259">
            <v>8.1170587037908213</v>
          </cell>
          <cell r="P259">
            <v>8.0099262700288669</v>
          </cell>
          <cell r="Q259">
            <v>8.0378140174629724</v>
          </cell>
          <cell r="R259">
            <v>7.9391090838300817</v>
          </cell>
          <cell r="S259">
            <v>7.9341300138804023</v>
          </cell>
          <cell r="T259">
            <v>7.9341300138804023</v>
          </cell>
          <cell r="U259">
            <v>7.9341300138804023</v>
          </cell>
          <cell r="V259">
            <v>7.9341300138804023</v>
          </cell>
          <cell r="W259">
            <v>7.9341300138804023</v>
          </cell>
          <cell r="X259">
            <v>7.9341300138804023</v>
          </cell>
          <cell r="Y259">
            <v>7.9341300138804023</v>
          </cell>
          <cell r="Z259">
            <v>7.9341300138804023</v>
          </cell>
          <cell r="AA259">
            <v>7.9341300138804023</v>
          </cell>
          <cell r="AB259">
            <v>7.9341300138804023</v>
          </cell>
          <cell r="AC259">
            <v>7.9341300138804023</v>
          </cell>
          <cell r="AD259">
            <v>7.9341300138804023</v>
          </cell>
          <cell r="AE259">
            <v>7.9341300138804023</v>
          </cell>
          <cell r="AF259">
            <v>7.9341300138804023</v>
          </cell>
        </row>
        <row r="260">
          <cell r="A260" t="str">
            <v>Wisconsin</v>
          </cell>
          <cell r="B260">
            <v>7.9243700298127342</v>
          </cell>
          <cell r="C260">
            <v>7.9567155134217895</v>
          </cell>
          <cell r="D260">
            <v>7.797981394415384</v>
          </cell>
          <cell r="E260">
            <v>7.7616566443620005</v>
          </cell>
          <cell r="F260">
            <v>7.7952981209275105</v>
          </cell>
          <cell r="G260">
            <v>7.7169964745745929</v>
          </cell>
          <cell r="H260">
            <v>7.6843734556249341</v>
          </cell>
          <cell r="I260">
            <v>7.7828707670084132</v>
          </cell>
          <cell r="J260">
            <v>7.8170800254048949</v>
          </cell>
          <cell r="K260">
            <v>7.9425837381325737</v>
          </cell>
          <cell r="L260">
            <v>8.148823148167418</v>
          </cell>
          <cell r="M260">
            <v>8.0482399531612945</v>
          </cell>
          <cell r="N260">
            <v>8.0723223018900168</v>
          </cell>
          <cell r="O260">
            <v>8.1199524373571563</v>
          </cell>
          <cell r="P260">
            <v>8.0127770136982885</v>
          </cell>
          <cell r="Q260">
            <v>8.0406760333259424</v>
          </cell>
          <cell r="R260">
            <v>7.9419319935799679</v>
          </cell>
          <cell r="S260">
            <v>7.9369509697475698</v>
          </cell>
          <cell r="T260">
            <v>7.9369509697475698</v>
          </cell>
          <cell r="U260">
            <v>7.9369509697475698</v>
          </cell>
          <cell r="V260">
            <v>7.9369509697475698</v>
          </cell>
          <cell r="W260">
            <v>7.9369509697475698</v>
          </cell>
          <cell r="X260">
            <v>7.9369509697475698</v>
          </cell>
          <cell r="Y260">
            <v>7.9369509697475698</v>
          </cell>
          <cell r="Z260">
            <v>7.9369509697475698</v>
          </cell>
          <cell r="AA260">
            <v>7.9369509697475698</v>
          </cell>
          <cell r="AB260">
            <v>7.9369509697475698</v>
          </cell>
          <cell r="AC260">
            <v>7.9369509697475698</v>
          </cell>
          <cell r="AD260">
            <v>7.9369509697475698</v>
          </cell>
          <cell r="AE260">
            <v>7.9369509697475698</v>
          </cell>
          <cell r="AF260">
            <v>7.9369509697475698</v>
          </cell>
        </row>
        <row r="261">
          <cell r="A261" t="str">
            <v>Wyoming</v>
          </cell>
          <cell r="B261">
            <v>7.3788719137507117</v>
          </cell>
          <cell r="C261">
            <v>7.4086256629764744</v>
          </cell>
          <cell r="D261">
            <v>7.2617743982070548</v>
          </cell>
          <cell r="E261">
            <v>7.2280998267903076</v>
          </cell>
          <cell r="F261">
            <v>7.2591269754209042</v>
          </cell>
          <cell r="G261">
            <v>7.1865762225420777</v>
          </cell>
          <cell r="H261">
            <v>7.1564023400807031</v>
          </cell>
          <cell r="I261">
            <v>7.24728837608476</v>
          </cell>
          <cell r="J261">
            <v>7.2788311952686673</v>
          </cell>
          <cell r="K261">
            <v>7.3946963581514398</v>
          </cell>
          <cell r="L261">
            <v>7.5851278256998338</v>
          </cell>
          <cell r="M261">
            <v>7.4922367230291833</v>
          </cell>
          <cell r="N261">
            <v>7.5144494869107366</v>
          </cell>
          <cell r="O261">
            <v>7.5585300972912437</v>
          </cell>
          <cell r="P261">
            <v>7.4596223204812535</v>
          </cell>
          <cell r="Q261">
            <v>7.485354616992276</v>
          </cell>
          <cell r="R261">
            <v>7.3941380931145391</v>
          </cell>
          <cell r="S261">
            <v>7.3895334282516076</v>
          </cell>
          <cell r="T261">
            <v>7.3895334282516076</v>
          </cell>
          <cell r="U261">
            <v>7.3895334282516076</v>
          </cell>
          <cell r="V261">
            <v>7.3895334282516076</v>
          </cell>
          <cell r="W261">
            <v>7.3895334282516076</v>
          </cell>
          <cell r="X261">
            <v>7.3895334282516076</v>
          </cell>
          <cell r="Y261">
            <v>7.3895334282516076</v>
          </cell>
          <cell r="Z261">
            <v>7.3895334282516076</v>
          </cell>
          <cell r="AA261">
            <v>7.3895334282516076</v>
          </cell>
          <cell r="AB261">
            <v>7.3895334282516076</v>
          </cell>
          <cell r="AC261">
            <v>7.3895334282516076</v>
          </cell>
          <cell r="AD261">
            <v>7.3895334282516076</v>
          </cell>
          <cell r="AE261">
            <v>7.3895334282516076</v>
          </cell>
          <cell r="AF261">
            <v>7.3895334282516076</v>
          </cell>
        </row>
        <row r="263">
          <cell r="A263" t="str">
            <v>Heifer Stockers</v>
          </cell>
          <cell r="B263">
            <v>1990</v>
          </cell>
          <cell r="C263">
            <v>1991</v>
          </cell>
          <cell r="D263">
            <v>1992</v>
          </cell>
          <cell r="E263">
            <v>1993</v>
          </cell>
          <cell r="F263">
            <v>1994</v>
          </cell>
          <cell r="G263">
            <v>1995</v>
          </cell>
          <cell r="H263">
            <v>1996</v>
          </cell>
          <cell r="I263">
            <v>1997</v>
          </cell>
          <cell r="J263">
            <v>1998</v>
          </cell>
          <cell r="K263">
            <v>1999</v>
          </cell>
          <cell r="L263">
            <v>2000</v>
          </cell>
          <cell r="M263">
            <v>2001</v>
          </cell>
          <cell r="N263">
            <v>2002</v>
          </cell>
          <cell r="O263">
            <v>2003</v>
          </cell>
          <cell r="P263">
            <v>2004</v>
          </cell>
          <cell r="Q263">
            <v>2005</v>
          </cell>
          <cell r="R263">
            <v>2006</v>
          </cell>
          <cell r="S263">
            <v>2007</v>
          </cell>
          <cell r="T263">
            <v>2008</v>
          </cell>
          <cell r="U263">
            <v>2009</v>
          </cell>
          <cell r="V263">
            <v>2010</v>
          </cell>
          <cell r="W263">
            <v>2011</v>
          </cell>
          <cell r="X263">
            <v>2012</v>
          </cell>
          <cell r="Y263">
            <v>2013</v>
          </cell>
          <cell r="Z263">
            <v>2014</v>
          </cell>
          <cell r="AA263">
            <v>2015</v>
          </cell>
          <cell r="AB263">
            <v>2016</v>
          </cell>
          <cell r="AC263">
            <v>2017</v>
          </cell>
          <cell r="AD263">
            <v>2018</v>
          </cell>
          <cell r="AE263">
            <v>2019</v>
          </cell>
          <cell r="AF263">
            <v>2020</v>
          </cell>
        </row>
        <row r="264">
          <cell r="A264" t="str">
            <v>Alabama</v>
          </cell>
          <cell r="B264">
            <v>8.1251576591458612</v>
          </cell>
          <cell r="C264">
            <v>8.2328158446911726</v>
          </cell>
          <cell r="D264">
            <v>8.1509164228710915</v>
          </cell>
          <cell r="E264">
            <v>8.1602390853446263</v>
          </cell>
          <cell r="F264">
            <v>8.2170123371642312</v>
          </cell>
          <cell r="G264">
            <v>8.1949255871876314</v>
          </cell>
          <cell r="H264">
            <v>8.1949951277224642</v>
          </cell>
          <cell r="I264">
            <v>8.3283736768567938</v>
          </cell>
          <cell r="J264">
            <v>8.3881231433983086</v>
          </cell>
          <cell r="K264">
            <v>8.5425747892016215</v>
          </cell>
          <cell r="L264">
            <v>8.8052427861084244</v>
          </cell>
          <cell r="M264">
            <v>8.6874647634366404</v>
          </cell>
          <cell r="N264">
            <v>8.7127869514357172</v>
          </cell>
          <cell r="O264">
            <v>8.7624068523337755</v>
          </cell>
          <cell r="P264">
            <v>8.6310997099024362</v>
          </cell>
          <cell r="Q264">
            <v>8.6080208886855818</v>
          </cell>
          <cell r="R264">
            <v>8.4880281829868345</v>
          </cell>
          <cell r="S264">
            <v>8.517278823351301</v>
          </cell>
          <cell r="T264">
            <v>8.517278823351301</v>
          </cell>
          <cell r="U264">
            <v>8.517278823351301</v>
          </cell>
          <cell r="V264">
            <v>8.517278823351301</v>
          </cell>
          <cell r="W264">
            <v>8.517278823351301</v>
          </cell>
          <cell r="X264">
            <v>8.517278823351301</v>
          </cell>
          <cell r="Y264">
            <v>8.517278823351301</v>
          </cell>
          <cell r="Z264">
            <v>8.517278823351301</v>
          </cell>
          <cell r="AA264">
            <v>8.517278823351301</v>
          </cell>
          <cell r="AB264">
            <v>8.517278823351301</v>
          </cell>
          <cell r="AC264">
            <v>8.517278823351301</v>
          </cell>
          <cell r="AD264">
            <v>8.517278823351301</v>
          </cell>
          <cell r="AE264">
            <v>8.517278823351301</v>
          </cell>
          <cell r="AF264">
            <v>8.517278823351301</v>
          </cell>
        </row>
        <row r="265">
          <cell r="A265" t="str">
            <v>Alaska</v>
          </cell>
          <cell r="B265">
            <v>10.670309062280065</v>
          </cell>
          <cell r="C265">
            <v>10.819510195670585</v>
          </cell>
          <cell r="D265">
            <v>10.710026577644346</v>
          </cell>
          <cell r="E265">
            <v>10.724728226576863</v>
          </cell>
          <cell r="F265">
            <v>10.803931780364405</v>
          </cell>
          <cell r="G265">
            <v>10.775776785336667</v>
          </cell>
          <cell r="H265">
            <v>10.77704235318771</v>
          </cell>
          <cell r="I265">
            <v>10.960814895559528</v>
          </cell>
          <cell r="J265">
            <v>11.043502018369329</v>
          </cell>
          <cell r="K265">
            <v>11.255919714055393</v>
          </cell>
          <cell r="L265">
            <v>11.616441416294247</v>
          </cell>
          <cell r="M265">
            <v>11.455164555776166</v>
          </cell>
          <cell r="N265">
            <v>11.49005033168118</v>
          </cell>
          <cell r="O265">
            <v>11.557352448011795</v>
          </cell>
          <cell r="P265">
            <v>11.377217789535424</v>
          </cell>
          <cell r="Q265">
            <v>11.346347501405953</v>
          </cell>
          <cell r="R265">
            <v>11.182129183426746</v>
          </cell>
          <cell r="S265">
            <v>11.221943382283833</v>
          </cell>
          <cell r="T265">
            <v>11.221943382283833</v>
          </cell>
          <cell r="U265">
            <v>11.221943382283833</v>
          </cell>
          <cell r="V265">
            <v>11.221943382283833</v>
          </cell>
          <cell r="W265">
            <v>11.221943382283833</v>
          </cell>
          <cell r="X265">
            <v>11.221943382283833</v>
          </cell>
          <cell r="Y265">
            <v>11.221943382283833</v>
          </cell>
          <cell r="Z265">
            <v>11.221943382283833</v>
          </cell>
          <cell r="AA265">
            <v>11.221943382283833</v>
          </cell>
          <cell r="AB265">
            <v>11.221943382283833</v>
          </cell>
          <cell r="AC265">
            <v>11.221943382283833</v>
          </cell>
          <cell r="AD265">
            <v>11.221943382283833</v>
          </cell>
          <cell r="AE265">
            <v>11.221943382283833</v>
          </cell>
          <cell r="AF265">
            <v>11.221943382283833</v>
          </cell>
        </row>
        <row r="266">
          <cell r="A266" t="str">
            <v>Arizona</v>
          </cell>
          <cell r="B266">
            <v>10.670309062280063</v>
          </cell>
          <cell r="C266">
            <v>10.819510195670585</v>
          </cell>
          <cell r="D266">
            <v>10.710026577644346</v>
          </cell>
          <cell r="E266">
            <v>10.724728226576865</v>
          </cell>
          <cell r="F266">
            <v>10.803931780364406</v>
          </cell>
          <cell r="G266">
            <v>10.775776785336667</v>
          </cell>
          <cell r="H266">
            <v>10.777042353187706</v>
          </cell>
          <cell r="I266">
            <v>10.960814895559526</v>
          </cell>
          <cell r="J266">
            <v>11.043502018369326</v>
          </cell>
          <cell r="K266">
            <v>11.255919714055389</v>
          </cell>
          <cell r="L266">
            <v>11.616441416294247</v>
          </cell>
          <cell r="M266">
            <v>11.455164555776166</v>
          </cell>
          <cell r="N266">
            <v>11.49005033168118</v>
          </cell>
          <cell r="O266">
            <v>11.557352448011798</v>
          </cell>
          <cell r="P266">
            <v>11.377217789535418</v>
          </cell>
          <cell r="Q266">
            <v>11.346347501405955</v>
          </cell>
          <cell r="R266">
            <v>11.182129183426746</v>
          </cell>
          <cell r="S266">
            <v>11.221943382283834</v>
          </cell>
          <cell r="T266">
            <v>11.221943382283834</v>
          </cell>
          <cell r="U266">
            <v>11.221943382283834</v>
          </cell>
          <cell r="V266">
            <v>11.221943382283834</v>
          </cell>
          <cell r="W266">
            <v>11.221943382283834</v>
          </cell>
          <cell r="X266">
            <v>11.221943382283834</v>
          </cell>
          <cell r="Y266">
            <v>11.221943382283834</v>
          </cell>
          <cell r="Z266">
            <v>11.221943382283834</v>
          </cell>
          <cell r="AA266">
            <v>11.221943382283834</v>
          </cell>
          <cell r="AB266">
            <v>11.221943382283834</v>
          </cell>
          <cell r="AC266">
            <v>11.221943382283834</v>
          </cell>
          <cell r="AD266">
            <v>11.221943382283834</v>
          </cell>
          <cell r="AE266">
            <v>11.221943382283834</v>
          </cell>
          <cell r="AF266">
            <v>11.221943382283834</v>
          </cell>
        </row>
        <row r="267">
          <cell r="A267" t="str">
            <v>Arkansas</v>
          </cell>
          <cell r="B267">
            <v>8.0987478633692156</v>
          </cell>
          <cell r="C267">
            <v>8.2059973224198721</v>
          </cell>
          <cell r="D267">
            <v>8.1243786142210634</v>
          </cell>
          <cell r="E267">
            <v>8.1336524872293392</v>
          </cell>
          <cell r="F267">
            <v>8.1902062677120604</v>
          </cell>
          <cell r="G267">
            <v>8.1681849145859715</v>
          </cell>
          <cell r="H267">
            <v>8.16824539985946</v>
          </cell>
          <cell r="I267">
            <v>8.3011256492159848</v>
          </cell>
          <cell r="J267">
            <v>8.3606491656547295</v>
          </cell>
          <cell r="K267">
            <v>8.5145267148540729</v>
          </cell>
          <cell r="L267">
            <v>8.7762238353283077</v>
          </cell>
          <cell r="M267">
            <v>8.6588783036322514</v>
          </cell>
          <cell r="N267">
            <v>8.684105917085061</v>
          </cell>
          <cell r="O267">
            <v>8.7335484506347854</v>
          </cell>
          <cell r="P267">
            <v>8.6027259754622456</v>
          </cell>
          <cell r="Q267">
            <v>8.5797263961048191</v>
          </cell>
          <cell r="R267">
            <v>8.4601736283568236</v>
          </cell>
          <cell r="S267">
            <v>8.4893186590681342</v>
          </cell>
          <cell r="T267">
            <v>8.4893186590681342</v>
          </cell>
          <cell r="U267">
            <v>8.4893186590681342</v>
          </cell>
          <cell r="V267">
            <v>8.4893186590681342</v>
          </cell>
          <cell r="W267">
            <v>8.4893186590681342</v>
          </cell>
          <cell r="X267">
            <v>8.4893186590681342</v>
          </cell>
          <cell r="Y267">
            <v>8.4893186590681342</v>
          </cell>
          <cell r="Z267">
            <v>8.4893186590681342</v>
          </cell>
          <cell r="AA267">
            <v>8.4893186590681342</v>
          </cell>
          <cell r="AB267">
            <v>8.4893186590681342</v>
          </cell>
          <cell r="AC267">
            <v>8.4893186590681342</v>
          </cell>
          <cell r="AD267">
            <v>8.4893186590681342</v>
          </cell>
          <cell r="AE267">
            <v>8.4893186590681342</v>
          </cell>
          <cell r="AF267">
            <v>8.4893186590681342</v>
          </cell>
        </row>
        <row r="268">
          <cell r="A268" t="str">
            <v>California</v>
          </cell>
          <cell r="B268">
            <v>7.9090134538827614</v>
          </cell>
          <cell r="C268">
            <v>8.0133395876040456</v>
          </cell>
          <cell r="D268">
            <v>7.9337343702018055</v>
          </cell>
          <cell r="E268">
            <v>7.9426618359014238</v>
          </cell>
          <cell r="F268">
            <v>7.9976466442353784</v>
          </cell>
          <cell r="G268">
            <v>7.976096538695022</v>
          </cell>
          <cell r="H268">
            <v>7.9760939307216647</v>
          </cell>
          <cell r="I268">
            <v>8.1054086656107476</v>
          </cell>
          <cell r="J268">
            <v>8.1633159548917398</v>
          </cell>
          <cell r="K268">
            <v>8.3130850692062666</v>
          </cell>
          <cell r="L268">
            <v>8.5678331993917016</v>
          </cell>
          <cell r="M268">
            <v>8.4535837513675638</v>
          </cell>
          <cell r="N268">
            <v>8.478134644318823</v>
          </cell>
          <cell r="O268">
            <v>8.5263065016947355</v>
          </cell>
          <cell r="P268">
            <v>8.398953134838548</v>
          </cell>
          <cell r="Q268">
            <v>8.3765219090069341</v>
          </cell>
          <cell r="R268">
            <v>8.2601186706107566</v>
          </cell>
          <cell r="S268">
            <v>8.2885073166459051</v>
          </cell>
          <cell r="T268">
            <v>8.2885073166459051</v>
          </cell>
          <cell r="U268">
            <v>8.2885073166459051</v>
          </cell>
          <cell r="V268">
            <v>8.2885073166459051</v>
          </cell>
          <cell r="W268">
            <v>8.2885073166459051</v>
          </cell>
          <cell r="X268">
            <v>8.2885073166459051</v>
          </cell>
          <cell r="Y268">
            <v>8.2885073166459051</v>
          </cell>
          <cell r="Z268">
            <v>8.2885073166459051</v>
          </cell>
          <cell r="AA268">
            <v>8.2885073166459051</v>
          </cell>
          <cell r="AB268">
            <v>8.2885073166459051</v>
          </cell>
          <cell r="AC268">
            <v>8.2885073166459051</v>
          </cell>
          <cell r="AD268">
            <v>8.2885073166459051</v>
          </cell>
          <cell r="AE268">
            <v>8.2885073166459051</v>
          </cell>
          <cell r="AF268">
            <v>8.2885073166459051</v>
          </cell>
        </row>
        <row r="269">
          <cell r="A269" t="str">
            <v>Colorado</v>
          </cell>
          <cell r="B269">
            <v>7.4337913077997833</v>
          </cell>
          <cell r="C269">
            <v>7.5308953428912062</v>
          </cell>
          <cell r="D269">
            <v>7.456308610905892</v>
          </cell>
          <cell r="E269">
            <v>7.4643998414018098</v>
          </cell>
          <cell r="F269">
            <v>7.5155142326885027</v>
          </cell>
          <cell r="G269">
            <v>7.4951553061291358</v>
          </cell>
          <cell r="H269">
            <v>7.4950096668991018</v>
          </cell>
          <cell r="I269">
            <v>7.6155039754231204</v>
          </cell>
          <cell r="J269">
            <v>7.6694170626275771</v>
          </cell>
          <cell r="K269">
            <v>7.8090183154025707</v>
          </cell>
          <cell r="L269">
            <v>8.0465604237574251</v>
          </cell>
          <cell r="M269">
            <v>7.9399812823545934</v>
          </cell>
          <cell r="N269">
            <v>7.9628580508243783</v>
          </cell>
          <cell r="O269">
            <v>8.0078746023589424</v>
          </cell>
          <cell r="P269">
            <v>7.8891119154016627</v>
          </cell>
          <cell r="Q269">
            <v>7.8680970480582078</v>
          </cell>
          <cell r="R269">
            <v>7.7594975581341492</v>
          </cell>
          <cell r="S269">
            <v>7.7860096022670753</v>
          </cell>
          <cell r="T269">
            <v>7.7860096022670753</v>
          </cell>
          <cell r="U269">
            <v>7.7860096022670753</v>
          </cell>
          <cell r="V269">
            <v>7.7860096022670753</v>
          </cell>
          <cell r="W269">
            <v>7.7860096022670753</v>
          </cell>
          <cell r="X269">
            <v>7.7860096022670753</v>
          </cell>
          <cell r="Y269">
            <v>7.7860096022670753</v>
          </cell>
          <cell r="Z269">
            <v>7.7860096022670753</v>
          </cell>
          <cell r="AA269">
            <v>7.7860096022670753</v>
          </cell>
          <cell r="AB269">
            <v>7.7860096022670753</v>
          </cell>
          <cell r="AC269">
            <v>7.7860096022670753</v>
          </cell>
          <cell r="AD269">
            <v>7.7860096022670753</v>
          </cell>
          <cell r="AE269">
            <v>7.7860096022670753</v>
          </cell>
          <cell r="AF269">
            <v>7.7860096022670753</v>
          </cell>
        </row>
        <row r="270">
          <cell r="A270" t="str">
            <v>Connecticut</v>
          </cell>
          <cell r="B270">
            <v>7.9799106954935111</v>
          </cell>
          <cell r="C270">
            <v>8.0853264936383624</v>
          </cell>
          <cell r="D270">
            <v>8.0049695656408861</v>
          </cell>
          <cell r="E270">
            <v>8.121006309919931</v>
          </cell>
          <cell r="F270">
            <v>8.121006309919931</v>
          </cell>
          <cell r="G270">
            <v>8.121006309919931</v>
          </cell>
          <cell r="H270">
            <v>8.121006309919931</v>
          </cell>
          <cell r="I270">
            <v>8.121006309919931</v>
          </cell>
          <cell r="J270">
            <v>8.2370430541989741</v>
          </cell>
          <cell r="K270">
            <v>8.388344062253676</v>
          </cell>
          <cell r="L270">
            <v>8.6456834500146744</v>
          </cell>
          <cell r="M270">
            <v>8.5302793672971209</v>
          </cell>
          <cell r="N270">
            <v>8.5550825678954645</v>
          </cell>
          <cell r="O270">
            <v>8.6037284997110106</v>
          </cell>
          <cell r="P270">
            <v>8.4750814857550232</v>
          </cell>
          <cell r="Q270">
            <v>8.452438078518302</v>
          </cell>
          <cell r="R270">
            <v>8.3348602459430072</v>
          </cell>
          <cell r="S270">
            <v>8.3635310464825103</v>
          </cell>
          <cell r="T270">
            <v>8.3635310464825103</v>
          </cell>
          <cell r="U270">
            <v>8.3635310464825103</v>
          </cell>
          <cell r="V270">
            <v>8.3635310464825103</v>
          </cell>
          <cell r="W270">
            <v>8.3635310464825103</v>
          </cell>
          <cell r="X270">
            <v>8.3635310464825103</v>
          </cell>
          <cell r="Y270">
            <v>8.3635310464825103</v>
          </cell>
          <cell r="Z270">
            <v>8.3635310464825103</v>
          </cell>
          <cell r="AA270">
            <v>8.3635310464825103</v>
          </cell>
          <cell r="AB270">
            <v>8.3635310464825103</v>
          </cell>
          <cell r="AC270">
            <v>8.3635310464825103</v>
          </cell>
          <cell r="AD270">
            <v>8.3635310464825103</v>
          </cell>
          <cell r="AE270">
            <v>8.3635310464825103</v>
          </cell>
          <cell r="AF270">
            <v>8.3635310464825103</v>
          </cell>
        </row>
        <row r="271">
          <cell r="A271" t="str">
            <v>Delaware</v>
          </cell>
          <cell r="B271">
            <v>7.9799106954935111</v>
          </cell>
          <cell r="C271">
            <v>8.0853264936383624</v>
          </cell>
          <cell r="D271">
            <v>8.0049695656408861</v>
          </cell>
          <cell r="E271">
            <v>8.0140256285847382</v>
          </cell>
          <cell r="F271">
            <v>8.06959511437082</v>
          </cell>
          <cell r="G271">
            <v>8.0478686281424743</v>
          </cell>
          <cell r="H271">
            <v>8.0478891932126153</v>
          </cell>
          <cell r="I271">
            <v>8.1785332841500598</v>
          </cell>
          <cell r="J271">
            <v>8.2370430541989741</v>
          </cell>
          <cell r="K271">
            <v>8.388344062253676</v>
          </cell>
          <cell r="L271">
            <v>8.6456834500146744</v>
          </cell>
          <cell r="M271">
            <v>8.5302793672971209</v>
          </cell>
          <cell r="N271">
            <v>8.5550825678954627</v>
          </cell>
          <cell r="O271">
            <v>8.6037284997110124</v>
          </cell>
          <cell r="P271">
            <v>8.4750814857550232</v>
          </cell>
          <cell r="Q271">
            <v>8.452438078518302</v>
          </cell>
          <cell r="R271">
            <v>8.3348602459430072</v>
          </cell>
          <cell r="S271">
            <v>8.3635310464825121</v>
          </cell>
          <cell r="T271">
            <v>8.3635310464825121</v>
          </cell>
          <cell r="U271">
            <v>8.3635310464825121</v>
          </cell>
          <cell r="V271">
            <v>8.3635310464825121</v>
          </cell>
          <cell r="W271">
            <v>8.3635310464825121</v>
          </cell>
          <cell r="X271">
            <v>8.3635310464825121</v>
          </cell>
          <cell r="Y271">
            <v>8.3635310464825121</v>
          </cell>
          <cell r="Z271">
            <v>8.3635310464825121</v>
          </cell>
          <cell r="AA271">
            <v>8.3635310464825121</v>
          </cell>
          <cell r="AB271">
            <v>8.3635310464825121</v>
          </cell>
          <cell r="AC271">
            <v>8.3635310464825121</v>
          </cell>
          <cell r="AD271">
            <v>8.3635310464825121</v>
          </cell>
          <cell r="AE271">
            <v>8.3635310464825121</v>
          </cell>
          <cell r="AF271">
            <v>8.3635310464825121</v>
          </cell>
        </row>
        <row r="272">
          <cell r="A272" t="str">
            <v>Florida</v>
          </cell>
          <cell r="B272">
            <v>8.1251576591458612</v>
          </cell>
          <cell r="C272">
            <v>8.2328158446911708</v>
          </cell>
          <cell r="D272">
            <v>8.1509164228710915</v>
          </cell>
          <cell r="E272">
            <v>8.1602390853446227</v>
          </cell>
          <cell r="F272">
            <v>8.2170123371642294</v>
          </cell>
          <cell r="G272">
            <v>8.1949255871876279</v>
          </cell>
          <cell r="H272">
            <v>8.1949951277224606</v>
          </cell>
          <cell r="I272">
            <v>8.3283736768567938</v>
          </cell>
          <cell r="J272">
            <v>8.3881231433983086</v>
          </cell>
          <cell r="K272">
            <v>8.5425747892016215</v>
          </cell>
          <cell r="L272">
            <v>8.8052427861084208</v>
          </cell>
          <cell r="M272">
            <v>8.6874647634366404</v>
          </cell>
          <cell r="N272">
            <v>8.7127869514357155</v>
          </cell>
          <cell r="O272">
            <v>8.7624068523337773</v>
          </cell>
          <cell r="P272">
            <v>8.6310997099024362</v>
          </cell>
          <cell r="Q272">
            <v>8.6080208886855818</v>
          </cell>
          <cell r="R272">
            <v>8.488028182986838</v>
          </cell>
          <cell r="S272">
            <v>8.517278823351301</v>
          </cell>
          <cell r="T272">
            <v>8.517278823351301</v>
          </cell>
          <cell r="U272">
            <v>8.517278823351301</v>
          </cell>
          <cell r="V272">
            <v>8.517278823351301</v>
          </cell>
          <cell r="W272">
            <v>8.517278823351301</v>
          </cell>
          <cell r="X272">
            <v>8.517278823351301</v>
          </cell>
          <cell r="Y272">
            <v>8.517278823351301</v>
          </cell>
          <cell r="Z272">
            <v>8.517278823351301</v>
          </cell>
          <cell r="AA272">
            <v>8.517278823351301</v>
          </cell>
          <cell r="AB272">
            <v>8.517278823351301</v>
          </cell>
          <cell r="AC272">
            <v>8.517278823351301</v>
          </cell>
          <cell r="AD272">
            <v>8.517278823351301</v>
          </cell>
          <cell r="AE272">
            <v>8.517278823351301</v>
          </cell>
          <cell r="AF272">
            <v>8.517278823351301</v>
          </cell>
        </row>
        <row r="273">
          <cell r="A273" t="str">
            <v>Georgia</v>
          </cell>
          <cell r="B273">
            <v>8.1251576591458594</v>
          </cell>
          <cell r="C273">
            <v>8.2328158446911708</v>
          </cell>
          <cell r="D273">
            <v>8.1509164228710915</v>
          </cell>
          <cell r="E273">
            <v>8.1602390853446245</v>
          </cell>
          <cell r="F273">
            <v>8.2170123371642312</v>
          </cell>
          <cell r="G273">
            <v>8.1949255871876279</v>
          </cell>
          <cell r="H273">
            <v>8.1949951277224642</v>
          </cell>
          <cell r="I273">
            <v>8.328373676856792</v>
          </cell>
          <cell r="J273">
            <v>8.3881231433983103</v>
          </cell>
          <cell r="K273">
            <v>8.5425747892016215</v>
          </cell>
          <cell r="L273">
            <v>8.8052427861084244</v>
          </cell>
          <cell r="M273">
            <v>8.6874647634366422</v>
          </cell>
          <cell r="N273">
            <v>8.7127869514357137</v>
          </cell>
          <cell r="O273">
            <v>8.7624068523337737</v>
          </cell>
          <cell r="P273">
            <v>8.631099709902438</v>
          </cell>
          <cell r="Q273">
            <v>8.6080208886855836</v>
          </cell>
          <cell r="R273">
            <v>8.4880281829868363</v>
          </cell>
          <cell r="S273">
            <v>8.517278823351301</v>
          </cell>
          <cell r="T273">
            <v>8.517278823351301</v>
          </cell>
          <cell r="U273">
            <v>8.517278823351301</v>
          </cell>
          <cell r="V273">
            <v>8.517278823351301</v>
          </cell>
          <cell r="W273">
            <v>8.517278823351301</v>
          </cell>
          <cell r="X273">
            <v>8.517278823351301</v>
          </cell>
          <cell r="Y273">
            <v>8.517278823351301</v>
          </cell>
          <cell r="Z273">
            <v>8.517278823351301</v>
          </cell>
          <cell r="AA273">
            <v>8.517278823351301</v>
          </cell>
          <cell r="AB273">
            <v>8.517278823351301</v>
          </cell>
          <cell r="AC273">
            <v>8.517278823351301</v>
          </cell>
          <cell r="AD273">
            <v>8.517278823351301</v>
          </cell>
          <cell r="AE273">
            <v>8.517278823351301</v>
          </cell>
          <cell r="AF273">
            <v>8.517278823351301</v>
          </cell>
        </row>
        <row r="274">
          <cell r="A274" t="str">
            <v>Hawaii</v>
          </cell>
          <cell r="B274">
            <v>10.670309062280063</v>
          </cell>
          <cell r="C274">
            <v>10.819510195670587</v>
          </cell>
          <cell r="D274">
            <v>10.710026577644346</v>
          </cell>
          <cell r="E274">
            <v>10.724728226576865</v>
          </cell>
          <cell r="F274">
            <v>10.803931780364403</v>
          </cell>
          <cell r="G274">
            <v>10.775776785336669</v>
          </cell>
          <cell r="H274">
            <v>10.777042353187712</v>
          </cell>
          <cell r="I274">
            <v>10.960814895559526</v>
          </cell>
          <cell r="J274">
            <v>11.043502018369326</v>
          </cell>
          <cell r="K274">
            <v>11.255919714055389</v>
          </cell>
          <cell r="L274">
            <v>11.616441416294251</v>
          </cell>
          <cell r="M274">
            <v>11.455164555776166</v>
          </cell>
          <cell r="N274">
            <v>11.49005033168118</v>
          </cell>
          <cell r="O274">
            <v>11.5573524480118</v>
          </cell>
          <cell r="P274">
            <v>11.377217789535418</v>
          </cell>
          <cell r="Q274">
            <v>11.346347501405955</v>
          </cell>
          <cell r="R274">
            <v>11.182129183426746</v>
          </cell>
          <cell r="S274">
            <v>11.221943382283833</v>
          </cell>
          <cell r="T274">
            <v>11.221943382283833</v>
          </cell>
          <cell r="U274">
            <v>11.221943382283833</v>
          </cell>
          <cell r="V274">
            <v>11.221943382283833</v>
          </cell>
          <cell r="W274">
            <v>11.221943382283833</v>
          </cell>
          <cell r="X274">
            <v>11.221943382283833</v>
          </cell>
          <cell r="Y274">
            <v>11.221943382283833</v>
          </cell>
          <cell r="Z274">
            <v>11.221943382283833</v>
          </cell>
          <cell r="AA274">
            <v>11.221943382283833</v>
          </cell>
          <cell r="AB274">
            <v>11.221943382283833</v>
          </cell>
          <cell r="AC274">
            <v>11.221943382283833</v>
          </cell>
          <cell r="AD274">
            <v>11.221943382283833</v>
          </cell>
          <cell r="AE274">
            <v>11.221943382283833</v>
          </cell>
          <cell r="AF274">
            <v>11.221943382283833</v>
          </cell>
        </row>
        <row r="275">
          <cell r="A275" t="str">
            <v>Idaho</v>
          </cell>
          <cell r="B275">
            <v>10.670309062280063</v>
          </cell>
          <cell r="C275">
            <v>10.819510195670583</v>
          </cell>
          <cell r="D275">
            <v>10.710026577644346</v>
          </cell>
          <cell r="E275">
            <v>10.724728226576866</v>
          </cell>
          <cell r="F275">
            <v>10.803931780364405</v>
          </cell>
          <cell r="G275">
            <v>10.775776785336667</v>
          </cell>
          <cell r="H275">
            <v>10.777042353187708</v>
          </cell>
          <cell r="I275">
            <v>10.960814895559524</v>
          </cell>
          <cell r="J275">
            <v>11.043502018369326</v>
          </cell>
          <cell r="K275">
            <v>11.255919714055389</v>
          </cell>
          <cell r="L275">
            <v>11.616441416294247</v>
          </cell>
          <cell r="M275">
            <v>11.455164555776166</v>
          </cell>
          <cell r="N275">
            <v>11.49005033168118</v>
          </cell>
          <cell r="O275">
            <v>11.5573524480118</v>
          </cell>
          <cell r="P275">
            <v>11.37721778953542</v>
          </cell>
          <cell r="Q275">
            <v>11.346347501405955</v>
          </cell>
          <cell r="R275">
            <v>11.182129183426746</v>
          </cell>
          <cell r="S275">
            <v>11.221943382283829</v>
          </cell>
          <cell r="T275">
            <v>11.221943382283829</v>
          </cell>
          <cell r="U275">
            <v>11.221943382283829</v>
          </cell>
          <cell r="V275">
            <v>11.221943382283829</v>
          </cell>
          <cell r="W275">
            <v>11.221943382283829</v>
          </cell>
          <cell r="X275">
            <v>11.221943382283829</v>
          </cell>
          <cell r="Y275">
            <v>11.221943382283829</v>
          </cell>
          <cell r="Z275">
            <v>11.221943382283829</v>
          </cell>
          <cell r="AA275">
            <v>11.221943382283829</v>
          </cell>
          <cell r="AB275">
            <v>11.221943382283829</v>
          </cell>
          <cell r="AC275">
            <v>11.221943382283829</v>
          </cell>
          <cell r="AD275">
            <v>11.221943382283829</v>
          </cell>
          <cell r="AE275">
            <v>11.221943382283829</v>
          </cell>
          <cell r="AF275">
            <v>11.221943382283829</v>
          </cell>
        </row>
        <row r="276">
          <cell r="A276" t="str">
            <v>Illinois</v>
          </cell>
          <cell r="B276">
            <v>7.9827388198221971</v>
          </cell>
          <cell r="C276">
            <v>8.0881981501082372</v>
          </cell>
          <cell r="D276">
            <v>8.0078112200018285</v>
          </cell>
          <cell r="E276">
            <v>8.0168724331610619</v>
          </cell>
          <cell r="F276">
            <v>8.0724652805778305</v>
          </cell>
          <cell r="G276">
            <v>8.0507317654993571</v>
          </cell>
          <cell r="H276">
            <v>8.0507532647009477</v>
          </cell>
          <cell r="I276">
            <v>8.1814504557851713</v>
          </cell>
          <cell r="J276">
            <v>8.2399842941199584</v>
          </cell>
          <cell r="K276">
            <v>8.3913464897063257</v>
          </cell>
          <cell r="L276">
            <v>8.6487893732428258</v>
          </cell>
          <cell r="M276">
            <v>8.5333391767679938</v>
          </cell>
          <cell r="N276">
            <v>8.5581524555814674</v>
          </cell>
          <cell r="O276">
            <v>8.6068173162070654</v>
          </cell>
          <cell r="P276">
            <v>8.4781186341685846</v>
          </cell>
          <cell r="Q276">
            <v>8.4554667582489049</v>
          </cell>
          <cell r="R276">
            <v>8.3378420154487785</v>
          </cell>
          <cell r="S276">
            <v>8.3665240828943759</v>
          </cell>
          <cell r="T276">
            <v>8.3665240828943759</v>
          </cell>
          <cell r="U276">
            <v>8.3665240828943759</v>
          </cell>
          <cell r="V276">
            <v>8.3665240828943759</v>
          </cell>
          <cell r="W276">
            <v>8.3665240828943759</v>
          </cell>
          <cell r="X276">
            <v>8.3665240828943759</v>
          </cell>
          <cell r="Y276">
            <v>8.3665240828943759</v>
          </cell>
          <cell r="Z276">
            <v>8.3665240828943759</v>
          </cell>
          <cell r="AA276">
            <v>8.3665240828943759</v>
          </cell>
          <cell r="AB276">
            <v>8.3665240828943759</v>
          </cell>
          <cell r="AC276">
            <v>8.3665240828943759</v>
          </cell>
          <cell r="AD276">
            <v>8.3665240828943759</v>
          </cell>
          <cell r="AE276">
            <v>8.3665240828943759</v>
          </cell>
          <cell r="AF276">
            <v>8.3665240828943759</v>
          </cell>
        </row>
        <row r="277">
          <cell r="A277" t="str">
            <v>Indiana</v>
          </cell>
          <cell r="B277">
            <v>7.982738819822198</v>
          </cell>
          <cell r="C277">
            <v>8.0881981501082372</v>
          </cell>
          <cell r="D277">
            <v>8.0078112200018285</v>
          </cell>
          <cell r="E277">
            <v>8.0168724331610584</v>
          </cell>
          <cell r="F277">
            <v>8.0724652805778323</v>
          </cell>
          <cell r="G277">
            <v>8.0507317654993589</v>
          </cell>
          <cell r="H277">
            <v>8.0507532647009441</v>
          </cell>
          <cell r="I277">
            <v>8.1814504557851713</v>
          </cell>
          <cell r="J277">
            <v>8.2399842941199584</v>
          </cell>
          <cell r="K277">
            <v>8.3913464897063257</v>
          </cell>
          <cell r="L277">
            <v>8.6487893732428294</v>
          </cell>
          <cell r="M277">
            <v>8.5333391767679903</v>
          </cell>
          <cell r="N277">
            <v>8.558152455581471</v>
          </cell>
          <cell r="O277">
            <v>8.6068173162070654</v>
          </cell>
          <cell r="P277">
            <v>8.4781186341685864</v>
          </cell>
          <cell r="Q277">
            <v>8.4554667582489049</v>
          </cell>
          <cell r="R277">
            <v>8.337842015448782</v>
          </cell>
          <cell r="S277">
            <v>8.3665240828943741</v>
          </cell>
          <cell r="T277">
            <v>8.3665240828943741</v>
          </cell>
          <cell r="U277">
            <v>8.3665240828943741</v>
          </cell>
          <cell r="V277">
            <v>8.3665240828943741</v>
          </cell>
          <cell r="W277">
            <v>8.3665240828943741</v>
          </cell>
          <cell r="X277">
            <v>8.3665240828943741</v>
          </cell>
          <cell r="Y277">
            <v>8.3665240828943741</v>
          </cell>
          <cell r="Z277">
            <v>8.3665240828943741</v>
          </cell>
          <cell r="AA277">
            <v>8.3665240828943741</v>
          </cell>
          <cell r="AB277">
            <v>8.3665240828943741</v>
          </cell>
          <cell r="AC277">
            <v>8.3665240828943741</v>
          </cell>
          <cell r="AD277">
            <v>8.3665240828943741</v>
          </cell>
          <cell r="AE277">
            <v>8.3665240828943741</v>
          </cell>
          <cell r="AF277">
            <v>8.3665240828943741</v>
          </cell>
        </row>
        <row r="278">
          <cell r="A278" t="str">
            <v>Iowa</v>
          </cell>
          <cell r="B278">
            <v>7.9827388198221998</v>
          </cell>
          <cell r="C278">
            <v>8.0881981501082372</v>
          </cell>
          <cell r="D278">
            <v>8.0078112200018285</v>
          </cell>
          <cell r="E278">
            <v>8.0168724331610601</v>
          </cell>
          <cell r="F278">
            <v>8.0724652805778305</v>
          </cell>
          <cell r="G278">
            <v>8.0507317654993589</v>
          </cell>
          <cell r="H278">
            <v>8.0507532647009441</v>
          </cell>
          <cell r="I278">
            <v>8.1814504557851713</v>
          </cell>
          <cell r="J278">
            <v>8.2399842941199584</v>
          </cell>
          <cell r="K278">
            <v>8.3913464897063257</v>
          </cell>
          <cell r="L278">
            <v>8.6487893732428276</v>
          </cell>
          <cell r="M278">
            <v>8.5333391767679938</v>
          </cell>
          <cell r="N278">
            <v>8.5581524555814692</v>
          </cell>
          <cell r="O278">
            <v>8.6068173162070654</v>
          </cell>
          <cell r="P278">
            <v>8.4781186341685864</v>
          </cell>
          <cell r="Q278">
            <v>8.4554667582489085</v>
          </cell>
          <cell r="R278">
            <v>8.337842015448782</v>
          </cell>
          <cell r="S278">
            <v>8.3665240828943759</v>
          </cell>
          <cell r="T278">
            <v>8.3665240828943759</v>
          </cell>
          <cell r="U278">
            <v>8.3665240828943759</v>
          </cell>
          <cell r="V278">
            <v>8.3665240828943759</v>
          </cell>
          <cell r="W278">
            <v>8.3665240828943759</v>
          </cell>
          <cell r="X278">
            <v>8.3665240828943759</v>
          </cell>
          <cell r="Y278">
            <v>8.3665240828943759</v>
          </cell>
          <cell r="Z278">
            <v>8.3665240828943759</v>
          </cell>
          <cell r="AA278">
            <v>8.3665240828943759</v>
          </cell>
          <cell r="AB278">
            <v>8.3665240828943759</v>
          </cell>
          <cell r="AC278">
            <v>8.3665240828943759</v>
          </cell>
          <cell r="AD278">
            <v>8.3665240828943759</v>
          </cell>
          <cell r="AE278">
            <v>8.3665240828943759</v>
          </cell>
          <cell r="AF278">
            <v>8.3665240828943759</v>
          </cell>
        </row>
        <row r="279">
          <cell r="A279" t="str">
            <v>Kansas</v>
          </cell>
          <cell r="B279">
            <v>7.433791307799785</v>
          </cell>
          <cell r="C279">
            <v>7.5308953428912062</v>
          </cell>
          <cell r="D279">
            <v>7.4563086109058938</v>
          </cell>
          <cell r="E279">
            <v>7.4643998414018089</v>
          </cell>
          <cell r="F279">
            <v>7.5155142326885036</v>
          </cell>
          <cell r="G279">
            <v>7.4951553061291332</v>
          </cell>
          <cell r="H279">
            <v>7.4950096668991044</v>
          </cell>
          <cell r="I279">
            <v>7.6155039754231186</v>
          </cell>
          <cell r="J279">
            <v>7.6694170626275762</v>
          </cell>
          <cell r="K279">
            <v>7.8090183154025716</v>
          </cell>
          <cell r="L279">
            <v>8.0465604237574233</v>
          </cell>
          <cell r="M279">
            <v>7.9399812823545908</v>
          </cell>
          <cell r="N279">
            <v>7.9628580508243774</v>
          </cell>
          <cell r="O279">
            <v>8.0078746023589424</v>
          </cell>
          <cell r="P279">
            <v>7.8891119154016627</v>
          </cell>
          <cell r="Q279">
            <v>7.8680970480582086</v>
          </cell>
          <cell r="R279">
            <v>7.7594975581341492</v>
          </cell>
          <cell r="S279">
            <v>7.7860096022670762</v>
          </cell>
          <cell r="T279">
            <v>7.7860096022670762</v>
          </cell>
          <cell r="U279">
            <v>7.7860096022670762</v>
          </cell>
          <cell r="V279">
            <v>7.7860096022670762</v>
          </cell>
          <cell r="W279">
            <v>7.7860096022670762</v>
          </cell>
          <cell r="X279">
            <v>7.7860096022670762</v>
          </cell>
          <cell r="Y279">
            <v>7.7860096022670762</v>
          </cell>
          <cell r="Z279">
            <v>7.7860096022670762</v>
          </cell>
          <cell r="AA279">
            <v>7.7860096022670762</v>
          </cell>
          <cell r="AB279">
            <v>7.7860096022670762</v>
          </cell>
          <cell r="AC279">
            <v>7.7860096022670762</v>
          </cell>
          <cell r="AD279">
            <v>7.7860096022670762</v>
          </cell>
          <cell r="AE279">
            <v>7.7860096022670762</v>
          </cell>
          <cell r="AF279">
            <v>7.7860096022670762</v>
          </cell>
        </row>
        <row r="280">
          <cell r="A280" t="str">
            <v>Kentucky</v>
          </cell>
          <cell r="B280">
            <v>8.1251576591458594</v>
          </cell>
          <cell r="C280">
            <v>8.2328158446911708</v>
          </cell>
          <cell r="D280">
            <v>8.1509164228710898</v>
          </cell>
          <cell r="E280">
            <v>8.1602390853446245</v>
          </cell>
          <cell r="F280">
            <v>8.2170123371642276</v>
          </cell>
          <cell r="G280">
            <v>8.1949255871876314</v>
          </cell>
          <cell r="H280">
            <v>8.1949951277224642</v>
          </cell>
          <cell r="I280">
            <v>8.3283736768567938</v>
          </cell>
          <cell r="J280">
            <v>8.3881231433983086</v>
          </cell>
          <cell r="K280">
            <v>8.5425747892016233</v>
          </cell>
          <cell r="L280">
            <v>8.8052427861084244</v>
          </cell>
          <cell r="M280">
            <v>8.6874647634366404</v>
          </cell>
          <cell r="N280">
            <v>8.7127869514357155</v>
          </cell>
          <cell r="O280">
            <v>8.7624068523337719</v>
          </cell>
          <cell r="P280">
            <v>8.631099709902438</v>
          </cell>
          <cell r="Q280">
            <v>8.6080208886855836</v>
          </cell>
          <cell r="R280">
            <v>8.4880281829868345</v>
          </cell>
          <cell r="S280">
            <v>8.517278823351301</v>
          </cell>
          <cell r="T280">
            <v>8.517278823351301</v>
          </cell>
          <cell r="U280">
            <v>8.517278823351301</v>
          </cell>
          <cell r="V280">
            <v>8.517278823351301</v>
          </cell>
          <cell r="W280">
            <v>8.517278823351301</v>
          </cell>
          <cell r="X280">
            <v>8.517278823351301</v>
          </cell>
          <cell r="Y280">
            <v>8.517278823351301</v>
          </cell>
          <cell r="Z280">
            <v>8.517278823351301</v>
          </cell>
          <cell r="AA280">
            <v>8.517278823351301</v>
          </cell>
          <cell r="AB280">
            <v>8.517278823351301</v>
          </cell>
          <cell r="AC280">
            <v>8.517278823351301</v>
          </cell>
          <cell r="AD280">
            <v>8.517278823351301</v>
          </cell>
          <cell r="AE280">
            <v>8.517278823351301</v>
          </cell>
          <cell r="AF280">
            <v>8.517278823351301</v>
          </cell>
        </row>
        <row r="281">
          <cell r="A281" t="str">
            <v>Louisiana</v>
          </cell>
          <cell r="B281">
            <v>8.0987478633692156</v>
          </cell>
          <cell r="C281">
            <v>8.2059973224198739</v>
          </cell>
          <cell r="D281">
            <v>8.1243786142210652</v>
          </cell>
          <cell r="E281">
            <v>8.1336524872293392</v>
          </cell>
          <cell r="F281">
            <v>8.1902062677120622</v>
          </cell>
          <cell r="G281">
            <v>8.1681849145859733</v>
          </cell>
          <cell r="H281">
            <v>8.1682453998594617</v>
          </cell>
          <cell r="I281">
            <v>8.3011256492159831</v>
          </cell>
          <cell r="J281">
            <v>8.360649165654733</v>
          </cell>
          <cell r="K281">
            <v>8.5145267148540729</v>
          </cell>
          <cell r="L281">
            <v>8.7762238353283095</v>
          </cell>
          <cell r="M281">
            <v>8.6588783036322514</v>
          </cell>
          <cell r="N281">
            <v>8.6841059170850574</v>
          </cell>
          <cell r="O281">
            <v>8.7335484506347836</v>
          </cell>
          <cell r="P281">
            <v>8.6027259754622438</v>
          </cell>
          <cell r="Q281">
            <v>8.5797263961048191</v>
          </cell>
          <cell r="R281">
            <v>8.4601736283568236</v>
          </cell>
          <cell r="S281">
            <v>8.489318659068136</v>
          </cell>
          <cell r="T281">
            <v>8.489318659068136</v>
          </cell>
          <cell r="U281">
            <v>8.489318659068136</v>
          </cell>
          <cell r="V281">
            <v>8.489318659068136</v>
          </cell>
          <cell r="W281">
            <v>8.489318659068136</v>
          </cell>
          <cell r="X281">
            <v>8.489318659068136</v>
          </cell>
          <cell r="Y281">
            <v>8.489318659068136</v>
          </cell>
          <cell r="Z281">
            <v>8.489318659068136</v>
          </cell>
          <cell r="AA281">
            <v>8.489318659068136</v>
          </cell>
          <cell r="AB281">
            <v>8.489318659068136</v>
          </cell>
          <cell r="AC281">
            <v>8.489318659068136</v>
          </cell>
          <cell r="AD281">
            <v>8.489318659068136</v>
          </cell>
          <cell r="AE281">
            <v>8.489318659068136</v>
          </cell>
          <cell r="AF281">
            <v>8.489318659068136</v>
          </cell>
        </row>
        <row r="282">
          <cell r="A282" t="str">
            <v>Maine</v>
          </cell>
          <cell r="B282">
            <v>7.9799106954935111</v>
          </cell>
          <cell r="C282">
            <v>8.0853264936383606</v>
          </cell>
          <cell r="D282">
            <v>8.0049695656408861</v>
          </cell>
          <cell r="E282">
            <v>8.0140256285847382</v>
          </cell>
          <cell r="F282">
            <v>8.06959511437082</v>
          </cell>
          <cell r="G282">
            <v>8.0478686281424743</v>
          </cell>
          <cell r="H282">
            <v>8.0478891932126153</v>
          </cell>
          <cell r="I282">
            <v>8.1785332841500598</v>
          </cell>
          <cell r="J282">
            <v>8.2370430541989741</v>
          </cell>
          <cell r="K282">
            <v>8.388344062253676</v>
          </cell>
          <cell r="L282">
            <v>8.6456834500146744</v>
          </cell>
          <cell r="M282">
            <v>8.5302793672971209</v>
          </cell>
          <cell r="N282">
            <v>8.5550825678954645</v>
          </cell>
          <cell r="O282">
            <v>8.6037284997110106</v>
          </cell>
          <cell r="P282">
            <v>8.4750814857550214</v>
          </cell>
          <cell r="Q282">
            <v>8.452438078518302</v>
          </cell>
          <cell r="R282">
            <v>8.3348602459430072</v>
          </cell>
          <cell r="S282">
            <v>8.3635310464825103</v>
          </cell>
          <cell r="T282">
            <v>8.3635310464825103</v>
          </cell>
          <cell r="U282">
            <v>8.3635310464825103</v>
          </cell>
          <cell r="V282">
            <v>8.3635310464825103</v>
          </cell>
          <cell r="W282">
            <v>8.3635310464825103</v>
          </cell>
          <cell r="X282">
            <v>8.3635310464825103</v>
          </cell>
          <cell r="Y282">
            <v>8.3635310464825103</v>
          </cell>
          <cell r="Z282">
            <v>8.3635310464825103</v>
          </cell>
          <cell r="AA282">
            <v>8.3635310464825103</v>
          </cell>
          <cell r="AB282">
            <v>8.3635310464825103</v>
          </cell>
          <cell r="AC282">
            <v>8.3635310464825103</v>
          </cell>
          <cell r="AD282">
            <v>8.3635310464825103</v>
          </cell>
          <cell r="AE282">
            <v>8.3635310464825103</v>
          </cell>
          <cell r="AF282">
            <v>8.3635310464825103</v>
          </cell>
        </row>
        <row r="283">
          <cell r="A283" t="str">
            <v>Maryland</v>
          </cell>
          <cell r="B283">
            <v>7.9799106954935137</v>
          </cell>
          <cell r="C283">
            <v>8.0853264936383606</v>
          </cell>
          <cell r="D283">
            <v>8.0049695656408879</v>
          </cell>
          <cell r="E283">
            <v>8.0140256285847364</v>
          </cell>
          <cell r="F283">
            <v>8.06959511437082</v>
          </cell>
          <cell r="G283">
            <v>8.0478686281424743</v>
          </cell>
          <cell r="H283">
            <v>8.0478891932126135</v>
          </cell>
          <cell r="I283">
            <v>8.178533284150058</v>
          </cell>
          <cell r="J283">
            <v>8.2370430541989741</v>
          </cell>
          <cell r="K283">
            <v>8.388344062253676</v>
          </cell>
          <cell r="L283">
            <v>8.6456834500146762</v>
          </cell>
          <cell r="M283">
            <v>8.5302793672971209</v>
          </cell>
          <cell r="N283">
            <v>8.5550825678954663</v>
          </cell>
          <cell r="O283">
            <v>8.6037284997110124</v>
          </cell>
          <cell r="P283">
            <v>8.4750814857550214</v>
          </cell>
          <cell r="Q283">
            <v>8.4524380785183002</v>
          </cell>
          <cell r="R283">
            <v>8.3348602459430108</v>
          </cell>
          <cell r="S283">
            <v>8.3635310464825103</v>
          </cell>
          <cell r="T283">
            <v>8.3635310464825103</v>
          </cell>
          <cell r="U283">
            <v>8.3635310464825103</v>
          </cell>
          <cell r="V283">
            <v>8.3635310464825103</v>
          </cell>
          <cell r="W283">
            <v>8.3635310464825103</v>
          </cell>
          <cell r="X283">
            <v>8.3635310464825103</v>
          </cell>
          <cell r="Y283">
            <v>8.3635310464825103</v>
          </cell>
          <cell r="Z283">
            <v>8.3635310464825103</v>
          </cell>
          <cell r="AA283">
            <v>8.3635310464825103</v>
          </cell>
          <cell r="AB283">
            <v>8.3635310464825103</v>
          </cell>
          <cell r="AC283">
            <v>8.3635310464825103</v>
          </cell>
          <cell r="AD283">
            <v>8.3635310464825103</v>
          </cell>
          <cell r="AE283">
            <v>8.3635310464825103</v>
          </cell>
          <cell r="AF283">
            <v>8.3635310464825103</v>
          </cell>
        </row>
        <row r="284">
          <cell r="A284" t="str">
            <v>Massachusetts</v>
          </cell>
          <cell r="B284">
            <v>7.9799106954935111</v>
          </cell>
          <cell r="C284">
            <v>8.0853264936383624</v>
          </cell>
          <cell r="D284">
            <v>8.0049695656408861</v>
          </cell>
          <cell r="E284">
            <v>8.0140256285847382</v>
          </cell>
          <cell r="F284">
            <v>8.06959511437082</v>
          </cell>
          <cell r="G284">
            <v>8.0478686281424743</v>
          </cell>
          <cell r="H284">
            <v>8.0478891932126153</v>
          </cell>
          <cell r="I284">
            <v>8.1785332841500598</v>
          </cell>
          <cell r="J284">
            <v>8.2370430541989741</v>
          </cell>
          <cell r="K284">
            <v>8.388344062253676</v>
          </cell>
          <cell r="L284">
            <v>8.6456834500146744</v>
          </cell>
          <cell r="M284">
            <v>8.5302793672971209</v>
          </cell>
          <cell r="N284">
            <v>8.5550825678954645</v>
          </cell>
          <cell r="O284">
            <v>8.6037284997110106</v>
          </cell>
          <cell r="P284">
            <v>8.4750814857550232</v>
          </cell>
          <cell r="Q284">
            <v>8.452438078518302</v>
          </cell>
          <cell r="R284">
            <v>8.3348602459430072</v>
          </cell>
          <cell r="S284">
            <v>8.3635310464825103</v>
          </cell>
          <cell r="T284">
            <v>8.3635310464825103</v>
          </cell>
          <cell r="U284">
            <v>8.3635310464825103</v>
          </cell>
          <cell r="V284">
            <v>8.3635310464825103</v>
          </cell>
          <cell r="W284">
            <v>8.3635310464825103</v>
          </cell>
          <cell r="X284">
            <v>8.3635310464825103</v>
          </cell>
          <cell r="Y284">
            <v>8.3635310464825103</v>
          </cell>
          <cell r="Z284">
            <v>8.3635310464825103</v>
          </cell>
          <cell r="AA284">
            <v>8.3635310464825103</v>
          </cell>
          <cell r="AB284">
            <v>8.3635310464825103</v>
          </cell>
          <cell r="AC284">
            <v>8.3635310464825103</v>
          </cell>
          <cell r="AD284">
            <v>8.3635310464825103</v>
          </cell>
          <cell r="AE284">
            <v>8.3635310464825103</v>
          </cell>
          <cell r="AF284">
            <v>8.3635310464825103</v>
          </cell>
        </row>
        <row r="285">
          <cell r="A285" t="str">
            <v>Michigan</v>
          </cell>
          <cell r="B285">
            <v>7.9827388198221971</v>
          </cell>
          <cell r="C285">
            <v>8.0881981501082389</v>
          </cell>
          <cell r="D285">
            <v>8.0078112200018268</v>
          </cell>
          <cell r="E285">
            <v>8.0168724331610584</v>
          </cell>
          <cell r="F285">
            <v>8.0724652805778305</v>
          </cell>
          <cell r="G285">
            <v>8.0507317654993571</v>
          </cell>
          <cell r="H285">
            <v>8.0507532647009459</v>
          </cell>
          <cell r="I285">
            <v>8.1814504557851695</v>
          </cell>
          <cell r="J285">
            <v>8.2399842941199584</v>
          </cell>
          <cell r="K285">
            <v>8.3913464897063257</v>
          </cell>
          <cell r="L285">
            <v>8.6487893732428258</v>
          </cell>
          <cell r="M285">
            <v>8.5333391767679903</v>
          </cell>
          <cell r="N285">
            <v>8.5581524555814656</v>
          </cell>
          <cell r="O285">
            <v>8.6068173162070671</v>
          </cell>
          <cell r="P285">
            <v>8.4781186341685846</v>
          </cell>
          <cell r="Q285">
            <v>8.4554667582489067</v>
          </cell>
          <cell r="R285">
            <v>8.337842015448782</v>
          </cell>
          <cell r="S285">
            <v>8.3665240828943759</v>
          </cell>
          <cell r="T285">
            <v>8.3665240828943759</v>
          </cell>
          <cell r="U285">
            <v>8.3665240828943759</v>
          </cell>
          <cell r="V285">
            <v>8.3665240828943759</v>
          </cell>
          <cell r="W285">
            <v>8.3665240828943759</v>
          </cell>
          <cell r="X285">
            <v>8.3665240828943759</v>
          </cell>
          <cell r="Y285">
            <v>8.3665240828943759</v>
          </cell>
          <cell r="Z285">
            <v>8.3665240828943759</v>
          </cell>
          <cell r="AA285">
            <v>8.3665240828943759</v>
          </cell>
          <cell r="AB285">
            <v>8.3665240828943759</v>
          </cell>
          <cell r="AC285">
            <v>8.3665240828943759</v>
          </cell>
          <cell r="AD285">
            <v>8.3665240828943759</v>
          </cell>
          <cell r="AE285">
            <v>8.3665240828943759</v>
          </cell>
          <cell r="AF285">
            <v>8.3665240828943759</v>
          </cell>
        </row>
        <row r="286">
          <cell r="A286" t="str">
            <v>Minnesota</v>
          </cell>
          <cell r="B286">
            <v>7.982738819822198</v>
          </cell>
          <cell r="C286">
            <v>8.0881981501082372</v>
          </cell>
          <cell r="D286">
            <v>8.0078112200018285</v>
          </cell>
          <cell r="E286">
            <v>8.0168724331610619</v>
          </cell>
          <cell r="F286">
            <v>8.0724652805778305</v>
          </cell>
          <cell r="G286">
            <v>8.0507317654993571</v>
          </cell>
          <cell r="H286">
            <v>8.0507532647009459</v>
          </cell>
          <cell r="I286">
            <v>8.181450455785173</v>
          </cell>
          <cell r="J286">
            <v>8.2399842941199584</v>
          </cell>
          <cell r="K286">
            <v>8.3913464897063257</v>
          </cell>
          <cell r="L286">
            <v>8.6487893732428276</v>
          </cell>
          <cell r="M286">
            <v>8.5333391767679903</v>
          </cell>
          <cell r="N286">
            <v>8.5581524555814674</v>
          </cell>
          <cell r="O286">
            <v>8.6068173162070654</v>
          </cell>
          <cell r="P286">
            <v>8.4781186341685846</v>
          </cell>
          <cell r="Q286">
            <v>8.4554667582489049</v>
          </cell>
          <cell r="R286">
            <v>8.3378420154487802</v>
          </cell>
          <cell r="S286">
            <v>8.3665240828943777</v>
          </cell>
          <cell r="T286">
            <v>8.3665240828943777</v>
          </cell>
          <cell r="U286">
            <v>8.3665240828943777</v>
          </cell>
          <cell r="V286">
            <v>8.3665240828943777</v>
          </cell>
          <cell r="W286">
            <v>8.3665240828943777</v>
          </cell>
          <cell r="X286">
            <v>8.3665240828943777</v>
          </cell>
          <cell r="Y286">
            <v>8.3665240828943777</v>
          </cell>
          <cell r="Z286">
            <v>8.3665240828943777</v>
          </cell>
          <cell r="AA286">
            <v>8.3665240828943777</v>
          </cell>
          <cell r="AB286">
            <v>8.3665240828943777</v>
          </cell>
          <cell r="AC286">
            <v>8.3665240828943777</v>
          </cell>
          <cell r="AD286">
            <v>8.3665240828943777</v>
          </cell>
          <cell r="AE286">
            <v>8.3665240828943777</v>
          </cell>
          <cell r="AF286">
            <v>8.3665240828943777</v>
          </cell>
        </row>
        <row r="287">
          <cell r="A287" t="str">
            <v>Mississippi</v>
          </cell>
          <cell r="B287">
            <v>8.1251576591458612</v>
          </cell>
          <cell r="C287">
            <v>8.2328158446911708</v>
          </cell>
          <cell r="D287">
            <v>8.1509164228710915</v>
          </cell>
          <cell r="E287">
            <v>8.1602390853446245</v>
          </cell>
          <cell r="F287">
            <v>8.2170123371642294</v>
          </cell>
          <cell r="G287">
            <v>8.1949255871876279</v>
          </cell>
          <cell r="H287">
            <v>8.1949951277224624</v>
          </cell>
          <cell r="I287">
            <v>8.3283736768567938</v>
          </cell>
          <cell r="J287">
            <v>8.3881231433983103</v>
          </cell>
          <cell r="K287">
            <v>8.5425747892016233</v>
          </cell>
          <cell r="L287">
            <v>8.8052427861084244</v>
          </cell>
          <cell r="M287">
            <v>8.6874647634366404</v>
          </cell>
          <cell r="N287">
            <v>8.7127869514357137</v>
          </cell>
          <cell r="O287">
            <v>8.7624068523337773</v>
          </cell>
          <cell r="P287">
            <v>8.631099709902438</v>
          </cell>
          <cell r="Q287">
            <v>8.6080208886855836</v>
          </cell>
          <cell r="R287">
            <v>8.4880281829868327</v>
          </cell>
          <cell r="S287">
            <v>8.5172788233512993</v>
          </cell>
          <cell r="T287">
            <v>8.5172788233512993</v>
          </cell>
          <cell r="U287">
            <v>8.5172788233512993</v>
          </cell>
          <cell r="V287">
            <v>8.5172788233512993</v>
          </cell>
          <cell r="W287">
            <v>8.5172788233512993</v>
          </cell>
          <cell r="X287">
            <v>8.5172788233512993</v>
          </cell>
          <cell r="Y287">
            <v>8.5172788233512993</v>
          </cell>
          <cell r="Z287">
            <v>8.5172788233512993</v>
          </cell>
          <cell r="AA287">
            <v>8.5172788233512993</v>
          </cell>
          <cell r="AB287">
            <v>8.5172788233512993</v>
          </cell>
          <cell r="AC287">
            <v>8.5172788233512993</v>
          </cell>
          <cell r="AD287">
            <v>8.5172788233512993</v>
          </cell>
          <cell r="AE287">
            <v>8.5172788233512993</v>
          </cell>
          <cell r="AF287">
            <v>8.5172788233512993</v>
          </cell>
        </row>
        <row r="288">
          <cell r="A288" t="str">
            <v>Missouri</v>
          </cell>
          <cell r="B288">
            <v>7.9827388198221971</v>
          </cell>
          <cell r="C288">
            <v>8.0881981501082372</v>
          </cell>
          <cell r="D288">
            <v>8.0078112200018268</v>
          </cell>
          <cell r="E288">
            <v>8.0168724331610601</v>
          </cell>
          <cell r="F288">
            <v>8.0724652805778305</v>
          </cell>
          <cell r="G288">
            <v>8.0507317654993571</v>
          </cell>
          <cell r="H288">
            <v>8.0507532647009477</v>
          </cell>
          <cell r="I288">
            <v>8.1814504557851713</v>
          </cell>
          <cell r="J288">
            <v>8.2399842941199584</v>
          </cell>
          <cell r="K288">
            <v>8.3913464897063275</v>
          </cell>
          <cell r="L288">
            <v>8.6487893732428258</v>
          </cell>
          <cell r="M288">
            <v>8.533339176767992</v>
          </cell>
          <cell r="N288">
            <v>8.5581524555814674</v>
          </cell>
          <cell r="O288">
            <v>8.6068173162070654</v>
          </cell>
          <cell r="P288">
            <v>8.4781186341685846</v>
          </cell>
          <cell r="Q288">
            <v>8.4554667582489049</v>
          </cell>
          <cell r="R288">
            <v>8.337842015448782</v>
          </cell>
          <cell r="S288">
            <v>8.3665240828943759</v>
          </cell>
          <cell r="T288">
            <v>8.3665240828943759</v>
          </cell>
          <cell r="U288">
            <v>8.3665240828943759</v>
          </cell>
          <cell r="V288">
            <v>8.3665240828943759</v>
          </cell>
          <cell r="W288">
            <v>8.3665240828943759</v>
          </cell>
          <cell r="X288">
            <v>8.3665240828943759</v>
          </cell>
          <cell r="Y288">
            <v>8.3665240828943759</v>
          </cell>
          <cell r="Z288">
            <v>8.3665240828943759</v>
          </cell>
          <cell r="AA288">
            <v>8.3665240828943759</v>
          </cell>
          <cell r="AB288">
            <v>8.3665240828943759</v>
          </cell>
          <cell r="AC288">
            <v>8.3665240828943759</v>
          </cell>
          <cell r="AD288">
            <v>8.3665240828943759</v>
          </cell>
          <cell r="AE288">
            <v>8.3665240828943759</v>
          </cell>
          <cell r="AF288">
            <v>8.3665240828943759</v>
          </cell>
        </row>
        <row r="289">
          <cell r="A289" t="str">
            <v>Montana</v>
          </cell>
          <cell r="B289">
            <v>7.433791307799785</v>
          </cell>
          <cell r="C289">
            <v>7.5308953428912044</v>
          </cell>
          <cell r="D289">
            <v>7.4563086109058938</v>
          </cell>
          <cell r="E289">
            <v>7.4643998414018098</v>
          </cell>
          <cell r="F289">
            <v>7.5155142326885036</v>
          </cell>
          <cell r="G289">
            <v>7.4951553061291332</v>
          </cell>
          <cell r="H289">
            <v>7.4950096668991026</v>
          </cell>
          <cell r="I289">
            <v>7.6155039754231177</v>
          </cell>
          <cell r="J289">
            <v>7.6694170626275797</v>
          </cell>
          <cell r="K289">
            <v>7.8090183154025716</v>
          </cell>
          <cell r="L289">
            <v>8.0465604237574251</v>
          </cell>
          <cell r="M289">
            <v>7.9399812823545943</v>
          </cell>
          <cell r="N289">
            <v>7.9628580508243774</v>
          </cell>
          <cell r="O289">
            <v>8.0078746023589442</v>
          </cell>
          <cell r="P289">
            <v>7.8891119154016627</v>
          </cell>
          <cell r="Q289">
            <v>7.8680970480582113</v>
          </cell>
          <cell r="R289">
            <v>7.7594975581341474</v>
          </cell>
          <cell r="S289">
            <v>7.7860096022670762</v>
          </cell>
          <cell r="T289">
            <v>7.7860096022670762</v>
          </cell>
          <cell r="U289">
            <v>7.7860096022670762</v>
          </cell>
          <cell r="V289">
            <v>7.7860096022670762</v>
          </cell>
          <cell r="W289">
            <v>7.7860096022670762</v>
          </cell>
          <cell r="X289">
            <v>7.7860096022670762</v>
          </cell>
          <cell r="Y289">
            <v>7.7860096022670762</v>
          </cell>
          <cell r="Z289">
            <v>7.7860096022670762</v>
          </cell>
          <cell r="AA289">
            <v>7.7860096022670762</v>
          </cell>
          <cell r="AB289">
            <v>7.7860096022670762</v>
          </cell>
          <cell r="AC289">
            <v>7.7860096022670762</v>
          </cell>
          <cell r="AD289">
            <v>7.7860096022670762</v>
          </cell>
          <cell r="AE289">
            <v>7.7860096022670762</v>
          </cell>
          <cell r="AF289">
            <v>7.7860096022670762</v>
          </cell>
        </row>
        <row r="290">
          <cell r="A290" t="str">
            <v>Nebraska</v>
          </cell>
          <cell r="B290">
            <v>7.433791307799785</v>
          </cell>
          <cell r="C290">
            <v>7.5308953428912071</v>
          </cell>
          <cell r="D290">
            <v>7.4563086109058938</v>
          </cell>
          <cell r="E290">
            <v>7.4643998414018098</v>
          </cell>
          <cell r="F290">
            <v>7.5155142326885036</v>
          </cell>
          <cell r="G290">
            <v>7.4951553061291349</v>
          </cell>
          <cell r="H290">
            <v>7.4950096668991018</v>
          </cell>
          <cell r="I290">
            <v>7.6155039754231204</v>
          </cell>
          <cell r="J290">
            <v>7.6694170626275797</v>
          </cell>
          <cell r="K290">
            <v>7.8090183154025707</v>
          </cell>
          <cell r="L290">
            <v>8.0465604237574251</v>
          </cell>
          <cell r="M290">
            <v>7.9399812823545934</v>
          </cell>
          <cell r="N290">
            <v>7.9628580508243783</v>
          </cell>
          <cell r="O290">
            <v>8.0078746023589442</v>
          </cell>
          <cell r="P290">
            <v>7.8891119154016609</v>
          </cell>
          <cell r="Q290">
            <v>7.8680970480582086</v>
          </cell>
          <cell r="R290">
            <v>7.7594975581341474</v>
          </cell>
          <cell r="S290">
            <v>7.7860096022670779</v>
          </cell>
          <cell r="T290">
            <v>7.7860096022670779</v>
          </cell>
          <cell r="U290">
            <v>7.7860096022670779</v>
          </cell>
          <cell r="V290">
            <v>7.7860096022670779</v>
          </cell>
          <cell r="W290">
            <v>7.7860096022670779</v>
          </cell>
          <cell r="X290">
            <v>7.7860096022670779</v>
          </cell>
          <cell r="Y290">
            <v>7.7860096022670779</v>
          </cell>
          <cell r="Z290">
            <v>7.7860096022670779</v>
          </cell>
          <cell r="AA290">
            <v>7.7860096022670779</v>
          </cell>
          <cell r="AB290">
            <v>7.7860096022670779</v>
          </cell>
          <cell r="AC290">
            <v>7.7860096022670779</v>
          </cell>
          <cell r="AD290">
            <v>7.7860096022670779</v>
          </cell>
          <cell r="AE290">
            <v>7.7860096022670779</v>
          </cell>
          <cell r="AF290">
            <v>7.7860096022670779</v>
          </cell>
        </row>
        <row r="291">
          <cell r="A291" t="str">
            <v>Nevada</v>
          </cell>
          <cell r="B291">
            <v>10.670309062280063</v>
          </cell>
          <cell r="C291">
            <v>10.819510195670587</v>
          </cell>
          <cell r="D291">
            <v>10.710026577644346</v>
          </cell>
          <cell r="E291">
            <v>10.724728226576865</v>
          </cell>
          <cell r="F291">
            <v>10.803931780364405</v>
          </cell>
          <cell r="G291">
            <v>10.775776785336667</v>
          </cell>
          <cell r="H291">
            <v>10.777042353187708</v>
          </cell>
          <cell r="I291">
            <v>10.960814895559528</v>
          </cell>
          <cell r="J291">
            <v>11.043502018369324</v>
          </cell>
          <cell r="K291">
            <v>11.255919714055389</v>
          </cell>
          <cell r="L291">
            <v>11.616441416294247</v>
          </cell>
          <cell r="M291">
            <v>11.455164555776166</v>
          </cell>
          <cell r="N291">
            <v>11.49005033168118</v>
          </cell>
          <cell r="O291">
            <v>11.557352448011795</v>
          </cell>
          <cell r="P291">
            <v>11.377217789535424</v>
          </cell>
          <cell r="Q291">
            <v>11.346347501405953</v>
          </cell>
          <cell r="R291">
            <v>11.182129183426746</v>
          </cell>
          <cell r="S291">
            <v>11.221943382283833</v>
          </cell>
          <cell r="T291">
            <v>11.221943382283833</v>
          </cell>
          <cell r="U291">
            <v>11.221943382283833</v>
          </cell>
          <cell r="V291">
            <v>11.221943382283833</v>
          </cell>
          <cell r="W291">
            <v>11.221943382283833</v>
          </cell>
          <cell r="X291">
            <v>11.221943382283833</v>
          </cell>
          <cell r="Y291">
            <v>11.221943382283833</v>
          </cell>
          <cell r="Z291">
            <v>11.221943382283833</v>
          </cell>
          <cell r="AA291">
            <v>11.221943382283833</v>
          </cell>
          <cell r="AB291">
            <v>11.221943382283833</v>
          </cell>
          <cell r="AC291">
            <v>11.221943382283833</v>
          </cell>
          <cell r="AD291">
            <v>11.221943382283833</v>
          </cell>
          <cell r="AE291">
            <v>11.221943382283833</v>
          </cell>
          <cell r="AF291">
            <v>11.221943382283833</v>
          </cell>
        </row>
        <row r="292">
          <cell r="A292" t="str">
            <v>New Hampshire</v>
          </cell>
          <cell r="B292">
            <v>8.0478891932126153</v>
          </cell>
          <cell r="C292">
            <v>8.0478891932126153</v>
          </cell>
          <cell r="D292">
            <v>8.0478891932126153</v>
          </cell>
          <cell r="E292">
            <v>8.0478891932126153</v>
          </cell>
          <cell r="F292">
            <v>8.0478891932126153</v>
          </cell>
          <cell r="G292">
            <v>8.0478891932126153</v>
          </cell>
          <cell r="H292">
            <v>8.0478891932126153</v>
          </cell>
          <cell r="I292">
            <v>8.1785332841500598</v>
          </cell>
          <cell r="J292">
            <v>8.2370430541989741</v>
          </cell>
          <cell r="K292">
            <v>8.388344062253676</v>
          </cell>
          <cell r="L292">
            <v>8.6456834500146744</v>
          </cell>
          <cell r="M292">
            <v>8.5302793672971209</v>
          </cell>
          <cell r="N292">
            <v>8.5550825678954645</v>
          </cell>
          <cell r="O292">
            <v>8.6037284997110106</v>
          </cell>
          <cell r="P292">
            <v>8.4750814857550232</v>
          </cell>
          <cell r="Q292">
            <v>8.452438078518302</v>
          </cell>
          <cell r="R292">
            <v>8.3348602459430072</v>
          </cell>
          <cell r="S292">
            <v>8.3635310464825103</v>
          </cell>
          <cell r="T292">
            <v>8.3635310464825103</v>
          </cell>
          <cell r="U292">
            <v>8.3635310464825103</v>
          </cell>
          <cell r="V292">
            <v>8.3635310464825103</v>
          </cell>
          <cell r="W292">
            <v>8.3635310464825103</v>
          </cell>
          <cell r="X292">
            <v>8.3635310464825103</v>
          </cell>
          <cell r="Y292">
            <v>8.3635310464825103</v>
          </cell>
          <cell r="Z292">
            <v>8.3635310464825103</v>
          </cell>
          <cell r="AA292">
            <v>8.3635310464825103</v>
          </cell>
          <cell r="AB292">
            <v>8.3635310464825103</v>
          </cell>
          <cell r="AC292">
            <v>8.3635310464825103</v>
          </cell>
          <cell r="AD292">
            <v>8.3635310464825103</v>
          </cell>
          <cell r="AE292">
            <v>8.3635310464825103</v>
          </cell>
          <cell r="AF292">
            <v>8.3635310464825103</v>
          </cell>
        </row>
        <row r="293">
          <cell r="A293" t="str">
            <v>New Jersey</v>
          </cell>
          <cell r="B293">
            <v>7.9799106954935111</v>
          </cell>
          <cell r="C293">
            <v>8.0853264936383624</v>
          </cell>
          <cell r="D293">
            <v>8.0049695656408861</v>
          </cell>
          <cell r="E293">
            <v>8.0140256285847382</v>
          </cell>
          <cell r="F293">
            <v>8.06959511437082</v>
          </cell>
          <cell r="G293">
            <v>8.0478686281424743</v>
          </cell>
          <cell r="H293">
            <v>8.0478891932126153</v>
          </cell>
          <cell r="I293">
            <v>8.1785332841500598</v>
          </cell>
          <cell r="J293">
            <v>8.2370430541989741</v>
          </cell>
          <cell r="K293">
            <v>8.388344062253676</v>
          </cell>
          <cell r="L293">
            <v>8.6456834500146744</v>
          </cell>
          <cell r="M293">
            <v>8.5302793672971209</v>
          </cell>
          <cell r="N293">
            <v>8.5550825678954645</v>
          </cell>
          <cell r="O293">
            <v>8.6037284997110106</v>
          </cell>
          <cell r="P293">
            <v>8.4750814857550214</v>
          </cell>
          <cell r="Q293">
            <v>8.452438078518302</v>
          </cell>
          <cell r="R293">
            <v>8.3348602459430072</v>
          </cell>
          <cell r="S293">
            <v>8.3635310464825103</v>
          </cell>
          <cell r="T293">
            <v>8.3635310464825103</v>
          </cell>
          <cell r="U293">
            <v>8.3635310464825103</v>
          </cell>
          <cell r="V293">
            <v>8.3635310464825103</v>
          </cell>
          <cell r="W293">
            <v>8.3635310464825103</v>
          </cell>
          <cell r="X293">
            <v>8.3635310464825103</v>
          </cell>
          <cell r="Y293">
            <v>8.3635310464825103</v>
          </cell>
          <cell r="Z293">
            <v>8.3635310464825103</v>
          </cell>
          <cell r="AA293">
            <v>8.3635310464825103</v>
          </cell>
          <cell r="AB293">
            <v>8.3635310464825103</v>
          </cell>
          <cell r="AC293">
            <v>8.3635310464825103</v>
          </cell>
          <cell r="AD293">
            <v>8.3635310464825103</v>
          </cell>
          <cell r="AE293">
            <v>8.3635310464825103</v>
          </cell>
          <cell r="AF293">
            <v>8.3635310464825103</v>
          </cell>
        </row>
        <row r="294">
          <cell r="A294" t="str">
            <v>New Mexico</v>
          </cell>
          <cell r="B294">
            <v>10.670309062280063</v>
          </cell>
          <cell r="C294">
            <v>10.819510195670585</v>
          </cell>
          <cell r="D294">
            <v>10.710026577644348</v>
          </cell>
          <cell r="E294">
            <v>10.724728226576866</v>
          </cell>
          <cell r="F294">
            <v>10.80393178036441</v>
          </cell>
          <cell r="G294">
            <v>10.775776785336665</v>
          </cell>
          <cell r="H294">
            <v>10.777042353187708</v>
          </cell>
          <cell r="I294">
            <v>10.960814895559526</v>
          </cell>
          <cell r="J294">
            <v>11.043502018369329</v>
          </cell>
          <cell r="K294">
            <v>11.255919714055393</v>
          </cell>
          <cell r="L294">
            <v>11.616441416294251</v>
          </cell>
          <cell r="M294">
            <v>11.455164555776166</v>
          </cell>
          <cell r="N294">
            <v>11.49005033168118</v>
          </cell>
          <cell r="O294">
            <v>11.557352448011798</v>
          </cell>
          <cell r="P294">
            <v>11.37721778953542</v>
          </cell>
          <cell r="Q294">
            <v>11.346347501405953</v>
          </cell>
          <cell r="R294">
            <v>11.182129183426747</v>
          </cell>
          <cell r="S294">
            <v>11.221943382283829</v>
          </cell>
          <cell r="T294">
            <v>11.221943382283829</v>
          </cell>
          <cell r="U294">
            <v>11.221943382283829</v>
          </cell>
          <cell r="V294">
            <v>11.221943382283829</v>
          </cell>
          <cell r="W294">
            <v>11.221943382283829</v>
          </cell>
          <cell r="X294">
            <v>11.221943382283829</v>
          </cell>
          <cell r="Y294">
            <v>11.221943382283829</v>
          </cell>
          <cell r="Z294">
            <v>11.221943382283829</v>
          </cell>
          <cell r="AA294">
            <v>11.221943382283829</v>
          </cell>
          <cell r="AB294">
            <v>11.221943382283829</v>
          </cell>
          <cell r="AC294">
            <v>11.221943382283829</v>
          </cell>
          <cell r="AD294">
            <v>11.221943382283829</v>
          </cell>
          <cell r="AE294">
            <v>11.221943382283829</v>
          </cell>
          <cell r="AF294">
            <v>11.221943382283829</v>
          </cell>
        </row>
        <row r="295">
          <cell r="A295" t="str">
            <v>New York</v>
          </cell>
          <cell r="B295">
            <v>7.9799106954935111</v>
          </cell>
          <cell r="C295">
            <v>8.0853264936383624</v>
          </cell>
          <cell r="D295">
            <v>8.0049695656408861</v>
          </cell>
          <cell r="E295">
            <v>8.0140256285847382</v>
          </cell>
          <cell r="F295">
            <v>8.0695951143708182</v>
          </cell>
          <cell r="G295">
            <v>8.0478686281424743</v>
          </cell>
          <cell r="H295">
            <v>8.0478891932126171</v>
          </cell>
          <cell r="I295">
            <v>8.178533284150058</v>
          </cell>
          <cell r="J295">
            <v>8.2370430541989723</v>
          </cell>
          <cell r="K295">
            <v>8.3883440622536778</v>
          </cell>
          <cell r="L295">
            <v>8.645683450014678</v>
          </cell>
          <cell r="M295">
            <v>8.5302793672971227</v>
          </cell>
          <cell r="N295">
            <v>8.5550825678954645</v>
          </cell>
          <cell r="O295">
            <v>8.6037284997110124</v>
          </cell>
          <cell r="P295">
            <v>8.4750814857550214</v>
          </cell>
          <cell r="Q295">
            <v>8.452438078518302</v>
          </cell>
          <cell r="R295">
            <v>8.3348602459430108</v>
          </cell>
          <cell r="S295">
            <v>8.3635310464825121</v>
          </cell>
          <cell r="T295">
            <v>8.3635310464825121</v>
          </cell>
          <cell r="U295">
            <v>8.3635310464825121</v>
          </cell>
          <cell r="V295">
            <v>8.3635310464825121</v>
          </cell>
          <cell r="W295">
            <v>8.3635310464825121</v>
          </cell>
          <cell r="X295">
            <v>8.3635310464825121</v>
          </cell>
          <cell r="Y295">
            <v>8.3635310464825121</v>
          </cell>
          <cell r="Z295">
            <v>8.3635310464825121</v>
          </cell>
          <cell r="AA295">
            <v>8.3635310464825121</v>
          </cell>
          <cell r="AB295">
            <v>8.3635310464825121</v>
          </cell>
          <cell r="AC295">
            <v>8.3635310464825121</v>
          </cell>
          <cell r="AD295">
            <v>8.3635310464825121</v>
          </cell>
          <cell r="AE295">
            <v>8.3635310464825121</v>
          </cell>
          <cell r="AF295">
            <v>8.3635310464825121</v>
          </cell>
        </row>
        <row r="296">
          <cell r="A296" t="str">
            <v>North Carolina</v>
          </cell>
          <cell r="B296">
            <v>8.1251576591458612</v>
          </cell>
          <cell r="C296">
            <v>8.2328158446911726</v>
          </cell>
          <cell r="D296">
            <v>8.1509164228710898</v>
          </cell>
          <cell r="E296">
            <v>8.1602390853446245</v>
          </cell>
          <cell r="F296">
            <v>8.2170123371642312</v>
          </cell>
          <cell r="G296">
            <v>8.1949255871876296</v>
          </cell>
          <cell r="H296">
            <v>8.1949951277224589</v>
          </cell>
          <cell r="I296">
            <v>8.3283736768567938</v>
          </cell>
          <cell r="J296">
            <v>8.3881231433983103</v>
          </cell>
          <cell r="K296">
            <v>8.5425747892016215</v>
          </cell>
          <cell r="L296">
            <v>8.8052427861084244</v>
          </cell>
          <cell r="M296">
            <v>8.6874647634366422</v>
          </cell>
          <cell r="N296">
            <v>8.7127869514357155</v>
          </cell>
          <cell r="O296">
            <v>8.7624068523337737</v>
          </cell>
          <cell r="P296">
            <v>8.631099709902438</v>
          </cell>
          <cell r="Q296">
            <v>8.6080208886855818</v>
          </cell>
          <cell r="R296">
            <v>8.4880281829868345</v>
          </cell>
          <cell r="S296">
            <v>8.517278823351301</v>
          </cell>
          <cell r="T296">
            <v>8.517278823351301</v>
          </cell>
          <cell r="U296">
            <v>8.517278823351301</v>
          </cell>
          <cell r="V296">
            <v>8.517278823351301</v>
          </cell>
          <cell r="W296">
            <v>8.517278823351301</v>
          </cell>
          <cell r="X296">
            <v>8.517278823351301</v>
          </cell>
          <cell r="Y296">
            <v>8.517278823351301</v>
          </cell>
          <cell r="Z296">
            <v>8.517278823351301</v>
          </cell>
          <cell r="AA296">
            <v>8.517278823351301</v>
          </cell>
          <cell r="AB296">
            <v>8.517278823351301</v>
          </cell>
          <cell r="AC296">
            <v>8.517278823351301</v>
          </cell>
          <cell r="AD296">
            <v>8.517278823351301</v>
          </cell>
          <cell r="AE296">
            <v>8.517278823351301</v>
          </cell>
          <cell r="AF296">
            <v>8.517278823351301</v>
          </cell>
        </row>
        <row r="297">
          <cell r="A297" t="str">
            <v>North Dakota</v>
          </cell>
          <cell r="B297">
            <v>7.433791307799785</v>
          </cell>
          <cell r="C297">
            <v>7.5308953428912089</v>
          </cell>
          <cell r="D297">
            <v>7.4563086109058938</v>
          </cell>
          <cell r="E297">
            <v>7.4643998414018089</v>
          </cell>
          <cell r="F297">
            <v>7.5155142326885036</v>
          </cell>
          <cell r="G297">
            <v>7.4951553061291332</v>
          </cell>
          <cell r="H297">
            <v>7.4950096668991018</v>
          </cell>
          <cell r="I297">
            <v>7.6155039754231204</v>
          </cell>
          <cell r="J297">
            <v>7.6694170626275797</v>
          </cell>
          <cell r="K297">
            <v>7.8090183154025716</v>
          </cell>
          <cell r="L297">
            <v>8.0465604237574251</v>
          </cell>
          <cell r="M297">
            <v>7.9399812823545943</v>
          </cell>
          <cell r="N297">
            <v>7.9628580508243774</v>
          </cell>
          <cell r="O297">
            <v>8.0078746023589424</v>
          </cell>
          <cell r="P297">
            <v>7.8891119154016609</v>
          </cell>
          <cell r="Q297">
            <v>7.8680970480582104</v>
          </cell>
          <cell r="R297">
            <v>7.7594975581341474</v>
          </cell>
          <cell r="S297">
            <v>7.7860096022670762</v>
          </cell>
          <cell r="T297">
            <v>7.7860096022670762</v>
          </cell>
          <cell r="U297">
            <v>7.7860096022670762</v>
          </cell>
          <cell r="V297">
            <v>7.7860096022670762</v>
          </cell>
          <cell r="W297">
            <v>7.7860096022670762</v>
          </cell>
          <cell r="X297">
            <v>7.7860096022670762</v>
          </cell>
          <cell r="Y297">
            <v>7.7860096022670762</v>
          </cell>
          <cell r="Z297">
            <v>7.7860096022670762</v>
          </cell>
          <cell r="AA297">
            <v>7.7860096022670762</v>
          </cell>
          <cell r="AB297">
            <v>7.7860096022670762</v>
          </cell>
          <cell r="AC297">
            <v>7.7860096022670762</v>
          </cell>
          <cell r="AD297">
            <v>7.7860096022670762</v>
          </cell>
          <cell r="AE297">
            <v>7.7860096022670762</v>
          </cell>
          <cell r="AF297">
            <v>7.7860096022670762</v>
          </cell>
        </row>
        <row r="298">
          <cell r="A298" t="str">
            <v>Ohio</v>
          </cell>
          <cell r="B298">
            <v>7.9827388198221954</v>
          </cell>
          <cell r="C298">
            <v>8.0881981501082389</v>
          </cell>
          <cell r="D298">
            <v>8.007811220001825</v>
          </cell>
          <cell r="E298">
            <v>8.0168724331610584</v>
          </cell>
          <cell r="F298">
            <v>8.0724652805778323</v>
          </cell>
          <cell r="G298">
            <v>8.0507317654993589</v>
          </cell>
          <cell r="H298">
            <v>8.0507532647009477</v>
          </cell>
          <cell r="I298">
            <v>8.1814504557851748</v>
          </cell>
          <cell r="J298">
            <v>8.2399842941199584</v>
          </cell>
          <cell r="K298">
            <v>8.3913464897063275</v>
          </cell>
          <cell r="L298">
            <v>8.6487893732428258</v>
          </cell>
          <cell r="M298">
            <v>8.5333391767679903</v>
          </cell>
          <cell r="N298">
            <v>8.558152455581471</v>
          </cell>
          <cell r="O298">
            <v>8.6068173162070654</v>
          </cell>
          <cell r="P298">
            <v>8.4781186341685846</v>
          </cell>
          <cell r="Q298">
            <v>8.4554667582489049</v>
          </cell>
          <cell r="R298">
            <v>8.337842015448782</v>
          </cell>
          <cell r="S298">
            <v>8.3665240828943777</v>
          </cell>
          <cell r="T298">
            <v>8.3665240828943777</v>
          </cell>
          <cell r="U298">
            <v>8.3665240828943777</v>
          </cell>
          <cell r="V298">
            <v>8.3665240828943777</v>
          </cell>
          <cell r="W298">
            <v>8.3665240828943777</v>
          </cell>
          <cell r="X298">
            <v>8.3665240828943777</v>
          </cell>
          <cell r="Y298">
            <v>8.3665240828943777</v>
          </cell>
          <cell r="Z298">
            <v>8.3665240828943777</v>
          </cell>
          <cell r="AA298">
            <v>8.3665240828943777</v>
          </cell>
          <cell r="AB298">
            <v>8.3665240828943777</v>
          </cell>
          <cell r="AC298">
            <v>8.3665240828943777</v>
          </cell>
          <cell r="AD298">
            <v>8.3665240828943777</v>
          </cell>
          <cell r="AE298">
            <v>8.3665240828943777</v>
          </cell>
          <cell r="AF298">
            <v>8.3665240828943777</v>
          </cell>
        </row>
        <row r="299">
          <cell r="A299" t="str">
            <v>Oklahoma</v>
          </cell>
          <cell r="B299">
            <v>8.0987478633692174</v>
          </cell>
          <cell r="C299">
            <v>8.2059973224198739</v>
          </cell>
          <cell r="D299">
            <v>8.1243786142210634</v>
          </cell>
          <cell r="E299">
            <v>8.1336524872293374</v>
          </cell>
          <cell r="F299">
            <v>8.1902062677120604</v>
          </cell>
          <cell r="G299">
            <v>8.1681849145859733</v>
          </cell>
          <cell r="H299">
            <v>8.1682453998594582</v>
          </cell>
          <cell r="I299">
            <v>8.3011256492159831</v>
          </cell>
          <cell r="J299">
            <v>8.3606491656547295</v>
          </cell>
          <cell r="K299">
            <v>8.5145267148540711</v>
          </cell>
          <cell r="L299">
            <v>8.7762238353283095</v>
          </cell>
          <cell r="M299">
            <v>8.6588783036322514</v>
          </cell>
          <cell r="N299">
            <v>8.6841059170850574</v>
          </cell>
          <cell r="O299">
            <v>8.7335484506347818</v>
          </cell>
          <cell r="P299">
            <v>8.6027259754622456</v>
          </cell>
          <cell r="Q299">
            <v>8.5797263961048191</v>
          </cell>
          <cell r="R299">
            <v>8.4601736283568219</v>
          </cell>
          <cell r="S299">
            <v>8.4893186590681378</v>
          </cell>
          <cell r="T299">
            <v>8.4893186590681378</v>
          </cell>
          <cell r="U299">
            <v>8.4893186590681378</v>
          </cell>
          <cell r="V299">
            <v>8.4893186590681378</v>
          </cell>
          <cell r="W299">
            <v>8.4893186590681378</v>
          </cell>
          <cell r="X299">
            <v>8.4893186590681378</v>
          </cell>
          <cell r="Y299">
            <v>8.4893186590681378</v>
          </cell>
          <cell r="Z299">
            <v>8.4893186590681378</v>
          </cell>
          <cell r="AA299">
            <v>8.4893186590681378</v>
          </cell>
          <cell r="AB299">
            <v>8.4893186590681378</v>
          </cell>
          <cell r="AC299">
            <v>8.4893186590681378</v>
          </cell>
          <cell r="AD299">
            <v>8.4893186590681378</v>
          </cell>
          <cell r="AE299">
            <v>8.4893186590681378</v>
          </cell>
          <cell r="AF299">
            <v>8.4893186590681378</v>
          </cell>
        </row>
        <row r="300">
          <cell r="A300" t="str">
            <v>Oregon</v>
          </cell>
          <cell r="B300">
            <v>10.670309062280063</v>
          </cell>
          <cell r="C300">
            <v>10.819510195670581</v>
          </cell>
          <cell r="D300">
            <v>10.710026577644346</v>
          </cell>
          <cell r="E300">
            <v>10.724728226576865</v>
          </cell>
          <cell r="F300">
            <v>10.803931780364405</v>
          </cell>
          <cell r="G300">
            <v>10.775776785336667</v>
          </cell>
          <cell r="H300">
            <v>10.777042353187708</v>
          </cell>
          <cell r="I300">
            <v>10.960814895559524</v>
          </cell>
          <cell r="J300">
            <v>11.043502018369329</v>
          </cell>
          <cell r="K300">
            <v>11.255919714055393</v>
          </cell>
          <cell r="L300">
            <v>11.616441416294245</v>
          </cell>
          <cell r="M300">
            <v>11.455164555776168</v>
          </cell>
          <cell r="N300">
            <v>11.490050331681182</v>
          </cell>
          <cell r="O300">
            <v>11.557352448011798</v>
          </cell>
          <cell r="P300">
            <v>11.37721778953542</v>
          </cell>
          <cell r="Q300">
            <v>11.346347501405955</v>
          </cell>
          <cell r="R300">
            <v>11.182129183426746</v>
          </cell>
          <cell r="S300">
            <v>11.221943382283834</v>
          </cell>
          <cell r="T300">
            <v>11.221943382283834</v>
          </cell>
          <cell r="U300">
            <v>11.221943382283834</v>
          </cell>
          <cell r="V300">
            <v>11.221943382283834</v>
          </cell>
          <cell r="W300">
            <v>11.221943382283834</v>
          </cell>
          <cell r="X300">
            <v>11.221943382283834</v>
          </cell>
          <cell r="Y300">
            <v>11.221943382283834</v>
          </cell>
          <cell r="Z300">
            <v>11.221943382283834</v>
          </cell>
          <cell r="AA300">
            <v>11.221943382283834</v>
          </cell>
          <cell r="AB300">
            <v>11.221943382283834</v>
          </cell>
          <cell r="AC300">
            <v>11.221943382283834</v>
          </cell>
          <cell r="AD300">
            <v>11.221943382283834</v>
          </cell>
          <cell r="AE300">
            <v>11.221943382283834</v>
          </cell>
          <cell r="AF300">
            <v>11.221943382283834</v>
          </cell>
        </row>
        <row r="301">
          <cell r="A301" t="str">
            <v>Pennsylvania</v>
          </cell>
          <cell r="B301">
            <v>7.9799106954935146</v>
          </cell>
          <cell r="C301">
            <v>8.0853264936383624</v>
          </cell>
          <cell r="D301">
            <v>8.0049695656408879</v>
          </cell>
          <cell r="E301">
            <v>8.01402562858474</v>
          </cell>
          <cell r="F301">
            <v>8.0695951143708182</v>
          </cell>
          <cell r="G301">
            <v>8.0478686281424743</v>
          </cell>
          <cell r="H301">
            <v>8.0478891932126171</v>
          </cell>
          <cell r="I301">
            <v>8.1785332841500562</v>
          </cell>
          <cell r="J301">
            <v>8.2370430541989705</v>
          </cell>
          <cell r="K301">
            <v>8.3883440622536778</v>
          </cell>
          <cell r="L301">
            <v>8.645683450014678</v>
          </cell>
          <cell r="M301">
            <v>8.5302793672971227</v>
          </cell>
          <cell r="N301">
            <v>8.5550825678954645</v>
          </cell>
          <cell r="O301">
            <v>8.6037284997110159</v>
          </cell>
          <cell r="P301">
            <v>8.475081485755025</v>
          </cell>
          <cell r="Q301">
            <v>8.4524380785183002</v>
          </cell>
          <cell r="R301">
            <v>8.3348602459430108</v>
          </cell>
          <cell r="S301">
            <v>8.3635310464825139</v>
          </cell>
          <cell r="T301">
            <v>8.3635310464825139</v>
          </cell>
          <cell r="U301">
            <v>8.3635310464825139</v>
          </cell>
          <cell r="V301">
            <v>8.3635310464825139</v>
          </cell>
          <cell r="W301">
            <v>8.3635310464825139</v>
          </cell>
          <cell r="X301">
            <v>8.3635310464825139</v>
          </cell>
          <cell r="Y301">
            <v>8.3635310464825139</v>
          </cell>
          <cell r="Z301">
            <v>8.3635310464825139</v>
          </cell>
          <cell r="AA301">
            <v>8.3635310464825139</v>
          </cell>
          <cell r="AB301">
            <v>8.3635310464825139</v>
          </cell>
          <cell r="AC301">
            <v>8.3635310464825139</v>
          </cell>
          <cell r="AD301">
            <v>8.3635310464825139</v>
          </cell>
          <cell r="AE301">
            <v>8.3635310464825139</v>
          </cell>
          <cell r="AF301">
            <v>8.3635310464825139</v>
          </cell>
        </row>
        <row r="302">
          <cell r="A302" t="str">
            <v>Rhode Island</v>
          </cell>
          <cell r="B302">
            <v>8.0478686281424743</v>
          </cell>
          <cell r="C302">
            <v>8.0478686281424743</v>
          </cell>
          <cell r="D302">
            <v>8.0478686281424743</v>
          </cell>
          <cell r="E302">
            <v>8.0478686281424743</v>
          </cell>
          <cell r="F302">
            <v>8.0478686281424743</v>
          </cell>
          <cell r="G302">
            <v>8.0478686281424743</v>
          </cell>
          <cell r="H302">
            <v>8.0478891932126135</v>
          </cell>
          <cell r="I302">
            <v>8.1785332841500615</v>
          </cell>
          <cell r="J302">
            <v>8.2370430541989741</v>
          </cell>
          <cell r="K302">
            <v>8.388344062253676</v>
          </cell>
          <cell r="L302">
            <v>8.6456834500146762</v>
          </cell>
          <cell r="M302">
            <v>8.5302793672971209</v>
          </cell>
          <cell r="N302">
            <v>8.5550825678954645</v>
          </cell>
          <cell r="O302">
            <v>8.6037284997110106</v>
          </cell>
          <cell r="P302">
            <v>8.4750814857550232</v>
          </cell>
          <cell r="Q302">
            <v>8.4524380785183002</v>
          </cell>
          <cell r="R302">
            <v>8.3348602459430108</v>
          </cell>
          <cell r="S302">
            <v>8.3635310464825121</v>
          </cell>
          <cell r="T302">
            <v>8.3635310464825121</v>
          </cell>
          <cell r="U302">
            <v>8.3635310464825121</v>
          </cell>
          <cell r="V302">
            <v>8.3635310464825121</v>
          </cell>
          <cell r="W302">
            <v>8.3635310464825121</v>
          </cell>
          <cell r="X302">
            <v>8.3635310464825121</v>
          </cell>
          <cell r="Y302">
            <v>8.3635310464825121</v>
          </cell>
          <cell r="Z302">
            <v>8.3635310464825121</v>
          </cell>
          <cell r="AA302">
            <v>8.3635310464825121</v>
          </cell>
          <cell r="AB302">
            <v>8.3635310464825121</v>
          </cell>
          <cell r="AC302">
            <v>8.3635310464825121</v>
          </cell>
          <cell r="AD302">
            <v>8.3635310464825121</v>
          </cell>
          <cell r="AE302">
            <v>8.3635310464825121</v>
          </cell>
          <cell r="AF302">
            <v>8.3635310464825121</v>
          </cell>
        </row>
        <row r="303">
          <cell r="A303" t="str">
            <v>South Carolina</v>
          </cell>
          <cell r="B303">
            <v>8.1251576591458594</v>
          </cell>
          <cell r="C303">
            <v>8.232815844691169</v>
          </cell>
          <cell r="D303">
            <v>8.1509164228710898</v>
          </cell>
          <cell r="E303">
            <v>8.1602390853446227</v>
          </cell>
          <cell r="F303">
            <v>8.2170123371642276</v>
          </cell>
          <cell r="G303">
            <v>8.1949255871876296</v>
          </cell>
          <cell r="H303">
            <v>8.1949951277224642</v>
          </cell>
          <cell r="I303">
            <v>8.3283736768567938</v>
          </cell>
          <cell r="J303">
            <v>8.3881231433983103</v>
          </cell>
          <cell r="K303">
            <v>8.5425747892016233</v>
          </cell>
          <cell r="L303">
            <v>8.8052427861084244</v>
          </cell>
          <cell r="M303">
            <v>8.6874647634366404</v>
          </cell>
          <cell r="N303">
            <v>8.7127869514357137</v>
          </cell>
          <cell r="O303">
            <v>8.7624068523337755</v>
          </cell>
          <cell r="P303">
            <v>8.631099709902438</v>
          </cell>
          <cell r="Q303">
            <v>8.6080208886855818</v>
          </cell>
          <cell r="R303">
            <v>8.488028182986838</v>
          </cell>
          <cell r="S303">
            <v>8.5172788233513028</v>
          </cell>
          <cell r="T303">
            <v>8.5172788233513028</v>
          </cell>
          <cell r="U303">
            <v>8.5172788233513028</v>
          </cell>
          <cell r="V303">
            <v>8.5172788233513028</v>
          </cell>
          <cell r="W303">
            <v>8.5172788233513028</v>
          </cell>
          <cell r="X303">
            <v>8.5172788233513028</v>
          </cell>
          <cell r="Y303">
            <v>8.5172788233513028</v>
          </cell>
          <cell r="Z303">
            <v>8.5172788233513028</v>
          </cell>
          <cell r="AA303">
            <v>8.5172788233513028</v>
          </cell>
          <cell r="AB303">
            <v>8.5172788233513028</v>
          </cell>
          <cell r="AC303">
            <v>8.5172788233513028</v>
          </cell>
          <cell r="AD303">
            <v>8.5172788233513028</v>
          </cell>
          <cell r="AE303">
            <v>8.5172788233513028</v>
          </cell>
          <cell r="AF303">
            <v>8.5172788233513028</v>
          </cell>
        </row>
        <row r="304">
          <cell r="A304" t="str">
            <v>South Dakota</v>
          </cell>
          <cell r="B304">
            <v>7.433791307799785</v>
          </cell>
          <cell r="C304">
            <v>7.5308953428912071</v>
          </cell>
          <cell r="D304">
            <v>7.456308610905892</v>
          </cell>
          <cell r="E304">
            <v>7.4643998414018098</v>
          </cell>
          <cell r="F304">
            <v>7.5155142326885045</v>
          </cell>
          <cell r="G304">
            <v>7.4951553061291358</v>
          </cell>
          <cell r="H304">
            <v>7.4950096668991026</v>
          </cell>
          <cell r="I304">
            <v>7.6155039754231204</v>
          </cell>
          <cell r="J304">
            <v>7.6694170626275788</v>
          </cell>
          <cell r="K304">
            <v>7.8090183154025743</v>
          </cell>
          <cell r="L304">
            <v>8.0465604237574269</v>
          </cell>
          <cell r="M304">
            <v>7.9399812823545943</v>
          </cell>
          <cell r="N304">
            <v>7.9628580508243783</v>
          </cell>
          <cell r="O304">
            <v>8.0078746023589424</v>
          </cell>
          <cell r="P304">
            <v>7.8891119154016609</v>
          </cell>
          <cell r="Q304">
            <v>7.8680970480582086</v>
          </cell>
          <cell r="R304">
            <v>7.7594975581341492</v>
          </cell>
          <cell r="S304">
            <v>7.7860096022670779</v>
          </cell>
          <cell r="T304">
            <v>7.7860096022670779</v>
          </cell>
          <cell r="U304">
            <v>7.7860096022670779</v>
          </cell>
          <cell r="V304">
            <v>7.7860096022670779</v>
          </cell>
          <cell r="W304">
            <v>7.7860096022670779</v>
          </cell>
          <cell r="X304">
            <v>7.7860096022670779</v>
          </cell>
          <cell r="Y304">
            <v>7.7860096022670779</v>
          </cell>
          <cell r="Z304">
            <v>7.7860096022670779</v>
          </cell>
          <cell r="AA304">
            <v>7.7860096022670779</v>
          </cell>
          <cell r="AB304">
            <v>7.7860096022670779</v>
          </cell>
          <cell r="AC304">
            <v>7.7860096022670779</v>
          </cell>
          <cell r="AD304">
            <v>7.7860096022670779</v>
          </cell>
          <cell r="AE304">
            <v>7.7860096022670779</v>
          </cell>
          <cell r="AF304">
            <v>7.7860096022670779</v>
          </cell>
        </row>
        <row r="305">
          <cell r="A305" t="str">
            <v>Tennessee</v>
          </cell>
          <cell r="B305">
            <v>8.1251576591458594</v>
          </cell>
          <cell r="C305">
            <v>8.2328158446911726</v>
          </cell>
          <cell r="D305">
            <v>8.1509164228710898</v>
          </cell>
          <cell r="E305">
            <v>8.1602390853446245</v>
          </cell>
          <cell r="F305">
            <v>8.2170123371642312</v>
          </cell>
          <cell r="G305">
            <v>8.1949255871876296</v>
          </cell>
          <cell r="H305">
            <v>8.1949951277224642</v>
          </cell>
          <cell r="I305">
            <v>8.3283736768567955</v>
          </cell>
          <cell r="J305">
            <v>8.3881231433983086</v>
          </cell>
          <cell r="K305">
            <v>8.5425747892016215</v>
          </cell>
          <cell r="L305">
            <v>8.8052427861084226</v>
          </cell>
          <cell r="M305">
            <v>8.6874647634366404</v>
          </cell>
          <cell r="N305">
            <v>8.7127869514357137</v>
          </cell>
          <cell r="O305">
            <v>8.7624068523337755</v>
          </cell>
          <cell r="P305">
            <v>8.631099709902438</v>
          </cell>
          <cell r="Q305">
            <v>8.6080208886855836</v>
          </cell>
          <cell r="R305">
            <v>8.4880281829868363</v>
          </cell>
          <cell r="S305">
            <v>8.517278823351301</v>
          </cell>
          <cell r="T305">
            <v>8.517278823351301</v>
          </cell>
          <cell r="U305">
            <v>8.517278823351301</v>
          </cell>
          <cell r="V305">
            <v>8.517278823351301</v>
          </cell>
          <cell r="W305">
            <v>8.517278823351301</v>
          </cell>
          <cell r="X305">
            <v>8.517278823351301</v>
          </cell>
          <cell r="Y305">
            <v>8.517278823351301</v>
          </cell>
          <cell r="Z305">
            <v>8.517278823351301</v>
          </cell>
          <cell r="AA305">
            <v>8.517278823351301</v>
          </cell>
          <cell r="AB305">
            <v>8.517278823351301</v>
          </cell>
          <cell r="AC305">
            <v>8.517278823351301</v>
          </cell>
          <cell r="AD305">
            <v>8.517278823351301</v>
          </cell>
          <cell r="AE305">
            <v>8.517278823351301</v>
          </cell>
          <cell r="AF305">
            <v>8.517278823351301</v>
          </cell>
        </row>
        <row r="306">
          <cell r="A306" t="str">
            <v>Texas</v>
          </cell>
          <cell r="B306">
            <v>8.0987478633692156</v>
          </cell>
          <cell r="C306">
            <v>8.2059973224198721</v>
          </cell>
          <cell r="D306">
            <v>8.1243786142210634</v>
          </cell>
          <cell r="E306">
            <v>8.1336524872293392</v>
          </cell>
          <cell r="F306">
            <v>8.1902062677120604</v>
          </cell>
          <cell r="G306">
            <v>8.1681849145859733</v>
          </cell>
          <cell r="H306">
            <v>8.1682453998594617</v>
          </cell>
          <cell r="I306">
            <v>8.3011256492159813</v>
          </cell>
          <cell r="J306">
            <v>8.360649165654733</v>
          </cell>
          <cell r="K306">
            <v>8.5145267148540729</v>
          </cell>
          <cell r="L306">
            <v>8.7762238353283095</v>
          </cell>
          <cell r="M306">
            <v>8.6588783036322514</v>
          </cell>
          <cell r="N306">
            <v>8.6841059170850574</v>
          </cell>
          <cell r="O306">
            <v>8.7335484506347854</v>
          </cell>
          <cell r="P306">
            <v>8.6027259754622456</v>
          </cell>
          <cell r="Q306">
            <v>8.5797263961048191</v>
          </cell>
          <cell r="R306">
            <v>8.4601736283568236</v>
          </cell>
          <cell r="S306">
            <v>8.4893186590681342</v>
          </cell>
          <cell r="T306">
            <v>8.4893186590681342</v>
          </cell>
          <cell r="U306">
            <v>8.4893186590681342</v>
          </cell>
          <cell r="V306">
            <v>8.4893186590681342</v>
          </cell>
          <cell r="W306">
            <v>8.4893186590681342</v>
          </cell>
          <cell r="X306">
            <v>8.4893186590681342</v>
          </cell>
          <cell r="Y306">
            <v>8.4893186590681342</v>
          </cell>
          <cell r="Z306">
            <v>8.4893186590681342</v>
          </cell>
          <cell r="AA306">
            <v>8.4893186590681342</v>
          </cell>
          <cell r="AB306">
            <v>8.4893186590681342</v>
          </cell>
          <cell r="AC306">
            <v>8.4893186590681342</v>
          </cell>
          <cell r="AD306">
            <v>8.4893186590681342</v>
          </cell>
          <cell r="AE306">
            <v>8.4893186590681342</v>
          </cell>
          <cell r="AF306">
            <v>8.4893186590681342</v>
          </cell>
        </row>
        <row r="307">
          <cell r="A307" t="str">
            <v>Utah</v>
          </cell>
          <cell r="B307">
            <v>10.670309062280063</v>
          </cell>
          <cell r="C307">
            <v>10.819510195670587</v>
          </cell>
          <cell r="D307">
            <v>10.710026577644348</v>
          </cell>
          <cell r="E307">
            <v>10.724728226576861</v>
          </cell>
          <cell r="F307">
            <v>10.803931780364408</v>
          </cell>
          <cell r="G307">
            <v>10.775776785336669</v>
          </cell>
          <cell r="H307">
            <v>10.777042353187712</v>
          </cell>
          <cell r="I307">
            <v>10.960814895559526</v>
          </cell>
          <cell r="J307">
            <v>11.043502018369326</v>
          </cell>
          <cell r="K307">
            <v>11.255919714055389</v>
          </cell>
          <cell r="L307">
            <v>11.616441416294251</v>
          </cell>
          <cell r="M307">
            <v>11.455164555776163</v>
          </cell>
          <cell r="N307">
            <v>11.490050331681179</v>
          </cell>
          <cell r="O307">
            <v>11.557352448011795</v>
          </cell>
          <cell r="P307">
            <v>11.377217789535424</v>
          </cell>
          <cell r="Q307">
            <v>11.346347501405955</v>
          </cell>
          <cell r="R307">
            <v>11.182129183426746</v>
          </cell>
          <cell r="S307">
            <v>11.221943382283833</v>
          </cell>
          <cell r="T307">
            <v>11.221943382283833</v>
          </cell>
          <cell r="U307">
            <v>11.221943382283833</v>
          </cell>
          <cell r="V307">
            <v>11.221943382283833</v>
          </cell>
          <cell r="W307">
            <v>11.221943382283833</v>
          </cell>
          <cell r="X307">
            <v>11.221943382283833</v>
          </cell>
          <cell r="Y307">
            <v>11.221943382283833</v>
          </cell>
          <cell r="Z307">
            <v>11.221943382283833</v>
          </cell>
          <cell r="AA307">
            <v>11.221943382283833</v>
          </cell>
          <cell r="AB307">
            <v>11.221943382283833</v>
          </cell>
          <cell r="AC307">
            <v>11.221943382283833</v>
          </cell>
          <cell r="AD307">
            <v>11.221943382283833</v>
          </cell>
          <cell r="AE307">
            <v>11.221943382283833</v>
          </cell>
          <cell r="AF307">
            <v>11.221943382283833</v>
          </cell>
        </row>
        <row r="308">
          <cell r="A308" t="str">
            <v>Vermont</v>
          </cell>
          <cell r="B308">
            <v>7.9799106954935111</v>
          </cell>
          <cell r="C308">
            <v>8.0853264936383624</v>
          </cell>
          <cell r="D308">
            <v>8.0049695656408861</v>
          </cell>
          <cell r="E308">
            <v>8.0140256285847382</v>
          </cell>
          <cell r="F308">
            <v>8.06959511437082</v>
          </cell>
          <cell r="G308">
            <v>8.0478686281424743</v>
          </cell>
          <cell r="H308">
            <v>8.0478891932126153</v>
          </cell>
          <cell r="I308">
            <v>8.1785332841500598</v>
          </cell>
          <cell r="J308">
            <v>8.2370430541989741</v>
          </cell>
          <cell r="K308">
            <v>8.388344062253676</v>
          </cell>
          <cell r="L308">
            <v>8.645683450014678</v>
          </cell>
          <cell r="M308">
            <v>8.5302793672971209</v>
          </cell>
          <cell r="N308">
            <v>8.5550825678954645</v>
          </cell>
          <cell r="O308">
            <v>8.6037284997110124</v>
          </cell>
          <cell r="P308">
            <v>8.4750814857550214</v>
          </cell>
          <cell r="Q308">
            <v>8.452438078518302</v>
          </cell>
          <cell r="R308">
            <v>8.3348602459430072</v>
          </cell>
          <cell r="S308">
            <v>8.3635310464825103</v>
          </cell>
          <cell r="T308">
            <v>8.3635310464825103</v>
          </cell>
          <cell r="U308">
            <v>8.3635310464825103</v>
          </cell>
          <cell r="V308">
            <v>8.3635310464825103</v>
          </cell>
          <cell r="W308">
            <v>8.3635310464825103</v>
          </cell>
          <cell r="X308">
            <v>8.3635310464825103</v>
          </cell>
          <cell r="Y308">
            <v>8.3635310464825103</v>
          </cell>
          <cell r="Z308">
            <v>8.3635310464825103</v>
          </cell>
          <cell r="AA308">
            <v>8.3635310464825103</v>
          </cell>
          <cell r="AB308">
            <v>8.3635310464825103</v>
          </cell>
          <cell r="AC308">
            <v>8.3635310464825103</v>
          </cell>
          <cell r="AD308">
            <v>8.3635310464825103</v>
          </cell>
          <cell r="AE308">
            <v>8.3635310464825103</v>
          </cell>
          <cell r="AF308">
            <v>8.3635310464825103</v>
          </cell>
        </row>
        <row r="309">
          <cell r="A309" t="str">
            <v>Virginia</v>
          </cell>
          <cell r="B309">
            <v>8.1251576591458594</v>
          </cell>
          <cell r="C309">
            <v>8.2328158446911743</v>
          </cell>
          <cell r="D309">
            <v>8.1509164228710915</v>
          </cell>
          <cell r="E309">
            <v>8.1602390853446227</v>
          </cell>
          <cell r="F309">
            <v>8.2170123371642294</v>
          </cell>
          <cell r="G309">
            <v>8.1949255871876296</v>
          </cell>
          <cell r="H309">
            <v>8.1949951277224642</v>
          </cell>
          <cell r="I309">
            <v>8.3283736768567938</v>
          </cell>
          <cell r="J309">
            <v>8.3881231433983086</v>
          </cell>
          <cell r="K309">
            <v>8.5425747892016215</v>
          </cell>
          <cell r="L309">
            <v>8.8052427861084208</v>
          </cell>
          <cell r="M309">
            <v>8.6874647634366404</v>
          </cell>
          <cell r="N309">
            <v>8.7127869514357155</v>
          </cell>
          <cell r="O309">
            <v>8.7624068523337773</v>
          </cell>
          <cell r="P309">
            <v>8.6310997099024398</v>
          </cell>
          <cell r="Q309">
            <v>8.6080208886855836</v>
          </cell>
          <cell r="R309">
            <v>8.4880281829868345</v>
          </cell>
          <cell r="S309">
            <v>8.5172788233512993</v>
          </cell>
          <cell r="T309">
            <v>8.5172788233512993</v>
          </cell>
          <cell r="U309">
            <v>8.5172788233512993</v>
          </cell>
          <cell r="V309">
            <v>8.5172788233512993</v>
          </cell>
          <cell r="W309">
            <v>8.5172788233512993</v>
          </cell>
          <cell r="X309">
            <v>8.5172788233512993</v>
          </cell>
          <cell r="Y309">
            <v>8.5172788233512993</v>
          </cell>
          <cell r="Z309">
            <v>8.5172788233512993</v>
          </cell>
          <cell r="AA309">
            <v>8.5172788233512993</v>
          </cell>
          <cell r="AB309">
            <v>8.5172788233512993</v>
          </cell>
          <cell r="AC309">
            <v>8.5172788233512993</v>
          </cell>
          <cell r="AD309">
            <v>8.5172788233512993</v>
          </cell>
          <cell r="AE309">
            <v>8.5172788233512993</v>
          </cell>
          <cell r="AF309">
            <v>8.5172788233512993</v>
          </cell>
        </row>
        <row r="310">
          <cell r="A310" t="str">
            <v>Washington</v>
          </cell>
          <cell r="B310">
            <v>10.670309062280063</v>
          </cell>
          <cell r="C310">
            <v>10.819510195670587</v>
          </cell>
          <cell r="D310">
            <v>10.710026577644346</v>
          </cell>
          <cell r="E310">
            <v>10.724728226576866</v>
          </cell>
          <cell r="F310">
            <v>10.803931780364406</v>
          </cell>
          <cell r="G310">
            <v>10.775776785336669</v>
          </cell>
          <cell r="H310">
            <v>10.777042353187708</v>
          </cell>
          <cell r="I310">
            <v>10.960814895559526</v>
          </cell>
          <cell r="J310">
            <v>11.043502018369331</v>
          </cell>
          <cell r="K310">
            <v>11.255919714055389</v>
          </cell>
          <cell r="L310">
            <v>11.616441416294247</v>
          </cell>
          <cell r="M310">
            <v>11.455164555776166</v>
          </cell>
          <cell r="N310">
            <v>11.490050331681182</v>
          </cell>
          <cell r="O310">
            <v>11.557352448011798</v>
          </cell>
          <cell r="P310">
            <v>11.37721778953542</v>
          </cell>
          <cell r="Q310">
            <v>11.346347501405956</v>
          </cell>
          <cell r="R310">
            <v>11.182129183426746</v>
          </cell>
          <cell r="S310">
            <v>11.221943382283834</v>
          </cell>
          <cell r="T310">
            <v>11.221943382283834</v>
          </cell>
          <cell r="U310">
            <v>11.221943382283834</v>
          </cell>
          <cell r="V310">
            <v>11.221943382283834</v>
          </cell>
          <cell r="W310">
            <v>11.221943382283834</v>
          </cell>
          <cell r="X310">
            <v>11.221943382283834</v>
          </cell>
          <cell r="Y310">
            <v>11.221943382283834</v>
          </cell>
          <cell r="Z310">
            <v>11.221943382283834</v>
          </cell>
          <cell r="AA310">
            <v>11.221943382283834</v>
          </cell>
          <cell r="AB310">
            <v>11.221943382283834</v>
          </cell>
          <cell r="AC310">
            <v>11.221943382283834</v>
          </cell>
          <cell r="AD310">
            <v>11.221943382283834</v>
          </cell>
          <cell r="AE310">
            <v>11.221943382283834</v>
          </cell>
          <cell r="AF310">
            <v>11.221943382283834</v>
          </cell>
        </row>
        <row r="311">
          <cell r="A311" t="str">
            <v>West Virginia</v>
          </cell>
          <cell r="B311">
            <v>7.9799106954935128</v>
          </cell>
          <cell r="C311">
            <v>8.0853264936383624</v>
          </cell>
          <cell r="D311">
            <v>8.0049695656408861</v>
          </cell>
          <cell r="E311">
            <v>8.0140256285847382</v>
          </cell>
          <cell r="F311">
            <v>8.06959511437082</v>
          </cell>
          <cell r="G311">
            <v>8.0478686281424743</v>
          </cell>
          <cell r="H311">
            <v>8.0478891932126135</v>
          </cell>
          <cell r="I311">
            <v>8.178533284150058</v>
          </cell>
          <cell r="J311">
            <v>8.2370430541989705</v>
          </cell>
          <cell r="K311">
            <v>8.388344062253676</v>
          </cell>
          <cell r="L311">
            <v>8.6456834500146709</v>
          </cell>
          <cell r="M311">
            <v>8.5302793672971209</v>
          </cell>
          <cell r="N311">
            <v>8.5550825678954663</v>
          </cell>
          <cell r="O311">
            <v>8.6037284997110106</v>
          </cell>
          <cell r="P311">
            <v>8.4750814857550214</v>
          </cell>
          <cell r="Q311">
            <v>8.452438078518302</v>
          </cell>
          <cell r="R311">
            <v>8.3348602459430108</v>
          </cell>
          <cell r="S311">
            <v>8.3635310464825121</v>
          </cell>
          <cell r="T311">
            <v>8.3635310464825121</v>
          </cell>
          <cell r="U311">
            <v>8.3635310464825121</v>
          </cell>
          <cell r="V311">
            <v>8.3635310464825121</v>
          </cell>
          <cell r="W311">
            <v>8.3635310464825121</v>
          </cell>
          <cell r="X311">
            <v>8.3635310464825121</v>
          </cell>
          <cell r="Y311">
            <v>8.3635310464825121</v>
          </cell>
          <cell r="Z311">
            <v>8.3635310464825121</v>
          </cell>
          <cell r="AA311">
            <v>8.3635310464825121</v>
          </cell>
          <cell r="AB311">
            <v>8.3635310464825121</v>
          </cell>
          <cell r="AC311">
            <v>8.3635310464825121</v>
          </cell>
          <cell r="AD311">
            <v>8.3635310464825121</v>
          </cell>
          <cell r="AE311">
            <v>8.3635310464825121</v>
          </cell>
          <cell r="AF311">
            <v>8.3635310464825121</v>
          </cell>
        </row>
        <row r="312">
          <cell r="A312" t="str">
            <v>Wisconsin</v>
          </cell>
          <cell r="B312">
            <v>7.982738819822198</v>
          </cell>
          <cell r="C312">
            <v>8.0881981501082354</v>
          </cell>
          <cell r="D312">
            <v>8.0078112200018285</v>
          </cell>
          <cell r="E312">
            <v>8.0168724331610584</v>
          </cell>
          <cell r="F312">
            <v>8.0724652805778323</v>
          </cell>
          <cell r="G312">
            <v>8.0507317654993571</v>
          </cell>
          <cell r="H312">
            <v>8.0507532647009441</v>
          </cell>
          <cell r="I312">
            <v>8.1814504557851713</v>
          </cell>
          <cell r="J312">
            <v>8.2399842941199584</v>
          </cell>
          <cell r="K312">
            <v>8.3913464897063257</v>
          </cell>
          <cell r="L312">
            <v>8.6487893732428311</v>
          </cell>
          <cell r="M312">
            <v>8.5333391767679903</v>
          </cell>
          <cell r="N312">
            <v>8.5581524555814656</v>
          </cell>
          <cell r="O312">
            <v>8.6068173162070654</v>
          </cell>
          <cell r="P312">
            <v>8.4781186341685881</v>
          </cell>
          <cell r="Q312">
            <v>8.4554667582489067</v>
          </cell>
          <cell r="R312">
            <v>8.337842015448782</v>
          </cell>
          <cell r="S312">
            <v>8.3665240828943759</v>
          </cell>
          <cell r="T312">
            <v>8.3665240828943759</v>
          </cell>
          <cell r="U312">
            <v>8.3665240828943759</v>
          </cell>
          <cell r="V312">
            <v>8.3665240828943759</v>
          </cell>
          <cell r="W312">
            <v>8.3665240828943759</v>
          </cell>
          <cell r="X312">
            <v>8.3665240828943759</v>
          </cell>
          <cell r="Y312">
            <v>8.3665240828943759</v>
          </cell>
          <cell r="Z312">
            <v>8.3665240828943759</v>
          </cell>
          <cell r="AA312">
            <v>8.3665240828943759</v>
          </cell>
          <cell r="AB312">
            <v>8.3665240828943759</v>
          </cell>
          <cell r="AC312">
            <v>8.3665240828943759</v>
          </cell>
          <cell r="AD312">
            <v>8.3665240828943759</v>
          </cell>
          <cell r="AE312">
            <v>8.3665240828943759</v>
          </cell>
          <cell r="AF312">
            <v>8.3665240828943759</v>
          </cell>
        </row>
        <row r="313">
          <cell r="A313" t="str">
            <v>Wyoming</v>
          </cell>
          <cell r="B313">
            <v>7.4337913077997841</v>
          </cell>
          <cell r="C313">
            <v>7.5308953428912071</v>
          </cell>
          <cell r="D313">
            <v>7.456308610905892</v>
          </cell>
          <cell r="E313">
            <v>7.4643998414018107</v>
          </cell>
          <cell r="F313">
            <v>7.5155142326885045</v>
          </cell>
          <cell r="G313">
            <v>7.4951553061291358</v>
          </cell>
          <cell r="H313">
            <v>7.4950096668991026</v>
          </cell>
          <cell r="I313">
            <v>7.6155039754231204</v>
          </cell>
          <cell r="J313">
            <v>7.6694170626275788</v>
          </cell>
          <cell r="K313">
            <v>7.8090183154025743</v>
          </cell>
          <cell r="L313">
            <v>8.0465604237574251</v>
          </cell>
          <cell r="M313">
            <v>7.9399812823545943</v>
          </cell>
          <cell r="N313">
            <v>7.9628580508243774</v>
          </cell>
          <cell r="O313">
            <v>8.0078746023589442</v>
          </cell>
          <cell r="P313">
            <v>7.8891119154016627</v>
          </cell>
          <cell r="Q313">
            <v>7.8680970480582086</v>
          </cell>
          <cell r="R313">
            <v>7.7594975581341492</v>
          </cell>
          <cell r="S313">
            <v>7.7860096022670753</v>
          </cell>
          <cell r="T313">
            <v>7.7860096022670753</v>
          </cell>
          <cell r="U313">
            <v>7.7860096022670753</v>
          </cell>
          <cell r="V313">
            <v>7.7860096022670753</v>
          </cell>
          <cell r="W313">
            <v>7.7860096022670753</v>
          </cell>
          <cell r="X313">
            <v>7.7860096022670753</v>
          </cell>
          <cell r="Y313">
            <v>7.7860096022670753</v>
          </cell>
          <cell r="Z313">
            <v>7.7860096022670753</v>
          </cell>
          <cell r="AA313">
            <v>7.7860096022670753</v>
          </cell>
          <cell r="AB313">
            <v>7.7860096022670753</v>
          </cell>
          <cell r="AC313">
            <v>7.7860096022670753</v>
          </cell>
          <cell r="AD313">
            <v>7.7860096022670753</v>
          </cell>
          <cell r="AE313">
            <v>7.7860096022670753</v>
          </cell>
          <cell r="AF313">
            <v>7.7860096022670753</v>
          </cell>
        </row>
        <row r="315">
          <cell r="A315" t="str">
            <v>Steer Feedlot</v>
          </cell>
          <cell r="B315">
            <v>1990</v>
          </cell>
          <cell r="C315">
            <v>1991</v>
          </cell>
          <cell r="D315">
            <v>1992</v>
          </cell>
          <cell r="E315">
            <v>1993</v>
          </cell>
          <cell r="F315">
            <v>1994</v>
          </cell>
          <cell r="G315">
            <v>1995</v>
          </cell>
          <cell r="H315">
            <v>1996</v>
          </cell>
          <cell r="I315">
            <v>1997</v>
          </cell>
          <cell r="J315">
            <v>1998</v>
          </cell>
          <cell r="K315">
            <v>1999</v>
          </cell>
          <cell r="L315">
            <v>2000</v>
          </cell>
          <cell r="M315">
            <v>2001</v>
          </cell>
          <cell r="N315">
            <v>2002</v>
          </cell>
          <cell r="O315">
            <v>2003</v>
          </cell>
          <cell r="P315">
            <v>2004</v>
          </cell>
          <cell r="Q315">
            <v>2005</v>
          </cell>
          <cell r="R315">
            <v>2006</v>
          </cell>
          <cell r="S315">
            <v>2007</v>
          </cell>
          <cell r="T315">
            <v>2008</v>
          </cell>
          <cell r="U315">
            <v>2009</v>
          </cell>
          <cell r="V315">
            <v>2010</v>
          </cell>
          <cell r="W315">
            <v>2011</v>
          </cell>
          <cell r="X315">
            <v>2012</v>
          </cell>
          <cell r="Y315">
            <v>2013</v>
          </cell>
          <cell r="Z315">
            <v>2014</v>
          </cell>
          <cell r="AA315">
            <v>2015</v>
          </cell>
          <cell r="AB315">
            <v>2016</v>
          </cell>
          <cell r="AC315">
            <v>2017</v>
          </cell>
          <cell r="AD315">
            <v>2018</v>
          </cell>
          <cell r="AE315">
            <v>2019</v>
          </cell>
          <cell r="AF315">
            <v>2020</v>
          </cell>
        </row>
        <row r="316">
          <cell r="A316" t="str">
            <v>Alabama</v>
          </cell>
          <cell r="B316">
            <v>5.3624297824087073</v>
          </cell>
          <cell r="C316">
            <v>4.7978669643632728</v>
          </cell>
          <cell r="D316">
            <v>4.2547472471948193</v>
          </cell>
          <cell r="E316">
            <v>4.5017592559352444</v>
          </cell>
          <cell r="F316">
            <v>4.1637504128290868</v>
          </cell>
          <cell r="G316">
            <v>3.7100197443267611</v>
          </cell>
          <cell r="H316">
            <v>3.6472168156592168</v>
          </cell>
          <cell r="I316">
            <v>3.3657545533868589</v>
          </cell>
          <cell r="J316">
            <v>3.4011110813735468</v>
          </cell>
          <cell r="K316">
            <v>3.2831313458163569</v>
          </cell>
          <cell r="L316">
            <v>3.3169326299967907</v>
          </cell>
          <cell r="M316">
            <v>3.2952988587889567</v>
          </cell>
          <cell r="N316">
            <v>3.2445347803330047</v>
          </cell>
          <cell r="O316">
            <v>3.1104952074184244</v>
          </cell>
          <cell r="P316">
            <v>3.2458570547230745</v>
          </cell>
          <cell r="Q316">
            <v>3.2826768916533187</v>
          </cell>
          <cell r="R316">
            <v>3.0554092840512759</v>
          </cell>
          <cell r="S316">
            <v>3.2099166176922664</v>
          </cell>
          <cell r="T316">
            <v>3.2099166176922664</v>
          </cell>
          <cell r="U316">
            <v>3.2099166176922664</v>
          </cell>
          <cell r="V316">
            <v>3.2099166176922664</v>
          </cell>
          <cell r="W316">
            <v>3.2099166176922664</v>
          </cell>
          <cell r="X316">
            <v>3.2099166176922664</v>
          </cell>
          <cell r="Y316">
            <v>3.2099166176922664</v>
          </cell>
          <cell r="Z316">
            <v>3.2099166176922664</v>
          </cell>
          <cell r="AA316">
            <v>3.2099166176922664</v>
          </cell>
          <cell r="AB316">
            <v>3.2099166176922664</v>
          </cell>
          <cell r="AC316">
            <v>3.2099166176922664</v>
          </cell>
          <cell r="AD316">
            <v>3.2099166176922664</v>
          </cell>
          <cell r="AE316">
            <v>3.2099166176922664</v>
          </cell>
          <cell r="AF316">
            <v>3.2099166176922664</v>
          </cell>
        </row>
        <row r="317">
          <cell r="A317" t="str">
            <v>Alaska</v>
          </cell>
          <cell r="B317">
            <v>4.9679596580845002</v>
          </cell>
          <cell r="C317">
            <v>4.798696747455538</v>
          </cell>
          <cell r="D317">
            <v>4.341413850394761</v>
          </cell>
          <cell r="E317">
            <v>4.459533112271024</v>
          </cell>
          <cell r="F317">
            <v>3.7588717212473988</v>
          </cell>
          <cell r="G317">
            <v>3.5028922333166532</v>
          </cell>
          <cell r="H317">
            <v>3.3060291006951519</v>
          </cell>
          <cell r="I317">
            <v>3.5568084373577329</v>
          </cell>
          <cell r="J317">
            <v>3.4285961610549549</v>
          </cell>
          <cell r="K317">
            <v>3.6419508469689279</v>
          </cell>
          <cell r="L317">
            <v>3.343758951023895</v>
          </cell>
          <cell r="M317">
            <v>3.2834940710190992</v>
          </cell>
          <cell r="N317">
            <v>3.2662823954642448</v>
          </cell>
          <cell r="O317">
            <v>3.3095999133724567</v>
          </cell>
          <cell r="P317">
            <v>3.07171674731529</v>
          </cell>
          <cell r="Q317">
            <v>3.1940517403832427</v>
          </cell>
          <cell r="R317">
            <v>3.1566016179014098</v>
          </cell>
          <cell r="S317">
            <v>3.198754139739854</v>
          </cell>
          <cell r="T317">
            <v>3.198754139739854</v>
          </cell>
          <cell r="U317">
            <v>3.198754139739854</v>
          </cell>
          <cell r="V317">
            <v>3.198754139739854</v>
          </cell>
          <cell r="W317">
            <v>3.198754139739854</v>
          </cell>
          <cell r="X317">
            <v>3.198754139739854</v>
          </cell>
          <cell r="Y317">
            <v>3.198754139739854</v>
          </cell>
          <cell r="Z317">
            <v>3.198754139739854</v>
          </cell>
          <cell r="AA317">
            <v>3.198754139739854</v>
          </cell>
          <cell r="AB317">
            <v>3.198754139739854</v>
          </cell>
          <cell r="AC317">
            <v>3.198754139739854</v>
          </cell>
          <cell r="AD317">
            <v>3.198754139739854</v>
          </cell>
          <cell r="AE317">
            <v>3.198754139739854</v>
          </cell>
          <cell r="AF317">
            <v>3.198754139739854</v>
          </cell>
        </row>
        <row r="318">
          <cell r="A318" t="str">
            <v>Arizona</v>
          </cell>
          <cell r="B318">
            <v>5.2293963795947924</v>
          </cell>
          <cell r="C318">
            <v>4.7415418603245953</v>
          </cell>
          <cell r="D318">
            <v>4.2856126024656547</v>
          </cell>
          <cell r="E318">
            <v>4.2109789213162649</v>
          </cell>
          <cell r="F318">
            <v>3.9061631788763123</v>
          </cell>
          <cell r="G318">
            <v>3.6342949760456253</v>
          </cell>
          <cell r="H318">
            <v>3.3746469512966017</v>
          </cell>
          <cell r="I318">
            <v>3.348450279746165</v>
          </cell>
          <cell r="J318">
            <v>3.2994846051060374</v>
          </cell>
          <cell r="K318">
            <v>3.3522814509956329</v>
          </cell>
          <cell r="L318">
            <v>3.2061711057904922</v>
          </cell>
          <cell r="M318">
            <v>3.2494803707102191</v>
          </cell>
          <cell r="N318">
            <v>3.2392006606105603</v>
          </cell>
          <cell r="O318">
            <v>3.2266305956629884</v>
          </cell>
          <cell r="P318">
            <v>3.237145676067966</v>
          </cell>
          <cell r="Q318">
            <v>3.1569754773480945</v>
          </cell>
          <cell r="R318">
            <v>3.1706798514674004</v>
          </cell>
          <cell r="S318">
            <v>3.1531780834712726</v>
          </cell>
          <cell r="T318">
            <v>3.1531780834712726</v>
          </cell>
          <cell r="U318">
            <v>3.1531780834712726</v>
          </cell>
          <cell r="V318">
            <v>3.1531780834712726</v>
          </cell>
          <cell r="W318">
            <v>3.1531780834712726</v>
          </cell>
          <cell r="X318">
            <v>3.1531780834712726</v>
          </cell>
          <cell r="Y318">
            <v>3.1531780834712726</v>
          </cell>
          <cell r="Z318">
            <v>3.1531780834712726</v>
          </cell>
          <cell r="AA318">
            <v>3.1531780834712726</v>
          </cell>
          <cell r="AB318">
            <v>3.1531780834712726</v>
          </cell>
          <cell r="AC318">
            <v>3.1531780834712726</v>
          </cell>
          <cell r="AD318">
            <v>3.1531780834712726</v>
          </cell>
          <cell r="AE318">
            <v>3.1531780834712726</v>
          </cell>
          <cell r="AF318">
            <v>3.1531780834712726</v>
          </cell>
        </row>
        <row r="319">
          <cell r="A319" t="str">
            <v>Arkansas</v>
          </cell>
          <cell r="B319">
            <v>5.29043523500353</v>
          </cell>
          <cell r="C319">
            <v>4.5479837131500549</v>
          </cell>
          <cell r="D319">
            <v>4.1989323964133911</v>
          </cell>
          <cell r="E319">
            <v>4.2162881128191403</v>
          </cell>
          <cell r="F319">
            <v>4.1637504128290868</v>
          </cell>
          <cell r="G319">
            <v>3.5061453681852459</v>
          </cell>
          <cell r="H319">
            <v>3.2814125394737599</v>
          </cell>
          <cell r="I319">
            <v>3.3464631861223535</v>
          </cell>
          <cell r="J319">
            <v>3.622053284043866</v>
          </cell>
          <cell r="K319">
            <v>3.1613798785776304</v>
          </cell>
          <cell r="L319">
            <v>3.4829223522233108</v>
          </cell>
          <cell r="M319">
            <v>3.2952988587889567</v>
          </cell>
          <cell r="N319">
            <v>3.1360743459766498</v>
          </cell>
          <cell r="O319">
            <v>3.2014521917075274</v>
          </cell>
          <cell r="P319">
            <v>3.4726961833153398</v>
          </cell>
          <cell r="Q319">
            <v>3.2056300874516639</v>
          </cell>
          <cell r="R319">
            <v>3.6339637860306198</v>
          </cell>
          <cell r="S319">
            <v>3.4803168905216455</v>
          </cell>
          <cell r="T319">
            <v>3.4803168905216455</v>
          </cell>
          <cell r="U319">
            <v>3.4803168905216455</v>
          </cell>
          <cell r="V319">
            <v>3.4803168905216455</v>
          </cell>
          <cell r="W319">
            <v>3.4803168905216455</v>
          </cell>
          <cell r="X319">
            <v>3.4803168905216455</v>
          </cell>
          <cell r="Y319">
            <v>3.4803168905216455</v>
          </cell>
          <cell r="Z319">
            <v>3.4803168905216455</v>
          </cell>
          <cell r="AA319">
            <v>3.4803168905216455</v>
          </cell>
          <cell r="AB319">
            <v>3.4803168905216455</v>
          </cell>
          <cell r="AC319">
            <v>3.4803168905216455</v>
          </cell>
          <cell r="AD319">
            <v>3.4803168905216455</v>
          </cell>
          <cell r="AE319">
            <v>3.4803168905216455</v>
          </cell>
          <cell r="AF319">
            <v>3.4803168905216455</v>
          </cell>
        </row>
        <row r="320">
          <cell r="A320" t="str">
            <v>California</v>
          </cell>
          <cell r="B320">
            <v>5.1769336271045496</v>
          </cell>
          <cell r="C320">
            <v>4.7807181137898178</v>
          </cell>
          <cell r="D320">
            <v>4.301749226800232</v>
          </cell>
          <cell r="E320">
            <v>4.1744766827667812</v>
          </cell>
          <cell r="F320">
            <v>3.9595759163514694</v>
          </cell>
          <cell r="G320">
            <v>3.5775013998347767</v>
          </cell>
          <cell r="H320">
            <v>3.4567075361991608</v>
          </cell>
          <cell r="I320">
            <v>3.3413188215184855</v>
          </cell>
          <cell r="J320">
            <v>3.2948888685512778</v>
          </cell>
          <cell r="K320">
            <v>3.283131345816356</v>
          </cell>
          <cell r="L320">
            <v>3.3004336515827104</v>
          </cell>
          <cell r="M320">
            <v>3.2583105237767347</v>
          </cell>
          <cell r="N320">
            <v>3.219114366030734</v>
          </cell>
          <cell r="O320">
            <v>3.1876708304516033</v>
          </cell>
          <cell r="P320">
            <v>3.2299185059218205</v>
          </cell>
          <cell r="Q320">
            <v>3.1858260098025224</v>
          </cell>
          <cell r="R320">
            <v>3.1622815022894541</v>
          </cell>
          <cell r="S320">
            <v>3.1531780834712717</v>
          </cell>
          <cell r="T320">
            <v>3.1531780834712717</v>
          </cell>
          <cell r="U320">
            <v>3.1531780834712717</v>
          </cell>
          <cell r="V320">
            <v>3.1531780834712717</v>
          </cell>
          <cell r="W320">
            <v>3.1531780834712717</v>
          </cell>
          <cell r="X320">
            <v>3.1531780834712717</v>
          </cell>
          <cell r="Y320">
            <v>3.1531780834712717</v>
          </cell>
          <cell r="Z320">
            <v>3.1531780834712717</v>
          </cell>
          <cell r="AA320">
            <v>3.1531780834712717</v>
          </cell>
          <cell r="AB320">
            <v>3.1531780834712717</v>
          </cell>
          <cell r="AC320">
            <v>3.1531780834712717</v>
          </cell>
          <cell r="AD320">
            <v>3.1531780834712717</v>
          </cell>
          <cell r="AE320">
            <v>3.1531780834712717</v>
          </cell>
          <cell r="AF320">
            <v>3.1531780834712717</v>
          </cell>
        </row>
        <row r="321">
          <cell r="A321" t="str">
            <v>Colorado</v>
          </cell>
          <cell r="B321">
            <v>5.1734440954701162</v>
          </cell>
          <cell r="C321">
            <v>4.6529766758446858</v>
          </cell>
          <cell r="D321">
            <v>4.2787536346276918</v>
          </cell>
          <cell r="E321">
            <v>4.2102614997977978</v>
          </cell>
          <cell r="F321">
            <v>3.8885408991535924</v>
          </cell>
          <cell r="G321">
            <v>3.6125719112053813</v>
          </cell>
          <cell r="H321">
            <v>3.366015326643117</v>
          </cell>
          <cell r="I321">
            <v>3.3462924660580651</v>
          </cell>
          <cell r="J321">
            <v>3.3131516349663346</v>
          </cell>
          <cell r="K321">
            <v>3.2768338561315948</v>
          </cell>
          <cell r="L321">
            <v>3.3017169054593598</v>
          </cell>
          <cell r="M321">
            <v>3.2836997293426151</v>
          </cell>
          <cell r="N321">
            <v>3.2512575345286461</v>
          </cell>
          <cell r="O321">
            <v>3.2757920346361216</v>
          </cell>
          <cell r="P321">
            <v>3.2347537007546037</v>
          </cell>
          <cell r="Q321">
            <v>3.190218914299241</v>
          </cell>
          <cell r="R321">
            <v>3.1666047596309506</v>
          </cell>
          <cell r="S321">
            <v>3.1488355329352054</v>
          </cell>
          <cell r="T321">
            <v>3.1488355329352054</v>
          </cell>
          <cell r="U321">
            <v>3.1488355329352054</v>
          </cell>
          <cell r="V321">
            <v>3.1488355329352054</v>
          </cell>
          <cell r="W321">
            <v>3.1488355329352054</v>
          </cell>
          <cell r="X321">
            <v>3.1488355329352054</v>
          </cell>
          <cell r="Y321">
            <v>3.1488355329352054</v>
          </cell>
          <cell r="Z321">
            <v>3.1488355329352054</v>
          </cell>
          <cell r="AA321">
            <v>3.1488355329352054</v>
          </cell>
          <cell r="AB321">
            <v>3.1488355329352054</v>
          </cell>
          <cell r="AC321">
            <v>3.1488355329352054</v>
          </cell>
          <cell r="AD321">
            <v>3.1488355329352054</v>
          </cell>
          <cell r="AE321">
            <v>3.1488355329352054</v>
          </cell>
          <cell r="AF321">
            <v>3.1488355329352054</v>
          </cell>
        </row>
        <row r="322">
          <cell r="A322" t="str">
            <v>Connecticut</v>
          </cell>
          <cell r="B322">
            <v>4.9679596580845011</v>
          </cell>
          <cell r="C322">
            <v>4.7986967474555398</v>
          </cell>
          <cell r="D322">
            <v>4.252549615486199</v>
          </cell>
          <cell r="E322">
            <v>5.0601325153754377</v>
          </cell>
          <cell r="F322">
            <v>3.8012326494474813</v>
          </cell>
          <cell r="G322">
            <v>3.6874327287211264</v>
          </cell>
          <cell r="H322">
            <v>3.3356286246175277</v>
          </cell>
          <cell r="I322">
            <v>3.5103426155246922</v>
          </cell>
          <cell r="J322">
            <v>3.3381213748608594</v>
          </cell>
          <cell r="K322">
            <v>3.4820903749069942</v>
          </cell>
          <cell r="L322">
            <v>3.2632092748322212</v>
          </cell>
          <cell r="M322">
            <v>3.4689978788311531</v>
          </cell>
          <cell r="N322">
            <v>3.2356770923237033</v>
          </cell>
          <cell r="O322">
            <v>3.1634539387187819</v>
          </cell>
          <cell r="P322">
            <v>3.2368962124370144</v>
          </cell>
          <cell r="Q322">
            <v>3.1623418238737675</v>
          </cell>
          <cell r="R322">
            <v>3.2888888146035051</v>
          </cell>
          <cell r="S322">
            <v>3.0749962320065909</v>
          </cell>
          <cell r="T322">
            <v>3.0749962320065909</v>
          </cell>
          <cell r="U322">
            <v>3.0749962320065909</v>
          </cell>
          <cell r="V322">
            <v>3.0749962320065909</v>
          </cell>
          <cell r="W322">
            <v>3.0749962320065909</v>
          </cell>
          <cell r="X322">
            <v>3.0749962320065909</v>
          </cell>
          <cell r="Y322">
            <v>3.0749962320065909</v>
          </cell>
          <cell r="Z322">
            <v>3.0749962320065909</v>
          </cell>
          <cell r="AA322">
            <v>3.0749962320065909</v>
          </cell>
          <cell r="AB322">
            <v>3.0749962320065909</v>
          </cell>
          <cell r="AC322">
            <v>3.0749962320065909</v>
          </cell>
          <cell r="AD322">
            <v>3.0749962320065909</v>
          </cell>
          <cell r="AE322">
            <v>3.0749962320065909</v>
          </cell>
          <cell r="AF322">
            <v>3.0749962320065909</v>
          </cell>
        </row>
        <row r="323">
          <cell r="A323" t="str">
            <v>Delaware</v>
          </cell>
          <cell r="B323">
            <v>4.9028645881389856</v>
          </cell>
          <cell r="C323">
            <v>4.9730575792787066</v>
          </cell>
          <cell r="D323">
            <v>4.3254978680230778</v>
          </cell>
          <cell r="E323">
            <v>4.6096829630471285</v>
          </cell>
          <cell r="F323">
            <v>3.788524370987457</v>
          </cell>
          <cell r="G323">
            <v>3.6874327287211255</v>
          </cell>
          <cell r="H323">
            <v>3.2566965608245262</v>
          </cell>
          <cell r="I323">
            <v>3.8838563371826011</v>
          </cell>
          <cell r="J323">
            <v>3.4118415710190106</v>
          </cell>
          <cell r="K323">
            <v>3.7883776659164097</v>
          </cell>
          <cell r="L323">
            <v>3.4584812171150627</v>
          </cell>
          <cell r="M323">
            <v>3.2788564758237979</v>
          </cell>
          <cell r="N323">
            <v>3.7219613533345202</v>
          </cell>
          <cell r="O323">
            <v>3.4611587019021925</v>
          </cell>
          <cell r="P323">
            <v>2.8711303920622098</v>
          </cell>
          <cell r="Q323">
            <v>3.3773505260599732</v>
          </cell>
          <cell r="R323">
            <v>3.1819741622424207</v>
          </cell>
          <cell r="S323">
            <v>3.0498859318867999</v>
          </cell>
          <cell r="T323">
            <v>3.0498859318867999</v>
          </cell>
          <cell r="U323">
            <v>3.0498859318867999</v>
          </cell>
          <cell r="V323">
            <v>3.0498859318867999</v>
          </cell>
          <cell r="W323">
            <v>3.0498859318867999</v>
          </cell>
          <cell r="X323">
            <v>3.0498859318867999</v>
          </cell>
          <cell r="Y323">
            <v>3.0498859318867999</v>
          </cell>
          <cell r="Z323">
            <v>3.0498859318867999</v>
          </cell>
          <cell r="AA323">
            <v>3.0498859318867999</v>
          </cell>
          <cell r="AB323">
            <v>3.0498859318867999</v>
          </cell>
          <cell r="AC323">
            <v>3.0498859318867999</v>
          </cell>
          <cell r="AD323">
            <v>3.0498859318867999</v>
          </cell>
          <cell r="AE323">
            <v>3.0498859318867999</v>
          </cell>
          <cell r="AF323">
            <v>3.0498859318867999</v>
          </cell>
        </row>
        <row r="324">
          <cell r="A324" t="str">
            <v>Florida</v>
          </cell>
          <cell r="B324">
            <v>5.0474536375110519</v>
          </cell>
          <cell r="C324">
            <v>5.2094393781262243</v>
          </cell>
          <cell r="D324">
            <v>4.3599272326673786</v>
          </cell>
          <cell r="E324">
            <v>4.3844581868829726</v>
          </cell>
          <cell r="F324">
            <v>3.7570691285580344</v>
          </cell>
          <cell r="G324">
            <v>3.656983546979387</v>
          </cell>
          <cell r="H324">
            <v>3.3750946565140292</v>
          </cell>
          <cell r="I324">
            <v>3.3530736800897825</v>
          </cell>
          <cell r="J324">
            <v>3.4285961610549562</v>
          </cell>
          <cell r="K324">
            <v>3.7736006474905182</v>
          </cell>
          <cell r="L324">
            <v>3.3437589510238936</v>
          </cell>
          <cell r="M324">
            <v>3.4380805775291439</v>
          </cell>
          <cell r="N324">
            <v>3.2555705393650549</v>
          </cell>
          <cell r="O324">
            <v>3.2229948913554662</v>
          </cell>
          <cell r="P324">
            <v>3.2086418302451416</v>
          </cell>
          <cell r="Q324">
            <v>3.2257616568927197</v>
          </cell>
          <cell r="R324">
            <v>3.1251046663056732</v>
          </cell>
          <cell r="S324">
            <v>3.0584951776421545</v>
          </cell>
          <cell r="T324">
            <v>3.0584951776421545</v>
          </cell>
          <cell r="U324">
            <v>3.0584951776421545</v>
          </cell>
          <cell r="V324">
            <v>3.0584951776421545</v>
          </cell>
          <cell r="W324">
            <v>3.0584951776421545</v>
          </cell>
          <cell r="X324">
            <v>3.0584951776421545</v>
          </cell>
          <cell r="Y324">
            <v>3.0584951776421545</v>
          </cell>
          <cell r="Z324">
            <v>3.0584951776421545</v>
          </cell>
          <cell r="AA324">
            <v>3.0584951776421545</v>
          </cell>
          <cell r="AB324">
            <v>3.0584951776421545</v>
          </cell>
          <cell r="AC324">
            <v>3.0584951776421545</v>
          </cell>
          <cell r="AD324">
            <v>3.0584951776421545</v>
          </cell>
          <cell r="AE324">
            <v>3.0584951776421545</v>
          </cell>
          <cell r="AF324">
            <v>3.0584951776421545</v>
          </cell>
        </row>
        <row r="325">
          <cell r="A325" t="str">
            <v>Georgia</v>
          </cell>
          <cell r="B325">
            <v>5.2655140455171239</v>
          </cell>
          <cell r="C325">
            <v>4.5985115764468469</v>
          </cell>
          <cell r="D325">
            <v>4.2051340465002154</v>
          </cell>
          <cell r="E325">
            <v>4.2797261446227184</v>
          </cell>
          <cell r="F325">
            <v>4.0539097026987232</v>
          </cell>
          <cell r="G325">
            <v>3.5191933282583028</v>
          </cell>
          <cell r="H325">
            <v>3.6055429107773289</v>
          </cell>
          <cell r="I325">
            <v>3.7322905314124841</v>
          </cell>
          <cell r="J325">
            <v>3.3161333111157316</v>
          </cell>
          <cell r="K325">
            <v>3.8310129483906286</v>
          </cell>
          <cell r="L325">
            <v>3.1647753846224806</v>
          </cell>
          <cell r="M325">
            <v>3.2952988587889558</v>
          </cell>
          <cell r="N325">
            <v>3.2445347803330051</v>
          </cell>
          <cell r="O325">
            <v>3.2014521917075265</v>
          </cell>
          <cell r="P325">
            <v>3.13257516234416</v>
          </cell>
          <cell r="Q325">
            <v>3.1517718517039417</v>
          </cell>
          <cell r="R325">
            <v>3.2000762834842584</v>
          </cell>
          <cell r="S325">
            <v>3.0910948216304299</v>
          </cell>
          <cell r="T325">
            <v>3.0910948216304299</v>
          </cell>
          <cell r="U325">
            <v>3.0910948216304299</v>
          </cell>
          <cell r="V325">
            <v>3.0910948216304299</v>
          </cell>
          <cell r="W325">
            <v>3.0910948216304299</v>
          </cell>
          <cell r="X325">
            <v>3.0910948216304299</v>
          </cell>
          <cell r="Y325">
            <v>3.0910948216304299</v>
          </cell>
          <cell r="Z325">
            <v>3.0910948216304299</v>
          </cell>
          <cell r="AA325">
            <v>3.0910948216304299</v>
          </cell>
          <cell r="AB325">
            <v>3.0910948216304299</v>
          </cell>
          <cell r="AC325">
            <v>3.0910948216304299</v>
          </cell>
          <cell r="AD325">
            <v>3.0910948216304299</v>
          </cell>
          <cell r="AE325">
            <v>3.0910948216304299</v>
          </cell>
          <cell r="AF325">
            <v>3.0910948216304299</v>
          </cell>
        </row>
        <row r="326">
          <cell r="A326" t="str">
            <v>Hawaii</v>
          </cell>
          <cell r="B326">
            <v>5.4186755225690035</v>
          </cell>
          <cell r="C326">
            <v>4.7292715620694494</v>
          </cell>
          <cell r="D326">
            <v>4.5524264513624377</v>
          </cell>
          <cell r="E326">
            <v>4.9610336138632087</v>
          </cell>
          <cell r="F326">
            <v>3.9233317954359546</v>
          </cell>
          <cell r="G326">
            <v>3.7961798063701901</v>
          </cell>
          <cell r="H326">
            <v>3.3119490054796281</v>
          </cell>
          <cell r="I326">
            <v>3.5468514755363669</v>
          </cell>
          <cell r="J326">
            <v>3.3280686208392929</v>
          </cell>
          <cell r="K326">
            <v>4.0115829792026245</v>
          </cell>
          <cell r="L326">
            <v>3.2344415333351959</v>
          </cell>
          <cell r="M326">
            <v>3.5280218176804445</v>
          </cell>
          <cell r="N326">
            <v>3.1782071342042428</v>
          </cell>
          <cell r="O326">
            <v>3.2962760638313813</v>
          </cell>
          <cell r="P326">
            <v>3.1238786836695192</v>
          </cell>
          <cell r="Q326">
            <v>3.2627565594871091</v>
          </cell>
          <cell r="R326">
            <v>3.1251046663056732</v>
          </cell>
          <cell r="S326">
            <v>3.1194221476031476</v>
          </cell>
          <cell r="T326">
            <v>3.1194221476031476</v>
          </cell>
          <cell r="U326">
            <v>3.1194221476031476</v>
          </cell>
          <cell r="V326">
            <v>3.1194221476031476</v>
          </cell>
          <cell r="W326">
            <v>3.1194221476031476</v>
          </cell>
          <cell r="X326">
            <v>3.1194221476031476</v>
          </cell>
          <cell r="Y326">
            <v>3.1194221476031476</v>
          </cell>
          <cell r="Z326">
            <v>3.1194221476031476</v>
          </cell>
          <cell r="AA326">
            <v>3.1194221476031476</v>
          </cell>
          <cell r="AB326">
            <v>3.1194221476031476</v>
          </cell>
          <cell r="AC326">
            <v>3.1194221476031476</v>
          </cell>
          <cell r="AD326">
            <v>3.1194221476031476</v>
          </cell>
          <cell r="AE326">
            <v>3.1194221476031476</v>
          </cell>
          <cell r="AF326">
            <v>3.1194221476031476</v>
          </cell>
        </row>
        <row r="327">
          <cell r="A327" t="str">
            <v>Idaho</v>
          </cell>
          <cell r="B327">
            <v>5.2850356439481407</v>
          </cell>
          <cell r="C327">
            <v>4.535312148686911</v>
          </cell>
          <cell r="D327">
            <v>4.2706943474180861</v>
          </cell>
          <cell r="E327">
            <v>4.2480071287209284</v>
          </cell>
          <cell r="F327">
            <v>3.8994278483442555</v>
          </cell>
          <cell r="G327">
            <v>3.6118580076660307</v>
          </cell>
          <cell r="H327">
            <v>3.3971733863678923</v>
          </cell>
          <cell r="I327">
            <v>3.3657545533868602</v>
          </cell>
          <cell r="J327">
            <v>3.2873272872995236</v>
          </cell>
          <cell r="K327">
            <v>3.2831313458163556</v>
          </cell>
          <cell r="L327">
            <v>3.2879502975445409</v>
          </cell>
          <cell r="M327">
            <v>3.280666110872033</v>
          </cell>
          <cell r="N327">
            <v>3.2323936869349046</v>
          </cell>
          <cell r="O327">
            <v>3.2461851348005286</v>
          </cell>
          <cell r="P327">
            <v>3.2434061546659034</v>
          </cell>
          <cell r="Q327">
            <v>3.2126935418131906</v>
          </cell>
          <cell r="R327">
            <v>3.2076011654554821</v>
          </cell>
          <cell r="S327">
            <v>3.1809540199189454</v>
          </cell>
          <cell r="T327">
            <v>3.1809540199189454</v>
          </cell>
          <cell r="U327">
            <v>3.1809540199189454</v>
          </cell>
          <cell r="V327">
            <v>3.1809540199189454</v>
          </cell>
          <cell r="W327">
            <v>3.1809540199189454</v>
          </cell>
          <cell r="X327">
            <v>3.1809540199189454</v>
          </cell>
          <cell r="Y327">
            <v>3.1809540199189454</v>
          </cell>
          <cell r="Z327">
            <v>3.1809540199189454</v>
          </cell>
          <cell r="AA327">
            <v>3.1809540199189454</v>
          </cell>
          <cell r="AB327">
            <v>3.1809540199189454</v>
          </cell>
          <cell r="AC327">
            <v>3.1809540199189454</v>
          </cell>
          <cell r="AD327">
            <v>3.1809540199189454</v>
          </cell>
          <cell r="AE327">
            <v>3.1809540199189454</v>
          </cell>
          <cell r="AF327">
            <v>3.1809540199189454</v>
          </cell>
        </row>
        <row r="328">
          <cell r="A328" t="str">
            <v>Illinois</v>
          </cell>
          <cell r="B328">
            <v>5.2346975208833904</v>
          </cell>
          <cell r="C328">
            <v>4.6115470202949131</v>
          </cell>
          <cell r="D328">
            <v>4.2941459653934739</v>
          </cell>
          <cell r="E328">
            <v>4.2643472278218493</v>
          </cell>
          <cell r="F328">
            <v>3.8923792466246598</v>
          </cell>
          <cell r="G328">
            <v>3.6797298370143068</v>
          </cell>
          <cell r="H328">
            <v>3.3828030743396558</v>
          </cell>
          <cell r="I328">
            <v>3.4003334192383328</v>
          </cell>
          <cell r="J328">
            <v>3.3365279759776083</v>
          </cell>
          <cell r="K328">
            <v>3.2831313458163556</v>
          </cell>
          <cell r="L328">
            <v>3.3359522856685802</v>
          </cell>
          <cell r="M328">
            <v>3.3270031459422893</v>
          </cell>
          <cell r="N328">
            <v>3.2445347803330047</v>
          </cell>
          <cell r="O328">
            <v>3.2226049787515048</v>
          </cell>
          <cell r="P328">
            <v>3.2777996589633185</v>
          </cell>
          <cell r="Q328">
            <v>3.1854487892758732</v>
          </cell>
          <cell r="R328">
            <v>3.1860030589723149</v>
          </cell>
          <cell r="S328">
            <v>3.1303544457700831</v>
          </cell>
          <cell r="T328">
            <v>3.1303544457700831</v>
          </cell>
          <cell r="U328">
            <v>3.1303544457700831</v>
          </cell>
          <cell r="V328">
            <v>3.1303544457700831</v>
          </cell>
          <cell r="W328">
            <v>3.1303544457700831</v>
          </cell>
          <cell r="X328">
            <v>3.1303544457700831</v>
          </cell>
          <cell r="Y328">
            <v>3.1303544457700831</v>
          </cell>
          <cell r="Z328">
            <v>3.1303544457700831</v>
          </cell>
          <cell r="AA328">
            <v>3.1303544457700831</v>
          </cell>
          <cell r="AB328">
            <v>3.1303544457700831</v>
          </cell>
          <cell r="AC328">
            <v>3.1303544457700831</v>
          </cell>
          <cell r="AD328">
            <v>3.1303544457700831</v>
          </cell>
          <cell r="AE328">
            <v>3.1303544457700831</v>
          </cell>
          <cell r="AF328">
            <v>3.1303544457700831</v>
          </cell>
        </row>
        <row r="329">
          <cell r="A329" t="str">
            <v>Indiana</v>
          </cell>
          <cell r="B329">
            <v>5.1709549222885522</v>
          </cell>
          <cell r="C329">
            <v>4.7300510552773352</v>
          </cell>
          <cell r="D329">
            <v>4.2760100474925062</v>
          </cell>
          <cell r="E329">
            <v>4.2480071287209293</v>
          </cell>
          <cell r="F329">
            <v>3.9331869407907387</v>
          </cell>
          <cell r="G329">
            <v>3.5828021336144555</v>
          </cell>
          <cell r="H329">
            <v>3.3971733863678915</v>
          </cell>
          <cell r="I329">
            <v>3.3657545533868598</v>
          </cell>
          <cell r="J329">
            <v>3.3761176195330145</v>
          </cell>
          <cell r="K329">
            <v>3.2941996610198769</v>
          </cell>
          <cell r="L329">
            <v>3.4398288666452728</v>
          </cell>
          <cell r="M329">
            <v>3.3817650964798656</v>
          </cell>
          <cell r="N329">
            <v>3.22685101386186</v>
          </cell>
          <cell r="O329">
            <v>3.2014521917075274</v>
          </cell>
          <cell r="P329">
            <v>3.2870804458372245</v>
          </cell>
          <cell r="Q329">
            <v>3.1378209255810057</v>
          </cell>
          <cell r="R329">
            <v>3.2147309751640964</v>
          </cell>
          <cell r="S329">
            <v>3.1754830021337979</v>
          </cell>
          <cell r="T329">
            <v>3.1754830021337979</v>
          </cell>
          <cell r="U329">
            <v>3.1754830021337979</v>
          </cell>
          <cell r="V329">
            <v>3.1754830021337979</v>
          </cell>
          <cell r="W329">
            <v>3.1754830021337979</v>
          </cell>
          <cell r="X329">
            <v>3.1754830021337979</v>
          </cell>
          <cell r="Y329">
            <v>3.1754830021337979</v>
          </cell>
          <cell r="Z329">
            <v>3.1754830021337979</v>
          </cell>
          <cell r="AA329">
            <v>3.1754830021337979</v>
          </cell>
          <cell r="AB329">
            <v>3.1754830021337979</v>
          </cell>
          <cell r="AC329">
            <v>3.1754830021337979</v>
          </cell>
          <cell r="AD329">
            <v>3.1754830021337979</v>
          </cell>
          <cell r="AE329">
            <v>3.1754830021337979</v>
          </cell>
          <cell r="AF329">
            <v>3.1754830021337979</v>
          </cell>
        </row>
        <row r="330">
          <cell r="A330" t="str">
            <v>Iowa</v>
          </cell>
          <cell r="B330">
            <v>5.1493846931484875</v>
          </cell>
          <cell r="C330">
            <v>4.6699998066893489</v>
          </cell>
          <cell r="D330">
            <v>4.3308584073513137</v>
          </cell>
          <cell r="E330">
            <v>4.2419484402902503</v>
          </cell>
          <cell r="F330">
            <v>3.8797377326710354</v>
          </cell>
          <cell r="G330">
            <v>3.6086650544735503</v>
          </cell>
          <cell r="H330">
            <v>3.4018038202436576</v>
          </cell>
          <cell r="I330">
            <v>3.3291009555842983</v>
          </cell>
          <cell r="J330">
            <v>3.3161333111157316</v>
          </cell>
          <cell r="K330">
            <v>3.2759694948023133</v>
          </cell>
          <cell r="L330">
            <v>3.2837346855514866</v>
          </cell>
          <cell r="M330">
            <v>3.3179447781841942</v>
          </cell>
          <cell r="N330">
            <v>3.2564973282399543</v>
          </cell>
          <cell r="O330">
            <v>3.1722458206055211</v>
          </cell>
          <cell r="P330">
            <v>3.3109863736362639</v>
          </cell>
          <cell r="Q330">
            <v>3.2194498894633479</v>
          </cell>
          <cell r="R330">
            <v>3.174804040795856</v>
          </cell>
          <cell r="S330">
            <v>3.1801895446038726</v>
          </cell>
          <cell r="T330">
            <v>3.1801895446038726</v>
          </cell>
          <cell r="U330">
            <v>3.1801895446038726</v>
          </cell>
          <cell r="V330">
            <v>3.1801895446038726</v>
          </cell>
          <cell r="W330">
            <v>3.1801895446038726</v>
          </cell>
          <cell r="X330">
            <v>3.1801895446038726</v>
          </cell>
          <cell r="Y330">
            <v>3.1801895446038726</v>
          </cell>
          <cell r="Z330">
            <v>3.1801895446038726</v>
          </cell>
          <cell r="AA330">
            <v>3.1801895446038726</v>
          </cell>
          <cell r="AB330">
            <v>3.1801895446038726</v>
          </cell>
          <cell r="AC330">
            <v>3.1801895446038726</v>
          </cell>
          <cell r="AD330">
            <v>3.1801895446038726</v>
          </cell>
          <cell r="AE330">
            <v>3.1801895446038726</v>
          </cell>
          <cell r="AF330">
            <v>3.1801895446038726</v>
          </cell>
        </row>
        <row r="331">
          <cell r="A331" t="str">
            <v>Kansas</v>
          </cell>
          <cell r="B331">
            <v>5.1367415460288388</v>
          </cell>
          <cell r="C331">
            <v>4.6264716589035686</v>
          </cell>
          <cell r="D331">
            <v>4.259654047263516</v>
          </cell>
          <cell r="E331">
            <v>4.1970357748090974</v>
          </cell>
          <cell r="F331">
            <v>3.8943176120975473</v>
          </cell>
          <cell r="G331">
            <v>3.5956901922160274</v>
          </cell>
          <cell r="H331">
            <v>3.3651165364587481</v>
          </cell>
          <cell r="I331">
            <v>3.3641034904227816</v>
          </cell>
          <cell r="J331">
            <v>3.2946199515567915</v>
          </cell>
          <cell r="K331">
            <v>3.3186421904276524</v>
          </cell>
          <cell r="L331">
            <v>3.2764857673023551</v>
          </cell>
          <cell r="M331">
            <v>3.2797702283465076</v>
          </cell>
          <cell r="N331">
            <v>3.2316738592630805</v>
          </cell>
          <cell r="O331">
            <v>3.2603305967160985</v>
          </cell>
          <cell r="P331">
            <v>3.1990274394434315</v>
          </cell>
          <cell r="Q331">
            <v>3.2090756749450917</v>
          </cell>
          <cell r="R331">
            <v>3.1585984027287468</v>
          </cell>
          <cell r="S331">
            <v>3.1400675587612379</v>
          </cell>
          <cell r="T331">
            <v>3.1400675587612379</v>
          </cell>
          <cell r="U331">
            <v>3.1400675587612379</v>
          </cell>
          <cell r="V331">
            <v>3.1400675587612379</v>
          </cell>
          <cell r="W331">
            <v>3.1400675587612379</v>
          </cell>
          <cell r="X331">
            <v>3.1400675587612379</v>
          </cell>
          <cell r="Y331">
            <v>3.1400675587612379</v>
          </cell>
          <cell r="Z331">
            <v>3.1400675587612379</v>
          </cell>
          <cell r="AA331">
            <v>3.1400675587612379</v>
          </cell>
          <cell r="AB331">
            <v>3.1400675587612379</v>
          </cell>
          <cell r="AC331">
            <v>3.1400675587612379</v>
          </cell>
          <cell r="AD331">
            <v>3.1400675587612379</v>
          </cell>
          <cell r="AE331">
            <v>3.1400675587612379</v>
          </cell>
          <cell r="AF331">
            <v>3.1400675587612379</v>
          </cell>
        </row>
        <row r="332">
          <cell r="A332" t="str">
            <v>Kentucky</v>
          </cell>
          <cell r="B332">
            <v>5.3174331902804708</v>
          </cell>
          <cell r="C332">
            <v>4.4744886392638135</v>
          </cell>
          <cell r="D332">
            <v>4.2547472471948202</v>
          </cell>
          <cell r="E332">
            <v>4.2480071287209284</v>
          </cell>
          <cell r="F332">
            <v>3.8439201098024394</v>
          </cell>
          <cell r="G332">
            <v>3.6040050687331733</v>
          </cell>
          <cell r="H332">
            <v>3.6472168156592168</v>
          </cell>
          <cell r="I332">
            <v>3.4573885478932667</v>
          </cell>
          <cell r="J332">
            <v>3.3161333111157316</v>
          </cell>
          <cell r="K332">
            <v>3.4048828130550839</v>
          </cell>
          <cell r="L332">
            <v>3.3169326299967912</v>
          </cell>
          <cell r="M332">
            <v>3.1764077819639569</v>
          </cell>
          <cell r="N332">
            <v>3.3801103232784491</v>
          </cell>
          <cell r="O332">
            <v>3.4288446524302856</v>
          </cell>
          <cell r="P332">
            <v>3.2434061546659043</v>
          </cell>
          <cell r="Q332">
            <v>3.2056300874516639</v>
          </cell>
          <cell r="R332">
            <v>3.0217507923842688</v>
          </cell>
          <cell r="S332">
            <v>3.0305010308273821</v>
          </cell>
          <cell r="T332">
            <v>3.0305010308273821</v>
          </cell>
          <cell r="U332">
            <v>3.0305010308273821</v>
          </cell>
          <cell r="V332">
            <v>3.0305010308273821</v>
          </cell>
          <cell r="W332">
            <v>3.0305010308273821</v>
          </cell>
          <cell r="X332">
            <v>3.0305010308273821</v>
          </cell>
          <cell r="Y332">
            <v>3.0305010308273821</v>
          </cell>
          <cell r="Z332">
            <v>3.0305010308273821</v>
          </cell>
          <cell r="AA332">
            <v>3.0305010308273821</v>
          </cell>
          <cell r="AB332">
            <v>3.0305010308273821</v>
          </cell>
          <cell r="AC332">
            <v>3.0305010308273821</v>
          </cell>
          <cell r="AD332">
            <v>3.0305010308273821</v>
          </cell>
          <cell r="AE332">
            <v>3.0305010308273821</v>
          </cell>
          <cell r="AF332">
            <v>3.0305010308273821</v>
          </cell>
        </row>
        <row r="333">
          <cell r="A333" t="str">
            <v>Louisiana</v>
          </cell>
          <cell r="B333">
            <v>5.1824434138957622</v>
          </cell>
          <cell r="C333">
            <v>4.7592820505729989</v>
          </cell>
          <cell r="D333">
            <v>4.2051340465002154</v>
          </cell>
          <cell r="E333">
            <v>4.6793857449852654</v>
          </cell>
          <cell r="F333">
            <v>4.1508279763431615</v>
          </cell>
          <cell r="G333">
            <v>3.4343815877834332</v>
          </cell>
          <cell r="H333">
            <v>3.6749994189138091</v>
          </cell>
          <cell r="I333">
            <v>3.3657545533868598</v>
          </cell>
          <cell r="J333">
            <v>3.9959554731782534</v>
          </cell>
          <cell r="K333">
            <v>3.082592275915562</v>
          </cell>
          <cell r="L333">
            <v>3.3045168010843615</v>
          </cell>
          <cell r="M333">
            <v>3.4063276734892427</v>
          </cell>
          <cell r="N333">
            <v>3.2567026867576527</v>
          </cell>
          <cell r="O333">
            <v>3.2229948913554662</v>
          </cell>
          <cell r="P333">
            <v>3.1506459931144519</v>
          </cell>
          <cell r="Q333">
            <v>3.2035647153360856</v>
          </cell>
          <cell r="R333">
            <v>3.1466552121343354</v>
          </cell>
          <cell r="S333">
            <v>3.1448083850868933</v>
          </cell>
          <cell r="T333">
            <v>3.1448083850868933</v>
          </cell>
          <cell r="U333">
            <v>3.1448083850868933</v>
          </cell>
          <cell r="V333">
            <v>3.1448083850868933</v>
          </cell>
          <cell r="W333">
            <v>3.1448083850868933</v>
          </cell>
          <cell r="X333">
            <v>3.1448083850868933</v>
          </cell>
          <cell r="Y333">
            <v>3.1448083850868933</v>
          </cell>
          <cell r="Z333">
            <v>3.1448083850868933</v>
          </cell>
          <cell r="AA333">
            <v>3.1448083850868933</v>
          </cell>
          <cell r="AB333">
            <v>3.1448083850868933</v>
          </cell>
          <cell r="AC333">
            <v>3.1448083850868933</v>
          </cell>
          <cell r="AD333">
            <v>3.1448083850868933</v>
          </cell>
          <cell r="AE333">
            <v>3.1448083850868933</v>
          </cell>
          <cell r="AF333">
            <v>3.1448083850868933</v>
          </cell>
        </row>
        <row r="334">
          <cell r="A334" t="str">
            <v>Maine</v>
          </cell>
          <cell r="B334">
            <v>5.0144561366170128</v>
          </cell>
          <cell r="C334">
            <v>4.7214231969884519</v>
          </cell>
          <cell r="D334">
            <v>4.4006566736671369</v>
          </cell>
          <cell r="E334">
            <v>4.7898627839784522</v>
          </cell>
          <cell r="F334">
            <v>3.7518115665473859</v>
          </cell>
          <cell r="G334">
            <v>3.9411759099022774</v>
          </cell>
          <cell r="H334">
            <v>3.2645897672038244</v>
          </cell>
          <cell r="I334">
            <v>3.4251552754974495</v>
          </cell>
          <cell r="J334">
            <v>3.5190709472490527</v>
          </cell>
          <cell r="K334">
            <v>3.7955422809107828</v>
          </cell>
          <cell r="L334">
            <v>3.2229344367363852</v>
          </cell>
          <cell r="M334">
            <v>3.4380805775291443</v>
          </cell>
          <cell r="N334">
            <v>3.2555705393650549</v>
          </cell>
          <cell r="O334">
            <v>3.2229948913554649</v>
          </cell>
          <cell r="P334">
            <v>3.1238786836695183</v>
          </cell>
          <cell r="Q334">
            <v>3.2257616568927197</v>
          </cell>
          <cell r="R334">
            <v>3.0568612711815764</v>
          </cell>
          <cell r="S334">
            <v>3.322512047473118</v>
          </cell>
          <cell r="T334">
            <v>3.322512047473118</v>
          </cell>
          <cell r="U334">
            <v>3.322512047473118</v>
          </cell>
          <cell r="V334">
            <v>3.322512047473118</v>
          </cell>
          <cell r="W334">
            <v>3.322512047473118</v>
          </cell>
          <cell r="X334">
            <v>3.322512047473118</v>
          </cell>
          <cell r="Y334">
            <v>3.322512047473118</v>
          </cell>
          <cell r="Z334">
            <v>3.322512047473118</v>
          </cell>
          <cell r="AA334">
            <v>3.322512047473118</v>
          </cell>
          <cell r="AB334">
            <v>3.322512047473118</v>
          </cell>
          <cell r="AC334">
            <v>3.322512047473118</v>
          </cell>
          <cell r="AD334">
            <v>3.322512047473118</v>
          </cell>
          <cell r="AE334">
            <v>3.322512047473118</v>
          </cell>
          <cell r="AF334">
            <v>3.322512047473118</v>
          </cell>
        </row>
        <row r="335">
          <cell r="A335" t="str">
            <v>Maryland</v>
          </cell>
          <cell r="B335">
            <v>5.1824434138957622</v>
          </cell>
          <cell r="C335">
            <v>4.5663574816216173</v>
          </cell>
          <cell r="D335">
            <v>4.2845151676115814</v>
          </cell>
          <cell r="E335">
            <v>4.1845690969173504</v>
          </cell>
          <cell r="F335">
            <v>3.8708418524814499</v>
          </cell>
          <cell r="G335">
            <v>3.5615991984957378</v>
          </cell>
          <cell r="H335">
            <v>3.4707155714535758</v>
          </cell>
          <cell r="I335">
            <v>3.5656832686735647</v>
          </cell>
          <cell r="J335">
            <v>3.225490356174062</v>
          </cell>
          <cell r="K335">
            <v>3.3393243306957685</v>
          </cell>
          <cell r="L335">
            <v>3.2095275156149263</v>
          </cell>
          <cell r="M335">
            <v>3.6281938738989536</v>
          </cell>
          <cell r="N335">
            <v>3.1506747890630815</v>
          </cell>
          <cell r="O335">
            <v>3.2014521917075274</v>
          </cell>
          <cell r="P335">
            <v>3.3267843469020608</v>
          </cell>
          <cell r="Q335">
            <v>3.1703128156440297</v>
          </cell>
          <cell r="R335">
            <v>3.1748040407958564</v>
          </cell>
          <cell r="S335">
            <v>3.2513197255863844</v>
          </cell>
          <cell r="T335">
            <v>3.2513197255863844</v>
          </cell>
          <cell r="U335">
            <v>3.2513197255863844</v>
          </cell>
          <cell r="V335">
            <v>3.2513197255863844</v>
          </cell>
          <cell r="W335">
            <v>3.2513197255863844</v>
          </cell>
          <cell r="X335">
            <v>3.2513197255863844</v>
          </cell>
          <cell r="Y335">
            <v>3.2513197255863844</v>
          </cell>
          <cell r="Z335">
            <v>3.2513197255863844</v>
          </cell>
          <cell r="AA335">
            <v>3.2513197255863844</v>
          </cell>
          <cell r="AB335">
            <v>3.2513197255863844</v>
          </cell>
          <cell r="AC335">
            <v>3.2513197255863844</v>
          </cell>
          <cell r="AD335">
            <v>3.2513197255863844</v>
          </cell>
          <cell r="AE335">
            <v>3.2513197255863844</v>
          </cell>
          <cell r="AF335">
            <v>3.2513197255863844</v>
          </cell>
        </row>
        <row r="336">
          <cell r="A336" t="str">
            <v>Massachusetts</v>
          </cell>
          <cell r="B336">
            <v>5.2120661703801847</v>
          </cell>
          <cell r="C336">
            <v>4.798696747455538</v>
          </cell>
          <cell r="D336">
            <v>4.4006566736671369</v>
          </cell>
          <cell r="E336">
            <v>4.6096829630471285</v>
          </cell>
          <cell r="F336">
            <v>3.727101025097336</v>
          </cell>
          <cell r="G336">
            <v>3.5859354562486656</v>
          </cell>
          <cell r="H336">
            <v>3.3356286246175264</v>
          </cell>
          <cell r="I336">
            <v>3.6381236255655551</v>
          </cell>
          <cell r="J336">
            <v>3.579387471378451</v>
          </cell>
          <cell r="K336">
            <v>3.948179730790887</v>
          </cell>
          <cell r="L336">
            <v>3.1251241156464986</v>
          </cell>
          <cell r="M336">
            <v>3.4689978788311531</v>
          </cell>
          <cell r="N336">
            <v>3.3019885824615427</v>
          </cell>
          <cell r="O336">
            <v>3.1549480883421146</v>
          </cell>
          <cell r="P336">
            <v>3.1556648636353768</v>
          </cell>
          <cell r="Q336">
            <v>3.3500645296098672</v>
          </cell>
          <cell r="R336">
            <v>3.1251046663056732</v>
          </cell>
          <cell r="S336">
            <v>3.0749962320065909</v>
          </cell>
          <cell r="T336">
            <v>3.0749962320065909</v>
          </cell>
          <cell r="U336">
            <v>3.0749962320065909</v>
          </cell>
          <cell r="V336">
            <v>3.0749962320065909</v>
          </cell>
          <cell r="W336">
            <v>3.0749962320065909</v>
          </cell>
          <cell r="X336">
            <v>3.0749962320065909</v>
          </cell>
          <cell r="Y336">
            <v>3.0749962320065909</v>
          </cell>
          <cell r="Z336">
            <v>3.0749962320065909</v>
          </cell>
          <cell r="AA336">
            <v>3.0749962320065909</v>
          </cell>
          <cell r="AB336">
            <v>3.0749962320065909</v>
          </cell>
          <cell r="AC336">
            <v>3.0749962320065909</v>
          </cell>
          <cell r="AD336">
            <v>3.0749962320065909</v>
          </cell>
          <cell r="AE336">
            <v>3.0749962320065909</v>
          </cell>
          <cell r="AF336">
            <v>3.0749962320065909</v>
          </cell>
        </row>
        <row r="337">
          <cell r="A337" t="str">
            <v>Michigan</v>
          </cell>
          <cell r="B337">
            <v>5.1578998181894509</v>
          </cell>
          <cell r="C337">
            <v>4.6726057949571596</v>
          </cell>
          <cell r="D337">
            <v>4.2972728477901931</v>
          </cell>
          <cell r="E337">
            <v>4.2234969800695463</v>
          </cell>
          <cell r="F337">
            <v>3.8837642889673751</v>
          </cell>
          <cell r="G337">
            <v>3.6342949760456253</v>
          </cell>
          <cell r="H337">
            <v>3.4180103388088354</v>
          </cell>
          <cell r="I337">
            <v>3.3657545533868598</v>
          </cell>
          <cell r="J337">
            <v>3.3161333111157307</v>
          </cell>
          <cell r="K337">
            <v>3.283131345816356</v>
          </cell>
          <cell r="L337">
            <v>3.3169326299967925</v>
          </cell>
          <cell r="M337">
            <v>3.3203285591731673</v>
          </cell>
          <cell r="N337">
            <v>3.2445347803330047</v>
          </cell>
          <cell r="O337">
            <v>3.2267180206767225</v>
          </cell>
          <cell r="P337">
            <v>3.1778947179089219</v>
          </cell>
          <cell r="Q337">
            <v>3.2502413781560433</v>
          </cell>
          <cell r="R337">
            <v>3.174804040795856</v>
          </cell>
          <cell r="S337">
            <v>3.1952387872348917</v>
          </cell>
          <cell r="T337">
            <v>3.1952387872348917</v>
          </cell>
          <cell r="U337">
            <v>3.1952387872348917</v>
          </cell>
          <cell r="V337">
            <v>3.1952387872348917</v>
          </cell>
          <cell r="W337">
            <v>3.1952387872348917</v>
          </cell>
          <cell r="X337">
            <v>3.1952387872348917</v>
          </cell>
          <cell r="Y337">
            <v>3.1952387872348917</v>
          </cell>
          <cell r="Z337">
            <v>3.1952387872348917</v>
          </cell>
          <cell r="AA337">
            <v>3.1952387872348917</v>
          </cell>
          <cell r="AB337">
            <v>3.1952387872348917</v>
          </cell>
          <cell r="AC337">
            <v>3.1952387872348917</v>
          </cell>
          <cell r="AD337">
            <v>3.1952387872348917</v>
          </cell>
          <cell r="AE337">
            <v>3.1952387872348917</v>
          </cell>
          <cell r="AF337">
            <v>3.1952387872348917</v>
          </cell>
        </row>
        <row r="338">
          <cell r="A338" t="str">
            <v>Minnesota</v>
          </cell>
          <cell r="B338">
            <v>5.2004420507470543</v>
          </cell>
          <cell r="C338">
            <v>4.6344485059573968</v>
          </cell>
          <cell r="D338">
            <v>4.2979587445739904</v>
          </cell>
          <cell r="E338">
            <v>4.2153269305190832</v>
          </cell>
          <cell r="F338">
            <v>3.9044940308302136</v>
          </cell>
          <cell r="G338">
            <v>3.6322756488914623</v>
          </cell>
          <cell r="H338">
            <v>3.3651165364587481</v>
          </cell>
          <cell r="I338">
            <v>3.417198199425544</v>
          </cell>
          <cell r="J338">
            <v>3.3417869776086562</v>
          </cell>
          <cell r="K338">
            <v>3.2763673754142055</v>
          </cell>
          <cell r="L338">
            <v>3.2929078017797941</v>
          </cell>
          <cell r="M338">
            <v>3.2870994741803354</v>
          </cell>
          <cell r="N338">
            <v>3.2516703352248704</v>
          </cell>
          <cell r="O338">
            <v>3.1787129456352514</v>
          </cell>
          <cell r="P338">
            <v>3.2286132495917461</v>
          </cell>
          <cell r="Q338">
            <v>3.2348581744648781</v>
          </cell>
          <cell r="R338">
            <v>3.1748040407958573</v>
          </cell>
          <cell r="S338">
            <v>3.1617869994462824</v>
          </cell>
          <cell r="T338">
            <v>3.1617869994462824</v>
          </cell>
          <cell r="U338">
            <v>3.1617869994462824</v>
          </cell>
          <cell r="V338">
            <v>3.1617869994462824</v>
          </cell>
          <cell r="W338">
            <v>3.1617869994462824</v>
          </cell>
          <cell r="X338">
            <v>3.1617869994462824</v>
          </cell>
          <cell r="Y338">
            <v>3.1617869994462824</v>
          </cell>
          <cell r="Z338">
            <v>3.1617869994462824</v>
          </cell>
          <cell r="AA338">
            <v>3.1617869994462824</v>
          </cell>
          <cell r="AB338">
            <v>3.1617869994462824</v>
          </cell>
          <cell r="AC338">
            <v>3.1617869994462824</v>
          </cell>
          <cell r="AD338">
            <v>3.1617869994462824</v>
          </cell>
          <cell r="AE338">
            <v>3.1617869994462824</v>
          </cell>
          <cell r="AF338">
            <v>3.1617869994462824</v>
          </cell>
        </row>
        <row r="339">
          <cell r="A339" t="str">
            <v>Mississippi</v>
          </cell>
          <cell r="B339">
            <v>5.4524229666651811</v>
          </cell>
          <cell r="C339">
            <v>4.6378110256776832</v>
          </cell>
          <cell r="D339">
            <v>4.2547472471948184</v>
          </cell>
          <cell r="E339">
            <v>4.194084801687886</v>
          </cell>
          <cell r="F339">
            <v>4.2800523412024125</v>
          </cell>
          <cell r="G339">
            <v>3.7100197443267611</v>
          </cell>
          <cell r="H339">
            <v>3.3971733863678928</v>
          </cell>
          <cell r="I339">
            <v>3.3657545533868589</v>
          </cell>
          <cell r="J339">
            <v>3.4294370047928187</v>
          </cell>
          <cell r="K339">
            <v>3.1738802911385475</v>
          </cell>
          <cell r="L339">
            <v>3.4368077149004792</v>
          </cell>
          <cell r="M339">
            <v>3.2808440166217827</v>
          </cell>
          <cell r="N339">
            <v>3.2340597389057071</v>
          </cell>
          <cell r="O339">
            <v>3.2288754792702004</v>
          </cell>
          <cell r="P339">
            <v>3.151002890573718</v>
          </cell>
          <cell r="Q339">
            <v>3.1559285823325252</v>
          </cell>
          <cell r="R339">
            <v>3.2217828093981438</v>
          </cell>
          <cell r="S339">
            <v>3.1024979892806486</v>
          </cell>
          <cell r="T339">
            <v>3.1024979892806486</v>
          </cell>
          <cell r="U339">
            <v>3.1024979892806486</v>
          </cell>
          <cell r="V339">
            <v>3.1024979892806486</v>
          </cell>
          <cell r="W339">
            <v>3.1024979892806486</v>
          </cell>
          <cell r="X339">
            <v>3.1024979892806486</v>
          </cell>
          <cell r="Y339">
            <v>3.1024979892806486</v>
          </cell>
          <cell r="Z339">
            <v>3.1024979892806486</v>
          </cell>
          <cell r="AA339">
            <v>3.1024979892806486</v>
          </cell>
          <cell r="AB339">
            <v>3.1024979892806486</v>
          </cell>
          <cell r="AC339">
            <v>3.1024979892806486</v>
          </cell>
          <cell r="AD339">
            <v>3.1024979892806486</v>
          </cell>
          <cell r="AE339">
            <v>3.1024979892806486</v>
          </cell>
          <cell r="AF339">
            <v>3.1024979892806486</v>
          </cell>
        </row>
        <row r="340">
          <cell r="A340" t="str">
            <v>Missouri</v>
          </cell>
          <cell r="B340">
            <v>5.2124411419812535</v>
          </cell>
          <cell r="C340">
            <v>4.6214787870362937</v>
          </cell>
          <cell r="D340">
            <v>4.3291670482367239</v>
          </cell>
          <cell r="E340">
            <v>4.1709752329594405</v>
          </cell>
          <cell r="F340">
            <v>3.8439201098024407</v>
          </cell>
          <cell r="G340">
            <v>3.9069041418577077</v>
          </cell>
          <cell r="H340">
            <v>3.2721516717222294</v>
          </cell>
          <cell r="I340">
            <v>3.385045920651367</v>
          </cell>
          <cell r="J340">
            <v>3.2991377570641682</v>
          </cell>
          <cell r="K340">
            <v>3.2657382790679677</v>
          </cell>
          <cell r="L340">
            <v>3.3397562168029382</v>
          </cell>
          <cell r="M340">
            <v>3.379221971841897</v>
          </cell>
          <cell r="N340">
            <v>3.3316904865122177</v>
          </cell>
          <cell r="O340">
            <v>3.2014521917075265</v>
          </cell>
          <cell r="P340">
            <v>3.2786815436888928</v>
          </cell>
          <cell r="Q340">
            <v>3.1753581401879765</v>
          </cell>
          <cell r="R340">
            <v>3.1748040407958564</v>
          </cell>
          <cell r="S340">
            <v>3.1204642027662355</v>
          </cell>
          <cell r="T340">
            <v>3.1204642027662355</v>
          </cell>
          <cell r="U340">
            <v>3.1204642027662355</v>
          </cell>
          <cell r="V340">
            <v>3.1204642027662355</v>
          </cell>
          <cell r="W340">
            <v>3.1204642027662355</v>
          </cell>
          <cell r="X340">
            <v>3.1204642027662355</v>
          </cell>
          <cell r="Y340">
            <v>3.1204642027662355</v>
          </cell>
          <cell r="Z340">
            <v>3.1204642027662355</v>
          </cell>
          <cell r="AA340">
            <v>3.1204642027662355</v>
          </cell>
          <cell r="AB340">
            <v>3.1204642027662355</v>
          </cell>
          <cell r="AC340">
            <v>3.1204642027662355</v>
          </cell>
          <cell r="AD340">
            <v>3.1204642027662355</v>
          </cell>
          <cell r="AE340">
            <v>3.1204642027662355</v>
          </cell>
          <cell r="AF340">
            <v>3.1204642027662355</v>
          </cell>
        </row>
        <row r="341">
          <cell r="A341" t="str">
            <v>Montana</v>
          </cell>
          <cell r="B341">
            <v>5.2499383020881165</v>
          </cell>
          <cell r="C341">
            <v>4.6378110256776814</v>
          </cell>
          <cell r="D341">
            <v>4.2547472471948193</v>
          </cell>
          <cell r="E341">
            <v>4.3558517827870125</v>
          </cell>
          <cell r="F341">
            <v>3.769028716531738</v>
          </cell>
          <cell r="G341">
            <v>3.6464109389706074</v>
          </cell>
          <cell r="H341">
            <v>3.3773286697574689</v>
          </cell>
          <cell r="I341">
            <v>3.4519983129223015</v>
          </cell>
          <cell r="J341">
            <v>3.3373777536801859</v>
          </cell>
          <cell r="K341">
            <v>3.3353105460615251</v>
          </cell>
          <cell r="L341">
            <v>3.3169326299967916</v>
          </cell>
          <cell r="M341">
            <v>3.3745595766722891</v>
          </cell>
          <cell r="N341">
            <v>3.1864309762135283</v>
          </cell>
          <cell r="O341">
            <v>3.2014521917075265</v>
          </cell>
          <cell r="P341">
            <v>3.243406154665903</v>
          </cell>
          <cell r="Q341">
            <v>3.2762646310669323</v>
          </cell>
          <cell r="R341">
            <v>3.2165458358171981</v>
          </cell>
          <cell r="S341">
            <v>3.153178083471273</v>
          </cell>
          <cell r="T341">
            <v>3.153178083471273</v>
          </cell>
          <cell r="U341">
            <v>3.153178083471273</v>
          </cell>
          <cell r="V341">
            <v>3.153178083471273</v>
          </cell>
          <cell r="W341">
            <v>3.153178083471273</v>
          </cell>
          <cell r="X341">
            <v>3.153178083471273</v>
          </cell>
          <cell r="Y341">
            <v>3.153178083471273</v>
          </cell>
          <cell r="Z341">
            <v>3.153178083471273</v>
          </cell>
          <cell r="AA341">
            <v>3.153178083471273</v>
          </cell>
          <cell r="AB341">
            <v>3.153178083471273</v>
          </cell>
          <cell r="AC341">
            <v>3.153178083471273</v>
          </cell>
          <cell r="AD341">
            <v>3.153178083471273</v>
          </cell>
          <cell r="AE341">
            <v>3.153178083471273</v>
          </cell>
          <cell r="AF341">
            <v>3.153178083471273</v>
          </cell>
        </row>
        <row r="342">
          <cell r="A342" t="str">
            <v>Nebraska</v>
          </cell>
          <cell r="B342">
            <v>5.153610646124271</v>
          </cell>
          <cell r="C342">
            <v>4.6515301061364465</v>
          </cell>
          <cell r="D342">
            <v>4.3130863877100811</v>
          </cell>
          <cell r="E342">
            <v>4.212565223628788</v>
          </cell>
          <cell r="F342">
            <v>3.8960538731135466</v>
          </cell>
          <cell r="G342">
            <v>3.6411648519309248</v>
          </cell>
          <cell r="H342">
            <v>3.3786972709030163</v>
          </cell>
          <cell r="I342">
            <v>3.3343843570693523</v>
          </cell>
          <cell r="J342">
            <v>3.3043103169929049</v>
          </cell>
          <cell r="K342">
            <v>3.2912481102989384</v>
          </cell>
          <cell r="L342">
            <v>3.2796696311296145</v>
          </cell>
          <cell r="M342">
            <v>3.2766492781105243</v>
          </cell>
          <cell r="N342">
            <v>3.2699551946352758</v>
          </cell>
          <cell r="O342">
            <v>3.2212254491616807</v>
          </cell>
          <cell r="P342">
            <v>3.2153298246271973</v>
          </cell>
          <cell r="Q342">
            <v>3.2021984497051732</v>
          </cell>
          <cell r="R342">
            <v>3.1518460535341175</v>
          </cell>
          <cell r="S342">
            <v>3.1350037053018083</v>
          </cell>
          <cell r="T342">
            <v>3.1350037053018083</v>
          </cell>
          <cell r="U342">
            <v>3.1350037053018083</v>
          </cell>
          <cell r="V342">
            <v>3.1350037053018083</v>
          </cell>
          <cell r="W342">
            <v>3.1350037053018083</v>
          </cell>
          <cell r="X342">
            <v>3.1350037053018083</v>
          </cell>
          <cell r="Y342">
            <v>3.1350037053018083</v>
          </cell>
          <cell r="Z342">
            <v>3.1350037053018083</v>
          </cell>
          <cell r="AA342">
            <v>3.1350037053018083</v>
          </cell>
          <cell r="AB342">
            <v>3.1350037053018083</v>
          </cell>
          <cell r="AC342">
            <v>3.1350037053018083</v>
          </cell>
          <cell r="AD342">
            <v>3.1350037053018083</v>
          </cell>
          <cell r="AE342">
            <v>3.1350037053018083</v>
          </cell>
          <cell r="AF342">
            <v>3.1350037053018083</v>
          </cell>
        </row>
        <row r="343">
          <cell r="A343" t="str">
            <v>Nevada</v>
          </cell>
          <cell r="B343">
            <v>5.2017276676650051</v>
          </cell>
          <cell r="C343">
            <v>4.5006202210900312</v>
          </cell>
          <cell r="D343">
            <v>4.2547472471948193</v>
          </cell>
          <cell r="E343">
            <v>4.3154100375122306</v>
          </cell>
          <cell r="F343">
            <v>4.1249831033713118</v>
          </cell>
          <cell r="G343">
            <v>3.6040050687331733</v>
          </cell>
          <cell r="H343">
            <v>3.4540014384795574</v>
          </cell>
          <cell r="I343">
            <v>3.3217702360237849</v>
          </cell>
          <cell r="J343">
            <v>3.3302962728253678</v>
          </cell>
          <cell r="K343">
            <v>3.4657585466744476</v>
          </cell>
          <cell r="L343">
            <v>3.2082488833008549</v>
          </cell>
          <cell r="M343">
            <v>3.2192085696209567</v>
          </cell>
          <cell r="N343">
            <v>3.346216437542088</v>
          </cell>
          <cell r="O343">
            <v>3.3151484220689071</v>
          </cell>
          <cell r="P343">
            <v>3.3492323217348741</v>
          </cell>
          <cell r="Q343">
            <v>3.3327722659591488</v>
          </cell>
          <cell r="R343">
            <v>3.2895939771045466</v>
          </cell>
          <cell r="S343">
            <v>3.153178083471273</v>
          </cell>
          <cell r="T343">
            <v>3.153178083471273</v>
          </cell>
          <cell r="U343">
            <v>3.153178083471273</v>
          </cell>
          <cell r="V343">
            <v>3.153178083471273</v>
          </cell>
          <cell r="W343">
            <v>3.153178083471273</v>
          </cell>
          <cell r="X343">
            <v>3.153178083471273</v>
          </cell>
          <cell r="Y343">
            <v>3.153178083471273</v>
          </cell>
          <cell r="Z343">
            <v>3.153178083471273</v>
          </cell>
          <cell r="AA343">
            <v>3.153178083471273</v>
          </cell>
          <cell r="AB343">
            <v>3.153178083471273</v>
          </cell>
          <cell r="AC343">
            <v>3.153178083471273</v>
          </cell>
          <cell r="AD343">
            <v>3.153178083471273</v>
          </cell>
          <cell r="AE343">
            <v>3.153178083471273</v>
          </cell>
          <cell r="AF343">
            <v>3.153178083471273</v>
          </cell>
        </row>
        <row r="344">
          <cell r="A344" t="str">
            <v>New Hampshire</v>
          </cell>
          <cell r="B344">
            <v>4.967959658084502</v>
          </cell>
          <cell r="C344">
            <v>4.798696747455538</v>
          </cell>
          <cell r="D344">
            <v>4.252549615486199</v>
          </cell>
          <cell r="E344">
            <v>4.6096829630471277</v>
          </cell>
          <cell r="F344">
            <v>3.8012326494474813</v>
          </cell>
          <cell r="G344">
            <v>3.6874327287211264</v>
          </cell>
          <cell r="H344">
            <v>3.2172305289280239</v>
          </cell>
          <cell r="I344">
            <v>3.5103426155246917</v>
          </cell>
          <cell r="J344">
            <v>3.6547831265401984</v>
          </cell>
          <cell r="K344">
            <v>3.5497959866038129</v>
          </cell>
          <cell r="L344">
            <v>3.2632092748322226</v>
          </cell>
          <cell r="M344">
            <v>3.5153738307841684</v>
          </cell>
          <cell r="N344">
            <v>3.3019885824615418</v>
          </cell>
          <cell r="O344">
            <v>3.2229948913554645</v>
          </cell>
          <cell r="P344">
            <v>3.06736991928577</v>
          </cell>
          <cell r="Q344">
            <v>3.3145494231192547</v>
          </cell>
          <cell r="R344">
            <v>3.1251046663056723</v>
          </cell>
          <cell r="S344">
            <v>3.1575015038287653</v>
          </cell>
          <cell r="T344">
            <v>3.1575015038287653</v>
          </cell>
          <cell r="U344">
            <v>3.1575015038287653</v>
          </cell>
          <cell r="V344">
            <v>3.1575015038287653</v>
          </cell>
          <cell r="W344">
            <v>3.1575015038287653</v>
          </cell>
          <cell r="X344">
            <v>3.1575015038287653</v>
          </cell>
          <cell r="Y344">
            <v>3.1575015038287653</v>
          </cell>
          <cell r="Z344">
            <v>3.1575015038287653</v>
          </cell>
          <cell r="AA344">
            <v>3.1575015038287653</v>
          </cell>
          <cell r="AB344">
            <v>3.1575015038287653</v>
          </cell>
          <cell r="AC344">
            <v>3.1575015038287653</v>
          </cell>
          <cell r="AD344">
            <v>3.1575015038287653</v>
          </cell>
          <cell r="AE344">
            <v>3.1575015038287653</v>
          </cell>
          <cell r="AF344">
            <v>3.1575015038287653</v>
          </cell>
        </row>
        <row r="345">
          <cell r="A345" t="str">
            <v>New Jersey</v>
          </cell>
          <cell r="B345">
            <v>5.4524229666651811</v>
          </cell>
          <cell r="C345">
            <v>4.6949738609225378</v>
          </cell>
          <cell r="D345">
            <v>4.2547472471948193</v>
          </cell>
          <cell r="E345">
            <v>3.8885249485006477</v>
          </cell>
          <cell r="F345">
            <v>4.0862157939135368</v>
          </cell>
          <cell r="G345">
            <v>3.6040050687331737</v>
          </cell>
          <cell r="H345">
            <v>3.3971733863678928</v>
          </cell>
          <cell r="I345">
            <v>3.2435758940449855</v>
          </cell>
          <cell r="J345">
            <v>3.4860888516313637</v>
          </cell>
          <cell r="K345">
            <v>3.2831313458163569</v>
          </cell>
          <cell r="L345">
            <v>3.4690898753711017</v>
          </cell>
          <cell r="M345">
            <v>3.5330810124389553</v>
          </cell>
          <cell r="N345">
            <v>3.2445347803330047</v>
          </cell>
          <cell r="O345">
            <v>3.2014521917075274</v>
          </cell>
          <cell r="P345">
            <v>5.7354242244457003</v>
          </cell>
          <cell r="Q345">
            <v>3.2701555400059865</v>
          </cell>
          <cell r="R345">
            <v>3.1251046663056732</v>
          </cell>
          <cell r="S345">
            <v>3.2812594115620288</v>
          </cell>
          <cell r="T345">
            <v>3.2812594115620288</v>
          </cell>
          <cell r="U345">
            <v>3.2812594115620288</v>
          </cell>
          <cell r="V345">
            <v>3.2812594115620288</v>
          </cell>
          <cell r="W345">
            <v>3.2812594115620288</v>
          </cell>
          <cell r="X345">
            <v>3.2812594115620288</v>
          </cell>
          <cell r="Y345">
            <v>3.2812594115620288</v>
          </cell>
          <cell r="Z345">
            <v>3.2812594115620288</v>
          </cell>
          <cell r="AA345">
            <v>3.2812594115620288</v>
          </cell>
          <cell r="AB345">
            <v>3.2812594115620288</v>
          </cell>
          <cell r="AC345">
            <v>3.2812594115620288</v>
          </cell>
          <cell r="AD345">
            <v>3.2812594115620288</v>
          </cell>
          <cell r="AE345">
            <v>3.2812594115620288</v>
          </cell>
          <cell r="AF345">
            <v>3.2812594115620288</v>
          </cell>
        </row>
        <row r="346">
          <cell r="A346" t="str">
            <v>New Mexico</v>
          </cell>
          <cell r="B346">
            <v>5.2373545093742884</v>
          </cell>
          <cell r="C346">
            <v>4.7083947005017643</v>
          </cell>
          <cell r="D346">
            <v>4.2361422969343421</v>
          </cell>
          <cell r="E346">
            <v>4.206528415618588</v>
          </cell>
          <cell r="F346">
            <v>3.8101455598960445</v>
          </cell>
          <cell r="G346">
            <v>3.631363694692809</v>
          </cell>
          <cell r="H346">
            <v>3.4553942828940585</v>
          </cell>
          <cell r="I346">
            <v>3.3630791082917826</v>
          </cell>
          <cell r="J346">
            <v>3.3548223772493722</v>
          </cell>
          <cell r="K346">
            <v>3.2986082272450088</v>
          </cell>
          <cell r="L346">
            <v>3.3248028323437375</v>
          </cell>
          <cell r="M346">
            <v>3.2994342005915649</v>
          </cell>
          <cell r="N346">
            <v>3.2708966914612843</v>
          </cell>
          <cell r="O346">
            <v>3.159413249389035</v>
          </cell>
          <cell r="P346">
            <v>3.2593567653545601</v>
          </cell>
          <cell r="Q346">
            <v>3.1686310407960461</v>
          </cell>
          <cell r="R346">
            <v>3.1202186165371781</v>
          </cell>
          <cell r="S346">
            <v>3.1784351237214845</v>
          </cell>
          <cell r="T346">
            <v>3.1784351237214845</v>
          </cell>
          <cell r="U346">
            <v>3.1784351237214845</v>
          </cell>
          <cell r="V346">
            <v>3.1784351237214845</v>
          </cell>
          <cell r="W346">
            <v>3.1784351237214845</v>
          </cell>
          <cell r="X346">
            <v>3.1784351237214845</v>
          </cell>
          <cell r="Y346">
            <v>3.1784351237214845</v>
          </cell>
          <cell r="Z346">
            <v>3.1784351237214845</v>
          </cell>
          <cell r="AA346">
            <v>3.1784351237214845</v>
          </cell>
          <cell r="AB346">
            <v>3.1784351237214845</v>
          </cell>
          <cell r="AC346">
            <v>3.1784351237214845</v>
          </cell>
          <cell r="AD346">
            <v>3.1784351237214845</v>
          </cell>
          <cell r="AE346">
            <v>3.1784351237214845</v>
          </cell>
          <cell r="AF346">
            <v>3.1784351237214845</v>
          </cell>
        </row>
        <row r="347">
          <cell r="A347" t="str">
            <v>New York</v>
          </cell>
          <cell r="B347">
            <v>5.2124411419812535</v>
          </cell>
          <cell r="C347">
            <v>4.5509235161055033</v>
          </cell>
          <cell r="D347">
            <v>4.1803274461529139</v>
          </cell>
          <cell r="E347">
            <v>4.1709752329594405</v>
          </cell>
          <cell r="F347">
            <v>4.0474484844557592</v>
          </cell>
          <cell r="G347">
            <v>3.6040050687331733</v>
          </cell>
          <cell r="H347">
            <v>3.3277168782314139</v>
          </cell>
          <cell r="I347">
            <v>3.3657545533868602</v>
          </cell>
          <cell r="J347">
            <v>3.3161333111157316</v>
          </cell>
          <cell r="K347">
            <v>3.283131345816356</v>
          </cell>
          <cell r="L347">
            <v>3.3169326299967912</v>
          </cell>
          <cell r="M347">
            <v>3.2952988587889567</v>
          </cell>
          <cell r="N347">
            <v>3.325880106100271</v>
          </cell>
          <cell r="O347">
            <v>3.3151484220689071</v>
          </cell>
          <cell r="P347">
            <v>3.2434061546659043</v>
          </cell>
          <cell r="Q347">
            <v>3.1503508794049306</v>
          </cell>
          <cell r="R347">
            <v>3.30234841447218</v>
          </cell>
          <cell r="S347">
            <v>3.1041072624137165</v>
          </cell>
          <cell r="T347">
            <v>3.1041072624137165</v>
          </cell>
          <cell r="U347">
            <v>3.1041072624137165</v>
          </cell>
          <cell r="V347">
            <v>3.1041072624137165</v>
          </cell>
          <cell r="W347">
            <v>3.1041072624137165</v>
          </cell>
          <cell r="X347">
            <v>3.1041072624137165</v>
          </cell>
          <cell r="Y347">
            <v>3.1041072624137165</v>
          </cell>
          <cell r="Z347">
            <v>3.1041072624137165</v>
          </cell>
          <cell r="AA347">
            <v>3.1041072624137165</v>
          </cell>
          <cell r="AB347">
            <v>3.1041072624137165</v>
          </cell>
          <cell r="AC347">
            <v>3.1041072624137165</v>
          </cell>
          <cell r="AD347">
            <v>3.1041072624137165</v>
          </cell>
          <cell r="AE347">
            <v>3.1041072624137165</v>
          </cell>
          <cell r="AF347">
            <v>3.1041072624137165</v>
          </cell>
        </row>
        <row r="348">
          <cell r="A348" t="str">
            <v>North Carolina</v>
          </cell>
          <cell r="B348">
            <v>5.2634372797265865</v>
          </cell>
          <cell r="C348">
            <v>4.6949738609225378</v>
          </cell>
          <cell r="D348">
            <v>4.2547472471948193</v>
          </cell>
          <cell r="E348">
            <v>4.4277482188310691</v>
          </cell>
          <cell r="F348">
            <v>3.8923792466246598</v>
          </cell>
          <cell r="G348">
            <v>3.6040050687331733</v>
          </cell>
          <cell r="H348">
            <v>3.6055429107773289</v>
          </cell>
          <cell r="I348">
            <v>3.3657545533868589</v>
          </cell>
          <cell r="J348">
            <v>3.3161333111157316</v>
          </cell>
          <cell r="K348">
            <v>3.374444946245402</v>
          </cell>
          <cell r="L348">
            <v>3.5908156716705504</v>
          </cell>
          <cell r="M348">
            <v>3.2952988587889567</v>
          </cell>
          <cell r="N348">
            <v>3.2445347803330051</v>
          </cell>
          <cell r="O348">
            <v>3.3151484220689071</v>
          </cell>
          <cell r="P348">
            <v>3.1516901432061295</v>
          </cell>
          <cell r="Q348">
            <v>3.3115819028745679</v>
          </cell>
          <cell r="R348">
            <v>3.174804040795856</v>
          </cell>
          <cell r="S348">
            <v>3.153178083471273</v>
          </cell>
          <cell r="T348">
            <v>3.153178083471273</v>
          </cell>
          <cell r="U348">
            <v>3.153178083471273</v>
          </cell>
          <cell r="V348">
            <v>3.153178083471273</v>
          </cell>
          <cell r="W348">
            <v>3.153178083471273</v>
          </cell>
          <cell r="X348">
            <v>3.153178083471273</v>
          </cell>
          <cell r="Y348">
            <v>3.153178083471273</v>
          </cell>
          <cell r="Z348">
            <v>3.153178083471273</v>
          </cell>
          <cell r="AA348">
            <v>3.153178083471273</v>
          </cell>
          <cell r="AB348">
            <v>3.153178083471273</v>
          </cell>
          <cell r="AC348">
            <v>3.153178083471273</v>
          </cell>
          <cell r="AD348">
            <v>3.153178083471273</v>
          </cell>
          <cell r="AE348">
            <v>3.153178083471273</v>
          </cell>
          <cell r="AF348">
            <v>3.153178083471273</v>
          </cell>
        </row>
        <row r="349">
          <cell r="A349" t="str">
            <v>North Dakota</v>
          </cell>
          <cell r="B349">
            <v>5.1824434138957614</v>
          </cell>
          <cell r="C349">
            <v>4.5920807574817983</v>
          </cell>
          <cell r="D349">
            <v>4.1517044457521823</v>
          </cell>
          <cell r="E349">
            <v>4.2094911808401854</v>
          </cell>
          <cell r="F349">
            <v>3.8439201098024394</v>
          </cell>
          <cell r="G349">
            <v>3.5191933282583032</v>
          </cell>
          <cell r="H349">
            <v>3.5360864026408514</v>
          </cell>
          <cell r="I349">
            <v>3.2741205588804538</v>
          </cell>
          <cell r="J349">
            <v>3.4618094887005575</v>
          </cell>
          <cell r="K349">
            <v>3.2587810523686107</v>
          </cell>
          <cell r="L349">
            <v>3.3495377540055715</v>
          </cell>
          <cell r="M349">
            <v>3.3318807285812642</v>
          </cell>
          <cell r="N349">
            <v>3.2642151010831491</v>
          </cell>
          <cell r="O349">
            <v>3.1494767721137529</v>
          </cell>
          <cell r="P349">
            <v>3.2786815436888928</v>
          </cell>
          <cell r="Q349">
            <v>3.2409473592592968</v>
          </cell>
          <cell r="R349">
            <v>3.174804040795856</v>
          </cell>
          <cell r="S349">
            <v>3.1531780834712717</v>
          </cell>
          <cell r="T349">
            <v>3.1531780834712717</v>
          </cell>
          <cell r="U349">
            <v>3.1531780834712717</v>
          </cell>
          <cell r="V349">
            <v>3.1531780834712717</v>
          </cell>
          <cell r="W349">
            <v>3.1531780834712717</v>
          </cell>
          <cell r="X349">
            <v>3.1531780834712717</v>
          </cell>
          <cell r="Y349">
            <v>3.1531780834712717</v>
          </cell>
          <cell r="Z349">
            <v>3.1531780834712717</v>
          </cell>
          <cell r="AA349">
            <v>3.1531780834712717</v>
          </cell>
          <cell r="AB349">
            <v>3.1531780834712717</v>
          </cell>
          <cell r="AC349">
            <v>3.1531780834712717</v>
          </cell>
          <cell r="AD349">
            <v>3.1531780834712717</v>
          </cell>
          <cell r="AE349">
            <v>3.1531780834712717</v>
          </cell>
          <cell r="AF349">
            <v>3.1531780834712717</v>
          </cell>
        </row>
        <row r="350">
          <cell r="A350" t="str">
            <v>Ohio</v>
          </cell>
          <cell r="B350">
            <v>5.1567310755367695</v>
          </cell>
          <cell r="C350">
            <v>4.640243486751932</v>
          </cell>
          <cell r="D350">
            <v>4.2745925274726613</v>
          </cell>
          <cell r="E350">
            <v>4.273087280829321</v>
          </cell>
          <cell r="F350">
            <v>3.8519966326061423</v>
          </cell>
          <cell r="G350">
            <v>3.6322756488914627</v>
          </cell>
          <cell r="H350">
            <v>3.3794398098224083</v>
          </cell>
          <cell r="I350">
            <v>3.429898349541344</v>
          </cell>
          <cell r="J350">
            <v>3.3646920369773405</v>
          </cell>
          <cell r="K350">
            <v>3.2729853902131296</v>
          </cell>
          <cell r="L350">
            <v>3.2929078017797955</v>
          </cell>
          <cell r="M350">
            <v>3.2952988587889567</v>
          </cell>
          <cell r="N350">
            <v>3.2671307041572444</v>
          </cell>
          <cell r="O350">
            <v>3.2014521917075274</v>
          </cell>
          <cell r="P350">
            <v>3.1975481489360162</v>
          </cell>
          <cell r="Q350">
            <v>3.2056300874516639</v>
          </cell>
          <cell r="R350">
            <v>3.2258217902663855</v>
          </cell>
          <cell r="S350">
            <v>3.139915699401663</v>
          </cell>
          <cell r="T350">
            <v>3.139915699401663</v>
          </cell>
          <cell r="U350">
            <v>3.139915699401663</v>
          </cell>
          <cell r="V350">
            <v>3.139915699401663</v>
          </cell>
          <cell r="W350">
            <v>3.139915699401663</v>
          </cell>
          <cell r="X350">
            <v>3.139915699401663</v>
          </cell>
          <cell r="Y350">
            <v>3.139915699401663</v>
          </cell>
          <cell r="Z350">
            <v>3.139915699401663</v>
          </cell>
          <cell r="AA350">
            <v>3.139915699401663</v>
          </cell>
          <cell r="AB350">
            <v>3.139915699401663</v>
          </cell>
          <cell r="AC350">
            <v>3.139915699401663</v>
          </cell>
          <cell r="AD350">
            <v>3.139915699401663</v>
          </cell>
          <cell r="AE350">
            <v>3.139915699401663</v>
          </cell>
          <cell r="AF350">
            <v>3.139915699401663</v>
          </cell>
        </row>
        <row r="351">
          <cell r="A351" t="str">
            <v>Oklahoma</v>
          </cell>
          <cell r="B351">
            <v>5.149215161247219</v>
          </cell>
          <cell r="C351">
            <v>4.687178928843692</v>
          </cell>
          <cell r="D351">
            <v>4.2353333860534521</v>
          </cell>
          <cell r="E351">
            <v>4.2480071287209284</v>
          </cell>
          <cell r="F351">
            <v>3.8476477357118406</v>
          </cell>
          <cell r="G351">
            <v>3.6151645082693395</v>
          </cell>
          <cell r="H351">
            <v>3.3620267196000362</v>
          </cell>
          <cell r="I351">
            <v>3.3794996525628207</v>
          </cell>
          <cell r="J351">
            <v>3.2887841436764353</v>
          </cell>
          <cell r="K351">
            <v>3.3007339675858107</v>
          </cell>
          <cell r="L351">
            <v>3.2959454237382655</v>
          </cell>
          <cell r="M351">
            <v>3.3182176205865463</v>
          </cell>
          <cell r="N351">
            <v>3.3002507568859261</v>
          </cell>
          <cell r="O351">
            <v>3.2348922594608744</v>
          </cell>
          <cell r="P351">
            <v>3.2179294848159667</v>
          </cell>
          <cell r="Q351">
            <v>3.2115992038135182</v>
          </cell>
          <cell r="R351">
            <v>3.1503155210500031</v>
          </cell>
          <cell r="S351">
            <v>3.1808236164614452</v>
          </cell>
          <cell r="T351">
            <v>3.1808236164614452</v>
          </cell>
          <cell r="U351">
            <v>3.1808236164614452</v>
          </cell>
          <cell r="V351">
            <v>3.1808236164614452</v>
          </cell>
          <cell r="W351">
            <v>3.1808236164614452</v>
          </cell>
          <cell r="X351">
            <v>3.1808236164614452</v>
          </cell>
          <cell r="Y351">
            <v>3.1808236164614452</v>
          </cell>
          <cell r="Z351">
            <v>3.1808236164614452</v>
          </cell>
          <cell r="AA351">
            <v>3.1808236164614452</v>
          </cell>
          <cell r="AB351">
            <v>3.1808236164614452</v>
          </cell>
          <cell r="AC351">
            <v>3.1808236164614452</v>
          </cell>
          <cell r="AD351">
            <v>3.1808236164614452</v>
          </cell>
          <cell r="AE351">
            <v>3.1808236164614452</v>
          </cell>
          <cell r="AF351">
            <v>3.1808236164614452</v>
          </cell>
        </row>
        <row r="352">
          <cell r="A352" t="str">
            <v>Oregon</v>
          </cell>
          <cell r="B352">
            <v>5.2274400060239987</v>
          </cell>
          <cell r="C352">
            <v>4.6606761597756243</v>
          </cell>
          <cell r="D352">
            <v>4.2810130593272557</v>
          </cell>
          <cell r="E352">
            <v>4.1671236381713648</v>
          </cell>
          <cell r="F352">
            <v>3.9892975202690977</v>
          </cell>
          <cell r="G352">
            <v>3.5191933282583032</v>
          </cell>
          <cell r="H352">
            <v>3.5013581485726109</v>
          </cell>
          <cell r="I352">
            <v>3.3657545533868589</v>
          </cell>
          <cell r="J352">
            <v>3.4294370047928173</v>
          </cell>
          <cell r="K352">
            <v>3.25503485337665</v>
          </cell>
          <cell r="L352">
            <v>3.4538741508336708</v>
          </cell>
          <cell r="M352">
            <v>3.252065739943502</v>
          </cell>
          <cell r="N352">
            <v>3.2852074432166374</v>
          </cell>
          <cell r="O352">
            <v>3.1601081079397528</v>
          </cell>
          <cell r="P352">
            <v>3.0815543697368906</v>
          </cell>
          <cell r="Q352">
            <v>3.2321180413073907</v>
          </cell>
          <cell r="R352">
            <v>3.2807639820038794</v>
          </cell>
          <cell r="S352">
            <v>3.0168702472002846</v>
          </cell>
          <cell r="T352">
            <v>3.0168702472002846</v>
          </cell>
          <cell r="U352">
            <v>3.0168702472002846</v>
          </cell>
          <cell r="V352">
            <v>3.0168702472002846</v>
          </cell>
          <cell r="W352">
            <v>3.0168702472002846</v>
          </cell>
          <cell r="X352">
            <v>3.0168702472002846</v>
          </cell>
          <cell r="Y352">
            <v>3.0168702472002846</v>
          </cell>
          <cell r="Z352">
            <v>3.0168702472002846</v>
          </cell>
          <cell r="AA352">
            <v>3.0168702472002846</v>
          </cell>
          <cell r="AB352">
            <v>3.0168702472002846</v>
          </cell>
          <cell r="AC352">
            <v>3.0168702472002846</v>
          </cell>
          <cell r="AD352">
            <v>3.0168702472002846</v>
          </cell>
          <cell r="AE352">
            <v>3.0168702472002846</v>
          </cell>
          <cell r="AF352">
            <v>3.0168702472002846</v>
          </cell>
        </row>
        <row r="353">
          <cell r="A353" t="str">
            <v>Pennsylvania</v>
          </cell>
          <cell r="B353">
            <v>5.1486959697995838</v>
          </cell>
          <cell r="C353">
            <v>4.6647111834399668</v>
          </cell>
          <cell r="D353">
            <v>4.2826546725855339</v>
          </cell>
          <cell r="E353">
            <v>4.2162881128191403</v>
          </cell>
          <cell r="F353">
            <v>3.9440689925683592</v>
          </cell>
          <cell r="G353">
            <v>3.5775013998347762</v>
          </cell>
          <cell r="H353">
            <v>3.424955989622485</v>
          </cell>
          <cell r="I353">
            <v>3.3657545533868602</v>
          </cell>
          <cell r="J353">
            <v>3.3161333111157316</v>
          </cell>
          <cell r="K353">
            <v>3.2831313458163556</v>
          </cell>
          <cell r="L353">
            <v>3.3169326299967912</v>
          </cell>
          <cell r="M353">
            <v>3.2952988587889567</v>
          </cell>
          <cell r="N353">
            <v>3.2445347803330051</v>
          </cell>
          <cell r="O353">
            <v>3.2014521917075265</v>
          </cell>
          <cell r="P353">
            <v>3.243406154665903</v>
          </cell>
          <cell r="Q353">
            <v>3.2056300874516643</v>
          </cell>
          <cell r="R353">
            <v>3.1748040407958551</v>
          </cell>
          <cell r="S353">
            <v>3.1531780834712726</v>
          </cell>
          <cell r="T353">
            <v>3.1531780834712726</v>
          </cell>
          <cell r="U353">
            <v>3.1531780834712726</v>
          </cell>
          <cell r="V353">
            <v>3.1531780834712726</v>
          </cell>
          <cell r="W353">
            <v>3.1531780834712726</v>
          </cell>
          <cell r="X353">
            <v>3.1531780834712726</v>
          </cell>
          <cell r="Y353">
            <v>3.1531780834712726</v>
          </cell>
          <cell r="Z353">
            <v>3.1531780834712726</v>
          </cell>
          <cell r="AA353">
            <v>3.1531780834712726</v>
          </cell>
          <cell r="AB353">
            <v>3.1531780834712726</v>
          </cell>
          <cell r="AC353">
            <v>3.1531780834712726</v>
          </cell>
          <cell r="AD353">
            <v>3.1531780834712726</v>
          </cell>
          <cell r="AE353">
            <v>3.1531780834712726</v>
          </cell>
          <cell r="AF353">
            <v>3.1531780834712726</v>
          </cell>
        </row>
        <row r="354">
          <cell r="A354" t="str">
            <v>Rhode Island</v>
          </cell>
          <cell r="B354">
            <v>4.9679596580845002</v>
          </cell>
          <cell r="C354">
            <v>4.798696747455538</v>
          </cell>
          <cell r="D354">
            <v>4.252549615486199</v>
          </cell>
          <cell r="E354">
            <v>4.6096829630471277</v>
          </cell>
          <cell r="F354">
            <v>3.9000748152476747</v>
          </cell>
          <cell r="G354">
            <v>3.4336895475399745</v>
          </cell>
          <cell r="H354">
            <v>3.3356286246175264</v>
          </cell>
          <cell r="I354">
            <v>3.6125674235573833</v>
          </cell>
          <cell r="J354">
            <v>3.3532005058932079</v>
          </cell>
          <cell r="K354">
            <v>3.7077757472297224</v>
          </cell>
          <cell r="L354">
            <v>3.4645834653114007</v>
          </cell>
          <cell r="M354">
            <v>3.2649436902378945</v>
          </cell>
          <cell r="N354">
            <v>3.2246251773007306</v>
          </cell>
          <cell r="O354">
            <v>3.2229948913554649</v>
          </cell>
          <cell r="P354">
            <v>3.1238786836695192</v>
          </cell>
          <cell r="Q354">
            <v>3.1623418238737671</v>
          </cell>
          <cell r="R354">
            <v>3.1933480614297709</v>
          </cell>
          <cell r="S354">
            <v>3.256507830015376</v>
          </cell>
          <cell r="T354">
            <v>3.256507830015376</v>
          </cell>
          <cell r="U354">
            <v>3.256507830015376</v>
          </cell>
          <cell r="V354">
            <v>3.256507830015376</v>
          </cell>
          <cell r="W354">
            <v>3.256507830015376</v>
          </cell>
          <cell r="X354">
            <v>3.256507830015376</v>
          </cell>
          <cell r="Y354">
            <v>3.256507830015376</v>
          </cell>
          <cell r="Z354">
            <v>3.256507830015376</v>
          </cell>
          <cell r="AA354">
            <v>3.256507830015376</v>
          </cell>
          <cell r="AB354">
            <v>3.256507830015376</v>
          </cell>
          <cell r="AC354">
            <v>3.256507830015376</v>
          </cell>
          <cell r="AD354">
            <v>3.256507830015376</v>
          </cell>
          <cell r="AE354">
            <v>3.256507830015376</v>
          </cell>
          <cell r="AF354">
            <v>3.256507830015376</v>
          </cell>
        </row>
        <row r="355">
          <cell r="A355" t="str">
            <v>South Carolina</v>
          </cell>
          <cell r="B355">
            <v>5.2777303148732049</v>
          </cell>
          <cell r="C355">
            <v>4.7271279557477692</v>
          </cell>
          <cell r="D355">
            <v>4.2845151676115814</v>
          </cell>
          <cell r="E355">
            <v>4.2865230766016742</v>
          </cell>
          <cell r="F355">
            <v>4.047448484455761</v>
          </cell>
          <cell r="G355">
            <v>3.7857445126078946</v>
          </cell>
          <cell r="H355">
            <v>3.3450810052655333</v>
          </cell>
          <cell r="I355">
            <v>3.487933212728735</v>
          </cell>
          <cell r="J355">
            <v>3.267574585254124</v>
          </cell>
          <cell r="K355">
            <v>3.3440070794357215</v>
          </cell>
          <cell r="L355">
            <v>3.3169326299967907</v>
          </cell>
          <cell r="M355">
            <v>3.5330810124389553</v>
          </cell>
          <cell r="N355">
            <v>3.2445347803330047</v>
          </cell>
          <cell r="O355">
            <v>3.2014521917075274</v>
          </cell>
          <cell r="P355">
            <v>3.8318125295562364</v>
          </cell>
          <cell r="Q355">
            <v>3.2733265316569353</v>
          </cell>
          <cell r="R355">
            <v>3.2888888146035051</v>
          </cell>
          <cell r="S355">
            <v>3.0929321606635853</v>
          </cell>
          <cell r="T355">
            <v>3.0929321606635853</v>
          </cell>
          <cell r="U355">
            <v>3.0929321606635853</v>
          </cell>
          <cell r="V355">
            <v>3.0929321606635853</v>
          </cell>
          <cell r="W355">
            <v>3.0929321606635853</v>
          </cell>
          <cell r="X355">
            <v>3.0929321606635853</v>
          </cell>
          <cell r="Y355">
            <v>3.0929321606635853</v>
          </cell>
          <cell r="Z355">
            <v>3.0929321606635853</v>
          </cell>
          <cell r="AA355">
            <v>3.0929321606635853</v>
          </cell>
          <cell r="AB355">
            <v>3.0929321606635853</v>
          </cell>
          <cell r="AC355">
            <v>3.0929321606635853</v>
          </cell>
          <cell r="AD355">
            <v>3.0929321606635853</v>
          </cell>
          <cell r="AE355">
            <v>3.0929321606635853</v>
          </cell>
          <cell r="AF355">
            <v>3.0929321606635853</v>
          </cell>
        </row>
        <row r="356">
          <cell r="A356" t="str">
            <v>South Dakota</v>
          </cell>
          <cell r="B356">
            <v>5.1824434138957622</v>
          </cell>
          <cell r="C356">
            <v>4.5985115764468469</v>
          </cell>
          <cell r="D356">
            <v>4.3009388478415183</v>
          </cell>
          <cell r="E356">
            <v>4.1687095889664558</v>
          </cell>
          <cell r="F356">
            <v>3.9592194353449619</v>
          </cell>
          <cell r="G356">
            <v>3.5416434948545916</v>
          </cell>
          <cell r="H356">
            <v>3.409801842392707</v>
          </cell>
          <cell r="I356">
            <v>3.3772088027001606</v>
          </cell>
          <cell r="J356">
            <v>3.3270981846973857</v>
          </cell>
          <cell r="K356">
            <v>3.2239009022948131</v>
          </cell>
          <cell r="L356">
            <v>3.3296124004446503</v>
          </cell>
          <cell r="M356">
            <v>3.2644180596136323</v>
          </cell>
          <cell r="N356">
            <v>3.2610236977182616</v>
          </cell>
          <cell r="O356">
            <v>3.1726683359198362</v>
          </cell>
          <cell r="P356">
            <v>3.2678637577218437</v>
          </cell>
          <cell r="Q356">
            <v>3.179142133595938</v>
          </cell>
          <cell r="R356">
            <v>3.174804040795856</v>
          </cell>
          <cell r="S356">
            <v>3.1298110258248171</v>
          </cell>
          <cell r="T356">
            <v>3.1298110258248171</v>
          </cell>
          <cell r="U356">
            <v>3.1298110258248171</v>
          </cell>
          <cell r="V356">
            <v>3.1298110258248171</v>
          </cell>
          <cell r="W356">
            <v>3.1298110258248171</v>
          </cell>
          <cell r="X356">
            <v>3.1298110258248171</v>
          </cell>
          <cell r="Y356">
            <v>3.1298110258248171</v>
          </cell>
          <cell r="Z356">
            <v>3.1298110258248171</v>
          </cell>
          <cell r="AA356">
            <v>3.1298110258248171</v>
          </cell>
          <cell r="AB356">
            <v>3.1298110258248171</v>
          </cell>
          <cell r="AC356">
            <v>3.1298110258248171</v>
          </cell>
          <cell r="AD356">
            <v>3.1298110258248171</v>
          </cell>
          <cell r="AE356">
            <v>3.1298110258248171</v>
          </cell>
          <cell r="AF356">
            <v>3.1298110258248171</v>
          </cell>
        </row>
        <row r="357">
          <cell r="A357" t="str">
            <v>Tennessee</v>
          </cell>
          <cell r="B357">
            <v>5.1824434138957614</v>
          </cell>
          <cell r="C357">
            <v>4.8664623666570987</v>
          </cell>
          <cell r="D357">
            <v>4.0761397246942472</v>
          </cell>
          <cell r="E357">
            <v>4.2480071287209293</v>
          </cell>
          <cell r="F357">
            <v>3.8923792466246576</v>
          </cell>
          <cell r="G357">
            <v>3.5725933130017404</v>
          </cell>
          <cell r="H357">
            <v>3.5430320534544988</v>
          </cell>
          <cell r="I357">
            <v>3.3657545533868589</v>
          </cell>
          <cell r="J357">
            <v>3.3161333111157316</v>
          </cell>
          <cell r="K357">
            <v>3.4048828130550839</v>
          </cell>
          <cell r="L357">
            <v>3.5451684980582572</v>
          </cell>
          <cell r="M357">
            <v>3.2952988587889567</v>
          </cell>
          <cell r="N357">
            <v>3.2445347803330051</v>
          </cell>
          <cell r="O357">
            <v>3.6562371131530447</v>
          </cell>
          <cell r="P357">
            <v>3.2434061546659043</v>
          </cell>
          <cell r="Q357">
            <v>3.2056300874516639</v>
          </cell>
          <cell r="R357">
            <v>3.0026191363328198</v>
          </cell>
          <cell r="S357">
            <v>3.2232792564106387</v>
          </cell>
          <cell r="T357">
            <v>3.2232792564106387</v>
          </cell>
          <cell r="U357">
            <v>3.2232792564106387</v>
          </cell>
          <cell r="V357">
            <v>3.2232792564106387</v>
          </cell>
          <cell r="W357">
            <v>3.2232792564106387</v>
          </cell>
          <cell r="X357">
            <v>3.2232792564106387</v>
          </cell>
          <cell r="Y357">
            <v>3.2232792564106387</v>
          </cell>
          <cell r="Z357">
            <v>3.2232792564106387</v>
          </cell>
          <cell r="AA357">
            <v>3.2232792564106387</v>
          </cell>
          <cell r="AB357">
            <v>3.2232792564106387</v>
          </cell>
          <cell r="AC357">
            <v>3.2232792564106387</v>
          </cell>
          <cell r="AD357">
            <v>3.2232792564106387</v>
          </cell>
          <cell r="AE357">
            <v>3.2232792564106387</v>
          </cell>
          <cell r="AF357">
            <v>3.2232792564106387</v>
          </cell>
        </row>
        <row r="358">
          <cell r="A358" t="str">
            <v>Texas</v>
          </cell>
          <cell r="B358">
            <v>5.174729712388066</v>
          </cell>
          <cell r="C358">
            <v>4.6441897111556498</v>
          </cell>
          <cell r="D358">
            <v>4.2854710182671658</v>
          </cell>
          <cell r="E358">
            <v>4.1866321223418561</v>
          </cell>
          <cell r="F358">
            <v>3.8540379515565291</v>
          </cell>
          <cell r="G358">
            <v>3.6663666426117532</v>
          </cell>
          <cell r="H358">
            <v>3.3575594083432847</v>
          </cell>
          <cell r="I358">
            <v>3.3657545533868598</v>
          </cell>
          <cell r="J358">
            <v>3.2887978045992314</v>
          </cell>
          <cell r="K358">
            <v>3.3005244125647462</v>
          </cell>
          <cell r="L358">
            <v>3.2886972648757844</v>
          </cell>
          <cell r="M358">
            <v>3.2904461617756908</v>
          </cell>
          <cell r="N358">
            <v>3.2515715732194468</v>
          </cell>
          <cell r="O358">
            <v>3.2445189456322923</v>
          </cell>
          <cell r="P358">
            <v>3.2096160451807236</v>
          </cell>
          <cell r="Q358">
            <v>3.2258855815766307</v>
          </cell>
          <cell r="R358">
            <v>3.1418949805571867</v>
          </cell>
          <cell r="S358">
            <v>3.1616973232382097</v>
          </cell>
          <cell r="T358">
            <v>3.1616973232382097</v>
          </cell>
          <cell r="U358">
            <v>3.1616973232382097</v>
          </cell>
          <cell r="V358">
            <v>3.1616973232382097</v>
          </cell>
          <cell r="W358">
            <v>3.1616973232382097</v>
          </cell>
          <cell r="X358">
            <v>3.1616973232382097</v>
          </cell>
          <cell r="Y358">
            <v>3.1616973232382097</v>
          </cell>
          <cell r="Z358">
            <v>3.1616973232382097</v>
          </cell>
          <cell r="AA358">
            <v>3.1616973232382097</v>
          </cell>
          <cell r="AB358">
            <v>3.1616973232382097</v>
          </cell>
          <cell r="AC358">
            <v>3.1616973232382097</v>
          </cell>
          <cell r="AD358">
            <v>3.1616973232382097</v>
          </cell>
          <cell r="AE358">
            <v>3.1616973232382097</v>
          </cell>
          <cell r="AF358">
            <v>3.1616973232382097</v>
          </cell>
        </row>
        <row r="359">
          <cell r="A359" t="str">
            <v>Utah</v>
          </cell>
          <cell r="B359">
            <v>5.2746315538658077</v>
          </cell>
          <cell r="C359">
            <v>4.5861446168986806</v>
          </cell>
          <cell r="D359">
            <v>4.2726079994448778</v>
          </cell>
          <cell r="E359">
            <v>4.1736315052270792</v>
          </cell>
          <cell r="F359">
            <v>4.0043736961693428</v>
          </cell>
          <cell r="G359">
            <v>3.497990393139585</v>
          </cell>
          <cell r="H359">
            <v>3.3971733863678928</v>
          </cell>
          <cell r="I359">
            <v>3.4390617489919855</v>
          </cell>
          <cell r="J359">
            <v>3.4011110813735472</v>
          </cell>
          <cell r="K359">
            <v>3.2831313458163569</v>
          </cell>
          <cell r="L359">
            <v>3.3821428780143523</v>
          </cell>
          <cell r="M359">
            <v>3.2952988587889567</v>
          </cell>
          <cell r="N359">
            <v>3.4072254318675372</v>
          </cell>
          <cell r="O359">
            <v>3.125654704799941</v>
          </cell>
          <cell r="P359">
            <v>3.1778947179089214</v>
          </cell>
          <cell r="Q359">
            <v>3.2056300874516634</v>
          </cell>
          <cell r="R359">
            <v>3.2513306650016496</v>
          </cell>
          <cell r="S359">
            <v>3.1531780834712717</v>
          </cell>
          <cell r="T359">
            <v>3.1531780834712717</v>
          </cell>
          <cell r="U359">
            <v>3.1531780834712717</v>
          </cell>
          <cell r="V359">
            <v>3.1531780834712717</v>
          </cell>
          <cell r="W359">
            <v>3.1531780834712717</v>
          </cell>
          <cell r="X359">
            <v>3.1531780834712717</v>
          </cell>
          <cell r="Y359">
            <v>3.1531780834712717</v>
          </cell>
          <cell r="Z359">
            <v>3.1531780834712717</v>
          </cell>
          <cell r="AA359">
            <v>3.1531780834712717</v>
          </cell>
          <cell r="AB359">
            <v>3.1531780834712717</v>
          </cell>
          <cell r="AC359">
            <v>3.1531780834712717</v>
          </cell>
          <cell r="AD359">
            <v>3.1531780834712717</v>
          </cell>
          <cell r="AE359">
            <v>3.1531780834712717</v>
          </cell>
          <cell r="AF359">
            <v>3.1531780834712717</v>
          </cell>
        </row>
        <row r="360">
          <cell r="A360" t="str">
            <v>Vermont</v>
          </cell>
          <cell r="B360">
            <v>5.2120661703801847</v>
          </cell>
          <cell r="C360">
            <v>4.798696747455538</v>
          </cell>
          <cell r="D360">
            <v>4.252549615486199</v>
          </cell>
          <cell r="E360">
            <v>4.909982664599335</v>
          </cell>
          <cell r="F360">
            <v>3.727101025097336</v>
          </cell>
          <cell r="G360">
            <v>3.5859354562486656</v>
          </cell>
          <cell r="H360">
            <v>3.2764295767727756</v>
          </cell>
          <cell r="I360">
            <v>3.4373248955013405</v>
          </cell>
          <cell r="J360">
            <v>3.6095457334431496</v>
          </cell>
          <cell r="K360">
            <v>3.7955422809107828</v>
          </cell>
          <cell r="L360">
            <v>3.0870068581629395</v>
          </cell>
          <cell r="M360">
            <v>3.4557476068445778</v>
          </cell>
          <cell r="N360">
            <v>3.3019885824615418</v>
          </cell>
          <cell r="O360">
            <v>3.1634539387187819</v>
          </cell>
          <cell r="P360">
            <v>3.2368962124370144</v>
          </cell>
          <cell r="Q360">
            <v>3.1623418238737675</v>
          </cell>
          <cell r="R360">
            <v>3.0739221199626008</v>
          </cell>
          <cell r="S360">
            <v>3.1575015038287653</v>
          </cell>
          <cell r="T360">
            <v>3.1575015038287653</v>
          </cell>
          <cell r="U360">
            <v>3.1575015038287653</v>
          </cell>
          <cell r="V360">
            <v>3.1575015038287653</v>
          </cell>
          <cell r="W360">
            <v>3.1575015038287653</v>
          </cell>
          <cell r="X360">
            <v>3.1575015038287653</v>
          </cell>
          <cell r="Y360">
            <v>3.1575015038287653</v>
          </cell>
          <cell r="Z360">
            <v>3.1575015038287653</v>
          </cell>
          <cell r="AA360">
            <v>3.1575015038287653</v>
          </cell>
          <cell r="AB360">
            <v>3.1575015038287653</v>
          </cell>
          <cell r="AC360">
            <v>3.1575015038287653</v>
          </cell>
          <cell r="AD360">
            <v>3.1575015038287653</v>
          </cell>
          <cell r="AE360">
            <v>3.1575015038287653</v>
          </cell>
          <cell r="AF360">
            <v>3.1575015038287653</v>
          </cell>
        </row>
        <row r="361">
          <cell r="A361" t="str">
            <v>Virginia</v>
          </cell>
          <cell r="B361">
            <v>5.3624297824087073</v>
          </cell>
          <cell r="C361">
            <v>4.6214787870362963</v>
          </cell>
          <cell r="D361">
            <v>4.2547472471948202</v>
          </cell>
          <cell r="E361">
            <v>4.1806042199296245</v>
          </cell>
          <cell r="F361">
            <v>3.892379246624659</v>
          </cell>
          <cell r="G361">
            <v>3.6040050687331733</v>
          </cell>
          <cell r="H361">
            <v>3.4567075361991608</v>
          </cell>
          <cell r="I361">
            <v>3.4268438830577987</v>
          </cell>
          <cell r="J361">
            <v>3.3161333111157316</v>
          </cell>
          <cell r="K361">
            <v>3.283131345816356</v>
          </cell>
          <cell r="L361">
            <v>3.3676517117882283</v>
          </cell>
          <cell r="M361">
            <v>3.2477424280589573</v>
          </cell>
          <cell r="N361">
            <v>3.2897266279814854</v>
          </cell>
          <cell r="O361">
            <v>3.1700877143664576</v>
          </cell>
          <cell r="P361">
            <v>3.2434061546659043</v>
          </cell>
          <cell r="Q361">
            <v>3.1915031787286088</v>
          </cell>
          <cell r="R361">
            <v>3.2076011654554817</v>
          </cell>
          <cell r="S361">
            <v>3.1204642027662355</v>
          </cell>
          <cell r="T361">
            <v>3.1204642027662355</v>
          </cell>
          <cell r="U361">
            <v>3.1204642027662355</v>
          </cell>
          <cell r="V361">
            <v>3.1204642027662355</v>
          </cell>
          <cell r="W361">
            <v>3.1204642027662355</v>
          </cell>
          <cell r="X361">
            <v>3.1204642027662355</v>
          </cell>
          <cell r="Y361">
            <v>3.1204642027662355</v>
          </cell>
          <cell r="Z361">
            <v>3.1204642027662355</v>
          </cell>
          <cell r="AA361">
            <v>3.1204642027662355</v>
          </cell>
          <cell r="AB361">
            <v>3.1204642027662355</v>
          </cell>
          <cell r="AC361">
            <v>3.1204642027662355</v>
          </cell>
          <cell r="AD361">
            <v>3.1204642027662355</v>
          </cell>
          <cell r="AE361">
            <v>3.1204642027662355</v>
          </cell>
          <cell r="AF361">
            <v>3.1204642027662355</v>
          </cell>
        </row>
        <row r="362">
          <cell r="A362" t="str">
            <v>Washington</v>
          </cell>
          <cell r="B362">
            <v>5.2459680145473913</v>
          </cell>
          <cell r="C362">
            <v>4.6532604406087241</v>
          </cell>
          <cell r="D362">
            <v>4.2857196499405834</v>
          </cell>
          <cell r="E362">
            <v>4.2103194807946087</v>
          </cell>
          <cell r="F362">
            <v>3.84644641551355</v>
          </cell>
          <cell r="G362">
            <v>3.7535129445702822</v>
          </cell>
          <cell r="H362">
            <v>3.372068624390852</v>
          </cell>
          <cell r="I362">
            <v>3.3725006143321168</v>
          </cell>
          <cell r="J362">
            <v>3.2532497611249482</v>
          </cell>
          <cell r="K362">
            <v>3.2742227018720595</v>
          </cell>
          <cell r="L362">
            <v>3.2586596424066299</v>
          </cell>
          <cell r="M362">
            <v>3.2579996974320946</v>
          </cell>
          <cell r="N362">
            <v>3.2526693129097319</v>
          </cell>
          <cell r="O362">
            <v>3.3450684826903219</v>
          </cell>
          <cell r="P362">
            <v>3.2098515163269616</v>
          </cell>
          <cell r="Q362">
            <v>3.227363793179439</v>
          </cell>
          <cell r="R362">
            <v>3.2932968782757941</v>
          </cell>
          <cell r="S362">
            <v>3.0692066249770589</v>
          </cell>
          <cell r="T362">
            <v>3.0692066249770589</v>
          </cell>
          <cell r="U362">
            <v>3.0692066249770589</v>
          </cell>
          <cell r="V362">
            <v>3.0692066249770589</v>
          </cell>
          <cell r="W362">
            <v>3.0692066249770589</v>
          </cell>
          <cell r="X362">
            <v>3.0692066249770589</v>
          </cell>
          <cell r="Y362">
            <v>3.0692066249770589</v>
          </cell>
          <cell r="Z362">
            <v>3.0692066249770589</v>
          </cell>
          <cell r="AA362">
            <v>3.0692066249770589</v>
          </cell>
          <cell r="AB362">
            <v>3.0692066249770589</v>
          </cell>
          <cell r="AC362">
            <v>3.0692066249770589</v>
          </cell>
          <cell r="AD362">
            <v>3.0692066249770589</v>
          </cell>
          <cell r="AE362">
            <v>3.0692066249770589</v>
          </cell>
          <cell r="AF362">
            <v>3.0692066249770589</v>
          </cell>
        </row>
        <row r="363">
          <cell r="A363" t="str">
            <v>West Virginia</v>
          </cell>
          <cell r="B363">
            <v>5.4138544591266928</v>
          </cell>
          <cell r="C363">
            <v>4.4806132287543345</v>
          </cell>
          <cell r="D363">
            <v>4.1909588463017577</v>
          </cell>
          <cell r="E363">
            <v>4.4636964368530965</v>
          </cell>
          <cell r="F363">
            <v>4.0585248585865541</v>
          </cell>
          <cell r="G363">
            <v>3.4767874580208677</v>
          </cell>
          <cell r="H363">
            <v>3.4434777251255455</v>
          </cell>
          <cell r="I363">
            <v>3.4115715506400619</v>
          </cell>
          <cell r="J363">
            <v>3.2481510949094798</v>
          </cell>
          <cell r="K363">
            <v>3.2831313458163569</v>
          </cell>
          <cell r="L363">
            <v>3.5125633740494742</v>
          </cell>
          <cell r="M363">
            <v>3.2952988587889567</v>
          </cell>
          <cell r="N363">
            <v>3.1936939517284624</v>
          </cell>
          <cell r="O363">
            <v>3.2664214661997431</v>
          </cell>
          <cell r="P363">
            <v>3.4268381775854535</v>
          </cell>
          <cell r="Q363">
            <v>3.0845422983969173</v>
          </cell>
          <cell r="R363">
            <v>3.0727685418547974</v>
          </cell>
          <cell r="S363">
            <v>3.1041072624137165</v>
          </cell>
          <cell r="T363">
            <v>3.1041072624137165</v>
          </cell>
          <cell r="U363">
            <v>3.1041072624137165</v>
          </cell>
          <cell r="V363">
            <v>3.1041072624137165</v>
          </cell>
          <cell r="W363">
            <v>3.1041072624137165</v>
          </cell>
          <cell r="X363">
            <v>3.1041072624137165</v>
          </cell>
          <cell r="Y363">
            <v>3.1041072624137165</v>
          </cell>
          <cell r="Z363">
            <v>3.1041072624137165</v>
          </cell>
          <cell r="AA363">
            <v>3.1041072624137165</v>
          </cell>
          <cell r="AB363">
            <v>3.1041072624137165</v>
          </cell>
          <cell r="AC363">
            <v>3.1041072624137165</v>
          </cell>
          <cell r="AD363">
            <v>3.1041072624137165</v>
          </cell>
          <cell r="AE363">
            <v>3.1041072624137165</v>
          </cell>
          <cell r="AF363">
            <v>3.1041072624137165</v>
          </cell>
        </row>
        <row r="364">
          <cell r="A364" t="str">
            <v>Wisconsin</v>
          </cell>
          <cell r="B364">
            <v>5.0924502296392884</v>
          </cell>
          <cell r="C364">
            <v>4.5920807574817983</v>
          </cell>
          <cell r="D364">
            <v>4.286641447641351</v>
          </cell>
          <cell r="E364">
            <v>4.2480071287209284</v>
          </cell>
          <cell r="F364">
            <v>3.8790112088805992</v>
          </cell>
          <cell r="G364">
            <v>3.5898697786540281</v>
          </cell>
          <cell r="H364">
            <v>3.3971733863678928</v>
          </cell>
          <cell r="I364">
            <v>3.3657545533868602</v>
          </cell>
          <cell r="J364">
            <v>3.3051684375340793</v>
          </cell>
          <cell r="K364">
            <v>3.23240156780022</v>
          </cell>
          <cell r="L364">
            <v>3.2929078017797955</v>
          </cell>
          <cell r="M364">
            <v>3.3217190980834008</v>
          </cell>
          <cell r="N364">
            <v>3.2038621174493711</v>
          </cell>
          <cell r="O364">
            <v>3.2014521917075265</v>
          </cell>
          <cell r="P364">
            <v>3.2215690090802429</v>
          </cell>
          <cell r="Q364">
            <v>3.1773762700055559</v>
          </cell>
          <cell r="R364">
            <v>3.1648223072037958</v>
          </cell>
          <cell r="S364">
            <v>3.1327319080306228</v>
          </cell>
          <cell r="T364">
            <v>3.1327319080306228</v>
          </cell>
          <cell r="U364">
            <v>3.1327319080306228</v>
          </cell>
          <cell r="V364">
            <v>3.1327319080306228</v>
          </cell>
          <cell r="W364">
            <v>3.1327319080306228</v>
          </cell>
          <cell r="X364">
            <v>3.1327319080306228</v>
          </cell>
          <cell r="Y364">
            <v>3.1327319080306228</v>
          </cell>
          <cell r="Z364">
            <v>3.1327319080306228</v>
          </cell>
          <cell r="AA364">
            <v>3.1327319080306228</v>
          </cell>
          <cell r="AB364">
            <v>3.1327319080306228</v>
          </cell>
          <cell r="AC364">
            <v>3.1327319080306228</v>
          </cell>
          <cell r="AD364">
            <v>3.1327319080306228</v>
          </cell>
          <cell r="AE364">
            <v>3.1327319080306228</v>
          </cell>
          <cell r="AF364">
            <v>3.1327319080306228</v>
          </cell>
        </row>
        <row r="365">
          <cell r="A365" t="str">
            <v>Wyoming</v>
          </cell>
          <cell r="B365">
            <v>5.4272248750733665</v>
          </cell>
          <cell r="C365">
            <v>4.9522066195243797</v>
          </cell>
          <cell r="D365">
            <v>4.020856443920259</v>
          </cell>
          <cell r="E365">
            <v>4.3378776737759992</v>
          </cell>
          <cell r="F365">
            <v>3.8719753995416193</v>
          </cell>
          <cell r="G365">
            <v>3.5828021336144555</v>
          </cell>
          <cell r="H365">
            <v>3.4191070205162539</v>
          </cell>
          <cell r="I365">
            <v>3.4344800492666647</v>
          </cell>
          <cell r="J365">
            <v>3.2961385416433053</v>
          </cell>
          <cell r="K365">
            <v>3.2283431855589297</v>
          </cell>
          <cell r="L365">
            <v>3.3676517117882283</v>
          </cell>
          <cell r="M365">
            <v>3.3547443972014559</v>
          </cell>
          <cell r="N365">
            <v>3.2445347803330051</v>
          </cell>
          <cell r="O365">
            <v>3.2317711864705623</v>
          </cell>
          <cell r="P365">
            <v>3.1287611403411848</v>
          </cell>
          <cell r="Q365">
            <v>3.3115819028745688</v>
          </cell>
          <cell r="R365">
            <v>3.1748040407958551</v>
          </cell>
          <cell r="S365">
            <v>3.0986549489628779</v>
          </cell>
          <cell r="T365">
            <v>3.0986549489628779</v>
          </cell>
          <cell r="U365">
            <v>3.0986549489628779</v>
          </cell>
          <cell r="V365">
            <v>3.0986549489628779</v>
          </cell>
          <cell r="W365">
            <v>3.0986549489628779</v>
          </cell>
          <cell r="X365">
            <v>3.0986549489628779</v>
          </cell>
          <cell r="Y365">
            <v>3.0986549489628779</v>
          </cell>
          <cell r="Z365">
            <v>3.0986549489628779</v>
          </cell>
          <cell r="AA365">
            <v>3.0986549489628779</v>
          </cell>
          <cell r="AB365">
            <v>3.0986549489628779</v>
          </cell>
          <cell r="AC365">
            <v>3.0986549489628779</v>
          </cell>
          <cell r="AD365">
            <v>3.0986549489628779</v>
          </cell>
          <cell r="AE365">
            <v>3.0986549489628779</v>
          </cell>
          <cell r="AF365">
            <v>3.0986549489628779</v>
          </cell>
        </row>
        <row r="367">
          <cell r="A367" t="str">
            <v>Heifer Feedlot</v>
          </cell>
          <cell r="B367">
            <v>1990</v>
          </cell>
          <cell r="C367">
            <v>1991</v>
          </cell>
          <cell r="D367">
            <v>1992</v>
          </cell>
          <cell r="E367">
            <v>1993</v>
          </cell>
          <cell r="F367">
            <v>1994</v>
          </cell>
          <cell r="G367">
            <v>1995</v>
          </cell>
          <cell r="H367">
            <v>1996</v>
          </cell>
          <cell r="I367">
            <v>1997</v>
          </cell>
          <cell r="J367">
            <v>1998</v>
          </cell>
          <cell r="K367">
            <v>1999</v>
          </cell>
          <cell r="L367">
            <v>2000</v>
          </cell>
          <cell r="M367">
            <v>2001</v>
          </cell>
          <cell r="N367">
            <v>2002</v>
          </cell>
          <cell r="O367">
            <v>2003</v>
          </cell>
          <cell r="P367">
            <v>2004</v>
          </cell>
          <cell r="Q367">
            <v>2005</v>
          </cell>
          <cell r="R367">
            <v>2006</v>
          </cell>
          <cell r="S367">
            <v>2007</v>
          </cell>
          <cell r="T367">
            <v>2008</v>
          </cell>
          <cell r="U367">
            <v>2009</v>
          </cell>
          <cell r="V367">
            <v>2010</v>
          </cell>
          <cell r="W367">
            <v>2011</v>
          </cell>
          <cell r="X367">
            <v>2012</v>
          </cell>
          <cell r="Y367">
            <v>2013</v>
          </cell>
          <cell r="Z367">
            <v>2014</v>
          </cell>
          <cell r="AA367">
            <v>2015</v>
          </cell>
          <cell r="AB367">
            <v>2016</v>
          </cell>
          <cell r="AC367">
            <v>2017</v>
          </cell>
          <cell r="AD367">
            <v>2018</v>
          </cell>
          <cell r="AE367">
            <v>2019</v>
          </cell>
          <cell r="AF367">
            <v>2020</v>
          </cell>
        </row>
        <row r="368">
          <cell r="A368" t="str">
            <v>Alabama</v>
          </cell>
          <cell r="B368">
            <v>5.9650009860012503</v>
          </cell>
          <cell r="C368">
            <v>5.4750655162784696</v>
          </cell>
          <cell r="D368">
            <v>4.8147332224660557</v>
          </cell>
          <cell r="E368">
            <v>5.003135465299037</v>
          </cell>
          <cell r="F368">
            <v>4.6344819276432885</v>
          </cell>
          <cell r="G368">
            <v>4.1148462083253543</v>
          </cell>
          <cell r="H368">
            <v>4.0570114678938074</v>
          </cell>
          <cell r="I368">
            <v>3.7278299950638147</v>
          </cell>
          <cell r="J368">
            <v>3.7842215984630387</v>
          </cell>
          <cell r="K368">
            <v>3.6379573879681377</v>
          </cell>
          <cell r="L368">
            <v>3.6702424615904059</v>
          </cell>
          <cell r="M368">
            <v>3.6411940986803919</v>
          </cell>
          <cell r="N368">
            <v>3.5867907034068769</v>
          </cell>
          <cell r="O368">
            <v>3.4296861713248594</v>
          </cell>
          <cell r="P368">
            <v>3.5883655395041196</v>
          </cell>
          <cell r="Q368">
            <v>3.633697524009051</v>
          </cell>
          <cell r="R368">
            <v>3.3532868086574652</v>
          </cell>
          <cell r="S368">
            <v>3.5481663464751541</v>
          </cell>
          <cell r="T368">
            <v>3.5481663464751541</v>
          </cell>
          <cell r="U368">
            <v>3.5481663464751541</v>
          </cell>
          <cell r="V368">
            <v>3.5481663464751541</v>
          </cell>
          <cell r="W368">
            <v>3.5481663464751541</v>
          </cell>
          <cell r="X368">
            <v>3.5481663464751541</v>
          </cell>
          <cell r="Y368">
            <v>3.5481663464751541</v>
          </cell>
          <cell r="Z368">
            <v>3.5481663464751541</v>
          </cell>
          <cell r="AA368">
            <v>3.5481663464751541</v>
          </cell>
          <cell r="AB368">
            <v>3.5481663464751541</v>
          </cell>
          <cell r="AC368">
            <v>3.5481663464751541</v>
          </cell>
          <cell r="AD368">
            <v>3.5481663464751541</v>
          </cell>
          <cell r="AE368">
            <v>3.5481663464751541</v>
          </cell>
          <cell r="AF368">
            <v>3.5481663464751541</v>
          </cell>
        </row>
        <row r="369">
          <cell r="A369" t="str">
            <v>Alaska</v>
          </cell>
          <cell r="B369">
            <v>5.4591469705950875</v>
          </cell>
          <cell r="C369">
            <v>5.4761370418148072</v>
          </cell>
          <cell r="D369">
            <v>4.9337096277592698</v>
          </cell>
          <cell r="E369">
            <v>4.9519900388981108</v>
          </cell>
          <cell r="F369">
            <v>4.1555404247191099</v>
          </cell>
          <cell r="G369">
            <v>3.8739290024717037</v>
          </cell>
          <cell r="H369">
            <v>3.649747198721685</v>
          </cell>
          <cell r="I369">
            <v>3.9531815506087691</v>
          </cell>
          <cell r="J369">
            <v>3.8206412937481971</v>
          </cell>
          <cell r="K369">
            <v>4.0895664718061937</v>
          </cell>
          <cell r="L369">
            <v>3.7040298514788792</v>
          </cell>
          <cell r="M369">
            <v>3.6265145536491596</v>
          </cell>
          <cell r="N369">
            <v>3.6158876849538513</v>
          </cell>
          <cell r="O369">
            <v>3.6832947866564769</v>
          </cell>
          <cell r="P369">
            <v>3.3713682683774016</v>
          </cell>
          <cell r="Q369">
            <v>3.520040892245488</v>
          </cell>
          <cell r="R369">
            <v>3.4763677089497294</v>
          </cell>
          <cell r="S369">
            <v>3.5345006097483438</v>
          </cell>
          <cell r="T369">
            <v>3.5345006097483438</v>
          </cell>
          <cell r="U369">
            <v>3.5345006097483438</v>
          </cell>
          <cell r="V369">
            <v>3.5345006097483438</v>
          </cell>
          <cell r="W369">
            <v>3.5345006097483438</v>
          </cell>
          <cell r="X369">
            <v>3.5345006097483438</v>
          </cell>
          <cell r="Y369">
            <v>3.5345006097483438</v>
          </cell>
          <cell r="Z369">
            <v>3.5345006097483438</v>
          </cell>
          <cell r="AA369">
            <v>3.5345006097483438</v>
          </cell>
          <cell r="AB369">
            <v>3.5345006097483438</v>
          </cell>
          <cell r="AC369">
            <v>3.5345006097483438</v>
          </cell>
          <cell r="AD369">
            <v>3.5345006097483438</v>
          </cell>
          <cell r="AE369">
            <v>3.5345006097483438</v>
          </cell>
          <cell r="AF369">
            <v>3.5345006097483438</v>
          </cell>
        </row>
        <row r="370">
          <cell r="A370" t="str">
            <v>Arizona</v>
          </cell>
          <cell r="B370">
            <v>5.7944038308634482</v>
          </cell>
          <cell r="C370">
            <v>5.4023311018549558</v>
          </cell>
          <cell r="D370">
            <v>4.8571053575519327</v>
          </cell>
          <cell r="E370">
            <v>4.6509346031660135</v>
          </cell>
          <cell r="F370">
            <v>4.3297753092695883</v>
          </cell>
          <cell r="G370">
            <v>4.0267680988591721</v>
          </cell>
          <cell r="H370">
            <v>3.7316540129230829</v>
          </cell>
          <cell r="I370">
            <v>3.7074192873542522</v>
          </cell>
          <cell r="J370">
            <v>3.6495592528752057</v>
          </cell>
          <cell r="K370">
            <v>3.724989490590787</v>
          </cell>
          <cell r="L370">
            <v>3.5307398142009698</v>
          </cell>
          <cell r="M370">
            <v>3.5842176775767278</v>
          </cell>
          <cell r="N370">
            <v>3.5796539768188498</v>
          </cell>
          <cell r="O370">
            <v>3.5776130365517589</v>
          </cell>
          <cell r="P370">
            <v>3.5775102388327871</v>
          </cell>
          <cell r="Q370">
            <v>3.4724927288340299</v>
          </cell>
          <cell r="R370">
            <v>3.4934911569017575</v>
          </cell>
          <cell r="S370">
            <v>3.4787038244227215</v>
          </cell>
          <cell r="T370">
            <v>3.4787038244227215</v>
          </cell>
          <cell r="U370">
            <v>3.4787038244227215</v>
          </cell>
          <cell r="V370">
            <v>3.4787038244227215</v>
          </cell>
          <cell r="W370">
            <v>3.4787038244227215</v>
          </cell>
          <cell r="X370">
            <v>3.4787038244227215</v>
          </cell>
          <cell r="Y370">
            <v>3.4787038244227215</v>
          </cell>
          <cell r="Z370">
            <v>3.4787038244227215</v>
          </cell>
          <cell r="AA370">
            <v>3.4787038244227215</v>
          </cell>
          <cell r="AB370">
            <v>3.4787038244227215</v>
          </cell>
          <cell r="AC370">
            <v>3.4787038244227215</v>
          </cell>
          <cell r="AD370">
            <v>3.4787038244227215</v>
          </cell>
          <cell r="AE370">
            <v>3.4787038244227215</v>
          </cell>
          <cell r="AF370">
            <v>3.4787038244227215</v>
          </cell>
        </row>
        <row r="371">
          <cell r="A371" t="str">
            <v>Arkansas</v>
          </cell>
          <cell r="B371">
            <v>5.8726778196913818</v>
          </cell>
          <cell r="C371">
            <v>5.1523832547640325</v>
          </cell>
          <cell r="D371">
            <v>4.7381102781857622</v>
          </cell>
          <cell r="E371">
            <v>4.6573652368847371</v>
          </cell>
          <cell r="F371">
            <v>4.6344819276432885</v>
          </cell>
          <cell r="G371">
            <v>3.8777128366856357</v>
          </cell>
          <cell r="H371">
            <v>3.6203632397581651</v>
          </cell>
          <cell r="I371">
            <v>3.7050754740287521</v>
          </cell>
          <cell r="J371">
            <v>4.076985810543075</v>
          </cell>
          <cell r="K371">
            <v>3.4847213782222735</v>
          </cell>
          <cell r="L371">
            <v>3.8793042802676885</v>
          </cell>
          <cell r="M371">
            <v>3.6411940986803923</v>
          </cell>
          <cell r="N371">
            <v>3.4416772627836596</v>
          </cell>
          <cell r="O371">
            <v>3.5455421714619173</v>
          </cell>
          <cell r="P371">
            <v>3.8710311246406932</v>
          </cell>
          <cell r="Q371">
            <v>3.5348894528440029</v>
          </cell>
          <cell r="R371">
            <v>4.0569864493557617</v>
          </cell>
          <cell r="S371">
            <v>3.8792056511078314</v>
          </cell>
          <cell r="T371">
            <v>3.8792056511078314</v>
          </cell>
          <cell r="U371">
            <v>3.8792056511078314</v>
          </cell>
          <cell r="V371">
            <v>3.8792056511078314</v>
          </cell>
          <cell r="W371">
            <v>3.8792056511078314</v>
          </cell>
          <cell r="X371">
            <v>3.8792056511078314</v>
          </cell>
          <cell r="Y371">
            <v>3.8792056511078314</v>
          </cell>
          <cell r="Z371">
            <v>3.8792056511078314</v>
          </cell>
          <cell r="AA371">
            <v>3.8792056511078314</v>
          </cell>
          <cell r="AB371">
            <v>3.8792056511078314</v>
          </cell>
          <cell r="AC371">
            <v>3.8792056511078314</v>
          </cell>
          <cell r="AD371">
            <v>3.8792056511078314</v>
          </cell>
          <cell r="AE371">
            <v>3.8792056511078314</v>
          </cell>
          <cell r="AF371">
            <v>3.8792056511078314</v>
          </cell>
        </row>
        <row r="372">
          <cell r="A372" t="str">
            <v>California</v>
          </cell>
          <cell r="B372">
            <v>5.7271275217844932</v>
          </cell>
          <cell r="C372">
            <v>5.4529206551941449</v>
          </cell>
          <cell r="D372">
            <v>4.8792578071231461</v>
          </cell>
          <cell r="E372">
            <v>4.6067221226220356</v>
          </cell>
          <cell r="F372">
            <v>4.3929586214407239</v>
          </cell>
          <cell r="G372">
            <v>3.9607095167595374</v>
          </cell>
          <cell r="H372">
            <v>3.8296069657182832</v>
          </cell>
          <cell r="I372">
            <v>3.699007601752736</v>
          </cell>
          <cell r="J372">
            <v>3.6434695734245599</v>
          </cell>
          <cell r="K372">
            <v>3.6379573879681391</v>
          </cell>
          <cell r="L372">
            <v>3.6494622205773033</v>
          </cell>
          <cell r="M372">
            <v>3.5951981909158626</v>
          </cell>
          <cell r="N372">
            <v>3.5527797407608106</v>
          </cell>
          <cell r="O372">
            <v>3.5279882320472118</v>
          </cell>
          <cell r="P372">
            <v>3.5685044191978759</v>
          </cell>
          <cell r="Q372">
            <v>3.5094918684277436</v>
          </cell>
          <cell r="R372">
            <v>3.4832761896363373</v>
          </cell>
          <cell r="S372">
            <v>3.4787038244227202</v>
          </cell>
          <cell r="T372">
            <v>3.4787038244227202</v>
          </cell>
          <cell r="U372">
            <v>3.4787038244227202</v>
          </cell>
          <cell r="V372">
            <v>3.4787038244227202</v>
          </cell>
          <cell r="W372">
            <v>3.4787038244227202</v>
          </cell>
          <cell r="X372">
            <v>3.4787038244227202</v>
          </cell>
          <cell r="Y372">
            <v>3.4787038244227202</v>
          </cell>
          <cell r="Z372">
            <v>3.4787038244227202</v>
          </cell>
          <cell r="AA372">
            <v>3.4787038244227202</v>
          </cell>
          <cell r="AB372">
            <v>3.4787038244227202</v>
          </cell>
          <cell r="AC372">
            <v>3.4787038244227202</v>
          </cell>
          <cell r="AD372">
            <v>3.4787038244227202</v>
          </cell>
          <cell r="AE372">
            <v>3.4787038244227202</v>
          </cell>
          <cell r="AF372">
            <v>3.4787038244227202</v>
          </cell>
        </row>
        <row r="373">
          <cell r="A373" t="str">
            <v>Colorado</v>
          </cell>
          <cell r="B373">
            <v>5.7226526744378408</v>
          </cell>
          <cell r="C373">
            <v>5.2879640369129541</v>
          </cell>
          <cell r="D373">
            <v>4.8476893275328488</v>
          </cell>
          <cell r="E373">
            <v>4.6500656431737672</v>
          </cell>
          <cell r="F373">
            <v>4.3089294576334414</v>
          </cell>
          <cell r="G373">
            <v>4.0015012472547324</v>
          </cell>
          <cell r="H373">
            <v>3.7213507336662666</v>
          </cell>
          <cell r="I373">
            <v>3.7048741065859638</v>
          </cell>
          <cell r="J373">
            <v>3.6676690443960887</v>
          </cell>
          <cell r="K373">
            <v>3.6300313874640393</v>
          </cell>
          <cell r="L373">
            <v>3.6510784615449889</v>
          </cell>
          <cell r="M373">
            <v>3.6267702948517941</v>
          </cell>
          <cell r="N373">
            <v>3.5957853381562503</v>
          </cell>
          <cell r="O373">
            <v>3.6402321715739343</v>
          </cell>
          <cell r="P373">
            <v>3.5745295841909712</v>
          </cell>
          <cell r="Q373">
            <v>3.5151255144255331</v>
          </cell>
          <cell r="R373">
            <v>3.4885345959359149</v>
          </cell>
          <cell r="S373">
            <v>3.4733874284932718</v>
          </cell>
          <cell r="T373">
            <v>3.4733874284932718</v>
          </cell>
          <cell r="U373">
            <v>3.4733874284932718</v>
          </cell>
          <cell r="V373">
            <v>3.4733874284932718</v>
          </cell>
          <cell r="W373">
            <v>3.4733874284932718</v>
          </cell>
          <cell r="X373">
            <v>3.4733874284932718</v>
          </cell>
          <cell r="Y373">
            <v>3.4733874284932718</v>
          </cell>
          <cell r="Z373">
            <v>3.4733874284932718</v>
          </cell>
          <cell r="AA373">
            <v>3.4733874284932718</v>
          </cell>
          <cell r="AB373">
            <v>3.4733874284932718</v>
          </cell>
          <cell r="AC373">
            <v>3.4733874284932718</v>
          </cell>
          <cell r="AD373">
            <v>3.4733874284932718</v>
          </cell>
          <cell r="AE373">
            <v>3.4733874284932718</v>
          </cell>
          <cell r="AF373">
            <v>3.4733874284932718</v>
          </cell>
        </row>
        <row r="374">
          <cell r="A374" t="str">
            <v>Connecticut</v>
          </cell>
          <cell r="B374">
            <v>5.4591469705950875</v>
          </cell>
          <cell r="C374">
            <v>5.4761370418148099</v>
          </cell>
          <cell r="D374">
            <v>4.8117163011700095</v>
          </cell>
          <cell r="E374">
            <v>5.6794519831424841</v>
          </cell>
          <cell r="F374">
            <v>4.205650265121311</v>
          </cell>
          <cell r="G374">
            <v>4.088574465562913</v>
          </cell>
          <cell r="H374">
            <v>3.6850791522164306</v>
          </cell>
          <cell r="I374">
            <v>3.8983742626745062</v>
          </cell>
          <cell r="J374">
            <v>3.7007557346603814</v>
          </cell>
          <cell r="K374">
            <v>3.8883665896985837</v>
          </cell>
          <cell r="L374">
            <v>3.6025786196037122</v>
          </cell>
          <cell r="M374">
            <v>3.8571931184256747</v>
          </cell>
          <cell r="N374">
            <v>3.5749396575335646</v>
          </cell>
          <cell r="O374">
            <v>3.4971420883030553</v>
          </cell>
          <cell r="P374">
            <v>3.5771993807209119</v>
          </cell>
          <cell r="Q374">
            <v>3.479374757944766</v>
          </cell>
          <cell r="R374">
            <v>3.6372694951596185</v>
          </cell>
          <cell r="S374">
            <v>3.3829891808206614</v>
          </cell>
          <cell r="T374">
            <v>3.3829891808206614</v>
          </cell>
          <cell r="U374">
            <v>3.3829891808206614</v>
          </cell>
          <cell r="V374">
            <v>3.3829891808206614</v>
          </cell>
          <cell r="W374">
            <v>3.3829891808206614</v>
          </cell>
          <cell r="X374">
            <v>3.3829891808206614</v>
          </cell>
          <cell r="Y374">
            <v>3.3829891808206614</v>
          </cell>
          <cell r="Z374">
            <v>3.3829891808206614</v>
          </cell>
          <cell r="AA374">
            <v>3.3829891808206614</v>
          </cell>
          <cell r="AB374">
            <v>3.3829891808206614</v>
          </cell>
          <cell r="AC374">
            <v>3.3829891808206614</v>
          </cell>
          <cell r="AD374">
            <v>3.3829891808206614</v>
          </cell>
          <cell r="AE374">
            <v>3.3829891808206614</v>
          </cell>
          <cell r="AF374">
            <v>3.3829891808206614</v>
          </cell>
        </row>
        <row r="375">
          <cell r="A375" t="str">
            <v>Delaware</v>
          </cell>
          <cell r="B375">
            <v>5.3756714410565802</v>
          </cell>
          <cell r="C375">
            <v>5.7012947795146065</v>
          </cell>
          <cell r="D375">
            <v>4.911860076728356</v>
          </cell>
          <cell r="E375">
            <v>5.1338555249592046</v>
          </cell>
          <cell r="F375">
            <v>4.1906173130006517</v>
          </cell>
          <cell r="G375">
            <v>4.0885744655629122</v>
          </cell>
          <cell r="H375">
            <v>3.5908606095637734</v>
          </cell>
          <cell r="I375">
            <v>4.3389405387614532</v>
          </cell>
          <cell r="J375">
            <v>3.7984402642874899</v>
          </cell>
          <cell r="K375">
            <v>4.2738588007955176</v>
          </cell>
          <cell r="L375">
            <v>3.8485209999071452</v>
          </cell>
          <cell r="M375">
            <v>3.6207475895297474</v>
          </cell>
          <cell r="N375">
            <v>4.2255583154336991</v>
          </cell>
          <cell r="O375">
            <v>3.8763420293933581</v>
          </cell>
          <cell r="P375">
            <v>3.1214164199908812</v>
          </cell>
          <cell r="Q375">
            <v>3.7551109856423568</v>
          </cell>
          <cell r="R375">
            <v>3.5072285012783464</v>
          </cell>
          <cell r="S375">
            <v>3.3522477314730152</v>
          </cell>
          <cell r="T375">
            <v>3.3522477314730152</v>
          </cell>
          <cell r="U375">
            <v>3.3522477314730152</v>
          </cell>
          <cell r="V375">
            <v>3.3522477314730152</v>
          </cell>
          <cell r="W375">
            <v>3.3522477314730152</v>
          </cell>
          <cell r="X375">
            <v>3.3522477314730152</v>
          </cell>
          <cell r="Y375">
            <v>3.3522477314730152</v>
          </cell>
          <cell r="Z375">
            <v>3.3522477314730152</v>
          </cell>
          <cell r="AA375">
            <v>3.3522477314730152</v>
          </cell>
          <cell r="AB375">
            <v>3.3522477314730152</v>
          </cell>
          <cell r="AC375">
            <v>3.3522477314730152</v>
          </cell>
          <cell r="AD375">
            <v>3.3522477314730152</v>
          </cell>
          <cell r="AE375">
            <v>3.3522477314730152</v>
          </cell>
          <cell r="AF375">
            <v>3.3522477314730152</v>
          </cell>
        </row>
        <row r="376">
          <cell r="A376" t="str">
            <v>Florida</v>
          </cell>
          <cell r="B376">
            <v>5.5610871333955698</v>
          </cell>
          <cell r="C376">
            <v>6.0065421823022502</v>
          </cell>
          <cell r="D376">
            <v>4.9591249041320324</v>
          </cell>
          <cell r="E376">
            <v>4.8610572958675649</v>
          </cell>
          <cell r="F376">
            <v>4.1534080910849731</v>
          </cell>
          <cell r="G376">
            <v>4.0531579641528639</v>
          </cell>
          <cell r="H376">
            <v>3.7321884235427576</v>
          </cell>
          <cell r="I376">
            <v>3.712872672743162</v>
          </cell>
          <cell r="J376">
            <v>3.8206412937481966</v>
          </cell>
          <cell r="K376">
            <v>4.2552604923654016</v>
          </cell>
          <cell r="L376">
            <v>3.7040298514788779</v>
          </cell>
          <cell r="M376">
            <v>3.8187466909629211</v>
          </cell>
          <cell r="N376">
            <v>3.60155587535675</v>
          </cell>
          <cell r="O376">
            <v>3.5729820765211158</v>
          </cell>
          <cell r="P376">
            <v>3.5419914272937323</v>
          </cell>
          <cell r="Q376">
            <v>3.5607070265462126</v>
          </cell>
          <cell r="R376">
            <v>3.438057759852136</v>
          </cell>
          <cell r="S376">
            <v>3.3627876569636368</v>
          </cell>
          <cell r="T376">
            <v>3.3627876569636368</v>
          </cell>
          <cell r="U376">
            <v>3.3627876569636368</v>
          </cell>
          <cell r="V376">
            <v>3.3627876569636368</v>
          </cell>
          <cell r="W376">
            <v>3.3627876569636368</v>
          </cell>
          <cell r="X376">
            <v>3.3627876569636368</v>
          </cell>
          <cell r="Y376">
            <v>3.3627876569636368</v>
          </cell>
          <cell r="Z376">
            <v>3.3627876569636368</v>
          </cell>
          <cell r="AA376">
            <v>3.3627876569636368</v>
          </cell>
          <cell r="AB376">
            <v>3.3627876569636368</v>
          </cell>
          <cell r="AC376">
            <v>3.3627876569636368</v>
          </cell>
          <cell r="AD376">
            <v>3.3627876569636368</v>
          </cell>
          <cell r="AE376">
            <v>3.3627876569636368</v>
          </cell>
          <cell r="AF376">
            <v>3.3627876569636368</v>
          </cell>
        </row>
        <row r="377">
          <cell r="A377" t="str">
            <v>Georgia</v>
          </cell>
          <cell r="B377">
            <v>5.8407198005841181</v>
          </cell>
          <cell r="C377">
            <v>5.217631506173201</v>
          </cell>
          <cell r="D377">
            <v>4.7466239386613482</v>
          </cell>
          <cell r="E377">
            <v>4.7342030654212479</v>
          </cell>
          <cell r="F377">
            <v>4.5045485034203896</v>
          </cell>
          <cell r="G377">
            <v>3.8928893724705773</v>
          </cell>
          <cell r="H377">
            <v>4.0072667330429113</v>
          </cell>
          <cell r="I377">
            <v>4.160165894729996</v>
          </cell>
          <cell r="J377">
            <v>3.6716199784322563</v>
          </cell>
          <cell r="K377">
            <v>4.3275194318245198</v>
          </cell>
          <cell r="L377">
            <v>3.4786024611362309</v>
          </cell>
          <cell r="M377">
            <v>3.6411940986803915</v>
          </cell>
          <cell r="N377">
            <v>3.5867907034068764</v>
          </cell>
          <cell r="O377">
            <v>3.545542171461916</v>
          </cell>
          <cell r="P377">
            <v>3.4472043007293909</v>
          </cell>
          <cell r="Q377">
            <v>3.4658193798445245</v>
          </cell>
          <cell r="R377">
            <v>3.5292462302393646</v>
          </cell>
          <cell r="S377">
            <v>3.4026979845836127</v>
          </cell>
          <cell r="T377">
            <v>3.4026979845836127</v>
          </cell>
          <cell r="U377">
            <v>3.4026979845836127</v>
          </cell>
          <cell r="V377">
            <v>3.4026979845836127</v>
          </cell>
          <cell r="W377">
            <v>3.4026979845836127</v>
          </cell>
          <cell r="X377">
            <v>3.4026979845836127</v>
          </cell>
          <cell r="Y377">
            <v>3.4026979845836127</v>
          </cell>
          <cell r="Z377">
            <v>3.4026979845836127</v>
          </cell>
          <cell r="AA377">
            <v>3.4026979845836127</v>
          </cell>
          <cell r="AB377">
            <v>3.4026979845836127</v>
          </cell>
          <cell r="AC377">
            <v>3.4026979845836127</v>
          </cell>
          <cell r="AD377">
            <v>3.4026979845836127</v>
          </cell>
          <cell r="AE377">
            <v>3.4026979845836127</v>
          </cell>
          <cell r="AF377">
            <v>3.4026979845836127</v>
          </cell>
        </row>
        <row r="378">
          <cell r="A378" t="str">
            <v>Hawaii</v>
          </cell>
          <cell r="B378">
            <v>6.0371284596808374</v>
          </cell>
          <cell r="C378">
            <v>5.3864860719411727</v>
          </cell>
          <cell r="D378">
            <v>5.22338892529429</v>
          </cell>
          <cell r="E378">
            <v>5.5594207623421621</v>
          </cell>
          <cell r="F378">
            <v>4.3500845109864805</v>
          </cell>
          <cell r="G378">
            <v>4.2150619705988035</v>
          </cell>
          <cell r="H378">
            <v>3.6568135894206328</v>
          </cell>
          <cell r="I378">
            <v>3.9414371317657122</v>
          </cell>
          <cell r="J378">
            <v>3.6874351169839583</v>
          </cell>
          <cell r="K378">
            <v>4.5547842987608957</v>
          </cell>
          <cell r="L378">
            <v>3.5663460367911521</v>
          </cell>
          <cell r="M378">
            <v>3.9305908435818382</v>
          </cell>
          <cell r="N378">
            <v>3.4980483615999116</v>
          </cell>
          <cell r="O378">
            <v>3.6663236004818058</v>
          </cell>
          <cell r="P378">
            <v>3.4363675670121938</v>
          </cell>
          <cell r="Q378">
            <v>3.6081508498970574</v>
          </cell>
          <cell r="R378">
            <v>3.4380577598521378</v>
          </cell>
          <cell r="S378">
            <v>3.4373778988972652</v>
          </cell>
          <cell r="T378">
            <v>3.4373778988972652</v>
          </cell>
          <cell r="U378">
            <v>3.4373778988972652</v>
          </cell>
          <cell r="V378">
            <v>3.4373778988972652</v>
          </cell>
          <cell r="W378">
            <v>3.4373778988972652</v>
          </cell>
          <cell r="X378">
            <v>3.4373778988972652</v>
          </cell>
          <cell r="Y378">
            <v>3.4373778988972652</v>
          </cell>
          <cell r="Z378">
            <v>3.4373778988972652</v>
          </cell>
          <cell r="AA378">
            <v>3.4373778988972652</v>
          </cell>
          <cell r="AB378">
            <v>3.4373778988972652</v>
          </cell>
          <cell r="AC378">
            <v>3.4373778988972652</v>
          </cell>
          <cell r="AD378">
            <v>3.4373778988972652</v>
          </cell>
          <cell r="AE378">
            <v>3.4373778988972652</v>
          </cell>
          <cell r="AF378">
            <v>3.4373778988972652</v>
          </cell>
        </row>
        <row r="379">
          <cell r="A379" t="str">
            <v>Idaho</v>
          </cell>
          <cell r="B379">
            <v>5.8657535822181428</v>
          </cell>
          <cell r="C379">
            <v>5.1360200569184711</v>
          </cell>
          <cell r="D379">
            <v>4.836625492260425</v>
          </cell>
          <cell r="E379">
            <v>4.6957841511529912</v>
          </cell>
          <cell r="F379">
            <v>4.3218079121336395</v>
          </cell>
          <cell r="G379">
            <v>4.0006708812395635</v>
          </cell>
          <cell r="H379">
            <v>3.7585430587884332</v>
          </cell>
          <cell r="I379">
            <v>3.7278299950638147</v>
          </cell>
          <cell r="J379">
            <v>3.6334499377438556</v>
          </cell>
          <cell r="K379">
            <v>3.6379573879681364</v>
          </cell>
          <cell r="L379">
            <v>3.6337396043610393</v>
          </cell>
          <cell r="M379">
            <v>3.6229979153889298</v>
          </cell>
          <cell r="N379">
            <v>3.5705466615460679</v>
          </cell>
          <cell r="O379">
            <v>3.6025205321850589</v>
          </cell>
          <cell r="P379">
            <v>3.5853114583891426</v>
          </cell>
          <cell r="Q379">
            <v>3.5439479246191352</v>
          </cell>
          <cell r="R379">
            <v>3.5383987936043217</v>
          </cell>
          <cell r="S379">
            <v>3.5127086964997574</v>
          </cell>
          <cell r="T379">
            <v>3.5127086964997574</v>
          </cell>
          <cell r="U379">
            <v>3.5127086964997574</v>
          </cell>
          <cell r="V379">
            <v>3.5127086964997574</v>
          </cell>
          <cell r="W379">
            <v>3.5127086964997574</v>
          </cell>
          <cell r="X379">
            <v>3.5127086964997574</v>
          </cell>
          <cell r="Y379">
            <v>3.5127086964997574</v>
          </cell>
          <cell r="Z379">
            <v>3.5127086964997574</v>
          </cell>
          <cell r="AA379">
            <v>3.5127086964997574</v>
          </cell>
          <cell r="AB379">
            <v>3.5127086964997574</v>
          </cell>
          <cell r="AC379">
            <v>3.5127086964997574</v>
          </cell>
          <cell r="AD379">
            <v>3.5127086964997574</v>
          </cell>
          <cell r="AE379">
            <v>3.5127086964997574</v>
          </cell>
          <cell r="AF379">
            <v>3.5127086964997574</v>
          </cell>
        </row>
        <row r="380">
          <cell r="A380" t="str">
            <v>Illinois</v>
          </cell>
          <cell r="B380">
            <v>5.8012018199676092</v>
          </cell>
          <cell r="C380">
            <v>5.2344645931460816</v>
          </cell>
          <cell r="D380">
            <v>4.8688200066639098</v>
          </cell>
          <cell r="E380">
            <v>4.7155757130487599</v>
          </cell>
          <cell r="F380">
            <v>4.3134699383867163</v>
          </cell>
          <cell r="G380">
            <v>4.0796149645388819</v>
          </cell>
          <cell r="H380">
            <v>3.7413897019432962</v>
          </cell>
          <cell r="I380">
            <v>3.7686164006926988</v>
          </cell>
          <cell r="J380">
            <v>3.6986443672396438</v>
          </cell>
          <cell r="K380">
            <v>3.6379573879681359</v>
          </cell>
          <cell r="L380">
            <v>3.6941974616471791</v>
          </cell>
          <cell r="M380">
            <v>3.6806191624785596</v>
          </cell>
          <cell r="N380">
            <v>3.5867907034068764</v>
          </cell>
          <cell r="O380">
            <v>3.572485427307742</v>
          </cell>
          <cell r="P380">
            <v>3.6281694083268761</v>
          </cell>
          <cell r="Q380">
            <v>3.5090081049150537</v>
          </cell>
          <cell r="R380">
            <v>3.5121288748326736</v>
          </cell>
          <cell r="S380">
            <v>3.4507618365144559</v>
          </cell>
          <cell r="T380">
            <v>3.4507618365144559</v>
          </cell>
          <cell r="U380">
            <v>3.4507618365144559</v>
          </cell>
          <cell r="V380">
            <v>3.4507618365144559</v>
          </cell>
          <cell r="W380">
            <v>3.4507618365144559</v>
          </cell>
          <cell r="X380">
            <v>3.4507618365144559</v>
          </cell>
          <cell r="Y380">
            <v>3.4507618365144559</v>
          </cell>
          <cell r="Z380">
            <v>3.4507618365144559</v>
          </cell>
          <cell r="AA380">
            <v>3.4507618365144559</v>
          </cell>
          <cell r="AB380">
            <v>3.4507618365144559</v>
          </cell>
          <cell r="AC380">
            <v>3.4507618365144559</v>
          </cell>
          <cell r="AD380">
            <v>3.4507618365144559</v>
          </cell>
          <cell r="AE380">
            <v>3.4507618365144559</v>
          </cell>
          <cell r="AF380">
            <v>3.4507618365144559</v>
          </cell>
        </row>
        <row r="381">
          <cell r="A381" t="str">
            <v>Indiana</v>
          </cell>
          <cell r="B381">
            <v>5.7194606500707428</v>
          </cell>
          <cell r="C381">
            <v>5.3874926565359154</v>
          </cell>
          <cell r="D381">
            <v>4.8439229155252166</v>
          </cell>
          <cell r="E381">
            <v>4.6957841511529912</v>
          </cell>
          <cell r="F381">
            <v>4.3617424179741704</v>
          </cell>
          <cell r="G381">
            <v>3.9668749844221698</v>
          </cell>
          <cell r="H381">
            <v>3.7585430587884314</v>
          </cell>
          <cell r="I381">
            <v>3.7278299950638147</v>
          </cell>
          <cell r="J381">
            <v>3.751103474924574</v>
          </cell>
          <cell r="K381">
            <v>3.651887934308669</v>
          </cell>
          <cell r="L381">
            <v>3.8250286158033941</v>
          </cell>
          <cell r="M381">
            <v>3.7487169999481238</v>
          </cell>
          <cell r="N381">
            <v>3.5631309033052641</v>
          </cell>
          <cell r="O381">
            <v>3.5455421714619173</v>
          </cell>
          <cell r="P381">
            <v>3.6397342519608675</v>
          </cell>
          <cell r="Q381">
            <v>3.4479281238027348</v>
          </cell>
          <cell r="R381">
            <v>3.5470708279814374</v>
          </cell>
          <cell r="S381">
            <v>3.5060107671512504</v>
          </cell>
          <cell r="T381">
            <v>3.5060107671512504</v>
          </cell>
          <cell r="U381">
            <v>3.5060107671512504</v>
          </cell>
          <cell r="V381">
            <v>3.5060107671512504</v>
          </cell>
          <cell r="W381">
            <v>3.5060107671512504</v>
          </cell>
          <cell r="X381">
            <v>3.5060107671512504</v>
          </cell>
          <cell r="Y381">
            <v>3.5060107671512504</v>
          </cell>
          <cell r="Z381">
            <v>3.5060107671512504</v>
          </cell>
          <cell r="AA381">
            <v>3.5060107671512504</v>
          </cell>
          <cell r="AB381">
            <v>3.5060107671512504</v>
          </cell>
          <cell r="AC381">
            <v>3.5060107671512504</v>
          </cell>
          <cell r="AD381">
            <v>3.5060107671512504</v>
          </cell>
          <cell r="AE381">
            <v>3.5060107671512504</v>
          </cell>
          <cell r="AF381">
            <v>3.5060107671512504</v>
          </cell>
        </row>
        <row r="382">
          <cell r="A382" t="str">
            <v>Iowa</v>
          </cell>
          <cell r="B382">
            <v>5.6917997795740849</v>
          </cell>
          <cell r="C382">
            <v>5.3099465520769069</v>
          </cell>
          <cell r="D382">
            <v>4.9192190555755477</v>
          </cell>
          <cell r="E382">
            <v>4.6884457068545595</v>
          </cell>
          <cell r="F382">
            <v>4.2985159637319077</v>
          </cell>
          <cell r="G382">
            <v>3.9969570464244661</v>
          </cell>
          <cell r="H382">
            <v>3.7640702515496414</v>
          </cell>
          <cell r="I382">
            <v>3.6845964050971958</v>
          </cell>
          <cell r="J382">
            <v>3.6716199784322563</v>
          </cell>
          <cell r="K382">
            <v>3.6289435050419088</v>
          </cell>
          <cell r="L382">
            <v>3.6284300978549502</v>
          </cell>
          <cell r="M382">
            <v>3.6693548585362268</v>
          </cell>
          <cell r="N382">
            <v>3.6027958622991432</v>
          </cell>
          <cell r="O382">
            <v>3.5083407035279994</v>
          </cell>
          <cell r="P382">
            <v>3.669523570547494</v>
          </cell>
          <cell r="Q382">
            <v>3.5526125497953478</v>
          </cell>
          <cell r="R382">
            <v>3.4985074354695964</v>
          </cell>
          <cell r="S382">
            <v>3.5117727825893805</v>
          </cell>
          <cell r="T382">
            <v>3.5117727825893805</v>
          </cell>
          <cell r="U382">
            <v>3.5117727825893805</v>
          </cell>
          <cell r="V382">
            <v>3.5117727825893805</v>
          </cell>
          <cell r="W382">
            <v>3.5117727825893805</v>
          </cell>
          <cell r="X382">
            <v>3.5117727825893805</v>
          </cell>
          <cell r="Y382">
            <v>3.5117727825893805</v>
          </cell>
          <cell r="Z382">
            <v>3.5117727825893805</v>
          </cell>
          <cell r="AA382">
            <v>3.5117727825893805</v>
          </cell>
          <cell r="AB382">
            <v>3.5117727825893805</v>
          </cell>
          <cell r="AC382">
            <v>3.5117727825893805</v>
          </cell>
          <cell r="AD382">
            <v>3.5117727825893805</v>
          </cell>
          <cell r="AE382">
            <v>3.5117727825893805</v>
          </cell>
          <cell r="AF382">
            <v>3.5117727825893805</v>
          </cell>
        </row>
        <row r="383">
          <cell r="A383" t="str">
            <v>Kansas</v>
          </cell>
          <cell r="B383">
            <v>5.6755866715502501</v>
          </cell>
          <cell r="C383">
            <v>5.2537372579411219</v>
          </cell>
          <cell r="D383">
            <v>4.8214693054797086</v>
          </cell>
          <cell r="E383">
            <v>4.6340462938960432</v>
          </cell>
          <cell r="F383">
            <v>4.3157628811671191</v>
          </cell>
          <cell r="G383">
            <v>3.9818655332489628</v>
          </cell>
          <cell r="H383">
            <v>3.7202778781338965</v>
          </cell>
          <cell r="I383">
            <v>3.725882536056309</v>
          </cell>
          <cell r="J383">
            <v>3.6431132391839576</v>
          </cell>
          <cell r="K383">
            <v>3.6826512241440139</v>
          </cell>
          <cell r="L383">
            <v>3.6193001829886633</v>
          </cell>
          <cell r="M383">
            <v>3.6218838633506767</v>
          </cell>
          <cell r="N383">
            <v>3.5695835760602499</v>
          </cell>
          <cell r="O383">
            <v>3.620538242979209</v>
          </cell>
          <cell r="P383">
            <v>3.5300108778243273</v>
          </cell>
          <cell r="Q383">
            <v>3.539308219563579</v>
          </cell>
          <cell r="R383">
            <v>3.4787964114500856</v>
          </cell>
          <cell r="S383">
            <v>3.4626531786967911</v>
          </cell>
          <cell r="T383">
            <v>3.4626531786967911</v>
          </cell>
          <cell r="U383">
            <v>3.4626531786967911</v>
          </cell>
          <cell r="V383">
            <v>3.4626531786967911</v>
          </cell>
          <cell r="W383">
            <v>3.4626531786967911</v>
          </cell>
          <cell r="X383">
            <v>3.4626531786967911</v>
          </cell>
          <cell r="Y383">
            <v>3.4626531786967911</v>
          </cell>
          <cell r="Z383">
            <v>3.4626531786967911</v>
          </cell>
          <cell r="AA383">
            <v>3.4626531786967911</v>
          </cell>
          <cell r="AB383">
            <v>3.4626531786967911</v>
          </cell>
          <cell r="AC383">
            <v>3.4626531786967911</v>
          </cell>
          <cell r="AD383">
            <v>3.4626531786967911</v>
          </cell>
          <cell r="AE383">
            <v>3.4626531786967911</v>
          </cell>
          <cell r="AF383">
            <v>3.4626531786967911</v>
          </cell>
        </row>
        <row r="384">
          <cell r="A384" t="str">
            <v>Kentucky</v>
          </cell>
          <cell r="B384">
            <v>5.907299007057583</v>
          </cell>
          <cell r="C384">
            <v>5.0574767072597853</v>
          </cell>
          <cell r="D384">
            <v>4.8147332224660548</v>
          </cell>
          <cell r="E384">
            <v>4.6957841511529912</v>
          </cell>
          <cell r="F384">
            <v>4.2561463688766148</v>
          </cell>
          <cell r="G384">
            <v>3.9915368550727011</v>
          </cell>
          <cell r="H384">
            <v>4.0570114678938083</v>
          </cell>
          <cell r="I384">
            <v>3.8359139699803602</v>
          </cell>
          <cell r="J384">
            <v>3.6716199784322563</v>
          </cell>
          <cell r="K384">
            <v>3.7911933977139989</v>
          </cell>
          <cell r="L384">
            <v>3.6702424615904059</v>
          </cell>
          <cell r="M384">
            <v>3.4933501094372614</v>
          </cell>
          <cell r="N384">
            <v>3.7681825041858961</v>
          </cell>
          <cell r="O384">
            <v>3.8351821718045591</v>
          </cell>
          <cell r="P384">
            <v>3.5853114583891426</v>
          </cell>
          <cell r="Q384">
            <v>3.5348894528440029</v>
          </cell>
          <cell r="R384">
            <v>3.3123477641742074</v>
          </cell>
          <cell r="S384">
            <v>3.3285156394158024</v>
          </cell>
          <cell r="T384">
            <v>3.3285156394158024</v>
          </cell>
          <cell r="U384">
            <v>3.3285156394158024</v>
          </cell>
          <cell r="V384">
            <v>3.3285156394158024</v>
          </cell>
          <cell r="W384">
            <v>3.3285156394158024</v>
          </cell>
          <cell r="X384">
            <v>3.3285156394158024</v>
          </cell>
          <cell r="Y384">
            <v>3.3285156394158024</v>
          </cell>
          <cell r="Z384">
            <v>3.3285156394158024</v>
          </cell>
          <cell r="AA384">
            <v>3.3285156394158024</v>
          </cell>
          <cell r="AB384">
            <v>3.3285156394158024</v>
          </cell>
          <cell r="AC384">
            <v>3.3285156394158024</v>
          </cell>
          <cell r="AD384">
            <v>3.3285156394158024</v>
          </cell>
          <cell r="AE384">
            <v>3.3285156394158024</v>
          </cell>
          <cell r="AF384">
            <v>3.3285156394158024</v>
          </cell>
        </row>
        <row r="385">
          <cell r="A385" t="str">
            <v>Louisiana</v>
          </cell>
          <cell r="B385">
            <v>5.7341930702265751</v>
          </cell>
          <cell r="C385">
            <v>5.42523957883874</v>
          </cell>
          <cell r="D385">
            <v>4.7466239386613482</v>
          </cell>
          <cell r="E385">
            <v>5.2182813852012675</v>
          </cell>
          <cell r="F385">
            <v>4.6191956424405936</v>
          </cell>
          <cell r="G385">
            <v>3.7942418898684562</v>
          </cell>
          <cell r="H385">
            <v>4.0901746244610715</v>
          </cell>
          <cell r="I385">
            <v>3.7278299950638147</v>
          </cell>
          <cell r="J385">
            <v>4.572432938678519</v>
          </cell>
          <cell r="K385">
            <v>3.3855595518953261</v>
          </cell>
          <cell r="L385">
            <v>3.654604892360207</v>
          </cell>
          <cell r="M385">
            <v>3.7792611708660417</v>
          </cell>
          <cell r="N385">
            <v>3.6030706194605102</v>
          </cell>
          <cell r="O385">
            <v>3.5729820765211167</v>
          </cell>
          <cell r="P385">
            <v>3.4697224702589962</v>
          </cell>
          <cell r="Q385">
            <v>3.5322407325357057</v>
          </cell>
          <cell r="R385">
            <v>3.4642698302873312</v>
          </cell>
          <cell r="S385">
            <v>3.4684571663696104</v>
          </cell>
          <cell r="T385">
            <v>3.4684571663696104</v>
          </cell>
          <cell r="U385">
            <v>3.4684571663696104</v>
          </cell>
          <cell r="V385">
            <v>3.4684571663696104</v>
          </cell>
          <cell r="W385">
            <v>3.4684571663696104</v>
          </cell>
          <cell r="X385">
            <v>3.4684571663696104</v>
          </cell>
          <cell r="Y385">
            <v>3.4684571663696104</v>
          </cell>
          <cell r="Z385">
            <v>3.4684571663696104</v>
          </cell>
          <cell r="AA385">
            <v>3.4684571663696104</v>
          </cell>
          <cell r="AB385">
            <v>3.4684571663696104</v>
          </cell>
          <cell r="AC385">
            <v>3.4684571663696104</v>
          </cell>
          <cell r="AD385">
            <v>3.4684571663696104</v>
          </cell>
          <cell r="AE385">
            <v>3.4684571663696104</v>
          </cell>
          <cell r="AF385">
            <v>3.4684571663696104</v>
          </cell>
        </row>
        <row r="386">
          <cell r="A386" t="str">
            <v>Maine</v>
          </cell>
          <cell r="B386">
            <v>5.5187723488368796</v>
          </cell>
          <cell r="C386">
            <v>5.3763512262433064</v>
          </cell>
          <cell r="D386">
            <v>5.0150385121521115</v>
          </cell>
          <cell r="E386">
            <v>5.3520941082325155</v>
          </cell>
          <cell r="F386">
            <v>4.1471887846520756</v>
          </cell>
          <cell r="G386">
            <v>4.3837119773133262</v>
          </cell>
          <cell r="H386">
            <v>3.6002824638290378</v>
          </cell>
          <cell r="I386">
            <v>3.7978942347950282</v>
          </cell>
          <cell r="J386">
            <v>3.94052685283601</v>
          </cell>
          <cell r="K386">
            <v>4.2828761624586029</v>
          </cell>
          <cell r="L386">
            <v>3.5518530036661291</v>
          </cell>
          <cell r="M386">
            <v>3.8187466909629215</v>
          </cell>
          <cell r="N386">
            <v>3.6015558753567505</v>
          </cell>
          <cell r="O386">
            <v>3.5729820765211171</v>
          </cell>
          <cell r="P386">
            <v>3.4363675670121938</v>
          </cell>
          <cell r="Q386">
            <v>3.5607070265462126</v>
          </cell>
          <cell r="R386">
            <v>3.3550528701406863</v>
          </cell>
          <cell r="S386">
            <v>3.6860120386760267</v>
          </cell>
          <cell r="T386">
            <v>3.6860120386760267</v>
          </cell>
          <cell r="U386">
            <v>3.6860120386760267</v>
          </cell>
          <cell r="V386">
            <v>3.6860120386760267</v>
          </cell>
          <cell r="W386">
            <v>3.6860120386760267</v>
          </cell>
          <cell r="X386">
            <v>3.6860120386760267</v>
          </cell>
          <cell r="Y386">
            <v>3.6860120386760267</v>
          </cell>
          <cell r="Z386">
            <v>3.6860120386760267</v>
          </cell>
          <cell r="AA386">
            <v>3.6860120386760267</v>
          </cell>
          <cell r="AB386">
            <v>3.6860120386760267</v>
          </cell>
          <cell r="AC386">
            <v>3.6860120386760267</v>
          </cell>
          <cell r="AD386">
            <v>3.6860120386760267</v>
          </cell>
          <cell r="AE386">
            <v>3.6860120386760267</v>
          </cell>
          <cell r="AF386">
            <v>3.6860120386760267</v>
          </cell>
        </row>
        <row r="387">
          <cell r="A387" t="str">
            <v>Maryland</v>
          </cell>
          <cell r="B387">
            <v>5.7341930702265769</v>
          </cell>
          <cell r="C387">
            <v>5.1761098916400936</v>
          </cell>
          <cell r="D387">
            <v>4.8555987927488786</v>
          </cell>
          <cell r="E387">
            <v>4.6189463226164804</v>
          </cell>
          <cell r="F387">
            <v>4.2879927963822242</v>
          </cell>
          <cell r="G387">
            <v>3.9422131137716399</v>
          </cell>
          <cell r="H387">
            <v>3.8463278849958948</v>
          </cell>
          <cell r="I387">
            <v>3.9636495766999138</v>
          </cell>
          <cell r="J387">
            <v>3.5515115837327547</v>
          </cell>
          <cell r="K387">
            <v>3.7086817001585346</v>
          </cell>
          <cell r="L387">
            <v>3.534967167152165</v>
          </cell>
          <cell r="M387">
            <v>4.0551572685611577</v>
          </cell>
          <cell r="N387">
            <v>3.4612117644060159</v>
          </cell>
          <cell r="O387">
            <v>3.5455421714619164</v>
          </cell>
          <cell r="P387">
            <v>3.6892095188442533</v>
          </cell>
          <cell r="Q387">
            <v>3.4895970939683427</v>
          </cell>
          <cell r="R387">
            <v>3.4985074354695973</v>
          </cell>
          <cell r="S387">
            <v>3.5988543724282529</v>
          </cell>
          <cell r="T387">
            <v>3.5988543724282529</v>
          </cell>
          <cell r="U387">
            <v>3.5988543724282529</v>
          </cell>
          <cell r="V387">
            <v>3.5988543724282529</v>
          </cell>
          <cell r="W387">
            <v>3.5988543724282529</v>
          </cell>
          <cell r="X387">
            <v>3.5988543724282529</v>
          </cell>
          <cell r="Y387">
            <v>3.5988543724282529</v>
          </cell>
          <cell r="Z387">
            <v>3.5988543724282529</v>
          </cell>
          <cell r="AA387">
            <v>3.5988543724282529</v>
          </cell>
          <cell r="AB387">
            <v>3.5988543724282529</v>
          </cell>
          <cell r="AC387">
            <v>3.5988543724282529</v>
          </cell>
          <cell r="AD387">
            <v>3.5988543724282529</v>
          </cell>
          <cell r="AE387">
            <v>3.5988543724282529</v>
          </cell>
          <cell r="AF387">
            <v>3.5988543724282529</v>
          </cell>
        </row>
        <row r="388">
          <cell r="A388" t="str">
            <v>Massachusetts</v>
          </cell>
          <cell r="B388">
            <v>5.7721802063644914</v>
          </cell>
          <cell r="C388">
            <v>5.4761370418148072</v>
          </cell>
          <cell r="D388">
            <v>5.0150385121521115</v>
          </cell>
          <cell r="E388">
            <v>5.1338555249592037</v>
          </cell>
          <cell r="F388">
            <v>4.1179580444174588</v>
          </cell>
          <cell r="G388">
            <v>3.9705194608627488</v>
          </cell>
          <cell r="H388">
            <v>3.6850791522164301</v>
          </cell>
          <cell r="I388">
            <v>4.0490943044937255</v>
          </cell>
          <cell r="J388">
            <v>4.0204505588945532</v>
          </cell>
          <cell r="K388">
            <v>4.4749851718026123</v>
          </cell>
          <cell r="L388">
            <v>3.4286622221034264</v>
          </cell>
          <cell r="M388">
            <v>3.8571931184256747</v>
          </cell>
          <cell r="N388">
            <v>3.6636603836108552</v>
          </cell>
          <cell r="O388">
            <v>3.4863078042719038</v>
          </cell>
          <cell r="P388">
            <v>3.4759765146177717</v>
          </cell>
          <cell r="Q388">
            <v>3.7201182730050499</v>
          </cell>
          <cell r="R388">
            <v>3.438057759852136</v>
          </cell>
          <cell r="S388">
            <v>3.3829891808206614</v>
          </cell>
          <cell r="T388">
            <v>3.3829891808206614</v>
          </cell>
          <cell r="U388">
            <v>3.3829891808206614</v>
          </cell>
          <cell r="V388">
            <v>3.3829891808206614</v>
          </cell>
          <cell r="W388">
            <v>3.3829891808206614</v>
          </cell>
          <cell r="X388">
            <v>3.3829891808206614</v>
          </cell>
          <cell r="Y388">
            <v>3.3829891808206614</v>
          </cell>
          <cell r="Z388">
            <v>3.3829891808206614</v>
          </cell>
          <cell r="AA388">
            <v>3.3829891808206614</v>
          </cell>
          <cell r="AB388">
            <v>3.3829891808206614</v>
          </cell>
          <cell r="AC388">
            <v>3.3829891808206614</v>
          </cell>
          <cell r="AD388">
            <v>3.3829891808206614</v>
          </cell>
          <cell r="AE388">
            <v>3.3829891808206614</v>
          </cell>
          <cell r="AF388">
            <v>3.3829891808206614</v>
          </cell>
        </row>
        <row r="389">
          <cell r="A389" t="str">
            <v>Michigan</v>
          </cell>
          <cell r="B389">
            <v>5.7027192635300299</v>
          </cell>
          <cell r="C389">
            <v>5.3133117483581902</v>
          </cell>
          <cell r="D389">
            <v>4.8731126085843748</v>
          </cell>
          <cell r="E389">
            <v>4.6660968083093399</v>
          </cell>
          <cell r="F389">
            <v>4.3032790815849191</v>
          </cell>
          <cell r="G389">
            <v>4.0267680988591721</v>
          </cell>
          <cell r="H389">
            <v>3.7834154262138799</v>
          </cell>
          <cell r="I389">
            <v>3.7278299950638147</v>
          </cell>
          <cell r="J389">
            <v>3.6716199784322558</v>
          </cell>
          <cell r="K389">
            <v>3.6379573879681391</v>
          </cell>
          <cell r="L389">
            <v>3.6702424615904059</v>
          </cell>
          <cell r="M389">
            <v>3.6723191490473672</v>
          </cell>
          <cell r="N389">
            <v>3.5867907034068769</v>
          </cell>
          <cell r="O389">
            <v>3.5777243937222107</v>
          </cell>
          <cell r="P389">
            <v>3.5036772680315571</v>
          </cell>
          <cell r="Q389">
            <v>3.5921008535290477</v>
          </cell>
          <cell r="R389">
            <v>3.498507435469596</v>
          </cell>
          <cell r="S389">
            <v>3.530196916425091</v>
          </cell>
          <cell r="T389">
            <v>3.530196916425091</v>
          </cell>
          <cell r="U389">
            <v>3.530196916425091</v>
          </cell>
          <cell r="V389">
            <v>3.530196916425091</v>
          </cell>
          <cell r="W389">
            <v>3.530196916425091</v>
          </cell>
          <cell r="X389">
            <v>3.530196916425091</v>
          </cell>
          <cell r="Y389">
            <v>3.530196916425091</v>
          </cell>
          <cell r="Z389">
            <v>3.530196916425091</v>
          </cell>
          <cell r="AA389">
            <v>3.530196916425091</v>
          </cell>
          <cell r="AB389">
            <v>3.530196916425091</v>
          </cell>
          <cell r="AC389">
            <v>3.530196916425091</v>
          </cell>
          <cell r="AD389">
            <v>3.530196916425091</v>
          </cell>
          <cell r="AE389">
            <v>3.530196916425091</v>
          </cell>
          <cell r="AF389">
            <v>3.530196916425091</v>
          </cell>
        </row>
        <row r="390">
          <cell r="A390" t="str">
            <v>Minnesota</v>
          </cell>
          <cell r="B390">
            <v>5.7572738618040438</v>
          </cell>
          <cell r="C390">
            <v>5.2640380165337328</v>
          </cell>
          <cell r="D390">
            <v>4.8740542115862819</v>
          </cell>
          <cell r="E390">
            <v>4.6562010273614556</v>
          </cell>
          <cell r="F390">
            <v>4.3278008307642422</v>
          </cell>
          <cell r="G390">
            <v>4.0244193492734084</v>
          </cell>
          <cell r="H390">
            <v>3.720277878133897</v>
          </cell>
          <cell r="I390">
            <v>3.78850871782398</v>
          </cell>
          <cell r="J390">
            <v>3.705612920328341</v>
          </cell>
          <cell r="K390">
            <v>3.6294442763155899</v>
          </cell>
          <cell r="L390">
            <v>3.6399835141502734</v>
          </cell>
          <cell r="M390">
            <v>3.63099796149121</v>
          </cell>
          <cell r="N390">
            <v>3.5963376402899825</v>
          </cell>
          <cell r="O390">
            <v>3.5165781714276521</v>
          </cell>
          <cell r="P390">
            <v>3.5668779315342056</v>
          </cell>
          <cell r="Q390">
            <v>3.5723727843273072</v>
          </cell>
          <cell r="R390">
            <v>3.4985074354695964</v>
          </cell>
          <cell r="S390">
            <v>3.4892433461775911</v>
          </cell>
          <cell r="T390">
            <v>3.4892433461775911</v>
          </cell>
          <cell r="U390">
            <v>3.4892433461775911</v>
          </cell>
          <cell r="V390">
            <v>3.4892433461775911</v>
          </cell>
          <cell r="W390">
            <v>3.4892433461775911</v>
          </cell>
          <cell r="X390">
            <v>3.4892433461775911</v>
          </cell>
          <cell r="Y390">
            <v>3.4892433461775911</v>
          </cell>
          <cell r="Z390">
            <v>3.4892433461775911</v>
          </cell>
          <cell r="AA390">
            <v>3.4892433461775911</v>
          </cell>
          <cell r="AB390">
            <v>3.4892433461775911</v>
          </cell>
          <cell r="AC390">
            <v>3.4892433461775911</v>
          </cell>
          <cell r="AD390">
            <v>3.4892433461775911</v>
          </cell>
          <cell r="AE390">
            <v>3.4892433461775911</v>
          </cell>
          <cell r="AF390">
            <v>3.4892433461775911</v>
          </cell>
        </row>
        <row r="391">
          <cell r="A391" t="str">
            <v>Mississippi</v>
          </cell>
          <cell r="B391">
            <v>6.0804049438885865</v>
          </cell>
          <cell r="C391">
            <v>5.268380146158111</v>
          </cell>
          <cell r="D391">
            <v>4.8147332224660548</v>
          </cell>
          <cell r="E391">
            <v>4.630471996896957</v>
          </cell>
          <cell r="F391">
            <v>4.7720584944675331</v>
          </cell>
          <cell r="G391">
            <v>4.1148462083253543</v>
          </cell>
          <cell r="H391">
            <v>3.7585430587884323</v>
          </cell>
          <cell r="I391">
            <v>3.7278299950638143</v>
          </cell>
          <cell r="J391">
            <v>3.8217554718066324</v>
          </cell>
          <cell r="K391">
            <v>3.5004543577456833</v>
          </cell>
          <cell r="L391">
            <v>3.8212235158863983</v>
          </cell>
          <cell r="M391">
            <v>3.6232191455809226</v>
          </cell>
          <cell r="N391">
            <v>3.5727757373853368</v>
          </cell>
          <cell r="O391">
            <v>3.5804724457278381</v>
          </cell>
          <cell r="P391">
            <v>3.4701672023022874</v>
          </cell>
          <cell r="Q391">
            <v>3.4711501465131587</v>
          </cell>
          <cell r="R391">
            <v>3.5556480202766934</v>
          </cell>
          <cell r="S391">
            <v>3.4166583872490346</v>
          </cell>
          <cell r="T391">
            <v>3.4166583872490346</v>
          </cell>
          <cell r="U391">
            <v>3.4166583872490346</v>
          </cell>
          <cell r="V391">
            <v>3.4166583872490346</v>
          </cell>
          <cell r="W391">
            <v>3.4166583872490346</v>
          </cell>
          <cell r="X391">
            <v>3.4166583872490346</v>
          </cell>
          <cell r="Y391">
            <v>3.4166583872490346</v>
          </cell>
          <cell r="Z391">
            <v>3.4166583872490346</v>
          </cell>
          <cell r="AA391">
            <v>3.4166583872490346</v>
          </cell>
          <cell r="AB391">
            <v>3.4166583872490346</v>
          </cell>
          <cell r="AC391">
            <v>3.4166583872490346</v>
          </cell>
          <cell r="AD391">
            <v>3.4166583872490346</v>
          </cell>
          <cell r="AE391">
            <v>3.4166583872490346</v>
          </cell>
          <cell r="AF391">
            <v>3.4166583872490346</v>
          </cell>
        </row>
        <row r="392">
          <cell r="A392" t="str">
            <v>Missouri</v>
          </cell>
          <cell r="B392">
            <v>5.7726610561890235</v>
          </cell>
          <cell r="C392">
            <v>5.2472898022682761</v>
          </cell>
          <cell r="D392">
            <v>4.9168971481731152</v>
          </cell>
          <cell r="E392">
            <v>4.6024810736443706</v>
          </cell>
          <cell r="F392">
            <v>4.256146368876613</v>
          </cell>
          <cell r="G392">
            <v>4.3438492929374242</v>
          </cell>
          <cell r="H392">
            <v>3.6093088542357448</v>
          </cell>
          <cell r="I392">
            <v>3.7505845160988769</v>
          </cell>
          <cell r="J392">
            <v>3.6490996544260992</v>
          </cell>
          <cell r="K392">
            <v>3.616066529433013</v>
          </cell>
          <cell r="L392">
            <v>3.6989884616585327</v>
          </cell>
          <cell r="M392">
            <v>3.7455545616755432</v>
          </cell>
          <cell r="N392">
            <v>3.7033997181933889</v>
          </cell>
          <cell r="O392">
            <v>3.5455421714619173</v>
          </cell>
          <cell r="P392">
            <v>3.62926833012015</v>
          </cell>
          <cell r="Q392">
            <v>3.4960674309505793</v>
          </cell>
          <cell r="R392">
            <v>3.4985074354695964</v>
          </cell>
          <cell r="S392">
            <v>3.4386536417542088</v>
          </cell>
          <cell r="T392">
            <v>3.4386536417542088</v>
          </cell>
          <cell r="U392">
            <v>3.4386536417542088</v>
          </cell>
          <cell r="V392">
            <v>3.4386536417542088</v>
          </cell>
          <cell r="W392">
            <v>3.4386536417542088</v>
          </cell>
          <cell r="X392">
            <v>3.4386536417542088</v>
          </cell>
          <cell r="Y392">
            <v>3.4386536417542088</v>
          </cell>
          <cell r="Z392">
            <v>3.4386536417542088</v>
          </cell>
          <cell r="AA392">
            <v>3.4386536417542088</v>
          </cell>
          <cell r="AB392">
            <v>3.4386536417542088</v>
          </cell>
          <cell r="AC392">
            <v>3.4386536417542088</v>
          </cell>
          <cell r="AD392">
            <v>3.4386536417542088</v>
          </cell>
          <cell r="AE392">
            <v>3.4386536417542088</v>
          </cell>
          <cell r="AF392">
            <v>3.4386536417542088</v>
          </cell>
        </row>
        <row r="393">
          <cell r="A393" t="str">
            <v>Montana</v>
          </cell>
          <cell r="B393">
            <v>5.8207460386420777</v>
          </cell>
          <cell r="C393">
            <v>5.2683801461581119</v>
          </cell>
          <cell r="D393">
            <v>4.8147332224660557</v>
          </cell>
          <cell r="E393">
            <v>4.8264084596650596</v>
          </cell>
          <cell r="F393">
            <v>4.1675553978155477</v>
          </cell>
          <cell r="G393">
            <v>4.0408605963737623</v>
          </cell>
          <cell r="H393">
            <v>3.7348550898118149</v>
          </cell>
          <cell r="I393">
            <v>3.8295560891029168</v>
          </cell>
          <cell r="J393">
            <v>3.6997703834399518</v>
          </cell>
          <cell r="K393">
            <v>3.703629963573507</v>
          </cell>
          <cell r="L393">
            <v>3.6702424615904059</v>
          </cell>
          <cell r="M393">
            <v>3.7397567581758127</v>
          </cell>
          <cell r="N393">
            <v>3.5090513602158668</v>
          </cell>
          <cell r="O393">
            <v>3.5455421714619173</v>
          </cell>
          <cell r="P393">
            <v>3.5853114583891434</v>
          </cell>
          <cell r="Q393">
            <v>3.6254741705953237</v>
          </cell>
          <cell r="R393">
            <v>3.5492782549137938</v>
          </cell>
          <cell r="S393">
            <v>3.4787038244227206</v>
          </cell>
          <cell r="T393">
            <v>3.4787038244227206</v>
          </cell>
          <cell r="U393">
            <v>3.4787038244227206</v>
          </cell>
          <cell r="V393">
            <v>3.4787038244227206</v>
          </cell>
          <cell r="W393">
            <v>3.4787038244227206</v>
          </cell>
          <cell r="X393">
            <v>3.4787038244227206</v>
          </cell>
          <cell r="Y393">
            <v>3.4787038244227206</v>
          </cell>
          <cell r="Z393">
            <v>3.4787038244227206</v>
          </cell>
          <cell r="AA393">
            <v>3.4787038244227206</v>
          </cell>
          <cell r="AB393">
            <v>3.4787038244227206</v>
          </cell>
          <cell r="AC393">
            <v>3.4787038244227206</v>
          </cell>
          <cell r="AD393">
            <v>3.4787038244227206</v>
          </cell>
          <cell r="AE393">
            <v>3.4787038244227206</v>
          </cell>
          <cell r="AF393">
            <v>3.4787038244227206</v>
          </cell>
        </row>
        <row r="394">
          <cell r="A394" t="str">
            <v>Nebraska</v>
          </cell>
          <cell r="B394">
            <v>5.6972189866316052</v>
          </cell>
          <cell r="C394">
            <v>5.2860960350255697</v>
          </cell>
          <cell r="D394">
            <v>4.8948215260354067</v>
          </cell>
          <cell r="E394">
            <v>4.6528559746466795</v>
          </cell>
          <cell r="F394">
            <v>4.3178167493448285</v>
          </cell>
          <cell r="G394">
            <v>4.0347586902334234</v>
          </cell>
          <cell r="H394">
            <v>3.7364887428446845</v>
          </cell>
          <cell r="I394">
            <v>3.6908282739212135</v>
          </cell>
          <cell r="J394">
            <v>3.6559536660801477</v>
          </cell>
          <cell r="K394">
            <v>3.6481731219511948</v>
          </cell>
          <cell r="L394">
            <v>3.6233102165812205</v>
          </cell>
          <cell r="M394">
            <v>3.6180028846814687</v>
          </cell>
          <cell r="N394">
            <v>3.6208016660529427</v>
          </cell>
          <cell r="O394">
            <v>3.5707282584482338</v>
          </cell>
          <cell r="P394">
            <v>3.5503253768073204</v>
          </cell>
          <cell r="Q394">
            <v>3.5304885758682301</v>
          </cell>
          <cell r="R394">
            <v>3.4705834847752888</v>
          </cell>
          <cell r="S394">
            <v>3.4564537229402146</v>
          </cell>
          <cell r="T394">
            <v>3.4564537229402146</v>
          </cell>
          <cell r="U394">
            <v>3.4564537229402146</v>
          </cell>
          <cell r="V394">
            <v>3.4564537229402146</v>
          </cell>
          <cell r="W394">
            <v>3.4564537229402146</v>
          </cell>
          <cell r="X394">
            <v>3.4564537229402146</v>
          </cell>
          <cell r="Y394">
            <v>3.4564537229402146</v>
          </cell>
          <cell r="Z394">
            <v>3.4564537229402146</v>
          </cell>
          <cell r="AA394">
            <v>3.4564537229402146</v>
          </cell>
          <cell r="AB394">
            <v>3.4564537229402146</v>
          </cell>
          <cell r="AC394">
            <v>3.4564537229402146</v>
          </cell>
          <cell r="AD394">
            <v>3.4564537229402146</v>
          </cell>
          <cell r="AE394">
            <v>3.4564537229402146</v>
          </cell>
          <cell r="AF394">
            <v>3.4564537229402146</v>
          </cell>
        </row>
        <row r="395">
          <cell r="A395" t="str">
            <v>Nevada</v>
          </cell>
          <cell r="B395">
            <v>5.7589224897738625</v>
          </cell>
          <cell r="C395">
            <v>5.0912212574835181</v>
          </cell>
          <cell r="D395">
            <v>4.8147332224660557</v>
          </cell>
          <cell r="E395">
            <v>4.7774243439730348</v>
          </cell>
          <cell r="F395">
            <v>4.5886230720352046</v>
          </cell>
          <cell r="G395">
            <v>3.9915368550727006</v>
          </cell>
          <cell r="H395">
            <v>3.8263767881305624</v>
          </cell>
          <cell r="I395">
            <v>3.6759496871038735</v>
          </cell>
          <cell r="J395">
            <v>3.6903869151040531</v>
          </cell>
          <cell r="K395">
            <v>3.8678114025869315</v>
          </cell>
          <cell r="L395">
            <v>3.5333567469802802</v>
          </cell>
          <cell r="M395">
            <v>3.54657394556479</v>
          </cell>
          <cell r="N395">
            <v>3.722834553991142</v>
          </cell>
          <cell r="O395">
            <v>3.6903621716332378</v>
          </cell>
          <cell r="P395">
            <v>3.7171820735821668</v>
          </cell>
          <cell r="Q395">
            <v>3.6979419447963799</v>
          </cell>
          <cell r="R395">
            <v>3.6381271889411382</v>
          </cell>
          <cell r="S395">
            <v>3.4787038244227202</v>
          </cell>
          <cell r="T395">
            <v>3.4787038244227202</v>
          </cell>
          <cell r="U395">
            <v>3.4787038244227202</v>
          </cell>
          <cell r="V395">
            <v>3.4787038244227202</v>
          </cell>
          <cell r="W395">
            <v>3.4787038244227202</v>
          </cell>
          <cell r="X395">
            <v>3.4787038244227202</v>
          </cell>
          <cell r="Y395">
            <v>3.4787038244227202</v>
          </cell>
          <cell r="Z395">
            <v>3.4787038244227202</v>
          </cell>
          <cell r="AA395">
            <v>3.4787038244227202</v>
          </cell>
          <cell r="AB395">
            <v>3.4787038244227202</v>
          </cell>
          <cell r="AC395">
            <v>3.4787038244227202</v>
          </cell>
          <cell r="AD395">
            <v>3.4787038244227202</v>
          </cell>
          <cell r="AE395">
            <v>3.4787038244227202</v>
          </cell>
          <cell r="AF395">
            <v>3.4787038244227202</v>
          </cell>
        </row>
        <row r="396">
          <cell r="A396" t="str">
            <v>New Hampshire</v>
          </cell>
          <cell r="B396">
            <v>5.4591469705950892</v>
          </cell>
          <cell r="C396">
            <v>5.4761370418148072</v>
          </cell>
          <cell r="D396">
            <v>4.8117163011700077</v>
          </cell>
          <cell r="E396">
            <v>5.1338555249592046</v>
          </cell>
          <cell r="F396">
            <v>4.205650265121311</v>
          </cell>
          <cell r="G396">
            <v>4.088574465562913</v>
          </cell>
          <cell r="H396">
            <v>3.5437513382374437</v>
          </cell>
          <cell r="I396">
            <v>3.8983742626745079</v>
          </cell>
          <cell r="J396">
            <v>4.1203551914677323</v>
          </cell>
          <cell r="K396">
            <v>3.9735806574147485</v>
          </cell>
          <cell r="L396">
            <v>3.6025786196037122</v>
          </cell>
          <cell r="M396">
            <v>3.9148627596198047</v>
          </cell>
          <cell r="N396">
            <v>3.6636603836108548</v>
          </cell>
          <cell r="O396">
            <v>3.5729820765211158</v>
          </cell>
          <cell r="P396">
            <v>3.365951660157835</v>
          </cell>
          <cell r="Q396">
            <v>3.6745722025882395</v>
          </cell>
          <cell r="R396">
            <v>3.4380577598521365</v>
          </cell>
          <cell r="S396">
            <v>3.4839968001057833</v>
          </cell>
          <cell r="T396">
            <v>3.4839968001057833</v>
          </cell>
          <cell r="U396">
            <v>3.4839968001057833</v>
          </cell>
          <cell r="V396">
            <v>3.4839968001057833</v>
          </cell>
          <cell r="W396">
            <v>3.4839968001057833</v>
          </cell>
          <cell r="X396">
            <v>3.4839968001057833</v>
          </cell>
          <cell r="Y396">
            <v>3.4839968001057833</v>
          </cell>
          <cell r="Z396">
            <v>3.4839968001057833</v>
          </cell>
          <cell r="AA396">
            <v>3.4839968001057833</v>
          </cell>
          <cell r="AB396">
            <v>3.4839968001057833</v>
          </cell>
          <cell r="AC396">
            <v>3.4839968001057833</v>
          </cell>
          <cell r="AD396">
            <v>3.4839968001057833</v>
          </cell>
          <cell r="AE396">
            <v>3.4839968001057833</v>
          </cell>
          <cell r="AF396">
            <v>3.4839968001057833</v>
          </cell>
        </row>
        <row r="397">
          <cell r="A397" t="str">
            <v>New Jersey</v>
          </cell>
          <cell r="B397">
            <v>6.0804049438885865</v>
          </cell>
          <cell r="C397">
            <v>5.3421963497725242</v>
          </cell>
          <cell r="D397">
            <v>4.8147332224660557</v>
          </cell>
          <cell r="E397">
            <v>4.2603697894460941</v>
          </cell>
          <cell r="F397">
            <v>4.5427642164271234</v>
          </cell>
          <cell r="G397">
            <v>3.9915368550727002</v>
          </cell>
          <cell r="H397">
            <v>3.7585430587884323</v>
          </cell>
          <cell r="I397">
            <v>3.5837180285084216</v>
          </cell>
          <cell r="J397">
            <v>3.8968232184938221</v>
          </cell>
          <cell r="K397">
            <v>3.6379573879681377</v>
          </cell>
          <cell r="L397">
            <v>3.8618824620445817</v>
          </cell>
          <cell r="M397">
            <v>3.9368820771666524</v>
          </cell>
          <cell r="N397">
            <v>3.5867907034068769</v>
          </cell>
          <cell r="O397">
            <v>3.5455421714619164</v>
          </cell>
          <cell r="P397">
            <v>6.6906299730417391</v>
          </cell>
          <cell r="Q397">
            <v>3.6176396145672265</v>
          </cell>
          <cell r="R397">
            <v>3.438057759852136</v>
          </cell>
          <cell r="S397">
            <v>3.6355082290334657</v>
          </cell>
          <cell r="T397">
            <v>3.6355082290334657</v>
          </cell>
          <cell r="U397">
            <v>3.6355082290334657</v>
          </cell>
          <cell r="V397">
            <v>3.6355082290334657</v>
          </cell>
          <cell r="W397">
            <v>3.6355082290334657</v>
          </cell>
          <cell r="X397">
            <v>3.6355082290334657</v>
          </cell>
          <cell r="Y397">
            <v>3.6355082290334657</v>
          </cell>
          <cell r="Z397">
            <v>3.6355082290334657</v>
          </cell>
          <cell r="AA397">
            <v>3.6355082290334657</v>
          </cell>
          <cell r="AB397">
            <v>3.6355082290334657</v>
          </cell>
          <cell r="AC397">
            <v>3.6355082290334657</v>
          </cell>
          <cell r="AD397">
            <v>3.6355082290334657</v>
          </cell>
          <cell r="AE397">
            <v>3.6355082290334657</v>
          </cell>
          <cell r="AF397">
            <v>3.6355082290334657</v>
          </cell>
        </row>
        <row r="398">
          <cell r="A398" t="str">
            <v>New Mexico</v>
          </cell>
          <cell r="B398">
            <v>5.8046090445307135</v>
          </cell>
          <cell r="C398">
            <v>5.3595271106211273</v>
          </cell>
          <cell r="D398">
            <v>4.7891922410392915</v>
          </cell>
          <cell r="E398">
            <v>4.6455440324945041</v>
          </cell>
          <cell r="F398">
            <v>4.216193578005937</v>
          </cell>
          <cell r="G398">
            <v>4.0233586236540297</v>
          </cell>
          <cell r="H398">
            <v>3.8280393795360066</v>
          </cell>
          <cell r="I398">
            <v>3.7246742585699004</v>
          </cell>
          <cell r="J398">
            <v>3.7228857566576528</v>
          </cell>
          <cell r="K398">
            <v>3.6574365417493899</v>
          </cell>
          <cell r="L398">
            <v>3.6801548754070019</v>
          </cell>
          <cell r="M398">
            <v>3.6463364983062405</v>
          </cell>
          <cell r="N398">
            <v>3.6220613313361314</v>
          </cell>
          <cell r="O398">
            <v>3.4919952806422678</v>
          </cell>
          <cell r="P398">
            <v>3.6051876090849033</v>
          </cell>
          <cell r="Q398">
            <v>3.4874403149742643</v>
          </cell>
          <cell r="R398">
            <v>3.4321148254271852</v>
          </cell>
          <cell r="S398">
            <v>3.5096249213359085</v>
          </cell>
          <cell r="T398">
            <v>3.5096249213359085</v>
          </cell>
          <cell r="U398">
            <v>3.5096249213359085</v>
          </cell>
          <cell r="V398">
            <v>3.5096249213359085</v>
          </cell>
          <cell r="W398">
            <v>3.5096249213359085</v>
          </cell>
          <cell r="X398">
            <v>3.5096249213359085</v>
          </cell>
          <cell r="Y398">
            <v>3.5096249213359085</v>
          </cell>
          <cell r="Z398">
            <v>3.5096249213359085</v>
          </cell>
          <cell r="AA398">
            <v>3.5096249213359085</v>
          </cell>
          <cell r="AB398">
            <v>3.5096249213359085</v>
          </cell>
          <cell r="AC398">
            <v>3.5096249213359085</v>
          </cell>
          <cell r="AD398">
            <v>3.5096249213359085</v>
          </cell>
          <cell r="AE398">
            <v>3.5096249213359085</v>
          </cell>
          <cell r="AF398">
            <v>3.5096249213359085</v>
          </cell>
        </row>
        <row r="399">
          <cell r="A399" t="str">
            <v>New York</v>
          </cell>
          <cell r="B399">
            <v>5.7726610561890199</v>
          </cell>
          <cell r="C399">
            <v>5.1561795166642002</v>
          </cell>
          <cell r="D399">
            <v>4.7125692967589972</v>
          </cell>
          <cell r="E399">
            <v>4.6024810736443715</v>
          </cell>
          <cell r="F399">
            <v>4.496905360819043</v>
          </cell>
          <cell r="G399">
            <v>3.9915368550727006</v>
          </cell>
          <cell r="H399">
            <v>3.6756351673702743</v>
          </cell>
          <cell r="I399">
            <v>3.7278299950638147</v>
          </cell>
          <cell r="J399">
            <v>3.6716199784322558</v>
          </cell>
          <cell r="K399">
            <v>3.6379573879681359</v>
          </cell>
          <cell r="L399">
            <v>3.6702424615904059</v>
          </cell>
          <cell r="M399">
            <v>3.6411940986803915</v>
          </cell>
          <cell r="N399">
            <v>3.6956257838742883</v>
          </cell>
          <cell r="O399">
            <v>3.6903621716332378</v>
          </cell>
          <cell r="P399">
            <v>3.5853114583891426</v>
          </cell>
          <cell r="Q399">
            <v>3.4639970650386225</v>
          </cell>
          <cell r="R399">
            <v>3.6536404948824206</v>
          </cell>
          <cell r="S399">
            <v>3.4186285504199523</v>
          </cell>
          <cell r="T399">
            <v>3.4186285504199523</v>
          </cell>
          <cell r="U399">
            <v>3.4186285504199523</v>
          </cell>
          <cell r="V399">
            <v>3.4186285504199523</v>
          </cell>
          <cell r="W399">
            <v>3.4186285504199523</v>
          </cell>
          <cell r="X399">
            <v>3.4186285504199523</v>
          </cell>
          <cell r="Y399">
            <v>3.4186285504199523</v>
          </cell>
          <cell r="Z399">
            <v>3.4186285504199523</v>
          </cell>
          <cell r="AA399">
            <v>3.4186285504199523</v>
          </cell>
          <cell r="AB399">
            <v>3.4186285504199523</v>
          </cell>
          <cell r="AC399">
            <v>3.4186285504199523</v>
          </cell>
          <cell r="AD399">
            <v>3.4186285504199523</v>
          </cell>
          <cell r="AE399">
            <v>3.4186285504199523</v>
          </cell>
          <cell r="AF399">
            <v>3.4186285504199523</v>
          </cell>
        </row>
        <row r="400">
          <cell r="A400" t="str">
            <v>North Carolina</v>
          </cell>
          <cell r="B400">
            <v>5.8380566323251788</v>
          </cell>
          <cell r="C400">
            <v>5.3421963497725242</v>
          </cell>
          <cell r="D400">
            <v>4.8147332224660548</v>
          </cell>
          <cell r="E400">
            <v>4.9134913320064397</v>
          </cell>
          <cell r="F400">
            <v>4.3134699383867146</v>
          </cell>
          <cell r="G400">
            <v>3.9915368550727002</v>
          </cell>
          <cell r="H400">
            <v>4.0072667330429113</v>
          </cell>
          <cell r="I400">
            <v>3.7278299950638147</v>
          </cell>
          <cell r="J400">
            <v>3.6716199784322563</v>
          </cell>
          <cell r="K400">
            <v>3.7528843952775346</v>
          </cell>
          <cell r="L400">
            <v>4.0151944624079237</v>
          </cell>
          <cell r="M400">
            <v>3.6411940986803919</v>
          </cell>
          <cell r="N400">
            <v>3.5867907034068756</v>
          </cell>
          <cell r="O400">
            <v>3.6903621716332378</v>
          </cell>
          <cell r="P400">
            <v>3.4710235918885219</v>
          </cell>
          <cell r="Q400">
            <v>3.6707665294709857</v>
          </cell>
          <cell r="R400">
            <v>3.4985074354695973</v>
          </cell>
          <cell r="S400">
            <v>3.4787038244227202</v>
          </cell>
          <cell r="T400">
            <v>3.4787038244227202</v>
          </cell>
          <cell r="U400">
            <v>3.4787038244227202</v>
          </cell>
          <cell r="V400">
            <v>3.4787038244227202</v>
          </cell>
          <cell r="W400">
            <v>3.4787038244227202</v>
          </cell>
          <cell r="X400">
            <v>3.4787038244227202</v>
          </cell>
          <cell r="Y400">
            <v>3.4787038244227202</v>
          </cell>
          <cell r="Z400">
            <v>3.4787038244227202</v>
          </cell>
          <cell r="AA400">
            <v>3.4787038244227202</v>
          </cell>
          <cell r="AB400">
            <v>3.4787038244227202</v>
          </cell>
          <cell r="AC400">
            <v>3.4787038244227202</v>
          </cell>
          <cell r="AD400">
            <v>3.4787038244227202</v>
          </cell>
          <cell r="AE400">
            <v>3.4787038244227202</v>
          </cell>
          <cell r="AF400">
            <v>3.4787038244227202</v>
          </cell>
        </row>
        <row r="401">
          <cell r="A401" t="str">
            <v>North Dakota</v>
          </cell>
          <cell r="B401">
            <v>5.734193070226576</v>
          </cell>
          <cell r="C401">
            <v>5.209327183266578</v>
          </cell>
          <cell r="D401">
            <v>4.6732754791793587</v>
          </cell>
          <cell r="E401">
            <v>4.6491326123986809</v>
          </cell>
          <cell r="F401">
            <v>4.2561463688766148</v>
          </cell>
          <cell r="G401">
            <v>3.8928893724705782</v>
          </cell>
          <cell r="H401">
            <v>3.9243588416247519</v>
          </cell>
          <cell r="I401">
            <v>3.6197460201472702</v>
          </cell>
          <cell r="J401">
            <v>3.8646513270564551</v>
          </cell>
          <cell r="K401">
            <v>3.6073101860189647</v>
          </cell>
          <cell r="L401">
            <v>3.7113081759734436</v>
          </cell>
          <cell r="M401">
            <v>3.6866845569090478</v>
          </cell>
          <cell r="N401">
            <v>3.6131217712618948</v>
          </cell>
          <cell r="O401">
            <v>3.4793387428121703</v>
          </cell>
          <cell r="P401">
            <v>3.62926833012015</v>
          </cell>
          <cell r="Q401">
            <v>3.5801818117196635</v>
          </cell>
          <cell r="R401">
            <v>3.498507435469596</v>
          </cell>
          <cell r="S401">
            <v>3.4787038244227206</v>
          </cell>
          <cell r="T401">
            <v>3.4787038244227206</v>
          </cell>
          <cell r="U401">
            <v>3.4787038244227206</v>
          </cell>
          <cell r="V401">
            <v>3.4787038244227206</v>
          </cell>
          <cell r="W401">
            <v>3.4787038244227206</v>
          </cell>
          <cell r="X401">
            <v>3.4787038244227206</v>
          </cell>
          <cell r="Y401">
            <v>3.4787038244227206</v>
          </cell>
          <cell r="Z401">
            <v>3.4787038244227206</v>
          </cell>
          <cell r="AA401">
            <v>3.4787038244227206</v>
          </cell>
          <cell r="AB401">
            <v>3.4787038244227206</v>
          </cell>
          <cell r="AC401">
            <v>3.4787038244227206</v>
          </cell>
          <cell r="AD401">
            <v>3.4787038244227206</v>
          </cell>
          <cell r="AE401">
            <v>3.4787038244227206</v>
          </cell>
          <cell r="AF401">
            <v>3.4787038244227206</v>
          </cell>
        </row>
        <row r="402">
          <cell r="A402" t="str">
            <v>Ohio</v>
          </cell>
          <cell r="B402">
            <v>5.7012205108301943</v>
          </cell>
          <cell r="C402">
            <v>5.2715212612055335</v>
          </cell>
          <cell r="D402">
            <v>4.8419769359879385</v>
          </cell>
          <cell r="E402">
            <v>4.7261618973185877</v>
          </cell>
          <cell r="F402">
            <v>4.265700297128296</v>
          </cell>
          <cell r="G402">
            <v>4.0244193492734066</v>
          </cell>
          <cell r="H402">
            <v>3.7373750865114554</v>
          </cell>
          <cell r="I402">
            <v>3.8034887775053972</v>
          </cell>
          <cell r="J402">
            <v>3.7359637613069894</v>
          </cell>
          <cell r="K402">
            <v>3.6251877204893148</v>
          </cell>
          <cell r="L402">
            <v>3.6399835141502725</v>
          </cell>
          <cell r="M402">
            <v>3.6411940986803919</v>
          </cell>
          <cell r="N402">
            <v>3.6170226702033785</v>
          </cell>
          <cell r="O402">
            <v>3.5455421714619164</v>
          </cell>
          <cell r="P402">
            <v>3.5281675251388327</v>
          </cell>
          <cell r="Q402">
            <v>3.5348894528440029</v>
          </cell>
          <cell r="R402">
            <v>3.5605606592347274</v>
          </cell>
          <cell r="S402">
            <v>3.462467263881432</v>
          </cell>
          <cell r="T402">
            <v>3.462467263881432</v>
          </cell>
          <cell r="U402">
            <v>3.462467263881432</v>
          </cell>
          <cell r="V402">
            <v>3.462467263881432</v>
          </cell>
          <cell r="W402">
            <v>3.462467263881432</v>
          </cell>
          <cell r="X402">
            <v>3.462467263881432</v>
          </cell>
          <cell r="Y402">
            <v>3.462467263881432</v>
          </cell>
          <cell r="Z402">
            <v>3.462467263881432</v>
          </cell>
          <cell r="AA402">
            <v>3.462467263881432</v>
          </cell>
          <cell r="AB402">
            <v>3.462467263881432</v>
          </cell>
          <cell r="AC402">
            <v>3.462467263881432</v>
          </cell>
          <cell r="AD402">
            <v>3.462467263881432</v>
          </cell>
          <cell r="AE402">
            <v>3.462467263881432</v>
          </cell>
          <cell r="AF402">
            <v>3.462467263881432</v>
          </cell>
        </row>
        <row r="403">
          <cell r="A403" t="str">
            <v>Oklahoma</v>
          </cell>
          <cell r="B403">
            <v>5.6915823780835586</v>
          </cell>
          <cell r="C403">
            <v>5.3321305038251046</v>
          </cell>
          <cell r="D403">
            <v>4.7880817635859527</v>
          </cell>
          <cell r="E403">
            <v>4.6957841511529921</v>
          </cell>
          <cell r="F403">
            <v>4.2605558742235461</v>
          </cell>
          <cell r="G403">
            <v>4.0045167869940315</v>
          </cell>
          <cell r="H403">
            <v>3.7165896679503265</v>
          </cell>
          <cell r="I403">
            <v>3.7440425913012971</v>
          </cell>
          <cell r="J403">
            <v>3.6353803765832691</v>
          </cell>
          <cell r="K403">
            <v>3.6601119917868141</v>
          </cell>
          <cell r="L403">
            <v>3.6438093580794844</v>
          </cell>
          <cell r="M403">
            <v>3.669694144799549</v>
          </cell>
          <cell r="N403">
            <v>3.6613352790694882</v>
          </cell>
          <cell r="O403">
            <v>3.5881362891593636</v>
          </cell>
          <cell r="P403">
            <v>3.5535648288056367</v>
          </cell>
          <cell r="Q403">
            <v>3.5425444994145381</v>
          </cell>
          <cell r="R403">
            <v>3.4687218880623347</v>
          </cell>
          <cell r="S403">
            <v>3.5125490492130109</v>
          </cell>
          <cell r="T403">
            <v>3.5125490492130109</v>
          </cell>
          <cell r="U403">
            <v>3.5125490492130109</v>
          </cell>
          <cell r="V403">
            <v>3.5125490492130109</v>
          </cell>
          <cell r="W403">
            <v>3.5125490492130109</v>
          </cell>
          <cell r="X403">
            <v>3.5125490492130109</v>
          </cell>
          <cell r="Y403">
            <v>3.5125490492130109</v>
          </cell>
          <cell r="Z403">
            <v>3.5125490492130109</v>
          </cell>
          <cell r="AA403">
            <v>3.5125490492130109</v>
          </cell>
          <cell r="AB403">
            <v>3.5125490492130109</v>
          </cell>
          <cell r="AC403">
            <v>3.5125490492130109</v>
          </cell>
          <cell r="AD403">
            <v>3.5125490492130109</v>
          </cell>
          <cell r="AE403">
            <v>3.5125490492130109</v>
          </cell>
          <cell r="AF403">
            <v>3.5125490492130109</v>
          </cell>
        </row>
        <row r="404">
          <cell r="A404" t="str">
            <v>Oregon</v>
          </cell>
          <cell r="B404">
            <v>5.7918950491702441</v>
          </cell>
          <cell r="C404">
            <v>5.2979066276038758</v>
          </cell>
          <cell r="D404">
            <v>4.8507910785979576</v>
          </cell>
          <cell r="E404">
            <v>4.5978159197689399</v>
          </cell>
          <cell r="F404">
            <v>4.4281170774069212</v>
          </cell>
          <cell r="G404">
            <v>3.8928893724705782</v>
          </cell>
          <cell r="H404">
            <v>3.8829048959156709</v>
          </cell>
          <cell r="I404">
            <v>3.7278299950638147</v>
          </cell>
          <cell r="J404">
            <v>3.8217554718066329</v>
          </cell>
          <cell r="K404">
            <v>3.6025952318729373</v>
          </cell>
          <cell r="L404">
            <v>3.8427184619991648</v>
          </cell>
          <cell r="M404">
            <v>3.5874326480465264</v>
          </cell>
          <cell r="N404">
            <v>3.641208243640583</v>
          </cell>
          <cell r="O404">
            <v>3.4928803532177999</v>
          </cell>
          <cell r="P404">
            <v>3.3836269880939307</v>
          </cell>
          <cell r="Q404">
            <v>3.5688587220007477</v>
          </cell>
          <cell r="R404">
            <v>3.6273872079048646</v>
          </cell>
          <cell r="S404">
            <v>3.3118280633039223</v>
          </cell>
          <cell r="T404">
            <v>3.3118280633039223</v>
          </cell>
          <cell r="U404">
            <v>3.3118280633039223</v>
          </cell>
          <cell r="V404">
            <v>3.3118280633039223</v>
          </cell>
          <cell r="W404">
            <v>3.3118280633039223</v>
          </cell>
          <cell r="X404">
            <v>3.3118280633039223</v>
          </cell>
          <cell r="Y404">
            <v>3.3118280633039223</v>
          </cell>
          <cell r="Z404">
            <v>3.3118280633039223</v>
          </cell>
          <cell r="AA404">
            <v>3.3118280633039223</v>
          </cell>
          <cell r="AB404">
            <v>3.3118280633039223</v>
          </cell>
          <cell r="AC404">
            <v>3.3118280633039223</v>
          </cell>
          <cell r="AD404">
            <v>3.3118280633039223</v>
          </cell>
          <cell r="AE404">
            <v>3.3118280633039223</v>
          </cell>
          <cell r="AF404">
            <v>3.3118280633039223</v>
          </cell>
        </row>
        <row r="405">
          <cell r="A405" t="str">
            <v>Pennsylvania</v>
          </cell>
          <cell r="B405">
            <v>5.6909165860188242</v>
          </cell>
          <cell r="C405">
            <v>5.3031171831531294</v>
          </cell>
          <cell r="D405">
            <v>4.8530446946062016</v>
          </cell>
          <cell r="E405">
            <v>4.6573652368847354</v>
          </cell>
          <cell r="F405">
            <v>4.3746150791974916</v>
          </cell>
          <cell r="G405">
            <v>3.9607095167595379</v>
          </cell>
          <cell r="H405">
            <v>3.791706215355696</v>
          </cell>
          <cell r="I405">
            <v>3.7278299950638156</v>
          </cell>
          <cell r="J405">
            <v>3.6716199784322558</v>
          </cell>
          <cell r="K405">
            <v>3.6379573879681364</v>
          </cell>
          <cell r="L405">
            <v>3.6702424615904059</v>
          </cell>
          <cell r="M405">
            <v>3.6411940986803923</v>
          </cell>
          <cell r="N405">
            <v>3.5867907034068764</v>
          </cell>
          <cell r="O405">
            <v>3.5455421714619173</v>
          </cell>
          <cell r="P405">
            <v>3.5853114583891439</v>
          </cell>
          <cell r="Q405">
            <v>3.5348894528440029</v>
          </cell>
          <cell r="R405">
            <v>3.498507435469596</v>
          </cell>
          <cell r="S405">
            <v>3.4787038244227202</v>
          </cell>
          <cell r="T405">
            <v>3.4787038244227202</v>
          </cell>
          <cell r="U405">
            <v>3.4787038244227202</v>
          </cell>
          <cell r="V405">
            <v>3.4787038244227202</v>
          </cell>
          <cell r="W405">
            <v>3.4787038244227202</v>
          </cell>
          <cell r="X405">
            <v>3.4787038244227202</v>
          </cell>
          <cell r="Y405">
            <v>3.4787038244227202</v>
          </cell>
          <cell r="Z405">
            <v>3.4787038244227202</v>
          </cell>
          <cell r="AA405">
            <v>3.4787038244227202</v>
          </cell>
          <cell r="AB405">
            <v>3.4787038244227202</v>
          </cell>
          <cell r="AC405">
            <v>3.4787038244227202</v>
          </cell>
          <cell r="AD405">
            <v>3.4787038244227202</v>
          </cell>
          <cell r="AE405">
            <v>3.4787038244227202</v>
          </cell>
          <cell r="AF405">
            <v>3.4787038244227202</v>
          </cell>
        </row>
        <row r="406">
          <cell r="A406" t="str">
            <v>Rhode Island</v>
          </cell>
          <cell r="B406">
            <v>5.4591469705950875</v>
          </cell>
          <cell r="C406">
            <v>5.4761370418148081</v>
          </cell>
          <cell r="D406">
            <v>4.8117163011700086</v>
          </cell>
          <cell r="E406">
            <v>5.1338555249592046</v>
          </cell>
          <cell r="F406">
            <v>4.3225732260597836</v>
          </cell>
          <cell r="G406">
            <v>3.7934369538125003</v>
          </cell>
          <cell r="H406">
            <v>3.6850791522164306</v>
          </cell>
          <cell r="I406">
            <v>4.0189502961298817</v>
          </cell>
          <cell r="J406">
            <v>3.7207366611750174</v>
          </cell>
          <cell r="K406">
            <v>4.1724134820857985</v>
          </cell>
          <cell r="L406">
            <v>3.8562066992916288</v>
          </cell>
          <cell r="M406">
            <v>3.6034466971715089</v>
          </cell>
          <cell r="N406">
            <v>3.5601528698540146</v>
          </cell>
          <cell r="O406">
            <v>3.5729820765211158</v>
          </cell>
          <cell r="P406">
            <v>3.4363675670121943</v>
          </cell>
          <cell r="Q406">
            <v>3.4793747579447647</v>
          </cell>
          <cell r="R406">
            <v>3.5210626495635884</v>
          </cell>
          <cell r="S406">
            <v>3.6052059432479293</v>
          </cell>
          <cell r="T406">
            <v>3.6052059432479293</v>
          </cell>
          <cell r="U406">
            <v>3.6052059432479293</v>
          </cell>
          <cell r="V406">
            <v>3.6052059432479293</v>
          </cell>
          <cell r="W406">
            <v>3.6052059432479293</v>
          </cell>
          <cell r="X406">
            <v>3.6052059432479293</v>
          </cell>
          <cell r="Y406">
            <v>3.6052059432479293</v>
          </cell>
          <cell r="Z406">
            <v>3.6052059432479293</v>
          </cell>
          <cell r="AA406">
            <v>3.6052059432479293</v>
          </cell>
          <cell r="AB406">
            <v>3.6052059432479293</v>
          </cell>
          <cell r="AC406">
            <v>3.6052059432479293</v>
          </cell>
          <cell r="AD406">
            <v>3.6052059432479293</v>
          </cell>
          <cell r="AE406">
            <v>3.6052059432479293</v>
          </cell>
          <cell r="AF406">
            <v>3.6052059432479293</v>
          </cell>
        </row>
        <row r="407">
          <cell r="A407" t="str">
            <v>South Carolina</v>
          </cell>
          <cell r="B407">
            <v>5.8563854962249335</v>
          </cell>
          <cell r="C407">
            <v>5.3837179643056334</v>
          </cell>
          <cell r="D407">
            <v>4.8555987927488786</v>
          </cell>
          <cell r="E407">
            <v>4.7424356899073006</v>
          </cell>
          <cell r="F407">
            <v>4.4969053608190439</v>
          </cell>
          <cell r="G407">
            <v>4.2029243177915356</v>
          </cell>
          <cell r="H407">
            <v>3.6963621402248132</v>
          </cell>
          <cell r="I407">
            <v>3.8719419616192083</v>
          </cell>
          <cell r="J407">
            <v>3.6072761955575228</v>
          </cell>
          <cell r="K407">
            <v>3.7145753928410681</v>
          </cell>
          <cell r="L407">
            <v>3.6702424615904063</v>
          </cell>
          <cell r="M407">
            <v>3.9368820771666524</v>
          </cell>
          <cell r="N407">
            <v>3.5867907034068769</v>
          </cell>
          <cell r="O407">
            <v>3.5455421714619164</v>
          </cell>
          <cell r="P407">
            <v>4.318528136167096</v>
          </cell>
          <cell r="Q407">
            <v>3.6217062279973002</v>
          </cell>
          <cell r="R407">
            <v>3.6372694951596185</v>
          </cell>
          <cell r="S407">
            <v>3.4049473589261225</v>
          </cell>
          <cell r="T407">
            <v>3.4049473589261225</v>
          </cell>
          <cell r="U407">
            <v>3.4049473589261225</v>
          </cell>
          <cell r="V407">
            <v>3.4049473589261225</v>
          </cell>
          <cell r="W407">
            <v>3.4049473589261225</v>
          </cell>
          <cell r="X407">
            <v>3.4049473589261225</v>
          </cell>
          <cell r="Y407">
            <v>3.4049473589261225</v>
          </cell>
          <cell r="Z407">
            <v>3.4049473589261225</v>
          </cell>
          <cell r="AA407">
            <v>3.4049473589261225</v>
          </cell>
          <cell r="AB407">
            <v>3.4049473589261225</v>
          </cell>
          <cell r="AC407">
            <v>3.4049473589261225</v>
          </cell>
          <cell r="AD407">
            <v>3.4049473589261225</v>
          </cell>
          <cell r="AE407">
            <v>3.4049473589261225</v>
          </cell>
          <cell r="AF407">
            <v>3.4049473589261225</v>
          </cell>
        </row>
        <row r="408">
          <cell r="A408" t="str">
            <v>South Dakota</v>
          </cell>
          <cell r="B408">
            <v>5.7341930702265769</v>
          </cell>
          <cell r="C408">
            <v>5.217631506173201</v>
          </cell>
          <cell r="D408">
            <v>4.8781453142842297</v>
          </cell>
          <cell r="E408">
            <v>4.5997368654823525</v>
          </cell>
          <cell r="F408">
            <v>4.3925369308144422</v>
          </cell>
          <cell r="G408">
            <v>3.9190019413946691</v>
          </cell>
          <cell r="H408">
            <v>3.7736172208644616</v>
          </cell>
          <cell r="I408">
            <v>3.7413404919283835</v>
          </cell>
          <cell r="J408">
            <v>3.6861492197265506</v>
          </cell>
          <cell r="K408">
            <v>3.5634101399836622</v>
          </cell>
          <cell r="L408">
            <v>3.6862124616282532</v>
          </cell>
          <cell r="M408">
            <v>3.6027930625133457</v>
          </cell>
          <cell r="N408">
            <v>3.6088518683664872</v>
          </cell>
          <cell r="O408">
            <v>3.5088788802793043</v>
          </cell>
          <cell r="P408">
            <v>3.6157882227893086</v>
          </cell>
          <cell r="Q408">
            <v>3.5009201836872581</v>
          </cell>
          <cell r="R408">
            <v>3.4985074354695964</v>
          </cell>
          <cell r="S408">
            <v>3.4500965510880688</v>
          </cell>
          <cell r="T408">
            <v>3.4500965510880688</v>
          </cell>
          <cell r="U408">
            <v>3.4500965510880688</v>
          </cell>
          <cell r="V408">
            <v>3.4500965510880688</v>
          </cell>
          <cell r="W408">
            <v>3.4500965510880688</v>
          </cell>
          <cell r="X408">
            <v>3.4500965510880688</v>
          </cell>
          <cell r="Y408">
            <v>3.4500965510880688</v>
          </cell>
          <cell r="Z408">
            <v>3.4500965510880688</v>
          </cell>
          <cell r="AA408">
            <v>3.4500965510880688</v>
          </cell>
          <cell r="AB408">
            <v>3.4500965510880688</v>
          </cell>
          <cell r="AC408">
            <v>3.4500965510880688</v>
          </cell>
          <cell r="AD408">
            <v>3.4500965510880688</v>
          </cell>
          <cell r="AE408">
            <v>3.4500965510880688</v>
          </cell>
          <cell r="AF408">
            <v>3.4500965510880688</v>
          </cell>
        </row>
        <row r="409">
          <cell r="A409" t="str">
            <v>Tennessee</v>
          </cell>
          <cell r="B409">
            <v>5.734193070226576</v>
          </cell>
          <cell r="C409">
            <v>5.5636449606157674</v>
          </cell>
          <cell r="D409">
            <v>4.5695398007691139</v>
          </cell>
          <cell r="E409">
            <v>4.6957841511529912</v>
          </cell>
          <cell r="F409">
            <v>4.3134699383867154</v>
          </cell>
          <cell r="G409">
            <v>3.9550007504052473</v>
          </cell>
          <cell r="H409">
            <v>3.932649630766567</v>
          </cell>
          <cell r="I409">
            <v>3.7278299950638147</v>
          </cell>
          <cell r="J409">
            <v>3.6716199784322563</v>
          </cell>
          <cell r="K409">
            <v>3.7911933977139989</v>
          </cell>
          <cell r="L409">
            <v>3.9577024622716714</v>
          </cell>
          <cell r="M409">
            <v>3.6411940986803919</v>
          </cell>
          <cell r="N409">
            <v>3.5867907034068756</v>
          </cell>
          <cell r="O409">
            <v>4.1248221721472023</v>
          </cell>
          <cell r="P409">
            <v>3.5853114583891426</v>
          </cell>
          <cell r="Q409">
            <v>3.5348894528440029</v>
          </cell>
          <cell r="R409">
            <v>3.2890778052622851</v>
          </cell>
          <cell r="S409">
            <v>3.5645256444266717</v>
          </cell>
          <cell r="T409">
            <v>3.5645256444266717</v>
          </cell>
          <cell r="U409">
            <v>3.5645256444266717</v>
          </cell>
          <cell r="V409">
            <v>3.5645256444266717</v>
          </cell>
          <cell r="W409">
            <v>3.5645256444266717</v>
          </cell>
          <cell r="X409">
            <v>3.5645256444266717</v>
          </cell>
          <cell r="Y409">
            <v>3.5645256444266717</v>
          </cell>
          <cell r="Z409">
            <v>3.5645256444266717</v>
          </cell>
          <cell r="AA409">
            <v>3.5645256444266717</v>
          </cell>
          <cell r="AB409">
            <v>3.5645256444266717</v>
          </cell>
          <cell r="AC409">
            <v>3.5645256444266717</v>
          </cell>
          <cell r="AD409">
            <v>3.5645256444266717</v>
          </cell>
          <cell r="AE409">
            <v>3.5645256444266717</v>
          </cell>
          <cell r="AF409">
            <v>3.5645256444266717</v>
          </cell>
        </row>
        <row r="410">
          <cell r="A410" t="str">
            <v>Texas</v>
          </cell>
          <cell r="B410">
            <v>5.7243013024076612</v>
          </cell>
          <cell r="C410">
            <v>5.2766171474198043</v>
          </cell>
          <cell r="D410">
            <v>4.8569109899597951</v>
          </cell>
          <cell r="E410">
            <v>4.6214451137883987</v>
          </cell>
          <cell r="F410">
            <v>4.2681150262468543</v>
          </cell>
          <cell r="G410">
            <v>4.0640717687507326</v>
          </cell>
          <cell r="H410">
            <v>3.7112571891583026</v>
          </cell>
          <cell r="I410">
            <v>3.7278299950638143</v>
          </cell>
          <cell r="J410">
            <v>3.635398478282494</v>
          </cell>
          <cell r="K410">
            <v>3.6598482465032598</v>
          </cell>
          <cell r="L410">
            <v>3.6346803996504562</v>
          </cell>
          <cell r="M410">
            <v>3.635159650139856</v>
          </cell>
          <cell r="N410">
            <v>3.596205502755268</v>
          </cell>
          <cell r="O410">
            <v>3.6003982321328722</v>
          </cell>
          <cell r="P410">
            <v>3.5432054023099666</v>
          </cell>
          <cell r="Q410">
            <v>3.5608659527873963</v>
          </cell>
          <cell r="R410">
            <v>3.4584799293548891</v>
          </cell>
          <cell r="S410">
            <v>3.4891335594926445</v>
          </cell>
          <cell r="T410">
            <v>3.4891335594926445</v>
          </cell>
          <cell r="U410">
            <v>3.4891335594926445</v>
          </cell>
          <cell r="V410">
            <v>3.4891335594926445</v>
          </cell>
          <cell r="W410">
            <v>3.4891335594926445</v>
          </cell>
          <cell r="X410">
            <v>3.4891335594926445</v>
          </cell>
          <cell r="Y410">
            <v>3.4891335594926445</v>
          </cell>
          <cell r="Z410">
            <v>3.4891335594926445</v>
          </cell>
          <cell r="AA410">
            <v>3.4891335594926445</v>
          </cell>
          <cell r="AB410">
            <v>3.4891335594926445</v>
          </cell>
          <cell r="AC410">
            <v>3.4891335594926445</v>
          </cell>
          <cell r="AD410">
            <v>3.4891335594926445</v>
          </cell>
          <cell r="AE410">
            <v>3.4891335594926445</v>
          </cell>
          <cell r="AF410">
            <v>3.4891335594926445</v>
          </cell>
        </row>
        <row r="411">
          <cell r="A411" t="str">
            <v>Utah</v>
          </cell>
          <cell r="B411">
            <v>5.8524117587940934</v>
          </cell>
          <cell r="C411">
            <v>5.2016616544296985</v>
          </cell>
          <cell r="D411">
            <v>4.8392525646357489</v>
          </cell>
          <cell r="E411">
            <v>4.6056984211446688</v>
          </cell>
          <cell r="F411">
            <v>4.4459510768100623</v>
          </cell>
          <cell r="G411">
            <v>3.8682275018200465</v>
          </cell>
          <cell r="H411">
            <v>3.7585430587884332</v>
          </cell>
          <cell r="I411">
            <v>3.8142971749970522</v>
          </cell>
          <cell r="J411">
            <v>3.7842215984630392</v>
          </cell>
          <cell r="K411">
            <v>3.6379573879681364</v>
          </cell>
          <cell r="L411">
            <v>3.7523738903564814</v>
          </cell>
          <cell r="M411">
            <v>3.6411940986803919</v>
          </cell>
          <cell r="N411">
            <v>3.8044608643417002</v>
          </cell>
          <cell r="O411">
            <v>3.4489955046810357</v>
          </cell>
          <cell r="P411">
            <v>3.5036772680315575</v>
          </cell>
          <cell r="Q411">
            <v>3.5348894528440034</v>
          </cell>
          <cell r="R411">
            <v>3.5915872711172896</v>
          </cell>
          <cell r="S411">
            <v>3.4787038244227206</v>
          </cell>
          <cell r="T411">
            <v>3.4787038244227206</v>
          </cell>
          <cell r="U411">
            <v>3.4787038244227206</v>
          </cell>
          <cell r="V411">
            <v>3.4787038244227206</v>
          </cell>
          <cell r="W411">
            <v>3.4787038244227206</v>
          </cell>
          <cell r="X411">
            <v>3.4787038244227206</v>
          </cell>
          <cell r="Y411">
            <v>3.4787038244227206</v>
          </cell>
          <cell r="Z411">
            <v>3.4787038244227206</v>
          </cell>
          <cell r="AA411">
            <v>3.4787038244227206</v>
          </cell>
          <cell r="AB411">
            <v>3.4787038244227206</v>
          </cell>
          <cell r="AC411">
            <v>3.4787038244227206</v>
          </cell>
          <cell r="AD411">
            <v>3.4787038244227206</v>
          </cell>
          <cell r="AE411">
            <v>3.4787038244227206</v>
          </cell>
          <cell r="AF411">
            <v>3.4787038244227206</v>
          </cell>
        </row>
        <row r="412">
          <cell r="A412" t="str">
            <v>Vermont</v>
          </cell>
          <cell r="B412">
            <v>5.7721802063644914</v>
          </cell>
          <cell r="C412">
            <v>5.4761370418148072</v>
          </cell>
          <cell r="D412">
            <v>4.8117163011700077</v>
          </cell>
          <cell r="E412">
            <v>5.4975864970813912</v>
          </cell>
          <cell r="F412">
            <v>4.1179580444174588</v>
          </cell>
          <cell r="G412">
            <v>3.9705194608627488</v>
          </cell>
          <cell r="H412">
            <v>3.6144152452269371</v>
          </cell>
          <cell r="I412">
            <v>3.8122485244920967</v>
          </cell>
          <cell r="J412">
            <v>4.0604124119238234</v>
          </cell>
          <cell r="K412">
            <v>4.2828761624586029</v>
          </cell>
          <cell r="L412">
            <v>3.3806540498767852</v>
          </cell>
          <cell r="M412">
            <v>3.8407160780844949</v>
          </cell>
          <cell r="N412">
            <v>3.6636603836108552</v>
          </cell>
          <cell r="O412">
            <v>3.4971420883030553</v>
          </cell>
          <cell r="P412">
            <v>3.5771993807209119</v>
          </cell>
          <cell r="Q412">
            <v>3.479374757944766</v>
          </cell>
          <cell r="R412">
            <v>3.3758040925685497</v>
          </cell>
          <cell r="S412">
            <v>3.4839968001057833</v>
          </cell>
          <cell r="T412">
            <v>3.4839968001057833</v>
          </cell>
          <cell r="U412">
            <v>3.4839968001057833</v>
          </cell>
          <cell r="V412">
            <v>3.4839968001057833</v>
          </cell>
          <cell r="W412">
            <v>3.4839968001057833</v>
          </cell>
          <cell r="X412">
            <v>3.4839968001057833</v>
          </cell>
          <cell r="Y412">
            <v>3.4839968001057833</v>
          </cell>
          <cell r="Z412">
            <v>3.4839968001057833</v>
          </cell>
          <cell r="AA412">
            <v>3.4839968001057833</v>
          </cell>
          <cell r="AB412">
            <v>3.4839968001057833</v>
          </cell>
          <cell r="AC412">
            <v>3.4839968001057833</v>
          </cell>
          <cell r="AD412">
            <v>3.4839968001057833</v>
          </cell>
          <cell r="AE412">
            <v>3.4839968001057833</v>
          </cell>
          <cell r="AF412">
            <v>3.4839968001057833</v>
          </cell>
        </row>
        <row r="413">
          <cell r="A413" t="str">
            <v>Virginia</v>
          </cell>
          <cell r="B413">
            <v>5.9650009860012503</v>
          </cell>
          <cell r="C413">
            <v>5.2472898022682779</v>
          </cell>
          <cell r="D413">
            <v>4.8147332224660548</v>
          </cell>
          <cell r="E413">
            <v>4.6141439583329475</v>
          </cell>
          <cell r="F413">
            <v>4.3134699383867163</v>
          </cell>
          <cell r="G413">
            <v>3.9915368550727011</v>
          </cell>
          <cell r="H413">
            <v>3.8296069657182832</v>
          </cell>
          <cell r="I413">
            <v>3.7998859783415115</v>
          </cell>
          <cell r="J413">
            <v>3.6716199784322558</v>
          </cell>
          <cell r="K413">
            <v>3.6379573879681359</v>
          </cell>
          <cell r="L413">
            <v>3.7341224617417983</v>
          </cell>
          <cell r="M413">
            <v>3.5820565029831406</v>
          </cell>
          <cell r="N413">
            <v>3.6472546369998842</v>
          </cell>
          <cell r="O413">
            <v>3.5055918265870689</v>
          </cell>
          <cell r="P413">
            <v>3.5853114583891421</v>
          </cell>
          <cell r="Q413">
            <v>3.5167725092937396</v>
          </cell>
          <cell r="R413">
            <v>3.5383987936043226</v>
          </cell>
          <cell r="S413">
            <v>3.4386536417542093</v>
          </cell>
          <cell r="T413">
            <v>3.4386536417542093</v>
          </cell>
          <cell r="U413">
            <v>3.4386536417542093</v>
          </cell>
          <cell r="V413">
            <v>3.4386536417542093</v>
          </cell>
          <cell r="W413">
            <v>3.4386536417542093</v>
          </cell>
          <cell r="X413">
            <v>3.4386536417542093</v>
          </cell>
          <cell r="Y413">
            <v>3.4386536417542093</v>
          </cell>
          <cell r="Z413">
            <v>3.4386536417542093</v>
          </cell>
          <cell r="AA413">
            <v>3.4386536417542093</v>
          </cell>
          <cell r="AB413">
            <v>3.4386536417542093</v>
          </cell>
          <cell r="AC413">
            <v>3.4386536417542093</v>
          </cell>
          <cell r="AD413">
            <v>3.4386536417542093</v>
          </cell>
          <cell r="AE413">
            <v>3.4386536417542093</v>
          </cell>
          <cell r="AF413">
            <v>3.4386536417542093</v>
          </cell>
        </row>
        <row r="414">
          <cell r="A414" t="str">
            <v>Washington</v>
          </cell>
          <cell r="B414">
            <v>5.8156546875588147</v>
          </cell>
          <cell r="C414">
            <v>5.288330471459302</v>
          </cell>
          <cell r="D414">
            <v>4.8572523129337331</v>
          </cell>
          <cell r="E414">
            <v>4.650135871296623</v>
          </cell>
          <cell r="F414">
            <v>4.2591348014103163</v>
          </cell>
          <cell r="G414">
            <v>4.1654346609418269</v>
          </cell>
          <cell r="H414">
            <v>3.7285763510469283</v>
          </cell>
          <cell r="I414">
            <v>3.7357870975116572</v>
          </cell>
          <cell r="J414">
            <v>3.5882947796094773</v>
          </cell>
          <cell r="K414">
            <v>3.626744997011123</v>
          </cell>
          <cell r="L414">
            <v>3.5968484188632757</v>
          </cell>
          <cell r="M414">
            <v>3.5948116706825477</v>
          </cell>
          <cell r="N414">
            <v>3.5976742114536178</v>
          </cell>
          <cell r="O414">
            <v>3.7284726979941119</v>
          </cell>
          <cell r="P414">
            <v>3.5434988243035495</v>
          </cell>
          <cell r="Q414">
            <v>3.562761673690563</v>
          </cell>
          <cell r="R414">
            <v>3.6426310519563478</v>
          </cell>
          <cell r="S414">
            <v>3.3759012165035474</v>
          </cell>
          <cell r="T414">
            <v>3.3759012165035474</v>
          </cell>
          <cell r="U414">
            <v>3.3759012165035474</v>
          </cell>
          <cell r="V414">
            <v>3.3759012165035474</v>
          </cell>
          <cell r="W414">
            <v>3.3759012165035474</v>
          </cell>
          <cell r="X414">
            <v>3.3759012165035474</v>
          </cell>
          <cell r="Y414">
            <v>3.3759012165035474</v>
          </cell>
          <cell r="Z414">
            <v>3.3759012165035474</v>
          </cell>
          <cell r="AA414">
            <v>3.3759012165035474</v>
          </cell>
          <cell r="AB414">
            <v>3.3759012165035474</v>
          </cell>
          <cell r="AC414">
            <v>3.3759012165035474</v>
          </cell>
          <cell r="AD414">
            <v>3.3759012165035474</v>
          </cell>
          <cell r="AE414">
            <v>3.3759012165035474</v>
          </cell>
          <cell r="AF414">
            <v>3.3759012165035474</v>
          </cell>
        </row>
        <row r="415">
          <cell r="A415" t="str">
            <v>West Virginia</v>
          </cell>
          <cell r="B415">
            <v>6.0309461047940154</v>
          </cell>
          <cell r="C415">
            <v>5.0653855862184729</v>
          </cell>
          <cell r="D415">
            <v>4.7271641432885767</v>
          </cell>
          <cell r="E415">
            <v>4.9570327681771289</v>
          </cell>
          <cell r="F415">
            <v>4.5100078909927799</v>
          </cell>
          <cell r="G415">
            <v>3.8435656311695174</v>
          </cell>
          <cell r="H415">
            <v>3.8138149864005375</v>
          </cell>
          <cell r="I415">
            <v>3.781871982522087</v>
          </cell>
          <cell r="J415">
            <v>3.5815386824076305</v>
          </cell>
          <cell r="K415">
            <v>3.6379573879681364</v>
          </cell>
          <cell r="L415">
            <v>3.9166367478886319</v>
          </cell>
          <cell r="M415">
            <v>3.6411940986803915</v>
          </cell>
          <cell r="N415">
            <v>3.5187687781147439</v>
          </cell>
          <cell r="O415">
            <v>3.6282964572741006</v>
          </cell>
          <cell r="P415">
            <v>3.8138871913903829</v>
          </cell>
          <cell r="Q415">
            <v>3.3796013652703114</v>
          </cell>
          <cell r="R415">
            <v>3.374400987939338</v>
          </cell>
          <cell r="S415">
            <v>3.4186285504199523</v>
          </cell>
          <cell r="T415">
            <v>3.4186285504199523</v>
          </cell>
          <cell r="U415">
            <v>3.4186285504199523</v>
          </cell>
          <cell r="V415">
            <v>3.4186285504199523</v>
          </cell>
          <cell r="W415">
            <v>3.4186285504199523</v>
          </cell>
          <cell r="X415">
            <v>3.4186285504199523</v>
          </cell>
          <cell r="Y415">
            <v>3.4186285504199523</v>
          </cell>
          <cell r="Z415">
            <v>3.4186285504199523</v>
          </cell>
          <cell r="AA415">
            <v>3.4186285504199523</v>
          </cell>
          <cell r="AB415">
            <v>3.4186285504199523</v>
          </cell>
          <cell r="AC415">
            <v>3.4186285504199523</v>
          </cell>
          <cell r="AD415">
            <v>3.4186285504199523</v>
          </cell>
          <cell r="AE415">
            <v>3.4186285504199523</v>
          </cell>
          <cell r="AF415">
            <v>3.4186285504199523</v>
          </cell>
        </row>
        <row r="416">
          <cell r="A416" t="str">
            <v>Wisconsin</v>
          </cell>
          <cell r="B416">
            <v>5.6187891123392397</v>
          </cell>
          <cell r="C416">
            <v>5.209327183266578</v>
          </cell>
          <cell r="D416">
            <v>4.8585177620547952</v>
          </cell>
          <cell r="E416">
            <v>4.6957841511529912</v>
          </cell>
          <cell r="F416">
            <v>4.2976565399011699</v>
          </cell>
          <cell r="G416">
            <v>3.9750956079723463</v>
          </cell>
          <cell r="H416">
            <v>3.7585430587884323</v>
          </cell>
          <cell r="I416">
            <v>3.7278299950638156</v>
          </cell>
          <cell r="J416">
            <v>3.657090737137962</v>
          </cell>
          <cell r="K416">
            <v>3.5741090505740276</v>
          </cell>
          <cell r="L416">
            <v>3.6399835141502725</v>
          </cell>
          <cell r="M416">
            <v>3.6740483185121993</v>
          </cell>
          <cell r="N416">
            <v>3.5323731631731707</v>
          </cell>
          <cell r="O416">
            <v>3.5455421714619164</v>
          </cell>
          <cell r="P416">
            <v>3.5581000616032812</v>
          </cell>
          <cell r="Q416">
            <v>3.4986555657434746</v>
          </cell>
          <cell r="R416">
            <v>3.4863665873416374</v>
          </cell>
          <cell r="S416">
            <v>3.4536724602549018</v>
          </cell>
          <cell r="T416">
            <v>3.4536724602549018</v>
          </cell>
          <cell r="U416">
            <v>3.4536724602549018</v>
          </cell>
          <cell r="V416">
            <v>3.4536724602549018</v>
          </cell>
          <cell r="W416">
            <v>3.4536724602549018</v>
          </cell>
          <cell r="X416">
            <v>3.4536724602549018</v>
          </cell>
          <cell r="Y416">
            <v>3.4536724602549018</v>
          </cell>
          <cell r="Z416">
            <v>3.4536724602549018</v>
          </cell>
          <cell r="AA416">
            <v>3.4536724602549018</v>
          </cell>
          <cell r="AB416">
            <v>3.4536724602549018</v>
          </cell>
          <cell r="AC416">
            <v>3.4536724602549018</v>
          </cell>
          <cell r="AD416">
            <v>3.4536724602549018</v>
          </cell>
          <cell r="AE416">
            <v>3.4536724602549018</v>
          </cell>
          <cell r="AF416">
            <v>3.4536724602549018</v>
          </cell>
        </row>
        <row r="417">
          <cell r="A417" t="str">
            <v>Wyoming</v>
          </cell>
          <cell r="B417">
            <v>6.0480918356801343</v>
          </cell>
          <cell r="C417">
            <v>5.6743692660373863</v>
          </cell>
          <cell r="D417">
            <v>4.4936465988152987</v>
          </cell>
          <cell r="E417">
            <v>4.8046377415797146</v>
          </cell>
          <cell r="F417">
            <v>4.289333698592988</v>
          </cell>
          <cell r="G417">
            <v>3.9668749844221698</v>
          </cell>
          <cell r="H417">
            <v>3.7847244981836403</v>
          </cell>
          <cell r="I417">
            <v>3.8088929762512245</v>
          </cell>
          <cell r="J417">
            <v>3.6451254796014836</v>
          </cell>
          <cell r="K417">
            <v>3.5690011835824991</v>
          </cell>
          <cell r="L417">
            <v>3.7341224617417983</v>
          </cell>
          <cell r="M417">
            <v>3.7151160933019569</v>
          </cell>
          <cell r="N417">
            <v>3.5867907034068756</v>
          </cell>
          <cell r="O417">
            <v>3.5841608381742693</v>
          </cell>
          <cell r="P417">
            <v>3.4424516252633683</v>
          </cell>
          <cell r="Q417">
            <v>3.6707665294709835</v>
          </cell>
          <cell r="R417">
            <v>3.4985074354695964</v>
          </cell>
          <cell r="S417">
            <v>3.4119535199752007</v>
          </cell>
          <cell r="T417">
            <v>3.4119535199752007</v>
          </cell>
          <cell r="U417">
            <v>3.4119535199752007</v>
          </cell>
          <cell r="V417">
            <v>3.4119535199752007</v>
          </cell>
          <cell r="W417">
            <v>3.4119535199752007</v>
          </cell>
          <cell r="X417">
            <v>3.4119535199752007</v>
          </cell>
          <cell r="Y417">
            <v>3.4119535199752007</v>
          </cell>
          <cell r="Z417">
            <v>3.4119535199752007</v>
          </cell>
          <cell r="AA417">
            <v>3.4119535199752007</v>
          </cell>
          <cell r="AB417">
            <v>3.4119535199752007</v>
          </cell>
          <cell r="AC417">
            <v>3.4119535199752007</v>
          </cell>
          <cell r="AD417">
            <v>3.4119535199752007</v>
          </cell>
          <cell r="AE417">
            <v>3.4119535199752007</v>
          </cell>
          <cell r="AF417">
            <v>3.4119535199752007</v>
          </cell>
        </row>
      </sheetData>
      <sheetData sheetId="20"/>
      <sheetData sheetId="21">
        <row r="3">
          <cell r="B3" t="str">
            <v>State</v>
          </cell>
          <cell r="C3" t="str">
            <v>Pasture, Range &amp; Paddocks</v>
          </cell>
          <cell r="D3" t="str">
            <v>Drylot</v>
          </cell>
        </row>
        <row r="4">
          <cell r="B4" t="str">
            <v>AL</v>
          </cell>
          <cell r="C4">
            <v>1.4E-2</v>
          </cell>
          <cell r="D4">
            <v>1.9E-2</v>
          </cell>
        </row>
        <row r="5">
          <cell r="B5" t="str">
            <v>AK</v>
          </cell>
          <cell r="C5">
            <v>1.4999999999999999E-2</v>
          </cell>
          <cell r="D5">
            <v>1.4999999999999999E-2</v>
          </cell>
        </row>
        <row r="6">
          <cell r="B6" t="str">
            <v>AZ</v>
          </cell>
          <cell r="C6">
            <v>1.4E-2</v>
          </cell>
          <cell r="D6">
            <v>1.9E-2</v>
          </cell>
          <cell r="P6">
            <v>1.4999999999999999E-2</v>
          </cell>
        </row>
        <row r="7">
          <cell r="B7" t="str">
            <v>AR</v>
          </cell>
          <cell r="C7">
            <v>1.2999999999999999E-2</v>
          </cell>
          <cell r="D7">
            <v>1.7999999999999999E-2</v>
          </cell>
          <cell r="P7">
            <v>1.4999999999999999E-2</v>
          </cell>
        </row>
        <row r="8">
          <cell r="B8" t="str">
            <v>CA</v>
          </cell>
          <cell r="C8">
            <v>1.2E-2</v>
          </cell>
          <cell r="D8">
            <v>1.4E-2</v>
          </cell>
        </row>
        <row r="9">
          <cell r="B9" t="str">
            <v>CO</v>
          </cell>
          <cell r="C9">
            <v>8.9999999999999993E-3</v>
          </cell>
          <cell r="D9">
            <v>0.01</v>
          </cell>
        </row>
        <row r="10">
          <cell r="B10" t="str">
            <v>CT</v>
          </cell>
          <cell r="C10">
            <v>8.9999999999999993E-3</v>
          </cell>
          <cell r="D10">
            <v>0.01</v>
          </cell>
        </row>
        <row r="11">
          <cell r="B11" t="str">
            <v>DE</v>
          </cell>
          <cell r="C11">
            <v>1.2E-2</v>
          </cell>
          <cell r="D11">
            <v>1.4E-2</v>
          </cell>
        </row>
        <row r="12">
          <cell r="B12" t="str">
            <v>FL</v>
          </cell>
          <cell r="C12">
            <v>1.4999999999999999E-2</v>
          </cell>
          <cell r="D12">
            <v>2.4E-2</v>
          </cell>
        </row>
        <row r="13">
          <cell r="B13" t="str">
            <v>GA</v>
          </cell>
          <cell r="C13">
            <v>1.4E-2</v>
          </cell>
          <cell r="D13">
            <v>1.7999999999999999E-2</v>
          </cell>
        </row>
        <row r="14">
          <cell r="B14" t="str">
            <v>HI</v>
          </cell>
          <cell r="C14">
            <v>1.4999999999999999E-2</v>
          </cell>
          <cell r="D14">
            <v>1.4999999999999999E-2</v>
          </cell>
        </row>
        <row r="15">
          <cell r="B15" t="str">
            <v>ID</v>
          </cell>
          <cell r="C15">
            <v>8.0000000000000002E-3</v>
          </cell>
          <cell r="D15">
            <v>8.0000000000000002E-3</v>
          </cell>
        </row>
        <row r="16">
          <cell r="B16" t="str">
            <v>IL</v>
          </cell>
          <cell r="C16">
            <v>1.0999999999999999E-2</v>
          </cell>
          <cell r="D16">
            <v>1.2999999999999999E-2</v>
          </cell>
        </row>
        <row r="17">
          <cell r="B17" t="str">
            <v>IN</v>
          </cell>
          <cell r="C17">
            <v>0.01</v>
          </cell>
          <cell r="D17">
            <v>1.2E-2</v>
          </cell>
        </row>
        <row r="18">
          <cell r="B18" t="str">
            <v>IA</v>
          </cell>
          <cell r="C18">
            <v>8.9999999999999993E-3</v>
          </cell>
          <cell r="D18">
            <v>1.0999999999999999E-2</v>
          </cell>
        </row>
        <row r="19">
          <cell r="B19" t="str">
            <v>KS</v>
          </cell>
          <cell r="C19">
            <v>1.0999999999999999E-2</v>
          </cell>
          <cell r="D19">
            <v>1.4999999999999999E-2</v>
          </cell>
        </row>
        <row r="20">
          <cell r="B20" t="str">
            <v>KY</v>
          </cell>
          <cell r="C20">
            <v>1.2E-2</v>
          </cell>
          <cell r="D20">
            <v>1.4999999999999999E-2</v>
          </cell>
        </row>
        <row r="21">
          <cell r="B21" t="str">
            <v>LA</v>
          </cell>
          <cell r="C21">
            <v>1.4E-2</v>
          </cell>
          <cell r="D21">
            <v>2.1000000000000001E-2</v>
          </cell>
        </row>
        <row r="22">
          <cell r="B22" t="str">
            <v>ME</v>
          </cell>
          <cell r="C22">
            <v>8.0000000000000002E-3</v>
          </cell>
          <cell r="D22">
            <v>8.0000000000000002E-3</v>
          </cell>
        </row>
        <row r="23">
          <cell r="B23" t="str">
            <v>MD</v>
          </cell>
          <cell r="C23">
            <v>1.0999999999999999E-2</v>
          </cell>
          <cell r="D23">
            <v>1.2E-2</v>
          </cell>
        </row>
        <row r="24">
          <cell r="B24" t="str">
            <v>MA</v>
          </cell>
          <cell r="C24">
            <v>8.9999999999999993E-3</v>
          </cell>
          <cell r="D24">
            <v>0.01</v>
          </cell>
        </row>
        <row r="25">
          <cell r="B25" t="str">
            <v>MI</v>
          </cell>
          <cell r="C25">
            <v>8.0000000000000002E-3</v>
          </cell>
          <cell r="D25">
            <v>8.9999999999999993E-3</v>
          </cell>
        </row>
        <row r="26">
          <cell r="B26" t="str">
            <v>MN</v>
          </cell>
          <cell r="C26">
            <v>8.0000000000000002E-3</v>
          </cell>
          <cell r="D26">
            <v>8.0000000000000002E-3</v>
          </cell>
        </row>
        <row r="27">
          <cell r="B27" t="str">
            <v>MS</v>
          </cell>
          <cell r="C27">
            <v>1.4E-2</v>
          </cell>
          <cell r="D27">
            <v>1.9E-2</v>
          </cell>
        </row>
        <row r="28">
          <cell r="B28" t="str">
            <v>MO</v>
          </cell>
          <cell r="C28">
            <v>1.0999999999999999E-2</v>
          </cell>
          <cell r="D28">
            <v>1.4E-2</v>
          </cell>
        </row>
        <row r="29">
          <cell r="B29" t="str">
            <v>MT</v>
          </cell>
          <cell r="C29">
            <v>7.0000000000000001E-3</v>
          </cell>
          <cell r="D29">
            <v>8.0000000000000002E-3</v>
          </cell>
        </row>
        <row r="30">
          <cell r="B30" t="str">
            <v>NE</v>
          </cell>
          <cell r="C30">
            <v>0.01</v>
          </cell>
          <cell r="D30">
            <v>1.0999999999999999E-2</v>
          </cell>
        </row>
        <row r="31">
          <cell r="B31" t="str">
            <v>NV</v>
          </cell>
          <cell r="C31">
            <v>1.2E-2</v>
          </cell>
          <cell r="D31">
            <v>1.4E-2</v>
          </cell>
        </row>
        <row r="32">
          <cell r="B32" t="str">
            <v>NH</v>
          </cell>
          <cell r="C32">
            <v>8.0000000000000002E-3</v>
          </cell>
          <cell r="D32">
            <v>8.0000000000000002E-3</v>
          </cell>
        </row>
        <row r="33">
          <cell r="B33" t="str">
            <v>NJ</v>
          </cell>
          <cell r="C33">
            <v>0.01</v>
          </cell>
          <cell r="D33">
            <v>1.0999999999999999E-2</v>
          </cell>
        </row>
        <row r="34">
          <cell r="B34" t="str">
            <v>NM</v>
          </cell>
          <cell r="C34">
            <v>1.2E-2</v>
          </cell>
          <cell r="D34">
            <v>1.2999999999999999E-2</v>
          </cell>
        </row>
        <row r="35">
          <cell r="B35" t="str">
            <v>NY</v>
          </cell>
          <cell r="C35">
            <v>8.9999999999999993E-3</v>
          </cell>
          <cell r="D35">
            <v>8.9999999999999993E-3</v>
          </cell>
        </row>
        <row r="36">
          <cell r="B36" t="str">
            <v>NC</v>
          </cell>
          <cell r="C36">
            <v>1.2999999999999999E-2</v>
          </cell>
          <cell r="D36">
            <v>1.4999999999999999E-2</v>
          </cell>
        </row>
        <row r="37">
          <cell r="B37" t="str">
            <v>ND</v>
          </cell>
          <cell r="C37">
            <v>7.0000000000000001E-3</v>
          </cell>
          <cell r="D37">
            <v>7.0000000000000001E-3</v>
          </cell>
        </row>
        <row r="38">
          <cell r="B38" t="str">
            <v>OH</v>
          </cell>
          <cell r="C38">
            <v>0.01</v>
          </cell>
          <cell r="D38">
            <v>1.0999999999999999E-2</v>
          </cell>
        </row>
        <row r="39">
          <cell r="B39" t="str">
            <v>OK</v>
          </cell>
          <cell r="C39">
            <v>1.4E-2</v>
          </cell>
          <cell r="D39">
            <v>1.9E-2</v>
          </cell>
        </row>
        <row r="40">
          <cell r="B40" t="str">
            <v>OR</v>
          </cell>
          <cell r="C40">
            <v>1.0999999999999999E-2</v>
          </cell>
          <cell r="D40">
            <v>1.0999999999999999E-2</v>
          </cell>
        </row>
        <row r="41">
          <cell r="B41" t="str">
            <v>PA</v>
          </cell>
          <cell r="C41">
            <v>8.9999999999999993E-3</v>
          </cell>
          <cell r="D41">
            <v>0.01</v>
          </cell>
        </row>
        <row r="42">
          <cell r="B42" t="str">
            <v>RI</v>
          </cell>
          <cell r="C42">
            <v>0.01</v>
          </cell>
          <cell r="D42">
            <v>1.0999999999999999E-2</v>
          </cell>
        </row>
        <row r="43">
          <cell r="B43" t="str">
            <v>SC</v>
          </cell>
          <cell r="C43">
            <v>1.2999999999999999E-2</v>
          </cell>
          <cell r="D43">
            <v>1.7000000000000001E-2</v>
          </cell>
        </row>
        <row r="44">
          <cell r="B44" t="str">
            <v>SD</v>
          </cell>
          <cell r="C44">
            <v>8.0000000000000002E-3</v>
          </cell>
          <cell r="D44">
            <v>8.9999999999999993E-3</v>
          </cell>
        </row>
        <row r="45">
          <cell r="B45" t="str">
            <v>TN</v>
          </cell>
          <cell r="C45">
            <v>1.2999999999999999E-2</v>
          </cell>
          <cell r="D45">
            <v>1.6E-2</v>
          </cell>
        </row>
        <row r="46">
          <cell r="B46" t="str">
            <v>TX</v>
          </cell>
          <cell r="C46">
            <v>1.4E-2</v>
          </cell>
          <cell r="D46">
            <v>2.1000000000000001E-2</v>
          </cell>
        </row>
        <row r="47">
          <cell r="B47" t="str">
            <v>UT</v>
          </cell>
          <cell r="C47">
            <v>8.9999999999999993E-3</v>
          </cell>
          <cell r="D47">
            <v>0.01</v>
          </cell>
        </row>
        <row r="48">
          <cell r="B48" t="str">
            <v>VT</v>
          </cell>
          <cell r="C48">
            <v>8.0000000000000002E-3</v>
          </cell>
          <cell r="D48">
            <v>8.0000000000000002E-3</v>
          </cell>
        </row>
        <row r="49">
          <cell r="B49" t="str">
            <v>VA</v>
          </cell>
          <cell r="C49">
            <v>1.2E-2</v>
          </cell>
          <cell r="D49">
            <v>1.4E-2</v>
          </cell>
        </row>
        <row r="50">
          <cell r="B50" t="str">
            <v>WA</v>
          </cell>
          <cell r="C50">
            <v>0.01</v>
          </cell>
          <cell r="D50">
            <v>0.01</v>
          </cell>
        </row>
        <row r="51">
          <cell r="B51" t="str">
            <v>WV</v>
          </cell>
          <cell r="C51">
            <v>1.2E-2</v>
          </cell>
          <cell r="D51">
            <v>1.2999999999999999E-2</v>
          </cell>
        </row>
        <row r="52">
          <cell r="B52" t="str">
            <v>WI</v>
          </cell>
          <cell r="C52">
            <v>8.0000000000000002E-3</v>
          </cell>
          <cell r="D52">
            <v>8.0000000000000002E-3</v>
          </cell>
        </row>
        <row r="53">
          <cell r="B53" t="str">
            <v>WY</v>
          </cell>
          <cell r="C53">
            <v>8.0000000000000002E-3</v>
          </cell>
          <cell r="D53">
            <v>8.0000000000000002E-3</v>
          </cell>
        </row>
      </sheetData>
      <sheetData sheetId="22">
        <row r="4">
          <cell r="B4" t="str">
            <v>Year &amp; State</v>
          </cell>
          <cell r="C4" t="str">
            <v>Anaerobic Lagoon</v>
          </cell>
          <cell r="D4" t="str">
            <v>Liquid/ Slurry</v>
          </cell>
          <cell r="E4" t="str">
            <v>Daily Spread</v>
          </cell>
          <cell r="F4" t="str">
            <v>Solid Storage</v>
          </cell>
          <cell r="G4" t="str">
            <v>Pasture</v>
          </cell>
          <cell r="H4" t="str">
            <v>Deep Pit</v>
          </cell>
          <cell r="J4" t="str">
            <v>Year &amp; State</v>
          </cell>
          <cell r="K4" t="str">
            <v>Managed</v>
          </cell>
          <cell r="L4" t="str">
            <v>PRP</v>
          </cell>
          <cell r="M4" t="str">
            <v>Daily Spread</v>
          </cell>
          <cell r="O4" t="str">
            <v>STATE</v>
          </cell>
          <cell r="P4" t="str">
            <v>Dry Lot</v>
          </cell>
          <cell r="R4" t="str">
            <v>STATE</v>
          </cell>
          <cell r="S4" t="str">
            <v>Pasture</v>
          </cell>
          <cell r="U4" t="str">
            <v>Year &amp; State</v>
          </cell>
          <cell r="V4" t="str">
            <v>Pasture</v>
          </cell>
          <cell r="W4" t="str">
            <v>Solid Storage</v>
          </cell>
          <cell r="X4" t="str">
            <v>Liquid/ Slurry</v>
          </cell>
          <cell r="Y4" t="str">
            <v>Anaerobic Lagoon</v>
          </cell>
          <cell r="Z4" t="str">
            <v>Deep Pit</v>
          </cell>
          <cell r="AB4" t="str">
            <v>Year &amp; State</v>
          </cell>
          <cell r="AC4" t="str">
            <v>Solid Storage</v>
          </cell>
          <cell r="AD4" t="str">
            <v>Liquid/ Slurry</v>
          </cell>
          <cell r="AE4" t="str">
            <v>Anaerobic Lagoon</v>
          </cell>
          <cell r="AF4" t="str">
            <v>Poultry without bedding</v>
          </cell>
          <cell r="AH4" t="str">
            <v>State</v>
          </cell>
          <cell r="AI4" t="str">
            <v>Litter</v>
          </cell>
          <cell r="AK4" t="str">
            <v>State</v>
          </cell>
          <cell r="AL4" t="str">
            <v>Litter</v>
          </cell>
          <cell r="AM4" t="str">
            <v>Range</v>
          </cell>
          <cell r="AO4" t="str">
            <v>Year &amp; State</v>
          </cell>
          <cell r="AP4" t="str">
            <v>On Feed (PRP)</v>
          </cell>
          <cell r="AQ4" t="str">
            <v>Not on Feed (PRP)</v>
          </cell>
          <cell r="AS4" t="str">
            <v>STATE</v>
          </cell>
          <cell r="AT4" t="str">
            <v>Pasture, Range &amp; Paddock</v>
          </cell>
          <cell r="AV4" t="str">
            <v>STATE</v>
          </cell>
          <cell r="AW4" t="str">
            <v>Pasture, Range &amp; Paddock</v>
          </cell>
        </row>
        <row r="5">
          <cell r="B5" t="str">
            <v>1990AL</v>
          </cell>
          <cell r="C5">
            <v>0.10964035466102269</v>
          </cell>
          <cell r="D5">
            <v>7.5250315858693406E-2</v>
          </cell>
          <cell r="E5">
            <v>0.15095445395344742</v>
          </cell>
          <cell r="F5">
            <v>0.10051414377032589</v>
          </cell>
          <cell r="G5">
            <v>0.55882422889074668</v>
          </cell>
          <cell r="H5">
            <v>4.8165028657639296E-3</v>
          </cell>
          <cell r="J5" t="str">
            <v>1990AL</v>
          </cell>
          <cell r="K5">
            <v>0.2902213171558059</v>
          </cell>
          <cell r="L5">
            <v>0.55882422889074668</v>
          </cell>
          <cell r="M5">
            <v>0.15095445395344742</v>
          </cell>
          <cell r="O5" t="str">
            <v>AL</v>
          </cell>
          <cell r="P5">
            <v>1</v>
          </cell>
          <cell r="R5" t="str">
            <v>AL</v>
          </cell>
          <cell r="S5">
            <v>1</v>
          </cell>
          <cell r="U5" t="str">
            <v>1990AL</v>
          </cell>
          <cell r="V5">
            <v>0.182935074</v>
          </cell>
          <cell r="W5">
            <v>3.3560173999999998E-2</v>
          </cell>
          <cell r="X5">
            <v>0.15003266500000001</v>
          </cell>
          <cell r="Y5">
            <v>0.30457127699999997</v>
          </cell>
          <cell r="Z5">
            <v>0.32890080999999999</v>
          </cell>
          <cell r="AB5" t="str">
            <v>1990AL</v>
          </cell>
          <cell r="AC5">
            <v>0</v>
          </cell>
          <cell r="AD5">
            <v>0.1</v>
          </cell>
          <cell r="AE5">
            <v>0.8</v>
          </cell>
          <cell r="AF5">
            <v>0.1</v>
          </cell>
          <cell r="AH5" t="str">
            <v>AL</v>
          </cell>
          <cell r="AI5">
            <v>1</v>
          </cell>
          <cell r="AK5" t="str">
            <v>AL</v>
          </cell>
          <cell r="AL5">
            <v>0.95</v>
          </cell>
          <cell r="AM5">
            <v>0.05</v>
          </cell>
          <cell r="AO5" t="str">
            <v>AL</v>
          </cell>
          <cell r="AP5">
            <v>0</v>
          </cell>
          <cell r="AQ5">
            <v>1</v>
          </cell>
          <cell r="AS5" t="str">
            <v>AL</v>
          </cell>
          <cell r="AT5">
            <v>1</v>
          </cell>
          <cell r="AV5" t="str">
            <v>AL</v>
          </cell>
          <cell r="AW5">
            <v>1</v>
          </cell>
        </row>
        <row r="6">
          <cell r="B6" t="str">
            <v>1990AK</v>
          </cell>
          <cell r="C6">
            <v>0</v>
          </cell>
          <cell r="D6">
            <v>0</v>
          </cell>
          <cell r="E6">
            <v>0.62812500000000004</v>
          </cell>
          <cell r="F6">
            <v>0</v>
          </cell>
          <cell r="G6">
            <v>0.37187500000000001</v>
          </cell>
          <cell r="H6">
            <v>0</v>
          </cell>
          <cell r="J6" t="str">
            <v>1990AK</v>
          </cell>
          <cell r="K6">
            <v>0</v>
          </cell>
          <cell r="L6">
            <v>0.37187500000000001</v>
          </cell>
          <cell r="M6">
            <v>0.62812500000000004</v>
          </cell>
          <cell r="O6" t="str">
            <v>AK</v>
          </cell>
          <cell r="P6">
            <v>1</v>
          </cell>
          <cell r="R6" t="str">
            <v>AK</v>
          </cell>
          <cell r="S6">
            <v>1</v>
          </cell>
          <cell r="U6" t="str">
            <v>1990AK</v>
          </cell>
          <cell r="V6">
            <v>1</v>
          </cell>
          <cell r="W6">
            <v>0</v>
          </cell>
          <cell r="X6">
            <v>0</v>
          </cell>
          <cell r="Y6">
            <v>0</v>
          </cell>
          <cell r="Z6">
            <v>0</v>
          </cell>
          <cell r="AB6" t="str">
            <v>1990AK</v>
          </cell>
          <cell r="AC6">
            <v>0.1</v>
          </cell>
          <cell r="AD6">
            <v>0.12</v>
          </cell>
          <cell r="AE6">
            <v>0.15</v>
          </cell>
          <cell r="AF6">
            <v>0.63</v>
          </cell>
          <cell r="AH6" t="str">
            <v>AK</v>
          </cell>
          <cell r="AI6">
            <v>1</v>
          </cell>
          <cell r="AK6" t="str">
            <v>AK</v>
          </cell>
          <cell r="AL6">
            <v>0.88</v>
          </cell>
          <cell r="AM6">
            <v>0.12</v>
          </cell>
          <cell r="AO6" t="str">
            <v>AK</v>
          </cell>
          <cell r="AP6">
            <v>0</v>
          </cell>
          <cell r="AQ6">
            <v>1</v>
          </cell>
          <cell r="AS6" t="str">
            <v>AK</v>
          </cell>
          <cell r="AT6">
            <v>1</v>
          </cell>
          <cell r="AV6" t="str">
            <v>AK</v>
          </cell>
          <cell r="AW6">
            <v>1</v>
          </cell>
        </row>
        <row r="7">
          <cell r="B7" t="str">
            <v>1990AZ</v>
          </cell>
          <cell r="C7">
            <v>0.59452597771350846</v>
          </cell>
          <cell r="D7">
            <v>0.21737822204821747</v>
          </cell>
          <cell r="E7">
            <v>9.2568667344862673E-2</v>
          </cell>
          <cell r="F7">
            <v>9.3362672742600822E-2</v>
          </cell>
          <cell r="G7">
            <v>0</v>
          </cell>
          <cell r="H7">
            <v>2.1644601508106443E-3</v>
          </cell>
          <cell r="J7" t="str">
            <v>1990AZ</v>
          </cell>
          <cell r="K7">
            <v>0.90743133265513731</v>
          </cell>
          <cell r="L7">
            <v>0</v>
          </cell>
          <cell r="M7">
            <v>9.2568667344862673E-2</v>
          </cell>
          <cell r="O7" t="str">
            <v>AZ</v>
          </cell>
          <cell r="P7">
            <v>1</v>
          </cell>
          <cell r="R7" t="str">
            <v>AZ</v>
          </cell>
          <cell r="S7">
            <v>1</v>
          </cell>
          <cell r="U7" t="str">
            <v>1990AZ</v>
          </cell>
          <cell r="V7">
            <v>2.9485239E-2</v>
          </cell>
          <cell r="W7">
            <v>3.6925055999999998E-2</v>
          </cell>
          <cell r="X7">
            <v>8.545519E-2</v>
          </cell>
          <cell r="Y7">
            <v>0.52419700499999999</v>
          </cell>
          <cell r="Z7">
            <v>0.32393751100000001</v>
          </cell>
          <cell r="AB7" t="str">
            <v>1990AZ</v>
          </cell>
          <cell r="AC7">
            <v>0</v>
          </cell>
          <cell r="AD7">
            <v>0</v>
          </cell>
          <cell r="AE7">
            <v>0</v>
          </cell>
          <cell r="AF7">
            <v>1</v>
          </cell>
          <cell r="AH7" t="str">
            <v>AZ</v>
          </cell>
          <cell r="AI7">
            <v>1</v>
          </cell>
          <cell r="AK7" t="str">
            <v>AZ</v>
          </cell>
          <cell r="AL7">
            <v>0.88</v>
          </cell>
          <cell r="AM7">
            <v>0.12</v>
          </cell>
          <cell r="AO7" t="str">
            <v>AZ</v>
          </cell>
          <cell r="AP7">
            <v>1</v>
          </cell>
          <cell r="AQ7">
            <v>1</v>
          </cell>
          <cell r="AS7" t="str">
            <v>AZ</v>
          </cell>
          <cell r="AT7">
            <v>1</v>
          </cell>
          <cell r="AV7" t="str">
            <v>AZ</v>
          </cell>
          <cell r="AW7">
            <v>1</v>
          </cell>
        </row>
        <row r="8">
          <cell r="B8" t="str">
            <v>1990AR</v>
          </cell>
          <cell r="C8">
            <v>6.4819847007077783E-2</v>
          </cell>
          <cell r="D8">
            <v>5.1145646283778538E-2</v>
          </cell>
          <cell r="E8">
            <v>0.13912499999999997</v>
          </cell>
          <cell r="F8">
            <v>0.11027147509972528</v>
          </cell>
          <cell r="G8">
            <v>0.629</v>
          </cell>
          <cell r="H8">
            <v>5.6380316094184124E-3</v>
          </cell>
          <cell r="J8" t="str">
            <v>1990AR</v>
          </cell>
          <cell r="K8">
            <v>0.23187500000000005</v>
          </cell>
          <cell r="L8">
            <v>0.629</v>
          </cell>
          <cell r="M8">
            <v>0.13912499999999997</v>
          </cell>
          <cell r="O8" t="str">
            <v>AR</v>
          </cell>
          <cell r="P8">
            <v>1</v>
          </cell>
          <cell r="R8" t="str">
            <v>AR</v>
          </cell>
          <cell r="S8">
            <v>1</v>
          </cell>
          <cell r="U8" t="str">
            <v>1990AR</v>
          </cell>
          <cell r="V8">
            <v>5.4610839000000001E-2</v>
          </cell>
          <cell r="W8">
            <v>3.6895429E-2</v>
          </cell>
          <cell r="X8">
            <v>0.11248820700000001</v>
          </cell>
          <cell r="Y8">
            <v>0.45941363200000002</v>
          </cell>
          <cell r="Z8">
            <v>0.336591892</v>
          </cell>
          <cell r="AB8" t="str">
            <v>1990AR</v>
          </cell>
          <cell r="AC8">
            <v>0</v>
          </cell>
          <cell r="AD8">
            <v>0.6</v>
          </cell>
          <cell r="AE8">
            <v>0.4</v>
          </cell>
          <cell r="AF8">
            <v>0</v>
          </cell>
          <cell r="AH8" t="str">
            <v>AR</v>
          </cell>
          <cell r="AI8">
            <v>1</v>
          </cell>
          <cell r="AK8" t="str">
            <v>AR</v>
          </cell>
          <cell r="AL8">
            <v>0.88</v>
          </cell>
          <cell r="AM8">
            <v>0.12</v>
          </cell>
          <cell r="AO8" t="str">
            <v>AR</v>
          </cell>
          <cell r="AP8">
            <v>0</v>
          </cell>
          <cell r="AQ8">
            <v>1</v>
          </cell>
          <cell r="AS8" t="str">
            <v>AR</v>
          </cell>
          <cell r="AT8">
            <v>1</v>
          </cell>
          <cell r="AV8" t="str">
            <v>AR</v>
          </cell>
          <cell r="AW8">
            <v>1</v>
          </cell>
        </row>
        <row r="9">
          <cell r="B9" t="str">
            <v>1990CA</v>
          </cell>
          <cell r="C9">
            <v>0.54279809878903273</v>
          </cell>
          <cell r="D9">
            <v>0.22529239903187814</v>
          </cell>
          <cell r="E9">
            <v>0.11747323657345785</v>
          </cell>
          <cell r="F9">
            <v>9.0851894313912593E-2</v>
          </cell>
          <cell r="G9">
            <v>1.887558059880249E-2</v>
          </cell>
          <cell r="H9">
            <v>4.7087906929161698E-3</v>
          </cell>
          <cell r="J9" t="str">
            <v>1990CA</v>
          </cell>
          <cell r="K9">
            <v>0.86365118282773967</v>
          </cell>
          <cell r="L9">
            <v>1.887558059880249E-2</v>
          </cell>
          <cell r="M9">
            <v>0.11747323657345785</v>
          </cell>
          <cell r="O9" t="str">
            <v>CA</v>
          </cell>
          <cell r="P9">
            <v>1</v>
          </cell>
          <cell r="R9" t="str">
            <v>CA</v>
          </cell>
          <cell r="S9">
            <v>1</v>
          </cell>
          <cell r="U9" t="str">
            <v>1990CA</v>
          </cell>
          <cell r="V9">
            <v>0.125134622</v>
          </cell>
          <cell r="W9">
            <v>3.3375830000000002E-2</v>
          </cell>
          <cell r="X9">
            <v>7.9872487000000006E-2</v>
          </cell>
          <cell r="Y9">
            <v>0.46756251500000001</v>
          </cell>
          <cell r="Z9">
            <v>0.29405454600000003</v>
          </cell>
          <cell r="AB9" t="str">
            <v>1990CA</v>
          </cell>
          <cell r="AC9">
            <v>0.45</v>
          </cell>
          <cell r="AD9">
            <v>0.03</v>
          </cell>
          <cell r="AE9">
            <v>7.0000000000000007E-2</v>
          </cell>
          <cell r="AF9">
            <v>0.45</v>
          </cell>
          <cell r="AH9" t="str">
            <v>CA</v>
          </cell>
          <cell r="AI9">
            <v>1</v>
          </cell>
          <cell r="AK9" t="str">
            <v>CA</v>
          </cell>
          <cell r="AL9">
            <v>0.93</v>
          </cell>
          <cell r="AM9">
            <v>7.0000000000000007E-2</v>
          </cell>
          <cell r="AO9" t="str">
            <v>CA</v>
          </cell>
          <cell r="AP9">
            <v>0.98245614035087714</v>
          </cell>
          <cell r="AQ9">
            <v>1</v>
          </cell>
          <cell r="AS9" t="str">
            <v>CA</v>
          </cell>
          <cell r="AT9">
            <v>1</v>
          </cell>
          <cell r="AV9" t="str">
            <v>CA</v>
          </cell>
          <cell r="AW9">
            <v>1</v>
          </cell>
        </row>
        <row r="10">
          <cell r="B10" t="str">
            <v>1990CO</v>
          </cell>
          <cell r="C10">
            <v>0.49098622891561094</v>
          </cell>
          <cell r="D10">
            <v>0.27048463258608685</v>
          </cell>
          <cell r="E10">
            <v>3.1795829514207154E-2</v>
          </cell>
          <cell r="F10">
            <v>0.15830656070304969</v>
          </cell>
          <cell r="G10">
            <v>1.8824396578062941E-2</v>
          </cell>
          <cell r="H10">
            <v>2.9602351702982557E-2</v>
          </cell>
          <cell r="J10" t="str">
            <v>1990CO</v>
          </cell>
          <cell r="K10">
            <v>0.94937977390772987</v>
          </cell>
          <cell r="L10">
            <v>1.8824396578062941E-2</v>
          </cell>
          <cell r="M10">
            <v>3.1795829514207154E-2</v>
          </cell>
          <cell r="O10" t="str">
            <v>CO</v>
          </cell>
          <cell r="P10">
            <v>1</v>
          </cell>
          <cell r="R10" t="str">
            <v>CO</v>
          </cell>
          <cell r="S10">
            <v>1</v>
          </cell>
          <cell r="U10" t="str">
            <v>1990CO</v>
          </cell>
          <cell r="V10">
            <v>8.2290050000000003E-2</v>
          </cell>
          <cell r="W10">
            <v>4.8706762000000001E-2</v>
          </cell>
          <cell r="X10">
            <v>0.24426646199999999</v>
          </cell>
          <cell r="Y10">
            <v>0.16587838599999999</v>
          </cell>
          <cell r="Z10">
            <v>0.45885833999999998</v>
          </cell>
          <cell r="AB10" t="str">
            <v>1990CO</v>
          </cell>
          <cell r="AC10">
            <v>0</v>
          </cell>
          <cell r="AD10">
            <v>0.08</v>
          </cell>
          <cell r="AE10">
            <v>0.04</v>
          </cell>
          <cell r="AF10">
            <v>0.88</v>
          </cell>
          <cell r="AH10" t="str">
            <v>CO</v>
          </cell>
          <cell r="AI10">
            <v>1</v>
          </cell>
          <cell r="AK10" t="str">
            <v>CO</v>
          </cell>
          <cell r="AL10">
            <v>0.88</v>
          </cell>
          <cell r="AM10">
            <v>0.12</v>
          </cell>
          <cell r="AO10" t="str">
            <v>CO</v>
          </cell>
          <cell r="AP10">
            <v>3.8461538461538547E-2</v>
          </cell>
          <cell r="AQ10">
            <v>1</v>
          </cell>
          <cell r="AS10" t="str">
            <v>CO</v>
          </cell>
          <cell r="AT10">
            <v>1</v>
          </cell>
          <cell r="AV10" t="str">
            <v>CO</v>
          </cell>
          <cell r="AW10">
            <v>1</v>
          </cell>
        </row>
        <row r="11">
          <cell r="B11" t="str">
            <v>1990CT</v>
          </cell>
          <cell r="C11">
            <v>8.4639160569504074E-2</v>
          </cell>
          <cell r="D11">
            <v>0.17059156189590957</v>
          </cell>
          <cell r="E11">
            <v>0.44400659000684961</v>
          </cell>
          <cell r="F11">
            <v>0.20917776913982303</v>
          </cell>
          <cell r="G11">
            <v>6.6139230965887155E-2</v>
          </cell>
          <cell r="H11">
            <v>2.5445687422026568E-2</v>
          </cell>
          <cell r="J11" t="str">
            <v>1990CT</v>
          </cell>
          <cell r="K11">
            <v>0.48985417902726325</v>
          </cell>
          <cell r="L11">
            <v>6.6139230965887155E-2</v>
          </cell>
          <cell r="M11">
            <v>0.44400659000684961</v>
          </cell>
          <cell r="O11" t="str">
            <v>CT</v>
          </cell>
          <cell r="P11">
            <v>1</v>
          </cell>
          <cell r="R11" t="str">
            <v>CT</v>
          </cell>
          <cell r="S11">
            <v>1</v>
          </cell>
          <cell r="U11" t="str">
            <v>1990CT</v>
          </cell>
          <cell r="V11">
            <v>1</v>
          </cell>
          <cell r="W11">
            <v>0</v>
          </cell>
          <cell r="X11">
            <v>0</v>
          </cell>
          <cell r="Y11">
            <v>0</v>
          </cell>
          <cell r="Z11">
            <v>0</v>
          </cell>
          <cell r="AB11" t="str">
            <v>1990CT</v>
          </cell>
          <cell r="AC11">
            <v>0</v>
          </cell>
          <cell r="AD11">
            <v>0</v>
          </cell>
          <cell r="AE11">
            <v>0</v>
          </cell>
          <cell r="AF11">
            <v>1</v>
          </cell>
          <cell r="AH11" t="str">
            <v>CT</v>
          </cell>
          <cell r="AI11">
            <v>1</v>
          </cell>
          <cell r="AK11" t="str">
            <v>CT</v>
          </cell>
          <cell r="AL11">
            <v>0</v>
          </cell>
          <cell r="AM11">
            <v>1</v>
          </cell>
          <cell r="AO11" t="str">
            <v>CT</v>
          </cell>
          <cell r="AP11">
            <v>0</v>
          </cell>
          <cell r="AQ11">
            <v>1</v>
          </cell>
          <cell r="AS11" t="str">
            <v>CT</v>
          </cell>
          <cell r="AT11">
            <v>1</v>
          </cell>
          <cell r="AV11" t="str">
            <v>CT</v>
          </cell>
          <cell r="AW11">
            <v>1</v>
          </cell>
        </row>
        <row r="12">
          <cell r="B12" t="str">
            <v>1990DE</v>
          </cell>
          <cell r="C12">
            <v>6.4721224754374362E-2</v>
          </cell>
          <cell r="D12">
            <v>0.16849970345132176</v>
          </cell>
          <cell r="E12">
            <v>0.43954865690055572</v>
          </cell>
          <cell r="F12">
            <v>0.230827105252045</v>
          </cell>
          <cell r="G12">
            <v>6.2117960520859244E-2</v>
          </cell>
          <cell r="H12">
            <v>3.4285349120843883E-2</v>
          </cell>
          <cell r="J12" t="str">
            <v>1990DE</v>
          </cell>
          <cell r="K12">
            <v>0.49833338257858506</v>
          </cell>
          <cell r="L12">
            <v>6.2117960520859244E-2</v>
          </cell>
          <cell r="M12">
            <v>0.43954865690055572</v>
          </cell>
          <cell r="O12" t="str">
            <v>DE</v>
          </cell>
          <cell r="P12">
            <v>1</v>
          </cell>
          <cell r="R12" t="str">
            <v>DE</v>
          </cell>
          <cell r="S12">
            <v>1</v>
          </cell>
          <cell r="U12" t="str">
            <v>1990DE</v>
          </cell>
          <cell r="V12">
            <v>9.3256157000000006E-2</v>
          </cell>
          <cell r="W12">
            <v>4.7295367999999997E-2</v>
          </cell>
          <cell r="X12">
            <v>0.24224610899999999</v>
          </cell>
          <cell r="Y12">
            <v>0.16666082199999999</v>
          </cell>
          <cell r="Z12">
            <v>0.45054154400000002</v>
          </cell>
          <cell r="AB12" t="str">
            <v>1990DE</v>
          </cell>
          <cell r="AC12">
            <v>0</v>
          </cell>
          <cell r="AD12">
            <v>0</v>
          </cell>
          <cell r="AE12">
            <v>0</v>
          </cell>
          <cell r="AF12">
            <v>1</v>
          </cell>
          <cell r="AH12" t="str">
            <v>DE</v>
          </cell>
          <cell r="AI12">
            <v>1</v>
          </cell>
          <cell r="AK12" t="str">
            <v>DE</v>
          </cell>
          <cell r="AL12">
            <v>0.88</v>
          </cell>
          <cell r="AM12">
            <v>0.12</v>
          </cell>
          <cell r="AO12" t="str">
            <v>DE</v>
          </cell>
          <cell r="AP12">
            <v>0</v>
          </cell>
          <cell r="AQ12">
            <v>1</v>
          </cell>
          <cell r="AS12" t="str">
            <v>DE</v>
          </cell>
          <cell r="AT12">
            <v>1</v>
          </cell>
          <cell r="AV12" t="str">
            <v>DE</v>
          </cell>
          <cell r="AW12">
            <v>1</v>
          </cell>
        </row>
        <row r="13">
          <cell r="B13" t="str">
            <v>1990FL</v>
          </cell>
          <cell r="C13">
            <v>0.36834527013893126</v>
          </cell>
          <cell r="D13">
            <v>0.14581181469033638</v>
          </cell>
          <cell r="E13">
            <v>0.2116387614678899</v>
          </cell>
          <cell r="F13">
            <v>7.4174101737139009E-2</v>
          </cell>
          <cell r="G13">
            <v>0.19882721712538226</v>
          </cell>
          <cell r="H13">
            <v>1.2028348403212816E-3</v>
          </cell>
          <cell r="J13" t="str">
            <v>1990FL</v>
          </cell>
          <cell r="K13">
            <v>0.58953402140672784</v>
          </cell>
          <cell r="L13">
            <v>0.19882721712538226</v>
          </cell>
          <cell r="M13">
            <v>0.2116387614678899</v>
          </cell>
          <cell r="O13" t="str">
            <v>FL</v>
          </cell>
          <cell r="P13">
            <v>1</v>
          </cell>
          <cell r="R13" t="str">
            <v>FL</v>
          </cell>
          <cell r="S13">
            <v>1</v>
          </cell>
          <cell r="U13" t="str">
            <v>1990FL</v>
          </cell>
          <cell r="V13">
            <v>0.45582561500000002</v>
          </cell>
          <cell r="W13">
            <v>2.3943672999999999E-2</v>
          </cell>
          <cell r="X13">
            <v>0.15019213000000001</v>
          </cell>
          <cell r="Y13">
            <v>0.114820795</v>
          </cell>
          <cell r="Z13">
            <v>0.255217786</v>
          </cell>
          <cell r="AB13" t="str">
            <v>1990FL</v>
          </cell>
          <cell r="AC13">
            <v>0.12</v>
          </cell>
          <cell r="AD13">
            <v>0.06</v>
          </cell>
          <cell r="AE13">
            <v>0.12</v>
          </cell>
          <cell r="AF13">
            <v>0.7</v>
          </cell>
          <cell r="AH13" t="str">
            <v>FL</v>
          </cell>
          <cell r="AI13">
            <v>1</v>
          </cell>
          <cell r="AK13" t="str">
            <v>FL</v>
          </cell>
          <cell r="AL13">
            <v>0.88</v>
          </cell>
          <cell r="AM13">
            <v>0.12</v>
          </cell>
          <cell r="AO13" t="str">
            <v>FL</v>
          </cell>
          <cell r="AP13">
            <v>0</v>
          </cell>
          <cell r="AQ13">
            <v>1</v>
          </cell>
          <cell r="AS13" t="str">
            <v>FL</v>
          </cell>
          <cell r="AT13">
            <v>1</v>
          </cell>
          <cell r="AV13" t="str">
            <v>FL</v>
          </cell>
          <cell r="AW13">
            <v>1</v>
          </cell>
        </row>
        <row r="14">
          <cell r="B14" t="str">
            <v>1990GA</v>
          </cell>
          <cell r="C14">
            <v>0.13808042244019927</v>
          </cell>
          <cell r="D14">
            <v>8.9352824662304167E-2</v>
          </cell>
          <cell r="E14">
            <v>0.15758128964421914</v>
          </cell>
          <cell r="F14">
            <v>9.1347360862013047E-2</v>
          </cell>
          <cell r="G14">
            <v>0.51951190674601222</v>
          </cell>
          <cell r="H14">
            <v>4.1261956452521564E-3</v>
          </cell>
          <cell r="J14" t="str">
            <v>1990GA</v>
          </cell>
          <cell r="K14">
            <v>0.32290680360976864</v>
          </cell>
          <cell r="L14">
            <v>0.51951190674601222</v>
          </cell>
          <cell r="M14">
            <v>0.15758128964421914</v>
          </cell>
          <cell r="O14" t="str">
            <v>GA</v>
          </cell>
          <cell r="P14">
            <v>1</v>
          </cell>
          <cell r="R14" t="str">
            <v>GA</v>
          </cell>
          <cell r="S14">
            <v>1</v>
          </cell>
          <cell r="U14" t="str">
            <v>1990GA</v>
          </cell>
          <cell r="V14">
            <v>0.129819457</v>
          </cell>
          <cell r="W14">
            <v>3.5174263999999997E-2</v>
          </cell>
          <cell r="X14">
            <v>0.141866518</v>
          </cell>
          <cell r="Y14">
            <v>0.35575009400000002</v>
          </cell>
          <cell r="Z14">
            <v>0.337389667</v>
          </cell>
          <cell r="AB14" t="str">
            <v>1990GA</v>
          </cell>
          <cell r="AC14">
            <v>0.64</v>
          </cell>
          <cell r="AD14">
            <v>0.05</v>
          </cell>
          <cell r="AE14">
            <v>0.01</v>
          </cell>
          <cell r="AF14">
            <v>0.3</v>
          </cell>
          <cell r="AH14" t="str">
            <v>GA</v>
          </cell>
          <cell r="AI14">
            <v>1</v>
          </cell>
          <cell r="AK14" t="str">
            <v>GA</v>
          </cell>
          <cell r="AL14">
            <v>0.5</v>
          </cell>
          <cell r="AM14">
            <v>0.5</v>
          </cell>
          <cell r="AO14" t="str">
            <v>GA</v>
          </cell>
          <cell r="AP14">
            <v>0</v>
          </cell>
          <cell r="AQ14">
            <v>1</v>
          </cell>
          <cell r="AS14" t="str">
            <v>GA</v>
          </cell>
          <cell r="AT14">
            <v>1</v>
          </cell>
          <cell r="AV14" t="str">
            <v>GA</v>
          </cell>
          <cell r="AW14">
            <v>1</v>
          </cell>
        </row>
        <row r="15">
          <cell r="B15" t="str">
            <v>1990HI</v>
          </cell>
          <cell r="C15">
            <v>0.67700924544366925</v>
          </cell>
          <cell r="D15">
            <v>0.21169633721291711</v>
          </cell>
          <cell r="E15">
            <v>0</v>
          </cell>
          <cell r="F15">
            <v>0.10623984032506543</v>
          </cell>
          <cell r="G15">
            <v>4.0261462675255785E-3</v>
          </cell>
          <cell r="H15">
            <v>1.0284307508226574E-3</v>
          </cell>
          <cell r="J15" t="str">
            <v>1990HI</v>
          </cell>
          <cell r="K15">
            <v>0.99597385373247438</v>
          </cell>
          <cell r="L15">
            <v>4.0261462675255785E-3</v>
          </cell>
          <cell r="M15">
            <v>0</v>
          </cell>
          <cell r="O15" t="str">
            <v>HI</v>
          </cell>
          <cell r="P15">
            <v>1</v>
          </cell>
          <cell r="R15" t="str">
            <v>HI</v>
          </cell>
          <cell r="S15">
            <v>1</v>
          </cell>
          <cell r="U15" t="str">
            <v>1990HI</v>
          </cell>
          <cell r="V15">
            <v>0.36042526000000003</v>
          </cell>
          <cell r="W15">
            <v>2.8141289E-2</v>
          </cell>
          <cell r="X15">
            <v>0.17652262799999999</v>
          </cell>
          <cell r="Y15">
            <v>0.13495027000000001</v>
          </cell>
          <cell r="Z15">
            <v>0.29996055300000002</v>
          </cell>
          <cell r="AB15" t="str">
            <v>1990HI</v>
          </cell>
          <cell r="AC15">
            <v>0.1</v>
          </cell>
          <cell r="AD15">
            <v>0</v>
          </cell>
          <cell r="AE15">
            <v>0.8</v>
          </cell>
          <cell r="AF15">
            <v>0.1</v>
          </cell>
          <cell r="AH15" t="str">
            <v>HI</v>
          </cell>
          <cell r="AI15">
            <v>1</v>
          </cell>
          <cell r="AK15" t="str">
            <v>HI</v>
          </cell>
          <cell r="AL15">
            <v>0.88</v>
          </cell>
          <cell r="AM15">
            <v>0.12</v>
          </cell>
          <cell r="AO15" t="str">
            <v>HI</v>
          </cell>
          <cell r="AP15">
            <v>0</v>
          </cell>
          <cell r="AQ15">
            <v>1</v>
          </cell>
          <cell r="AS15" t="str">
            <v>HI</v>
          </cell>
          <cell r="AT15">
            <v>1</v>
          </cell>
          <cell r="AV15" t="str">
            <v>HI</v>
          </cell>
          <cell r="AW15">
            <v>1</v>
          </cell>
        </row>
        <row r="16">
          <cell r="B16" t="str">
            <v>1990ID</v>
          </cell>
          <cell r="C16">
            <v>0.44197446887186598</v>
          </cell>
          <cell r="D16">
            <v>0.24023670359726779</v>
          </cell>
          <cell r="E16">
            <v>5.3139336991500953E-2</v>
          </cell>
          <cell r="F16">
            <v>0.19192499890555711</v>
          </cell>
          <cell r="G16">
            <v>3.1460602497455789E-2</v>
          </cell>
          <cell r="H16">
            <v>4.1263889136352358E-2</v>
          </cell>
          <cell r="J16" t="str">
            <v>1990ID</v>
          </cell>
          <cell r="K16">
            <v>0.91540006051104328</v>
          </cell>
          <cell r="L16">
            <v>3.1460602497455789E-2</v>
          </cell>
          <cell r="M16">
            <v>5.3139336991500953E-2</v>
          </cell>
          <cell r="O16" t="str">
            <v>ID</v>
          </cell>
          <cell r="P16">
            <v>1</v>
          </cell>
          <cell r="R16" t="str">
            <v>ID</v>
          </cell>
          <cell r="S16">
            <v>1</v>
          </cell>
          <cell r="U16" t="str">
            <v>1990ID</v>
          </cell>
          <cell r="V16">
            <v>0.339827451</v>
          </cell>
          <cell r="W16">
            <v>3.1595740999999997E-2</v>
          </cell>
          <cell r="X16">
            <v>0.17944712900000001</v>
          </cell>
          <cell r="Y16">
            <v>0.130802578</v>
          </cell>
          <cell r="Z16">
            <v>0.31832710199999997</v>
          </cell>
          <cell r="AB16" t="str">
            <v>1990ID</v>
          </cell>
          <cell r="AC16">
            <v>0</v>
          </cell>
          <cell r="AD16">
            <v>0.6</v>
          </cell>
          <cell r="AE16">
            <v>0</v>
          </cell>
          <cell r="AF16">
            <v>0.4</v>
          </cell>
          <cell r="AH16" t="str">
            <v>ID</v>
          </cell>
          <cell r="AI16">
            <v>1</v>
          </cell>
          <cell r="AK16" t="str">
            <v>ID</v>
          </cell>
          <cell r="AL16">
            <v>0.88</v>
          </cell>
          <cell r="AM16">
            <v>0.12</v>
          </cell>
          <cell r="AO16" t="str">
            <v>ID</v>
          </cell>
          <cell r="AP16">
            <v>1</v>
          </cell>
          <cell r="AQ16">
            <v>1</v>
          </cell>
          <cell r="AS16" t="str">
            <v>ID</v>
          </cell>
          <cell r="AT16">
            <v>1</v>
          </cell>
          <cell r="AV16" t="str">
            <v>ID</v>
          </cell>
          <cell r="AW16">
            <v>1</v>
          </cell>
        </row>
        <row r="17">
          <cell r="B17" t="str">
            <v>1990IL</v>
          </cell>
          <cell r="C17">
            <v>4.8061976553949212E-2</v>
          </cell>
          <cell r="D17">
            <v>0.16288117559095172</v>
          </cell>
          <cell r="E17">
            <v>0.14976196460301133</v>
          </cell>
          <cell r="F17">
            <v>0.50361481344839976</v>
          </cell>
          <cell r="G17">
            <v>8.8665043720190781E-2</v>
          </cell>
          <cell r="H17">
            <v>4.7015026083497266E-2</v>
          </cell>
          <cell r="J17" t="str">
            <v>1990IL</v>
          </cell>
          <cell r="K17">
            <v>0.76157299167679793</v>
          </cell>
          <cell r="L17">
            <v>8.8665043720190781E-2</v>
          </cell>
          <cell r="M17">
            <v>0.14976196460301133</v>
          </cell>
          <cell r="O17" t="str">
            <v>IL</v>
          </cell>
          <cell r="P17">
            <v>1</v>
          </cell>
          <cell r="R17" t="str">
            <v>IL</v>
          </cell>
          <cell r="S17">
            <v>1</v>
          </cell>
          <cell r="U17" t="str">
            <v>1990IL</v>
          </cell>
          <cell r="V17">
            <v>8.1355548E-2</v>
          </cell>
          <cell r="W17">
            <v>4.1624348999999998E-2</v>
          </cell>
          <cell r="X17">
            <v>0.25806084299999998</v>
          </cell>
          <cell r="Y17">
            <v>0.16764712800000001</v>
          </cell>
          <cell r="Z17">
            <v>0.45131213199999998</v>
          </cell>
          <cell r="AB17" t="str">
            <v>1990IL</v>
          </cell>
          <cell r="AC17">
            <v>0</v>
          </cell>
          <cell r="AD17">
            <v>0</v>
          </cell>
          <cell r="AE17">
            <v>0.1</v>
          </cell>
          <cell r="AF17">
            <v>0.9</v>
          </cell>
          <cell r="AH17" t="str">
            <v>IL</v>
          </cell>
          <cell r="AI17">
            <v>1</v>
          </cell>
          <cell r="AK17" t="str">
            <v>IL</v>
          </cell>
          <cell r="AL17">
            <v>0.85</v>
          </cell>
          <cell r="AM17">
            <v>0.15</v>
          </cell>
          <cell r="AO17" t="str">
            <v>IL</v>
          </cell>
          <cell r="AP17">
            <v>0.2</v>
          </cell>
          <cell r="AQ17">
            <v>1</v>
          </cell>
          <cell r="AS17" t="str">
            <v>IL</v>
          </cell>
          <cell r="AT17">
            <v>1</v>
          </cell>
          <cell r="AV17" t="str">
            <v>IL</v>
          </cell>
          <cell r="AW17">
            <v>1</v>
          </cell>
        </row>
        <row r="18">
          <cell r="B18" t="str">
            <v>1990IN</v>
          </cell>
          <cell r="C18">
            <v>4.8087805777521975E-2</v>
          </cell>
          <cell r="D18">
            <v>0.15522488864656731</v>
          </cell>
          <cell r="E18">
            <v>0.19010910624218652</v>
          </cell>
          <cell r="F18">
            <v>0.45225958005909639</v>
          </cell>
          <cell r="G18">
            <v>0.11255215742696613</v>
          </cell>
          <cell r="H18">
            <v>4.1766461847661793E-2</v>
          </cell>
          <cell r="J18" t="str">
            <v>1990IN</v>
          </cell>
          <cell r="K18">
            <v>0.69733873633084742</v>
          </cell>
          <cell r="L18">
            <v>0.11255215742696613</v>
          </cell>
          <cell r="M18">
            <v>0.19010910624218652</v>
          </cell>
          <cell r="O18" t="str">
            <v>IN</v>
          </cell>
          <cell r="P18">
            <v>1</v>
          </cell>
          <cell r="R18" t="str">
            <v>IN</v>
          </cell>
          <cell r="S18">
            <v>1</v>
          </cell>
          <cell r="U18" t="str">
            <v>1990IN</v>
          </cell>
          <cell r="V18">
            <v>9.0620164000000003E-2</v>
          </cell>
          <cell r="W18">
            <v>4.1295287E-2</v>
          </cell>
          <cell r="X18">
            <v>0.25579848999999999</v>
          </cell>
          <cell r="Y18">
            <v>0.163983147</v>
          </cell>
          <cell r="Z18">
            <v>0.448302912</v>
          </cell>
          <cell r="AB18" t="str">
            <v>1990IN</v>
          </cell>
          <cell r="AC18">
            <v>0</v>
          </cell>
          <cell r="AD18">
            <v>0.05</v>
          </cell>
          <cell r="AE18">
            <v>0</v>
          </cell>
          <cell r="AF18">
            <v>0.95</v>
          </cell>
          <cell r="AH18" t="str">
            <v>IN</v>
          </cell>
          <cell r="AI18">
            <v>1</v>
          </cell>
          <cell r="AK18" t="str">
            <v>IN</v>
          </cell>
          <cell r="AL18">
            <v>0.95</v>
          </cell>
          <cell r="AM18">
            <v>0.05</v>
          </cell>
          <cell r="AO18" t="str">
            <v>IN</v>
          </cell>
          <cell r="AP18">
            <v>1</v>
          </cell>
          <cell r="AQ18">
            <v>1</v>
          </cell>
          <cell r="AS18" t="str">
            <v>IN</v>
          </cell>
          <cell r="AT18">
            <v>1</v>
          </cell>
          <cell r="AV18" t="str">
            <v>IN</v>
          </cell>
          <cell r="AW18">
            <v>1</v>
          </cell>
        </row>
        <row r="19">
          <cell r="B19" t="str">
            <v>1990IA</v>
          </cell>
          <cell r="C19">
            <v>3.8606244029845936E-2</v>
          </cell>
          <cell r="D19">
            <v>0.13088910588331074</v>
          </cell>
          <cell r="E19">
            <v>0.21907687059292058</v>
          </cell>
          <cell r="F19">
            <v>0.44604907546775419</v>
          </cell>
          <cell r="G19">
            <v>0.12970222686844551</v>
          </cell>
          <cell r="H19">
            <v>3.5676477157722986E-2</v>
          </cell>
          <cell r="J19" t="str">
            <v>1990IA</v>
          </cell>
          <cell r="K19">
            <v>0.65122090253863396</v>
          </cell>
          <cell r="L19">
            <v>0.12970222686844551</v>
          </cell>
          <cell r="M19">
            <v>0.21907687059292058</v>
          </cell>
          <cell r="O19" t="str">
            <v>IA</v>
          </cell>
          <cell r="P19">
            <v>1</v>
          </cell>
          <cell r="R19" t="str">
            <v>IA</v>
          </cell>
          <cell r="S19">
            <v>1</v>
          </cell>
          <cell r="U19" t="str">
            <v>1990IA</v>
          </cell>
          <cell r="V19">
            <v>7.2136692000000002E-2</v>
          </cell>
          <cell r="W19">
            <v>3.9535262000000002E-2</v>
          </cell>
          <cell r="X19">
            <v>0.21534028299999999</v>
          </cell>
          <cell r="Y19">
            <v>0.26713773800000001</v>
          </cell>
          <cell r="Z19">
            <v>0.405850025</v>
          </cell>
          <cell r="AB19" t="str">
            <v>1990IA</v>
          </cell>
          <cell r="AC19">
            <v>0.04</v>
          </cell>
          <cell r="AD19">
            <v>0.04</v>
          </cell>
          <cell r="AE19">
            <v>0.02</v>
          </cell>
          <cell r="AF19">
            <v>0.9</v>
          </cell>
          <cell r="AH19" t="str">
            <v>IA</v>
          </cell>
          <cell r="AI19">
            <v>1</v>
          </cell>
          <cell r="AK19" t="str">
            <v>IA</v>
          </cell>
          <cell r="AL19">
            <v>1</v>
          </cell>
          <cell r="AM19">
            <v>0</v>
          </cell>
          <cell r="AO19" t="str">
            <v>IA</v>
          </cell>
          <cell r="AP19">
            <v>0</v>
          </cell>
          <cell r="AQ19">
            <v>1</v>
          </cell>
          <cell r="AS19" t="str">
            <v>IA</v>
          </cell>
          <cell r="AT19">
            <v>1</v>
          </cell>
          <cell r="AV19" t="str">
            <v>IA</v>
          </cell>
          <cell r="AW19">
            <v>1</v>
          </cell>
        </row>
        <row r="20">
          <cell r="B20" t="str">
            <v>1990KS</v>
          </cell>
          <cell r="C20">
            <v>6.150825709632509E-2</v>
          </cell>
          <cell r="D20">
            <v>0.18381203926839509</v>
          </cell>
          <cell r="E20">
            <v>0.15447997825693061</v>
          </cell>
          <cell r="F20">
            <v>0.46454144201879716</v>
          </cell>
          <cell r="G20">
            <v>9.1458295584948959E-2</v>
          </cell>
          <cell r="H20">
            <v>4.4199987774603093E-2</v>
          </cell>
          <cell r="J20" t="str">
            <v>1990KS</v>
          </cell>
          <cell r="K20">
            <v>0.75406172615812039</v>
          </cell>
          <cell r="L20">
            <v>9.1458295584948959E-2</v>
          </cell>
          <cell r="M20">
            <v>0.15447997825693061</v>
          </cell>
          <cell r="O20" t="str">
            <v>KS</v>
          </cell>
          <cell r="P20">
            <v>1</v>
          </cell>
          <cell r="R20" t="str">
            <v>KS</v>
          </cell>
          <cell r="S20">
            <v>1</v>
          </cell>
          <cell r="U20" t="str">
            <v>1990KS</v>
          </cell>
          <cell r="V20">
            <v>0.14299250999999999</v>
          </cell>
          <cell r="W20">
            <v>3.9059442999999999E-2</v>
          </cell>
          <cell r="X20">
            <v>0.24160074100000001</v>
          </cell>
          <cell r="Y20">
            <v>0.15144187000000001</v>
          </cell>
          <cell r="Z20">
            <v>0.424905435</v>
          </cell>
          <cell r="AB20" t="str">
            <v>1990KS</v>
          </cell>
          <cell r="AC20">
            <v>0</v>
          </cell>
          <cell r="AD20">
            <v>0</v>
          </cell>
          <cell r="AE20">
            <v>0</v>
          </cell>
          <cell r="AF20">
            <v>1</v>
          </cell>
          <cell r="AH20" t="str">
            <v>KS</v>
          </cell>
          <cell r="AI20">
            <v>1</v>
          </cell>
          <cell r="AK20" t="str">
            <v>KS</v>
          </cell>
          <cell r="AL20">
            <v>1</v>
          </cell>
          <cell r="AM20">
            <v>0</v>
          </cell>
          <cell r="AO20" t="str">
            <v>KS</v>
          </cell>
          <cell r="AP20">
            <v>0.29113924050632911</v>
          </cell>
          <cell r="AQ20">
            <v>1</v>
          </cell>
          <cell r="AS20" t="str">
            <v>KS</v>
          </cell>
          <cell r="AT20">
            <v>1</v>
          </cell>
          <cell r="AV20" t="str">
            <v>KS</v>
          </cell>
          <cell r="AW20">
            <v>1</v>
          </cell>
        </row>
        <row r="21">
          <cell r="B21" t="str">
            <v>1990KY</v>
          </cell>
          <cell r="C21">
            <v>1.6646169322275198E-2</v>
          </cell>
          <cell r="D21">
            <v>5.1769904298287782E-2</v>
          </cell>
          <cell r="E21">
            <v>0.14046629368205532</v>
          </cell>
          <cell r="F21">
            <v>0.15577602658945497</v>
          </cell>
          <cell r="G21">
            <v>0.6210430546673904</v>
          </cell>
          <cell r="H21">
            <v>1.4298551440536343E-2</v>
          </cell>
          <cell r="J21" t="str">
            <v>1990KY</v>
          </cell>
          <cell r="K21">
            <v>0.23849065165055428</v>
          </cell>
          <cell r="L21">
            <v>0.6210430546673904</v>
          </cell>
          <cell r="M21">
            <v>0.14046629368205532</v>
          </cell>
          <cell r="O21" t="str">
            <v>KY</v>
          </cell>
          <cell r="P21">
            <v>1</v>
          </cell>
          <cell r="R21" t="str">
            <v>KY</v>
          </cell>
          <cell r="S21">
            <v>1</v>
          </cell>
          <cell r="U21" t="str">
            <v>1990KY</v>
          </cell>
          <cell r="V21">
            <v>0.18225018100000001</v>
          </cell>
          <cell r="W21">
            <v>3.3950879000000003E-2</v>
          </cell>
          <cell r="X21">
            <v>0.161605368</v>
          </cell>
          <cell r="Y21">
            <v>0.28478148399999997</v>
          </cell>
          <cell r="Z21">
            <v>0.337412088</v>
          </cell>
          <cell r="AB21" t="str">
            <v>1990KY</v>
          </cell>
          <cell r="AC21">
            <v>0.03</v>
          </cell>
          <cell r="AD21">
            <v>0.33</v>
          </cell>
          <cell r="AE21">
            <v>0.61</v>
          </cell>
          <cell r="AF21">
            <v>0.03</v>
          </cell>
          <cell r="AH21" t="str">
            <v>KY</v>
          </cell>
          <cell r="AI21">
            <v>1</v>
          </cell>
          <cell r="AK21" t="str">
            <v>KY</v>
          </cell>
          <cell r="AL21">
            <v>0.88</v>
          </cell>
          <cell r="AM21">
            <v>0.12</v>
          </cell>
          <cell r="AO21" t="str">
            <v>KY</v>
          </cell>
          <cell r="AP21">
            <v>0</v>
          </cell>
          <cell r="AQ21">
            <v>1</v>
          </cell>
          <cell r="AS21" t="str">
            <v>KY</v>
          </cell>
          <cell r="AT21">
            <v>1</v>
          </cell>
          <cell r="AV21" t="str">
            <v>KY</v>
          </cell>
          <cell r="AW21">
            <v>1</v>
          </cell>
        </row>
        <row r="22">
          <cell r="B22" t="str">
            <v>1990LA</v>
          </cell>
          <cell r="C22">
            <v>7.1144157903606342E-2</v>
          </cell>
          <cell r="D22">
            <v>5.6328384816312783E-2</v>
          </cell>
          <cell r="E22">
            <v>0.13912499999999997</v>
          </cell>
          <cell r="F22">
            <v>9.9380874747219433E-2</v>
          </cell>
          <cell r="G22">
            <v>0.629</v>
          </cell>
          <cell r="H22">
            <v>5.0215825328614773E-3</v>
          </cell>
          <cell r="J22" t="str">
            <v>1990LA</v>
          </cell>
          <cell r="K22">
            <v>0.23187500000000005</v>
          </cell>
          <cell r="L22">
            <v>0.629</v>
          </cell>
          <cell r="M22">
            <v>0.13912499999999997</v>
          </cell>
          <cell r="O22" t="str">
            <v>LA</v>
          </cell>
          <cell r="P22">
            <v>1</v>
          </cell>
          <cell r="R22" t="str">
            <v>LA</v>
          </cell>
          <cell r="S22">
            <v>1</v>
          </cell>
          <cell r="U22" t="str">
            <v>1990LA</v>
          </cell>
          <cell r="V22">
            <v>0.31583997400000002</v>
          </cell>
          <cell r="W22">
            <v>2.8011194E-2</v>
          </cell>
          <cell r="X22">
            <v>0.12278557499999999</v>
          </cell>
          <cell r="Y22">
            <v>0.26000700999999998</v>
          </cell>
          <cell r="Z22">
            <v>0.27335624600000002</v>
          </cell>
          <cell r="AB22" t="str">
            <v>1990LA</v>
          </cell>
          <cell r="AC22">
            <v>0.05</v>
          </cell>
          <cell r="AD22">
            <v>0</v>
          </cell>
          <cell r="AE22">
            <v>0.95</v>
          </cell>
          <cell r="AF22">
            <v>0</v>
          </cell>
          <cell r="AH22" t="str">
            <v>LA</v>
          </cell>
          <cell r="AI22">
            <v>1</v>
          </cell>
          <cell r="AK22" t="str">
            <v>LA</v>
          </cell>
          <cell r="AL22">
            <v>0.88</v>
          </cell>
          <cell r="AM22">
            <v>0.12</v>
          </cell>
          <cell r="AO22" t="str">
            <v>LA</v>
          </cell>
          <cell r="AP22">
            <v>0</v>
          </cell>
          <cell r="AQ22">
            <v>1</v>
          </cell>
          <cell r="AS22" t="str">
            <v>LA</v>
          </cell>
          <cell r="AT22">
            <v>1</v>
          </cell>
          <cell r="AV22" t="str">
            <v>LA</v>
          </cell>
          <cell r="AW22">
            <v>1</v>
          </cell>
        </row>
        <row r="23">
          <cell r="B23" t="str">
            <v>1990ME</v>
          </cell>
          <cell r="C23">
            <v>3.718504478891041E-2</v>
          </cell>
          <cell r="D23">
            <v>0.11002557347728271</v>
          </cell>
          <cell r="E23">
            <v>0.47083240038243279</v>
          </cell>
          <cell r="F23">
            <v>0.26521816435578993</v>
          </cell>
          <cell r="G23">
            <v>9.0337404391808526E-2</v>
          </cell>
          <cell r="H23">
            <v>2.6401412603775674E-2</v>
          </cell>
          <cell r="J23" t="str">
            <v>1990ME</v>
          </cell>
          <cell r="K23">
            <v>0.43883019522575872</v>
          </cell>
          <cell r="L23">
            <v>9.0337404391808526E-2</v>
          </cell>
          <cell r="M23">
            <v>0.47083240038243279</v>
          </cell>
          <cell r="O23" t="str">
            <v>ME</v>
          </cell>
          <cell r="P23">
            <v>1</v>
          </cell>
          <cell r="R23" t="str">
            <v>ME</v>
          </cell>
          <cell r="S23">
            <v>1</v>
          </cell>
          <cell r="U23" t="str">
            <v>1990ME</v>
          </cell>
          <cell r="V23">
            <v>1</v>
          </cell>
          <cell r="W23">
            <v>0</v>
          </cell>
          <cell r="X23">
            <v>0</v>
          </cell>
          <cell r="Y23">
            <v>0</v>
          </cell>
          <cell r="Z23">
            <v>0</v>
          </cell>
          <cell r="AB23" t="str">
            <v>1990ME</v>
          </cell>
          <cell r="AC23">
            <v>0.1</v>
          </cell>
          <cell r="AD23">
            <v>0.09</v>
          </cell>
          <cell r="AE23">
            <v>0</v>
          </cell>
          <cell r="AF23">
            <v>0.81</v>
          </cell>
          <cell r="AH23" t="str">
            <v>ME</v>
          </cell>
          <cell r="AI23">
            <v>1</v>
          </cell>
          <cell r="AK23" t="str">
            <v>ME</v>
          </cell>
          <cell r="AL23">
            <v>0.88</v>
          </cell>
          <cell r="AM23">
            <v>0.12</v>
          </cell>
          <cell r="AO23" t="str">
            <v>ME</v>
          </cell>
          <cell r="AP23">
            <v>0</v>
          </cell>
          <cell r="AQ23">
            <v>1</v>
          </cell>
          <cell r="AS23" t="str">
            <v>ME</v>
          </cell>
          <cell r="AT23">
            <v>1</v>
          </cell>
          <cell r="AV23" t="str">
            <v>ME</v>
          </cell>
          <cell r="AW23">
            <v>1</v>
          </cell>
        </row>
        <row r="24">
          <cell r="B24" t="str">
            <v>1990MD</v>
          </cell>
          <cell r="C24">
            <v>4.1893723913388137E-2</v>
          </cell>
          <cell r="D24">
            <v>0.12365029557343474</v>
          </cell>
          <cell r="E24">
            <v>0.45964978293685133</v>
          </cell>
          <cell r="F24">
            <v>0.26329361816793467</v>
          </cell>
          <cell r="G24">
            <v>8.0250144677551663E-2</v>
          </cell>
          <cell r="H24">
            <v>3.1262434730839492E-2</v>
          </cell>
          <cell r="J24" t="str">
            <v>1990MD</v>
          </cell>
          <cell r="K24">
            <v>0.46010007238559703</v>
          </cell>
          <cell r="L24">
            <v>8.0250144677551663E-2</v>
          </cell>
          <cell r="M24">
            <v>0.45964978293685133</v>
          </cell>
          <cell r="O24" t="str">
            <v>MD</v>
          </cell>
          <cell r="P24">
            <v>1</v>
          </cell>
          <cell r="R24" t="str">
            <v>MD</v>
          </cell>
          <cell r="S24">
            <v>1</v>
          </cell>
          <cell r="U24" t="str">
            <v>1990MD</v>
          </cell>
          <cell r="V24">
            <v>0.166823576</v>
          </cell>
          <cell r="W24">
            <v>4.1235824999999997E-2</v>
          </cell>
          <cell r="X24">
            <v>0.22499929199999999</v>
          </cell>
          <cell r="Y24">
            <v>0.16054668499999999</v>
          </cell>
          <cell r="Z24">
            <v>0.40639462199999998</v>
          </cell>
          <cell r="AB24" t="str">
            <v>1990MD</v>
          </cell>
          <cell r="AC24">
            <v>0</v>
          </cell>
          <cell r="AD24">
            <v>0</v>
          </cell>
          <cell r="AE24">
            <v>0</v>
          </cell>
          <cell r="AF24">
            <v>1</v>
          </cell>
          <cell r="AH24" t="str">
            <v>MD</v>
          </cell>
          <cell r="AI24">
            <v>1</v>
          </cell>
          <cell r="AK24" t="str">
            <v>MD</v>
          </cell>
          <cell r="AL24">
            <v>0.9</v>
          </cell>
          <cell r="AM24">
            <v>0.1</v>
          </cell>
          <cell r="AO24" t="str">
            <v>MD</v>
          </cell>
          <cell r="AP24">
            <v>0</v>
          </cell>
          <cell r="AQ24">
            <v>1</v>
          </cell>
          <cell r="AS24" t="str">
            <v>MD</v>
          </cell>
          <cell r="AT24">
            <v>1</v>
          </cell>
          <cell r="AV24" t="str">
            <v>MD</v>
          </cell>
          <cell r="AW24">
            <v>1</v>
          </cell>
        </row>
        <row r="25">
          <cell r="B25" t="str">
            <v>1990MA</v>
          </cell>
          <cell r="C25">
            <v>4.4512281016216008E-2</v>
          </cell>
          <cell r="D25">
            <v>0.12375788831131805</v>
          </cell>
          <cell r="E25">
            <v>0.46482017950102456</v>
          </cell>
          <cell r="F25">
            <v>0.25533177027300941</v>
          </cell>
          <cell r="G25">
            <v>8.4914091488065557E-2</v>
          </cell>
          <cell r="H25">
            <v>2.666378941036646E-2</v>
          </cell>
          <cell r="J25" t="str">
            <v>1990MA</v>
          </cell>
          <cell r="K25">
            <v>0.45026572901090989</v>
          </cell>
          <cell r="L25">
            <v>8.4914091488065557E-2</v>
          </cell>
          <cell r="M25">
            <v>0.46482017950102456</v>
          </cell>
          <cell r="O25" t="str">
            <v>MA</v>
          </cell>
          <cell r="P25">
            <v>1</v>
          </cell>
          <cell r="R25" t="str">
            <v>MA</v>
          </cell>
          <cell r="S25">
            <v>1</v>
          </cell>
          <cell r="U25" t="str">
            <v>1990MA</v>
          </cell>
          <cell r="V25">
            <v>0.39163290699999997</v>
          </cell>
          <cell r="W25">
            <v>2.6768152E-2</v>
          </cell>
          <cell r="X25">
            <v>0.167909318</v>
          </cell>
          <cell r="Y25">
            <v>0.12836545699999999</v>
          </cell>
          <cell r="Z25">
            <v>0.28532416599999999</v>
          </cell>
          <cell r="AB25" t="str">
            <v>1990MA</v>
          </cell>
          <cell r="AC25">
            <v>0.1</v>
          </cell>
          <cell r="AD25">
            <v>0.09</v>
          </cell>
          <cell r="AE25">
            <v>0</v>
          </cell>
          <cell r="AF25">
            <v>0.81</v>
          </cell>
          <cell r="AH25" t="str">
            <v>MA</v>
          </cell>
          <cell r="AI25">
            <v>1</v>
          </cell>
          <cell r="AK25" t="str">
            <v>MA</v>
          </cell>
          <cell r="AL25">
            <v>0.75</v>
          </cell>
          <cell r="AM25">
            <v>0.25</v>
          </cell>
          <cell r="AO25" t="str">
            <v>MA</v>
          </cell>
          <cell r="AP25">
            <v>0</v>
          </cell>
          <cell r="AQ25">
            <v>1</v>
          </cell>
          <cell r="AS25" t="str">
            <v>MA</v>
          </cell>
          <cell r="AT25">
            <v>1</v>
          </cell>
          <cell r="AV25" t="str">
            <v>MA</v>
          </cell>
          <cell r="AW25">
            <v>1</v>
          </cell>
        </row>
        <row r="26">
          <cell r="B26" t="str">
            <v>1990MI</v>
          </cell>
          <cell r="C26">
            <v>7.324743058685855E-2</v>
          </cell>
          <cell r="D26">
            <v>0.21181592514810976</v>
          </cell>
          <cell r="E26">
            <v>0.13202895394885908</v>
          </cell>
          <cell r="F26">
            <v>0.4542531386851254</v>
          </cell>
          <cell r="G26">
            <v>7.8166395621463824E-2</v>
          </cell>
          <cell r="H26">
            <v>5.0488156009583417E-2</v>
          </cell>
          <cell r="J26" t="str">
            <v>1990MI</v>
          </cell>
          <cell r="K26">
            <v>0.78980465042967707</v>
          </cell>
          <cell r="L26">
            <v>7.8166395621463824E-2</v>
          </cell>
          <cell r="M26">
            <v>0.13202895394885908</v>
          </cell>
          <cell r="O26" t="str">
            <v>MI</v>
          </cell>
          <cell r="P26">
            <v>1</v>
          </cell>
          <cell r="R26" t="str">
            <v>MI</v>
          </cell>
          <cell r="S26">
            <v>1</v>
          </cell>
          <cell r="U26" t="str">
            <v>1990MI</v>
          </cell>
          <cell r="V26">
            <v>0.114360435</v>
          </cell>
          <cell r="W26">
            <v>4.3736677000000002E-2</v>
          </cell>
          <cell r="X26">
            <v>0.239270606</v>
          </cell>
          <cell r="Y26">
            <v>0.17097482999999999</v>
          </cell>
          <cell r="Z26">
            <v>0.43165745300000002</v>
          </cell>
          <cell r="AB26" t="str">
            <v>1990MI</v>
          </cell>
          <cell r="AC26">
            <v>9.000000000000008E-2</v>
          </cell>
          <cell r="AD26">
            <v>0.03</v>
          </cell>
          <cell r="AE26">
            <v>0.03</v>
          </cell>
          <cell r="AF26">
            <v>0.85</v>
          </cell>
          <cell r="AH26" t="str">
            <v>MI</v>
          </cell>
          <cell r="AI26">
            <v>1</v>
          </cell>
          <cell r="AK26" t="str">
            <v>MI</v>
          </cell>
          <cell r="AL26">
            <v>0.93</v>
          </cell>
          <cell r="AM26">
            <v>7.0000000000000007E-2</v>
          </cell>
          <cell r="AO26" t="str">
            <v>MI</v>
          </cell>
          <cell r="AP26">
            <v>1</v>
          </cell>
          <cell r="AQ26">
            <v>1</v>
          </cell>
          <cell r="AS26" t="str">
            <v>MI</v>
          </cell>
          <cell r="AT26">
            <v>1</v>
          </cell>
          <cell r="AV26" t="str">
            <v>MI</v>
          </cell>
          <cell r="AW26">
            <v>1</v>
          </cell>
        </row>
        <row r="27">
          <cell r="B27" t="str">
            <v>1990MN</v>
          </cell>
          <cell r="C27">
            <v>3.1305052229958379E-2</v>
          </cell>
          <cell r="D27">
            <v>0.11126879087151634</v>
          </cell>
          <cell r="E27">
            <v>0.26075788395504595</v>
          </cell>
          <cell r="F27">
            <v>0.41062320281471232</v>
          </cell>
          <cell r="G27">
            <v>0.15437904572462918</v>
          </cell>
          <cell r="H27">
            <v>3.1666024404137724E-2</v>
          </cell>
          <cell r="J27" t="str">
            <v>1990MN</v>
          </cell>
          <cell r="K27">
            <v>0.58486307032032481</v>
          </cell>
          <cell r="L27">
            <v>0.15437904572462918</v>
          </cell>
          <cell r="M27">
            <v>0.26075788395504595</v>
          </cell>
          <cell r="O27" t="str">
            <v>MN</v>
          </cell>
          <cell r="P27">
            <v>1</v>
          </cell>
          <cell r="R27" t="str">
            <v>MN</v>
          </cell>
          <cell r="S27">
            <v>1</v>
          </cell>
          <cell r="U27" t="str">
            <v>1990MN</v>
          </cell>
          <cell r="V27">
            <v>9.4816849999999994E-2</v>
          </cell>
          <cell r="W27">
            <v>4.2466038999999997E-2</v>
          </cell>
          <cell r="X27">
            <v>0.246972737</v>
          </cell>
          <cell r="Y27">
            <v>0.182200377</v>
          </cell>
          <cell r="Z27">
            <v>0.43354399599999999</v>
          </cell>
          <cell r="AB27" t="str">
            <v>1990MN</v>
          </cell>
          <cell r="AC27">
            <v>0</v>
          </cell>
          <cell r="AD27">
            <v>0.25</v>
          </cell>
          <cell r="AE27">
            <v>0</v>
          </cell>
          <cell r="AF27">
            <v>0.75</v>
          </cell>
          <cell r="AH27" t="str">
            <v>MN</v>
          </cell>
          <cell r="AI27">
            <v>1</v>
          </cell>
          <cell r="AK27" t="str">
            <v>MN</v>
          </cell>
          <cell r="AL27">
            <v>1</v>
          </cell>
          <cell r="AM27">
            <v>0</v>
          </cell>
          <cell r="AO27" t="str">
            <v>MN</v>
          </cell>
          <cell r="AP27">
            <v>6.8965517241379226E-2</v>
          </cell>
          <cell r="AQ27">
            <v>1</v>
          </cell>
          <cell r="AS27" t="str">
            <v>MN</v>
          </cell>
          <cell r="AT27">
            <v>1</v>
          </cell>
          <cell r="AV27" t="str">
            <v>MN</v>
          </cell>
          <cell r="AW27">
            <v>1</v>
          </cell>
        </row>
        <row r="28">
          <cell r="B28" t="str">
            <v>1990MS</v>
          </cell>
          <cell r="C28">
            <v>7.2139457063057397E-2</v>
          </cell>
          <cell r="D28">
            <v>5.7144027087776272E-2</v>
          </cell>
          <cell r="E28">
            <v>0.13912499999999997</v>
          </cell>
          <cell r="F28">
            <v>9.7666948035818157E-2</v>
          </cell>
          <cell r="G28">
            <v>0.629</v>
          </cell>
          <cell r="H28">
            <v>4.9245678133481973E-3</v>
          </cell>
          <cell r="J28" t="str">
            <v>1990MS</v>
          </cell>
          <cell r="K28">
            <v>0.23187500000000005</v>
          </cell>
          <cell r="L28">
            <v>0.629</v>
          </cell>
          <cell r="M28">
            <v>0.13912499999999997</v>
          </cell>
          <cell r="O28" t="str">
            <v>MS</v>
          </cell>
          <cell r="P28">
            <v>1</v>
          </cell>
          <cell r="R28" t="str">
            <v>MS</v>
          </cell>
          <cell r="S28">
            <v>1</v>
          </cell>
          <cell r="U28" t="str">
            <v>1990MS</v>
          </cell>
          <cell r="V28">
            <v>0.16014467099999999</v>
          </cell>
          <cell r="W28">
            <v>3.423358E-2</v>
          </cell>
          <cell r="X28">
            <v>0.14592406599999999</v>
          </cell>
          <cell r="Y28">
            <v>0.32758962699999999</v>
          </cell>
          <cell r="Z28">
            <v>0.33210805599999998</v>
          </cell>
          <cell r="AB28" t="str">
            <v>1990MS</v>
          </cell>
          <cell r="AC28">
            <v>0.1</v>
          </cell>
          <cell r="AD28">
            <v>0.05</v>
          </cell>
          <cell r="AE28">
            <v>0.85</v>
          </cell>
          <cell r="AF28">
            <v>0</v>
          </cell>
          <cell r="AH28" t="str">
            <v>MS</v>
          </cell>
          <cell r="AI28">
            <v>1</v>
          </cell>
          <cell r="AK28" t="str">
            <v>MS</v>
          </cell>
          <cell r="AL28">
            <v>0.88</v>
          </cell>
          <cell r="AM28">
            <v>0.12</v>
          </cell>
          <cell r="AO28" t="str">
            <v>MS</v>
          </cell>
          <cell r="AP28">
            <v>0</v>
          </cell>
          <cell r="AQ28">
            <v>1</v>
          </cell>
          <cell r="AS28" t="str">
            <v>MS</v>
          </cell>
          <cell r="AT28">
            <v>1</v>
          </cell>
          <cell r="AV28" t="str">
            <v>MS</v>
          </cell>
          <cell r="AW28">
            <v>1</v>
          </cell>
        </row>
        <row r="29">
          <cell r="B29" t="str">
            <v>1990MO</v>
          </cell>
          <cell r="C29">
            <v>5.153283595336073E-2</v>
          </cell>
          <cell r="D29">
            <v>0.16235708587644762</v>
          </cell>
          <cell r="E29">
            <v>0.16983403864857355</v>
          </cell>
          <cell r="F29">
            <v>0.47108042470223738</v>
          </cell>
          <cell r="G29">
            <v>0.10054851044368285</v>
          </cell>
          <cell r="H29">
            <v>4.4647104375697792E-2</v>
          </cell>
          <cell r="J29" t="str">
            <v>1990MO</v>
          </cell>
          <cell r="K29">
            <v>0.72961745090774355</v>
          </cell>
          <cell r="L29">
            <v>0.10054851044368285</v>
          </cell>
          <cell r="M29">
            <v>0.16983403864857355</v>
          </cell>
          <cell r="O29" t="str">
            <v>MO</v>
          </cell>
          <cell r="P29">
            <v>1</v>
          </cell>
          <cell r="R29" t="str">
            <v>MO</v>
          </cell>
          <cell r="S29">
            <v>1</v>
          </cell>
          <cell r="U29" t="str">
            <v>1990MO</v>
          </cell>
          <cell r="V29">
            <v>0.15412261099999999</v>
          </cell>
          <cell r="W29">
            <v>3.8130263999999997E-2</v>
          </cell>
          <cell r="X29">
            <v>0.23688087999999999</v>
          </cell>
          <cell r="Y29">
            <v>0.158651549</v>
          </cell>
          <cell r="Z29">
            <v>0.41221469599999999</v>
          </cell>
          <cell r="AB29" t="str">
            <v>1990MO</v>
          </cell>
          <cell r="AC29">
            <v>0</v>
          </cell>
          <cell r="AD29">
            <v>0.2</v>
          </cell>
          <cell r="AE29">
            <v>0</v>
          </cell>
          <cell r="AF29">
            <v>0.8</v>
          </cell>
          <cell r="AH29" t="str">
            <v>MO</v>
          </cell>
          <cell r="AI29">
            <v>1</v>
          </cell>
          <cell r="AK29" t="str">
            <v>MO</v>
          </cell>
          <cell r="AL29">
            <v>1</v>
          </cell>
          <cell r="AM29">
            <v>0</v>
          </cell>
          <cell r="AO29" t="str">
            <v>MO</v>
          </cell>
          <cell r="AP29">
            <v>1</v>
          </cell>
          <cell r="AQ29">
            <v>1</v>
          </cell>
          <cell r="AS29" t="str">
            <v>MO</v>
          </cell>
          <cell r="AT29">
            <v>1</v>
          </cell>
          <cell r="AV29" t="str">
            <v>MO</v>
          </cell>
          <cell r="AW29">
            <v>1</v>
          </cell>
        </row>
        <row r="30">
          <cell r="B30" t="str">
            <v>1990MT</v>
          </cell>
          <cell r="C30">
            <v>0.27211618305577451</v>
          </cell>
          <cell r="D30">
            <v>0.21208932687149804</v>
          </cell>
          <cell r="E30">
            <v>8.1291949251637047E-2</v>
          </cell>
          <cell r="F30">
            <v>0.30322528776795848</v>
          </cell>
          <cell r="G30">
            <v>4.8128069457436862E-2</v>
          </cell>
          <cell r="H30">
            <v>8.3149183595694967E-2</v>
          </cell>
          <cell r="J30" t="str">
            <v>1990MT</v>
          </cell>
          <cell r="K30">
            <v>0.87057998129092606</v>
          </cell>
          <cell r="L30">
            <v>4.8128069457436862E-2</v>
          </cell>
          <cell r="M30">
            <v>8.1291949251637047E-2</v>
          </cell>
          <cell r="O30" t="str">
            <v>MT</v>
          </cell>
          <cell r="P30">
            <v>1</v>
          </cell>
          <cell r="R30" t="str">
            <v>MT</v>
          </cell>
          <cell r="S30">
            <v>1</v>
          </cell>
          <cell r="U30" t="str">
            <v>1990MT</v>
          </cell>
          <cell r="V30">
            <v>0.17487149299999999</v>
          </cell>
          <cell r="W30">
            <v>4.2271920999999997E-2</v>
          </cell>
          <cell r="X30">
            <v>0.22127201199999999</v>
          </cell>
          <cell r="Y30">
            <v>0.154214559</v>
          </cell>
          <cell r="Z30">
            <v>0.40737001499999997</v>
          </cell>
          <cell r="AB30" t="str">
            <v>1990MT</v>
          </cell>
          <cell r="AC30">
            <v>0</v>
          </cell>
          <cell r="AD30">
            <v>0.08</v>
          </cell>
          <cell r="AE30">
            <v>0.04</v>
          </cell>
          <cell r="AF30">
            <v>0.88</v>
          </cell>
          <cell r="AH30" t="str">
            <v>MT</v>
          </cell>
          <cell r="AI30">
            <v>1</v>
          </cell>
          <cell r="AK30" t="str">
            <v>MT</v>
          </cell>
          <cell r="AL30">
            <v>0.88</v>
          </cell>
          <cell r="AM30">
            <v>0.12</v>
          </cell>
          <cell r="AO30" t="str">
            <v>MT</v>
          </cell>
          <cell r="AP30">
            <v>0.22580645161290325</v>
          </cell>
          <cell r="AQ30">
            <v>1</v>
          </cell>
          <cell r="AS30" t="str">
            <v>MT</v>
          </cell>
          <cell r="AT30">
            <v>1</v>
          </cell>
          <cell r="AV30" t="str">
            <v>MT</v>
          </cell>
          <cell r="AW30">
            <v>1</v>
          </cell>
        </row>
        <row r="31">
          <cell r="B31" t="str">
            <v>1990NE</v>
          </cell>
          <cell r="C31">
            <v>5.1908406228860199E-2</v>
          </cell>
          <cell r="D31">
            <v>0.16885018509629057</v>
          </cell>
          <cell r="E31">
            <v>0.16813223920364137</v>
          </cell>
          <cell r="F31">
            <v>0.46390423057567187</v>
          </cell>
          <cell r="G31">
            <v>9.9540977438971737E-2</v>
          </cell>
          <cell r="H31">
            <v>4.7663961456564249E-2</v>
          </cell>
          <cell r="J31" t="str">
            <v>1990NE</v>
          </cell>
          <cell r="K31">
            <v>0.73232678335738688</v>
          </cell>
          <cell r="L31">
            <v>9.9540977438971737E-2</v>
          </cell>
          <cell r="M31">
            <v>0.16813223920364137</v>
          </cell>
          <cell r="O31" t="str">
            <v>NE</v>
          </cell>
          <cell r="P31">
            <v>1</v>
          </cell>
          <cell r="R31" t="str">
            <v>NE</v>
          </cell>
          <cell r="S31">
            <v>1</v>
          </cell>
          <cell r="U31" t="str">
            <v>1990NE</v>
          </cell>
          <cell r="V31">
            <v>0.102933355</v>
          </cell>
          <cell r="W31">
            <v>4.0650909999999998E-2</v>
          </cell>
          <cell r="X31">
            <v>0.25201530900000002</v>
          </cell>
          <cell r="Y31">
            <v>0.163616556</v>
          </cell>
          <cell r="Z31">
            <v>0.44078387099999999</v>
          </cell>
          <cell r="AB31" t="str">
            <v>1990NE</v>
          </cell>
          <cell r="AC31">
            <v>0</v>
          </cell>
          <cell r="AD31">
            <v>0</v>
          </cell>
          <cell r="AE31">
            <v>0</v>
          </cell>
          <cell r="AF31">
            <v>1</v>
          </cell>
          <cell r="AH31" t="str">
            <v>NE</v>
          </cell>
          <cell r="AI31">
            <v>1</v>
          </cell>
          <cell r="AK31" t="str">
            <v>NE</v>
          </cell>
          <cell r="AL31">
            <v>1</v>
          </cell>
          <cell r="AM31">
            <v>0</v>
          </cell>
          <cell r="AO31" t="str">
            <v>NE</v>
          </cell>
          <cell r="AP31">
            <v>7.4999999999999997E-2</v>
          </cell>
          <cell r="AQ31">
            <v>1</v>
          </cell>
          <cell r="AS31" t="str">
            <v>NE</v>
          </cell>
          <cell r="AT31">
            <v>1</v>
          </cell>
          <cell r="AV31" t="str">
            <v>NE</v>
          </cell>
          <cell r="AW31">
            <v>1</v>
          </cell>
        </row>
        <row r="32">
          <cell r="B32" t="str">
            <v>1990NV</v>
          </cell>
          <cell r="C32">
            <v>0.58321712696858785</v>
          </cell>
          <cell r="D32">
            <v>0.26612901880698692</v>
          </cell>
          <cell r="E32">
            <v>1.7168192153980431E-2</v>
          </cell>
          <cell r="F32">
            <v>0.11278702931800995</v>
          </cell>
          <cell r="G32">
            <v>1.0164253066286922E-2</v>
          </cell>
          <cell r="H32">
            <v>1.0534379686147882E-2</v>
          </cell>
          <cell r="J32" t="str">
            <v>1990NV</v>
          </cell>
          <cell r="K32">
            <v>0.97266755477973266</v>
          </cell>
          <cell r="L32">
            <v>1.0164253066286922E-2</v>
          </cell>
          <cell r="M32">
            <v>1.7168192153980431E-2</v>
          </cell>
          <cell r="O32" t="str">
            <v>NV</v>
          </cell>
          <cell r="P32">
            <v>1</v>
          </cell>
          <cell r="R32" t="str">
            <v>NV</v>
          </cell>
          <cell r="S32">
            <v>1</v>
          </cell>
          <cell r="U32" t="str">
            <v>1990NV</v>
          </cell>
          <cell r="V32">
            <v>1</v>
          </cell>
          <cell r="W32">
            <v>0</v>
          </cell>
          <cell r="X32">
            <v>0</v>
          </cell>
          <cell r="Y32">
            <v>0</v>
          </cell>
          <cell r="Z32">
            <v>0</v>
          </cell>
          <cell r="AB32" t="str">
            <v>1990NV</v>
          </cell>
          <cell r="AC32">
            <v>0.25</v>
          </cell>
          <cell r="AD32">
            <v>0</v>
          </cell>
          <cell r="AE32">
            <v>0</v>
          </cell>
          <cell r="AF32">
            <v>0.75</v>
          </cell>
          <cell r="AH32" t="str">
            <v>NV</v>
          </cell>
          <cell r="AI32">
            <v>1</v>
          </cell>
          <cell r="AK32" t="str">
            <v>NV</v>
          </cell>
          <cell r="AL32">
            <v>0.88</v>
          </cell>
          <cell r="AM32">
            <v>0.12</v>
          </cell>
          <cell r="AO32" t="str">
            <v>NV</v>
          </cell>
          <cell r="AP32">
            <v>1</v>
          </cell>
          <cell r="AQ32">
            <v>1</v>
          </cell>
          <cell r="AS32" t="str">
            <v>NV</v>
          </cell>
          <cell r="AT32">
            <v>1</v>
          </cell>
          <cell r="AV32" t="str">
            <v>NV</v>
          </cell>
          <cell r="AW32">
            <v>1</v>
          </cell>
        </row>
        <row r="33">
          <cell r="B33" t="str">
            <v>1990NH</v>
          </cell>
          <cell r="C33">
            <v>4.8620269206716804E-2</v>
          </cell>
          <cell r="D33">
            <v>0.13133144984245765</v>
          </cell>
          <cell r="E33">
            <v>0.46171571960078184</v>
          </cell>
          <cell r="F33">
            <v>0.24952278229823527</v>
          </cell>
          <cell r="G33">
            <v>8.2113719085214754E-2</v>
          </cell>
          <cell r="H33">
            <v>2.6696059966593612E-2</v>
          </cell>
          <cell r="J33" t="str">
            <v>1990NH</v>
          </cell>
          <cell r="K33">
            <v>0.45617056131400346</v>
          </cell>
          <cell r="L33">
            <v>8.2113719085214754E-2</v>
          </cell>
          <cell r="M33">
            <v>0.46171571960078184</v>
          </cell>
          <cell r="O33" t="str">
            <v>NH</v>
          </cell>
          <cell r="P33">
            <v>1</v>
          </cell>
          <cell r="R33" t="str">
            <v>NH</v>
          </cell>
          <cell r="S33">
            <v>1</v>
          </cell>
          <cell r="U33" t="str">
            <v>1990NH</v>
          </cell>
          <cell r="V33">
            <v>1</v>
          </cell>
          <cell r="W33">
            <v>0</v>
          </cell>
          <cell r="X33">
            <v>0</v>
          </cell>
          <cell r="Y33">
            <v>0</v>
          </cell>
          <cell r="Z33">
            <v>0</v>
          </cell>
          <cell r="AB33" t="str">
            <v>1990NH</v>
          </cell>
          <cell r="AC33">
            <v>0</v>
          </cell>
          <cell r="AD33">
            <v>0</v>
          </cell>
          <cell r="AE33">
            <v>0</v>
          </cell>
          <cell r="AF33">
            <v>1</v>
          </cell>
          <cell r="AH33" t="str">
            <v>NH</v>
          </cell>
          <cell r="AI33">
            <v>1</v>
          </cell>
          <cell r="AK33" t="str">
            <v>NH</v>
          </cell>
          <cell r="AL33">
            <v>1</v>
          </cell>
          <cell r="AM33">
            <v>0</v>
          </cell>
          <cell r="AO33" t="str">
            <v>NH</v>
          </cell>
          <cell r="AP33">
            <v>0</v>
          </cell>
          <cell r="AQ33">
            <v>1</v>
          </cell>
          <cell r="AS33" t="str">
            <v>NH</v>
          </cell>
          <cell r="AT33">
            <v>1</v>
          </cell>
          <cell r="AV33" t="str">
            <v>NH</v>
          </cell>
          <cell r="AW33">
            <v>1</v>
          </cell>
        </row>
        <row r="34">
          <cell r="B34" t="str">
            <v>1990NJ</v>
          </cell>
          <cell r="C34">
            <v>4.1425102160875658E-2</v>
          </cell>
          <cell r="D34">
            <v>0.11770631829422606</v>
          </cell>
          <cell r="E34">
            <v>0.4677438395121068</v>
          </cell>
          <cell r="F34">
            <v>0.25928143277603805</v>
          </cell>
          <cell r="G34">
            <v>8.755137367995762E-2</v>
          </cell>
          <cell r="H34">
            <v>2.6291933576795837E-2</v>
          </cell>
          <cell r="J34" t="str">
            <v>1990NJ</v>
          </cell>
          <cell r="K34">
            <v>0.44470478680793557</v>
          </cell>
          <cell r="L34">
            <v>8.755137367995762E-2</v>
          </cell>
          <cell r="M34">
            <v>0.4677438395121068</v>
          </cell>
          <cell r="O34" t="str">
            <v>NJ</v>
          </cell>
          <cell r="P34">
            <v>1</v>
          </cell>
          <cell r="R34" t="str">
            <v>NJ</v>
          </cell>
          <cell r="S34">
            <v>1</v>
          </cell>
          <cell r="U34" t="str">
            <v>1990NJ</v>
          </cell>
          <cell r="V34">
            <v>0.48238382800000001</v>
          </cell>
          <cell r="W34">
            <v>2.2775112E-2</v>
          </cell>
          <cell r="X34">
            <v>0.14286206400000001</v>
          </cell>
          <cell r="Y34">
            <v>0.109217012</v>
          </cell>
          <cell r="Z34">
            <v>0.24276198500000001</v>
          </cell>
          <cell r="AB34" t="str">
            <v>1990NJ</v>
          </cell>
          <cell r="AC34">
            <v>0.1</v>
          </cell>
          <cell r="AD34">
            <v>0.09</v>
          </cell>
          <cell r="AE34">
            <v>0</v>
          </cell>
          <cell r="AF34">
            <v>0.81</v>
          </cell>
          <cell r="AH34" t="str">
            <v>NJ</v>
          </cell>
          <cell r="AI34">
            <v>1</v>
          </cell>
          <cell r="AK34" t="str">
            <v>NJ</v>
          </cell>
          <cell r="AL34">
            <v>0.75</v>
          </cell>
          <cell r="AM34">
            <v>0.25</v>
          </cell>
          <cell r="AO34" t="str">
            <v>NJ</v>
          </cell>
          <cell r="AP34">
            <v>0</v>
          </cell>
          <cell r="AQ34">
            <v>1</v>
          </cell>
          <cell r="AS34" t="str">
            <v>NJ</v>
          </cell>
          <cell r="AT34">
            <v>1</v>
          </cell>
          <cell r="AV34" t="str">
            <v>NJ</v>
          </cell>
          <cell r="AW34">
            <v>1</v>
          </cell>
        </row>
        <row r="35">
          <cell r="B35" t="str">
            <v>1990NM</v>
          </cell>
          <cell r="C35">
            <v>0.59149831028495392</v>
          </cell>
          <cell r="D35">
            <v>0.21331204046073038</v>
          </cell>
          <cell r="E35">
            <v>9.282796906413579E-2</v>
          </cell>
          <cell r="F35">
            <v>9.8615847240322796E-2</v>
          </cell>
          <cell r="G35">
            <v>0</v>
          </cell>
          <cell r="H35">
            <v>3.7458329498570439E-3</v>
          </cell>
          <cell r="J35" t="str">
            <v>1990NM</v>
          </cell>
          <cell r="K35">
            <v>0.90717203093586418</v>
          </cell>
          <cell r="L35">
            <v>0</v>
          </cell>
          <cell r="M35">
            <v>9.282796906413579E-2</v>
          </cell>
          <cell r="O35" t="str">
            <v>NM</v>
          </cell>
          <cell r="P35">
            <v>1</v>
          </cell>
          <cell r="R35" t="str">
            <v>NM</v>
          </cell>
          <cell r="S35">
            <v>1</v>
          </cell>
          <cell r="U35" t="str">
            <v>1990NM</v>
          </cell>
          <cell r="V35">
            <v>1</v>
          </cell>
          <cell r="W35">
            <v>0</v>
          </cell>
          <cell r="X35">
            <v>0</v>
          </cell>
          <cell r="Y35">
            <v>0</v>
          </cell>
          <cell r="Z35">
            <v>0</v>
          </cell>
          <cell r="AB35" t="str">
            <v>1990NM</v>
          </cell>
          <cell r="AC35">
            <v>0.25</v>
          </cell>
          <cell r="AD35">
            <v>0.1</v>
          </cell>
          <cell r="AE35">
            <v>0.2</v>
          </cell>
          <cell r="AF35">
            <v>0.45</v>
          </cell>
          <cell r="AH35" t="str">
            <v>NM</v>
          </cell>
          <cell r="AI35">
            <v>1</v>
          </cell>
          <cell r="AK35" t="str">
            <v>NM</v>
          </cell>
          <cell r="AL35">
            <v>0.88</v>
          </cell>
          <cell r="AM35">
            <v>0.12</v>
          </cell>
          <cell r="AO35" t="str">
            <v>NM</v>
          </cell>
          <cell r="AP35">
            <v>1</v>
          </cell>
          <cell r="AQ35">
            <v>1</v>
          </cell>
          <cell r="AS35" t="str">
            <v>NM</v>
          </cell>
          <cell r="AT35">
            <v>1</v>
          </cell>
          <cell r="AV35" t="str">
            <v>NM</v>
          </cell>
          <cell r="AW35">
            <v>1</v>
          </cell>
        </row>
        <row r="36">
          <cell r="B36" t="str">
            <v>1990NY</v>
          </cell>
          <cell r="C36">
            <v>5.1577097108474732E-2</v>
          </cell>
          <cell r="D36">
            <v>0.12227904581481985</v>
          </cell>
          <cell r="E36">
            <v>0.4647326326548461</v>
          </cell>
          <cell r="F36">
            <v>0.25122610680572177</v>
          </cell>
          <cell r="G36">
            <v>8.4835120014806878E-2</v>
          </cell>
          <cell r="H36">
            <v>2.5349997601330651E-2</v>
          </cell>
          <cell r="J36" t="str">
            <v>1990NY</v>
          </cell>
          <cell r="K36">
            <v>0.45043224733034704</v>
          </cell>
          <cell r="L36">
            <v>8.4835120014806878E-2</v>
          </cell>
          <cell r="M36">
            <v>0.4647326326548461</v>
          </cell>
          <cell r="O36" t="str">
            <v>NY</v>
          </cell>
          <cell r="P36">
            <v>1</v>
          </cell>
          <cell r="R36" t="str">
            <v>NY</v>
          </cell>
          <cell r="S36">
            <v>1</v>
          </cell>
          <cell r="U36" t="str">
            <v>1990NY</v>
          </cell>
          <cell r="V36">
            <v>0.40442275900000002</v>
          </cell>
          <cell r="W36">
            <v>2.6205399000000001E-2</v>
          </cell>
          <cell r="X36">
            <v>0.164379318</v>
          </cell>
          <cell r="Y36">
            <v>0.125666798</v>
          </cell>
          <cell r="Z36">
            <v>0.279325726</v>
          </cell>
          <cell r="AB36" t="str">
            <v>1990NY</v>
          </cell>
          <cell r="AC36">
            <v>0.1</v>
          </cell>
          <cell r="AD36">
            <v>0.3</v>
          </cell>
          <cell r="AE36">
            <v>0</v>
          </cell>
          <cell r="AF36">
            <v>0.6</v>
          </cell>
          <cell r="AH36" t="str">
            <v>NY</v>
          </cell>
          <cell r="AI36">
            <v>1</v>
          </cell>
          <cell r="AK36" t="str">
            <v>NY</v>
          </cell>
          <cell r="AL36">
            <v>1</v>
          </cell>
          <cell r="AM36">
            <v>0</v>
          </cell>
          <cell r="AO36" t="str">
            <v>NY</v>
          </cell>
          <cell r="AP36">
            <v>0</v>
          </cell>
          <cell r="AQ36">
            <v>1</v>
          </cell>
          <cell r="AS36" t="str">
            <v>NY</v>
          </cell>
          <cell r="AT36">
            <v>1</v>
          </cell>
          <cell r="AV36" t="str">
            <v>NY</v>
          </cell>
          <cell r="AW36">
            <v>1</v>
          </cell>
        </row>
        <row r="37">
          <cell r="B37" t="str">
            <v>1990NC</v>
          </cell>
          <cell r="C37">
            <v>3.1231091049289766E-2</v>
          </cell>
          <cell r="D37">
            <v>8.0105981219265779E-2</v>
          </cell>
          <cell r="E37">
            <v>0.13912499999999997</v>
          </cell>
          <cell r="F37">
            <v>0.10489192244022913</v>
          </cell>
          <cell r="G37">
            <v>0.629</v>
          </cell>
          <cell r="H37">
            <v>1.5646005291215355E-2</v>
          </cell>
          <cell r="J37" t="str">
            <v>1990NC</v>
          </cell>
          <cell r="K37">
            <v>0.23187500000000005</v>
          </cell>
          <cell r="L37">
            <v>0.629</v>
          </cell>
          <cell r="M37">
            <v>0.13912499999999997</v>
          </cell>
          <cell r="O37" t="str">
            <v>NC</v>
          </cell>
          <cell r="P37">
            <v>1</v>
          </cell>
          <cell r="R37" t="str">
            <v>NC</v>
          </cell>
          <cell r="S37">
            <v>1</v>
          </cell>
          <cell r="U37" t="str">
            <v>1990NC</v>
          </cell>
          <cell r="V37">
            <v>1.9145736999999999E-2</v>
          </cell>
          <cell r="W37">
            <v>3.7223639000000003E-2</v>
          </cell>
          <cell r="X37">
            <v>8.3372556E-2</v>
          </cell>
          <cell r="Y37">
            <v>0.53502281299999999</v>
          </cell>
          <cell r="Z37">
            <v>0.325235255</v>
          </cell>
          <cell r="AB37" t="str">
            <v>1990NC</v>
          </cell>
          <cell r="AC37">
            <v>0.5</v>
          </cell>
          <cell r="AD37">
            <v>0.05</v>
          </cell>
          <cell r="AE37">
            <v>0.3</v>
          </cell>
          <cell r="AF37">
            <v>0.15</v>
          </cell>
          <cell r="AH37" t="str">
            <v>NC</v>
          </cell>
          <cell r="AI37">
            <v>1</v>
          </cell>
          <cell r="AK37" t="str">
            <v>NC</v>
          </cell>
          <cell r="AL37">
            <v>0.9</v>
          </cell>
          <cell r="AM37">
            <v>0.1</v>
          </cell>
          <cell r="AO37" t="str">
            <v>NC</v>
          </cell>
          <cell r="AP37">
            <v>0</v>
          </cell>
          <cell r="AQ37">
            <v>1</v>
          </cell>
          <cell r="AS37" t="str">
            <v>NC</v>
          </cell>
          <cell r="AT37">
            <v>1</v>
          </cell>
          <cell r="AV37" t="str">
            <v>NC</v>
          </cell>
          <cell r="AW37">
            <v>1</v>
          </cell>
        </row>
        <row r="38">
          <cell r="B38" t="str">
            <v>1990ND</v>
          </cell>
          <cell r="C38">
            <v>3.6166887244298729E-2</v>
          </cell>
          <cell r="D38">
            <v>0.12513521121721397</v>
          </cell>
          <cell r="E38">
            <v>0.23484334312612676</v>
          </cell>
          <cell r="F38">
            <v>0.42941196164222856</v>
          </cell>
          <cell r="G38">
            <v>0.13903660612939842</v>
          </cell>
          <cell r="H38">
            <v>3.5405990640733589E-2</v>
          </cell>
          <cell r="J38" t="str">
            <v>1990ND</v>
          </cell>
          <cell r="K38">
            <v>0.62612005074447485</v>
          </cell>
          <cell r="L38">
            <v>0.13903660612939842</v>
          </cell>
          <cell r="M38">
            <v>0.23484334312612676</v>
          </cell>
          <cell r="O38" t="str">
            <v>ND</v>
          </cell>
          <cell r="P38">
            <v>1</v>
          </cell>
          <cell r="R38" t="str">
            <v>ND</v>
          </cell>
          <cell r="S38">
            <v>1</v>
          </cell>
          <cell r="U38" t="str">
            <v>1990ND</v>
          </cell>
          <cell r="V38">
            <v>0.23483451899999999</v>
          </cell>
          <cell r="W38">
            <v>3.5631589999999998E-2</v>
          </cell>
          <cell r="X38">
            <v>0.209057671</v>
          </cell>
          <cell r="Y38">
            <v>0.15490222000000001</v>
          </cell>
          <cell r="Z38">
            <v>0.36557400000000001</v>
          </cell>
          <cell r="AB38" t="str">
            <v>1990ND</v>
          </cell>
          <cell r="AC38">
            <v>0</v>
          </cell>
          <cell r="AD38">
            <v>0.05</v>
          </cell>
          <cell r="AE38">
            <v>0.05</v>
          </cell>
          <cell r="AF38">
            <v>0.9</v>
          </cell>
          <cell r="AH38" t="str">
            <v>ND</v>
          </cell>
          <cell r="AI38">
            <v>1</v>
          </cell>
          <cell r="AK38" t="str">
            <v>ND</v>
          </cell>
          <cell r="AL38">
            <v>0.4</v>
          </cell>
          <cell r="AM38">
            <v>0.6</v>
          </cell>
          <cell r="AO38" t="str">
            <v>ND</v>
          </cell>
          <cell r="AP38">
            <v>2.8571428571428692E-2</v>
          </cell>
          <cell r="AQ38">
            <v>1</v>
          </cell>
          <cell r="AS38" t="str">
            <v>ND</v>
          </cell>
          <cell r="AT38">
            <v>1</v>
          </cell>
          <cell r="AV38" t="str">
            <v>ND</v>
          </cell>
          <cell r="AW38">
            <v>1</v>
          </cell>
        </row>
        <row r="39">
          <cell r="B39" t="str">
            <v>1990OH</v>
          </cell>
          <cell r="C39">
            <v>5.066011633437862E-2</v>
          </cell>
          <cell r="D39">
            <v>0.15372917547601667</v>
          </cell>
          <cell r="E39">
            <v>0.20097102370153919</v>
          </cell>
          <cell r="F39">
            <v>0.43615838068739293</v>
          </cell>
          <cell r="G39">
            <v>0.11898284487802568</v>
          </cell>
          <cell r="H39">
            <v>3.949845892264691E-2</v>
          </cell>
          <cell r="J39" t="str">
            <v>1990OH</v>
          </cell>
          <cell r="K39">
            <v>0.68004613142043513</v>
          </cell>
          <cell r="L39">
            <v>0.11898284487802568</v>
          </cell>
          <cell r="M39">
            <v>0.20097102370153919</v>
          </cell>
          <cell r="O39" t="str">
            <v>OH</v>
          </cell>
          <cell r="P39">
            <v>1</v>
          </cell>
          <cell r="R39" t="str">
            <v>OH</v>
          </cell>
          <cell r="S39">
            <v>1</v>
          </cell>
          <cell r="U39" t="str">
            <v>1990OH</v>
          </cell>
          <cell r="V39">
            <v>0.17112533799999999</v>
          </cell>
          <cell r="W39">
            <v>3.7090797000000002E-2</v>
          </cell>
          <cell r="X39">
            <v>0.231095575</v>
          </cell>
          <cell r="Y39">
            <v>0.161400776</v>
          </cell>
          <cell r="Z39">
            <v>0.39928751400000001</v>
          </cell>
          <cell r="AB39" t="str">
            <v>1990OH</v>
          </cell>
          <cell r="AC39">
            <v>0</v>
          </cell>
          <cell r="AD39">
            <v>0</v>
          </cell>
          <cell r="AE39">
            <v>0</v>
          </cell>
          <cell r="AF39">
            <v>1</v>
          </cell>
          <cell r="AH39" t="str">
            <v>OH</v>
          </cell>
          <cell r="AI39">
            <v>1</v>
          </cell>
          <cell r="AK39" t="str">
            <v>OH</v>
          </cell>
          <cell r="AL39">
            <v>1</v>
          </cell>
          <cell r="AM39">
            <v>0</v>
          </cell>
          <cell r="AO39" t="str">
            <v>OH</v>
          </cell>
          <cell r="AP39">
            <v>0.29032258064516125</v>
          </cell>
          <cell r="AQ39">
            <v>1</v>
          </cell>
          <cell r="AS39" t="str">
            <v>OH</v>
          </cell>
          <cell r="AT39">
            <v>1</v>
          </cell>
          <cell r="AV39" t="str">
            <v>OH</v>
          </cell>
          <cell r="AW39">
            <v>1</v>
          </cell>
        </row>
        <row r="40">
          <cell r="B40" t="str">
            <v>1990OK</v>
          </cell>
          <cell r="C40">
            <v>0.30427550610539844</v>
          </cell>
          <cell r="D40">
            <v>0.23758473588590073</v>
          </cell>
          <cell r="E40">
            <v>0.05</v>
          </cell>
          <cell r="F40">
            <v>0.32064210685683209</v>
          </cell>
          <cell r="G40">
            <v>0</v>
          </cell>
          <cell r="H40">
            <v>8.7497651151868694E-2</v>
          </cell>
          <cell r="J40" t="str">
            <v>1990OK</v>
          </cell>
          <cell r="K40">
            <v>0.95</v>
          </cell>
          <cell r="L40">
            <v>0</v>
          </cell>
          <cell r="M40">
            <v>0.05</v>
          </cell>
          <cell r="O40" t="str">
            <v>OK</v>
          </cell>
          <cell r="P40">
            <v>1</v>
          </cell>
          <cell r="R40" t="str">
            <v>OK</v>
          </cell>
          <cell r="S40">
            <v>1</v>
          </cell>
          <cell r="U40" t="str">
            <v>1990OK</v>
          </cell>
          <cell r="V40">
            <v>0.26202039300000002</v>
          </cell>
          <cell r="W40">
            <v>2.9186218999999999E-2</v>
          </cell>
          <cell r="X40">
            <v>9.9973907000000001E-2</v>
          </cell>
          <cell r="Y40">
            <v>0.33732082800000002</v>
          </cell>
          <cell r="Z40">
            <v>0.27149865400000001</v>
          </cell>
          <cell r="AB40" t="str">
            <v>1990OK</v>
          </cell>
          <cell r="AC40">
            <v>0</v>
          </cell>
          <cell r="AD40">
            <v>0.2</v>
          </cell>
          <cell r="AE40">
            <v>0</v>
          </cell>
          <cell r="AF40">
            <v>0.8</v>
          </cell>
          <cell r="AH40" t="str">
            <v>OK</v>
          </cell>
          <cell r="AI40">
            <v>1</v>
          </cell>
          <cell r="AK40" t="str">
            <v>OK</v>
          </cell>
          <cell r="AL40">
            <v>0.88</v>
          </cell>
          <cell r="AM40">
            <v>0.12</v>
          </cell>
          <cell r="AO40" t="str">
            <v>OK</v>
          </cell>
          <cell r="AP40">
            <v>1</v>
          </cell>
          <cell r="AQ40">
            <v>1</v>
          </cell>
          <cell r="AS40" t="str">
            <v>OK</v>
          </cell>
          <cell r="AT40">
            <v>1</v>
          </cell>
          <cell r="AV40" t="str">
            <v>OK</v>
          </cell>
          <cell r="AW40">
            <v>1</v>
          </cell>
        </row>
        <row r="41">
          <cell r="B41" t="str">
            <v>1990OR</v>
          </cell>
          <cell r="C41">
            <v>0.30172764387032441</v>
          </cell>
          <cell r="D41">
            <v>0.18986311338759157</v>
          </cell>
          <cell r="E41">
            <v>0</v>
          </cell>
          <cell r="F41">
            <v>0.14442577716150223</v>
          </cell>
          <cell r="G41">
            <v>0.33079492098752972</v>
          </cell>
          <cell r="H41">
            <v>3.3188544593052031E-2</v>
          </cell>
          <cell r="J41" t="str">
            <v>1990OR</v>
          </cell>
          <cell r="K41">
            <v>0.66920507901247028</v>
          </cell>
          <cell r="L41">
            <v>0.33079492098752972</v>
          </cell>
          <cell r="M41">
            <v>0</v>
          </cell>
          <cell r="O41" t="str">
            <v>OR</v>
          </cell>
          <cell r="P41">
            <v>1</v>
          </cell>
          <cell r="R41" t="str">
            <v>OR</v>
          </cell>
          <cell r="S41">
            <v>1</v>
          </cell>
          <cell r="U41" t="str">
            <v>1990OR</v>
          </cell>
          <cell r="V41">
            <v>0.48801771300000002</v>
          </cell>
          <cell r="W41">
            <v>2.2527221E-2</v>
          </cell>
          <cell r="X41">
            <v>0.14130711100000001</v>
          </cell>
          <cell r="Y41">
            <v>0.108028263</v>
          </cell>
          <cell r="Z41">
            <v>0.240119693</v>
          </cell>
          <cell r="AB41" t="str">
            <v>1990OR</v>
          </cell>
          <cell r="AC41">
            <v>0</v>
          </cell>
          <cell r="AD41">
            <v>0.09</v>
          </cell>
          <cell r="AE41">
            <v>0.11</v>
          </cell>
          <cell r="AF41">
            <v>0.8</v>
          </cell>
          <cell r="AH41" t="str">
            <v>OR</v>
          </cell>
          <cell r="AI41">
            <v>1</v>
          </cell>
          <cell r="AK41" t="str">
            <v>OR</v>
          </cell>
          <cell r="AL41">
            <v>1</v>
          </cell>
          <cell r="AM41">
            <v>0</v>
          </cell>
          <cell r="AO41" t="str">
            <v>OR</v>
          </cell>
          <cell r="AP41">
            <v>0.7021276595744681</v>
          </cell>
          <cell r="AQ41">
            <v>1</v>
          </cell>
          <cell r="AS41" t="str">
            <v>OR</v>
          </cell>
          <cell r="AT41">
            <v>1</v>
          </cell>
          <cell r="AV41" t="str">
            <v>OR</v>
          </cell>
          <cell r="AW41">
            <v>1</v>
          </cell>
        </row>
        <row r="42">
          <cell r="B42" t="str">
            <v>1990PA</v>
          </cell>
          <cell r="C42">
            <v>2.921516527495149E-2</v>
          </cell>
          <cell r="D42">
            <v>8.9778762884150654E-2</v>
          </cell>
          <cell r="E42">
            <v>0.48261555570995929</v>
          </cell>
          <cell r="F42">
            <v>0.27379413342288028</v>
          </cell>
          <cell r="G42">
            <v>0.10096637820948601</v>
          </cell>
          <cell r="H42">
            <v>2.3630004498572259E-2</v>
          </cell>
          <cell r="J42" t="str">
            <v>1990PA</v>
          </cell>
          <cell r="K42">
            <v>0.41641806608055476</v>
          </cell>
          <cell r="L42">
            <v>0.10096637820948601</v>
          </cell>
          <cell r="M42">
            <v>0.48261555570995929</v>
          </cell>
          <cell r="O42" t="str">
            <v>PA</v>
          </cell>
          <cell r="P42">
            <v>1</v>
          </cell>
          <cell r="R42" t="str">
            <v>PA</v>
          </cell>
          <cell r="S42">
            <v>1</v>
          </cell>
          <cell r="U42" t="str">
            <v>1990PA</v>
          </cell>
          <cell r="V42">
            <v>0.107982326</v>
          </cell>
          <cell r="W42">
            <v>4.3663312000000003E-2</v>
          </cell>
          <cell r="X42">
            <v>0.24141446599999999</v>
          </cell>
          <cell r="Y42">
            <v>0.173500614</v>
          </cell>
          <cell r="Z42">
            <v>0.43343928199999998</v>
          </cell>
          <cell r="AB42" t="str">
            <v>1990PA</v>
          </cell>
          <cell r="AC42">
            <v>0.3</v>
          </cell>
          <cell r="AD42">
            <v>0.05</v>
          </cell>
          <cell r="AE42">
            <v>0</v>
          </cell>
          <cell r="AF42">
            <v>0.65</v>
          </cell>
          <cell r="AH42" t="str">
            <v>PA</v>
          </cell>
          <cell r="AI42">
            <v>1</v>
          </cell>
          <cell r="AK42" t="str">
            <v>PA</v>
          </cell>
          <cell r="AL42">
            <v>0.9</v>
          </cell>
          <cell r="AM42">
            <v>0.1</v>
          </cell>
          <cell r="AO42" t="str">
            <v>PA</v>
          </cell>
          <cell r="AP42">
            <v>0</v>
          </cell>
          <cell r="AQ42">
            <v>1</v>
          </cell>
          <cell r="AS42" t="str">
            <v>PA</v>
          </cell>
          <cell r="AT42">
            <v>1</v>
          </cell>
          <cell r="AV42" t="str">
            <v>PA</v>
          </cell>
          <cell r="AW42">
            <v>1</v>
          </cell>
        </row>
        <row r="43">
          <cell r="B43" t="str">
            <v>1990RI</v>
          </cell>
          <cell r="C43">
            <v>2.1160119314162895E-2</v>
          </cell>
          <cell r="D43">
            <v>8.3381202076593594E-2</v>
          </cell>
          <cell r="E43">
            <v>0.47900321677679891</v>
          </cell>
          <cell r="F43">
            <v>0.28958768063488644</v>
          </cell>
          <cell r="G43">
            <v>9.7707874449339191E-2</v>
          </cell>
          <cell r="H43">
            <v>2.9159906748219042E-2</v>
          </cell>
          <cell r="J43" t="str">
            <v>1990RI</v>
          </cell>
          <cell r="K43">
            <v>0.42328890877386194</v>
          </cell>
          <cell r="L43">
            <v>9.7707874449339191E-2</v>
          </cell>
          <cell r="M43">
            <v>0.47900321677679891</v>
          </cell>
          <cell r="O43" t="str">
            <v>RI</v>
          </cell>
          <cell r="P43">
            <v>1</v>
          </cell>
          <cell r="R43" t="str">
            <v>RI</v>
          </cell>
          <cell r="S43">
            <v>1</v>
          </cell>
          <cell r="U43" t="str">
            <v>1990RI</v>
          </cell>
          <cell r="V43">
            <v>0.238419619</v>
          </cell>
          <cell r="W43">
            <v>3.3509536999999999E-2</v>
          </cell>
          <cell r="X43">
            <v>0.21019618500000001</v>
          </cell>
          <cell r="Y43">
            <v>0.16069346000000001</v>
          </cell>
          <cell r="Z43">
            <v>0.357181199</v>
          </cell>
          <cell r="AB43" t="str">
            <v>1990RI</v>
          </cell>
          <cell r="AC43">
            <v>0.1</v>
          </cell>
          <cell r="AD43">
            <v>0.09</v>
          </cell>
          <cell r="AE43">
            <v>0</v>
          </cell>
          <cell r="AF43">
            <v>0.81</v>
          </cell>
          <cell r="AH43" t="str">
            <v>RI</v>
          </cell>
          <cell r="AI43">
            <v>1</v>
          </cell>
          <cell r="AK43" t="str">
            <v>RI</v>
          </cell>
          <cell r="AL43">
            <v>0.88</v>
          </cell>
          <cell r="AM43">
            <v>0.12</v>
          </cell>
          <cell r="AO43" t="str">
            <v>RI</v>
          </cell>
          <cell r="AP43">
            <v>0</v>
          </cell>
          <cell r="AQ43">
            <v>1</v>
          </cell>
          <cell r="AS43" t="str">
            <v>RI</v>
          </cell>
          <cell r="AT43">
            <v>1</v>
          </cell>
          <cell r="AV43" t="str">
            <v>RI</v>
          </cell>
          <cell r="AW43">
            <v>1</v>
          </cell>
        </row>
        <row r="44">
          <cell r="B44" t="str">
            <v>1990SC</v>
          </cell>
          <cell r="C44">
            <v>0.1060530561491369</v>
          </cell>
          <cell r="D44">
            <v>7.686375254995774E-2</v>
          </cell>
          <cell r="E44">
            <v>0.14718439291419974</v>
          </cell>
          <cell r="F44">
            <v>8.4697332518529636E-2</v>
          </cell>
          <cell r="G44">
            <v>0.58118933057670019</v>
          </cell>
          <cell r="H44">
            <v>4.0121352914758305E-3</v>
          </cell>
          <cell r="J44" t="str">
            <v>1990SC</v>
          </cell>
          <cell r="K44">
            <v>0.2716262765091001</v>
          </cell>
          <cell r="L44">
            <v>0.58118933057670019</v>
          </cell>
          <cell r="M44">
            <v>0.14718439291419974</v>
          </cell>
          <cell r="O44" t="str">
            <v>SC</v>
          </cell>
          <cell r="P44">
            <v>1</v>
          </cell>
          <cell r="R44" t="str">
            <v>SC</v>
          </cell>
          <cell r="S44">
            <v>1</v>
          </cell>
          <cell r="U44" t="str">
            <v>1990SC</v>
          </cell>
          <cell r="V44">
            <v>0.18186841400000001</v>
          </cell>
          <cell r="W44">
            <v>3.3645216999999998E-2</v>
          </cell>
          <cell r="X44">
            <v>0.15153023199999999</v>
          </cell>
          <cell r="Y44">
            <v>0.30268943599999998</v>
          </cell>
          <cell r="Z44">
            <v>0.33026670200000002</v>
          </cell>
          <cell r="AB44" t="str">
            <v>1990SC</v>
          </cell>
          <cell r="AC44">
            <v>0.1</v>
          </cell>
          <cell r="AD44">
            <v>0</v>
          </cell>
          <cell r="AE44">
            <v>0.4</v>
          </cell>
          <cell r="AF44">
            <v>0.5</v>
          </cell>
          <cell r="AH44" t="str">
            <v>SC</v>
          </cell>
          <cell r="AI44">
            <v>1</v>
          </cell>
          <cell r="AK44" t="str">
            <v>SC</v>
          </cell>
          <cell r="AL44">
            <v>0.95</v>
          </cell>
          <cell r="AM44">
            <v>0.05</v>
          </cell>
          <cell r="AO44" t="str">
            <v>SC</v>
          </cell>
          <cell r="AP44">
            <v>0</v>
          </cell>
          <cell r="AQ44">
            <v>1</v>
          </cell>
          <cell r="AS44" t="str">
            <v>SC</v>
          </cell>
          <cell r="AT44">
            <v>1</v>
          </cell>
          <cell r="AV44" t="str">
            <v>SC</v>
          </cell>
          <cell r="AW44">
            <v>1</v>
          </cell>
        </row>
        <row r="45">
          <cell r="B45" t="str">
            <v>1990SD</v>
          </cell>
          <cell r="C45">
            <v>4.934496456149931E-2</v>
          </cell>
          <cell r="D45">
            <v>0.15321338397251302</v>
          </cell>
          <cell r="E45">
            <v>0.20943685806642223</v>
          </cell>
          <cell r="F45">
            <v>0.42537575940378364</v>
          </cell>
          <cell r="G45">
            <v>0.12399495577066787</v>
          </cell>
          <cell r="H45">
            <v>3.8634078225113978E-2</v>
          </cell>
          <cell r="J45" t="str">
            <v>1990SD</v>
          </cell>
          <cell r="K45">
            <v>0.66656818616290991</v>
          </cell>
          <cell r="L45">
            <v>0.12399495577066787</v>
          </cell>
          <cell r="M45">
            <v>0.20943685806642223</v>
          </cell>
          <cell r="O45" t="str">
            <v>SD</v>
          </cell>
          <cell r="P45">
            <v>1</v>
          </cell>
          <cell r="R45" t="str">
            <v>SD</v>
          </cell>
          <cell r="S45">
            <v>1</v>
          </cell>
          <cell r="U45" t="str">
            <v>1990SD</v>
          </cell>
          <cell r="V45">
            <v>0.144740534</v>
          </cell>
          <cell r="W45">
            <v>4.0401548000000002E-2</v>
          </cell>
          <cell r="X45">
            <v>0.233050637</v>
          </cell>
          <cell r="Y45">
            <v>0.171225976</v>
          </cell>
          <cell r="Z45">
            <v>0.41058130500000001</v>
          </cell>
          <cell r="AB45" t="str">
            <v>1990SD</v>
          </cell>
          <cell r="AC45">
            <v>0</v>
          </cell>
          <cell r="AD45">
            <v>0</v>
          </cell>
          <cell r="AE45">
            <v>0.2</v>
          </cell>
          <cell r="AF45">
            <v>0.8</v>
          </cell>
          <cell r="AH45" t="str">
            <v>SD</v>
          </cell>
          <cell r="AI45">
            <v>1</v>
          </cell>
          <cell r="AK45" t="str">
            <v>SD</v>
          </cell>
          <cell r="AL45">
            <v>1</v>
          </cell>
          <cell r="AM45">
            <v>0</v>
          </cell>
          <cell r="AO45" t="str">
            <v>SD</v>
          </cell>
          <cell r="AP45">
            <v>7.0588235294117618E-2</v>
          </cell>
          <cell r="AQ45">
            <v>1</v>
          </cell>
          <cell r="AS45" t="str">
            <v>SD</v>
          </cell>
          <cell r="AT45">
            <v>1</v>
          </cell>
          <cell r="AV45" t="str">
            <v>SD</v>
          </cell>
          <cell r="AW45">
            <v>1</v>
          </cell>
        </row>
        <row r="46">
          <cell r="B46" t="str">
            <v>1990TN</v>
          </cell>
          <cell r="C46">
            <v>2.7324304039012964E-2</v>
          </cell>
          <cell r="D46">
            <v>7.0114654465175216E-2</v>
          </cell>
          <cell r="E46">
            <v>0.14186484493677126</v>
          </cell>
          <cell r="F46">
            <v>0.13252450898097146</v>
          </cell>
          <cell r="G46">
            <v>0.61274644071363271</v>
          </cell>
          <cell r="H46">
            <v>1.5425246864436372E-2</v>
          </cell>
          <cell r="J46" t="str">
            <v>1990TN</v>
          </cell>
          <cell r="K46">
            <v>0.24538871434959608</v>
          </cell>
          <cell r="L46">
            <v>0.61274644071363271</v>
          </cell>
          <cell r="M46">
            <v>0.14186484493677126</v>
          </cell>
          <cell r="O46" t="str">
            <v>TN</v>
          </cell>
          <cell r="P46">
            <v>1</v>
          </cell>
          <cell r="R46" t="str">
            <v>TN</v>
          </cell>
          <cell r="S46">
            <v>1</v>
          </cell>
          <cell r="U46" t="str">
            <v>1990TN</v>
          </cell>
          <cell r="V46">
            <v>0.23266783899999999</v>
          </cell>
          <cell r="W46">
            <v>3.2290655000000001E-2</v>
          </cell>
          <cell r="X46">
            <v>0.16531180400000001</v>
          </cell>
          <cell r="Y46">
            <v>0.243285432</v>
          </cell>
          <cell r="Z46">
            <v>0.32644426900000001</v>
          </cell>
          <cell r="AB46" t="str">
            <v>1990TN</v>
          </cell>
          <cell r="AC46">
            <v>0</v>
          </cell>
          <cell r="AD46">
            <v>0.9</v>
          </cell>
          <cell r="AE46">
            <v>7.0000000000000007E-2</v>
          </cell>
          <cell r="AF46">
            <v>0.03</v>
          </cell>
          <cell r="AH46" t="str">
            <v>TN</v>
          </cell>
          <cell r="AI46">
            <v>1</v>
          </cell>
          <cell r="AK46" t="str">
            <v>TN</v>
          </cell>
          <cell r="AL46">
            <v>0.88</v>
          </cell>
          <cell r="AM46">
            <v>0.12</v>
          </cell>
          <cell r="AO46" t="str">
            <v>TN</v>
          </cell>
          <cell r="AP46">
            <v>0</v>
          </cell>
          <cell r="AQ46">
            <v>1</v>
          </cell>
          <cell r="AS46" t="str">
            <v>TN</v>
          </cell>
          <cell r="AT46">
            <v>1</v>
          </cell>
          <cell r="AV46" t="str">
            <v>TN</v>
          </cell>
          <cell r="AW46">
            <v>1</v>
          </cell>
        </row>
        <row r="47">
          <cell r="B47" t="str">
            <v>1990TX</v>
          </cell>
          <cell r="C47">
            <v>0.43644699969620837</v>
          </cell>
          <cell r="D47">
            <v>0.2644505950878045</v>
          </cell>
          <cell r="E47">
            <v>6.3129550644091162E-2</v>
          </cell>
          <cell r="F47">
            <v>0.19308824114006534</v>
          </cell>
          <cell r="G47">
            <v>0</v>
          </cell>
          <cell r="H47">
            <v>4.2884613431830636E-2</v>
          </cell>
          <cell r="J47" t="str">
            <v>1990TX</v>
          </cell>
          <cell r="K47">
            <v>0.9368704493559088</v>
          </cell>
          <cell r="L47">
            <v>0</v>
          </cell>
          <cell r="M47">
            <v>6.3129550644091162E-2</v>
          </cell>
          <cell r="O47" t="str">
            <v>TX</v>
          </cell>
          <cell r="P47">
            <v>1</v>
          </cell>
          <cell r="R47" t="str">
            <v>TX</v>
          </cell>
          <cell r="S47">
            <v>1</v>
          </cell>
          <cell r="U47" t="str">
            <v>1990TX</v>
          </cell>
          <cell r="V47">
            <v>0.25776063500000002</v>
          </cell>
          <cell r="W47">
            <v>2.9933387999999998E-2</v>
          </cell>
          <cell r="X47">
            <v>0.118821385</v>
          </cell>
          <cell r="Y47">
            <v>0.30727402199999998</v>
          </cell>
          <cell r="Z47">
            <v>0.28621057</v>
          </cell>
          <cell r="AB47" t="str">
            <v>1990TX</v>
          </cell>
          <cell r="AC47">
            <v>0.5</v>
          </cell>
          <cell r="AD47">
            <v>0</v>
          </cell>
          <cell r="AE47">
            <v>0.4</v>
          </cell>
          <cell r="AF47">
            <v>0.1</v>
          </cell>
          <cell r="AH47" t="str">
            <v>TX</v>
          </cell>
          <cell r="AI47">
            <v>1</v>
          </cell>
          <cell r="AK47" t="str">
            <v>TX</v>
          </cell>
          <cell r="AL47">
            <v>0.88</v>
          </cell>
          <cell r="AM47">
            <v>0.12</v>
          </cell>
          <cell r="AO47" t="str">
            <v>TX</v>
          </cell>
          <cell r="AP47">
            <v>0.30555555555555558</v>
          </cell>
          <cell r="AQ47">
            <v>1</v>
          </cell>
          <cell r="AS47" t="str">
            <v>TX</v>
          </cell>
          <cell r="AT47">
            <v>1</v>
          </cell>
          <cell r="AV47" t="str">
            <v>TX</v>
          </cell>
          <cell r="AW47">
            <v>1</v>
          </cell>
        </row>
        <row r="48">
          <cell r="B48" t="str">
            <v>1990UT</v>
          </cell>
          <cell r="C48">
            <v>0.3408163306177831</v>
          </cell>
          <cell r="D48">
            <v>0.26856064563622567</v>
          </cell>
          <cell r="E48">
            <v>4.3488644191417805E-2</v>
          </cell>
          <cell r="F48">
            <v>0.25450549677933004</v>
          </cell>
          <cell r="G48">
            <v>2.5747008252630443E-2</v>
          </cell>
          <cell r="H48">
            <v>6.6881874522612836E-2</v>
          </cell>
          <cell r="J48" t="str">
            <v>1990UT</v>
          </cell>
          <cell r="K48">
            <v>0.93076434755595172</v>
          </cell>
          <cell r="L48">
            <v>2.5747008252630443E-2</v>
          </cell>
          <cell r="M48">
            <v>4.3488644191417805E-2</v>
          </cell>
          <cell r="O48" t="str">
            <v>UT</v>
          </cell>
          <cell r="P48">
            <v>1</v>
          </cell>
          <cell r="R48" t="str">
            <v>UT</v>
          </cell>
          <cell r="S48">
            <v>1</v>
          </cell>
          <cell r="U48" t="str">
            <v>1990UT</v>
          </cell>
          <cell r="V48">
            <v>0.544215165</v>
          </cell>
          <cell r="W48">
            <v>2.0054532999999999E-2</v>
          </cell>
          <cell r="X48">
            <v>0.125796614</v>
          </cell>
          <cell r="Y48">
            <v>9.6170599999999995E-2</v>
          </cell>
          <cell r="Z48">
            <v>0.21376308699999999</v>
          </cell>
          <cell r="AB48" t="str">
            <v>1990UT</v>
          </cell>
          <cell r="AC48">
            <v>0.5</v>
          </cell>
          <cell r="AD48">
            <v>0</v>
          </cell>
          <cell r="AE48">
            <v>0</v>
          </cell>
          <cell r="AF48">
            <v>0.5</v>
          </cell>
          <cell r="AH48" t="str">
            <v>UT</v>
          </cell>
          <cell r="AI48">
            <v>1</v>
          </cell>
          <cell r="AK48" t="str">
            <v>UT</v>
          </cell>
          <cell r="AL48">
            <v>0</v>
          </cell>
          <cell r="AM48">
            <v>1</v>
          </cell>
          <cell r="AO48" t="str">
            <v>UT</v>
          </cell>
          <cell r="AP48">
            <v>1</v>
          </cell>
          <cell r="AQ48">
            <v>1</v>
          </cell>
          <cell r="AS48" t="str">
            <v>UT</v>
          </cell>
          <cell r="AT48">
            <v>1</v>
          </cell>
          <cell r="AV48" t="str">
            <v>UT</v>
          </cell>
          <cell r="AW48">
            <v>1</v>
          </cell>
        </row>
        <row r="49">
          <cell r="B49" t="str">
            <v>1990VT</v>
          </cell>
          <cell r="C49">
            <v>4.0072020212799001E-2</v>
          </cell>
          <cell r="D49">
            <v>0.11618599158657865</v>
          </cell>
          <cell r="E49">
            <v>0.46727553003241384</v>
          </cell>
          <cell r="F49">
            <v>0.26210436010185856</v>
          </cell>
          <cell r="G49">
            <v>8.7128935966130833E-2</v>
          </cell>
          <cell r="H49">
            <v>2.7233162100219199E-2</v>
          </cell>
          <cell r="J49" t="str">
            <v>1990VT</v>
          </cell>
          <cell r="K49">
            <v>0.44559553400145535</v>
          </cell>
          <cell r="L49">
            <v>8.7128935966130833E-2</v>
          </cell>
          <cell r="M49">
            <v>0.46727553003241384</v>
          </cell>
          <cell r="O49" t="str">
            <v>VT</v>
          </cell>
          <cell r="P49">
            <v>1</v>
          </cell>
          <cell r="R49" t="str">
            <v>VT</v>
          </cell>
          <cell r="S49">
            <v>1</v>
          </cell>
          <cell r="U49" t="str">
            <v>1990VT</v>
          </cell>
          <cell r="V49">
            <v>1</v>
          </cell>
          <cell r="W49">
            <v>0</v>
          </cell>
          <cell r="X49">
            <v>0</v>
          </cell>
          <cell r="Y49">
            <v>0</v>
          </cell>
          <cell r="Z49">
            <v>0</v>
          </cell>
          <cell r="AB49" t="str">
            <v>1990VT</v>
          </cell>
          <cell r="AC49">
            <v>0.1</v>
          </cell>
          <cell r="AD49">
            <v>0.09</v>
          </cell>
          <cell r="AE49">
            <v>0</v>
          </cell>
          <cell r="AF49">
            <v>0.81</v>
          </cell>
          <cell r="AH49" t="str">
            <v>VT</v>
          </cell>
          <cell r="AI49">
            <v>1</v>
          </cell>
          <cell r="AK49" t="str">
            <v>VT</v>
          </cell>
          <cell r="AL49">
            <v>0.88</v>
          </cell>
          <cell r="AM49">
            <v>0.12</v>
          </cell>
          <cell r="AO49" t="str">
            <v>VT</v>
          </cell>
          <cell r="AP49">
            <v>0</v>
          </cell>
          <cell r="AQ49">
            <v>1</v>
          </cell>
          <cell r="AS49" t="str">
            <v>VT</v>
          </cell>
          <cell r="AT49">
            <v>1</v>
          </cell>
          <cell r="AV49" t="str">
            <v>VT</v>
          </cell>
          <cell r="AW49">
            <v>1</v>
          </cell>
        </row>
        <row r="50">
          <cell r="B50" t="str">
            <v>1990VA</v>
          </cell>
          <cell r="C50">
            <v>3.179278087434477E-2</v>
          </cell>
          <cell r="D50">
            <v>7.7890850207752993E-2</v>
          </cell>
          <cell r="E50">
            <v>0.1425321968750223</v>
          </cell>
          <cell r="F50">
            <v>0.12284474070327608</v>
          </cell>
          <cell r="G50">
            <v>0.60878751437161238</v>
          </cell>
          <cell r="H50">
            <v>1.615191696799146E-2</v>
          </cell>
          <cell r="J50" t="str">
            <v>1990VA</v>
          </cell>
          <cell r="K50">
            <v>0.24868028875336534</v>
          </cell>
          <cell r="L50">
            <v>0.60878751437161238</v>
          </cell>
          <cell r="M50">
            <v>0.1425321968750223</v>
          </cell>
          <cell r="O50" t="str">
            <v>VA</v>
          </cell>
          <cell r="P50">
            <v>1</v>
          </cell>
          <cell r="R50" t="str">
            <v>VA</v>
          </cell>
          <cell r="S50">
            <v>1</v>
          </cell>
          <cell r="U50" t="str">
            <v>1990VA</v>
          </cell>
          <cell r="V50">
            <v>0.104783687</v>
          </cell>
          <cell r="W50">
            <v>3.4990518999999998E-2</v>
          </cell>
          <cell r="X50">
            <v>0.10819703899999999</v>
          </cell>
          <cell r="Y50">
            <v>0.43209240999999998</v>
          </cell>
          <cell r="Z50">
            <v>0.31993634399999998</v>
          </cell>
          <cell r="AB50" t="str">
            <v>1990VA</v>
          </cell>
          <cell r="AC50">
            <v>0.7</v>
          </cell>
          <cell r="AD50">
            <v>0</v>
          </cell>
          <cell r="AE50">
            <v>0</v>
          </cell>
          <cell r="AF50">
            <v>0.3</v>
          </cell>
          <cell r="AH50" t="str">
            <v>VA</v>
          </cell>
          <cell r="AI50">
            <v>1</v>
          </cell>
          <cell r="AK50" t="str">
            <v>VA</v>
          </cell>
          <cell r="AL50">
            <v>0.94</v>
          </cell>
          <cell r="AM50">
            <v>0.06</v>
          </cell>
          <cell r="AO50" t="str">
            <v>VA</v>
          </cell>
          <cell r="AP50">
            <v>0.66666666666666674</v>
          </cell>
          <cell r="AQ50">
            <v>1</v>
          </cell>
          <cell r="AS50" t="str">
            <v>VA</v>
          </cell>
          <cell r="AT50">
            <v>1</v>
          </cell>
          <cell r="AV50" t="str">
            <v>VA</v>
          </cell>
          <cell r="AW50">
            <v>1</v>
          </cell>
        </row>
        <row r="51">
          <cell r="B51" t="str">
            <v>1990WA</v>
          </cell>
          <cell r="C51">
            <v>0.35118448464289537</v>
          </cell>
          <cell r="D51">
            <v>0.20550206680564437</v>
          </cell>
          <cell r="E51">
            <v>0</v>
          </cell>
          <cell r="F51">
            <v>0.12594673385184735</v>
          </cell>
          <cell r="G51">
            <v>0.29192481475532051</v>
          </cell>
          <cell r="H51">
            <v>2.5441899944292447E-2</v>
          </cell>
          <cell r="J51" t="str">
            <v>1990WA</v>
          </cell>
          <cell r="K51">
            <v>0.70807518524467949</v>
          </cell>
          <cell r="L51">
            <v>0.29192481475532051</v>
          </cell>
          <cell r="M51">
            <v>0</v>
          </cell>
          <cell r="O51" t="str">
            <v>WA</v>
          </cell>
          <cell r="P51">
            <v>1</v>
          </cell>
          <cell r="R51" t="str">
            <v>WA</v>
          </cell>
          <cell r="S51">
            <v>1</v>
          </cell>
          <cell r="U51" t="str">
            <v>1990WA</v>
          </cell>
          <cell r="V51">
            <v>0.32160723499999999</v>
          </cell>
          <cell r="W51">
            <v>3.2643392E-2</v>
          </cell>
          <cell r="X51">
            <v>0.18420945</v>
          </cell>
          <cell r="Y51">
            <v>0.13382717099999999</v>
          </cell>
          <cell r="Z51">
            <v>0.327712752</v>
          </cell>
          <cell r="AB51" t="str">
            <v>1990WA</v>
          </cell>
          <cell r="AC51">
            <v>0</v>
          </cell>
          <cell r="AD51">
            <v>0.1</v>
          </cell>
          <cell r="AE51">
            <v>0</v>
          </cell>
          <cell r="AF51">
            <v>0.9</v>
          </cell>
          <cell r="AH51" t="str">
            <v>WA</v>
          </cell>
          <cell r="AI51">
            <v>1</v>
          </cell>
          <cell r="AK51" t="str">
            <v>WA</v>
          </cell>
          <cell r="AL51">
            <v>0.88</v>
          </cell>
          <cell r="AM51">
            <v>0.12</v>
          </cell>
          <cell r="AO51" t="str">
            <v>WA</v>
          </cell>
          <cell r="AP51">
            <v>0</v>
          </cell>
          <cell r="AQ51">
            <v>1</v>
          </cell>
          <cell r="AS51" t="str">
            <v>WA</v>
          </cell>
          <cell r="AT51">
            <v>1</v>
          </cell>
          <cell r="AV51" t="str">
            <v>WA</v>
          </cell>
          <cell r="AW51">
            <v>1</v>
          </cell>
        </row>
        <row r="52">
          <cell r="B52" t="str">
            <v>1990WV</v>
          </cell>
          <cell r="C52">
            <v>3.916010831378041E-2</v>
          </cell>
          <cell r="D52">
            <v>0.11405058285388173</v>
          </cell>
          <cell r="E52">
            <v>0.46868791682715627</v>
          </cell>
          <cell r="F52">
            <v>0.26291325280206979</v>
          </cell>
          <cell r="G52">
            <v>8.8402976903763281E-2</v>
          </cell>
          <cell r="H52">
            <v>2.6785162299348499E-2</v>
          </cell>
          <cell r="J52" t="str">
            <v>1990WV</v>
          </cell>
          <cell r="K52">
            <v>0.44290910626908042</v>
          </cell>
          <cell r="L52">
            <v>8.8402976903763281E-2</v>
          </cell>
          <cell r="M52">
            <v>0.46868791682715627</v>
          </cell>
          <cell r="O52" t="str">
            <v>WV</v>
          </cell>
          <cell r="P52">
            <v>1</v>
          </cell>
          <cell r="R52" t="str">
            <v>WV</v>
          </cell>
          <cell r="S52">
            <v>1</v>
          </cell>
          <cell r="U52" t="str">
            <v>1990WV</v>
          </cell>
          <cell r="V52">
            <v>0.68917249899999999</v>
          </cell>
          <cell r="W52">
            <v>1.367641E-2</v>
          </cell>
          <cell r="X52">
            <v>8.5788390000000006E-2</v>
          </cell>
          <cell r="Y52">
            <v>6.5584603000000005E-2</v>
          </cell>
          <cell r="Z52">
            <v>0.14577809799999999</v>
          </cell>
          <cell r="AB52" t="str">
            <v>1990WV</v>
          </cell>
          <cell r="AC52">
            <v>1</v>
          </cell>
          <cell r="AD52">
            <v>0</v>
          </cell>
          <cell r="AE52">
            <v>0</v>
          </cell>
          <cell r="AF52">
            <v>0</v>
          </cell>
          <cell r="AH52" t="str">
            <v>WV</v>
          </cell>
          <cell r="AI52">
            <v>1</v>
          </cell>
          <cell r="AK52" t="str">
            <v>WV</v>
          </cell>
          <cell r="AL52">
            <v>0.9</v>
          </cell>
          <cell r="AM52">
            <v>0.1</v>
          </cell>
          <cell r="AO52" t="str">
            <v>WV</v>
          </cell>
          <cell r="AP52">
            <v>0</v>
          </cell>
          <cell r="AQ52">
            <v>1</v>
          </cell>
          <cell r="AS52" t="str">
            <v>WV</v>
          </cell>
          <cell r="AT52">
            <v>1</v>
          </cell>
          <cell r="AV52" t="str">
            <v>WV</v>
          </cell>
          <cell r="AW52">
            <v>1</v>
          </cell>
        </row>
        <row r="53">
          <cell r="B53" t="str">
            <v>1990WI</v>
          </cell>
          <cell r="C53">
            <v>3.8114418660830179E-2</v>
          </cell>
          <cell r="D53">
            <v>0.12951752167105887</v>
          </cell>
          <cell r="E53">
            <v>0.22292235537315713</v>
          </cell>
          <cell r="F53">
            <v>0.44202720914672056</v>
          </cell>
          <cell r="G53">
            <v>0.13197890691246617</v>
          </cell>
          <cell r="H53">
            <v>3.5439588235767067E-2</v>
          </cell>
          <cell r="J53" t="str">
            <v>1990WI</v>
          </cell>
          <cell r="K53">
            <v>0.64509873771437665</v>
          </cell>
          <cell r="L53">
            <v>0.13197890691246617</v>
          </cell>
          <cell r="M53">
            <v>0.22292235537315713</v>
          </cell>
          <cell r="O53" t="str">
            <v>WI</v>
          </cell>
          <cell r="P53">
            <v>1</v>
          </cell>
          <cell r="R53" t="str">
            <v>WI</v>
          </cell>
          <cell r="S53">
            <v>1</v>
          </cell>
          <cell r="U53" t="str">
            <v>1990WI</v>
          </cell>
          <cell r="V53">
            <v>0.19420881000000001</v>
          </cell>
          <cell r="W53">
            <v>3.7627571999999998E-2</v>
          </cell>
          <cell r="X53">
            <v>0.22004454600000001</v>
          </cell>
          <cell r="Y53">
            <v>0.16277941000000001</v>
          </cell>
          <cell r="Z53">
            <v>0.38533966200000003</v>
          </cell>
          <cell r="AB53" t="str">
            <v>1990WI</v>
          </cell>
          <cell r="AC53">
            <v>0.4</v>
          </cell>
          <cell r="AD53">
            <v>0.05</v>
          </cell>
          <cell r="AE53">
            <v>0</v>
          </cell>
          <cell r="AF53">
            <v>0.55000000000000004</v>
          </cell>
          <cell r="AH53" t="str">
            <v>WI</v>
          </cell>
          <cell r="AI53">
            <v>1</v>
          </cell>
          <cell r="AK53" t="str">
            <v>WI</v>
          </cell>
          <cell r="AL53">
            <v>0.88</v>
          </cell>
          <cell r="AM53">
            <v>0.12</v>
          </cell>
          <cell r="AO53" t="str">
            <v>WI</v>
          </cell>
          <cell r="AP53">
            <v>1</v>
          </cell>
          <cell r="AQ53">
            <v>1</v>
          </cell>
          <cell r="AS53" t="str">
            <v>WI</v>
          </cell>
          <cell r="AT53">
            <v>1</v>
          </cell>
          <cell r="AV53" t="str">
            <v>WI</v>
          </cell>
          <cell r="AW53">
            <v>1</v>
          </cell>
        </row>
        <row r="54">
          <cell r="B54" t="str">
            <v>1990WY</v>
          </cell>
          <cell r="C54">
            <v>0.24575173409635234</v>
          </cell>
          <cell r="D54">
            <v>0.19245347201944651</v>
          </cell>
          <cell r="E54">
            <v>0.16554847946287521</v>
          </cell>
          <cell r="F54">
            <v>0.23476562808063112</v>
          </cell>
          <cell r="G54">
            <v>9.8011288836229588E-2</v>
          </cell>
          <cell r="H54">
            <v>6.346939750446523E-2</v>
          </cell>
          <cell r="J54" t="str">
            <v>1990WY</v>
          </cell>
          <cell r="K54">
            <v>0.73644023170089523</v>
          </cell>
          <cell r="L54">
            <v>9.8011288836229588E-2</v>
          </cell>
          <cell r="M54">
            <v>0.16554847946287521</v>
          </cell>
          <cell r="O54" t="str">
            <v>WY</v>
          </cell>
          <cell r="P54">
            <v>1</v>
          </cell>
          <cell r="R54" t="str">
            <v>WY</v>
          </cell>
          <cell r="S54">
            <v>1</v>
          </cell>
          <cell r="U54" t="str">
            <v>1990WY</v>
          </cell>
          <cell r="V54">
            <v>0.40237178800000001</v>
          </cell>
          <cell r="W54">
            <v>2.6295641000000002E-2</v>
          </cell>
          <cell r="X54">
            <v>0.164945386</v>
          </cell>
          <cell r="Y54">
            <v>0.126099553</v>
          </cell>
          <cell r="Z54">
            <v>0.28028763099999998</v>
          </cell>
          <cell r="AB54" t="str">
            <v>1990WY</v>
          </cell>
          <cell r="AC54">
            <v>0</v>
          </cell>
          <cell r="AD54">
            <v>0.08</v>
          </cell>
          <cell r="AE54">
            <v>0.04</v>
          </cell>
          <cell r="AF54">
            <v>0.88</v>
          </cell>
          <cell r="AH54" t="str">
            <v>WY</v>
          </cell>
          <cell r="AI54">
            <v>1</v>
          </cell>
          <cell r="AK54" t="str">
            <v>WY</v>
          </cell>
          <cell r="AL54">
            <v>0.88</v>
          </cell>
          <cell r="AM54">
            <v>0.12</v>
          </cell>
          <cell r="AO54" t="str">
            <v>WY</v>
          </cell>
          <cell r="AP54">
            <v>0.38461538461538458</v>
          </cell>
          <cell r="AQ54">
            <v>1</v>
          </cell>
          <cell r="AS54" t="str">
            <v>WY</v>
          </cell>
          <cell r="AT54">
            <v>1</v>
          </cell>
          <cell r="AV54" t="str">
            <v>WY</v>
          </cell>
          <cell r="AW54">
            <v>1</v>
          </cell>
        </row>
        <row r="55">
          <cell r="B55" t="str">
            <v>1991AL</v>
          </cell>
          <cell r="C55">
            <v>0.10964035466102269</v>
          </cell>
          <cell r="D55">
            <v>7.5250315858693406E-2</v>
          </cell>
          <cell r="E55">
            <v>0.15095445395344742</v>
          </cell>
          <cell r="F55">
            <v>0.10051414377032589</v>
          </cell>
          <cell r="G55">
            <v>0.55882422889074668</v>
          </cell>
          <cell r="H55">
            <v>4.8165028657639296E-3</v>
          </cell>
          <cell r="J55" t="str">
            <v>1991AL</v>
          </cell>
          <cell r="K55">
            <v>0.2902213171558059</v>
          </cell>
          <cell r="L55">
            <v>0.55882422889074668</v>
          </cell>
          <cell r="M55">
            <v>0.15095445395344742</v>
          </cell>
          <cell r="O55" t="str">
            <v>U.S. Avg.</v>
          </cell>
          <cell r="R55" t="str">
            <v>U.S. Avg.</v>
          </cell>
          <cell r="U55" t="str">
            <v>1991AL</v>
          </cell>
          <cell r="V55">
            <v>0.182935074</v>
          </cell>
          <cell r="W55">
            <v>3.3560173999999998E-2</v>
          </cell>
          <cell r="X55">
            <v>0.15003266500000001</v>
          </cell>
          <cell r="Y55">
            <v>0.30457127699999997</v>
          </cell>
          <cell r="Z55">
            <v>0.32890080999999999</v>
          </cell>
          <cell r="AB55" t="str">
            <v>1991AL</v>
          </cell>
          <cell r="AC55">
            <v>0</v>
          </cell>
          <cell r="AD55">
            <v>8.8888888888888892E-2</v>
          </cell>
          <cell r="AE55">
            <v>0.75766666699999996</v>
          </cell>
          <cell r="AF55">
            <v>0.15344444400000001</v>
          </cell>
          <cell r="AH55" t="str">
            <v>Other</v>
          </cell>
          <cell r="AI55">
            <v>1</v>
          </cell>
          <cell r="AK55" t="str">
            <v>Other</v>
          </cell>
          <cell r="AL55">
            <v>0.88</v>
          </cell>
          <cell r="AM55">
            <v>0.12</v>
          </cell>
          <cell r="AS55" t="str">
            <v>U.S. Avg.</v>
          </cell>
          <cell r="AT55">
            <v>1</v>
          </cell>
          <cell r="AV55" t="str">
            <v>U.S. Avg.</v>
          </cell>
          <cell r="AW55">
            <v>1</v>
          </cell>
        </row>
        <row r="56">
          <cell r="B56" t="str">
            <v>1991AK</v>
          </cell>
          <cell r="C56">
            <v>0</v>
          </cell>
          <cell r="D56">
            <v>0</v>
          </cell>
          <cell r="E56">
            <v>0.62812500000000004</v>
          </cell>
          <cell r="F56">
            <v>0</v>
          </cell>
          <cell r="G56">
            <v>0.37187500000000001</v>
          </cell>
          <cell r="H56">
            <v>0</v>
          </cell>
          <cell r="J56" t="str">
            <v>1991AK</v>
          </cell>
          <cell r="K56">
            <v>0</v>
          </cell>
          <cell r="L56">
            <v>0.37187500000000001</v>
          </cell>
          <cell r="M56">
            <v>0.62812500000000004</v>
          </cell>
          <cell r="U56" t="str">
            <v>1991AK</v>
          </cell>
          <cell r="V56">
            <v>1</v>
          </cell>
          <cell r="W56">
            <v>0</v>
          </cell>
          <cell r="X56">
            <v>0</v>
          </cell>
          <cell r="Y56">
            <v>0</v>
          </cell>
          <cell r="Z56">
            <v>0</v>
          </cell>
          <cell r="AB56" t="str">
            <v>1991AK</v>
          </cell>
          <cell r="AC56">
            <v>8.8888888888888892E-2</v>
          </cell>
          <cell r="AD56">
            <v>0.10666666666666666</v>
          </cell>
          <cell r="AE56">
            <v>0.161111111</v>
          </cell>
          <cell r="AF56">
            <v>0.64333333299999995</v>
          </cell>
          <cell r="AH56" t="str">
            <v>U.S. Avg.</v>
          </cell>
          <cell r="AI56">
            <v>1</v>
          </cell>
          <cell r="AK56" t="str">
            <v>U.S. Avg.</v>
          </cell>
          <cell r="AL56">
            <v>0.92</v>
          </cell>
          <cell r="AM56">
            <v>0.08</v>
          </cell>
        </row>
        <row r="57">
          <cell r="B57" t="str">
            <v>1991AZ</v>
          </cell>
          <cell r="C57">
            <v>0.59452597771350846</v>
          </cell>
          <cell r="D57">
            <v>0.21737822204821747</v>
          </cell>
          <cell r="E57">
            <v>9.2568667344862673E-2</v>
          </cell>
          <cell r="F57">
            <v>9.3362672742600822E-2</v>
          </cell>
          <cell r="G57">
            <v>0</v>
          </cell>
          <cell r="H57">
            <v>2.1644601508106443E-3</v>
          </cell>
          <cell r="J57" t="str">
            <v>1991AZ</v>
          </cell>
          <cell r="K57">
            <v>0.90743133265513731</v>
          </cell>
          <cell r="L57">
            <v>0</v>
          </cell>
          <cell r="M57">
            <v>9.2568667344862673E-2</v>
          </cell>
          <cell r="U57" t="str">
            <v>1991AZ</v>
          </cell>
          <cell r="V57">
            <v>2.9485239E-2</v>
          </cell>
          <cell r="W57">
            <v>3.6925055999999998E-2</v>
          </cell>
          <cell r="X57">
            <v>8.545519E-2</v>
          </cell>
          <cell r="Y57">
            <v>0.52419700499999999</v>
          </cell>
          <cell r="Z57">
            <v>0.32393751100000001</v>
          </cell>
          <cell r="AB57" t="str">
            <v>1991AZ</v>
          </cell>
          <cell r="AC57">
            <v>0</v>
          </cell>
          <cell r="AD57">
            <v>0</v>
          </cell>
          <cell r="AE57">
            <v>6.6666666999999999E-2</v>
          </cell>
          <cell r="AF57">
            <v>0.93333333299999999</v>
          </cell>
        </row>
        <row r="58">
          <cell r="B58" t="str">
            <v>1991AR</v>
          </cell>
          <cell r="C58">
            <v>6.4819847007077783E-2</v>
          </cell>
          <cell r="D58">
            <v>5.1145646283778538E-2</v>
          </cell>
          <cell r="E58">
            <v>0.13912499999999997</v>
          </cell>
          <cell r="F58">
            <v>0.11027147509972528</v>
          </cell>
          <cell r="G58">
            <v>0.629</v>
          </cell>
          <cell r="H58">
            <v>5.6380316094184124E-3</v>
          </cell>
          <cell r="J58" t="str">
            <v>1991AR</v>
          </cell>
          <cell r="K58">
            <v>0.23187500000000005</v>
          </cell>
          <cell r="L58">
            <v>0.629</v>
          </cell>
          <cell r="M58">
            <v>0.13912499999999997</v>
          </cell>
          <cell r="U58" t="str">
            <v>1991AR</v>
          </cell>
          <cell r="V58">
            <v>5.4610839000000001E-2</v>
          </cell>
          <cell r="W58">
            <v>3.6895429E-2</v>
          </cell>
          <cell r="X58">
            <v>0.11248820700000001</v>
          </cell>
          <cell r="Y58">
            <v>0.45941363200000002</v>
          </cell>
          <cell r="Z58">
            <v>0.336591892</v>
          </cell>
          <cell r="AB58" t="str">
            <v>1991AR</v>
          </cell>
          <cell r="AC58">
            <v>0</v>
          </cell>
          <cell r="AD58">
            <v>0.53333333333333333</v>
          </cell>
          <cell r="AE58">
            <v>0.35555555599999999</v>
          </cell>
          <cell r="AF58">
            <v>0.111111111</v>
          </cell>
        </row>
        <row r="59">
          <cell r="B59" t="str">
            <v>1991CA</v>
          </cell>
          <cell r="C59">
            <v>0.54279809878903273</v>
          </cell>
          <cell r="D59">
            <v>0.22529239903187814</v>
          </cell>
          <cell r="E59">
            <v>0.11747323657345785</v>
          </cell>
          <cell r="F59">
            <v>9.0851894313912593E-2</v>
          </cell>
          <cell r="G59">
            <v>1.887558059880249E-2</v>
          </cell>
          <cell r="H59">
            <v>4.7087906929161698E-3</v>
          </cell>
          <cell r="J59" t="str">
            <v>1991CA</v>
          </cell>
          <cell r="K59">
            <v>0.86365118282773967</v>
          </cell>
          <cell r="L59">
            <v>1.887558059880249E-2</v>
          </cell>
          <cell r="M59">
            <v>0.11747323657345785</v>
          </cell>
          <cell r="U59" t="str">
            <v>1991CA</v>
          </cell>
          <cell r="V59">
            <v>0.125134622</v>
          </cell>
          <cell r="W59">
            <v>3.3375830000000002E-2</v>
          </cell>
          <cell r="X59">
            <v>7.9872487000000006E-2</v>
          </cell>
          <cell r="Y59">
            <v>0.46756251500000001</v>
          </cell>
          <cell r="Z59">
            <v>0.29405454600000003</v>
          </cell>
          <cell r="AB59" t="str">
            <v>1991CA</v>
          </cell>
          <cell r="AC59">
            <v>0.4</v>
          </cell>
          <cell r="AD59">
            <v>2.6666666666666665E-2</v>
          </cell>
          <cell r="AE59">
            <v>7.5555555999999996E-2</v>
          </cell>
          <cell r="AF59">
            <v>0.497777778</v>
          </cell>
        </row>
        <row r="60">
          <cell r="B60" t="str">
            <v>1991CO</v>
          </cell>
          <cell r="C60">
            <v>0.49098622891561094</v>
          </cell>
          <cell r="D60">
            <v>0.27048463258608685</v>
          </cell>
          <cell r="E60">
            <v>3.1795829514207154E-2</v>
          </cell>
          <cell r="F60">
            <v>0.15830656070304969</v>
          </cell>
          <cell r="G60">
            <v>1.8824396578062941E-2</v>
          </cell>
          <cell r="H60">
            <v>2.9602351702982557E-2</v>
          </cell>
          <cell r="J60" t="str">
            <v>1991CO</v>
          </cell>
          <cell r="K60">
            <v>0.94937977390772987</v>
          </cell>
          <cell r="L60">
            <v>1.8824396578062941E-2</v>
          </cell>
          <cell r="M60">
            <v>3.1795829514207154E-2</v>
          </cell>
          <cell r="U60" t="str">
            <v>1991CO</v>
          </cell>
          <cell r="V60">
            <v>8.2290050000000003E-2</v>
          </cell>
          <cell r="W60">
            <v>4.8706762000000001E-2</v>
          </cell>
          <cell r="X60">
            <v>0.24426646199999999</v>
          </cell>
          <cell r="Y60">
            <v>0.16587838599999999</v>
          </cell>
          <cell r="Z60">
            <v>0.45885833999999998</v>
          </cell>
          <cell r="AB60" t="str">
            <v>1991CO</v>
          </cell>
          <cell r="AC60">
            <v>0</v>
          </cell>
          <cell r="AD60">
            <v>7.1111111111111111E-2</v>
          </cell>
          <cell r="AE60">
            <v>0.102222222</v>
          </cell>
          <cell r="AF60">
            <v>0.82666666700000002</v>
          </cell>
        </row>
        <row r="61">
          <cell r="B61" t="str">
            <v>1991CT</v>
          </cell>
          <cell r="C61">
            <v>8.4639160569504074E-2</v>
          </cell>
          <cell r="D61">
            <v>0.17059156189590957</v>
          </cell>
          <cell r="E61">
            <v>0.44400659000684961</v>
          </cell>
          <cell r="F61">
            <v>0.20917776913982303</v>
          </cell>
          <cell r="G61">
            <v>6.6139230965887155E-2</v>
          </cell>
          <cell r="H61">
            <v>2.5445687422026568E-2</v>
          </cell>
          <cell r="J61" t="str">
            <v>1991CT</v>
          </cell>
          <cell r="K61">
            <v>0.48985417902726325</v>
          </cell>
          <cell r="L61">
            <v>6.6139230965887155E-2</v>
          </cell>
          <cell r="M61">
            <v>0.44400659000684961</v>
          </cell>
          <cell r="U61" t="str">
            <v>1991CT</v>
          </cell>
          <cell r="V61">
            <v>1</v>
          </cell>
          <cell r="W61">
            <v>0</v>
          </cell>
          <cell r="X61">
            <v>0</v>
          </cell>
          <cell r="Y61">
            <v>0</v>
          </cell>
          <cell r="Z61">
            <v>0</v>
          </cell>
          <cell r="AB61" t="str">
            <v>1991CT</v>
          </cell>
          <cell r="AC61">
            <v>0</v>
          </cell>
          <cell r="AD61">
            <v>0</v>
          </cell>
          <cell r="AE61">
            <v>5.5555559999999997E-3</v>
          </cell>
          <cell r="AF61">
            <v>0.99444444399999998</v>
          </cell>
        </row>
        <row r="62">
          <cell r="B62" t="str">
            <v>1991DE</v>
          </cell>
          <cell r="C62">
            <v>6.4721224754374362E-2</v>
          </cell>
          <cell r="D62">
            <v>0.16849970345132176</v>
          </cell>
          <cell r="E62">
            <v>0.43954865690055572</v>
          </cell>
          <cell r="F62">
            <v>0.230827105252045</v>
          </cell>
          <cell r="G62">
            <v>6.2117960520859244E-2</v>
          </cell>
          <cell r="H62">
            <v>3.4285349120843883E-2</v>
          </cell>
          <cell r="J62" t="str">
            <v>1991DE</v>
          </cell>
          <cell r="K62">
            <v>0.49833338257858506</v>
          </cell>
          <cell r="L62">
            <v>6.2117960520859244E-2</v>
          </cell>
          <cell r="M62">
            <v>0.43954865690055572</v>
          </cell>
          <cell r="U62" t="str">
            <v>1991DE</v>
          </cell>
          <cell r="V62">
            <v>9.3256157000000006E-2</v>
          </cell>
          <cell r="W62">
            <v>4.7295367999999997E-2</v>
          </cell>
          <cell r="X62">
            <v>0.24224610899999999</v>
          </cell>
          <cell r="Y62">
            <v>0.16666082199999999</v>
          </cell>
          <cell r="Z62">
            <v>0.45054154400000002</v>
          </cell>
          <cell r="AB62" t="str">
            <v>1991DE</v>
          </cell>
          <cell r="AC62">
            <v>0</v>
          </cell>
          <cell r="AD62">
            <v>0</v>
          </cell>
          <cell r="AE62">
            <v>5.5555559999999997E-3</v>
          </cell>
          <cell r="AF62">
            <v>0.99444444399999998</v>
          </cell>
        </row>
        <row r="63">
          <cell r="B63" t="str">
            <v>1991FL</v>
          </cell>
          <cell r="C63">
            <v>0.36834527013893126</v>
          </cell>
          <cell r="D63">
            <v>0.14581181469033638</v>
          </cell>
          <cell r="E63">
            <v>0.2116387614678899</v>
          </cell>
          <cell r="F63">
            <v>7.4174101737139009E-2</v>
          </cell>
          <cell r="G63">
            <v>0.19882721712538226</v>
          </cell>
          <cell r="H63">
            <v>1.2028348403212816E-3</v>
          </cell>
          <cell r="J63" t="str">
            <v>1991FL</v>
          </cell>
          <cell r="K63">
            <v>0.58953402140672784</v>
          </cell>
          <cell r="L63">
            <v>0.19882721712538226</v>
          </cell>
          <cell r="M63">
            <v>0.2116387614678899</v>
          </cell>
          <cell r="U63" t="str">
            <v>1991FL</v>
          </cell>
          <cell r="V63">
            <v>0.45582561500000002</v>
          </cell>
          <cell r="W63">
            <v>2.3943672999999999E-2</v>
          </cell>
          <cell r="X63">
            <v>0.15019213000000001</v>
          </cell>
          <cell r="Y63">
            <v>0.114820795</v>
          </cell>
          <cell r="Z63">
            <v>0.255217786</v>
          </cell>
          <cell r="AB63" t="str">
            <v>1991FL</v>
          </cell>
          <cell r="AC63">
            <v>0.10666666666666666</v>
          </cell>
          <cell r="AD63">
            <v>5.333333333333333E-2</v>
          </cell>
          <cell r="AE63">
            <v>0.15322222199999999</v>
          </cell>
          <cell r="AF63">
            <v>0.68677777799999995</v>
          </cell>
        </row>
        <row r="64">
          <cell r="B64" t="str">
            <v>1991GA</v>
          </cell>
          <cell r="C64">
            <v>0.13808042244019927</v>
          </cell>
          <cell r="D64">
            <v>8.9352824662304167E-2</v>
          </cell>
          <cell r="E64">
            <v>0.15758128964421914</v>
          </cell>
          <cell r="F64">
            <v>9.1347360862013047E-2</v>
          </cell>
          <cell r="G64">
            <v>0.51951190674601222</v>
          </cell>
          <cell r="H64">
            <v>4.1261956452521564E-3</v>
          </cell>
          <cell r="J64" t="str">
            <v>1991GA</v>
          </cell>
          <cell r="K64">
            <v>0.32290680360976864</v>
          </cell>
          <cell r="L64">
            <v>0.51951190674601222</v>
          </cell>
          <cell r="M64">
            <v>0.15758128964421914</v>
          </cell>
          <cell r="U64" t="str">
            <v>1991GA</v>
          </cell>
          <cell r="V64">
            <v>0.129819457</v>
          </cell>
          <cell r="W64">
            <v>3.5174263999999997E-2</v>
          </cell>
          <cell r="X64">
            <v>0.141866518</v>
          </cell>
          <cell r="Y64">
            <v>0.35575009400000002</v>
          </cell>
          <cell r="Z64">
            <v>0.337389667</v>
          </cell>
          <cell r="AB64" t="str">
            <v>1991GA</v>
          </cell>
          <cell r="AC64">
            <v>0.56888888888888889</v>
          </cell>
          <cell r="AD64">
            <v>4.4444444444444446E-2</v>
          </cell>
          <cell r="AE64">
            <v>5.5444444000000002E-2</v>
          </cell>
          <cell r="AF64">
            <v>0.33122222200000001</v>
          </cell>
        </row>
        <row r="65">
          <cell r="B65" t="str">
            <v>1991HI</v>
          </cell>
          <cell r="C65">
            <v>0.67700924544366925</v>
          </cell>
          <cell r="D65">
            <v>0.21169633721291711</v>
          </cell>
          <cell r="E65">
            <v>0</v>
          </cell>
          <cell r="F65">
            <v>0.10623984032506543</v>
          </cell>
          <cell r="G65">
            <v>4.0261462675255785E-3</v>
          </cell>
          <cell r="H65">
            <v>1.0284307508226574E-3</v>
          </cell>
          <cell r="J65" t="str">
            <v>1991HI</v>
          </cell>
          <cell r="K65">
            <v>0.99597385373247438</v>
          </cell>
          <cell r="L65">
            <v>4.0261462675255785E-3</v>
          </cell>
          <cell r="M65">
            <v>0</v>
          </cell>
          <cell r="U65" t="str">
            <v>1991HI</v>
          </cell>
          <cell r="V65">
            <v>0.36042526000000003</v>
          </cell>
          <cell r="W65">
            <v>2.8141289E-2</v>
          </cell>
          <cell r="X65">
            <v>0.17652262799999999</v>
          </cell>
          <cell r="Y65">
            <v>0.13495027000000001</v>
          </cell>
          <cell r="Z65">
            <v>0.29996055300000002</v>
          </cell>
          <cell r="AB65" t="str">
            <v>1991HI</v>
          </cell>
          <cell r="AC65">
            <v>8.8888888888888892E-2</v>
          </cell>
          <cell r="AD65">
            <v>0</v>
          </cell>
          <cell r="AE65">
            <v>0.73888888900000005</v>
          </cell>
          <cell r="AF65">
            <v>0.17222222200000001</v>
          </cell>
        </row>
        <row r="66">
          <cell r="B66" t="str">
            <v>1991ID</v>
          </cell>
          <cell r="C66">
            <v>0.44197446887186598</v>
          </cell>
          <cell r="D66">
            <v>0.24023670359726779</v>
          </cell>
          <cell r="E66">
            <v>5.3139336991500953E-2</v>
          </cell>
          <cell r="F66">
            <v>0.19192499890555711</v>
          </cell>
          <cell r="G66">
            <v>3.1460602497455789E-2</v>
          </cell>
          <cell r="H66">
            <v>4.1263889136352358E-2</v>
          </cell>
          <cell r="J66" t="str">
            <v>1991ID</v>
          </cell>
          <cell r="K66">
            <v>0.91540006051104328</v>
          </cell>
          <cell r="L66">
            <v>3.1460602497455789E-2</v>
          </cell>
          <cell r="M66">
            <v>5.3139336991500953E-2</v>
          </cell>
          <cell r="U66" t="str">
            <v>1991ID</v>
          </cell>
          <cell r="V66">
            <v>0.339827451</v>
          </cell>
          <cell r="W66">
            <v>3.1595740999999997E-2</v>
          </cell>
          <cell r="X66">
            <v>0.17944712900000001</v>
          </cell>
          <cell r="Y66">
            <v>0.130802578</v>
          </cell>
          <cell r="Z66">
            <v>0.31832710199999997</v>
          </cell>
          <cell r="AB66" t="str">
            <v>1991ID</v>
          </cell>
          <cell r="AC66">
            <v>0</v>
          </cell>
          <cell r="AD66">
            <v>0.53333333333333333</v>
          </cell>
          <cell r="AE66">
            <v>6.6666666999999999E-2</v>
          </cell>
          <cell r="AF66">
            <v>0.4</v>
          </cell>
        </row>
        <row r="67">
          <cell r="B67" t="str">
            <v>1991IL</v>
          </cell>
          <cell r="C67">
            <v>4.8061976553949212E-2</v>
          </cell>
          <cell r="D67">
            <v>0.16288117559095172</v>
          </cell>
          <cell r="E67">
            <v>0.14976196460301133</v>
          </cell>
          <cell r="F67">
            <v>0.50361481344839976</v>
          </cell>
          <cell r="G67">
            <v>8.8665043720190781E-2</v>
          </cell>
          <cell r="H67">
            <v>4.7015026083497266E-2</v>
          </cell>
          <cell r="J67" t="str">
            <v>1991IL</v>
          </cell>
          <cell r="K67">
            <v>0.76157299167679793</v>
          </cell>
          <cell r="L67">
            <v>8.8665043720190781E-2</v>
          </cell>
          <cell r="M67">
            <v>0.14976196460301133</v>
          </cell>
          <cell r="U67" t="str">
            <v>1991IL</v>
          </cell>
          <cell r="V67">
            <v>8.1355548E-2</v>
          </cell>
          <cell r="W67">
            <v>4.1624348999999998E-2</v>
          </cell>
          <cell r="X67">
            <v>0.25806084299999998</v>
          </cell>
          <cell r="Y67">
            <v>0.16764712800000001</v>
          </cell>
          <cell r="Z67">
            <v>0.45131213199999998</v>
          </cell>
          <cell r="AB67" t="str">
            <v>1991IL</v>
          </cell>
          <cell r="AC67">
            <v>0</v>
          </cell>
          <cell r="AD67">
            <v>0</v>
          </cell>
          <cell r="AE67">
            <v>9.1111110999999995E-2</v>
          </cell>
          <cell r="AF67">
            <v>0.90888888899999998</v>
          </cell>
        </row>
        <row r="68">
          <cell r="B68" t="str">
            <v>1991IN</v>
          </cell>
          <cell r="C68">
            <v>4.8087805777521975E-2</v>
          </cell>
          <cell r="D68">
            <v>0.15522488864656731</v>
          </cell>
          <cell r="E68">
            <v>0.19010910624218652</v>
          </cell>
          <cell r="F68">
            <v>0.45225958005909639</v>
          </cell>
          <cell r="G68">
            <v>0.11255215742696613</v>
          </cell>
          <cell r="H68">
            <v>4.1766461847661793E-2</v>
          </cell>
          <cell r="J68" t="str">
            <v>1991IN</v>
          </cell>
          <cell r="K68">
            <v>0.69733873633084742</v>
          </cell>
          <cell r="L68">
            <v>0.11255215742696613</v>
          </cell>
          <cell r="M68">
            <v>0.19010910624218652</v>
          </cell>
          <cell r="U68" t="str">
            <v>1991IN</v>
          </cell>
          <cell r="V68">
            <v>9.0620164000000003E-2</v>
          </cell>
          <cell r="W68">
            <v>4.1295287E-2</v>
          </cell>
          <cell r="X68">
            <v>0.25579848999999999</v>
          </cell>
          <cell r="Y68">
            <v>0.163983147</v>
          </cell>
          <cell r="Z68">
            <v>0.448302912</v>
          </cell>
          <cell r="AB68" t="str">
            <v>1991IN</v>
          </cell>
          <cell r="AC68">
            <v>0</v>
          </cell>
          <cell r="AD68">
            <v>4.4444444444444446E-2</v>
          </cell>
          <cell r="AE68">
            <v>0</v>
          </cell>
          <cell r="AF68">
            <v>0.95555555599999997</v>
          </cell>
        </row>
        <row r="69">
          <cell r="B69" t="str">
            <v>1991IA</v>
          </cell>
          <cell r="C69">
            <v>3.8606244029845936E-2</v>
          </cell>
          <cell r="D69">
            <v>0.13088910588331074</v>
          </cell>
          <cell r="E69">
            <v>0.21907687059292058</v>
          </cell>
          <cell r="F69">
            <v>0.44604907546775419</v>
          </cell>
          <cell r="G69">
            <v>0.12970222686844551</v>
          </cell>
          <cell r="H69">
            <v>3.5676477157722986E-2</v>
          </cell>
          <cell r="J69" t="str">
            <v>1991IA</v>
          </cell>
          <cell r="K69">
            <v>0.65122090253863396</v>
          </cell>
          <cell r="L69">
            <v>0.12970222686844551</v>
          </cell>
          <cell r="M69">
            <v>0.21907687059292058</v>
          </cell>
          <cell r="U69" t="str">
            <v>1991IA</v>
          </cell>
          <cell r="V69">
            <v>7.2136692000000002E-2</v>
          </cell>
          <cell r="W69">
            <v>3.9535262000000002E-2</v>
          </cell>
          <cell r="X69">
            <v>0.21534028299999999</v>
          </cell>
          <cell r="Y69">
            <v>0.26713773800000001</v>
          </cell>
          <cell r="Z69">
            <v>0.405850025</v>
          </cell>
          <cell r="AB69" t="str">
            <v>1991IA</v>
          </cell>
          <cell r="AC69">
            <v>3.5555555555555556E-2</v>
          </cell>
          <cell r="AD69">
            <v>3.5555555555555556E-2</v>
          </cell>
          <cell r="AE69">
            <v>1.7777778000000001E-2</v>
          </cell>
          <cell r="AF69">
            <v>0.91111111099999997</v>
          </cell>
        </row>
        <row r="70">
          <cell r="B70" t="str">
            <v>1991KS</v>
          </cell>
          <cell r="C70">
            <v>6.150825709632509E-2</v>
          </cell>
          <cell r="D70">
            <v>0.18381203926839509</v>
          </cell>
          <cell r="E70">
            <v>0.15447997825693061</v>
          </cell>
          <cell r="F70">
            <v>0.46454144201879716</v>
          </cell>
          <cell r="G70">
            <v>9.1458295584948959E-2</v>
          </cell>
          <cell r="H70">
            <v>4.4199987774603093E-2</v>
          </cell>
          <cell r="J70" t="str">
            <v>1991KS</v>
          </cell>
          <cell r="K70">
            <v>0.75406172615812039</v>
          </cell>
          <cell r="L70">
            <v>9.1458295584948959E-2</v>
          </cell>
          <cell r="M70">
            <v>0.15447997825693061</v>
          </cell>
          <cell r="U70" t="str">
            <v>1991KS</v>
          </cell>
          <cell r="V70">
            <v>0.14299250999999999</v>
          </cell>
          <cell r="W70">
            <v>3.9059442999999999E-2</v>
          </cell>
          <cell r="X70">
            <v>0.24160074100000001</v>
          </cell>
          <cell r="Y70">
            <v>0.15144187000000001</v>
          </cell>
          <cell r="Z70">
            <v>0.424905435</v>
          </cell>
          <cell r="AB70" t="str">
            <v>1991KS</v>
          </cell>
          <cell r="AC70">
            <v>0</v>
          </cell>
          <cell r="AD70">
            <v>0</v>
          </cell>
          <cell r="AE70">
            <v>2.2222219999999998E-3</v>
          </cell>
          <cell r="AF70">
            <v>0.997777778</v>
          </cell>
        </row>
        <row r="71">
          <cell r="B71" t="str">
            <v>1991KY</v>
          </cell>
          <cell r="C71">
            <v>1.6646169322275198E-2</v>
          </cell>
          <cell r="D71">
            <v>5.1769904298287782E-2</v>
          </cell>
          <cell r="E71">
            <v>0.14046629368205532</v>
          </cell>
          <cell r="F71">
            <v>0.15577602658945497</v>
          </cell>
          <cell r="G71">
            <v>0.6210430546673904</v>
          </cell>
          <cell r="H71">
            <v>1.4298551440536343E-2</v>
          </cell>
          <cell r="J71" t="str">
            <v>1991KY</v>
          </cell>
          <cell r="K71">
            <v>0.23849065165055428</v>
          </cell>
          <cell r="L71">
            <v>0.6210430546673904</v>
          </cell>
          <cell r="M71">
            <v>0.14046629368205532</v>
          </cell>
          <cell r="U71" t="str">
            <v>1991KY</v>
          </cell>
          <cell r="V71">
            <v>0.18225018100000001</v>
          </cell>
          <cell r="W71">
            <v>3.3950879000000003E-2</v>
          </cell>
          <cell r="X71">
            <v>0.161605368</v>
          </cell>
          <cell r="Y71">
            <v>0.28478148399999997</v>
          </cell>
          <cell r="Z71">
            <v>0.337412088</v>
          </cell>
          <cell r="AB71" t="str">
            <v>1991KY</v>
          </cell>
          <cell r="AC71">
            <v>2.6666666666666665E-2</v>
          </cell>
          <cell r="AD71">
            <v>0.29333333333333333</v>
          </cell>
          <cell r="AE71">
            <v>0.54777777800000005</v>
          </cell>
          <cell r="AF71">
            <v>0.132222222</v>
          </cell>
        </row>
        <row r="72">
          <cell r="B72" t="str">
            <v>1991LA</v>
          </cell>
          <cell r="C72">
            <v>7.1144157903606342E-2</v>
          </cell>
          <cell r="D72">
            <v>5.6328384816312783E-2</v>
          </cell>
          <cell r="E72">
            <v>0.13912499999999997</v>
          </cell>
          <cell r="F72">
            <v>9.9380874747219433E-2</v>
          </cell>
          <cell r="G72">
            <v>0.629</v>
          </cell>
          <cell r="H72">
            <v>5.0215825328614773E-3</v>
          </cell>
          <cell r="J72" t="str">
            <v>1991LA</v>
          </cell>
          <cell r="K72">
            <v>0.23187500000000005</v>
          </cell>
          <cell r="L72">
            <v>0.629</v>
          </cell>
          <cell r="M72">
            <v>0.13912499999999997</v>
          </cell>
          <cell r="U72" t="str">
            <v>1991LA</v>
          </cell>
          <cell r="V72">
            <v>0.31583997400000002</v>
          </cell>
          <cell r="W72">
            <v>2.8011194E-2</v>
          </cell>
          <cell r="X72">
            <v>0.12278557499999999</v>
          </cell>
          <cell r="Y72">
            <v>0.26000700999999998</v>
          </cell>
          <cell r="Z72">
            <v>0.27335624600000002</v>
          </cell>
          <cell r="AB72" t="str">
            <v>1991LA</v>
          </cell>
          <cell r="AC72">
            <v>4.4444444444444446E-2</v>
          </cell>
          <cell r="AD72">
            <v>0</v>
          </cell>
          <cell r="AE72">
            <v>0.91111111099999997</v>
          </cell>
          <cell r="AF72">
            <v>4.4444444E-2</v>
          </cell>
        </row>
        <row r="73">
          <cell r="B73" t="str">
            <v>1991ME</v>
          </cell>
          <cell r="C73">
            <v>3.718504478891041E-2</v>
          </cell>
          <cell r="D73">
            <v>0.11002557347728271</v>
          </cell>
          <cell r="E73">
            <v>0.47083240038243279</v>
          </cell>
          <cell r="F73">
            <v>0.26521816435578993</v>
          </cell>
          <cell r="G73">
            <v>9.0337404391808526E-2</v>
          </cell>
          <cell r="H73">
            <v>2.6401412603775674E-2</v>
          </cell>
          <cell r="J73" t="str">
            <v>1991ME</v>
          </cell>
          <cell r="K73">
            <v>0.43883019522575872</v>
          </cell>
          <cell r="L73">
            <v>9.0337404391808526E-2</v>
          </cell>
          <cell r="M73">
            <v>0.47083240038243279</v>
          </cell>
          <cell r="U73" t="str">
            <v>1991ME</v>
          </cell>
          <cell r="V73">
            <v>1</v>
          </cell>
          <cell r="W73">
            <v>0</v>
          </cell>
          <cell r="X73">
            <v>0</v>
          </cell>
          <cell r="Y73">
            <v>0</v>
          </cell>
          <cell r="Z73">
            <v>0</v>
          </cell>
          <cell r="AB73" t="str">
            <v>1991ME</v>
          </cell>
          <cell r="AC73">
            <v>8.8888888888888892E-2</v>
          </cell>
          <cell r="AD73">
            <v>0.08</v>
          </cell>
          <cell r="AE73">
            <v>5.5555559999999997E-3</v>
          </cell>
          <cell r="AF73">
            <v>0.82555555599999997</v>
          </cell>
        </row>
        <row r="74">
          <cell r="B74" t="str">
            <v>1991MD</v>
          </cell>
          <cell r="C74">
            <v>4.1893723913388137E-2</v>
          </cell>
          <cell r="D74">
            <v>0.12365029557343474</v>
          </cell>
          <cell r="E74">
            <v>0.45964978293685133</v>
          </cell>
          <cell r="F74">
            <v>0.26329361816793467</v>
          </cell>
          <cell r="G74">
            <v>8.0250144677551663E-2</v>
          </cell>
          <cell r="H74">
            <v>3.1262434730839492E-2</v>
          </cell>
          <cell r="J74" t="str">
            <v>1991MD</v>
          </cell>
          <cell r="K74">
            <v>0.46010007238559703</v>
          </cell>
          <cell r="L74">
            <v>8.0250144677551663E-2</v>
          </cell>
          <cell r="M74">
            <v>0.45964978293685133</v>
          </cell>
          <cell r="U74" t="str">
            <v>1991MD</v>
          </cell>
          <cell r="V74">
            <v>0.166823576</v>
          </cell>
          <cell r="W74">
            <v>4.1235824999999997E-2</v>
          </cell>
          <cell r="X74">
            <v>0.22499929199999999</v>
          </cell>
          <cell r="Y74">
            <v>0.16054668499999999</v>
          </cell>
          <cell r="Z74">
            <v>0.40639462199999998</v>
          </cell>
          <cell r="AB74" t="str">
            <v>1991MD</v>
          </cell>
          <cell r="AC74">
            <v>0</v>
          </cell>
          <cell r="AD74">
            <v>0</v>
          </cell>
          <cell r="AE74">
            <v>5.5555559999999997E-3</v>
          </cell>
          <cell r="AF74">
            <v>0.99444444399999998</v>
          </cell>
        </row>
        <row r="75">
          <cell r="B75" t="str">
            <v>1991MA</v>
          </cell>
          <cell r="C75">
            <v>4.4512281016216008E-2</v>
          </cell>
          <cell r="D75">
            <v>0.12375788831131805</v>
          </cell>
          <cell r="E75">
            <v>0.46482017950102456</v>
          </cell>
          <cell r="F75">
            <v>0.25533177027300941</v>
          </cell>
          <cell r="G75">
            <v>8.4914091488065557E-2</v>
          </cell>
          <cell r="H75">
            <v>2.666378941036646E-2</v>
          </cell>
          <cell r="J75" t="str">
            <v>1991MA</v>
          </cell>
          <cell r="K75">
            <v>0.45026572901090989</v>
          </cell>
          <cell r="L75">
            <v>8.4914091488065557E-2</v>
          </cell>
          <cell r="M75">
            <v>0.46482017950102456</v>
          </cell>
          <cell r="U75" t="str">
            <v>1991MA</v>
          </cell>
          <cell r="V75">
            <v>0.39163290699999997</v>
          </cell>
          <cell r="W75">
            <v>2.6768152E-2</v>
          </cell>
          <cell r="X75">
            <v>0.167909318</v>
          </cell>
          <cell r="Y75">
            <v>0.12836545699999999</v>
          </cell>
          <cell r="Z75">
            <v>0.28532416599999999</v>
          </cell>
          <cell r="AB75" t="str">
            <v>1991MA</v>
          </cell>
          <cell r="AC75">
            <v>8.8888888888888892E-2</v>
          </cell>
          <cell r="AD75">
            <v>0.08</v>
          </cell>
          <cell r="AE75">
            <v>5.5555559999999997E-3</v>
          </cell>
          <cell r="AF75">
            <v>0.82555555599999997</v>
          </cell>
        </row>
        <row r="76">
          <cell r="B76" t="str">
            <v>1991MI</v>
          </cell>
          <cell r="C76">
            <v>7.324743058685855E-2</v>
          </cell>
          <cell r="D76">
            <v>0.21181592514810976</v>
          </cell>
          <cell r="E76">
            <v>0.13202895394885908</v>
          </cell>
          <cell r="F76">
            <v>0.4542531386851254</v>
          </cell>
          <cell r="G76">
            <v>7.8166395621463824E-2</v>
          </cell>
          <cell r="H76">
            <v>5.0488156009583417E-2</v>
          </cell>
          <cell r="J76" t="str">
            <v>1991MI</v>
          </cell>
          <cell r="K76">
            <v>0.78980465042967707</v>
          </cell>
          <cell r="L76">
            <v>7.8166395621463824E-2</v>
          </cell>
          <cell r="M76">
            <v>0.13202895394885908</v>
          </cell>
          <cell r="U76" t="str">
            <v>1991MI</v>
          </cell>
          <cell r="V76">
            <v>0.114360435</v>
          </cell>
          <cell r="W76">
            <v>4.3736677000000002E-2</v>
          </cell>
          <cell r="X76">
            <v>0.239270606</v>
          </cell>
          <cell r="Y76">
            <v>0.17097482999999999</v>
          </cell>
          <cell r="Z76">
            <v>0.43165745300000002</v>
          </cell>
          <cell r="AB76" t="str">
            <v>1991MI</v>
          </cell>
          <cell r="AC76">
            <v>8.0000000000000071E-2</v>
          </cell>
          <cell r="AD76">
            <v>2.6666666666666665E-2</v>
          </cell>
          <cell r="AE76">
            <v>2.8888889000000001E-2</v>
          </cell>
          <cell r="AF76">
            <v>0.86444444399999998</v>
          </cell>
        </row>
        <row r="77">
          <cell r="B77" t="str">
            <v>1991MN</v>
          </cell>
          <cell r="C77">
            <v>3.1305052229958379E-2</v>
          </cell>
          <cell r="D77">
            <v>0.11126879087151634</v>
          </cell>
          <cell r="E77">
            <v>0.26075788395504595</v>
          </cell>
          <cell r="F77">
            <v>0.41062320281471232</v>
          </cell>
          <cell r="G77">
            <v>0.15437904572462918</v>
          </cell>
          <cell r="H77">
            <v>3.1666024404137724E-2</v>
          </cell>
          <cell r="J77" t="str">
            <v>1991MN</v>
          </cell>
          <cell r="K77">
            <v>0.58486307032032481</v>
          </cell>
          <cell r="L77">
            <v>0.15437904572462918</v>
          </cell>
          <cell r="M77">
            <v>0.26075788395504595</v>
          </cell>
          <cell r="U77" t="str">
            <v>1991MN</v>
          </cell>
          <cell r="V77">
            <v>9.4816849999999994E-2</v>
          </cell>
          <cell r="W77">
            <v>4.2466038999999997E-2</v>
          </cell>
          <cell r="X77">
            <v>0.246972737</v>
          </cell>
          <cell r="Y77">
            <v>0.182200377</v>
          </cell>
          <cell r="Z77">
            <v>0.43354399599999999</v>
          </cell>
          <cell r="AB77" t="str">
            <v>1991MN</v>
          </cell>
          <cell r="AC77">
            <v>0</v>
          </cell>
          <cell r="AD77">
            <v>0.22222222222222221</v>
          </cell>
          <cell r="AE77">
            <v>0</v>
          </cell>
          <cell r="AF77">
            <v>0.77777777800000003</v>
          </cell>
        </row>
        <row r="78">
          <cell r="B78" t="str">
            <v>1991MS</v>
          </cell>
          <cell r="C78">
            <v>7.2139457063057397E-2</v>
          </cell>
          <cell r="D78">
            <v>5.7144027087776272E-2</v>
          </cell>
          <cell r="E78">
            <v>0.13912499999999997</v>
          </cell>
          <cell r="F78">
            <v>9.7666948035818157E-2</v>
          </cell>
          <cell r="G78">
            <v>0.629</v>
          </cell>
          <cell r="H78">
            <v>4.9245678133481973E-3</v>
          </cell>
          <cell r="J78" t="str">
            <v>1991MS</v>
          </cell>
          <cell r="K78">
            <v>0.23187500000000005</v>
          </cell>
          <cell r="L78">
            <v>0.629</v>
          </cell>
          <cell r="M78">
            <v>0.13912499999999997</v>
          </cell>
          <cell r="U78" t="str">
            <v>1991MS</v>
          </cell>
          <cell r="V78">
            <v>0.16014467099999999</v>
          </cell>
          <cell r="W78">
            <v>3.423358E-2</v>
          </cell>
          <cell r="X78">
            <v>0.14592406599999999</v>
          </cell>
          <cell r="Y78">
            <v>0.32758962699999999</v>
          </cell>
          <cell r="Z78">
            <v>0.33210805599999998</v>
          </cell>
          <cell r="AB78" t="str">
            <v>1991MS</v>
          </cell>
          <cell r="AC78">
            <v>8.8888888888888892E-2</v>
          </cell>
          <cell r="AD78">
            <v>4.4444444444444446E-2</v>
          </cell>
          <cell r="AE78">
            <v>0.82222222199999995</v>
          </cell>
          <cell r="AF78">
            <v>4.4444444E-2</v>
          </cell>
        </row>
        <row r="79">
          <cell r="B79" t="str">
            <v>1991MO</v>
          </cell>
          <cell r="C79">
            <v>5.153283595336073E-2</v>
          </cell>
          <cell r="D79">
            <v>0.16235708587644762</v>
          </cell>
          <cell r="E79">
            <v>0.16983403864857355</v>
          </cell>
          <cell r="F79">
            <v>0.47108042470223738</v>
          </cell>
          <cell r="G79">
            <v>0.10054851044368285</v>
          </cell>
          <cell r="H79">
            <v>4.4647104375697792E-2</v>
          </cell>
          <cell r="J79" t="str">
            <v>1991MO</v>
          </cell>
          <cell r="K79">
            <v>0.72961745090774355</v>
          </cell>
          <cell r="L79">
            <v>0.10054851044368285</v>
          </cell>
          <cell r="M79">
            <v>0.16983403864857355</v>
          </cell>
          <cell r="U79" t="str">
            <v>1991MO</v>
          </cell>
          <cell r="V79">
            <v>0.15412261099999999</v>
          </cell>
          <cell r="W79">
            <v>3.8130263999999997E-2</v>
          </cell>
          <cell r="X79">
            <v>0.23688087999999999</v>
          </cell>
          <cell r="Y79">
            <v>0.158651549</v>
          </cell>
          <cell r="Z79">
            <v>0.41221469599999999</v>
          </cell>
          <cell r="AB79" t="str">
            <v>1991MO</v>
          </cell>
          <cell r="AC79">
            <v>0</v>
          </cell>
          <cell r="AD79">
            <v>0.17777777777777778</v>
          </cell>
          <cell r="AE79">
            <v>0</v>
          </cell>
          <cell r="AF79">
            <v>0.82222222199999995</v>
          </cell>
        </row>
        <row r="80">
          <cell r="B80" t="str">
            <v>1991MT</v>
          </cell>
          <cell r="C80">
            <v>0.27211618305577451</v>
          </cell>
          <cell r="D80">
            <v>0.21208932687149804</v>
          </cell>
          <cell r="E80">
            <v>8.1291949251637047E-2</v>
          </cell>
          <cell r="F80">
            <v>0.30322528776795848</v>
          </cell>
          <cell r="G80">
            <v>4.8128069457436862E-2</v>
          </cell>
          <cell r="H80">
            <v>8.3149183595694967E-2</v>
          </cell>
          <cell r="J80" t="str">
            <v>1991MT</v>
          </cell>
          <cell r="K80">
            <v>0.87057998129092606</v>
          </cell>
          <cell r="L80">
            <v>4.8128069457436862E-2</v>
          </cell>
          <cell r="M80">
            <v>8.1291949251637047E-2</v>
          </cell>
          <cell r="U80" t="str">
            <v>1991MT</v>
          </cell>
          <cell r="V80">
            <v>0.17487149299999999</v>
          </cell>
          <cell r="W80">
            <v>4.2271920999999997E-2</v>
          </cell>
          <cell r="X80">
            <v>0.22127201199999999</v>
          </cell>
          <cell r="Y80">
            <v>0.154214559</v>
          </cell>
          <cell r="Z80">
            <v>0.40737001499999997</v>
          </cell>
          <cell r="AB80" t="str">
            <v>1991MT</v>
          </cell>
          <cell r="AC80">
            <v>0</v>
          </cell>
          <cell r="AD80">
            <v>7.1111111111111111E-2</v>
          </cell>
          <cell r="AE80">
            <v>0.102222222</v>
          </cell>
          <cell r="AF80">
            <v>0.82666666700000002</v>
          </cell>
        </row>
        <row r="81">
          <cell r="B81" t="str">
            <v>1991NE</v>
          </cell>
          <cell r="C81">
            <v>5.1908406228860199E-2</v>
          </cell>
          <cell r="D81">
            <v>0.16885018509629057</v>
          </cell>
          <cell r="E81">
            <v>0.16813223920364137</v>
          </cell>
          <cell r="F81">
            <v>0.46390423057567187</v>
          </cell>
          <cell r="G81">
            <v>9.9540977438971737E-2</v>
          </cell>
          <cell r="H81">
            <v>4.7663961456564249E-2</v>
          </cell>
          <cell r="J81" t="str">
            <v>1991NE</v>
          </cell>
          <cell r="K81">
            <v>0.73232678335738688</v>
          </cell>
          <cell r="L81">
            <v>9.9540977438971737E-2</v>
          </cell>
          <cell r="M81">
            <v>0.16813223920364137</v>
          </cell>
          <cell r="U81" t="str">
            <v>1991NE</v>
          </cell>
          <cell r="V81">
            <v>0.102933355</v>
          </cell>
          <cell r="W81">
            <v>4.0650909999999998E-2</v>
          </cell>
          <cell r="X81">
            <v>0.25201530900000002</v>
          </cell>
          <cell r="Y81">
            <v>0.163616556</v>
          </cell>
          <cell r="Z81">
            <v>0.44078387099999999</v>
          </cell>
          <cell r="AB81" t="str">
            <v>1991NE</v>
          </cell>
          <cell r="AC81">
            <v>0</v>
          </cell>
          <cell r="AD81">
            <v>0</v>
          </cell>
          <cell r="AE81">
            <v>2.2222219999999998E-3</v>
          </cell>
          <cell r="AF81">
            <v>0.997777778</v>
          </cell>
        </row>
        <row r="82">
          <cell r="B82" t="str">
            <v>1991NV</v>
          </cell>
          <cell r="C82">
            <v>0.58321712696858785</v>
          </cell>
          <cell r="D82">
            <v>0.26612901880698692</v>
          </cell>
          <cell r="E82">
            <v>1.7168192153980431E-2</v>
          </cell>
          <cell r="F82">
            <v>0.11278702931800995</v>
          </cell>
          <cell r="G82">
            <v>1.0164253066286922E-2</v>
          </cell>
          <cell r="H82">
            <v>1.0534379686147882E-2</v>
          </cell>
          <cell r="J82" t="str">
            <v>1991NV</v>
          </cell>
          <cell r="K82">
            <v>0.97266755477973266</v>
          </cell>
          <cell r="L82">
            <v>1.0164253066286922E-2</v>
          </cell>
          <cell r="M82">
            <v>1.7168192153980431E-2</v>
          </cell>
          <cell r="U82" t="str">
            <v>1991NV</v>
          </cell>
          <cell r="V82">
            <v>1</v>
          </cell>
          <cell r="W82">
            <v>0</v>
          </cell>
          <cell r="X82">
            <v>0</v>
          </cell>
          <cell r="Y82">
            <v>0</v>
          </cell>
          <cell r="Z82">
            <v>0</v>
          </cell>
          <cell r="AB82" t="str">
            <v>1991NV</v>
          </cell>
          <cell r="AC82">
            <v>0.22222222222222221</v>
          </cell>
          <cell r="AD82">
            <v>0</v>
          </cell>
          <cell r="AE82">
            <v>0</v>
          </cell>
          <cell r="AF82">
            <v>0.77777777800000003</v>
          </cell>
        </row>
        <row r="83">
          <cell r="B83" t="str">
            <v>1991NH</v>
          </cell>
          <cell r="C83">
            <v>4.8620269206716804E-2</v>
          </cell>
          <cell r="D83">
            <v>0.13133144984245765</v>
          </cell>
          <cell r="E83">
            <v>0.46171571960078184</v>
          </cell>
          <cell r="F83">
            <v>0.24952278229823527</v>
          </cell>
          <cell r="G83">
            <v>8.2113719085214754E-2</v>
          </cell>
          <cell r="H83">
            <v>2.6696059966593612E-2</v>
          </cell>
          <cell r="J83" t="str">
            <v>1991NH</v>
          </cell>
          <cell r="K83">
            <v>0.45617056131400346</v>
          </cell>
          <cell r="L83">
            <v>8.2113719085214754E-2</v>
          </cell>
          <cell r="M83">
            <v>0.46171571960078184</v>
          </cell>
          <cell r="U83" t="str">
            <v>1991NH</v>
          </cell>
          <cell r="V83">
            <v>1</v>
          </cell>
          <cell r="W83">
            <v>0</v>
          </cell>
          <cell r="X83">
            <v>0</v>
          </cell>
          <cell r="Y83">
            <v>0</v>
          </cell>
          <cell r="Z83">
            <v>0</v>
          </cell>
          <cell r="AB83" t="str">
            <v>1991NH</v>
          </cell>
          <cell r="AC83">
            <v>0</v>
          </cell>
          <cell r="AD83">
            <v>0</v>
          </cell>
          <cell r="AE83">
            <v>5.5555559999999997E-3</v>
          </cell>
          <cell r="AF83">
            <v>0.99444444399999998</v>
          </cell>
        </row>
        <row r="84">
          <cell r="B84" t="str">
            <v>1991NJ</v>
          </cell>
          <cell r="C84">
            <v>4.1425102160875658E-2</v>
          </cell>
          <cell r="D84">
            <v>0.11770631829422606</v>
          </cell>
          <cell r="E84">
            <v>0.4677438395121068</v>
          </cell>
          <cell r="F84">
            <v>0.25928143277603805</v>
          </cell>
          <cell r="G84">
            <v>8.755137367995762E-2</v>
          </cell>
          <cell r="H84">
            <v>2.6291933576795837E-2</v>
          </cell>
          <cell r="J84" t="str">
            <v>1991NJ</v>
          </cell>
          <cell r="K84">
            <v>0.44470478680793557</v>
          </cell>
          <cell r="L84">
            <v>8.755137367995762E-2</v>
          </cell>
          <cell r="M84">
            <v>0.4677438395121068</v>
          </cell>
          <cell r="U84" t="str">
            <v>1991NJ</v>
          </cell>
          <cell r="V84">
            <v>0.48238382800000001</v>
          </cell>
          <cell r="W84">
            <v>2.2775112E-2</v>
          </cell>
          <cell r="X84">
            <v>0.14286206400000001</v>
          </cell>
          <cell r="Y84">
            <v>0.109217012</v>
          </cell>
          <cell r="Z84">
            <v>0.24276198500000001</v>
          </cell>
          <cell r="AB84" t="str">
            <v>1991NJ</v>
          </cell>
          <cell r="AC84">
            <v>8.8888888888888892E-2</v>
          </cell>
          <cell r="AD84">
            <v>0.08</v>
          </cell>
          <cell r="AE84">
            <v>5.5555559999999997E-3</v>
          </cell>
          <cell r="AF84">
            <v>0.82555555599999997</v>
          </cell>
        </row>
        <row r="85">
          <cell r="B85" t="str">
            <v>1991NM</v>
          </cell>
          <cell r="C85">
            <v>0.59149831028495392</v>
          </cell>
          <cell r="D85">
            <v>0.21331204046073038</v>
          </cell>
          <cell r="E85">
            <v>9.282796906413579E-2</v>
          </cell>
          <cell r="F85">
            <v>9.8615847240322796E-2</v>
          </cell>
          <cell r="G85">
            <v>0</v>
          </cell>
          <cell r="H85">
            <v>3.7458329498570439E-3</v>
          </cell>
          <cell r="J85" t="str">
            <v>1991NM</v>
          </cell>
          <cell r="K85">
            <v>0.90717203093586418</v>
          </cell>
          <cell r="L85">
            <v>0</v>
          </cell>
          <cell r="M85">
            <v>9.282796906413579E-2</v>
          </cell>
          <cell r="U85" t="str">
            <v>1991NM</v>
          </cell>
          <cell r="V85">
            <v>1</v>
          </cell>
          <cell r="W85">
            <v>0</v>
          </cell>
          <cell r="X85">
            <v>0</v>
          </cell>
          <cell r="Y85">
            <v>0</v>
          </cell>
          <cell r="Z85">
            <v>0</v>
          </cell>
          <cell r="AB85" t="str">
            <v>1991NM</v>
          </cell>
          <cell r="AC85">
            <v>0.22222222222222221</v>
          </cell>
          <cell r="AD85">
            <v>8.8888888888888892E-2</v>
          </cell>
          <cell r="AE85">
            <v>0.24444444400000001</v>
          </cell>
          <cell r="AF85">
            <v>0.44444444399999999</v>
          </cell>
        </row>
        <row r="86">
          <cell r="B86" t="str">
            <v>1991NY</v>
          </cell>
          <cell r="C86">
            <v>5.1577097108474732E-2</v>
          </cell>
          <cell r="D86">
            <v>0.12227904581481985</v>
          </cell>
          <cell r="E86">
            <v>0.4647326326548461</v>
          </cell>
          <cell r="F86">
            <v>0.25122610680572177</v>
          </cell>
          <cell r="G86">
            <v>8.4835120014806878E-2</v>
          </cell>
          <cell r="H86">
            <v>2.5349997601330651E-2</v>
          </cell>
          <cell r="J86" t="str">
            <v>1991NY</v>
          </cell>
          <cell r="K86">
            <v>0.45043224733034704</v>
          </cell>
          <cell r="L86">
            <v>8.4835120014806878E-2</v>
          </cell>
          <cell r="M86">
            <v>0.4647326326548461</v>
          </cell>
          <cell r="U86" t="str">
            <v>1991NY</v>
          </cell>
          <cell r="V86">
            <v>0.40442275900000002</v>
          </cell>
          <cell r="W86">
            <v>2.6205399000000001E-2</v>
          </cell>
          <cell r="X86">
            <v>0.164379318</v>
          </cell>
          <cell r="Y86">
            <v>0.125666798</v>
          </cell>
          <cell r="Z86">
            <v>0.279325726</v>
          </cell>
          <cell r="AB86" t="str">
            <v>1991NY</v>
          </cell>
          <cell r="AC86">
            <v>8.8888888888888892E-2</v>
          </cell>
          <cell r="AD86">
            <v>0.26666666666666666</v>
          </cell>
          <cell r="AE86">
            <v>5.5555559999999997E-3</v>
          </cell>
          <cell r="AF86">
            <v>0.63888888899999996</v>
          </cell>
        </row>
        <row r="87">
          <cell r="B87" t="str">
            <v>1991NC</v>
          </cell>
          <cell r="C87">
            <v>3.1231091049289766E-2</v>
          </cell>
          <cell r="D87">
            <v>8.0105981219265779E-2</v>
          </cell>
          <cell r="E87">
            <v>0.13912499999999997</v>
          </cell>
          <cell r="F87">
            <v>0.10489192244022913</v>
          </cell>
          <cell r="G87">
            <v>0.629</v>
          </cell>
          <cell r="H87">
            <v>1.5646005291215355E-2</v>
          </cell>
          <cell r="J87" t="str">
            <v>1991NC</v>
          </cell>
          <cell r="K87">
            <v>0.23187500000000005</v>
          </cell>
          <cell r="L87">
            <v>0.629</v>
          </cell>
          <cell r="M87">
            <v>0.13912499999999997</v>
          </cell>
          <cell r="U87" t="str">
            <v>1991NC</v>
          </cell>
          <cell r="V87">
            <v>1.9145736999999999E-2</v>
          </cell>
          <cell r="W87">
            <v>3.7223639000000003E-2</v>
          </cell>
          <cell r="X87">
            <v>8.3372556E-2</v>
          </cell>
          <cell r="Y87">
            <v>0.53502281299999999</v>
          </cell>
          <cell r="Z87">
            <v>0.325235255</v>
          </cell>
          <cell r="AB87" t="str">
            <v>1991NC</v>
          </cell>
          <cell r="AC87">
            <v>0.44444444444444442</v>
          </cell>
          <cell r="AD87">
            <v>4.4444444444444446E-2</v>
          </cell>
          <cell r="AE87">
            <v>0.31322222199999999</v>
          </cell>
          <cell r="AF87">
            <v>0.19788888900000001</v>
          </cell>
        </row>
        <row r="88">
          <cell r="B88" t="str">
            <v>1991ND</v>
          </cell>
          <cell r="C88">
            <v>3.6166887244298729E-2</v>
          </cell>
          <cell r="D88">
            <v>0.12513521121721397</v>
          </cell>
          <cell r="E88">
            <v>0.23484334312612676</v>
          </cell>
          <cell r="F88">
            <v>0.42941196164222856</v>
          </cell>
          <cell r="G88">
            <v>0.13903660612939842</v>
          </cell>
          <cell r="H88">
            <v>3.5405990640733589E-2</v>
          </cell>
          <cell r="J88" t="str">
            <v>1991ND</v>
          </cell>
          <cell r="K88">
            <v>0.62612005074447485</v>
          </cell>
          <cell r="L88">
            <v>0.13903660612939842</v>
          </cell>
          <cell r="M88">
            <v>0.23484334312612676</v>
          </cell>
          <cell r="U88" t="str">
            <v>1991ND</v>
          </cell>
          <cell r="V88">
            <v>0.23483451899999999</v>
          </cell>
          <cell r="W88">
            <v>3.5631589999999998E-2</v>
          </cell>
          <cell r="X88">
            <v>0.209057671</v>
          </cell>
          <cell r="Y88">
            <v>0.15490222000000001</v>
          </cell>
          <cell r="Z88">
            <v>0.36557400000000001</v>
          </cell>
          <cell r="AB88" t="str">
            <v>1991ND</v>
          </cell>
          <cell r="AC88">
            <v>0</v>
          </cell>
          <cell r="AD88">
            <v>4.4444444444444446E-2</v>
          </cell>
          <cell r="AE88">
            <v>4.6666667000000002E-2</v>
          </cell>
          <cell r="AF88">
            <v>0.90888888899999998</v>
          </cell>
        </row>
        <row r="89">
          <cell r="B89" t="str">
            <v>1991OH</v>
          </cell>
          <cell r="C89">
            <v>5.066011633437862E-2</v>
          </cell>
          <cell r="D89">
            <v>0.15372917547601667</v>
          </cell>
          <cell r="E89">
            <v>0.20097102370153919</v>
          </cell>
          <cell r="F89">
            <v>0.43615838068739293</v>
          </cell>
          <cell r="G89">
            <v>0.11898284487802568</v>
          </cell>
          <cell r="H89">
            <v>3.949845892264691E-2</v>
          </cell>
          <cell r="J89" t="str">
            <v>1991OH</v>
          </cell>
          <cell r="K89">
            <v>0.68004613142043513</v>
          </cell>
          <cell r="L89">
            <v>0.11898284487802568</v>
          </cell>
          <cell r="M89">
            <v>0.20097102370153919</v>
          </cell>
          <cell r="U89" t="str">
            <v>1991OH</v>
          </cell>
          <cell r="V89">
            <v>0.17112533799999999</v>
          </cell>
          <cell r="W89">
            <v>3.7090797000000002E-2</v>
          </cell>
          <cell r="X89">
            <v>0.231095575</v>
          </cell>
          <cell r="Y89">
            <v>0.161400776</v>
          </cell>
          <cell r="Z89">
            <v>0.39928751400000001</v>
          </cell>
          <cell r="AB89" t="str">
            <v>1991OH</v>
          </cell>
          <cell r="AC89">
            <v>0</v>
          </cell>
          <cell r="AD89">
            <v>0</v>
          </cell>
          <cell r="AE89">
            <v>0</v>
          </cell>
          <cell r="AF89">
            <v>1</v>
          </cell>
        </row>
        <row r="90">
          <cell r="B90" t="str">
            <v>1991OK</v>
          </cell>
          <cell r="C90">
            <v>0.30427550610539844</v>
          </cell>
          <cell r="D90">
            <v>0.23758473588590073</v>
          </cell>
          <cell r="E90">
            <v>0.05</v>
          </cell>
          <cell r="F90">
            <v>0.32064210685683209</v>
          </cell>
          <cell r="G90">
            <v>0</v>
          </cell>
          <cell r="H90">
            <v>8.7497651151868694E-2</v>
          </cell>
          <cell r="J90" t="str">
            <v>1991OK</v>
          </cell>
          <cell r="K90">
            <v>0.95</v>
          </cell>
          <cell r="L90">
            <v>0</v>
          </cell>
          <cell r="M90">
            <v>0.05</v>
          </cell>
          <cell r="U90" t="str">
            <v>1991OK</v>
          </cell>
          <cell r="V90">
            <v>0.26202039300000002</v>
          </cell>
          <cell r="W90">
            <v>2.9186218999999999E-2</v>
          </cell>
          <cell r="X90">
            <v>9.9973907000000001E-2</v>
          </cell>
          <cell r="Y90">
            <v>0.33732082800000002</v>
          </cell>
          <cell r="Z90">
            <v>0.27149865400000001</v>
          </cell>
          <cell r="AB90" t="str">
            <v>1991OK</v>
          </cell>
          <cell r="AC90">
            <v>0</v>
          </cell>
          <cell r="AD90">
            <v>0.17777777777777778</v>
          </cell>
          <cell r="AE90">
            <v>6.6666666999999999E-2</v>
          </cell>
          <cell r="AF90">
            <v>0.75555555600000002</v>
          </cell>
        </row>
        <row r="91">
          <cell r="B91" t="str">
            <v>1991OR</v>
          </cell>
          <cell r="C91">
            <v>0.30172764387032441</v>
          </cell>
          <cell r="D91">
            <v>0.18986311338759157</v>
          </cell>
          <cell r="E91">
            <v>0</v>
          </cell>
          <cell r="F91">
            <v>0.14442577716150223</v>
          </cell>
          <cell r="G91">
            <v>0.33079492098752972</v>
          </cell>
          <cell r="H91">
            <v>3.3188544593052031E-2</v>
          </cell>
          <cell r="J91" t="str">
            <v>1991OR</v>
          </cell>
          <cell r="K91">
            <v>0.66920507901247028</v>
          </cell>
          <cell r="L91">
            <v>0.33079492098752972</v>
          </cell>
          <cell r="M91">
            <v>0</v>
          </cell>
          <cell r="U91" t="str">
            <v>1991OR</v>
          </cell>
          <cell r="V91">
            <v>0.48801771300000002</v>
          </cell>
          <cell r="W91">
            <v>2.2527221E-2</v>
          </cell>
          <cell r="X91">
            <v>0.14130711100000001</v>
          </cell>
          <cell r="Y91">
            <v>0.108028263</v>
          </cell>
          <cell r="Z91">
            <v>0.240119693</v>
          </cell>
          <cell r="AB91" t="str">
            <v>1991OR</v>
          </cell>
          <cell r="AC91">
            <v>0</v>
          </cell>
          <cell r="AD91">
            <v>0.08</v>
          </cell>
          <cell r="AE91">
            <v>0.12555555600000001</v>
          </cell>
          <cell r="AF91">
            <v>0.79444444400000003</v>
          </cell>
        </row>
        <row r="92">
          <cell r="B92" t="str">
            <v>1991PA</v>
          </cell>
          <cell r="C92">
            <v>2.921516527495149E-2</v>
          </cell>
          <cell r="D92">
            <v>8.9778762884150654E-2</v>
          </cell>
          <cell r="E92">
            <v>0.48261555570995929</v>
          </cell>
          <cell r="F92">
            <v>0.27379413342288028</v>
          </cell>
          <cell r="G92">
            <v>0.10096637820948601</v>
          </cell>
          <cell r="H92">
            <v>2.3630004498572259E-2</v>
          </cell>
          <cell r="J92" t="str">
            <v>1991PA</v>
          </cell>
          <cell r="K92">
            <v>0.41641806608055476</v>
          </cell>
          <cell r="L92">
            <v>0.10096637820948601</v>
          </cell>
          <cell r="M92">
            <v>0.48261555570995929</v>
          </cell>
          <cell r="U92" t="str">
            <v>1991PA</v>
          </cell>
          <cell r="V92">
            <v>0.107982326</v>
          </cell>
          <cell r="W92">
            <v>4.3663312000000003E-2</v>
          </cell>
          <cell r="X92">
            <v>0.24141446599999999</v>
          </cell>
          <cell r="Y92">
            <v>0.173500614</v>
          </cell>
          <cell r="Z92">
            <v>0.43343928199999998</v>
          </cell>
          <cell r="AB92" t="str">
            <v>1991PA</v>
          </cell>
          <cell r="AC92">
            <v>0.26666666666666666</v>
          </cell>
          <cell r="AD92">
            <v>4.4444444444444446E-2</v>
          </cell>
          <cell r="AE92">
            <v>0</v>
          </cell>
          <cell r="AF92">
            <v>0.688888889</v>
          </cell>
        </row>
        <row r="93">
          <cell r="B93" t="str">
            <v>1991RI</v>
          </cell>
          <cell r="C93">
            <v>2.1160119314162895E-2</v>
          </cell>
          <cell r="D93">
            <v>8.3381202076593594E-2</v>
          </cell>
          <cell r="E93">
            <v>0.47900321677679891</v>
          </cell>
          <cell r="F93">
            <v>0.28958768063488644</v>
          </cell>
          <cell r="G93">
            <v>9.7707874449339191E-2</v>
          </cell>
          <cell r="H93">
            <v>2.9159906748219042E-2</v>
          </cell>
          <cell r="J93" t="str">
            <v>1991RI</v>
          </cell>
          <cell r="K93">
            <v>0.42328890877386194</v>
          </cell>
          <cell r="L93">
            <v>9.7707874449339191E-2</v>
          </cell>
          <cell r="M93">
            <v>0.47900321677679891</v>
          </cell>
          <cell r="U93" t="str">
            <v>1991RI</v>
          </cell>
          <cell r="V93">
            <v>0.238419619</v>
          </cell>
          <cell r="W93">
            <v>3.3509536999999999E-2</v>
          </cell>
          <cell r="X93">
            <v>0.21019618500000001</v>
          </cell>
          <cell r="Y93">
            <v>0.16069346000000001</v>
          </cell>
          <cell r="Z93">
            <v>0.357181199</v>
          </cell>
          <cell r="AB93" t="str">
            <v>1991RI</v>
          </cell>
          <cell r="AC93">
            <v>8.8888888888888892E-2</v>
          </cell>
          <cell r="AD93">
            <v>0.08</v>
          </cell>
          <cell r="AE93">
            <v>5.5555559999999997E-3</v>
          </cell>
          <cell r="AF93">
            <v>0.82555555599999997</v>
          </cell>
        </row>
        <row r="94">
          <cell r="B94" t="str">
            <v>1991SC</v>
          </cell>
          <cell r="C94">
            <v>0.1060530561491369</v>
          </cell>
          <cell r="D94">
            <v>7.686375254995774E-2</v>
          </cell>
          <cell r="E94">
            <v>0.14718439291419974</v>
          </cell>
          <cell r="F94">
            <v>8.4697332518529636E-2</v>
          </cell>
          <cell r="G94">
            <v>0.58118933057670019</v>
          </cell>
          <cell r="H94">
            <v>4.0121352914758305E-3</v>
          </cell>
          <cell r="J94" t="str">
            <v>1991SC</v>
          </cell>
          <cell r="K94">
            <v>0.2716262765091001</v>
          </cell>
          <cell r="L94">
            <v>0.58118933057670019</v>
          </cell>
          <cell r="M94">
            <v>0.14718439291419974</v>
          </cell>
          <cell r="U94" t="str">
            <v>1991SC</v>
          </cell>
          <cell r="V94">
            <v>0.18186841400000001</v>
          </cell>
          <cell r="W94">
            <v>3.3645216999999998E-2</v>
          </cell>
          <cell r="X94">
            <v>0.15153023199999999</v>
          </cell>
          <cell r="Y94">
            <v>0.30268943599999998</v>
          </cell>
          <cell r="Z94">
            <v>0.33026670200000002</v>
          </cell>
          <cell r="AB94" t="str">
            <v>1991SC</v>
          </cell>
          <cell r="AC94">
            <v>8.8888888888888892E-2</v>
          </cell>
          <cell r="AD94">
            <v>0</v>
          </cell>
          <cell r="AE94">
            <v>0.42222222199999998</v>
          </cell>
          <cell r="AF94">
            <v>0.48888888899999999</v>
          </cell>
        </row>
        <row r="95">
          <cell r="B95" t="str">
            <v>1991SD</v>
          </cell>
          <cell r="C95">
            <v>4.934496456149931E-2</v>
          </cell>
          <cell r="D95">
            <v>0.15321338397251302</v>
          </cell>
          <cell r="E95">
            <v>0.20943685806642223</v>
          </cell>
          <cell r="F95">
            <v>0.42537575940378364</v>
          </cell>
          <cell r="G95">
            <v>0.12399495577066787</v>
          </cell>
          <cell r="H95">
            <v>3.8634078225113978E-2</v>
          </cell>
          <cell r="J95" t="str">
            <v>1991SD</v>
          </cell>
          <cell r="K95">
            <v>0.66656818616290991</v>
          </cell>
          <cell r="L95">
            <v>0.12399495577066787</v>
          </cell>
          <cell r="M95">
            <v>0.20943685806642223</v>
          </cell>
          <cell r="U95" t="str">
            <v>1991SD</v>
          </cell>
          <cell r="V95">
            <v>0.144740534</v>
          </cell>
          <cell r="W95">
            <v>4.0401548000000002E-2</v>
          </cell>
          <cell r="X95">
            <v>0.233050637</v>
          </cell>
          <cell r="Y95">
            <v>0.171225976</v>
          </cell>
          <cell r="Z95">
            <v>0.41058130500000001</v>
          </cell>
          <cell r="AB95" t="str">
            <v>1991SD</v>
          </cell>
          <cell r="AC95">
            <v>0</v>
          </cell>
          <cell r="AD95">
            <v>0</v>
          </cell>
          <cell r="AE95">
            <v>0.18</v>
          </cell>
          <cell r="AF95">
            <v>0.82</v>
          </cell>
        </row>
        <row r="96">
          <cell r="B96" t="str">
            <v>1991TN</v>
          </cell>
          <cell r="C96">
            <v>2.7324304039012964E-2</v>
          </cell>
          <cell r="D96">
            <v>7.0114654465175216E-2</v>
          </cell>
          <cell r="E96">
            <v>0.14186484493677126</v>
          </cell>
          <cell r="F96">
            <v>0.13252450898097146</v>
          </cell>
          <cell r="G96">
            <v>0.61274644071363271</v>
          </cell>
          <cell r="H96">
            <v>1.5425246864436372E-2</v>
          </cell>
          <cell r="J96" t="str">
            <v>1991TN</v>
          </cell>
          <cell r="K96">
            <v>0.24538871434959608</v>
          </cell>
          <cell r="L96">
            <v>0.61274644071363271</v>
          </cell>
          <cell r="M96">
            <v>0.14186484493677126</v>
          </cell>
          <cell r="U96" t="str">
            <v>1991TN</v>
          </cell>
          <cell r="V96">
            <v>0.23266783899999999</v>
          </cell>
          <cell r="W96">
            <v>3.2290655000000001E-2</v>
          </cell>
          <cell r="X96">
            <v>0.16531180400000001</v>
          </cell>
          <cell r="Y96">
            <v>0.243285432</v>
          </cell>
          <cell r="Z96">
            <v>0.32644426900000001</v>
          </cell>
          <cell r="AB96" t="str">
            <v>1991TN</v>
          </cell>
          <cell r="AC96">
            <v>0</v>
          </cell>
          <cell r="AD96">
            <v>0.8</v>
          </cell>
          <cell r="AE96">
            <v>6.7777777999999997E-2</v>
          </cell>
          <cell r="AF96">
            <v>0.132222222</v>
          </cell>
        </row>
        <row r="97">
          <cell r="B97" t="str">
            <v>1991TX</v>
          </cell>
          <cell r="C97">
            <v>0.43644699969620837</v>
          </cell>
          <cell r="D97">
            <v>0.2644505950878045</v>
          </cell>
          <cell r="E97">
            <v>6.3129550644091162E-2</v>
          </cell>
          <cell r="F97">
            <v>0.19308824114006534</v>
          </cell>
          <cell r="G97">
            <v>0</v>
          </cell>
          <cell r="H97">
            <v>4.2884613431830636E-2</v>
          </cell>
          <cell r="J97" t="str">
            <v>1991TX</v>
          </cell>
          <cell r="K97">
            <v>0.9368704493559088</v>
          </cell>
          <cell r="L97">
            <v>0</v>
          </cell>
          <cell r="M97">
            <v>6.3129550644091162E-2</v>
          </cell>
          <cell r="U97" t="str">
            <v>1991TX</v>
          </cell>
          <cell r="V97">
            <v>0.25776063500000002</v>
          </cell>
          <cell r="W97">
            <v>2.9933387999999998E-2</v>
          </cell>
          <cell r="X97">
            <v>0.118821385</v>
          </cell>
          <cell r="Y97">
            <v>0.30727402199999998</v>
          </cell>
          <cell r="Z97">
            <v>0.28621057</v>
          </cell>
          <cell r="AB97" t="str">
            <v>1991TX</v>
          </cell>
          <cell r="AC97">
            <v>0.44444444444444442</v>
          </cell>
          <cell r="AD97">
            <v>0</v>
          </cell>
          <cell r="AE97">
            <v>0.368888889</v>
          </cell>
          <cell r="AF97">
            <v>0.18666666700000001</v>
          </cell>
        </row>
        <row r="98">
          <cell r="B98" t="str">
            <v>1991UT</v>
          </cell>
          <cell r="C98">
            <v>0.3408163306177831</v>
          </cell>
          <cell r="D98">
            <v>0.26856064563622567</v>
          </cell>
          <cell r="E98">
            <v>4.3488644191417805E-2</v>
          </cell>
          <cell r="F98">
            <v>0.25450549677933004</v>
          </cell>
          <cell r="G98">
            <v>2.5747008252630443E-2</v>
          </cell>
          <cell r="H98">
            <v>6.6881874522612836E-2</v>
          </cell>
          <cell r="J98" t="str">
            <v>1991UT</v>
          </cell>
          <cell r="K98">
            <v>0.93076434755595172</v>
          </cell>
          <cell r="L98">
            <v>2.5747008252630443E-2</v>
          </cell>
          <cell r="M98">
            <v>4.3488644191417805E-2</v>
          </cell>
          <cell r="U98" t="str">
            <v>1991UT</v>
          </cell>
          <cell r="V98">
            <v>0.544215165</v>
          </cell>
          <cell r="W98">
            <v>2.0054532999999999E-2</v>
          </cell>
          <cell r="X98">
            <v>0.125796614</v>
          </cell>
          <cell r="Y98">
            <v>9.6170599999999995E-2</v>
          </cell>
          <cell r="Z98">
            <v>0.21376308699999999</v>
          </cell>
          <cell r="AB98" t="str">
            <v>1991UT</v>
          </cell>
          <cell r="AC98">
            <v>0.44444444444444442</v>
          </cell>
          <cell r="AD98">
            <v>0</v>
          </cell>
          <cell r="AE98">
            <v>6.6666666999999999E-2</v>
          </cell>
          <cell r="AF98">
            <v>0.48888888899999999</v>
          </cell>
        </row>
        <row r="99">
          <cell r="B99" t="str">
            <v>1991VT</v>
          </cell>
          <cell r="C99">
            <v>4.0072020212799001E-2</v>
          </cell>
          <cell r="D99">
            <v>0.11618599158657865</v>
          </cell>
          <cell r="E99">
            <v>0.46727553003241384</v>
          </cell>
          <cell r="F99">
            <v>0.26210436010185856</v>
          </cell>
          <cell r="G99">
            <v>8.7128935966130833E-2</v>
          </cell>
          <cell r="H99">
            <v>2.7233162100219199E-2</v>
          </cell>
          <cell r="J99" t="str">
            <v>1991VT</v>
          </cell>
          <cell r="K99">
            <v>0.44559553400145535</v>
          </cell>
          <cell r="L99">
            <v>8.7128935966130833E-2</v>
          </cell>
          <cell r="M99">
            <v>0.46727553003241384</v>
          </cell>
          <cell r="U99" t="str">
            <v>1991VT</v>
          </cell>
          <cell r="V99">
            <v>1</v>
          </cell>
          <cell r="W99">
            <v>0</v>
          </cell>
          <cell r="X99">
            <v>0</v>
          </cell>
          <cell r="Y99">
            <v>0</v>
          </cell>
          <cell r="Z99">
            <v>0</v>
          </cell>
          <cell r="AB99" t="str">
            <v>1991VT</v>
          </cell>
          <cell r="AC99">
            <v>8.8888888888888892E-2</v>
          </cell>
          <cell r="AD99">
            <v>0.08</v>
          </cell>
          <cell r="AE99">
            <v>5.5555559999999997E-3</v>
          </cell>
          <cell r="AF99">
            <v>0.82555555599999997</v>
          </cell>
        </row>
        <row r="100">
          <cell r="B100" t="str">
            <v>1991VA</v>
          </cell>
          <cell r="C100">
            <v>3.179278087434477E-2</v>
          </cell>
          <cell r="D100">
            <v>7.7890850207752993E-2</v>
          </cell>
          <cell r="E100">
            <v>0.1425321968750223</v>
          </cell>
          <cell r="F100">
            <v>0.12284474070327608</v>
          </cell>
          <cell r="G100">
            <v>0.60878751437161238</v>
          </cell>
          <cell r="H100">
            <v>1.615191696799146E-2</v>
          </cell>
          <cell r="J100" t="str">
            <v>1991VA</v>
          </cell>
          <cell r="K100">
            <v>0.24868028875336534</v>
          </cell>
          <cell r="L100">
            <v>0.60878751437161238</v>
          </cell>
          <cell r="M100">
            <v>0.1425321968750223</v>
          </cell>
          <cell r="U100" t="str">
            <v>1991VA</v>
          </cell>
          <cell r="V100">
            <v>0.104783687</v>
          </cell>
          <cell r="W100">
            <v>3.4990518999999998E-2</v>
          </cell>
          <cell r="X100">
            <v>0.10819703899999999</v>
          </cell>
          <cell r="Y100">
            <v>0.43209240999999998</v>
          </cell>
          <cell r="Z100">
            <v>0.31993634399999998</v>
          </cell>
          <cell r="AB100" t="str">
            <v>1991VA</v>
          </cell>
          <cell r="AC100">
            <v>0.62222222222222223</v>
          </cell>
          <cell r="AD100">
            <v>0</v>
          </cell>
          <cell r="AE100">
            <v>5.5555559999999997E-3</v>
          </cell>
          <cell r="AF100">
            <v>0.37222222199999999</v>
          </cell>
        </row>
        <row r="101">
          <cell r="B101" t="str">
            <v>1991WA</v>
          </cell>
          <cell r="C101">
            <v>0.35118448464289537</v>
          </cell>
          <cell r="D101">
            <v>0.20550206680564437</v>
          </cell>
          <cell r="E101">
            <v>0</v>
          </cell>
          <cell r="F101">
            <v>0.12594673385184735</v>
          </cell>
          <cell r="G101">
            <v>0.29192481475532051</v>
          </cell>
          <cell r="H101">
            <v>2.5441899944292447E-2</v>
          </cell>
          <cell r="J101" t="str">
            <v>1991WA</v>
          </cell>
          <cell r="K101">
            <v>0.70807518524467949</v>
          </cell>
          <cell r="L101">
            <v>0.29192481475532051</v>
          </cell>
          <cell r="M101">
            <v>0</v>
          </cell>
          <cell r="U101" t="str">
            <v>1991WA</v>
          </cell>
          <cell r="V101">
            <v>0.32160723499999999</v>
          </cell>
          <cell r="W101">
            <v>3.2643392E-2</v>
          </cell>
          <cell r="X101">
            <v>0.18420945</v>
          </cell>
          <cell r="Y101">
            <v>0.13382717099999999</v>
          </cell>
          <cell r="Z101">
            <v>0.327712752</v>
          </cell>
          <cell r="AB101" t="str">
            <v>1991WA</v>
          </cell>
          <cell r="AC101">
            <v>0</v>
          </cell>
          <cell r="AD101">
            <v>8.8888888888888892E-2</v>
          </cell>
          <cell r="AE101">
            <v>1.3333332999999999E-2</v>
          </cell>
          <cell r="AF101">
            <v>0.89777777800000003</v>
          </cell>
        </row>
        <row r="102">
          <cell r="B102" t="str">
            <v>1991WV</v>
          </cell>
          <cell r="C102">
            <v>3.916010831378041E-2</v>
          </cell>
          <cell r="D102">
            <v>0.11405058285388173</v>
          </cell>
          <cell r="E102">
            <v>0.46868791682715627</v>
          </cell>
          <cell r="F102">
            <v>0.26291325280206979</v>
          </cell>
          <cell r="G102">
            <v>8.8402976903763281E-2</v>
          </cell>
          <cell r="H102">
            <v>2.6785162299348499E-2</v>
          </cell>
          <cell r="J102" t="str">
            <v>1991WV</v>
          </cell>
          <cell r="K102">
            <v>0.44290910626908042</v>
          </cell>
          <cell r="L102">
            <v>8.8402976903763281E-2</v>
          </cell>
          <cell r="M102">
            <v>0.46868791682715627</v>
          </cell>
          <cell r="U102" t="str">
            <v>1991WV</v>
          </cell>
          <cell r="V102">
            <v>0.68917249899999999</v>
          </cell>
          <cell r="W102">
            <v>1.367641E-2</v>
          </cell>
          <cell r="X102">
            <v>8.5788390000000006E-2</v>
          </cell>
          <cell r="Y102">
            <v>6.5584603000000005E-2</v>
          </cell>
          <cell r="Z102">
            <v>0.14577809799999999</v>
          </cell>
          <cell r="AB102" t="str">
            <v>1991WV</v>
          </cell>
          <cell r="AC102">
            <v>0.88888888888888884</v>
          </cell>
          <cell r="AD102">
            <v>0</v>
          </cell>
          <cell r="AE102">
            <v>5.5555559999999997E-3</v>
          </cell>
          <cell r="AF102">
            <v>0.10555555599999999</v>
          </cell>
        </row>
        <row r="103">
          <cell r="B103" t="str">
            <v>1991WI</v>
          </cell>
          <cell r="C103">
            <v>3.8114418660830179E-2</v>
          </cell>
          <cell r="D103">
            <v>0.12951752167105887</v>
          </cell>
          <cell r="E103">
            <v>0.22292235537315713</v>
          </cell>
          <cell r="F103">
            <v>0.44202720914672056</v>
          </cell>
          <cell r="G103">
            <v>0.13197890691246617</v>
          </cell>
          <cell r="H103">
            <v>3.5439588235767067E-2</v>
          </cell>
          <cell r="J103" t="str">
            <v>1991WI</v>
          </cell>
          <cell r="K103">
            <v>0.64509873771437665</v>
          </cell>
          <cell r="L103">
            <v>0.13197890691246617</v>
          </cell>
          <cell r="M103">
            <v>0.22292235537315713</v>
          </cell>
          <cell r="U103" t="str">
            <v>1991WI</v>
          </cell>
          <cell r="V103">
            <v>0.19420881000000001</v>
          </cell>
          <cell r="W103">
            <v>3.7627571999999998E-2</v>
          </cell>
          <cell r="X103">
            <v>0.22004454600000001</v>
          </cell>
          <cell r="Y103">
            <v>0.16277941000000001</v>
          </cell>
          <cell r="Z103">
            <v>0.38533966200000003</v>
          </cell>
          <cell r="AB103" t="str">
            <v>1991WI</v>
          </cell>
          <cell r="AC103">
            <v>0.35555555555555557</v>
          </cell>
          <cell r="AD103">
            <v>4.4444444444444446E-2</v>
          </cell>
          <cell r="AE103">
            <v>2.2222219999999998E-3</v>
          </cell>
          <cell r="AF103">
            <v>0.59777777799999998</v>
          </cell>
        </row>
        <row r="104">
          <cell r="B104" t="str">
            <v>1991WY</v>
          </cell>
          <cell r="C104">
            <v>0.24575173409635234</v>
          </cell>
          <cell r="D104">
            <v>0.19245347201944651</v>
          </cell>
          <cell r="E104">
            <v>0.16554847946287521</v>
          </cell>
          <cell r="F104">
            <v>0.23476562808063112</v>
          </cell>
          <cell r="G104">
            <v>9.8011288836229588E-2</v>
          </cell>
          <cell r="H104">
            <v>6.346939750446523E-2</v>
          </cell>
          <cell r="J104" t="str">
            <v>1991WY</v>
          </cell>
          <cell r="K104">
            <v>0.73644023170089523</v>
          </cell>
          <cell r="L104">
            <v>9.8011288836229588E-2</v>
          </cell>
          <cell r="M104">
            <v>0.16554847946287521</v>
          </cell>
          <cell r="U104" t="str">
            <v>1991WY</v>
          </cell>
          <cell r="V104">
            <v>0.40237178800000001</v>
          </cell>
          <cell r="W104">
            <v>2.6295641000000002E-2</v>
          </cell>
          <cell r="X104">
            <v>0.164945386</v>
          </cell>
          <cell r="Y104">
            <v>0.126099553</v>
          </cell>
          <cell r="Z104">
            <v>0.28028763099999998</v>
          </cell>
          <cell r="AB104" t="str">
            <v>1991WY</v>
          </cell>
          <cell r="AC104">
            <v>0</v>
          </cell>
          <cell r="AD104">
            <v>7.1111111111111111E-2</v>
          </cell>
          <cell r="AE104">
            <v>0.102222222</v>
          </cell>
          <cell r="AF104">
            <v>0.82666666700000002</v>
          </cell>
        </row>
        <row r="105">
          <cell r="B105" t="str">
            <v>1992AL</v>
          </cell>
          <cell r="C105">
            <v>0.10964035466102269</v>
          </cell>
          <cell r="D105">
            <v>7.5250315858693406E-2</v>
          </cell>
          <cell r="E105">
            <v>0.15095445395344742</v>
          </cell>
          <cell r="F105">
            <v>0.10051414377032589</v>
          </cell>
          <cell r="G105">
            <v>0.55882422889074668</v>
          </cell>
          <cell r="H105">
            <v>4.8165028657639296E-3</v>
          </cell>
          <cell r="J105" t="str">
            <v>1992AL</v>
          </cell>
          <cell r="K105">
            <v>0.2902213171558059</v>
          </cell>
          <cell r="L105">
            <v>0.55882422889074668</v>
          </cell>
          <cell r="M105">
            <v>0.15095445395344742</v>
          </cell>
          <cell r="U105" t="str">
            <v>1992AL</v>
          </cell>
          <cell r="V105">
            <v>0.182935074</v>
          </cell>
          <cell r="W105">
            <v>3.3560173999999998E-2</v>
          </cell>
          <cell r="X105">
            <v>0.15003266500000001</v>
          </cell>
          <cell r="Y105">
            <v>0.30457127699999997</v>
          </cell>
          <cell r="Z105">
            <v>0.32890080999999999</v>
          </cell>
          <cell r="AB105" t="str">
            <v>1992AL</v>
          </cell>
          <cell r="AC105">
            <v>0</v>
          </cell>
          <cell r="AD105">
            <v>7.7777777777777779E-2</v>
          </cell>
          <cell r="AE105">
            <v>0.71533333300000002</v>
          </cell>
          <cell r="AF105">
            <v>0.20688888899999999</v>
          </cell>
        </row>
        <row r="106">
          <cell r="B106" t="str">
            <v>1992AK</v>
          </cell>
          <cell r="C106">
            <v>0</v>
          </cell>
          <cell r="D106">
            <v>0</v>
          </cell>
          <cell r="E106">
            <v>0.62812500000000004</v>
          </cell>
          <cell r="F106">
            <v>0</v>
          </cell>
          <cell r="G106">
            <v>0.37187500000000001</v>
          </cell>
          <cell r="H106">
            <v>0</v>
          </cell>
          <cell r="J106" t="str">
            <v>1992AK</v>
          </cell>
          <cell r="K106">
            <v>0</v>
          </cell>
          <cell r="L106">
            <v>0.37187500000000001</v>
          </cell>
          <cell r="M106">
            <v>0.62812500000000004</v>
          </cell>
          <cell r="U106" t="str">
            <v>1992AK</v>
          </cell>
          <cell r="V106">
            <v>1</v>
          </cell>
          <cell r="W106">
            <v>0</v>
          </cell>
          <cell r="X106">
            <v>0</v>
          </cell>
          <cell r="Y106">
            <v>0</v>
          </cell>
          <cell r="Z106">
            <v>0</v>
          </cell>
          <cell r="AB106" t="str">
            <v>1992AK</v>
          </cell>
          <cell r="AC106">
            <v>7.7777777777777779E-2</v>
          </cell>
          <cell r="AD106">
            <v>9.3333333333333324E-2</v>
          </cell>
          <cell r="AE106">
            <v>0.17222222200000001</v>
          </cell>
          <cell r="AF106">
            <v>0.65666666699999998</v>
          </cell>
        </row>
        <row r="107">
          <cell r="B107" t="str">
            <v>1992AZ</v>
          </cell>
          <cell r="C107">
            <v>0.59452597771350846</v>
          </cell>
          <cell r="D107">
            <v>0.21737822204821747</v>
          </cell>
          <cell r="E107">
            <v>9.2568667344862673E-2</v>
          </cell>
          <cell r="F107">
            <v>9.3362672742600822E-2</v>
          </cell>
          <cell r="G107">
            <v>0</v>
          </cell>
          <cell r="H107">
            <v>2.1644601508106443E-3</v>
          </cell>
          <cell r="J107" t="str">
            <v>1992AZ</v>
          </cell>
          <cell r="K107">
            <v>0.90743133265513731</v>
          </cell>
          <cell r="L107">
            <v>0</v>
          </cell>
          <cell r="M107">
            <v>9.2568667344862673E-2</v>
          </cell>
          <cell r="U107" t="str">
            <v>1992AZ</v>
          </cell>
          <cell r="V107">
            <v>2.9485239E-2</v>
          </cell>
          <cell r="W107">
            <v>3.6925055999999998E-2</v>
          </cell>
          <cell r="X107">
            <v>8.545519E-2</v>
          </cell>
          <cell r="Y107">
            <v>0.52419700499999999</v>
          </cell>
          <cell r="Z107">
            <v>0.32393751100000001</v>
          </cell>
          <cell r="AB107" t="str">
            <v>1992AZ</v>
          </cell>
          <cell r="AC107">
            <v>0</v>
          </cell>
          <cell r="AD107">
            <v>0</v>
          </cell>
          <cell r="AE107">
            <v>0.133333333</v>
          </cell>
          <cell r="AF107">
            <v>0.86666666699999995</v>
          </cell>
        </row>
        <row r="108">
          <cell r="B108" t="str">
            <v>1992AR</v>
          </cell>
          <cell r="C108">
            <v>6.4819847007077783E-2</v>
          </cell>
          <cell r="D108">
            <v>5.1145646283778538E-2</v>
          </cell>
          <cell r="E108">
            <v>0.13912499999999997</v>
          </cell>
          <cell r="F108">
            <v>0.11027147509972528</v>
          </cell>
          <cell r="G108">
            <v>0.629</v>
          </cell>
          <cell r="H108">
            <v>5.6380316094184124E-3</v>
          </cell>
          <cell r="J108" t="str">
            <v>1992AR</v>
          </cell>
          <cell r="K108">
            <v>0.23187500000000005</v>
          </cell>
          <cell r="L108">
            <v>0.629</v>
          </cell>
          <cell r="M108">
            <v>0.13912499999999997</v>
          </cell>
          <cell r="U108" t="str">
            <v>1992AR</v>
          </cell>
          <cell r="V108">
            <v>5.4610839000000001E-2</v>
          </cell>
          <cell r="W108">
            <v>3.6895429E-2</v>
          </cell>
          <cell r="X108">
            <v>0.11248820700000001</v>
          </cell>
          <cell r="Y108">
            <v>0.45941363200000002</v>
          </cell>
          <cell r="Z108">
            <v>0.336591892</v>
          </cell>
          <cell r="AB108" t="str">
            <v>1992AR</v>
          </cell>
          <cell r="AC108">
            <v>0</v>
          </cell>
          <cell r="AD108">
            <v>0.46666666666666667</v>
          </cell>
          <cell r="AE108">
            <v>0.311111111</v>
          </cell>
          <cell r="AF108">
            <v>0.222222222</v>
          </cell>
        </row>
        <row r="109">
          <cell r="B109" t="str">
            <v>1992CA</v>
          </cell>
          <cell r="C109">
            <v>0.54279809878903273</v>
          </cell>
          <cell r="D109">
            <v>0.22529239903187814</v>
          </cell>
          <cell r="E109">
            <v>0.11747323657345785</v>
          </cell>
          <cell r="F109">
            <v>9.0851894313912593E-2</v>
          </cell>
          <cell r="G109">
            <v>1.887558059880249E-2</v>
          </cell>
          <cell r="H109">
            <v>4.7087906929161698E-3</v>
          </cell>
          <cell r="J109" t="str">
            <v>1992CA</v>
          </cell>
          <cell r="K109">
            <v>0.86365118282773967</v>
          </cell>
          <cell r="L109">
            <v>1.887558059880249E-2</v>
          </cell>
          <cell r="M109">
            <v>0.11747323657345785</v>
          </cell>
          <cell r="U109" t="str">
            <v>1992CA</v>
          </cell>
          <cell r="V109">
            <v>0.125134622</v>
          </cell>
          <cell r="W109">
            <v>3.3375830000000002E-2</v>
          </cell>
          <cell r="X109">
            <v>7.9872487000000006E-2</v>
          </cell>
          <cell r="Y109">
            <v>0.46756251500000001</v>
          </cell>
          <cell r="Z109">
            <v>0.29405454600000003</v>
          </cell>
          <cell r="AB109" t="str">
            <v>1992CA</v>
          </cell>
          <cell r="AC109">
            <v>0.35</v>
          </cell>
          <cell r="AD109">
            <v>2.3333333333333331E-2</v>
          </cell>
          <cell r="AE109">
            <v>8.1111111E-2</v>
          </cell>
          <cell r="AF109">
            <v>0.54555555600000005</v>
          </cell>
        </row>
        <row r="110">
          <cell r="B110" t="str">
            <v>1992CO</v>
          </cell>
          <cell r="C110">
            <v>0.49098622891561094</v>
          </cell>
          <cell r="D110">
            <v>0.27048463258608685</v>
          </cell>
          <cell r="E110">
            <v>3.1795829514207154E-2</v>
          </cell>
          <cell r="F110">
            <v>0.15830656070304969</v>
          </cell>
          <cell r="G110">
            <v>1.8824396578062941E-2</v>
          </cell>
          <cell r="H110">
            <v>2.9602351702982557E-2</v>
          </cell>
          <cell r="J110" t="str">
            <v>1992CO</v>
          </cell>
          <cell r="K110">
            <v>0.94937977390772987</v>
          </cell>
          <cell r="L110">
            <v>1.8824396578062941E-2</v>
          </cell>
          <cell r="M110">
            <v>3.1795829514207154E-2</v>
          </cell>
          <cell r="U110" t="str">
            <v>1992CO</v>
          </cell>
          <cell r="V110">
            <v>8.2290050000000003E-2</v>
          </cell>
          <cell r="W110">
            <v>4.8706762000000001E-2</v>
          </cell>
          <cell r="X110">
            <v>0.24426646199999999</v>
          </cell>
          <cell r="Y110">
            <v>0.16587838599999999</v>
          </cell>
          <cell r="Z110">
            <v>0.45885833999999998</v>
          </cell>
          <cell r="AB110" t="str">
            <v>1992CO</v>
          </cell>
          <cell r="AC110">
            <v>0</v>
          </cell>
          <cell r="AD110">
            <v>6.222222222222222E-2</v>
          </cell>
          <cell r="AE110">
            <v>0.164444444</v>
          </cell>
          <cell r="AF110">
            <v>0.77333333299999996</v>
          </cell>
        </row>
        <row r="111">
          <cell r="B111" t="str">
            <v>1992CT</v>
          </cell>
          <cell r="C111">
            <v>8.4639160569504074E-2</v>
          </cell>
          <cell r="D111">
            <v>0.17059156189590957</v>
          </cell>
          <cell r="E111">
            <v>0.44400659000684961</v>
          </cell>
          <cell r="F111">
            <v>0.20917776913982303</v>
          </cell>
          <cell r="G111">
            <v>6.6139230965887155E-2</v>
          </cell>
          <cell r="H111">
            <v>2.5445687422026568E-2</v>
          </cell>
          <cell r="J111" t="str">
            <v>1992CT</v>
          </cell>
          <cell r="K111">
            <v>0.48985417902726325</v>
          </cell>
          <cell r="L111">
            <v>6.6139230965887155E-2</v>
          </cell>
          <cell r="M111">
            <v>0.44400659000684961</v>
          </cell>
          <cell r="U111" t="str">
            <v>1992CT</v>
          </cell>
          <cell r="V111">
            <v>1</v>
          </cell>
          <cell r="W111">
            <v>0</v>
          </cell>
          <cell r="X111">
            <v>0</v>
          </cell>
          <cell r="Y111">
            <v>0</v>
          </cell>
          <cell r="Z111">
            <v>0</v>
          </cell>
          <cell r="AB111" t="str">
            <v>1992CT</v>
          </cell>
          <cell r="AC111">
            <v>0</v>
          </cell>
          <cell r="AD111">
            <v>0</v>
          </cell>
          <cell r="AE111">
            <v>1.1111111E-2</v>
          </cell>
          <cell r="AF111">
            <v>0.98888888900000005</v>
          </cell>
        </row>
        <row r="112">
          <cell r="B112" t="str">
            <v>1992DE</v>
          </cell>
          <cell r="C112">
            <v>6.4721224754374362E-2</v>
          </cell>
          <cell r="D112">
            <v>0.16849970345132176</v>
          </cell>
          <cell r="E112">
            <v>0.43954865690055572</v>
          </cell>
          <cell r="F112">
            <v>0.230827105252045</v>
          </cell>
          <cell r="G112">
            <v>6.2117960520859244E-2</v>
          </cell>
          <cell r="H112">
            <v>3.4285349120843883E-2</v>
          </cell>
          <cell r="J112" t="str">
            <v>1992DE</v>
          </cell>
          <cell r="K112">
            <v>0.49833338257858506</v>
          </cell>
          <cell r="L112">
            <v>6.2117960520859244E-2</v>
          </cell>
          <cell r="M112">
            <v>0.43954865690055572</v>
          </cell>
          <cell r="U112" t="str">
            <v>1992DE</v>
          </cell>
          <cell r="V112">
            <v>9.3256157000000006E-2</v>
          </cell>
          <cell r="W112">
            <v>4.7295367999999997E-2</v>
          </cell>
          <cell r="X112">
            <v>0.24224610899999999</v>
          </cell>
          <cell r="Y112">
            <v>0.16666082199999999</v>
          </cell>
          <cell r="Z112">
            <v>0.45054154400000002</v>
          </cell>
          <cell r="AB112" t="str">
            <v>1992DE</v>
          </cell>
          <cell r="AC112">
            <v>0</v>
          </cell>
          <cell r="AD112">
            <v>0</v>
          </cell>
          <cell r="AE112">
            <v>1.1111111E-2</v>
          </cell>
          <cell r="AF112">
            <v>0.98888888900000005</v>
          </cell>
        </row>
        <row r="113">
          <cell r="B113" t="str">
            <v>1992FL</v>
          </cell>
          <cell r="C113">
            <v>0.36834527013893126</v>
          </cell>
          <cell r="D113">
            <v>0.14581181469033638</v>
          </cell>
          <cell r="E113">
            <v>0.2116387614678899</v>
          </cell>
          <cell r="F113">
            <v>7.4174101737139009E-2</v>
          </cell>
          <cell r="G113">
            <v>0.19882721712538226</v>
          </cell>
          <cell r="H113">
            <v>1.2028348403212816E-3</v>
          </cell>
          <cell r="J113" t="str">
            <v>1992FL</v>
          </cell>
          <cell r="K113">
            <v>0.58953402140672784</v>
          </cell>
          <cell r="L113">
            <v>0.19882721712538226</v>
          </cell>
          <cell r="M113">
            <v>0.2116387614678899</v>
          </cell>
          <cell r="U113" t="str">
            <v>1992FL</v>
          </cell>
          <cell r="V113">
            <v>0.45582561500000002</v>
          </cell>
          <cell r="W113">
            <v>2.3943672999999999E-2</v>
          </cell>
          <cell r="X113">
            <v>0.15019213000000001</v>
          </cell>
          <cell r="Y113">
            <v>0.114820795</v>
          </cell>
          <cell r="Z113">
            <v>0.255217786</v>
          </cell>
          <cell r="AB113" t="str">
            <v>1992FL</v>
          </cell>
          <cell r="AC113">
            <v>9.3333333333333324E-2</v>
          </cell>
          <cell r="AD113">
            <v>4.6666666666666662E-2</v>
          </cell>
          <cell r="AE113">
            <v>0.18644444399999999</v>
          </cell>
          <cell r="AF113">
            <v>0.67355555600000006</v>
          </cell>
        </row>
        <row r="114">
          <cell r="B114" t="str">
            <v>1992GA</v>
          </cell>
          <cell r="C114">
            <v>0.13808042244019927</v>
          </cell>
          <cell r="D114">
            <v>8.9352824662304167E-2</v>
          </cell>
          <cell r="E114">
            <v>0.15758128964421914</v>
          </cell>
          <cell r="F114">
            <v>9.1347360862013047E-2</v>
          </cell>
          <cell r="G114">
            <v>0.51951190674601222</v>
          </cell>
          <cell r="H114">
            <v>4.1261956452521564E-3</v>
          </cell>
          <cell r="J114" t="str">
            <v>1992GA</v>
          </cell>
          <cell r="K114">
            <v>0.32290680360976864</v>
          </cell>
          <cell r="L114">
            <v>0.51951190674601222</v>
          </cell>
          <cell r="M114">
            <v>0.15758128964421914</v>
          </cell>
          <cell r="U114" t="str">
            <v>1992GA</v>
          </cell>
          <cell r="V114">
            <v>0.129819457</v>
          </cell>
          <cell r="W114">
            <v>3.5174263999999997E-2</v>
          </cell>
          <cell r="X114">
            <v>0.141866518</v>
          </cell>
          <cell r="Y114">
            <v>0.35575009400000002</v>
          </cell>
          <cell r="Z114">
            <v>0.337389667</v>
          </cell>
          <cell r="AB114" t="str">
            <v>1992GA</v>
          </cell>
          <cell r="AC114">
            <v>0.49777777777777776</v>
          </cell>
          <cell r="AD114">
            <v>3.888888888888889E-2</v>
          </cell>
          <cell r="AE114">
            <v>0.100888889</v>
          </cell>
          <cell r="AF114">
            <v>0.36244444399999998</v>
          </cell>
        </row>
        <row r="115">
          <cell r="B115" t="str">
            <v>1992HI</v>
          </cell>
          <cell r="C115">
            <v>0.67700924544366925</v>
          </cell>
          <cell r="D115">
            <v>0.21169633721291711</v>
          </cell>
          <cell r="E115">
            <v>0</v>
          </cell>
          <cell r="F115">
            <v>0.10623984032506543</v>
          </cell>
          <cell r="G115">
            <v>4.0261462675255785E-3</v>
          </cell>
          <cell r="H115">
            <v>1.0284307508226574E-3</v>
          </cell>
          <cell r="J115" t="str">
            <v>1992HI</v>
          </cell>
          <cell r="K115">
            <v>0.99597385373247438</v>
          </cell>
          <cell r="L115">
            <v>4.0261462675255785E-3</v>
          </cell>
          <cell r="M115">
            <v>0</v>
          </cell>
          <cell r="U115" t="str">
            <v>1992HI</v>
          </cell>
          <cell r="V115">
            <v>0.36042526000000003</v>
          </cell>
          <cell r="W115">
            <v>2.8141289E-2</v>
          </cell>
          <cell r="X115">
            <v>0.17652262799999999</v>
          </cell>
          <cell r="Y115">
            <v>0.13495027000000001</v>
          </cell>
          <cell r="Z115">
            <v>0.29996055300000002</v>
          </cell>
          <cell r="AB115" t="str">
            <v>1992HI</v>
          </cell>
          <cell r="AC115">
            <v>7.7777777777777779E-2</v>
          </cell>
          <cell r="AD115">
            <v>0</v>
          </cell>
          <cell r="AE115">
            <v>0.67777777800000005</v>
          </cell>
          <cell r="AF115">
            <v>0.24444444400000001</v>
          </cell>
        </row>
        <row r="116">
          <cell r="B116" t="str">
            <v>1992ID</v>
          </cell>
          <cell r="C116">
            <v>0.44197446887186598</v>
          </cell>
          <cell r="D116">
            <v>0.24023670359726779</v>
          </cell>
          <cell r="E116">
            <v>5.3139336991500953E-2</v>
          </cell>
          <cell r="F116">
            <v>0.19192499890555711</v>
          </cell>
          <cell r="G116">
            <v>3.1460602497455789E-2</v>
          </cell>
          <cell r="H116">
            <v>4.1263889136352358E-2</v>
          </cell>
          <cell r="J116" t="str">
            <v>1992ID</v>
          </cell>
          <cell r="K116">
            <v>0.91540006051104328</v>
          </cell>
          <cell r="L116">
            <v>3.1460602497455789E-2</v>
          </cell>
          <cell r="M116">
            <v>5.3139336991500953E-2</v>
          </cell>
          <cell r="U116" t="str">
            <v>1992ID</v>
          </cell>
          <cell r="V116">
            <v>0.339827451</v>
          </cell>
          <cell r="W116">
            <v>3.1595740999999997E-2</v>
          </cell>
          <cell r="X116">
            <v>0.17944712900000001</v>
          </cell>
          <cell r="Y116">
            <v>0.130802578</v>
          </cell>
          <cell r="Z116">
            <v>0.31832710199999997</v>
          </cell>
          <cell r="AB116" t="str">
            <v>1992ID</v>
          </cell>
          <cell r="AC116">
            <v>0</v>
          </cell>
          <cell r="AD116">
            <v>0.46666666666666667</v>
          </cell>
          <cell r="AE116">
            <v>0.133333333</v>
          </cell>
          <cell r="AF116">
            <v>0.4</v>
          </cell>
        </row>
        <row r="117">
          <cell r="B117" t="str">
            <v>1992IL</v>
          </cell>
          <cell r="C117">
            <v>4.8061976553949212E-2</v>
          </cell>
          <cell r="D117">
            <v>0.16288117559095172</v>
          </cell>
          <cell r="E117">
            <v>0.14976196460301133</v>
          </cell>
          <cell r="F117">
            <v>0.50361481344839976</v>
          </cell>
          <cell r="G117">
            <v>8.8665043720190781E-2</v>
          </cell>
          <cell r="H117">
            <v>4.7015026083497266E-2</v>
          </cell>
          <cell r="J117" t="str">
            <v>1992IL</v>
          </cell>
          <cell r="K117">
            <v>0.76157299167679793</v>
          </cell>
          <cell r="L117">
            <v>8.8665043720190781E-2</v>
          </cell>
          <cell r="M117">
            <v>0.14976196460301133</v>
          </cell>
          <cell r="U117" t="str">
            <v>1992IL</v>
          </cell>
          <cell r="V117">
            <v>8.1355548E-2</v>
          </cell>
          <cell r="W117">
            <v>4.1624348999999998E-2</v>
          </cell>
          <cell r="X117">
            <v>0.25806084299999998</v>
          </cell>
          <cell r="Y117">
            <v>0.16764712800000001</v>
          </cell>
          <cell r="Z117">
            <v>0.45131213199999998</v>
          </cell>
          <cell r="AB117" t="str">
            <v>1992IL</v>
          </cell>
          <cell r="AC117">
            <v>0</v>
          </cell>
          <cell r="AD117">
            <v>0</v>
          </cell>
          <cell r="AE117">
            <v>8.2222221999999998E-2</v>
          </cell>
          <cell r="AF117">
            <v>0.91777777800000004</v>
          </cell>
        </row>
        <row r="118">
          <cell r="B118" t="str">
            <v>1992IN</v>
          </cell>
          <cell r="C118">
            <v>4.8087805777521975E-2</v>
          </cell>
          <cell r="D118">
            <v>0.15522488864656731</v>
          </cell>
          <cell r="E118">
            <v>0.19010910624218652</v>
          </cell>
          <cell r="F118">
            <v>0.45225958005909639</v>
          </cell>
          <cell r="G118">
            <v>0.11255215742696613</v>
          </cell>
          <cell r="H118">
            <v>4.1766461847661793E-2</v>
          </cell>
          <cell r="J118" t="str">
            <v>1992IN</v>
          </cell>
          <cell r="K118">
            <v>0.69733873633084742</v>
          </cell>
          <cell r="L118">
            <v>0.11255215742696613</v>
          </cell>
          <cell r="M118">
            <v>0.19010910624218652</v>
          </cell>
          <cell r="U118" t="str">
            <v>1992IN</v>
          </cell>
          <cell r="V118">
            <v>9.0620164000000003E-2</v>
          </cell>
          <cell r="W118">
            <v>4.1295287E-2</v>
          </cell>
          <cell r="X118">
            <v>0.25579848999999999</v>
          </cell>
          <cell r="Y118">
            <v>0.163983147</v>
          </cell>
          <cell r="Z118">
            <v>0.448302912</v>
          </cell>
          <cell r="AB118" t="str">
            <v>1992IN</v>
          </cell>
          <cell r="AC118">
            <v>0</v>
          </cell>
          <cell r="AD118">
            <v>3.888888888888889E-2</v>
          </cell>
          <cell r="AE118">
            <v>0</v>
          </cell>
          <cell r="AF118">
            <v>0.96111111100000002</v>
          </cell>
        </row>
        <row r="119">
          <cell r="B119" t="str">
            <v>1992IA</v>
          </cell>
          <cell r="C119">
            <v>3.8606244029845936E-2</v>
          </cell>
          <cell r="D119">
            <v>0.13088910588331074</v>
          </cell>
          <cell r="E119">
            <v>0.21907687059292058</v>
          </cell>
          <cell r="F119">
            <v>0.44604907546775419</v>
          </cell>
          <cell r="G119">
            <v>0.12970222686844551</v>
          </cell>
          <cell r="H119">
            <v>3.5676477157722986E-2</v>
          </cell>
          <cell r="J119" t="str">
            <v>1992IA</v>
          </cell>
          <cell r="K119">
            <v>0.65122090253863396</v>
          </cell>
          <cell r="L119">
            <v>0.12970222686844551</v>
          </cell>
          <cell r="M119">
            <v>0.21907687059292058</v>
          </cell>
          <cell r="U119" t="str">
            <v>1992IA</v>
          </cell>
          <cell r="V119">
            <v>7.2136692000000002E-2</v>
          </cell>
          <cell r="W119">
            <v>3.9535262000000002E-2</v>
          </cell>
          <cell r="X119">
            <v>0.21534028299999999</v>
          </cell>
          <cell r="Y119">
            <v>0.26713773800000001</v>
          </cell>
          <cell r="Z119">
            <v>0.405850025</v>
          </cell>
          <cell r="AB119" t="str">
            <v>1992IA</v>
          </cell>
          <cell r="AC119">
            <v>3.111111111111111E-2</v>
          </cell>
          <cell r="AD119">
            <v>3.111111111111111E-2</v>
          </cell>
          <cell r="AE119">
            <v>1.5555556E-2</v>
          </cell>
          <cell r="AF119">
            <v>0.92222222200000004</v>
          </cell>
        </row>
        <row r="120">
          <cell r="B120" t="str">
            <v>1992KS</v>
          </cell>
          <cell r="C120">
            <v>6.150825709632509E-2</v>
          </cell>
          <cell r="D120">
            <v>0.18381203926839509</v>
          </cell>
          <cell r="E120">
            <v>0.15447997825693061</v>
          </cell>
          <cell r="F120">
            <v>0.46454144201879716</v>
          </cell>
          <cell r="G120">
            <v>9.1458295584948959E-2</v>
          </cell>
          <cell r="H120">
            <v>4.4199987774603093E-2</v>
          </cell>
          <cell r="J120" t="str">
            <v>1992KS</v>
          </cell>
          <cell r="K120">
            <v>0.75406172615812039</v>
          </cell>
          <cell r="L120">
            <v>9.1458295584948959E-2</v>
          </cell>
          <cell r="M120">
            <v>0.15447997825693061</v>
          </cell>
          <cell r="U120" t="str">
            <v>1992KS</v>
          </cell>
          <cell r="V120">
            <v>0.14299250999999999</v>
          </cell>
          <cell r="W120">
            <v>3.9059442999999999E-2</v>
          </cell>
          <cell r="X120">
            <v>0.24160074100000001</v>
          </cell>
          <cell r="Y120">
            <v>0.15144187000000001</v>
          </cell>
          <cell r="Z120">
            <v>0.424905435</v>
          </cell>
          <cell r="AB120" t="str">
            <v>1992KS</v>
          </cell>
          <cell r="AC120">
            <v>0</v>
          </cell>
          <cell r="AD120">
            <v>0</v>
          </cell>
          <cell r="AE120">
            <v>4.4444439999999997E-3</v>
          </cell>
          <cell r="AF120">
            <v>0.99555555600000001</v>
          </cell>
        </row>
        <row r="121">
          <cell r="B121" t="str">
            <v>1992KY</v>
          </cell>
          <cell r="C121">
            <v>1.6646169322275198E-2</v>
          </cell>
          <cell r="D121">
            <v>5.1769904298287782E-2</v>
          </cell>
          <cell r="E121">
            <v>0.14046629368205532</v>
          </cell>
          <cell r="F121">
            <v>0.15577602658945497</v>
          </cell>
          <cell r="G121">
            <v>0.6210430546673904</v>
          </cell>
          <cell r="H121">
            <v>1.4298551440536343E-2</v>
          </cell>
          <cell r="J121" t="str">
            <v>1992KY</v>
          </cell>
          <cell r="K121">
            <v>0.23849065165055428</v>
          </cell>
          <cell r="L121">
            <v>0.6210430546673904</v>
          </cell>
          <cell r="M121">
            <v>0.14046629368205532</v>
          </cell>
          <cell r="U121" t="str">
            <v>1992KY</v>
          </cell>
          <cell r="V121">
            <v>0.18225018100000001</v>
          </cell>
          <cell r="W121">
            <v>3.3950879000000003E-2</v>
          </cell>
          <cell r="X121">
            <v>0.161605368</v>
          </cell>
          <cell r="Y121">
            <v>0.28478148399999997</v>
          </cell>
          <cell r="Z121">
            <v>0.337412088</v>
          </cell>
          <cell r="AB121" t="str">
            <v>1992KY</v>
          </cell>
          <cell r="AC121">
            <v>2.3333333333333331E-2</v>
          </cell>
          <cell r="AD121">
            <v>0.25666666666666665</v>
          </cell>
          <cell r="AE121">
            <v>0.485555556</v>
          </cell>
          <cell r="AF121">
            <v>0.234444444</v>
          </cell>
        </row>
        <row r="122">
          <cell r="B122" t="str">
            <v>1992LA</v>
          </cell>
          <cell r="C122">
            <v>7.1144157903606342E-2</v>
          </cell>
          <cell r="D122">
            <v>5.6328384816312783E-2</v>
          </cell>
          <cell r="E122">
            <v>0.13912499999999997</v>
          </cell>
          <cell r="F122">
            <v>9.9380874747219433E-2</v>
          </cell>
          <cell r="G122">
            <v>0.629</v>
          </cell>
          <cell r="H122">
            <v>5.0215825328614773E-3</v>
          </cell>
          <cell r="J122" t="str">
            <v>1992LA</v>
          </cell>
          <cell r="K122">
            <v>0.23187500000000005</v>
          </cell>
          <cell r="L122">
            <v>0.629</v>
          </cell>
          <cell r="M122">
            <v>0.13912499999999997</v>
          </cell>
          <cell r="U122" t="str">
            <v>1992LA</v>
          </cell>
          <cell r="V122">
            <v>0.31583997400000002</v>
          </cell>
          <cell r="W122">
            <v>2.8011194E-2</v>
          </cell>
          <cell r="X122">
            <v>0.12278557499999999</v>
          </cell>
          <cell r="Y122">
            <v>0.26000700999999998</v>
          </cell>
          <cell r="Z122">
            <v>0.27335624600000002</v>
          </cell>
          <cell r="AB122" t="str">
            <v>1992LA</v>
          </cell>
          <cell r="AC122">
            <v>3.888888888888889E-2</v>
          </cell>
          <cell r="AD122">
            <v>0</v>
          </cell>
          <cell r="AE122">
            <v>0.87222222199999999</v>
          </cell>
          <cell r="AF122">
            <v>8.8888888999999999E-2</v>
          </cell>
        </row>
        <row r="123">
          <cell r="B123" t="str">
            <v>1992ME</v>
          </cell>
          <cell r="C123">
            <v>3.718504478891041E-2</v>
          </cell>
          <cell r="D123">
            <v>0.11002557347728271</v>
          </cell>
          <cell r="E123">
            <v>0.47083240038243279</v>
          </cell>
          <cell r="F123">
            <v>0.26521816435578993</v>
          </cell>
          <cell r="G123">
            <v>9.0337404391808526E-2</v>
          </cell>
          <cell r="H123">
            <v>2.6401412603775674E-2</v>
          </cell>
          <cell r="J123" t="str">
            <v>1992ME</v>
          </cell>
          <cell r="K123">
            <v>0.43883019522575872</v>
          </cell>
          <cell r="L123">
            <v>9.0337404391808526E-2</v>
          </cell>
          <cell r="M123">
            <v>0.47083240038243279</v>
          </cell>
          <cell r="U123" t="str">
            <v>1992ME</v>
          </cell>
          <cell r="V123">
            <v>1</v>
          </cell>
          <cell r="W123">
            <v>0</v>
          </cell>
          <cell r="X123">
            <v>0</v>
          </cell>
          <cell r="Y123">
            <v>0</v>
          </cell>
          <cell r="Z123">
            <v>0</v>
          </cell>
          <cell r="AB123" t="str">
            <v>1992ME</v>
          </cell>
          <cell r="AC123">
            <v>7.7777777777777779E-2</v>
          </cell>
          <cell r="AD123">
            <v>7.0000000000000007E-2</v>
          </cell>
          <cell r="AE123">
            <v>1.1111111E-2</v>
          </cell>
          <cell r="AF123">
            <v>0.84111111100000002</v>
          </cell>
        </row>
        <row r="124">
          <cell r="B124" t="str">
            <v>1992MD</v>
          </cell>
          <cell r="C124">
            <v>4.1893723913388137E-2</v>
          </cell>
          <cell r="D124">
            <v>0.12365029557343474</v>
          </cell>
          <cell r="E124">
            <v>0.45964978293685133</v>
          </cell>
          <cell r="F124">
            <v>0.26329361816793467</v>
          </cell>
          <cell r="G124">
            <v>8.0250144677551663E-2</v>
          </cell>
          <cell r="H124">
            <v>3.1262434730839492E-2</v>
          </cell>
          <cell r="J124" t="str">
            <v>1992MD</v>
          </cell>
          <cell r="K124">
            <v>0.46010007238559703</v>
          </cell>
          <cell r="L124">
            <v>8.0250144677551663E-2</v>
          </cell>
          <cell r="M124">
            <v>0.45964978293685133</v>
          </cell>
          <cell r="U124" t="str">
            <v>1992MD</v>
          </cell>
          <cell r="V124">
            <v>0.166823576</v>
          </cell>
          <cell r="W124">
            <v>4.1235824999999997E-2</v>
          </cell>
          <cell r="X124">
            <v>0.22499929199999999</v>
          </cell>
          <cell r="Y124">
            <v>0.16054668499999999</v>
          </cell>
          <cell r="Z124">
            <v>0.40639462199999998</v>
          </cell>
          <cell r="AB124" t="str">
            <v>1992MD</v>
          </cell>
          <cell r="AC124">
            <v>0</v>
          </cell>
          <cell r="AD124">
            <v>0</v>
          </cell>
          <cell r="AE124">
            <v>1.1111111E-2</v>
          </cell>
          <cell r="AF124">
            <v>0.98888888900000005</v>
          </cell>
        </row>
        <row r="125">
          <cell r="B125" t="str">
            <v>1992MA</v>
          </cell>
          <cell r="C125">
            <v>4.4512281016216008E-2</v>
          </cell>
          <cell r="D125">
            <v>0.12375788831131805</v>
          </cell>
          <cell r="E125">
            <v>0.46482017950102456</v>
          </cell>
          <cell r="F125">
            <v>0.25533177027300941</v>
          </cell>
          <cell r="G125">
            <v>8.4914091488065557E-2</v>
          </cell>
          <cell r="H125">
            <v>2.666378941036646E-2</v>
          </cell>
          <cell r="J125" t="str">
            <v>1992MA</v>
          </cell>
          <cell r="K125">
            <v>0.45026572901090989</v>
          </cell>
          <cell r="L125">
            <v>8.4914091488065557E-2</v>
          </cell>
          <cell r="M125">
            <v>0.46482017950102456</v>
          </cell>
          <cell r="U125" t="str">
            <v>1992MA</v>
          </cell>
          <cell r="V125">
            <v>0.39163290699999997</v>
          </cell>
          <cell r="W125">
            <v>2.6768152E-2</v>
          </cell>
          <cell r="X125">
            <v>0.167909318</v>
          </cell>
          <cell r="Y125">
            <v>0.12836545699999999</v>
          </cell>
          <cell r="Z125">
            <v>0.28532416599999999</v>
          </cell>
          <cell r="AB125" t="str">
            <v>1992MA</v>
          </cell>
          <cell r="AC125">
            <v>7.7777777777777779E-2</v>
          </cell>
          <cell r="AD125">
            <v>7.0000000000000007E-2</v>
          </cell>
          <cell r="AE125">
            <v>1.1111111E-2</v>
          </cell>
          <cell r="AF125">
            <v>0.84111111100000002</v>
          </cell>
        </row>
        <row r="126">
          <cell r="B126" t="str">
            <v>1992MI</v>
          </cell>
          <cell r="C126">
            <v>7.324743058685855E-2</v>
          </cell>
          <cell r="D126">
            <v>0.21181592514810976</v>
          </cell>
          <cell r="E126">
            <v>0.13202895394885908</v>
          </cell>
          <cell r="F126">
            <v>0.4542531386851254</v>
          </cell>
          <cell r="G126">
            <v>7.8166395621463824E-2</v>
          </cell>
          <cell r="H126">
            <v>5.0488156009583417E-2</v>
          </cell>
          <cell r="J126" t="str">
            <v>1992MI</v>
          </cell>
          <cell r="K126">
            <v>0.78980465042967707</v>
          </cell>
          <cell r="L126">
            <v>7.8166395621463824E-2</v>
          </cell>
          <cell r="M126">
            <v>0.13202895394885908</v>
          </cell>
          <cell r="U126" t="str">
            <v>1992MI</v>
          </cell>
          <cell r="V126">
            <v>0.114360435</v>
          </cell>
          <cell r="W126">
            <v>4.3736677000000002E-2</v>
          </cell>
          <cell r="X126">
            <v>0.239270606</v>
          </cell>
          <cell r="Y126">
            <v>0.17097482999999999</v>
          </cell>
          <cell r="Z126">
            <v>0.43165745300000002</v>
          </cell>
          <cell r="AB126" t="str">
            <v>1992MI</v>
          </cell>
          <cell r="AC126">
            <v>7.0000000000000062E-2</v>
          </cell>
          <cell r="AD126">
            <v>2.3333333333333331E-2</v>
          </cell>
          <cell r="AE126">
            <v>2.7777777999999999E-2</v>
          </cell>
          <cell r="AF126">
            <v>0.87888888899999995</v>
          </cell>
        </row>
        <row r="127">
          <cell r="B127" t="str">
            <v>1992MN</v>
          </cell>
          <cell r="C127">
            <v>3.1305052229958379E-2</v>
          </cell>
          <cell r="D127">
            <v>0.11126879087151634</v>
          </cell>
          <cell r="E127">
            <v>0.26075788395504595</v>
          </cell>
          <cell r="F127">
            <v>0.41062320281471232</v>
          </cell>
          <cell r="G127">
            <v>0.15437904572462918</v>
          </cell>
          <cell r="H127">
            <v>3.1666024404137724E-2</v>
          </cell>
          <cell r="J127" t="str">
            <v>1992MN</v>
          </cell>
          <cell r="K127">
            <v>0.58486307032032481</v>
          </cell>
          <cell r="L127">
            <v>0.15437904572462918</v>
          </cell>
          <cell r="M127">
            <v>0.26075788395504595</v>
          </cell>
          <cell r="U127" t="str">
            <v>1992MN</v>
          </cell>
          <cell r="V127">
            <v>9.4816849999999994E-2</v>
          </cell>
          <cell r="W127">
            <v>4.2466038999999997E-2</v>
          </cell>
          <cell r="X127">
            <v>0.246972737</v>
          </cell>
          <cell r="Y127">
            <v>0.182200377</v>
          </cell>
          <cell r="Z127">
            <v>0.43354399599999999</v>
          </cell>
          <cell r="AB127" t="str">
            <v>1992MN</v>
          </cell>
          <cell r="AC127">
            <v>0</v>
          </cell>
          <cell r="AD127">
            <v>0.19444444444444442</v>
          </cell>
          <cell r="AE127">
            <v>0</v>
          </cell>
          <cell r="AF127">
            <v>0.80555555599999995</v>
          </cell>
        </row>
        <row r="128">
          <cell r="B128" t="str">
            <v>1992MS</v>
          </cell>
          <cell r="C128">
            <v>7.2139457063057397E-2</v>
          </cell>
          <cell r="D128">
            <v>5.7144027087776272E-2</v>
          </cell>
          <cell r="E128">
            <v>0.13912499999999997</v>
          </cell>
          <cell r="F128">
            <v>9.7666948035818157E-2</v>
          </cell>
          <cell r="G128">
            <v>0.629</v>
          </cell>
          <cell r="H128">
            <v>4.9245678133481973E-3</v>
          </cell>
          <cell r="J128" t="str">
            <v>1992MS</v>
          </cell>
          <cell r="K128">
            <v>0.23187500000000005</v>
          </cell>
          <cell r="L128">
            <v>0.629</v>
          </cell>
          <cell r="M128">
            <v>0.13912499999999997</v>
          </cell>
          <cell r="U128" t="str">
            <v>1992MS</v>
          </cell>
          <cell r="V128">
            <v>0.16014467099999999</v>
          </cell>
          <cell r="W128">
            <v>3.423358E-2</v>
          </cell>
          <cell r="X128">
            <v>0.14592406599999999</v>
          </cell>
          <cell r="Y128">
            <v>0.32758962699999999</v>
          </cell>
          <cell r="Z128">
            <v>0.33210805599999998</v>
          </cell>
          <cell r="AB128" t="str">
            <v>1992MS</v>
          </cell>
          <cell r="AC128">
            <v>7.7777777777777779E-2</v>
          </cell>
          <cell r="AD128">
            <v>3.888888888888889E-2</v>
          </cell>
          <cell r="AE128">
            <v>0.79444444400000003</v>
          </cell>
          <cell r="AF128">
            <v>8.8888888999999999E-2</v>
          </cell>
        </row>
        <row r="129">
          <cell r="B129" t="str">
            <v>1992MO</v>
          </cell>
          <cell r="C129">
            <v>5.153283595336073E-2</v>
          </cell>
          <cell r="D129">
            <v>0.16235708587644762</v>
          </cell>
          <cell r="E129">
            <v>0.16983403864857355</v>
          </cell>
          <cell r="F129">
            <v>0.47108042470223738</v>
          </cell>
          <cell r="G129">
            <v>0.10054851044368285</v>
          </cell>
          <cell r="H129">
            <v>4.4647104375697792E-2</v>
          </cell>
          <cell r="J129" t="str">
            <v>1992MO</v>
          </cell>
          <cell r="K129">
            <v>0.72961745090774355</v>
          </cell>
          <cell r="L129">
            <v>0.10054851044368285</v>
          </cell>
          <cell r="M129">
            <v>0.16983403864857355</v>
          </cell>
          <cell r="U129" t="str">
            <v>1992MO</v>
          </cell>
          <cell r="V129">
            <v>0.15412261099999999</v>
          </cell>
          <cell r="W129">
            <v>3.8130263999999997E-2</v>
          </cell>
          <cell r="X129">
            <v>0.23688087999999999</v>
          </cell>
          <cell r="Y129">
            <v>0.158651549</v>
          </cell>
          <cell r="Z129">
            <v>0.41221469599999999</v>
          </cell>
          <cell r="AB129" t="str">
            <v>1992MO</v>
          </cell>
          <cell r="AC129">
            <v>0</v>
          </cell>
          <cell r="AD129">
            <v>0.15555555555555556</v>
          </cell>
          <cell r="AE129">
            <v>0</v>
          </cell>
          <cell r="AF129">
            <v>0.84444444399999996</v>
          </cell>
        </row>
        <row r="130">
          <cell r="B130" t="str">
            <v>1992MT</v>
          </cell>
          <cell r="C130">
            <v>0.27211618305577451</v>
          </cell>
          <cell r="D130">
            <v>0.21208932687149804</v>
          </cell>
          <cell r="E130">
            <v>8.1291949251637047E-2</v>
          </cell>
          <cell r="F130">
            <v>0.30322528776795848</v>
          </cell>
          <cell r="G130">
            <v>4.8128069457436862E-2</v>
          </cell>
          <cell r="H130">
            <v>8.3149183595694967E-2</v>
          </cell>
          <cell r="J130" t="str">
            <v>1992MT</v>
          </cell>
          <cell r="K130">
            <v>0.87057998129092606</v>
          </cell>
          <cell r="L130">
            <v>4.8128069457436862E-2</v>
          </cell>
          <cell r="M130">
            <v>8.1291949251637047E-2</v>
          </cell>
          <cell r="U130" t="str">
            <v>1992MT</v>
          </cell>
          <cell r="V130">
            <v>0.17487149299999999</v>
          </cell>
          <cell r="W130">
            <v>4.2271920999999997E-2</v>
          </cell>
          <cell r="X130">
            <v>0.22127201199999999</v>
          </cell>
          <cell r="Y130">
            <v>0.154214559</v>
          </cell>
          <cell r="Z130">
            <v>0.40737001499999997</v>
          </cell>
          <cell r="AB130" t="str">
            <v>1992MT</v>
          </cell>
          <cell r="AC130">
            <v>0</v>
          </cell>
          <cell r="AD130">
            <v>6.222222222222222E-2</v>
          </cell>
          <cell r="AE130">
            <v>0.164444444</v>
          </cell>
          <cell r="AF130">
            <v>0.77333333299999996</v>
          </cell>
        </row>
        <row r="131">
          <cell r="B131" t="str">
            <v>1992NE</v>
          </cell>
          <cell r="C131">
            <v>5.1908406228860199E-2</v>
          </cell>
          <cell r="D131">
            <v>0.16885018509629057</v>
          </cell>
          <cell r="E131">
            <v>0.16813223920364137</v>
          </cell>
          <cell r="F131">
            <v>0.46390423057567187</v>
          </cell>
          <cell r="G131">
            <v>9.9540977438971737E-2</v>
          </cell>
          <cell r="H131">
            <v>4.7663961456564249E-2</v>
          </cell>
          <cell r="J131" t="str">
            <v>1992NE</v>
          </cell>
          <cell r="K131">
            <v>0.73232678335738688</v>
          </cell>
          <cell r="L131">
            <v>9.9540977438971737E-2</v>
          </cell>
          <cell r="M131">
            <v>0.16813223920364137</v>
          </cell>
          <cell r="U131" t="str">
            <v>1992NE</v>
          </cell>
          <cell r="V131">
            <v>0.102933355</v>
          </cell>
          <cell r="W131">
            <v>4.0650909999999998E-2</v>
          </cell>
          <cell r="X131">
            <v>0.25201530900000002</v>
          </cell>
          <cell r="Y131">
            <v>0.163616556</v>
          </cell>
          <cell r="Z131">
            <v>0.44078387099999999</v>
          </cell>
          <cell r="AB131" t="str">
            <v>1992NE</v>
          </cell>
          <cell r="AC131">
            <v>0</v>
          </cell>
          <cell r="AD131">
            <v>0</v>
          </cell>
          <cell r="AE131">
            <v>4.4444439999999997E-3</v>
          </cell>
          <cell r="AF131">
            <v>0.99555555600000001</v>
          </cell>
        </row>
        <row r="132">
          <cell r="B132" t="str">
            <v>1992NV</v>
          </cell>
          <cell r="C132">
            <v>0.58321712696858785</v>
          </cell>
          <cell r="D132">
            <v>0.26612901880698692</v>
          </cell>
          <cell r="E132">
            <v>1.7168192153980431E-2</v>
          </cell>
          <cell r="F132">
            <v>0.11278702931800995</v>
          </cell>
          <cell r="G132">
            <v>1.0164253066286922E-2</v>
          </cell>
          <cell r="H132">
            <v>1.0534379686147882E-2</v>
          </cell>
          <cell r="J132" t="str">
            <v>1992NV</v>
          </cell>
          <cell r="K132">
            <v>0.97266755477973266</v>
          </cell>
          <cell r="L132">
            <v>1.0164253066286922E-2</v>
          </cell>
          <cell r="M132">
            <v>1.7168192153980431E-2</v>
          </cell>
          <cell r="U132" t="str">
            <v>1992NV</v>
          </cell>
          <cell r="V132">
            <v>1</v>
          </cell>
          <cell r="W132">
            <v>0</v>
          </cell>
          <cell r="X132">
            <v>0</v>
          </cell>
          <cell r="Y132">
            <v>0</v>
          </cell>
          <cell r="Z132">
            <v>0</v>
          </cell>
          <cell r="AB132" t="str">
            <v>1992NV</v>
          </cell>
          <cell r="AC132">
            <v>0.19444444444444442</v>
          </cell>
          <cell r="AD132">
            <v>0</v>
          </cell>
          <cell r="AE132">
            <v>0</v>
          </cell>
          <cell r="AF132">
            <v>0.80555555599999995</v>
          </cell>
        </row>
        <row r="133">
          <cell r="B133" t="str">
            <v>1992NH</v>
          </cell>
          <cell r="C133">
            <v>4.8620269206716804E-2</v>
          </cell>
          <cell r="D133">
            <v>0.13133144984245765</v>
          </cell>
          <cell r="E133">
            <v>0.46171571960078184</v>
          </cell>
          <cell r="F133">
            <v>0.24952278229823527</v>
          </cell>
          <cell r="G133">
            <v>8.2113719085214754E-2</v>
          </cell>
          <cell r="H133">
            <v>2.6696059966593612E-2</v>
          </cell>
          <cell r="J133" t="str">
            <v>1992NH</v>
          </cell>
          <cell r="K133">
            <v>0.45617056131400346</v>
          </cell>
          <cell r="L133">
            <v>8.2113719085214754E-2</v>
          </cell>
          <cell r="M133">
            <v>0.46171571960078184</v>
          </cell>
          <cell r="U133" t="str">
            <v>1992NH</v>
          </cell>
          <cell r="V133">
            <v>1</v>
          </cell>
          <cell r="W133">
            <v>0</v>
          </cell>
          <cell r="X133">
            <v>0</v>
          </cell>
          <cell r="Y133">
            <v>0</v>
          </cell>
          <cell r="Z133">
            <v>0</v>
          </cell>
          <cell r="AB133" t="str">
            <v>1992NH</v>
          </cell>
          <cell r="AC133">
            <v>0</v>
          </cell>
          <cell r="AD133">
            <v>0</v>
          </cell>
          <cell r="AE133">
            <v>1.1111111E-2</v>
          </cell>
          <cell r="AF133">
            <v>0.98888888900000005</v>
          </cell>
        </row>
        <row r="134">
          <cell r="B134" t="str">
            <v>1992NJ</v>
          </cell>
          <cell r="C134">
            <v>4.1425102160875658E-2</v>
          </cell>
          <cell r="D134">
            <v>0.11770631829422606</v>
          </cell>
          <cell r="E134">
            <v>0.4677438395121068</v>
          </cell>
          <cell r="F134">
            <v>0.25928143277603805</v>
          </cell>
          <cell r="G134">
            <v>8.755137367995762E-2</v>
          </cell>
          <cell r="H134">
            <v>2.6291933576795837E-2</v>
          </cell>
          <cell r="J134" t="str">
            <v>1992NJ</v>
          </cell>
          <cell r="K134">
            <v>0.44470478680793557</v>
          </cell>
          <cell r="L134">
            <v>8.755137367995762E-2</v>
          </cell>
          <cell r="M134">
            <v>0.4677438395121068</v>
          </cell>
          <cell r="U134" t="str">
            <v>1992NJ</v>
          </cell>
          <cell r="V134">
            <v>0.48238382800000001</v>
          </cell>
          <cell r="W134">
            <v>2.2775112E-2</v>
          </cell>
          <cell r="X134">
            <v>0.14286206400000001</v>
          </cell>
          <cell r="Y134">
            <v>0.109217012</v>
          </cell>
          <cell r="Z134">
            <v>0.24276198500000001</v>
          </cell>
          <cell r="AB134" t="str">
            <v>1992NJ</v>
          </cell>
          <cell r="AC134">
            <v>7.7777777777777779E-2</v>
          </cell>
          <cell r="AD134">
            <v>7.0000000000000007E-2</v>
          </cell>
          <cell r="AE134">
            <v>1.1111111E-2</v>
          </cell>
          <cell r="AF134">
            <v>0.84111111100000002</v>
          </cell>
        </row>
        <row r="135">
          <cell r="B135" t="str">
            <v>1992NM</v>
          </cell>
          <cell r="C135">
            <v>0.59149831028495392</v>
          </cell>
          <cell r="D135">
            <v>0.21331204046073038</v>
          </cell>
          <cell r="E135">
            <v>9.282796906413579E-2</v>
          </cell>
          <cell r="F135">
            <v>9.8615847240322796E-2</v>
          </cell>
          <cell r="G135">
            <v>0</v>
          </cell>
          <cell r="H135">
            <v>3.7458329498570439E-3</v>
          </cell>
          <cell r="J135" t="str">
            <v>1992NM</v>
          </cell>
          <cell r="K135">
            <v>0.90717203093586418</v>
          </cell>
          <cell r="L135">
            <v>0</v>
          </cell>
          <cell r="M135">
            <v>9.282796906413579E-2</v>
          </cell>
          <cell r="U135" t="str">
            <v>1992NM</v>
          </cell>
          <cell r="V135">
            <v>1</v>
          </cell>
          <cell r="W135">
            <v>0</v>
          </cell>
          <cell r="X135">
            <v>0</v>
          </cell>
          <cell r="Y135">
            <v>0</v>
          </cell>
          <cell r="Z135">
            <v>0</v>
          </cell>
          <cell r="AB135" t="str">
            <v>1992NM</v>
          </cell>
          <cell r="AC135">
            <v>0.19444444444444442</v>
          </cell>
          <cell r="AD135">
            <v>7.7777777777777779E-2</v>
          </cell>
          <cell r="AE135">
            <v>0.28888888899999998</v>
          </cell>
          <cell r="AF135">
            <v>0.438888889</v>
          </cell>
        </row>
        <row r="136">
          <cell r="B136" t="str">
            <v>1992NY</v>
          </cell>
          <cell r="C136">
            <v>5.1577097108474732E-2</v>
          </cell>
          <cell r="D136">
            <v>0.12227904581481985</v>
          </cell>
          <cell r="E136">
            <v>0.4647326326548461</v>
          </cell>
          <cell r="F136">
            <v>0.25122610680572177</v>
          </cell>
          <cell r="G136">
            <v>8.4835120014806878E-2</v>
          </cell>
          <cell r="H136">
            <v>2.5349997601330651E-2</v>
          </cell>
          <cell r="J136" t="str">
            <v>1992NY</v>
          </cell>
          <cell r="K136">
            <v>0.45043224733034704</v>
          </cell>
          <cell r="L136">
            <v>8.4835120014806878E-2</v>
          </cell>
          <cell r="M136">
            <v>0.4647326326548461</v>
          </cell>
          <cell r="U136" t="str">
            <v>1992NY</v>
          </cell>
          <cell r="V136">
            <v>0.40442275900000002</v>
          </cell>
          <cell r="W136">
            <v>2.6205399000000001E-2</v>
          </cell>
          <cell r="X136">
            <v>0.164379318</v>
          </cell>
          <cell r="Y136">
            <v>0.125666798</v>
          </cell>
          <cell r="Z136">
            <v>0.279325726</v>
          </cell>
          <cell r="AB136" t="str">
            <v>1992NY</v>
          </cell>
          <cell r="AC136">
            <v>7.7777777777777779E-2</v>
          </cell>
          <cell r="AD136">
            <v>0.23333333333333334</v>
          </cell>
          <cell r="AE136">
            <v>1.1111111E-2</v>
          </cell>
          <cell r="AF136">
            <v>0.67777777800000005</v>
          </cell>
        </row>
        <row r="137">
          <cell r="B137" t="str">
            <v>1992NC</v>
          </cell>
          <cell r="C137">
            <v>3.1231091049289766E-2</v>
          </cell>
          <cell r="D137">
            <v>8.0105981219265779E-2</v>
          </cell>
          <cell r="E137">
            <v>0.13912499999999997</v>
          </cell>
          <cell r="F137">
            <v>0.10489192244022913</v>
          </cell>
          <cell r="G137">
            <v>0.629</v>
          </cell>
          <cell r="H137">
            <v>1.5646005291215355E-2</v>
          </cell>
          <cell r="J137" t="str">
            <v>1992NC</v>
          </cell>
          <cell r="K137">
            <v>0.23187500000000005</v>
          </cell>
          <cell r="L137">
            <v>0.629</v>
          </cell>
          <cell r="M137">
            <v>0.13912499999999997</v>
          </cell>
          <cell r="U137" t="str">
            <v>1992NC</v>
          </cell>
          <cell r="V137">
            <v>1.9145736999999999E-2</v>
          </cell>
          <cell r="W137">
            <v>3.7223639000000003E-2</v>
          </cell>
          <cell r="X137">
            <v>8.3372556E-2</v>
          </cell>
          <cell r="Y137">
            <v>0.53502281299999999</v>
          </cell>
          <cell r="Z137">
            <v>0.325235255</v>
          </cell>
          <cell r="AB137" t="str">
            <v>1992NC</v>
          </cell>
          <cell r="AC137">
            <v>0.38888888888888884</v>
          </cell>
          <cell r="AD137">
            <v>3.888888888888889E-2</v>
          </cell>
          <cell r="AE137">
            <v>0.326444444</v>
          </cell>
          <cell r="AF137">
            <v>0.245777778</v>
          </cell>
        </row>
        <row r="138">
          <cell r="B138" t="str">
            <v>1992ND</v>
          </cell>
          <cell r="C138">
            <v>3.6166887244298729E-2</v>
          </cell>
          <cell r="D138">
            <v>0.12513521121721397</v>
          </cell>
          <cell r="E138">
            <v>0.23484334312612676</v>
          </cell>
          <cell r="F138">
            <v>0.42941196164222856</v>
          </cell>
          <cell r="G138">
            <v>0.13903660612939842</v>
          </cell>
          <cell r="H138">
            <v>3.5405990640733589E-2</v>
          </cell>
          <cell r="J138" t="str">
            <v>1992ND</v>
          </cell>
          <cell r="K138">
            <v>0.62612005074447485</v>
          </cell>
          <cell r="L138">
            <v>0.13903660612939842</v>
          </cell>
          <cell r="M138">
            <v>0.23484334312612676</v>
          </cell>
          <cell r="U138" t="str">
            <v>1992ND</v>
          </cell>
          <cell r="V138">
            <v>0.23483451899999999</v>
          </cell>
          <cell r="W138">
            <v>3.5631589999999998E-2</v>
          </cell>
          <cell r="X138">
            <v>0.209057671</v>
          </cell>
          <cell r="Y138">
            <v>0.15490222000000001</v>
          </cell>
          <cell r="Z138">
            <v>0.36557400000000001</v>
          </cell>
          <cell r="AB138" t="str">
            <v>1992ND</v>
          </cell>
          <cell r="AC138">
            <v>0</v>
          </cell>
          <cell r="AD138">
            <v>3.888888888888889E-2</v>
          </cell>
          <cell r="AE138">
            <v>4.3333333000000002E-2</v>
          </cell>
          <cell r="AF138">
            <v>0.91777777800000004</v>
          </cell>
        </row>
        <row r="139">
          <cell r="B139" t="str">
            <v>1992OH</v>
          </cell>
          <cell r="C139">
            <v>5.066011633437862E-2</v>
          </cell>
          <cell r="D139">
            <v>0.15372917547601667</v>
          </cell>
          <cell r="E139">
            <v>0.20097102370153919</v>
          </cell>
          <cell r="F139">
            <v>0.43615838068739293</v>
          </cell>
          <cell r="G139">
            <v>0.11898284487802568</v>
          </cell>
          <cell r="H139">
            <v>3.949845892264691E-2</v>
          </cell>
          <cell r="J139" t="str">
            <v>1992OH</v>
          </cell>
          <cell r="K139">
            <v>0.68004613142043513</v>
          </cell>
          <cell r="L139">
            <v>0.11898284487802568</v>
          </cell>
          <cell r="M139">
            <v>0.20097102370153919</v>
          </cell>
          <cell r="U139" t="str">
            <v>1992OH</v>
          </cell>
          <cell r="V139">
            <v>0.17112533799999999</v>
          </cell>
          <cell r="W139">
            <v>3.7090797000000002E-2</v>
          </cell>
          <cell r="X139">
            <v>0.231095575</v>
          </cell>
          <cell r="Y139">
            <v>0.161400776</v>
          </cell>
          <cell r="Z139">
            <v>0.39928751400000001</v>
          </cell>
          <cell r="AB139" t="str">
            <v>1992OH</v>
          </cell>
          <cell r="AC139">
            <v>0</v>
          </cell>
          <cell r="AD139">
            <v>0</v>
          </cell>
          <cell r="AE139">
            <v>0</v>
          </cell>
          <cell r="AF139">
            <v>1</v>
          </cell>
        </row>
        <row r="140">
          <cell r="B140" t="str">
            <v>1992OK</v>
          </cell>
          <cell r="C140">
            <v>0.30427550610539844</v>
          </cell>
          <cell r="D140">
            <v>0.23758473588590073</v>
          </cell>
          <cell r="E140">
            <v>0.05</v>
          </cell>
          <cell r="F140">
            <v>0.32064210685683209</v>
          </cell>
          <cell r="G140">
            <v>0</v>
          </cell>
          <cell r="H140">
            <v>8.7497651151868694E-2</v>
          </cell>
          <cell r="J140" t="str">
            <v>1992OK</v>
          </cell>
          <cell r="K140">
            <v>0.95</v>
          </cell>
          <cell r="L140">
            <v>0</v>
          </cell>
          <cell r="M140">
            <v>0.05</v>
          </cell>
          <cell r="U140" t="str">
            <v>1992OK</v>
          </cell>
          <cell r="V140">
            <v>0.26202039300000002</v>
          </cell>
          <cell r="W140">
            <v>2.9186218999999999E-2</v>
          </cell>
          <cell r="X140">
            <v>9.9973907000000001E-2</v>
          </cell>
          <cell r="Y140">
            <v>0.33732082800000002</v>
          </cell>
          <cell r="Z140">
            <v>0.27149865400000001</v>
          </cell>
          <cell r="AB140" t="str">
            <v>1992OK</v>
          </cell>
          <cell r="AC140">
            <v>0</v>
          </cell>
          <cell r="AD140">
            <v>0.15555555555555556</v>
          </cell>
          <cell r="AE140">
            <v>0.133333333</v>
          </cell>
          <cell r="AF140">
            <v>0.71111111100000002</v>
          </cell>
        </row>
        <row r="141">
          <cell r="B141" t="str">
            <v>1992OR</v>
          </cell>
          <cell r="C141">
            <v>0.30172764387032441</v>
          </cell>
          <cell r="D141">
            <v>0.18986311338759157</v>
          </cell>
          <cell r="E141">
            <v>0</v>
          </cell>
          <cell r="F141">
            <v>0.14442577716150223</v>
          </cell>
          <cell r="G141">
            <v>0.33079492098752972</v>
          </cell>
          <cell r="H141">
            <v>3.3188544593052031E-2</v>
          </cell>
          <cell r="J141" t="str">
            <v>1992OR</v>
          </cell>
          <cell r="K141">
            <v>0.66920507901247028</v>
          </cell>
          <cell r="L141">
            <v>0.33079492098752972</v>
          </cell>
          <cell r="M141">
            <v>0</v>
          </cell>
          <cell r="U141" t="str">
            <v>1992OR</v>
          </cell>
          <cell r="V141">
            <v>0.48801771300000002</v>
          </cell>
          <cell r="W141">
            <v>2.2527221E-2</v>
          </cell>
          <cell r="X141">
            <v>0.14130711100000001</v>
          </cell>
          <cell r="Y141">
            <v>0.108028263</v>
          </cell>
          <cell r="Z141">
            <v>0.240119693</v>
          </cell>
          <cell r="AB141" t="str">
            <v>1992OR</v>
          </cell>
          <cell r="AC141">
            <v>0</v>
          </cell>
          <cell r="AD141">
            <v>7.0000000000000007E-2</v>
          </cell>
          <cell r="AE141">
            <v>0.14111111100000001</v>
          </cell>
          <cell r="AF141">
            <v>0.78888888899999998</v>
          </cell>
        </row>
        <row r="142">
          <cell r="B142" t="str">
            <v>1992PA</v>
          </cell>
          <cell r="C142">
            <v>2.921516527495149E-2</v>
          </cell>
          <cell r="D142">
            <v>8.9778762884150654E-2</v>
          </cell>
          <cell r="E142">
            <v>0.48261555570995929</v>
          </cell>
          <cell r="F142">
            <v>0.27379413342288028</v>
          </cell>
          <cell r="G142">
            <v>0.10096637820948601</v>
          </cell>
          <cell r="H142">
            <v>2.3630004498572259E-2</v>
          </cell>
          <cell r="J142" t="str">
            <v>1992PA</v>
          </cell>
          <cell r="K142">
            <v>0.41641806608055476</v>
          </cell>
          <cell r="L142">
            <v>0.10096637820948601</v>
          </cell>
          <cell r="M142">
            <v>0.48261555570995929</v>
          </cell>
          <cell r="U142" t="str">
            <v>1992PA</v>
          </cell>
          <cell r="V142">
            <v>0.107982326</v>
          </cell>
          <cell r="W142">
            <v>4.3663312000000003E-2</v>
          </cell>
          <cell r="X142">
            <v>0.24141446599999999</v>
          </cell>
          <cell r="Y142">
            <v>0.173500614</v>
          </cell>
          <cell r="Z142">
            <v>0.43343928199999998</v>
          </cell>
          <cell r="AB142" t="str">
            <v>1992PA</v>
          </cell>
          <cell r="AC142">
            <v>0.23333333333333334</v>
          </cell>
          <cell r="AD142">
            <v>3.888888888888889E-2</v>
          </cell>
          <cell r="AE142">
            <v>0</v>
          </cell>
          <cell r="AF142">
            <v>0.72777777799999999</v>
          </cell>
        </row>
        <row r="143">
          <cell r="B143" t="str">
            <v>1992RI</v>
          </cell>
          <cell r="C143">
            <v>2.1160119314162895E-2</v>
          </cell>
          <cell r="D143">
            <v>8.3381202076593594E-2</v>
          </cell>
          <cell r="E143">
            <v>0.47900321677679891</v>
          </cell>
          <cell r="F143">
            <v>0.28958768063488644</v>
          </cell>
          <cell r="G143">
            <v>9.7707874449339191E-2</v>
          </cell>
          <cell r="H143">
            <v>2.9159906748219042E-2</v>
          </cell>
          <cell r="J143" t="str">
            <v>1992RI</v>
          </cell>
          <cell r="K143">
            <v>0.42328890877386194</v>
          </cell>
          <cell r="L143">
            <v>9.7707874449339191E-2</v>
          </cell>
          <cell r="M143">
            <v>0.47900321677679891</v>
          </cell>
          <cell r="U143" t="str">
            <v>1992RI</v>
          </cell>
          <cell r="V143">
            <v>0.238419619</v>
          </cell>
          <cell r="W143">
            <v>3.3509536999999999E-2</v>
          </cell>
          <cell r="X143">
            <v>0.21019618500000001</v>
          </cell>
          <cell r="Y143">
            <v>0.16069346000000001</v>
          </cell>
          <cell r="Z143">
            <v>0.357181199</v>
          </cell>
          <cell r="AB143" t="str">
            <v>1992RI</v>
          </cell>
          <cell r="AC143">
            <v>7.7777777777777779E-2</v>
          </cell>
          <cell r="AD143">
            <v>7.0000000000000007E-2</v>
          </cell>
          <cell r="AE143">
            <v>1.1111111E-2</v>
          </cell>
          <cell r="AF143">
            <v>0.84111111100000002</v>
          </cell>
        </row>
        <row r="144">
          <cell r="B144" t="str">
            <v>1992SC</v>
          </cell>
          <cell r="C144">
            <v>0.1060530561491369</v>
          </cell>
          <cell r="D144">
            <v>7.686375254995774E-2</v>
          </cell>
          <cell r="E144">
            <v>0.14718439291419974</v>
          </cell>
          <cell r="F144">
            <v>8.4697332518529636E-2</v>
          </cell>
          <cell r="G144">
            <v>0.58118933057670019</v>
          </cell>
          <cell r="H144">
            <v>4.0121352914758305E-3</v>
          </cell>
          <cell r="J144" t="str">
            <v>1992SC</v>
          </cell>
          <cell r="K144">
            <v>0.2716262765091001</v>
          </cell>
          <cell r="L144">
            <v>0.58118933057670019</v>
          </cell>
          <cell r="M144">
            <v>0.14718439291419974</v>
          </cell>
          <cell r="U144" t="str">
            <v>1992SC</v>
          </cell>
          <cell r="V144">
            <v>0.18186841400000001</v>
          </cell>
          <cell r="W144">
            <v>3.3645216999999998E-2</v>
          </cell>
          <cell r="X144">
            <v>0.15153023199999999</v>
          </cell>
          <cell r="Y144">
            <v>0.30268943599999998</v>
          </cell>
          <cell r="Z144">
            <v>0.33026670200000002</v>
          </cell>
          <cell r="AB144" t="str">
            <v>1992SC</v>
          </cell>
          <cell r="AC144">
            <v>7.7777777777777779E-2</v>
          </cell>
          <cell r="AD144">
            <v>0</v>
          </cell>
          <cell r="AE144">
            <v>0.44444444399999999</v>
          </cell>
          <cell r="AF144">
            <v>0.47777777799999999</v>
          </cell>
        </row>
        <row r="145">
          <cell r="B145" t="str">
            <v>1992SD</v>
          </cell>
          <cell r="C145">
            <v>4.934496456149931E-2</v>
          </cell>
          <cell r="D145">
            <v>0.15321338397251302</v>
          </cell>
          <cell r="E145">
            <v>0.20943685806642223</v>
          </cell>
          <cell r="F145">
            <v>0.42537575940378364</v>
          </cell>
          <cell r="G145">
            <v>0.12399495577066787</v>
          </cell>
          <cell r="H145">
            <v>3.8634078225113978E-2</v>
          </cell>
          <cell r="J145" t="str">
            <v>1992SD</v>
          </cell>
          <cell r="K145">
            <v>0.66656818616290991</v>
          </cell>
          <cell r="L145">
            <v>0.12399495577066787</v>
          </cell>
          <cell r="M145">
            <v>0.20943685806642223</v>
          </cell>
          <cell r="U145" t="str">
            <v>1992SD</v>
          </cell>
          <cell r="V145">
            <v>0.144740534</v>
          </cell>
          <cell r="W145">
            <v>4.0401548000000002E-2</v>
          </cell>
          <cell r="X145">
            <v>0.233050637</v>
          </cell>
          <cell r="Y145">
            <v>0.171225976</v>
          </cell>
          <cell r="Z145">
            <v>0.41058130500000001</v>
          </cell>
          <cell r="AB145" t="str">
            <v>1992SD</v>
          </cell>
          <cell r="AC145">
            <v>0</v>
          </cell>
          <cell r="AD145">
            <v>0</v>
          </cell>
          <cell r="AE145">
            <v>0.16</v>
          </cell>
          <cell r="AF145">
            <v>0.84</v>
          </cell>
        </row>
        <row r="146">
          <cell r="B146" t="str">
            <v>1992TN</v>
          </cell>
          <cell r="C146">
            <v>2.7324304039012964E-2</v>
          </cell>
          <cell r="D146">
            <v>7.0114654465175216E-2</v>
          </cell>
          <cell r="E146">
            <v>0.14186484493677126</v>
          </cell>
          <cell r="F146">
            <v>0.13252450898097146</v>
          </cell>
          <cell r="G146">
            <v>0.61274644071363271</v>
          </cell>
          <cell r="H146">
            <v>1.5425246864436372E-2</v>
          </cell>
          <cell r="J146" t="str">
            <v>1992TN</v>
          </cell>
          <cell r="K146">
            <v>0.24538871434959608</v>
          </cell>
          <cell r="L146">
            <v>0.61274644071363271</v>
          </cell>
          <cell r="M146">
            <v>0.14186484493677126</v>
          </cell>
          <cell r="U146" t="str">
            <v>1992TN</v>
          </cell>
          <cell r="V146">
            <v>0.23266783899999999</v>
          </cell>
          <cell r="W146">
            <v>3.2290655000000001E-2</v>
          </cell>
          <cell r="X146">
            <v>0.16531180400000001</v>
          </cell>
          <cell r="Y146">
            <v>0.243285432</v>
          </cell>
          <cell r="Z146">
            <v>0.32644426900000001</v>
          </cell>
          <cell r="AB146" t="str">
            <v>1992TN</v>
          </cell>
          <cell r="AC146">
            <v>0</v>
          </cell>
          <cell r="AD146">
            <v>0.7</v>
          </cell>
          <cell r="AE146">
            <v>6.5555556000000001E-2</v>
          </cell>
          <cell r="AF146">
            <v>0.234444444</v>
          </cell>
        </row>
        <row r="147">
          <cell r="B147" t="str">
            <v>1992TX</v>
          </cell>
          <cell r="C147">
            <v>0.43644699969620837</v>
          </cell>
          <cell r="D147">
            <v>0.2644505950878045</v>
          </cell>
          <cell r="E147">
            <v>6.3129550644091162E-2</v>
          </cell>
          <cell r="F147">
            <v>0.19308824114006534</v>
          </cell>
          <cell r="G147">
            <v>0</v>
          </cell>
          <cell r="H147">
            <v>4.2884613431830636E-2</v>
          </cell>
          <cell r="J147" t="str">
            <v>1992TX</v>
          </cell>
          <cell r="K147">
            <v>0.9368704493559088</v>
          </cell>
          <cell r="L147">
            <v>0</v>
          </cell>
          <cell r="M147">
            <v>6.3129550644091162E-2</v>
          </cell>
          <cell r="U147" t="str">
            <v>1992TX</v>
          </cell>
          <cell r="V147">
            <v>0.25776063500000002</v>
          </cell>
          <cell r="W147">
            <v>2.9933387999999998E-2</v>
          </cell>
          <cell r="X147">
            <v>0.118821385</v>
          </cell>
          <cell r="Y147">
            <v>0.30727402199999998</v>
          </cell>
          <cell r="Z147">
            <v>0.28621057</v>
          </cell>
          <cell r="AB147" t="str">
            <v>1992TX</v>
          </cell>
          <cell r="AC147">
            <v>0.38888888888888884</v>
          </cell>
          <cell r="AD147">
            <v>0</v>
          </cell>
          <cell r="AE147">
            <v>0.33777777799999997</v>
          </cell>
          <cell r="AF147">
            <v>0.27333333300000001</v>
          </cell>
        </row>
        <row r="148">
          <cell r="B148" t="str">
            <v>1992UT</v>
          </cell>
          <cell r="C148">
            <v>0.3408163306177831</v>
          </cell>
          <cell r="D148">
            <v>0.26856064563622567</v>
          </cell>
          <cell r="E148">
            <v>4.3488644191417805E-2</v>
          </cell>
          <cell r="F148">
            <v>0.25450549677933004</v>
          </cell>
          <cell r="G148">
            <v>2.5747008252630443E-2</v>
          </cell>
          <cell r="H148">
            <v>6.6881874522612836E-2</v>
          </cell>
          <cell r="J148" t="str">
            <v>1992UT</v>
          </cell>
          <cell r="K148">
            <v>0.93076434755595172</v>
          </cell>
          <cell r="L148">
            <v>2.5747008252630443E-2</v>
          </cell>
          <cell r="M148">
            <v>4.3488644191417805E-2</v>
          </cell>
          <cell r="U148" t="str">
            <v>1992UT</v>
          </cell>
          <cell r="V148">
            <v>0.544215165</v>
          </cell>
          <cell r="W148">
            <v>2.0054532999999999E-2</v>
          </cell>
          <cell r="X148">
            <v>0.125796614</v>
          </cell>
          <cell r="Y148">
            <v>9.6170599999999995E-2</v>
          </cell>
          <cell r="Z148">
            <v>0.21376308699999999</v>
          </cell>
          <cell r="AB148" t="str">
            <v>1992UT</v>
          </cell>
          <cell r="AC148">
            <v>0.38888888888888884</v>
          </cell>
          <cell r="AD148">
            <v>0</v>
          </cell>
          <cell r="AE148">
            <v>0.133333333</v>
          </cell>
          <cell r="AF148">
            <v>0.47777777799999999</v>
          </cell>
        </row>
        <row r="149">
          <cell r="B149" t="str">
            <v>1992VT</v>
          </cell>
          <cell r="C149">
            <v>4.0072020212799001E-2</v>
          </cell>
          <cell r="D149">
            <v>0.11618599158657865</v>
          </cell>
          <cell r="E149">
            <v>0.46727553003241384</v>
          </cell>
          <cell r="F149">
            <v>0.26210436010185856</v>
          </cell>
          <cell r="G149">
            <v>8.7128935966130833E-2</v>
          </cell>
          <cell r="H149">
            <v>2.7233162100219199E-2</v>
          </cell>
          <cell r="J149" t="str">
            <v>1992VT</v>
          </cell>
          <cell r="K149">
            <v>0.44559553400145535</v>
          </cell>
          <cell r="L149">
            <v>8.7128935966130833E-2</v>
          </cell>
          <cell r="M149">
            <v>0.46727553003241384</v>
          </cell>
          <cell r="U149" t="str">
            <v>1992VT</v>
          </cell>
          <cell r="V149">
            <v>1</v>
          </cell>
          <cell r="W149">
            <v>0</v>
          </cell>
          <cell r="X149">
            <v>0</v>
          </cell>
          <cell r="Y149">
            <v>0</v>
          </cell>
          <cell r="Z149">
            <v>0</v>
          </cell>
          <cell r="AB149" t="str">
            <v>1992VT</v>
          </cell>
          <cell r="AC149">
            <v>7.7777777777777779E-2</v>
          </cell>
          <cell r="AD149">
            <v>7.0000000000000007E-2</v>
          </cell>
          <cell r="AE149">
            <v>1.1111111E-2</v>
          </cell>
          <cell r="AF149">
            <v>0.84111111100000002</v>
          </cell>
        </row>
        <row r="150">
          <cell r="B150" t="str">
            <v>1992VA</v>
          </cell>
          <cell r="C150">
            <v>3.179278087434477E-2</v>
          </cell>
          <cell r="D150">
            <v>7.7890850207752993E-2</v>
          </cell>
          <cell r="E150">
            <v>0.1425321968750223</v>
          </cell>
          <cell r="F150">
            <v>0.12284474070327608</v>
          </cell>
          <cell r="G150">
            <v>0.60878751437161238</v>
          </cell>
          <cell r="H150">
            <v>1.615191696799146E-2</v>
          </cell>
          <cell r="J150" t="str">
            <v>1992VA</v>
          </cell>
          <cell r="K150">
            <v>0.24868028875336534</v>
          </cell>
          <cell r="L150">
            <v>0.60878751437161238</v>
          </cell>
          <cell r="M150">
            <v>0.1425321968750223</v>
          </cell>
          <cell r="U150" t="str">
            <v>1992VA</v>
          </cell>
          <cell r="V150">
            <v>0.104783687</v>
          </cell>
          <cell r="W150">
            <v>3.4990518999999998E-2</v>
          </cell>
          <cell r="X150">
            <v>0.10819703899999999</v>
          </cell>
          <cell r="Y150">
            <v>0.43209240999999998</v>
          </cell>
          <cell r="Z150">
            <v>0.31993634399999998</v>
          </cell>
          <cell r="AB150" t="str">
            <v>1992VA</v>
          </cell>
          <cell r="AC150">
            <v>0.54444444444444451</v>
          </cell>
          <cell r="AD150">
            <v>0</v>
          </cell>
          <cell r="AE150">
            <v>1.1111111E-2</v>
          </cell>
          <cell r="AF150">
            <v>0.44444444399999999</v>
          </cell>
        </row>
        <row r="151">
          <cell r="B151" t="str">
            <v>1992WA</v>
          </cell>
          <cell r="C151">
            <v>0.35118448464289537</v>
          </cell>
          <cell r="D151">
            <v>0.20550206680564437</v>
          </cell>
          <cell r="E151">
            <v>0</v>
          </cell>
          <cell r="F151">
            <v>0.12594673385184735</v>
          </cell>
          <cell r="G151">
            <v>0.29192481475532051</v>
          </cell>
          <cell r="H151">
            <v>2.5441899944292447E-2</v>
          </cell>
          <cell r="J151" t="str">
            <v>1992WA</v>
          </cell>
          <cell r="K151">
            <v>0.70807518524467949</v>
          </cell>
          <cell r="L151">
            <v>0.29192481475532051</v>
          </cell>
          <cell r="M151">
            <v>0</v>
          </cell>
          <cell r="U151" t="str">
            <v>1992WA</v>
          </cell>
          <cell r="V151">
            <v>0.32160723499999999</v>
          </cell>
          <cell r="W151">
            <v>3.2643392E-2</v>
          </cell>
          <cell r="X151">
            <v>0.18420945</v>
          </cell>
          <cell r="Y151">
            <v>0.13382717099999999</v>
          </cell>
          <cell r="Z151">
            <v>0.327712752</v>
          </cell>
          <cell r="AB151" t="str">
            <v>1992WA</v>
          </cell>
          <cell r="AC151">
            <v>0</v>
          </cell>
          <cell r="AD151">
            <v>7.7777777777777779E-2</v>
          </cell>
          <cell r="AE151">
            <v>2.6666667000000002E-2</v>
          </cell>
          <cell r="AF151">
            <v>0.89555555600000003</v>
          </cell>
        </row>
        <row r="152">
          <cell r="B152" t="str">
            <v>1992WV</v>
          </cell>
          <cell r="C152">
            <v>3.916010831378041E-2</v>
          </cell>
          <cell r="D152">
            <v>0.11405058285388173</v>
          </cell>
          <cell r="E152">
            <v>0.46868791682715627</v>
          </cell>
          <cell r="F152">
            <v>0.26291325280206979</v>
          </cell>
          <cell r="G152">
            <v>8.8402976903763281E-2</v>
          </cell>
          <cell r="H152">
            <v>2.6785162299348499E-2</v>
          </cell>
          <cell r="J152" t="str">
            <v>1992WV</v>
          </cell>
          <cell r="K152">
            <v>0.44290910626908042</v>
          </cell>
          <cell r="L152">
            <v>8.8402976903763281E-2</v>
          </cell>
          <cell r="M152">
            <v>0.46868791682715627</v>
          </cell>
          <cell r="U152" t="str">
            <v>1992WV</v>
          </cell>
          <cell r="V152">
            <v>0.68917249899999999</v>
          </cell>
          <cell r="W152">
            <v>1.367641E-2</v>
          </cell>
          <cell r="X152">
            <v>8.5788390000000006E-2</v>
          </cell>
          <cell r="Y152">
            <v>6.5584603000000005E-2</v>
          </cell>
          <cell r="Z152">
            <v>0.14577809799999999</v>
          </cell>
          <cell r="AB152" t="str">
            <v>1992WV</v>
          </cell>
          <cell r="AC152">
            <v>0.77777777777777768</v>
          </cell>
          <cell r="AD152">
            <v>0</v>
          </cell>
          <cell r="AE152">
            <v>1.1111111E-2</v>
          </cell>
          <cell r="AF152">
            <v>0.21111111099999999</v>
          </cell>
        </row>
        <row r="153">
          <cell r="B153" t="str">
            <v>1992WI</v>
          </cell>
          <cell r="C153">
            <v>3.8114418660830179E-2</v>
          </cell>
          <cell r="D153">
            <v>0.12951752167105887</v>
          </cell>
          <cell r="E153">
            <v>0.22292235537315713</v>
          </cell>
          <cell r="F153">
            <v>0.44202720914672056</v>
          </cell>
          <cell r="G153">
            <v>0.13197890691246617</v>
          </cell>
          <cell r="H153">
            <v>3.5439588235767067E-2</v>
          </cell>
          <cell r="J153" t="str">
            <v>1992WI</v>
          </cell>
          <cell r="K153">
            <v>0.64509873771437665</v>
          </cell>
          <cell r="L153">
            <v>0.13197890691246617</v>
          </cell>
          <cell r="M153">
            <v>0.22292235537315713</v>
          </cell>
          <cell r="U153" t="str">
            <v>1992WI</v>
          </cell>
          <cell r="V153">
            <v>0.19420881000000001</v>
          </cell>
          <cell r="W153">
            <v>3.7627571999999998E-2</v>
          </cell>
          <cell r="X153">
            <v>0.22004454600000001</v>
          </cell>
          <cell r="Y153">
            <v>0.16277941000000001</v>
          </cell>
          <cell r="Z153">
            <v>0.38533966200000003</v>
          </cell>
          <cell r="AB153" t="str">
            <v>1992WI</v>
          </cell>
          <cell r="AC153">
            <v>0.31111111111111112</v>
          </cell>
          <cell r="AD153">
            <v>3.888888888888889E-2</v>
          </cell>
          <cell r="AE153">
            <v>4.4444439999999997E-3</v>
          </cell>
          <cell r="AF153">
            <v>0.64555555600000003</v>
          </cell>
        </row>
        <row r="154">
          <cell r="B154" t="str">
            <v>1992WY</v>
          </cell>
          <cell r="C154">
            <v>0.24575173409635234</v>
          </cell>
          <cell r="D154">
            <v>0.19245347201944651</v>
          </cell>
          <cell r="E154">
            <v>0.16554847946287521</v>
          </cell>
          <cell r="F154">
            <v>0.23476562808063112</v>
          </cell>
          <cell r="G154">
            <v>9.8011288836229588E-2</v>
          </cell>
          <cell r="H154">
            <v>6.346939750446523E-2</v>
          </cell>
          <cell r="J154" t="str">
            <v>1992WY</v>
          </cell>
          <cell r="K154">
            <v>0.73644023170089523</v>
          </cell>
          <cell r="L154">
            <v>9.8011288836229588E-2</v>
          </cell>
          <cell r="M154">
            <v>0.16554847946287521</v>
          </cell>
          <cell r="U154" t="str">
            <v>1992WY</v>
          </cell>
          <cell r="V154">
            <v>0.40237178800000001</v>
          </cell>
          <cell r="W154">
            <v>2.6295641000000002E-2</v>
          </cell>
          <cell r="X154">
            <v>0.164945386</v>
          </cell>
          <cell r="Y154">
            <v>0.126099553</v>
          </cell>
          <cell r="Z154">
            <v>0.28028763099999998</v>
          </cell>
          <cell r="AB154" t="str">
            <v>1992WY</v>
          </cell>
          <cell r="AC154">
            <v>0</v>
          </cell>
          <cell r="AD154">
            <v>6.222222222222222E-2</v>
          </cell>
          <cell r="AE154">
            <v>0.164444444</v>
          </cell>
          <cell r="AF154">
            <v>0.77333333299999996</v>
          </cell>
        </row>
        <row r="155">
          <cell r="B155" t="str">
            <v>1993AL</v>
          </cell>
          <cell r="C155">
            <v>0.10436985193890651</v>
          </cell>
          <cell r="D155">
            <v>7.3456266165980208E-2</v>
          </cell>
          <cell r="E155">
            <v>0.14858856316275793</v>
          </cell>
          <cell r="F155">
            <v>9.6105152881920827E-2</v>
          </cell>
          <cell r="G155">
            <v>0.57285938311259732</v>
          </cell>
          <cell r="H155">
            <v>4.6207827378371884E-3</v>
          </cell>
          <cell r="J155" t="str">
            <v>1993AL</v>
          </cell>
          <cell r="K155">
            <v>0.27855205372464475</v>
          </cell>
          <cell r="L155">
            <v>0.57285938311259732</v>
          </cell>
          <cell r="M155">
            <v>0.14858856316275793</v>
          </cell>
          <cell r="U155" t="str">
            <v>1993AL</v>
          </cell>
          <cell r="V155">
            <v>0.16723581900000001</v>
          </cell>
          <cell r="W155">
            <v>3.3928848999999997E-2</v>
          </cell>
          <cell r="X155">
            <v>0.144196719</v>
          </cell>
          <cell r="Y155">
            <v>0.325690969</v>
          </cell>
          <cell r="Z155">
            <v>0.32894764500000001</v>
          </cell>
          <cell r="AB155" t="str">
            <v>1993AL</v>
          </cell>
          <cell r="AC155">
            <v>0</v>
          </cell>
          <cell r="AD155">
            <v>6.6666666666666666E-2</v>
          </cell>
          <cell r="AE155">
            <v>0.67300000000000004</v>
          </cell>
          <cell r="AF155">
            <v>0.260333333</v>
          </cell>
        </row>
        <row r="156">
          <cell r="B156" t="str">
            <v>1993AK</v>
          </cell>
          <cell r="C156">
            <v>4.9861567651818053E-2</v>
          </cell>
          <cell r="D156">
            <v>3.9102196506920012E-2</v>
          </cell>
          <cell r="E156">
            <v>0.53613937216338881</v>
          </cell>
          <cell r="F156">
            <v>4.5297852014437381E-2</v>
          </cell>
          <cell r="G156">
            <v>0.3174158472012103</v>
          </cell>
          <cell r="H156">
            <v>1.2183164462225435E-2</v>
          </cell>
          <cell r="J156" t="str">
            <v>1993AK</v>
          </cell>
          <cell r="K156">
            <v>0.1464447806354009</v>
          </cell>
          <cell r="L156">
            <v>0.3174158472012103</v>
          </cell>
          <cell r="M156">
            <v>0.53613937216338881</v>
          </cell>
          <cell r="U156" t="str">
            <v>1993AK</v>
          </cell>
          <cell r="V156">
            <v>1</v>
          </cell>
          <cell r="W156">
            <v>0</v>
          </cell>
          <cell r="X156">
            <v>0</v>
          </cell>
          <cell r="Y156">
            <v>0</v>
          </cell>
          <cell r="Z156">
            <v>0</v>
          </cell>
          <cell r="AB156" t="str">
            <v>1993AK</v>
          </cell>
          <cell r="AC156">
            <v>6.6666666666666666E-2</v>
          </cell>
          <cell r="AD156">
            <v>0.08</v>
          </cell>
          <cell r="AE156">
            <v>0.18333333299999999</v>
          </cell>
          <cell r="AF156">
            <v>0.67</v>
          </cell>
        </row>
        <row r="157">
          <cell r="B157" t="str">
            <v>1993AZ</v>
          </cell>
          <cell r="C157">
            <v>0.59730783841429902</v>
          </cell>
          <cell r="D157">
            <v>0.21416003504844525</v>
          </cell>
          <cell r="E157">
            <v>9.3514825871405638E-2</v>
          </cell>
          <cell r="F157">
            <v>9.3191251325620741E-2</v>
          </cell>
          <cell r="G157">
            <v>0</v>
          </cell>
          <cell r="H157">
            <v>1.8260493402293882E-3</v>
          </cell>
          <cell r="J157" t="str">
            <v>1993AZ</v>
          </cell>
          <cell r="K157">
            <v>0.90648517412859442</v>
          </cell>
          <cell r="L157">
            <v>0</v>
          </cell>
          <cell r="M157">
            <v>9.3514825871405638E-2</v>
          </cell>
          <cell r="U157" t="str">
            <v>1993AZ</v>
          </cell>
          <cell r="V157">
            <v>3.6354870999999997E-2</v>
          </cell>
          <cell r="W157">
            <v>3.6874580999999997E-2</v>
          </cell>
          <cell r="X157">
            <v>9.1508523999999994E-2</v>
          </cell>
          <cell r="Y157">
            <v>0.50882715300000003</v>
          </cell>
          <cell r="Z157">
            <v>0.32643487100000002</v>
          </cell>
          <cell r="AB157" t="str">
            <v>1993AZ</v>
          </cell>
          <cell r="AC157">
            <v>0</v>
          </cell>
          <cell r="AD157">
            <v>0</v>
          </cell>
          <cell r="AE157">
            <v>0.2</v>
          </cell>
          <cell r="AF157">
            <v>0.8</v>
          </cell>
        </row>
        <row r="158">
          <cell r="B158" t="str">
            <v>1993AR</v>
          </cell>
          <cell r="C158">
            <v>6.3542377605662226E-2</v>
          </cell>
          <cell r="D158">
            <v>5.0098767027022831E-2</v>
          </cell>
          <cell r="E158">
            <v>0.13912499999999997</v>
          </cell>
          <cell r="F158">
            <v>0.11247130507978023</v>
          </cell>
          <cell r="G158">
            <v>0.629</v>
          </cell>
          <cell r="H158">
            <v>5.7625502875347304E-3</v>
          </cell>
          <cell r="J158" t="str">
            <v>1993AR</v>
          </cell>
          <cell r="K158">
            <v>0.23187500000000005</v>
          </cell>
          <cell r="L158">
            <v>0.629</v>
          </cell>
          <cell r="M158">
            <v>0.13912499999999997</v>
          </cell>
          <cell r="U158" t="str">
            <v>1993AR</v>
          </cell>
          <cell r="V158">
            <v>4.7596019000000003E-2</v>
          </cell>
          <cell r="W158">
            <v>3.7091634999999998E-2</v>
          </cell>
          <cell r="X158">
            <v>0.110874213</v>
          </cell>
          <cell r="Y158">
            <v>0.467110423</v>
          </cell>
          <cell r="Z158">
            <v>0.33732770899999998</v>
          </cell>
          <cell r="AB158" t="str">
            <v>1993AR</v>
          </cell>
          <cell r="AC158">
            <v>0</v>
          </cell>
          <cell r="AD158">
            <v>0.4</v>
          </cell>
          <cell r="AE158">
            <v>0.26666666700000002</v>
          </cell>
          <cell r="AF158">
            <v>0.33333333300000001</v>
          </cell>
        </row>
        <row r="159">
          <cell r="B159" t="str">
            <v>1993CA</v>
          </cell>
          <cell r="C159">
            <v>0.54870223987369471</v>
          </cell>
          <cell r="D159">
            <v>0.22278324126021928</v>
          </cell>
          <cell r="E159">
            <v>0.11605500830061466</v>
          </cell>
          <cell r="F159">
            <v>9.0779577345639864E-2</v>
          </cell>
          <cell r="G159">
            <v>1.7431965298173747E-2</v>
          </cell>
          <cell r="H159">
            <v>4.2479679216577042E-3</v>
          </cell>
          <cell r="J159" t="str">
            <v>1993CA</v>
          </cell>
          <cell r="K159">
            <v>0.86651302640121153</v>
          </cell>
          <cell r="L159">
            <v>1.7431965298173747E-2</v>
          </cell>
          <cell r="M159">
            <v>0.11605500830061466</v>
          </cell>
          <cell r="U159" t="str">
            <v>1993CA</v>
          </cell>
          <cell r="V159">
            <v>0.119294073</v>
          </cell>
          <cell r="W159">
            <v>3.3561212999999999E-2</v>
          </cell>
          <cell r="X159">
            <v>7.9223940000000007E-2</v>
          </cell>
          <cell r="Y159">
            <v>0.47275337000000001</v>
          </cell>
          <cell r="Z159">
            <v>0.29516740299999999</v>
          </cell>
          <cell r="AB159" t="str">
            <v>1993CA</v>
          </cell>
          <cell r="AC159">
            <v>0.3</v>
          </cell>
          <cell r="AD159">
            <v>0.02</v>
          </cell>
          <cell r="AE159">
            <v>8.6666667000000003E-2</v>
          </cell>
          <cell r="AF159">
            <v>0.59333333300000002</v>
          </cell>
        </row>
        <row r="160">
          <cell r="B160" t="str">
            <v>1993CO</v>
          </cell>
          <cell r="C160">
            <v>0.50389754178767487</v>
          </cell>
          <cell r="D160">
            <v>0.26961908814953223</v>
          </cell>
          <cell r="E160">
            <v>2.9848218505984965E-2</v>
          </cell>
          <cell r="F160">
            <v>0.15201638223158073</v>
          </cell>
          <cell r="G160">
            <v>1.7671333344339357E-2</v>
          </cell>
          <cell r="H160">
            <v>2.6947435980887974E-2</v>
          </cell>
          <cell r="J160" t="str">
            <v>1993CO</v>
          </cell>
          <cell r="K160">
            <v>0.9524804481496757</v>
          </cell>
          <cell r="L160">
            <v>1.7671333344339357E-2</v>
          </cell>
          <cell r="M160">
            <v>2.9848218505984965E-2</v>
          </cell>
          <cell r="U160" t="str">
            <v>1993CO</v>
          </cell>
          <cell r="V160">
            <v>7.0830008E-2</v>
          </cell>
          <cell r="W160">
            <v>4.9735392000000003E-2</v>
          </cell>
          <cell r="X160">
            <v>0.24686134600000001</v>
          </cell>
          <cell r="Y160">
            <v>0.16654849299999999</v>
          </cell>
          <cell r="Z160">
            <v>0.46602476100000001</v>
          </cell>
          <cell r="AB160" t="str">
            <v>1993CO</v>
          </cell>
          <cell r="AC160">
            <v>0</v>
          </cell>
          <cell r="AD160">
            <v>5.333333333333333E-2</v>
          </cell>
          <cell r="AE160">
            <v>0.22666666699999999</v>
          </cell>
          <cell r="AF160">
            <v>0.72</v>
          </cell>
        </row>
        <row r="161">
          <cell r="B161" t="str">
            <v>1993CT</v>
          </cell>
          <cell r="C161">
            <v>8.2513463910567034E-2</v>
          </cell>
          <cell r="D161">
            <v>0.16963033831903232</v>
          </cell>
          <cell r="E161">
            <v>0.44313775075429057</v>
          </cell>
          <cell r="F161">
            <v>0.21250389708372927</v>
          </cell>
          <cell r="G161">
            <v>6.5355496099416641E-2</v>
          </cell>
          <cell r="H161">
            <v>2.6859053832964167E-2</v>
          </cell>
          <cell r="J161" t="str">
            <v>1993CT</v>
          </cell>
          <cell r="K161">
            <v>0.49150675314629277</v>
          </cell>
          <cell r="L161">
            <v>6.5355496099416641E-2</v>
          </cell>
          <cell r="M161">
            <v>0.44313775075429057</v>
          </cell>
          <cell r="U161" t="str">
            <v>1993CT</v>
          </cell>
          <cell r="V161">
            <v>0.920441379</v>
          </cell>
          <cell r="W161">
            <v>3.5005790000000002E-3</v>
          </cell>
          <cell r="X161">
            <v>2.1958179000000001E-2</v>
          </cell>
          <cell r="Y161">
            <v>1.6786868999999999E-2</v>
          </cell>
          <cell r="Z161">
            <v>3.7312993000000003E-2</v>
          </cell>
          <cell r="AB161" t="str">
            <v>1993CT</v>
          </cell>
          <cell r="AC161">
            <v>0</v>
          </cell>
          <cell r="AD161">
            <v>0</v>
          </cell>
          <cell r="AE161">
            <v>1.6666667E-2</v>
          </cell>
          <cell r="AF161">
            <v>0.98333333300000003</v>
          </cell>
        </row>
        <row r="162">
          <cell r="B162" t="str">
            <v>1993DE</v>
          </cell>
          <cell r="C162">
            <v>6.1981877265140276E-2</v>
          </cell>
          <cell r="D162">
            <v>0.1626351561169391</v>
          </cell>
          <cell r="E162">
            <v>0.44261441929049145</v>
          </cell>
          <cell r="F162">
            <v>0.23444274971326545</v>
          </cell>
          <cell r="G162">
            <v>6.4883425904967679E-2</v>
          </cell>
          <cell r="H162">
            <v>3.3442371709196034E-2</v>
          </cell>
          <cell r="J162" t="str">
            <v>1993DE</v>
          </cell>
          <cell r="K162">
            <v>0.49250215480454085</v>
          </cell>
          <cell r="L162">
            <v>6.4883425904967679E-2</v>
          </cell>
          <cell r="M162">
            <v>0.44261441929049145</v>
          </cell>
          <cell r="U162" t="str">
            <v>1993DE</v>
          </cell>
          <cell r="V162">
            <v>9.7548356000000003E-2</v>
          </cell>
          <cell r="W162">
            <v>4.696823E-2</v>
          </cell>
          <cell r="X162">
            <v>0.24121126600000001</v>
          </cell>
          <cell r="Y162">
            <v>0.166216104</v>
          </cell>
          <cell r="Z162">
            <v>0.44805604399999999</v>
          </cell>
          <cell r="AB162" t="str">
            <v>1993DE</v>
          </cell>
          <cell r="AC162">
            <v>0</v>
          </cell>
          <cell r="AD162">
            <v>0</v>
          </cell>
          <cell r="AE162">
            <v>1.6666667E-2</v>
          </cell>
          <cell r="AF162">
            <v>0.98333333300000003</v>
          </cell>
        </row>
        <row r="163">
          <cell r="B163" t="str">
            <v>1993FL</v>
          </cell>
          <cell r="C163">
            <v>0.38159418588657668</v>
          </cell>
          <cell r="D163">
            <v>0.14661637844418826</v>
          </cell>
          <cell r="E163">
            <v>0.2144084616089259</v>
          </cell>
          <cell r="F163">
            <v>7.3927238176143398E-2</v>
          </cell>
          <cell r="G163">
            <v>0.18239654805954897</v>
          </cell>
          <cell r="H163">
            <v>1.0571878246168594E-3</v>
          </cell>
          <cell r="J163" t="str">
            <v>1993FL</v>
          </cell>
          <cell r="K163">
            <v>0.60319499033152513</v>
          </cell>
          <cell r="L163">
            <v>0.18239654805954897</v>
          </cell>
          <cell r="M163">
            <v>0.2144084616089259</v>
          </cell>
          <cell r="U163" t="str">
            <v>1993FL</v>
          </cell>
          <cell r="V163">
            <v>0.48800628400000001</v>
          </cell>
          <cell r="W163">
            <v>2.2527722999999999E-2</v>
          </cell>
          <cell r="X163">
            <v>0.14131026599999999</v>
          </cell>
          <cell r="Y163">
            <v>0.10803067399999999</v>
          </cell>
          <cell r="Z163">
            <v>0.240125053</v>
          </cell>
          <cell r="AB163" t="str">
            <v>1993FL</v>
          </cell>
          <cell r="AC163">
            <v>0.08</v>
          </cell>
          <cell r="AD163">
            <v>0.04</v>
          </cell>
          <cell r="AE163">
            <v>0.21966666700000001</v>
          </cell>
          <cell r="AF163">
            <v>0.66033333299999997</v>
          </cell>
        </row>
        <row r="164">
          <cell r="B164" t="str">
            <v>1993GA</v>
          </cell>
          <cell r="C164">
            <v>0.13660930614938696</v>
          </cell>
          <cell r="D164">
            <v>8.8771353108900719E-2</v>
          </cell>
          <cell r="E164">
            <v>0.15715595308203778</v>
          </cell>
          <cell r="F164">
            <v>9.1293772233720288E-2</v>
          </cell>
          <cell r="G164">
            <v>0.52203512728936929</v>
          </cell>
          <cell r="H164">
            <v>4.1344881365849209E-3</v>
          </cell>
          <cell r="J164" t="str">
            <v>1993GA</v>
          </cell>
          <cell r="K164">
            <v>0.32080891962859293</v>
          </cell>
          <cell r="L164">
            <v>0.52203512728936929</v>
          </cell>
          <cell r="M164">
            <v>0.15715595308203778</v>
          </cell>
          <cell r="U164" t="str">
            <v>1993GA</v>
          </cell>
          <cell r="V164">
            <v>0.12209967200000001</v>
          </cell>
          <cell r="W164">
            <v>3.5384829E-2</v>
          </cell>
          <cell r="X164">
            <v>0.13992111400000001</v>
          </cell>
          <cell r="Y164">
            <v>0.36451669199999998</v>
          </cell>
          <cell r="Z164">
            <v>0.33807769300000001</v>
          </cell>
          <cell r="AB164" t="str">
            <v>1993GA</v>
          </cell>
          <cell r="AC164">
            <v>0.42666666666666664</v>
          </cell>
          <cell r="AD164">
            <v>3.3333333333333333E-2</v>
          </cell>
          <cell r="AE164">
            <v>0.14633333300000001</v>
          </cell>
          <cell r="AF164">
            <v>0.39366666700000003</v>
          </cell>
        </row>
        <row r="165">
          <cell r="B165" t="str">
            <v>1993HI</v>
          </cell>
          <cell r="C165">
            <v>0.64744410413866071</v>
          </cell>
          <cell r="D165">
            <v>0.21136522084549675</v>
          </cell>
          <cell r="E165">
            <v>0</v>
          </cell>
          <cell r="F165">
            <v>0.11030742516468306</v>
          </cell>
          <cell r="G165">
            <v>2.6950396272625937E-2</v>
          </cell>
          <cell r="H165">
            <v>3.9328535785336082E-3</v>
          </cell>
          <cell r="J165" t="str">
            <v>1993HI</v>
          </cell>
          <cell r="K165">
            <v>0.97304960372737404</v>
          </cell>
          <cell r="L165">
            <v>2.6950396272625937E-2</v>
          </cell>
          <cell r="M165">
            <v>0</v>
          </cell>
          <cell r="U165" t="str">
            <v>1993HI</v>
          </cell>
          <cell r="V165">
            <v>0.35980002500000002</v>
          </cell>
          <cell r="W165">
            <v>2.8168799000000001E-2</v>
          </cell>
          <cell r="X165">
            <v>0.176695193</v>
          </cell>
          <cell r="Y165">
            <v>0.13508219499999999</v>
          </cell>
          <cell r="Z165">
            <v>0.30025378800000002</v>
          </cell>
          <cell r="AB165" t="str">
            <v>1993HI</v>
          </cell>
          <cell r="AC165">
            <v>6.6666666666666666E-2</v>
          </cell>
          <cell r="AD165">
            <v>0</v>
          </cell>
          <cell r="AE165">
            <v>0.61666666699999995</v>
          </cell>
          <cell r="AF165">
            <v>0.31666666700000001</v>
          </cell>
        </row>
        <row r="166">
          <cell r="B166" t="str">
            <v>1993ID</v>
          </cell>
          <cell r="C166">
            <v>0.46507449640519105</v>
          </cell>
          <cell r="D166">
            <v>0.24170272650804445</v>
          </cell>
          <cell r="E166">
            <v>4.6125258865532516E-2</v>
          </cell>
          <cell r="F166">
            <v>0.18258553907539438</v>
          </cell>
          <cell r="G166">
            <v>2.7307989079593878E-2</v>
          </cell>
          <cell r="H166">
            <v>3.720399006624369E-2</v>
          </cell>
          <cell r="J166" t="str">
            <v>1993ID</v>
          </cell>
          <cell r="K166">
            <v>0.9265667520548736</v>
          </cell>
          <cell r="L166">
            <v>2.7307989079593878E-2</v>
          </cell>
          <cell r="M166">
            <v>4.6125258865532516E-2</v>
          </cell>
          <cell r="U166" t="str">
            <v>1993ID</v>
          </cell>
          <cell r="V166">
            <v>0.33907067000000002</v>
          </cell>
          <cell r="W166">
            <v>3.1687782999999997E-2</v>
          </cell>
          <cell r="X166">
            <v>0.17959236200000001</v>
          </cell>
          <cell r="Y166">
            <v>0.13076644700000001</v>
          </cell>
          <cell r="Z166">
            <v>0.318882738</v>
          </cell>
          <cell r="AB166" t="str">
            <v>1993ID</v>
          </cell>
          <cell r="AC166">
            <v>0</v>
          </cell>
          <cell r="AD166">
            <v>0.4</v>
          </cell>
          <cell r="AE166">
            <v>0.2</v>
          </cell>
          <cell r="AF166">
            <v>0.4</v>
          </cell>
        </row>
        <row r="167">
          <cell r="B167" t="str">
            <v>1993IL</v>
          </cell>
          <cell r="C167">
            <v>5.0577124197692766E-2</v>
          </cell>
          <cell r="D167">
            <v>0.16805010612691398</v>
          </cell>
          <cell r="E167">
            <v>0.14406977612647465</v>
          </cell>
          <cell r="F167">
            <v>0.50466566319866279</v>
          </cell>
          <cell r="G167">
            <v>8.5295041587315823E-2</v>
          </cell>
          <cell r="H167">
            <v>4.7342288762940062E-2</v>
          </cell>
          <cell r="J167" t="str">
            <v>1993IL</v>
          </cell>
          <cell r="K167">
            <v>0.77063518228620953</v>
          </cell>
          <cell r="L167">
            <v>8.5295041587315823E-2</v>
          </cell>
          <cell r="M167">
            <v>0.14406977612647465</v>
          </cell>
          <cell r="U167" t="str">
            <v>1993IL</v>
          </cell>
          <cell r="V167">
            <v>7.3588817000000001E-2</v>
          </cell>
          <cell r="W167">
            <v>4.2125628999999998E-2</v>
          </cell>
          <cell r="X167">
            <v>0.26080275000000003</v>
          </cell>
          <cell r="Y167">
            <v>0.165815834</v>
          </cell>
          <cell r="Z167">
            <v>0.45766697099999998</v>
          </cell>
          <cell r="AB167" t="str">
            <v>1993IL</v>
          </cell>
          <cell r="AC167">
            <v>0</v>
          </cell>
          <cell r="AD167">
            <v>0</v>
          </cell>
          <cell r="AE167">
            <v>7.3333333000000001E-2</v>
          </cell>
          <cell r="AF167">
            <v>0.926666667</v>
          </cell>
        </row>
        <row r="168">
          <cell r="B168" t="str">
            <v>1993IN</v>
          </cell>
          <cell r="C168">
            <v>4.8448528215757326E-2</v>
          </cell>
          <cell r="D168">
            <v>0.15628011924347604</v>
          </cell>
          <cell r="E168">
            <v>0.18868516720743206</v>
          </cell>
          <cell r="F168">
            <v>0.45275988584214194</v>
          </cell>
          <cell r="G168">
            <v>0.11170912884420105</v>
          </cell>
          <cell r="H168">
            <v>4.2117170646991692E-2</v>
          </cell>
          <cell r="J168" t="str">
            <v>1993IN</v>
          </cell>
          <cell r="K168">
            <v>0.69960570394836696</v>
          </cell>
          <cell r="L168">
            <v>0.11170912884420105</v>
          </cell>
          <cell r="M168">
            <v>0.18868516720743206</v>
          </cell>
          <cell r="U168" t="str">
            <v>1993IN</v>
          </cell>
          <cell r="V168">
            <v>8.1359189999999998E-2</v>
          </cell>
          <cell r="W168">
            <v>4.1868514000000003E-2</v>
          </cell>
          <cell r="X168">
            <v>0.25897605800000001</v>
          </cell>
          <cell r="Y168">
            <v>0.16233228199999999</v>
          </cell>
          <cell r="Z168">
            <v>0.455463956</v>
          </cell>
          <cell r="AB168" t="str">
            <v>1993IN</v>
          </cell>
          <cell r="AC168">
            <v>0</v>
          </cell>
          <cell r="AD168">
            <v>3.3333333333333333E-2</v>
          </cell>
          <cell r="AE168">
            <v>0</v>
          </cell>
          <cell r="AF168">
            <v>0.96666666700000003</v>
          </cell>
        </row>
        <row r="169">
          <cell r="B169" t="str">
            <v>1993IA</v>
          </cell>
          <cell r="C169">
            <v>4.2155059267836581E-2</v>
          </cell>
          <cell r="D169">
            <v>0.13737229493995742</v>
          </cell>
          <cell r="E169">
            <v>0.20901144807499936</v>
          </cell>
          <cell r="F169">
            <v>0.45103102748408913</v>
          </cell>
          <cell r="G169">
            <v>0.12374309612400458</v>
          </cell>
          <cell r="H169">
            <v>3.668707410911292E-2</v>
          </cell>
          <cell r="J169" t="str">
            <v>1993IA</v>
          </cell>
          <cell r="K169">
            <v>0.66724545580099603</v>
          </cell>
          <cell r="L169">
            <v>0.12374309612400458</v>
          </cell>
          <cell r="M169">
            <v>0.20901144807499936</v>
          </cell>
          <cell r="U169" t="str">
            <v>1993IA</v>
          </cell>
          <cell r="V169">
            <v>6.3286547999999998E-2</v>
          </cell>
          <cell r="W169">
            <v>3.9489661000000002E-2</v>
          </cell>
          <cell r="X169">
            <v>0.204049124</v>
          </cell>
          <cell r="Y169">
            <v>0.293054802</v>
          </cell>
          <cell r="Z169">
            <v>0.40011986500000002</v>
          </cell>
          <cell r="AB169" t="str">
            <v>1993IA</v>
          </cell>
          <cell r="AC169">
            <v>2.6666666666666665E-2</v>
          </cell>
          <cell r="AD169">
            <v>2.6666666666666665E-2</v>
          </cell>
          <cell r="AE169">
            <v>1.3333332999999999E-2</v>
          </cell>
          <cell r="AF169">
            <v>0.93333333299999999</v>
          </cell>
        </row>
        <row r="170">
          <cell r="B170" t="str">
            <v>1993KS</v>
          </cell>
          <cell r="C170">
            <v>5.9541663797274436E-2</v>
          </cell>
          <cell r="D170">
            <v>0.18130022189943382</v>
          </cell>
          <cell r="E170">
            <v>0.15111857025143746</v>
          </cell>
          <cell r="F170">
            <v>0.47356728235710982</v>
          </cell>
          <cell r="G170">
            <v>8.9468208258313711E-2</v>
          </cell>
          <cell r="H170">
            <v>4.5004053436430748E-2</v>
          </cell>
          <cell r="J170" t="str">
            <v>1993KS</v>
          </cell>
          <cell r="K170">
            <v>0.75941322149024881</v>
          </cell>
          <cell r="L170">
            <v>8.9468208258313711E-2</v>
          </cell>
          <cell r="M170">
            <v>0.15111857025143746</v>
          </cell>
          <cell r="U170" t="str">
            <v>1993KS</v>
          </cell>
          <cell r="V170">
            <v>0.12563696199999999</v>
          </cell>
          <cell r="W170">
            <v>4.0078675000000001E-2</v>
          </cell>
          <cell r="X170">
            <v>0.24734932700000001</v>
          </cell>
          <cell r="Y170">
            <v>0.149544858</v>
          </cell>
          <cell r="Z170">
            <v>0.43739017899999999</v>
          </cell>
          <cell r="AB170" t="str">
            <v>1993KS</v>
          </cell>
          <cell r="AC170">
            <v>0</v>
          </cell>
          <cell r="AD170">
            <v>0</v>
          </cell>
          <cell r="AE170">
            <v>6.6666670000000003E-3</v>
          </cell>
          <cell r="AF170">
            <v>0.99333333300000004</v>
          </cell>
        </row>
        <row r="171">
          <cell r="B171" t="str">
            <v>1993KY</v>
          </cell>
          <cell r="C171">
            <v>1.5969265247488859E-2</v>
          </cell>
          <cell r="D171">
            <v>5.0963750460208256E-2</v>
          </cell>
          <cell r="E171">
            <v>0.14019803494564426</v>
          </cell>
          <cell r="F171">
            <v>0.1558028843382597</v>
          </cell>
          <cell r="G171">
            <v>0.6226344437339123</v>
          </cell>
          <cell r="H171">
            <v>1.4431621274486616E-2</v>
          </cell>
          <cell r="J171" t="str">
            <v>1993KY</v>
          </cell>
          <cell r="K171">
            <v>0.23716752132044339</v>
          </cell>
          <cell r="L171">
            <v>0.6226344437339123</v>
          </cell>
          <cell r="M171">
            <v>0.14019803494564426</v>
          </cell>
          <cell r="U171" t="str">
            <v>1993KY</v>
          </cell>
          <cell r="V171">
            <v>0.160228388</v>
          </cell>
          <cell r="W171">
            <v>3.4628129000000001E-2</v>
          </cell>
          <cell r="X171">
            <v>0.15847371499999999</v>
          </cell>
          <cell r="Y171">
            <v>0.30555541899999999</v>
          </cell>
          <cell r="Z171">
            <v>0.34111434899999998</v>
          </cell>
          <cell r="AB171" t="str">
            <v>1993KY</v>
          </cell>
          <cell r="AC171">
            <v>0.02</v>
          </cell>
          <cell r="AD171">
            <v>0.22</v>
          </cell>
          <cell r="AE171">
            <v>0.42333333299999998</v>
          </cell>
          <cell r="AF171">
            <v>0.33666666699999998</v>
          </cell>
        </row>
        <row r="172">
          <cell r="B172" t="str">
            <v>1993LA</v>
          </cell>
          <cell r="C172">
            <v>7.4710201438018944E-2</v>
          </cell>
          <cell r="D172">
            <v>5.7684122073388619E-2</v>
          </cell>
          <cell r="E172">
            <v>0.14069485285686983</v>
          </cell>
          <cell r="F172">
            <v>0.10208374857349607</v>
          </cell>
          <cell r="G172">
            <v>0.61968717497929804</v>
          </cell>
          <cell r="H172">
            <v>5.1399000789284889E-3</v>
          </cell>
          <cell r="J172" t="str">
            <v>1993LA</v>
          </cell>
          <cell r="K172">
            <v>0.23961797216383207</v>
          </cell>
          <cell r="L172">
            <v>0.61968717497929804</v>
          </cell>
          <cell r="M172">
            <v>0.14069485285686983</v>
          </cell>
          <cell r="U172" t="str">
            <v>1993LA</v>
          </cell>
          <cell r="V172">
            <v>0.37521300099999999</v>
          </cell>
          <cell r="W172">
            <v>2.5817151E-2</v>
          </cell>
          <cell r="X172">
            <v>0.119607138</v>
          </cell>
          <cell r="Y172">
            <v>0.224349452</v>
          </cell>
          <cell r="Z172">
            <v>0.25501325800000002</v>
          </cell>
          <cell r="AB172" t="str">
            <v>1993LA</v>
          </cell>
          <cell r="AC172">
            <v>3.3333333333333333E-2</v>
          </cell>
          <cell r="AD172">
            <v>0</v>
          </cell>
          <cell r="AE172">
            <v>0.83333333300000001</v>
          </cell>
          <cell r="AF172">
            <v>0.133333333</v>
          </cell>
        </row>
        <row r="173">
          <cell r="B173" t="str">
            <v>1993ME</v>
          </cell>
          <cell r="C173">
            <v>3.8014883804192108E-2</v>
          </cell>
          <cell r="D173">
            <v>0.11134027961490585</v>
          </cell>
          <cell r="E173">
            <v>0.47052206749805614</v>
          </cell>
          <cell r="F173">
            <v>0.26386892175457727</v>
          </cell>
          <cell r="G173">
            <v>9.0057469178267041E-2</v>
          </cell>
          <cell r="H173">
            <v>2.6196378150001649E-2</v>
          </cell>
          <cell r="J173" t="str">
            <v>1993ME</v>
          </cell>
          <cell r="K173">
            <v>0.43942046332367679</v>
          </cell>
          <cell r="L173">
            <v>9.0057469178267041E-2</v>
          </cell>
          <cell r="M173">
            <v>0.47052206749805614</v>
          </cell>
          <cell r="U173" t="str">
            <v>1993ME</v>
          </cell>
          <cell r="V173">
            <v>1</v>
          </cell>
          <cell r="W173">
            <v>0</v>
          </cell>
          <cell r="X173">
            <v>0</v>
          </cell>
          <cell r="Y173">
            <v>0</v>
          </cell>
          <cell r="Z173">
            <v>0</v>
          </cell>
          <cell r="AB173" t="str">
            <v>1993ME</v>
          </cell>
          <cell r="AC173">
            <v>6.6666666666666666E-2</v>
          </cell>
          <cell r="AD173">
            <v>0.06</v>
          </cell>
          <cell r="AE173">
            <v>1.6666667E-2</v>
          </cell>
          <cell r="AF173">
            <v>0.85666666700000005</v>
          </cell>
        </row>
        <row r="174">
          <cell r="B174" t="str">
            <v>1993MD</v>
          </cell>
          <cell r="C174">
            <v>4.4383014596473563E-2</v>
          </cell>
          <cell r="D174">
            <v>0.1252661440256303</v>
          </cell>
          <cell r="E174">
            <v>0.45878208798650583</v>
          </cell>
          <cell r="F174">
            <v>0.26103035181491135</v>
          </cell>
          <cell r="G174">
            <v>7.946744202681022E-2</v>
          </cell>
          <cell r="H174">
            <v>3.1070959549668771E-2</v>
          </cell>
          <cell r="J174" t="str">
            <v>1993MD</v>
          </cell>
          <cell r="K174">
            <v>0.4617504699866839</v>
          </cell>
          <cell r="L174">
            <v>7.946744202681022E-2</v>
          </cell>
          <cell r="M174">
            <v>0.45878208798650583</v>
          </cell>
          <cell r="U174" t="str">
            <v>1993MD</v>
          </cell>
          <cell r="V174">
            <v>0.17206121099999999</v>
          </cell>
          <cell r="W174">
            <v>4.0855990000000002E-2</v>
          </cell>
          <cell r="X174">
            <v>0.22371553299999999</v>
          </cell>
          <cell r="Y174">
            <v>0.159939475</v>
          </cell>
          <cell r="Z174">
            <v>0.40342779200000001</v>
          </cell>
          <cell r="AB174" t="str">
            <v>1993MD</v>
          </cell>
          <cell r="AC174">
            <v>0</v>
          </cell>
          <cell r="AD174">
            <v>0</v>
          </cell>
          <cell r="AE174">
            <v>1.6666667E-2</v>
          </cell>
          <cell r="AF174">
            <v>0.98333333300000003</v>
          </cell>
        </row>
        <row r="175">
          <cell r="B175" t="str">
            <v>1993MA</v>
          </cell>
          <cell r="C175">
            <v>4.4682476409686409E-2</v>
          </cell>
          <cell r="D175">
            <v>0.12490053999109334</v>
          </cell>
          <cell r="E175">
            <v>0.46344425384629201</v>
          </cell>
          <cell r="F175">
            <v>0.25582264447853481</v>
          </cell>
          <cell r="G175">
            <v>8.3672940255419173E-2</v>
          </cell>
          <cell r="H175">
            <v>2.7477145018974324E-2</v>
          </cell>
          <cell r="J175" t="str">
            <v>1993MA</v>
          </cell>
          <cell r="K175">
            <v>0.45288280589828878</v>
          </cell>
          <cell r="L175">
            <v>8.3672940255419173E-2</v>
          </cell>
          <cell r="M175">
            <v>0.46344425384629201</v>
          </cell>
          <cell r="U175" t="str">
            <v>1993MA</v>
          </cell>
          <cell r="V175">
            <v>0.39814611599999999</v>
          </cell>
          <cell r="W175">
            <v>2.6481570999999999E-2</v>
          </cell>
          <cell r="X175">
            <v>0.16611167199999999</v>
          </cell>
          <cell r="Y175">
            <v>0.12699116999999999</v>
          </cell>
          <cell r="Z175">
            <v>0.28226947200000002</v>
          </cell>
          <cell r="AB175" t="str">
            <v>1993MA</v>
          </cell>
          <cell r="AC175">
            <v>6.6666666666666666E-2</v>
          </cell>
          <cell r="AD175">
            <v>0.06</v>
          </cell>
          <cell r="AE175">
            <v>1.6666667E-2</v>
          </cell>
          <cell r="AF175">
            <v>0.85666666700000005</v>
          </cell>
        </row>
        <row r="176">
          <cell r="B176" t="str">
            <v>1993MI</v>
          </cell>
          <cell r="C176">
            <v>8.1832401569987168E-2</v>
          </cell>
          <cell r="D176">
            <v>0.22154783388959939</v>
          </cell>
          <cell r="E176">
            <v>0.1249162855217197</v>
          </cell>
          <cell r="F176">
            <v>0.44713807315589166</v>
          </cell>
          <cell r="G176">
            <v>7.3955412821316624E-2</v>
          </cell>
          <cell r="H176">
            <v>5.0609993041485474E-2</v>
          </cell>
          <cell r="J176" t="str">
            <v>1993MI</v>
          </cell>
          <cell r="K176">
            <v>0.80112830165696369</v>
          </cell>
          <cell r="L176">
            <v>7.3955412821316624E-2</v>
          </cell>
          <cell r="M176">
            <v>0.1249162855217197</v>
          </cell>
          <cell r="U176" t="str">
            <v>1993MI</v>
          </cell>
          <cell r="V176">
            <v>0.104557938</v>
          </cell>
          <cell r="W176">
            <v>4.4614757999999997E-2</v>
          </cell>
          <cell r="X176">
            <v>0.24149209299999999</v>
          </cell>
          <cell r="Y176">
            <v>0.171553918</v>
          </cell>
          <cell r="Z176">
            <v>0.43778129300000002</v>
          </cell>
          <cell r="AB176" t="str">
            <v>1993MI</v>
          </cell>
          <cell r="AC176">
            <v>6.0000000000000053E-2</v>
          </cell>
          <cell r="AD176">
            <v>0.02</v>
          </cell>
          <cell r="AE176">
            <v>2.6666667000000002E-2</v>
          </cell>
          <cell r="AF176">
            <v>0.89333333299999995</v>
          </cell>
        </row>
        <row r="177">
          <cell r="B177" t="str">
            <v>1993MN</v>
          </cell>
          <cell r="C177">
            <v>3.5540959080750743E-2</v>
          </cell>
          <cell r="D177">
            <v>0.12037109587322428</v>
          </cell>
          <cell r="E177">
            <v>0.24662670148437682</v>
          </cell>
          <cell r="F177">
            <v>0.41844054285151983</v>
          </cell>
          <cell r="G177">
            <v>0.14601282326686985</v>
          </cell>
          <cell r="H177">
            <v>3.3007877443258414E-2</v>
          </cell>
          <cell r="J177" t="str">
            <v>1993MN</v>
          </cell>
          <cell r="K177">
            <v>0.60736047524875336</v>
          </cell>
          <cell r="L177">
            <v>0.14601282326686985</v>
          </cell>
          <cell r="M177">
            <v>0.24662670148437682</v>
          </cell>
          <cell r="U177" t="str">
            <v>1993MN</v>
          </cell>
          <cell r="V177">
            <v>8.2072308999999996E-2</v>
          </cell>
          <cell r="W177">
            <v>4.3820953000000003E-2</v>
          </cell>
          <cell r="X177">
            <v>0.24962989699999999</v>
          </cell>
          <cell r="Y177">
            <v>0.182242294</v>
          </cell>
          <cell r="Z177">
            <v>0.44223454699999998</v>
          </cell>
          <cell r="AB177" t="str">
            <v>1993MN</v>
          </cell>
          <cell r="AC177">
            <v>0</v>
          </cell>
          <cell r="AD177">
            <v>0.16666666666666663</v>
          </cell>
          <cell r="AE177">
            <v>0</v>
          </cell>
          <cell r="AF177">
            <v>0.83333333300000001</v>
          </cell>
        </row>
        <row r="178">
          <cell r="B178" t="str">
            <v>1993MS</v>
          </cell>
          <cell r="C178">
            <v>7.2368616568928457E-2</v>
          </cell>
          <cell r="D178">
            <v>5.7331822061901655E-2</v>
          </cell>
          <cell r="E178">
            <v>0.13912499999999997</v>
          </cell>
          <cell r="F178">
            <v>9.7272330402964388E-2</v>
          </cell>
          <cell r="G178">
            <v>0.629</v>
          </cell>
          <cell r="H178">
            <v>4.902230966205531E-3</v>
          </cell>
          <cell r="J178" t="str">
            <v>1993MS</v>
          </cell>
          <cell r="K178">
            <v>0.23187500000000005</v>
          </cell>
          <cell r="L178">
            <v>0.629</v>
          </cell>
          <cell r="M178">
            <v>0.13912499999999997</v>
          </cell>
          <cell r="U178" t="str">
            <v>1993MS</v>
          </cell>
          <cell r="V178">
            <v>0.13651822599999999</v>
          </cell>
          <cell r="W178">
            <v>3.4669222999999999E-2</v>
          </cell>
          <cell r="X178">
            <v>0.133378319</v>
          </cell>
          <cell r="Y178">
            <v>0.36596300500000001</v>
          </cell>
          <cell r="Z178">
            <v>0.32947122600000001</v>
          </cell>
          <cell r="AB178" t="str">
            <v>1993MS</v>
          </cell>
          <cell r="AC178">
            <v>6.6666666666666666E-2</v>
          </cell>
          <cell r="AD178">
            <v>3.3333333333333333E-2</v>
          </cell>
          <cell r="AE178">
            <v>0.76666666699999997</v>
          </cell>
          <cell r="AF178">
            <v>0.133333333</v>
          </cell>
        </row>
        <row r="179">
          <cell r="B179" t="str">
            <v>1993MO</v>
          </cell>
          <cell r="C179">
            <v>5.0320610113191167E-2</v>
          </cell>
          <cell r="D179">
            <v>0.16154316508799971</v>
          </cell>
          <cell r="E179">
            <v>0.16806227768827955</v>
          </cell>
          <cell r="F179">
            <v>0.47526266059011357</v>
          </cell>
          <cell r="G179">
            <v>9.9499557437339639E-2</v>
          </cell>
          <cell r="H179">
            <v>4.5311729083076298E-2</v>
          </cell>
          <cell r="J179" t="str">
            <v>1993MO</v>
          </cell>
          <cell r="K179">
            <v>0.73243816487438074</v>
          </cell>
          <cell r="L179">
            <v>9.9499557437339639E-2</v>
          </cell>
          <cell r="M179">
            <v>0.16806227768827955</v>
          </cell>
          <cell r="U179" t="str">
            <v>1993MO</v>
          </cell>
          <cell r="V179">
            <v>0.13267357799999999</v>
          </cell>
          <cell r="W179">
            <v>3.9426826999999998E-2</v>
          </cell>
          <cell r="X179">
            <v>0.24412383400000001</v>
          </cell>
          <cell r="Y179">
            <v>0.15550377600000001</v>
          </cell>
          <cell r="Z179">
            <v>0.42827198500000002</v>
          </cell>
          <cell r="AB179" t="str">
            <v>1993MO</v>
          </cell>
          <cell r="AC179">
            <v>0</v>
          </cell>
          <cell r="AD179">
            <v>0.13333333333333333</v>
          </cell>
          <cell r="AE179">
            <v>0</v>
          </cell>
          <cell r="AF179">
            <v>0.86666666699999995</v>
          </cell>
        </row>
        <row r="180">
          <cell r="B180" t="str">
            <v>1993MT</v>
          </cell>
          <cell r="C180">
            <v>0.27739754148349177</v>
          </cell>
          <cell r="D180">
            <v>0.21628743507848178</v>
          </cell>
          <cell r="E180">
            <v>7.3480828206259161E-2</v>
          </cell>
          <cell r="F180">
            <v>0.30560904011986928</v>
          </cell>
          <cell r="G180">
            <v>4.3503574908183289E-2</v>
          </cell>
          <cell r="H180">
            <v>8.372158020371466E-2</v>
          </cell>
          <cell r="J180" t="str">
            <v>1993MT</v>
          </cell>
          <cell r="K180">
            <v>0.88301559688555753</v>
          </cell>
          <cell r="L180">
            <v>4.3503574908183289E-2</v>
          </cell>
          <cell r="M180">
            <v>7.3480828206259161E-2</v>
          </cell>
          <cell r="U180" t="str">
            <v>1993MT</v>
          </cell>
          <cell r="V180">
            <v>0.15601061799999999</v>
          </cell>
          <cell r="W180">
            <v>4.3579161999999998E-2</v>
          </cell>
          <cell r="X180">
            <v>0.225960471</v>
          </cell>
          <cell r="Y180">
            <v>0.15660299599999999</v>
          </cell>
          <cell r="Z180">
            <v>0.41784675199999999</v>
          </cell>
          <cell r="AB180" t="str">
            <v>1993MT</v>
          </cell>
          <cell r="AC180">
            <v>0</v>
          </cell>
          <cell r="AD180">
            <v>5.333333333333333E-2</v>
          </cell>
          <cell r="AE180">
            <v>0.22666666699999999</v>
          </cell>
          <cell r="AF180">
            <v>0.72</v>
          </cell>
        </row>
        <row r="181">
          <cell r="B181" t="str">
            <v>1993NE</v>
          </cell>
          <cell r="C181">
            <v>5.1490465607615138E-2</v>
          </cell>
          <cell r="D181">
            <v>0.16866356378029981</v>
          </cell>
          <cell r="E181">
            <v>0.16588397751696546</v>
          </cell>
          <cell r="F181">
            <v>0.46765594785043918</v>
          </cell>
          <cell r="G181">
            <v>9.820991703740739E-2</v>
          </cell>
          <cell r="H181">
            <v>4.8096128207272992E-2</v>
          </cell>
          <cell r="J181" t="str">
            <v>1993NE</v>
          </cell>
          <cell r="K181">
            <v>0.73590610544562718</v>
          </cell>
          <cell r="L181">
            <v>9.820991703740739E-2</v>
          </cell>
          <cell r="M181">
            <v>0.16588397751696546</v>
          </cell>
          <cell r="U181" t="str">
            <v>1993NE</v>
          </cell>
          <cell r="V181">
            <v>9.3303685999999997E-2</v>
          </cell>
          <cell r="W181">
            <v>4.1182875000000001E-2</v>
          </cell>
          <cell r="X181">
            <v>0.25507907099999999</v>
          </cell>
          <cell r="Y181">
            <v>0.16329376800000001</v>
          </cell>
          <cell r="Z181">
            <v>0.4471406</v>
          </cell>
          <cell r="AB181" t="str">
            <v>1993NE</v>
          </cell>
          <cell r="AC181">
            <v>0</v>
          </cell>
          <cell r="AD181">
            <v>0</v>
          </cell>
          <cell r="AE181">
            <v>6.6666670000000003E-3</v>
          </cell>
          <cell r="AF181">
            <v>0.99333333300000004</v>
          </cell>
        </row>
        <row r="182">
          <cell r="B182" t="str">
            <v>1993NV</v>
          </cell>
          <cell r="C182">
            <v>0.59310686574395077</v>
          </cell>
          <cell r="D182">
            <v>0.25342440363603841</v>
          </cell>
          <cell r="E182">
            <v>1.973149287727784E-2</v>
          </cell>
          <cell r="F182">
            <v>0.11263691994907153</v>
          </cell>
          <cell r="G182">
            <v>1.1681829116398323E-2</v>
          </cell>
          <cell r="H182">
            <v>9.4184886772631093E-3</v>
          </cell>
          <cell r="J182" t="str">
            <v>1993NV</v>
          </cell>
          <cell r="K182">
            <v>0.96858667800632381</v>
          </cell>
          <cell r="L182">
            <v>1.1681829116398323E-2</v>
          </cell>
          <cell r="M182">
            <v>1.973149287727784E-2</v>
          </cell>
          <cell r="U182" t="str">
            <v>1993NV</v>
          </cell>
          <cell r="V182">
            <v>1</v>
          </cell>
          <cell r="W182">
            <v>0</v>
          </cell>
          <cell r="X182">
            <v>0</v>
          </cell>
          <cell r="Y182">
            <v>0</v>
          </cell>
          <cell r="Z182">
            <v>0</v>
          </cell>
          <cell r="AB182" t="str">
            <v>1993NV</v>
          </cell>
          <cell r="AC182">
            <v>0.16666666666666663</v>
          </cell>
          <cell r="AD182">
            <v>0</v>
          </cell>
          <cell r="AE182">
            <v>0</v>
          </cell>
          <cell r="AF182">
            <v>0.83333333300000001</v>
          </cell>
        </row>
        <row r="183">
          <cell r="B183" t="str">
            <v>1993NH</v>
          </cell>
          <cell r="C183">
            <v>4.8218830505497405E-2</v>
          </cell>
          <cell r="D183">
            <v>0.13189543562816974</v>
          </cell>
          <cell r="E183">
            <v>0.46008189643076414</v>
          </cell>
          <cell r="F183">
            <v>0.25119082549221</v>
          </cell>
          <cell r="G183">
            <v>8.0639931868282722E-2</v>
          </cell>
          <cell r="H183">
            <v>2.7973080075075919E-2</v>
          </cell>
          <cell r="J183" t="str">
            <v>1993NH</v>
          </cell>
          <cell r="K183">
            <v>0.45927817170095309</v>
          </cell>
          <cell r="L183">
            <v>8.0639931868282722E-2</v>
          </cell>
          <cell r="M183">
            <v>0.46008189643076414</v>
          </cell>
          <cell r="U183" t="str">
            <v>1993NH</v>
          </cell>
          <cell r="V183">
            <v>0.92598599299999995</v>
          </cell>
          <cell r="W183">
            <v>3.2566159999999999E-3</v>
          </cell>
          <cell r="X183">
            <v>2.0427865999999999E-2</v>
          </cell>
          <cell r="Y183">
            <v>1.5616955E-2</v>
          </cell>
          <cell r="Z183">
            <v>3.4712568999999999E-2</v>
          </cell>
          <cell r="AB183" t="str">
            <v>1993NH</v>
          </cell>
          <cell r="AC183">
            <v>0</v>
          </cell>
          <cell r="AD183">
            <v>0</v>
          </cell>
          <cell r="AE183">
            <v>1.6666667E-2</v>
          </cell>
          <cell r="AF183">
            <v>0.98333333300000003</v>
          </cell>
        </row>
        <row r="184">
          <cell r="B184" t="str">
            <v>1993NJ</v>
          </cell>
          <cell r="C184">
            <v>4.183710576226865E-2</v>
          </cell>
          <cell r="D184">
            <v>0.11981853734984527</v>
          </cell>
          <cell r="E184">
            <v>0.46539238044017789</v>
          </cell>
          <cell r="F184">
            <v>0.25990190931509988</v>
          </cell>
          <cell r="G184">
            <v>8.5430244303814573E-2</v>
          </cell>
          <cell r="H184">
            <v>2.7619822828793758E-2</v>
          </cell>
          <cell r="J184" t="str">
            <v>1993NJ</v>
          </cell>
          <cell r="K184">
            <v>0.44917737525600754</v>
          </cell>
          <cell r="L184">
            <v>8.5430244303814573E-2</v>
          </cell>
          <cell r="M184">
            <v>0.46539238044017789</v>
          </cell>
          <cell r="U184" t="str">
            <v>1993NJ</v>
          </cell>
          <cell r="V184">
            <v>0.48471045000000001</v>
          </cell>
          <cell r="W184">
            <v>2.267274E-2</v>
          </cell>
          <cell r="X184">
            <v>0.142219916</v>
          </cell>
          <cell r="Y184">
            <v>0.10872609499999999</v>
          </cell>
          <cell r="Z184">
            <v>0.24167079899999999</v>
          </cell>
          <cell r="AB184" t="str">
            <v>1993NJ</v>
          </cell>
          <cell r="AC184">
            <v>6.6666666666666666E-2</v>
          </cell>
          <cell r="AD184">
            <v>0.06</v>
          </cell>
          <cell r="AE184">
            <v>1.6666667E-2</v>
          </cell>
          <cell r="AF184">
            <v>0.85666666700000005</v>
          </cell>
        </row>
        <row r="185">
          <cell r="B185" t="str">
            <v>1993NM</v>
          </cell>
          <cell r="C185">
            <v>0.59526236805448218</v>
          </cell>
          <cell r="D185">
            <v>0.20932485034256709</v>
          </cell>
          <cell r="E185">
            <v>9.4048265115848545E-2</v>
          </cell>
          <cell r="F185">
            <v>9.8136040372281214E-2</v>
          </cell>
          <cell r="G185">
            <v>0</v>
          </cell>
          <cell r="H185">
            <v>3.2284761148209272E-3</v>
          </cell>
          <cell r="J185" t="str">
            <v>1993NM</v>
          </cell>
          <cell r="K185">
            <v>0.90595173488415148</v>
          </cell>
          <cell r="L185">
            <v>0</v>
          </cell>
          <cell r="M185">
            <v>9.4048265115848545E-2</v>
          </cell>
          <cell r="U185" t="str">
            <v>1993NM</v>
          </cell>
          <cell r="V185">
            <v>1</v>
          </cell>
          <cell r="W185">
            <v>0</v>
          </cell>
          <cell r="X185">
            <v>0</v>
          </cell>
          <cell r="Y185">
            <v>0</v>
          </cell>
          <cell r="Z185">
            <v>0</v>
          </cell>
          <cell r="AB185" t="str">
            <v>1993NM</v>
          </cell>
          <cell r="AC185">
            <v>0.16666666666666663</v>
          </cell>
          <cell r="AD185">
            <v>6.6666666666666666E-2</v>
          </cell>
          <cell r="AE185">
            <v>0.33333333300000001</v>
          </cell>
          <cell r="AF185">
            <v>0.43333333299999999</v>
          </cell>
        </row>
        <row r="186">
          <cell r="B186" t="str">
            <v>1993NY</v>
          </cell>
          <cell r="C186">
            <v>5.5356487200957434E-2</v>
          </cell>
          <cell r="D186">
            <v>0.12636483076982341</v>
          </cell>
          <cell r="E186">
            <v>0.46311783498881903</v>
          </cell>
          <cell r="F186">
            <v>0.24680788493259592</v>
          </cell>
          <cell r="G186">
            <v>8.3378494719122884E-2</v>
          </cell>
          <cell r="H186">
            <v>2.4974467388681334E-2</v>
          </cell>
          <cell r="J186" t="str">
            <v>1993NY</v>
          </cell>
          <cell r="K186">
            <v>0.45350367029205807</v>
          </cell>
          <cell r="L186">
            <v>8.3378494719122884E-2</v>
          </cell>
          <cell r="M186">
            <v>0.46311783498881903</v>
          </cell>
          <cell r="U186" t="str">
            <v>1993NY</v>
          </cell>
          <cell r="V186">
            <v>0.38703996400000001</v>
          </cell>
          <cell r="W186">
            <v>2.8003867000000002E-2</v>
          </cell>
          <cell r="X186">
            <v>0.16805720900000001</v>
          </cell>
          <cell r="Y186">
            <v>0.12588914900000001</v>
          </cell>
          <cell r="Z186">
            <v>0.29100981100000001</v>
          </cell>
          <cell r="AB186" t="str">
            <v>1993NY</v>
          </cell>
          <cell r="AC186">
            <v>6.6666666666666666E-2</v>
          </cell>
          <cell r="AD186">
            <v>0.2</v>
          </cell>
          <cell r="AE186">
            <v>1.6666667E-2</v>
          </cell>
          <cell r="AF186">
            <v>0.71666666700000003</v>
          </cell>
        </row>
        <row r="187">
          <cell r="B187" t="str">
            <v>1993NC</v>
          </cell>
          <cell r="C187">
            <v>3.1386561392517137E-2</v>
          </cell>
          <cell r="D187">
            <v>8.0393744169259304E-2</v>
          </cell>
          <cell r="E187">
            <v>0.13912499999999997</v>
          </cell>
          <cell r="F187">
            <v>0.10443401346223012</v>
          </cell>
          <cell r="G187">
            <v>0.629</v>
          </cell>
          <cell r="H187">
            <v>1.5660680975993456E-2</v>
          </cell>
          <cell r="J187" t="str">
            <v>1993NC</v>
          </cell>
          <cell r="K187">
            <v>0.23187500000000005</v>
          </cell>
          <cell r="L187">
            <v>0.629</v>
          </cell>
          <cell r="M187">
            <v>0.13912499999999997</v>
          </cell>
          <cell r="U187" t="str">
            <v>1993NC</v>
          </cell>
          <cell r="V187">
            <v>1.5953875999999999E-2</v>
          </cell>
          <cell r="W187">
            <v>3.7222224999999998E-2</v>
          </cell>
          <cell r="X187">
            <v>7.9774889000000002E-2</v>
          </cell>
          <cell r="Y187">
            <v>0.54353894700000005</v>
          </cell>
          <cell r="Z187">
            <v>0.32351006300000001</v>
          </cell>
          <cell r="AB187" t="str">
            <v>1993NC</v>
          </cell>
          <cell r="AC187">
            <v>0.33333333333333326</v>
          </cell>
          <cell r="AD187">
            <v>3.3333333333333333E-2</v>
          </cell>
          <cell r="AE187">
            <v>0.33966666699999998</v>
          </cell>
          <cell r="AF187">
            <v>0.29366666699999999</v>
          </cell>
        </row>
        <row r="188">
          <cell r="B188" t="str">
            <v>1993ND</v>
          </cell>
          <cell r="C188">
            <v>3.5209761444276809E-2</v>
          </cell>
          <cell r="D188">
            <v>0.12452530286503215</v>
          </cell>
          <cell r="E188">
            <v>0.22873283580251094</v>
          </cell>
          <cell r="F188">
            <v>0.44000807155201738</v>
          </cell>
          <cell r="G188">
            <v>0.13541894258954626</v>
          </cell>
          <cell r="H188">
            <v>3.6105085746616507E-2</v>
          </cell>
          <cell r="J188" t="str">
            <v>1993ND</v>
          </cell>
          <cell r="K188">
            <v>0.63584822160794285</v>
          </cell>
          <cell r="L188">
            <v>0.13541894258954626</v>
          </cell>
          <cell r="M188">
            <v>0.22873283580251094</v>
          </cell>
          <cell r="U188" t="str">
            <v>1993ND</v>
          </cell>
          <cell r="V188">
            <v>0.216030678</v>
          </cell>
          <cell r="W188">
            <v>3.7060901E-2</v>
          </cell>
          <cell r="X188">
            <v>0.213595428</v>
          </cell>
          <cell r="Y188">
            <v>0.15686335700000001</v>
          </cell>
          <cell r="Z188">
            <v>0.37644963599999998</v>
          </cell>
          <cell r="AB188" t="str">
            <v>1993ND</v>
          </cell>
          <cell r="AC188">
            <v>0</v>
          </cell>
          <cell r="AD188">
            <v>3.3333333333333333E-2</v>
          </cell>
          <cell r="AE188">
            <v>0.04</v>
          </cell>
          <cell r="AF188">
            <v>0.926666667</v>
          </cell>
        </row>
        <row r="189">
          <cell r="B189" t="str">
            <v>1993OH</v>
          </cell>
          <cell r="C189">
            <v>5.1121101974680658E-2</v>
          </cell>
          <cell r="D189">
            <v>0.15685574198300223</v>
          </cell>
          <cell r="E189">
            <v>0.19454904098749215</v>
          </cell>
          <cell r="F189">
            <v>0.44145710760085527</v>
          </cell>
          <cell r="G189">
            <v>0.11518077551000779</v>
          </cell>
          <cell r="H189">
            <v>4.0836231943961937E-2</v>
          </cell>
          <cell r="J189" t="str">
            <v>1993OH</v>
          </cell>
          <cell r="K189">
            <v>0.69027018350250002</v>
          </cell>
          <cell r="L189">
            <v>0.11518077551000779</v>
          </cell>
          <cell r="M189">
            <v>0.19454904098749215</v>
          </cell>
          <cell r="U189" t="str">
            <v>1993OH</v>
          </cell>
          <cell r="V189">
            <v>0.15595841299999999</v>
          </cell>
          <cell r="W189">
            <v>3.7901154999999999E-2</v>
          </cell>
          <cell r="X189">
            <v>0.235817949</v>
          </cell>
          <cell r="Y189">
            <v>0.16149044400000001</v>
          </cell>
          <cell r="Z189">
            <v>0.40883203899999998</v>
          </cell>
          <cell r="AB189" t="str">
            <v>1993OH</v>
          </cell>
          <cell r="AC189">
            <v>0</v>
          </cell>
          <cell r="AD189">
            <v>0</v>
          </cell>
          <cell r="AE189">
            <v>0</v>
          </cell>
          <cell r="AF189">
            <v>1</v>
          </cell>
        </row>
        <row r="190">
          <cell r="B190" t="str">
            <v>1993OK</v>
          </cell>
          <cell r="C190">
            <v>0.30193905291383544</v>
          </cell>
          <cell r="D190">
            <v>0.23562665568082566</v>
          </cell>
          <cell r="E190">
            <v>0.05</v>
          </cell>
          <cell r="F190">
            <v>0.32390557386529051</v>
          </cell>
          <cell r="G190">
            <v>0</v>
          </cell>
          <cell r="H190">
            <v>8.8528717540048318E-2</v>
          </cell>
          <cell r="J190" t="str">
            <v>1993OK</v>
          </cell>
          <cell r="K190">
            <v>0.95</v>
          </cell>
          <cell r="L190">
            <v>0</v>
          </cell>
          <cell r="M190">
            <v>0.05</v>
          </cell>
          <cell r="U190" t="str">
            <v>1993OK</v>
          </cell>
          <cell r="V190">
            <v>0.21421795900000001</v>
          </cell>
          <cell r="W190">
            <v>3.0650192E-2</v>
          </cell>
          <cell r="X190">
            <v>9.2982676E-2</v>
          </cell>
          <cell r="Y190">
            <v>0.38275320400000001</v>
          </cell>
          <cell r="Z190">
            <v>0.27939596900000002</v>
          </cell>
          <cell r="AB190" t="str">
            <v>1993OK</v>
          </cell>
          <cell r="AC190">
            <v>0</v>
          </cell>
          <cell r="AD190">
            <v>0.13333333333333333</v>
          </cell>
          <cell r="AE190">
            <v>0.2</v>
          </cell>
          <cell r="AF190">
            <v>0.66666666699999999</v>
          </cell>
        </row>
        <row r="191">
          <cell r="B191" t="str">
            <v>1993OR</v>
          </cell>
          <cell r="C191">
            <v>0.30742694782774738</v>
          </cell>
          <cell r="D191">
            <v>0.19255915898633422</v>
          </cell>
          <cell r="E191">
            <v>0</v>
          </cell>
          <cell r="F191">
            <v>0.14061228111572421</v>
          </cell>
          <cell r="G191">
            <v>0.32757293619969313</v>
          </cell>
          <cell r="H191">
            <v>3.1828675870501054E-2</v>
          </cell>
          <cell r="J191" t="str">
            <v>1993OR</v>
          </cell>
          <cell r="K191">
            <v>0.67242706380030692</v>
          </cell>
          <cell r="L191">
            <v>0.32757293619969313</v>
          </cell>
          <cell r="M191">
            <v>0</v>
          </cell>
          <cell r="U191" t="str">
            <v>1993OR</v>
          </cell>
          <cell r="V191">
            <v>0.52300986100000002</v>
          </cell>
          <cell r="W191">
            <v>2.0987565999999999E-2</v>
          </cell>
          <cell r="X191">
            <v>0.13164927800000001</v>
          </cell>
          <cell r="Y191">
            <v>0.100644919</v>
          </cell>
          <cell r="Z191">
            <v>0.22370837499999999</v>
          </cell>
          <cell r="AB191" t="str">
            <v>1993OR</v>
          </cell>
          <cell r="AC191">
            <v>0</v>
          </cell>
          <cell r="AD191">
            <v>0.06</v>
          </cell>
          <cell r="AE191">
            <v>0.15666666700000001</v>
          </cell>
          <cell r="AF191">
            <v>0.78333333299999997</v>
          </cell>
        </row>
        <row r="192">
          <cell r="B192" t="str">
            <v>1993PA</v>
          </cell>
          <cell r="C192">
            <v>2.9633748705481203E-2</v>
          </cell>
          <cell r="D192">
            <v>9.1097752180991698E-2</v>
          </cell>
          <cell r="E192">
            <v>0.48180810928248319</v>
          </cell>
          <cell r="F192">
            <v>0.27337356569258281</v>
          </cell>
          <cell r="G192">
            <v>0.10023802262914568</v>
          </cell>
          <cell r="H192">
            <v>2.3848801509315447E-2</v>
          </cell>
          <cell r="J192" t="str">
            <v>1993PA</v>
          </cell>
          <cell r="K192">
            <v>0.41795386808837109</v>
          </cell>
          <cell r="L192">
            <v>0.10023802262914568</v>
          </cell>
          <cell r="M192">
            <v>0.48180810928248319</v>
          </cell>
          <cell r="U192" t="str">
            <v>1993PA</v>
          </cell>
          <cell r="V192">
            <v>9.8623654000000005E-2</v>
          </cell>
          <cell r="W192">
            <v>4.4538371E-2</v>
          </cell>
          <cell r="X192">
            <v>0.24349557499999999</v>
          </cell>
          <cell r="Y192">
            <v>0.17393103600000001</v>
          </cell>
          <cell r="Z192">
            <v>0.439411363</v>
          </cell>
          <cell r="AB192" t="str">
            <v>1993PA</v>
          </cell>
          <cell r="AC192">
            <v>0.2</v>
          </cell>
          <cell r="AD192">
            <v>3.3333333333333333E-2</v>
          </cell>
          <cell r="AE192">
            <v>0</v>
          </cell>
          <cell r="AF192">
            <v>0.76666666699999997</v>
          </cell>
        </row>
        <row r="193">
          <cell r="B193" t="str">
            <v>1993RI</v>
          </cell>
          <cell r="C193">
            <v>2.0048205451330316E-2</v>
          </cell>
          <cell r="D193">
            <v>7.8626136661274881E-2</v>
          </cell>
          <cell r="E193">
            <v>0.48482340675477248</v>
          </cell>
          <cell r="F193">
            <v>0.28694907450790913</v>
          </cell>
          <cell r="G193">
            <v>0.10295796622613801</v>
          </cell>
          <cell r="H193">
            <v>2.6595210398575233E-2</v>
          </cell>
          <cell r="J193" t="str">
            <v>1993RI</v>
          </cell>
          <cell r="K193">
            <v>0.41221862701908951</v>
          </cell>
          <cell r="L193">
            <v>0.10295796622613801</v>
          </cell>
          <cell r="M193">
            <v>0.48482340675477248</v>
          </cell>
          <cell r="U193" t="str">
            <v>1993RI</v>
          </cell>
          <cell r="V193">
            <v>0.281157773</v>
          </cell>
          <cell r="W193">
            <v>3.1629058000000002E-2</v>
          </cell>
          <cell r="X193">
            <v>0.198400455</v>
          </cell>
          <cell r="Y193">
            <v>0.15167570999999999</v>
          </cell>
          <cell r="Z193">
            <v>0.33713700499999999</v>
          </cell>
          <cell r="AB193" t="str">
            <v>1993RI</v>
          </cell>
          <cell r="AC193">
            <v>6.6666666666666666E-2</v>
          </cell>
          <cell r="AD193">
            <v>0.06</v>
          </cell>
          <cell r="AE193">
            <v>1.6666667E-2</v>
          </cell>
          <cell r="AF193">
            <v>0.85666666700000005</v>
          </cell>
        </row>
        <row r="194">
          <cell r="B194" t="str">
            <v>1993SC</v>
          </cell>
          <cell r="C194">
            <v>0.10222660965012847</v>
          </cell>
          <cell r="D194">
            <v>7.5342457433092189E-2</v>
          </cell>
          <cell r="E194">
            <v>0.14557251433135979</v>
          </cell>
          <cell r="F194">
            <v>8.2200488933232951E-2</v>
          </cell>
          <cell r="G194">
            <v>0.59075146446136018</v>
          </cell>
          <cell r="H194">
            <v>3.9064651908264705E-3</v>
          </cell>
          <cell r="J194" t="str">
            <v>1993SC</v>
          </cell>
          <cell r="K194">
            <v>0.26367602120728006</v>
          </cell>
          <cell r="L194">
            <v>0.59075146446136018</v>
          </cell>
          <cell r="M194">
            <v>0.14557251433135979</v>
          </cell>
          <cell r="U194" t="str">
            <v>1993SC</v>
          </cell>
          <cell r="V194">
            <v>0.16253055499999999</v>
          </cell>
          <cell r="W194">
            <v>3.4073345999999997E-2</v>
          </cell>
          <cell r="X194">
            <v>0.14352109299999999</v>
          </cell>
          <cell r="Y194">
            <v>0.33014100000000002</v>
          </cell>
          <cell r="Z194">
            <v>0.329734005</v>
          </cell>
          <cell r="AB194" t="str">
            <v>1993SC</v>
          </cell>
          <cell r="AC194">
            <v>6.6666666666666666E-2</v>
          </cell>
          <cell r="AD194">
            <v>0</v>
          </cell>
          <cell r="AE194">
            <v>0.46666666699999998</v>
          </cell>
          <cell r="AF194">
            <v>0.46666666699999998</v>
          </cell>
        </row>
        <row r="195">
          <cell r="B195" t="str">
            <v>1993SD</v>
          </cell>
          <cell r="C195">
            <v>4.9094900657853977E-2</v>
          </cell>
          <cell r="D195">
            <v>0.15444141494653482</v>
          </cell>
          <cell r="E195">
            <v>0.20188185000650521</v>
          </cell>
          <cell r="F195">
            <v>0.43518409638303907</v>
          </cell>
          <cell r="G195">
            <v>0.11952209030235879</v>
          </cell>
          <cell r="H195">
            <v>3.9875647703708141E-2</v>
          </cell>
          <cell r="J195" t="str">
            <v>1993SD</v>
          </cell>
          <cell r="K195">
            <v>0.67859605969113601</v>
          </cell>
          <cell r="L195">
            <v>0.11952209030235879</v>
          </cell>
          <cell r="M195">
            <v>0.20188185000650521</v>
          </cell>
          <cell r="U195" t="str">
            <v>1993SD</v>
          </cell>
          <cell r="V195">
            <v>0.13162554900000001</v>
          </cell>
          <cell r="W195">
            <v>4.1593918000000001E-2</v>
          </cell>
          <cell r="X195">
            <v>0.23600378699999999</v>
          </cell>
          <cell r="Y195">
            <v>0.17194220299999999</v>
          </cell>
          <cell r="Z195">
            <v>0.41883454399999998</v>
          </cell>
          <cell r="AB195" t="str">
            <v>1993SD</v>
          </cell>
          <cell r="AC195">
            <v>0</v>
          </cell>
          <cell r="AD195">
            <v>0</v>
          </cell>
          <cell r="AE195">
            <v>0.14000000000000001</v>
          </cell>
          <cell r="AF195">
            <v>0.86</v>
          </cell>
        </row>
        <row r="196">
          <cell r="B196" t="str">
            <v>1993TN</v>
          </cell>
          <cell r="C196">
            <v>2.6503840405833218E-2</v>
          </cell>
          <cell r="D196">
            <v>6.9334679052490036E-2</v>
          </cell>
          <cell r="E196">
            <v>0.141316875949417</v>
          </cell>
          <cell r="F196">
            <v>0.13131737824462131</v>
          </cell>
          <cell r="G196">
            <v>0.61599715257090615</v>
          </cell>
          <cell r="H196">
            <v>1.5530073776732253E-2</v>
          </cell>
          <cell r="J196" t="str">
            <v>1993TN</v>
          </cell>
          <cell r="K196">
            <v>0.24268597147967685</v>
          </cell>
          <cell r="L196">
            <v>0.61599715257090615</v>
          </cell>
          <cell r="M196">
            <v>0.141316875949417</v>
          </cell>
          <cell r="U196" t="str">
            <v>1993TN</v>
          </cell>
          <cell r="V196">
            <v>0.21224378999999999</v>
          </cell>
          <cell r="W196">
            <v>3.2940043000000002E-2</v>
          </cell>
          <cell r="X196">
            <v>0.16307901999999999</v>
          </cell>
          <cell r="Y196">
            <v>0.26137599700000003</v>
          </cell>
          <cell r="Z196">
            <v>0.33036114900000002</v>
          </cell>
          <cell r="AB196" t="str">
            <v>1993TN</v>
          </cell>
          <cell r="AC196">
            <v>0</v>
          </cell>
          <cell r="AD196">
            <v>0.6</v>
          </cell>
          <cell r="AE196">
            <v>6.3333333000000006E-2</v>
          </cell>
          <cell r="AF196">
            <v>0.33666666699999998</v>
          </cell>
        </row>
        <row r="197">
          <cell r="B197" t="str">
            <v>1993TX</v>
          </cell>
          <cell r="C197">
            <v>0.44634423139716933</v>
          </cell>
          <cell r="D197">
            <v>0.26279012689361081</v>
          </cell>
          <cell r="E197">
            <v>6.4723370505314889E-2</v>
          </cell>
          <cell r="F197">
            <v>0.18600640618464637</v>
          </cell>
          <cell r="G197">
            <v>0</v>
          </cell>
          <cell r="H197">
            <v>4.0135865019258664E-2</v>
          </cell>
          <cell r="J197" t="str">
            <v>1993TX</v>
          </cell>
          <cell r="K197">
            <v>0.93527662949468515</v>
          </cell>
          <cell r="L197">
            <v>0</v>
          </cell>
          <cell r="M197">
            <v>6.4723370505314889E-2</v>
          </cell>
          <cell r="U197" t="str">
            <v>1993TX</v>
          </cell>
          <cell r="V197">
            <v>0.23119018999999999</v>
          </cell>
          <cell r="W197">
            <v>3.0637877000000001E-2</v>
          </cell>
          <cell r="X197">
            <v>0.11148638299999999</v>
          </cell>
          <cell r="Y197">
            <v>0.33856675899999999</v>
          </cell>
          <cell r="Z197">
            <v>0.28811879299999998</v>
          </cell>
          <cell r="AB197" t="str">
            <v>1993TX</v>
          </cell>
          <cell r="AC197">
            <v>0.33333333333333326</v>
          </cell>
          <cell r="AD197">
            <v>0</v>
          </cell>
          <cell r="AE197">
            <v>0.306666667</v>
          </cell>
          <cell r="AF197">
            <v>0.36</v>
          </cell>
        </row>
        <row r="198">
          <cell r="B198" t="str">
            <v>1993UT</v>
          </cell>
          <cell r="C198">
            <v>0.35475164393700126</v>
          </cell>
          <cell r="D198">
            <v>0.27067344527571785</v>
          </cell>
          <cell r="E198">
            <v>3.9991974890681209E-2</v>
          </cell>
          <cell r="F198">
            <v>0.24698710604192251</v>
          </cell>
          <cell r="G198">
            <v>2.3676840855676937E-2</v>
          </cell>
          <cell r="H198">
            <v>6.3918988999000198E-2</v>
          </cell>
          <cell r="J198" t="str">
            <v>1993UT</v>
          </cell>
          <cell r="K198">
            <v>0.93633118425364181</v>
          </cell>
          <cell r="L198">
            <v>2.3676840855676937E-2</v>
          </cell>
          <cell r="M198">
            <v>3.9991974890681209E-2</v>
          </cell>
          <cell r="U198" t="str">
            <v>1993UT</v>
          </cell>
          <cell r="V198">
            <v>0.44069366700000001</v>
          </cell>
          <cell r="W198">
            <v>2.6851646E-2</v>
          </cell>
          <cell r="X198">
            <v>0.15193953299999999</v>
          </cell>
          <cell r="Y198">
            <v>0.11053974499999999</v>
          </cell>
          <cell r="Z198">
            <v>0.269975409</v>
          </cell>
          <cell r="AB198" t="str">
            <v>1993UT</v>
          </cell>
          <cell r="AC198">
            <v>0.33333333333333326</v>
          </cell>
          <cell r="AD198">
            <v>0</v>
          </cell>
          <cell r="AE198">
            <v>0.2</v>
          </cell>
          <cell r="AF198">
            <v>0.46666666699999998</v>
          </cell>
        </row>
        <row r="199">
          <cell r="B199" t="str">
            <v>1993VT</v>
          </cell>
          <cell r="C199">
            <v>4.4828765607813736E-2</v>
          </cell>
          <cell r="D199">
            <v>0.12047995840577581</v>
          </cell>
          <cell r="E199">
            <v>0.46500457629307596</v>
          </cell>
          <cell r="F199">
            <v>0.25751552351890844</v>
          </cell>
          <cell r="G199">
            <v>8.508042627873065E-2</v>
          </cell>
          <cell r="H199">
            <v>2.709074989569546E-2</v>
          </cell>
          <cell r="J199" t="str">
            <v>1993VT</v>
          </cell>
          <cell r="K199">
            <v>0.44991499742819341</v>
          </cell>
          <cell r="L199">
            <v>8.508042627873065E-2</v>
          </cell>
          <cell r="M199">
            <v>0.46500457629307596</v>
          </cell>
          <cell r="U199" t="str">
            <v>1993VT</v>
          </cell>
          <cell r="V199">
            <v>1</v>
          </cell>
          <cell r="W199">
            <v>0</v>
          </cell>
          <cell r="X199">
            <v>0</v>
          </cell>
          <cell r="Y199">
            <v>0</v>
          </cell>
          <cell r="Z199">
            <v>0</v>
          </cell>
          <cell r="AB199" t="str">
            <v>1993VT</v>
          </cell>
          <cell r="AC199">
            <v>6.6666666666666666E-2</v>
          </cell>
          <cell r="AD199">
            <v>0.06</v>
          </cell>
          <cell r="AE199">
            <v>1.6666667E-2</v>
          </cell>
          <cell r="AF199">
            <v>0.85666666700000005</v>
          </cell>
        </row>
        <row r="200">
          <cell r="B200" t="str">
            <v>1993VA</v>
          </cell>
          <cell r="C200">
            <v>3.0186119067537084E-2</v>
          </cell>
          <cell r="D200">
            <v>7.5984178425094251E-2</v>
          </cell>
          <cell r="E200">
            <v>0.14185075750001783</v>
          </cell>
          <cell r="F200">
            <v>0.12276669988426972</v>
          </cell>
          <cell r="G200">
            <v>0.61283001149728988</v>
          </cell>
          <cell r="H200">
            <v>1.6382233625791196E-2</v>
          </cell>
          <cell r="J200" t="str">
            <v>1993VA</v>
          </cell>
          <cell r="K200">
            <v>0.24531923100269226</v>
          </cell>
          <cell r="L200">
            <v>0.61283001149728988</v>
          </cell>
          <cell r="M200">
            <v>0.14185075750001783</v>
          </cell>
          <cell r="U200" t="str">
            <v>1993VA</v>
          </cell>
          <cell r="V200">
            <v>9.3360462000000005E-2</v>
          </cell>
          <cell r="W200">
            <v>3.5271856999999997E-2</v>
          </cell>
          <cell r="X200">
            <v>0.104363575</v>
          </cell>
          <cell r="Y200">
            <v>0.44673659300000002</v>
          </cell>
          <cell r="Z200">
            <v>0.320267513</v>
          </cell>
          <cell r="AB200" t="str">
            <v>1993VA</v>
          </cell>
          <cell r="AC200">
            <v>0.46666666666666673</v>
          </cell>
          <cell r="AD200">
            <v>0</v>
          </cell>
          <cell r="AE200">
            <v>1.6666667E-2</v>
          </cell>
          <cell r="AF200">
            <v>0.51666666699999997</v>
          </cell>
        </row>
        <row r="201">
          <cell r="B201" t="str">
            <v>1993WA</v>
          </cell>
          <cell r="C201">
            <v>0.36606204842899681</v>
          </cell>
          <cell r="D201">
            <v>0.20821801362390704</v>
          </cell>
          <cell r="E201">
            <v>0</v>
          </cell>
          <cell r="F201">
            <v>0.12301937528433278</v>
          </cell>
          <cell r="G201">
            <v>0.27888234226043401</v>
          </cell>
          <cell r="H201">
            <v>2.3818220402329386E-2</v>
          </cell>
          <cell r="J201" t="str">
            <v>1993WA</v>
          </cell>
          <cell r="K201">
            <v>0.72111765773956593</v>
          </cell>
          <cell r="L201">
            <v>0.27888234226043401</v>
          </cell>
          <cell r="M201">
            <v>0</v>
          </cell>
          <cell r="U201" t="str">
            <v>1993WA</v>
          </cell>
          <cell r="V201">
            <v>0.31706490999999998</v>
          </cell>
          <cell r="W201">
            <v>3.2951295999999998E-2</v>
          </cell>
          <cell r="X201">
            <v>0.18534608699999999</v>
          </cell>
          <cell r="Y201">
            <v>0.13442546499999999</v>
          </cell>
          <cell r="Z201">
            <v>0.33021224199999999</v>
          </cell>
          <cell r="AB201" t="str">
            <v>1993WA</v>
          </cell>
          <cell r="AC201">
            <v>0</v>
          </cell>
          <cell r="AD201">
            <v>6.6666666666666666E-2</v>
          </cell>
          <cell r="AE201">
            <v>0.04</v>
          </cell>
          <cell r="AF201">
            <v>0.89333333299999995</v>
          </cell>
        </row>
        <row r="202">
          <cell r="B202" t="str">
            <v>1993WV</v>
          </cell>
          <cell r="C202">
            <v>3.8559434394880431E-2</v>
          </cell>
          <cell r="D202">
            <v>0.11324229846036928</v>
          </cell>
          <cell r="E202">
            <v>0.46868708488528144</v>
          </cell>
          <cell r="F202">
            <v>0.26403594682097403</v>
          </cell>
          <cell r="G202">
            <v>8.8402226452109225E-2</v>
          </cell>
          <cell r="H202">
            <v>2.7073008986385601E-2</v>
          </cell>
          <cell r="J202" t="str">
            <v>1993WV</v>
          </cell>
          <cell r="K202">
            <v>0.4429106886626093</v>
          </cell>
          <cell r="L202">
            <v>8.8402226452109225E-2</v>
          </cell>
          <cell r="M202">
            <v>0.46868708488528144</v>
          </cell>
          <cell r="U202" t="str">
            <v>1993WV</v>
          </cell>
          <cell r="V202">
            <v>0.63514613900000005</v>
          </cell>
          <cell r="W202">
            <v>1.605357E-2</v>
          </cell>
          <cell r="X202">
            <v>0.10069966599999999</v>
          </cell>
          <cell r="Y202">
            <v>7.6984164999999993E-2</v>
          </cell>
          <cell r="Z202">
            <v>0.171116461</v>
          </cell>
          <cell r="AB202" t="str">
            <v>1993WV</v>
          </cell>
          <cell r="AC202">
            <v>0.66666666666666652</v>
          </cell>
          <cell r="AD202">
            <v>0</v>
          </cell>
          <cell r="AE202">
            <v>1.6666667E-2</v>
          </cell>
          <cell r="AF202">
            <v>0.31666666700000001</v>
          </cell>
        </row>
        <row r="203">
          <cell r="B203" t="str">
            <v>1993WI</v>
          </cell>
          <cell r="C203">
            <v>4.2936351450047552E-2</v>
          </cell>
          <cell r="D203">
            <v>0.13836379713363475</v>
          </cell>
          <cell r="E203">
            <v>0.21156576276399189</v>
          </cell>
          <cell r="F203">
            <v>0.44553916207125976</v>
          </cell>
          <cell r="G203">
            <v>0.12525535208415439</v>
          </cell>
          <cell r="H203">
            <v>3.6339574496911574E-2</v>
          </cell>
          <cell r="J203" t="str">
            <v>1993WI</v>
          </cell>
          <cell r="K203">
            <v>0.66317888515185375</v>
          </cell>
          <cell r="L203">
            <v>0.12525535208415439</v>
          </cell>
          <cell r="M203">
            <v>0.21156576276399189</v>
          </cell>
          <cell r="U203" t="str">
            <v>1993WI</v>
          </cell>
          <cell r="V203">
            <v>0.18308358499999999</v>
          </cell>
          <cell r="W203">
            <v>3.8280862999999998E-2</v>
          </cell>
          <cell r="X203">
            <v>0.222937678</v>
          </cell>
          <cell r="Y203">
            <v>0.16458089400000001</v>
          </cell>
          <cell r="Z203">
            <v>0.39111698</v>
          </cell>
          <cell r="AB203" t="str">
            <v>1993WI</v>
          </cell>
          <cell r="AC203">
            <v>0.26666666666666666</v>
          </cell>
          <cell r="AD203">
            <v>3.3333333333333333E-2</v>
          </cell>
          <cell r="AE203">
            <v>6.6666670000000003E-3</v>
          </cell>
          <cell r="AF203">
            <v>0.693333333</v>
          </cell>
        </row>
        <row r="204">
          <cell r="B204" t="str">
            <v>1993WY</v>
          </cell>
          <cell r="C204">
            <v>0.25179138546856111</v>
          </cell>
          <cell r="D204">
            <v>0.19734371983190141</v>
          </cell>
          <cell r="E204">
            <v>0.15967830947989223</v>
          </cell>
          <cell r="F204">
            <v>0.23366487060693258</v>
          </cell>
          <cell r="G204">
            <v>9.4535914567697374E-2</v>
          </cell>
          <cell r="H204">
            <v>6.2985800045015264E-2</v>
          </cell>
          <cell r="J204" t="str">
            <v>1993WY</v>
          </cell>
          <cell r="K204">
            <v>0.74578577595241047</v>
          </cell>
          <cell r="L204">
            <v>9.4535914567697374E-2</v>
          </cell>
          <cell r="M204">
            <v>0.15967830947989223</v>
          </cell>
          <cell r="U204" t="str">
            <v>1993WY</v>
          </cell>
          <cell r="V204">
            <v>0.331489794</v>
          </cell>
          <cell r="W204">
            <v>3.1585548999999997E-2</v>
          </cell>
          <cell r="X204">
            <v>0.18215679200000001</v>
          </cell>
          <cell r="Y204">
            <v>0.13381865400000001</v>
          </cell>
          <cell r="Z204">
            <v>0.32094921199999998</v>
          </cell>
          <cell r="AB204" t="str">
            <v>1993WY</v>
          </cell>
          <cell r="AC204">
            <v>0</v>
          </cell>
          <cell r="AD204">
            <v>5.333333333333333E-2</v>
          </cell>
          <cell r="AE204">
            <v>0.22666666699999999</v>
          </cell>
          <cell r="AF204">
            <v>0.72</v>
          </cell>
        </row>
        <row r="205">
          <cell r="B205" t="str">
            <v>1994AL</v>
          </cell>
          <cell r="C205">
            <v>9.9099349216790325E-2</v>
          </cell>
          <cell r="D205">
            <v>7.166221647326701E-2</v>
          </cell>
          <cell r="E205">
            <v>0.14622267237206843</v>
          </cell>
          <cell r="F205">
            <v>9.1696161993515768E-2</v>
          </cell>
          <cell r="G205">
            <v>0.58689453733444796</v>
          </cell>
          <cell r="H205">
            <v>4.4250626099104472E-3</v>
          </cell>
          <cell r="J205" t="str">
            <v>1994AL</v>
          </cell>
          <cell r="K205">
            <v>0.26688279029348361</v>
          </cell>
          <cell r="L205">
            <v>0.58689453733444796</v>
          </cell>
          <cell r="M205">
            <v>0.14622267237206843</v>
          </cell>
          <cell r="U205" t="str">
            <v>1994AL</v>
          </cell>
          <cell r="V205">
            <v>0.15153656400000001</v>
          </cell>
          <cell r="W205">
            <v>3.4297523000000003E-2</v>
          </cell>
          <cell r="X205">
            <v>0.13836077299999999</v>
          </cell>
          <cell r="Y205">
            <v>0.34681065999999999</v>
          </cell>
          <cell r="Z205">
            <v>0.32899448100000001</v>
          </cell>
          <cell r="AB205" t="str">
            <v>1994AL</v>
          </cell>
          <cell r="AC205">
            <v>0</v>
          </cell>
          <cell r="AD205">
            <v>5.5555555555555552E-2</v>
          </cell>
          <cell r="AE205">
            <v>0.63066666699999996</v>
          </cell>
          <cell r="AF205">
            <v>0.31377777800000001</v>
          </cell>
        </row>
        <row r="206">
          <cell r="B206" t="str">
            <v>1994AK</v>
          </cell>
          <cell r="C206">
            <v>9.9723135303636107E-2</v>
          </cell>
          <cell r="D206">
            <v>7.8204393013840023E-2</v>
          </cell>
          <cell r="E206">
            <v>0.44415374432677762</v>
          </cell>
          <cell r="F206">
            <v>9.0595704028874763E-2</v>
          </cell>
          <cell r="G206">
            <v>0.26295669440242059</v>
          </cell>
          <cell r="H206">
            <v>2.436632892445087E-2</v>
          </cell>
          <cell r="J206" t="str">
            <v>1994AK</v>
          </cell>
          <cell r="K206">
            <v>0.29288956127080179</v>
          </cell>
          <cell r="L206">
            <v>0.26295669440242059</v>
          </cell>
          <cell r="M206">
            <v>0.44415374432677762</v>
          </cell>
          <cell r="U206" t="str">
            <v>1994AK</v>
          </cell>
          <cell r="V206">
            <v>1</v>
          </cell>
          <cell r="W206">
            <v>0</v>
          </cell>
          <cell r="X206">
            <v>0</v>
          </cell>
          <cell r="Y206">
            <v>0</v>
          </cell>
          <cell r="Z206">
            <v>0</v>
          </cell>
          <cell r="AB206" t="str">
            <v>1994AK</v>
          </cell>
          <cell r="AC206">
            <v>5.5555555555555552E-2</v>
          </cell>
          <cell r="AD206">
            <v>6.6666666666666652E-2</v>
          </cell>
          <cell r="AE206">
            <v>0.19444444399999999</v>
          </cell>
          <cell r="AF206">
            <v>0.68333333299999999</v>
          </cell>
        </row>
        <row r="207">
          <cell r="B207" t="str">
            <v>1994AZ</v>
          </cell>
          <cell r="C207">
            <v>0.60008969911508958</v>
          </cell>
          <cell r="D207">
            <v>0.21094184804867303</v>
          </cell>
          <cell r="E207">
            <v>9.4460984397948602E-2</v>
          </cell>
          <cell r="F207">
            <v>9.3019829908640661E-2</v>
          </cell>
          <cell r="G207">
            <v>0</v>
          </cell>
          <cell r="H207">
            <v>1.4876385296481321E-3</v>
          </cell>
          <cell r="J207" t="str">
            <v>1994AZ</v>
          </cell>
          <cell r="K207">
            <v>0.90553901560205141</v>
          </cell>
          <cell r="L207">
            <v>0</v>
          </cell>
          <cell r="M207">
            <v>9.4460984397948602E-2</v>
          </cell>
          <cell r="U207" t="str">
            <v>1994AZ</v>
          </cell>
          <cell r="V207">
            <v>4.3224502999999997E-2</v>
          </cell>
          <cell r="W207">
            <v>3.6824107000000002E-2</v>
          </cell>
          <cell r="X207">
            <v>9.7561858000000001E-2</v>
          </cell>
          <cell r="Y207">
            <v>0.49345730100000001</v>
          </cell>
          <cell r="Z207">
            <v>0.32893223100000002</v>
          </cell>
          <cell r="AB207" t="str">
            <v>1994AZ</v>
          </cell>
          <cell r="AC207">
            <v>0</v>
          </cell>
          <cell r="AD207">
            <v>0</v>
          </cell>
          <cell r="AE207">
            <v>0.26666666700000002</v>
          </cell>
          <cell r="AF207">
            <v>0.73333333300000003</v>
          </cell>
        </row>
        <row r="208">
          <cell r="B208" t="str">
            <v>1994AR</v>
          </cell>
          <cell r="C208">
            <v>6.2264908204246669E-2</v>
          </cell>
          <cell r="D208">
            <v>4.9051887770267123E-2</v>
          </cell>
          <cell r="E208">
            <v>0.13912499999999997</v>
          </cell>
          <cell r="F208">
            <v>0.11467113505983519</v>
          </cell>
          <cell r="G208">
            <v>0.629</v>
          </cell>
          <cell r="H208">
            <v>5.8870689656510483E-3</v>
          </cell>
          <cell r="J208" t="str">
            <v>1994AR</v>
          </cell>
          <cell r="K208">
            <v>0.23187500000000005</v>
          </cell>
          <cell r="L208">
            <v>0.629</v>
          </cell>
          <cell r="M208">
            <v>0.13912499999999997</v>
          </cell>
          <cell r="U208" t="str">
            <v>1994AR</v>
          </cell>
          <cell r="V208">
            <v>4.0581199999999998E-2</v>
          </cell>
          <cell r="W208">
            <v>3.7287841000000002E-2</v>
          </cell>
          <cell r="X208">
            <v>0.10926021900000001</v>
          </cell>
          <cell r="Y208">
            <v>0.47480721399999998</v>
          </cell>
          <cell r="Z208">
            <v>0.33806352699999997</v>
          </cell>
          <cell r="AB208" t="str">
            <v>1994AR</v>
          </cell>
          <cell r="AC208">
            <v>0</v>
          </cell>
          <cell r="AD208">
            <v>0.33333333333333337</v>
          </cell>
          <cell r="AE208">
            <v>0.222222222</v>
          </cell>
          <cell r="AF208">
            <v>0.44444444399999999</v>
          </cell>
        </row>
        <row r="209">
          <cell r="B209" t="str">
            <v>1994CA</v>
          </cell>
          <cell r="C209">
            <v>0.55460638095835668</v>
          </cell>
          <cell r="D209">
            <v>0.22027408348856042</v>
          </cell>
          <cell r="E209">
            <v>0.11463678002777147</v>
          </cell>
          <cell r="F209">
            <v>9.0707260377367135E-2</v>
          </cell>
          <cell r="G209">
            <v>1.5988349997545004E-2</v>
          </cell>
          <cell r="H209">
            <v>3.7871451503992386E-3</v>
          </cell>
          <cell r="J209" t="str">
            <v>1994CA</v>
          </cell>
          <cell r="K209">
            <v>0.8693748699746835</v>
          </cell>
          <cell r="L209">
            <v>1.5988349997545004E-2</v>
          </cell>
          <cell r="M209">
            <v>0.11463678002777147</v>
          </cell>
          <cell r="U209" t="str">
            <v>1994CA</v>
          </cell>
          <cell r="V209">
            <v>0.113453524</v>
          </cell>
          <cell r="W209">
            <v>3.3746597000000003E-2</v>
          </cell>
          <cell r="X209">
            <v>7.8575392999999993E-2</v>
          </cell>
          <cell r="Y209">
            <v>0.477944225</v>
          </cell>
          <cell r="Z209">
            <v>0.29628026099999999</v>
          </cell>
          <cell r="AB209" t="str">
            <v>1994CA</v>
          </cell>
          <cell r="AC209">
            <v>0.25</v>
          </cell>
          <cell r="AD209">
            <v>1.6666666666666663E-2</v>
          </cell>
          <cell r="AE209">
            <v>9.2222222000000006E-2</v>
          </cell>
          <cell r="AF209">
            <v>0.64111111099999996</v>
          </cell>
        </row>
        <row r="210">
          <cell r="B210" t="str">
            <v>1994CO</v>
          </cell>
          <cell r="C210">
            <v>0.5168088546597388</v>
          </cell>
          <cell r="D210">
            <v>0.26875354371297761</v>
          </cell>
          <cell r="E210">
            <v>2.7900607497762776E-2</v>
          </cell>
          <cell r="F210">
            <v>0.14572620376011178</v>
          </cell>
          <cell r="G210">
            <v>1.6518270110615772E-2</v>
          </cell>
          <cell r="H210">
            <v>2.4292520258793391E-2</v>
          </cell>
          <cell r="J210" t="str">
            <v>1994CO</v>
          </cell>
          <cell r="K210">
            <v>0.95558112239162141</v>
          </cell>
          <cell r="L210">
            <v>1.6518270110615772E-2</v>
          </cell>
          <cell r="M210">
            <v>2.7900607497762776E-2</v>
          </cell>
          <cell r="U210" t="str">
            <v>1994CO</v>
          </cell>
          <cell r="V210">
            <v>5.9369966000000003E-2</v>
          </cell>
          <cell r="W210">
            <v>5.0764022999999998E-2</v>
          </cell>
          <cell r="X210">
            <v>0.24945623</v>
          </cell>
          <cell r="Y210">
            <v>0.1672186</v>
          </cell>
          <cell r="Z210">
            <v>0.47319118100000002</v>
          </cell>
          <cell r="AB210" t="str">
            <v>1994CO</v>
          </cell>
          <cell r="AC210">
            <v>0</v>
          </cell>
          <cell r="AD210">
            <v>4.4444444444444439E-2</v>
          </cell>
          <cell r="AE210">
            <v>0.28888888899999998</v>
          </cell>
          <cell r="AF210">
            <v>0.66666666699999999</v>
          </cell>
        </row>
        <row r="211">
          <cell r="B211" t="str">
            <v>1994CT</v>
          </cell>
          <cell r="C211">
            <v>8.0387767251629993E-2</v>
          </cell>
          <cell r="D211">
            <v>0.16866911474215507</v>
          </cell>
          <cell r="E211">
            <v>0.44226891150173153</v>
          </cell>
          <cell r="F211">
            <v>0.21583002502763551</v>
          </cell>
          <cell r="G211">
            <v>6.4571761232946126E-2</v>
          </cell>
          <cell r="H211">
            <v>2.8272420243901766E-2</v>
          </cell>
          <cell r="J211" t="str">
            <v>1994CT</v>
          </cell>
          <cell r="K211">
            <v>0.4931593272653223</v>
          </cell>
          <cell r="L211">
            <v>6.4571761232946126E-2</v>
          </cell>
          <cell r="M211">
            <v>0.44226891150173153</v>
          </cell>
          <cell r="U211" t="str">
            <v>1994CT</v>
          </cell>
          <cell r="V211">
            <v>0.84088275899999998</v>
          </cell>
          <cell r="W211">
            <v>7.0011589999999999E-3</v>
          </cell>
          <cell r="X211">
            <v>4.3916359000000002E-2</v>
          </cell>
          <cell r="Y211">
            <v>3.3573737999999999E-2</v>
          </cell>
          <cell r="Z211">
            <v>7.4625986000000005E-2</v>
          </cell>
          <cell r="AB211" t="str">
            <v>1994CT</v>
          </cell>
          <cell r="AC211">
            <v>0</v>
          </cell>
          <cell r="AD211">
            <v>0</v>
          </cell>
          <cell r="AE211">
            <v>2.2222222E-2</v>
          </cell>
          <cell r="AF211">
            <v>0.97777777799999999</v>
          </cell>
        </row>
        <row r="212">
          <cell r="B212" t="str">
            <v>1994DE</v>
          </cell>
          <cell r="C212">
            <v>5.9242529775906189E-2</v>
          </cell>
          <cell r="D212">
            <v>0.15677060878255644</v>
          </cell>
          <cell r="E212">
            <v>0.44568018168042717</v>
          </cell>
          <cell r="F212">
            <v>0.2380583941744859</v>
          </cell>
          <cell r="G212">
            <v>6.7648891289076113E-2</v>
          </cell>
          <cell r="H212">
            <v>3.2599394297548184E-2</v>
          </cell>
          <cell r="J212" t="str">
            <v>1994DE</v>
          </cell>
          <cell r="K212">
            <v>0.48667092703049675</v>
          </cell>
          <cell r="L212">
            <v>6.7648891289076113E-2</v>
          </cell>
          <cell r="M212">
            <v>0.44568018168042717</v>
          </cell>
          <cell r="U212" t="str">
            <v>1994DE</v>
          </cell>
          <cell r="V212">
            <v>0.101840555</v>
          </cell>
          <cell r="W212">
            <v>4.6641093000000002E-2</v>
          </cell>
          <cell r="X212">
            <v>0.240176423</v>
          </cell>
          <cell r="Y212">
            <v>0.16577138599999999</v>
          </cell>
          <cell r="Z212">
            <v>0.44557054299999999</v>
          </cell>
          <cell r="AB212" t="str">
            <v>1994DE</v>
          </cell>
          <cell r="AC212">
            <v>0</v>
          </cell>
          <cell r="AD212">
            <v>0</v>
          </cell>
          <cell r="AE212">
            <v>2.2222222E-2</v>
          </cell>
          <cell r="AF212">
            <v>0.97777777799999999</v>
          </cell>
        </row>
        <row r="213">
          <cell r="B213" t="str">
            <v>1994FL</v>
          </cell>
          <cell r="C213">
            <v>0.39484310163422209</v>
          </cell>
          <cell r="D213">
            <v>0.14742094219804014</v>
          </cell>
          <cell r="E213">
            <v>0.21717816174996191</v>
          </cell>
          <cell r="F213">
            <v>7.3680374615147787E-2</v>
          </cell>
          <cell r="G213">
            <v>0.16596587899371568</v>
          </cell>
          <cell r="H213">
            <v>9.1154080891243721E-4</v>
          </cell>
          <cell r="J213" t="str">
            <v>1994FL</v>
          </cell>
          <cell r="K213">
            <v>0.61685595925632242</v>
          </cell>
          <cell r="L213">
            <v>0.16596587899371568</v>
          </cell>
          <cell r="M213">
            <v>0.21717816174996191</v>
          </cell>
          <cell r="U213" t="str">
            <v>1994FL</v>
          </cell>
          <cell r="V213">
            <v>0.52018695299999995</v>
          </cell>
          <cell r="W213">
            <v>2.1111774E-2</v>
          </cell>
          <cell r="X213">
            <v>0.132428401</v>
          </cell>
          <cell r="Y213">
            <v>0.101240553</v>
          </cell>
          <cell r="Z213">
            <v>0.22503231900000001</v>
          </cell>
          <cell r="AB213" t="str">
            <v>1994FL</v>
          </cell>
          <cell r="AC213">
            <v>6.6666666666666652E-2</v>
          </cell>
          <cell r="AD213">
            <v>3.3333333333333326E-2</v>
          </cell>
          <cell r="AE213">
            <v>0.25288888900000001</v>
          </cell>
          <cell r="AF213">
            <v>0.64711111099999996</v>
          </cell>
        </row>
        <row r="214">
          <cell r="B214" t="str">
            <v>1994GA</v>
          </cell>
          <cell r="C214">
            <v>0.13513818985857465</v>
          </cell>
          <cell r="D214">
            <v>8.8189881555497271E-2</v>
          </cell>
          <cell r="E214">
            <v>0.15673061651985642</v>
          </cell>
          <cell r="F214">
            <v>9.124018360542753E-2</v>
          </cell>
          <cell r="G214">
            <v>0.52455834783272637</v>
          </cell>
          <cell r="H214">
            <v>4.1427806279176853E-3</v>
          </cell>
          <cell r="J214" t="str">
            <v>1994GA</v>
          </cell>
          <cell r="K214">
            <v>0.31871103564741721</v>
          </cell>
          <cell r="L214">
            <v>0.52455834783272637</v>
          </cell>
          <cell r="M214">
            <v>0.15673061651985642</v>
          </cell>
          <cell r="U214" t="str">
            <v>1994GA</v>
          </cell>
          <cell r="V214">
            <v>0.114379888</v>
          </cell>
          <cell r="W214">
            <v>3.5595393000000003E-2</v>
          </cell>
          <cell r="X214">
            <v>0.13797571</v>
          </cell>
          <cell r="Y214">
            <v>0.37328328900000002</v>
          </cell>
          <cell r="Z214">
            <v>0.33876571900000002</v>
          </cell>
          <cell r="AB214" t="str">
            <v>1994GA</v>
          </cell>
          <cell r="AC214">
            <v>0.35555555555555551</v>
          </cell>
          <cell r="AD214">
            <v>2.7777777777777776E-2</v>
          </cell>
          <cell r="AE214">
            <v>0.19177777800000001</v>
          </cell>
          <cell r="AF214">
            <v>0.42488888899999999</v>
          </cell>
        </row>
        <row r="215">
          <cell r="B215" t="str">
            <v>1994HI</v>
          </cell>
          <cell r="C215">
            <v>0.61787896283365218</v>
          </cell>
          <cell r="D215">
            <v>0.21103410447807638</v>
          </cell>
          <cell r="E215">
            <v>0</v>
          </cell>
          <cell r="F215">
            <v>0.11437501000430068</v>
          </cell>
          <cell r="G215">
            <v>4.9874646277726295E-2</v>
          </cell>
          <cell r="H215">
            <v>6.8372764062445586E-3</v>
          </cell>
          <cell r="J215" t="str">
            <v>1994HI</v>
          </cell>
          <cell r="K215">
            <v>0.95012535372227369</v>
          </cell>
          <cell r="L215">
            <v>4.9874646277726295E-2</v>
          </cell>
          <cell r="M215">
            <v>0</v>
          </cell>
          <cell r="U215" t="str">
            <v>1994HI</v>
          </cell>
          <cell r="V215">
            <v>0.35917479000000002</v>
          </cell>
          <cell r="W215">
            <v>2.8196308999999999E-2</v>
          </cell>
          <cell r="X215">
            <v>0.17686775800000001</v>
          </cell>
          <cell r="Y215">
            <v>0.13521411899999999</v>
          </cell>
          <cell r="Z215">
            <v>0.30054702300000002</v>
          </cell>
          <cell r="AB215" t="str">
            <v>1994HI</v>
          </cell>
          <cell r="AC215">
            <v>5.5555555555555552E-2</v>
          </cell>
          <cell r="AD215">
            <v>0</v>
          </cell>
          <cell r="AE215">
            <v>0.55555555599999995</v>
          </cell>
          <cell r="AF215">
            <v>0.38888888900000002</v>
          </cell>
        </row>
        <row r="216">
          <cell r="B216" t="str">
            <v>1994ID</v>
          </cell>
          <cell r="C216">
            <v>0.48817452393851613</v>
          </cell>
          <cell r="D216">
            <v>0.24316874941882111</v>
          </cell>
          <cell r="E216">
            <v>3.9111180739564079E-2</v>
          </cell>
          <cell r="F216">
            <v>0.17324607924523164</v>
          </cell>
          <cell r="G216">
            <v>2.3155375661731967E-2</v>
          </cell>
          <cell r="H216">
            <v>3.3144090996135023E-2</v>
          </cell>
          <cell r="J216" t="str">
            <v>1994ID</v>
          </cell>
          <cell r="K216">
            <v>0.93773344359870392</v>
          </cell>
          <cell r="L216">
            <v>2.3155375661731967E-2</v>
          </cell>
          <cell r="M216">
            <v>3.9111180739564079E-2</v>
          </cell>
          <cell r="U216" t="str">
            <v>1994ID</v>
          </cell>
          <cell r="V216">
            <v>0.33831388899999998</v>
          </cell>
          <cell r="W216">
            <v>3.1779824999999998E-2</v>
          </cell>
          <cell r="X216">
            <v>0.179737594</v>
          </cell>
          <cell r="Y216">
            <v>0.13073031700000001</v>
          </cell>
          <cell r="Z216">
            <v>0.319438375</v>
          </cell>
          <cell r="AB216" t="str">
            <v>1994ID</v>
          </cell>
          <cell r="AC216">
            <v>0</v>
          </cell>
          <cell r="AD216">
            <v>0.33333333333333337</v>
          </cell>
          <cell r="AE216">
            <v>0.26666666700000002</v>
          </cell>
          <cell r="AF216">
            <v>0.4</v>
          </cell>
        </row>
        <row r="217">
          <cell r="B217" t="str">
            <v>1994IL</v>
          </cell>
          <cell r="C217">
            <v>5.309227184143632E-2</v>
          </cell>
          <cell r="D217">
            <v>0.17321903666287625</v>
          </cell>
          <cell r="E217">
            <v>0.13837758764993796</v>
          </cell>
          <cell r="F217">
            <v>0.50571651294892583</v>
          </cell>
          <cell r="G217">
            <v>8.1925039454440865E-2</v>
          </cell>
          <cell r="H217">
            <v>4.7669551442382857E-2</v>
          </cell>
          <cell r="J217" t="str">
            <v>1994IL</v>
          </cell>
          <cell r="K217">
            <v>0.77969737289562113</v>
          </cell>
          <cell r="L217">
            <v>8.1925039454440865E-2</v>
          </cell>
          <cell r="M217">
            <v>0.13837758764993796</v>
          </cell>
          <cell r="U217" t="str">
            <v>1994IL</v>
          </cell>
          <cell r="V217">
            <v>6.5822086000000002E-2</v>
          </cell>
          <cell r="W217">
            <v>4.2626908999999998E-2</v>
          </cell>
          <cell r="X217">
            <v>0.26354465599999999</v>
          </cell>
          <cell r="Y217">
            <v>0.16398453900000001</v>
          </cell>
          <cell r="Z217">
            <v>0.46402180999999998</v>
          </cell>
          <cell r="AB217" t="str">
            <v>1994IL</v>
          </cell>
          <cell r="AC217">
            <v>0</v>
          </cell>
          <cell r="AD217">
            <v>0</v>
          </cell>
          <cell r="AE217">
            <v>6.4444444000000004E-2</v>
          </cell>
          <cell r="AF217">
            <v>0.93555555599999995</v>
          </cell>
        </row>
        <row r="218">
          <cell r="B218" t="str">
            <v>1994IN</v>
          </cell>
          <cell r="C218">
            <v>4.8809250653992678E-2</v>
          </cell>
          <cell r="D218">
            <v>0.15733534984038477</v>
          </cell>
          <cell r="E218">
            <v>0.1872612281726776</v>
          </cell>
          <cell r="F218">
            <v>0.45326019162518749</v>
          </cell>
          <cell r="G218">
            <v>0.11086610026143597</v>
          </cell>
          <cell r="H218">
            <v>4.2467879446321591E-2</v>
          </cell>
          <cell r="J218" t="str">
            <v>1994IN</v>
          </cell>
          <cell r="K218">
            <v>0.70187267156588651</v>
          </cell>
          <cell r="L218">
            <v>0.11086610026143597</v>
          </cell>
          <cell r="M218">
            <v>0.1872612281726776</v>
          </cell>
          <cell r="U218" t="str">
            <v>1994IN</v>
          </cell>
          <cell r="V218">
            <v>7.2098216000000007E-2</v>
          </cell>
          <cell r="W218">
            <v>4.2441740999999998E-2</v>
          </cell>
          <cell r="X218">
            <v>0.262153627</v>
          </cell>
          <cell r="Y218">
            <v>0.16068141599999999</v>
          </cell>
          <cell r="Z218">
            <v>0.46262500000000001</v>
          </cell>
          <cell r="AB218" t="str">
            <v>1994IN</v>
          </cell>
          <cell r="AC218">
            <v>0</v>
          </cell>
          <cell r="AD218">
            <v>2.7777777777777776E-2</v>
          </cell>
          <cell r="AE218">
            <v>0</v>
          </cell>
          <cell r="AF218">
            <v>0.97222222199999997</v>
          </cell>
        </row>
        <row r="219">
          <cell r="B219" t="str">
            <v>1994IA</v>
          </cell>
          <cell r="C219">
            <v>4.5703874505827226E-2</v>
          </cell>
          <cell r="D219">
            <v>0.14385548399660411</v>
          </cell>
          <cell r="E219">
            <v>0.19894602555707813</v>
          </cell>
          <cell r="F219">
            <v>0.45601297950042408</v>
          </cell>
          <cell r="G219">
            <v>0.11778396537956365</v>
          </cell>
          <cell r="H219">
            <v>3.7697671060502855E-2</v>
          </cell>
          <cell r="J219" t="str">
            <v>1994IA</v>
          </cell>
          <cell r="K219">
            <v>0.68327000906335822</v>
          </cell>
          <cell r="L219">
            <v>0.11778396537956365</v>
          </cell>
          <cell r="M219">
            <v>0.19894602555707813</v>
          </cell>
          <cell r="U219" t="str">
            <v>1994IA</v>
          </cell>
          <cell r="V219">
            <v>5.4436404000000001E-2</v>
          </cell>
          <cell r="W219">
            <v>3.9444060000000003E-2</v>
          </cell>
          <cell r="X219">
            <v>0.192757965</v>
          </cell>
          <cell r="Y219">
            <v>0.31897186599999999</v>
          </cell>
          <cell r="Z219">
            <v>0.39438970499999998</v>
          </cell>
          <cell r="AB219" t="str">
            <v>1994IA</v>
          </cell>
          <cell r="AC219">
            <v>2.222222222222222E-2</v>
          </cell>
          <cell r="AD219">
            <v>2.222222222222222E-2</v>
          </cell>
          <cell r="AE219">
            <v>1.1111111E-2</v>
          </cell>
          <cell r="AF219">
            <v>0.94444444400000005</v>
          </cell>
        </row>
        <row r="220">
          <cell r="B220" t="str">
            <v>1994KS</v>
          </cell>
          <cell r="C220">
            <v>5.7575070498223781E-2</v>
          </cell>
          <cell r="D220">
            <v>0.17878840453047254</v>
          </cell>
          <cell r="E220">
            <v>0.14775716224594432</v>
          </cell>
          <cell r="F220">
            <v>0.48259312269542248</v>
          </cell>
          <cell r="G220">
            <v>8.7478120931678463E-2</v>
          </cell>
          <cell r="H220">
            <v>4.5808119098258403E-2</v>
          </cell>
          <cell r="J220" t="str">
            <v>1994KS</v>
          </cell>
          <cell r="K220">
            <v>0.76476471682237723</v>
          </cell>
          <cell r="L220">
            <v>8.7478120931678463E-2</v>
          </cell>
          <cell r="M220">
            <v>0.14775716224594432</v>
          </cell>
          <cell r="U220" t="str">
            <v>1994KS</v>
          </cell>
          <cell r="V220">
            <v>0.10828141400000001</v>
          </cell>
          <cell r="W220">
            <v>4.1097905999999997E-2</v>
          </cell>
          <cell r="X220">
            <v>0.25309791199999998</v>
          </cell>
          <cell r="Y220">
            <v>0.147647845</v>
          </cell>
          <cell r="Z220">
            <v>0.44987492299999998</v>
          </cell>
          <cell r="AB220" t="str">
            <v>1994KS</v>
          </cell>
          <cell r="AC220">
            <v>0</v>
          </cell>
          <cell r="AD220">
            <v>0</v>
          </cell>
          <cell r="AE220">
            <v>8.8888890000000005E-3</v>
          </cell>
          <cell r="AF220">
            <v>0.99111111100000004</v>
          </cell>
        </row>
        <row r="221">
          <cell r="B221" t="str">
            <v>1994KY</v>
          </cell>
          <cell r="C221">
            <v>1.5292361172702522E-2</v>
          </cell>
          <cell r="D221">
            <v>5.0157596622128729E-2</v>
          </cell>
          <cell r="E221">
            <v>0.13992977620923319</v>
          </cell>
          <cell r="F221">
            <v>0.15582974208706443</v>
          </cell>
          <cell r="G221">
            <v>0.6242258328004342</v>
          </cell>
          <cell r="H221">
            <v>1.4564691108436889E-2</v>
          </cell>
          <cell r="J221" t="str">
            <v>1994KY</v>
          </cell>
          <cell r="K221">
            <v>0.23584439099033261</v>
          </cell>
          <cell r="L221">
            <v>0.6242258328004342</v>
          </cell>
          <cell r="M221">
            <v>0.13992977620923319</v>
          </cell>
          <cell r="U221" t="str">
            <v>1994KY</v>
          </cell>
          <cell r="V221">
            <v>0.13820659399999999</v>
          </cell>
          <cell r="W221">
            <v>3.5305378999999998E-2</v>
          </cell>
          <cell r="X221">
            <v>0.155342062</v>
          </cell>
          <cell r="Y221">
            <v>0.32632935499999999</v>
          </cell>
          <cell r="Z221">
            <v>0.34481661000000002</v>
          </cell>
          <cell r="AB221" t="str">
            <v>1994KY</v>
          </cell>
          <cell r="AC221">
            <v>1.6666666666666663E-2</v>
          </cell>
          <cell r="AD221">
            <v>0.18333333333333329</v>
          </cell>
          <cell r="AE221">
            <v>0.36111111099999998</v>
          </cell>
          <cell r="AF221">
            <v>0.438888889</v>
          </cell>
        </row>
        <row r="222">
          <cell r="B222" t="str">
            <v>1994LA</v>
          </cell>
          <cell r="C222">
            <v>7.8276244972431547E-2</v>
          </cell>
          <cell r="D222">
            <v>5.9039859330464455E-2</v>
          </cell>
          <cell r="E222">
            <v>0.1422647057137397</v>
          </cell>
          <cell r="F222">
            <v>0.10478662239977271</v>
          </cell>
          <cell r="G222">
            <v>0.61037434995859607</v>
          </cell>
          <cell r="H222">
            <v>5.2582176249955006E-3</v>
          </cell>
          <cell r="J222" t="str">
            <v>1994LA</v>
          </cell>
          <cell r="K222">
            <v>0.2473609443276642</v>
          </cell>
          <cell r="L222">
            <v>0.61037434995859607</v>
          </cell>
          <cell r="M222">
            <v>0.1422647057137397</v>
          </cell>
          <cell r="U222" t="str">
            <v>1994LA</v>
          </cell>
          <cell r="V222">
            <v>0.43458602699999999</v>
          </cell>
          <cell r="W222">
            <v>2.3623107000000001E-2</v>
          </cell>
          <cell r="X222">
            <v>0.116428701</v>
          </cell>
          <cell r="Y222">
            <v>0.188691895</v>
          </cell>
          <cell r="Z222">
            <v>0.23667026999999999</v>
          </cell>
          <cell r="AB222" t="str">
            <v>1994LA</v>
          </cell>
          <cell r="AC222">
            <v>2.7777777777777776E-2</v>
          </cell>
          <cell r="AD222">
            <v>0</v>
          </cell>
          <cell r="AE222">
            <v>0.79444444400000003</v>
          </cell>
          <cell r="AF222">
            <v>0.177777778</v>
          </cell>
        </row>
        <row r="223">
          <cell r="B223" t="str">
            <v>1994ME</v>
          </cell>
          <cell r="C223">
            <v>3.8844722819473806E-2</v>
          </cell>
          <cell r="D223">
            <v>0.11265498575252898</v>
          </cell>
          <cell r="E223">
            <v>0.47021173461367949</v>
          </cell>
          <cell r="F223">
            <v>0.2625196791533646</v>
          </cell>
          <cell r="G223">
            <v>8.9777533964725556E-2</v>
          </cell>
          <cell r="H223">
            <v>2.5991343696227624E-2</v>
          </cell>
          <cell r="J223" t="str">
            <v>1994ME</v>
          </cell>
          <cell r="K223">
            <v>0.44001073142159497</v>
          </cell>
          <cell r="L223">
            <v>8.9777533964725556E-2</v>
          </cell>
          <cell r="M223">
            <v>0.47021173461367949</v>
          </cell>
          <cell r="U223" t="str">
            <v>1994ME</v>
          </cell>
          <cell r="V223">
            <v>1</v>
          </cell>
          <cell r="W223">
            <v>0</v>
          </cell>
          <cell r="X223">
            <v>0</v>
          </cell>
          <cell r="Y223">
            <v>0</v>
          </cell>
          <cell r="Z223">
            <v>0</v>
          </cell>
          <cell r="AB223" t="str">
            <v>1994ME</v>
          </cell>
          <cell r="AC223">
            <v>5.5555555555555552E-2</v>
          </cell>
          <cell r="AD223">
            <v>0.05</v>
          </cell>
          <cell r="AE223">
            <v>2.2222222E-2</v>
          </cell>
          <cell r="AF223">
            <v>0.87222222199999999</v>
          </cell>
        </row>
        <row r="224">
          <cell r="B224" t="str">
            <v>1994MD</v>
          </cell>
          <cell r="C224">
            <v>4.687230527955899E-2</v>
          </cell>
          <cell r="D224">
            <v>0.12688199247782586</v>
          </cell>
          <cell r="E224">
            <v>0.45791439303616033</v>
          </cell>
          <cell r="F224">
            <v>0.25876708546188804</v>
          </cell>
          <cell r="G224">
            <v>7.8684739376068777E-2</v>
          </cell>
          <cell r="H224">
            <v>3.087948436849805E-2</v>
          </cell>
          <cell r="J224" t="str">
            <v>1994MD</v>
          </cell>
          <cell r="K224">
            <v>0.46340086758777088</v>
          </cell>
          <cell r="L224">
            <v>7.8684739376068777E-2</v>
          </cell>
          <cell r="M224">
            <v>0.45791439303616033</v>
          </cell>
          <cell r="U224" t="str">
            <v>1994MD</v>
          </cell>
          <cell r="V224">
            <v>0.17729884600000001</v>
          </cell>
          <cell r="W224">
            <v>4.0476154E-2</v>
          </cell>
          <cell r="X224">
            <v>0.222431773</v>
          </cell>
          <cell r="Y224">
            <v>0.159332266</v>
          </cell>
          <cell r="Z224">
            <v>0.400460961</v>
          </cell>
          <cell r="AB224" t="str">
            <v>1994MD</v>
          </cell>
          <cell r="AC224">
            <v>0</v>
          </cell>
          <cell r="AD224">
            <v>0</v>
          </cell>
          <cell r="AE224">
            <v>2.2222222E-2</v>
          </cell>
          <cell r="AF224">
            <v>0.97777777799999999</v>
          </cell>
        </row>
        <row r="225">
          <cell r="B225" t="str">
            <v>1994MA</v>
          </cell>
          <cell r="C225">
            <v>4.4852671803156809E-2</v>
          </cell>
          <cell r="D225">
            <v>0.12604319167086861</v>
          </cell>
          <cell r="E225">
            <v>0.46206832819155946</v>
          </cell>
          <cell r="F225">
            <v>0.25631351868406022</v>
          </cell>
          <cell r="G225">
            <v>8.2431789022772789E-2</v>
          </cell>
          <cell r="H225">
            <v>2.8290500627582187E-2</v>
          </cell>
          <cell r="J225" t="str">
            <v>1994MA</v>
          </cell>
          <cell r="K225">
            <v>0.45549988278566778</v>
          </cell>
          <cell r="L225">
            <v>8.2431789022772789E-2</v>
          </cell>
          <cell r="M225">
            <v>0.46206832819155946</v>
          </cell>
          <cell r="U225" t="str">
            <v>1994MA</v>
          </cell>
          <cell r="V225">
            <v>0.40465932399999999</v>
          </cell>
          <cell r="W225">
            <v>2.6194990000000001E-2</v>
          </cell>
          <cell r="X225">
            <v>0.164314027</v>
          </cell>
          <cell r="Y225">
            <v>0.12561688300000001</v>
          </cell>
          <cell r="Z225">
            <v>0.27921477700000003</v>
          </cell>
          <cell r="AB225" t="str">
            <v>1994MA</v>
          </cell>
          <cell r="AC225">
            <v>5.5555555555555552E-2</v>
          </cell>
          <cell r="AD225">
            <v>0.05</v>
          </cell>
          <cell r="AE225">
            <v>2.2222222E-2</v>
          </cell>
          <cell r="AF225">
            <v>0.87222222199999999</v>
          </cell>
        </row>
        <row r="226">
          <cell r="B226" t="str">
            <v>1994MI</v>
          </cell>
          <cell r="C226">
            <v>9.0417372553115785E-2</v>
          </cell>
          <cell r="D226">
            <v>0.23127974263108902</v>
          </cell>
          <cell r="E226">
            <v>0.11780361709458032</v>
          </cell>
          <cell r="F226">
            <v>0.44002300762665791</v>
          </cell>
          <cell r="G226">
            <v>6.9744430021169423E-2</v>
          </cell>
          <cell r="H226">
            <v>5.0731830073387531E-2</v>
          </cell>
          <cell r="J226" t="str">
            <v>1994MI</v>
          </cell>
          <cell r="K226">
            <v>0.81245195288425021</v>
          </cell>
          <cell r="L226">
            <v>6.9744430021169423E-2</v>
          </cell>
          <cell r="M226">
            <v>0.11780361709458032</v>
          </cell>
          <cell r="U226" t="str">
            <v>1994MI</v>
          </cell>
          <cell r="V226">
            <v>9.4755440999999996E-2</v>
          </cell>
          <cell r="W226">
            <v>4.5492839E-2</v>
          </cell>
          <cell r="X226">
            <v>0.24371358000000001</v>
          </cell>
          <cell r="Y226">
            <v>0.17213300600000001</v>
          </cell>
          <cell r="Z226">
            <v>0.44390513399999998</v>
          </cell>
          <cell r="AB226" t="str">
            <v>1994MI</v>
          </cell>
          <cell r="AC226">
            <v>0.05</v>
          </cell>
          <cell r="AD226">
            <v>1.6666666666666663E-2</v>
          </cell>
          <cell r="AE226">
            <v>2.5555556E-2</v>
          </cell>
          <cell r="AF226">
            <v>0.90777777800000004</v>
          </cell>
        </row>
        <row r="227">
          <cell r="B227" t="str">
            <v>1994MN</v>
          </cell>
          <cell r="C227">
            <v>3.9776865931543108E-2</v>
          </cell>
          <cell r="D227">
            <v>0.12947340087493223</v>
          </cell>
          <cell r="E227">
            <v>0.23249551901370769</v>
          </cell>
          <cell r="F227">
            <v>0.42625788288832733</v>
          </cell>
          <cell r="G227">
            <v>0.13764660080911051</v>
          </cell>
          <cell r="H227">
            <v>3.4349730482379104E-2</v>
          </cell>
          <cell r="J227" t="str">
            <v>1994MN</v>
          </cell>
          <cell r="K227">
            <v>0.62985788017718181</v>
          </cell>
          <cell r="L227">
            <v>0.13764660080911051</v>
          </cell>
          <cell r="M227">
            <v>0.23249551901370769</v>
          </cell>
          <cell r="U227" t="str">
            <v>1994MN</v>
          </cell>
          <cell r="V227">
            <v>6.9327767999999998E-2</v>
          </cell>
          <cell r="W227">
            <v>4.5175867000000001E-2</v>
          </cell>
          <cell r="X227">
            <v>0.25228705600000001</v>
          </cell>
          <cell r="Y227">
            <v>0.18228421</v>
          </cell>
          <cell r="Z227">
            <v>0.45092509800000002</v>
          </cell>
          <cell r="AB227" t="str">
            <v>1994MN</v>
          </cell>
          <cell r="AC227">
            <v>0</v>
          </cell>
          <cell r="AD227">
            <v>0.13888888888888884</v>
          </cell>
          <cell r="AE227">
            <v>0</v>
          </cell>
          <cell r="AF227">
            <v>0.86111111100000004</v>
          </cell>
        </row>
        <row r="228">
          <cell r="B228" t="str">
            <v>1994MS</v>
          </cell>
          <cell r="C228">
            <v>7.2597776074799517E-2</v>
          </cell>
          <cell r="D228">
            <v>5.7519617036027038E-2</v>
          </cell>
          <cell r="E228">
            <v>0.13912499999999997</v>
          </cell>
          <cell r="F228">
            <v>9.6877712770110619E-2</v>
          </cell>
          <cell r="G228">
            <v>0.629</v>
          </cell>
          <cell r="H228">
            <v>4.8798941190628647E-3</v>
          </cell>
          <cell r="J228" t="str">
            <v>1994MS</v>
          </cell>
          <cell r="K228">
            <v>0.23187500000000005</v>
          </cell>
          <cell r="L228">
            <v>0.629</v>
          </cell>
          <cell r="M228">
            <v>0.13912499999999997</v>
          </cell>
          <cell r="U228" t="str">
            <v>1994MS</v>
          </cell>
          <cell r="V228">
            <v>0.112891782</v>
          </cell>
          <cell r="W228">
            <v>3.5104864999999999E-2</v>
          </cell>
          <cell r="X228">
            <v>0.120832572</v>
          </cell>
          <cell r="Y228">
            <v>0.40433638399999999</v>
          </cell>
          <cell r="Z228">
            <v>0.326834397</v>
          </cell>
          <cell r="AB228" t="str">
            <v>1994MS</v>
          </cell>
          <cell r="AC228">
            <v>5.5555555555555552E-2</v>
          </cell>
          <cell r="AD228">
            <v>2.7777777777777776E-2</v>
          </cell>
          <cell r="AE228">
            <v>0.73888888900000005</v>
          </cell>
          <cell r="AF228">
            <v>0.177777778</v>
          </cell>
        </row>
        <row r="229">
          <cell r="B229" t="str">
            <v>1994MO</v>
          </cell>
          <cell r="C229">
            <v>4.9108384273021603E-2</v>
          </cell>
          <cell r="D229">
            <v>0.16072924429955179</v>
          </cell>
          <cell r="E229">
            <v>0.16629051672798556</v>
          </cell>
          <cell r="F229">
            <v>0.47944489647798977</v>
          </cell>
          <cell r="G229">
            <v>9.845060443099643E-2</v>
          </cell>
          <cell r="H229">
            <v>4.5976353790454803E-2</v>
          </cell>
          <cell r="J229" t="str">
            <v>1994MO</v>
          </cell>
          <cell r="K229">
            <v>0.73525887884101804</v>
          </cell>
          <cell r="L229">
            <v>9.845060443099643E-2</v>
          </cell>
          <cell r="M229">
            <v>0.16629051672798556</v>
          </cell>
          <cell r="U229" t="str">
            <v>1994MO</v>
          </cell>
          <cell r="V229">
            <v>0.11122454599999999</v>
          </cell>
          <cell r="W229">
            <v>4.0723389999999998E-2</v>
          </cell>
          <cell r="X229">
            <v>0.25136678699999998</v>
          </cell>
          <cell r="Y229">
            <v>0.15235600299999999</v>
          </cell>
          <cell r="Z229">
            <v>0.444329274</v>
          </cell>
          <cell r="AB229" t="str">
            <v>1994MO</v>
          </cell>
          <cell r="AC229">
            <v>0</v>
          </cell>
          <cell r="AD229">
            <v>0.1111111111111111</v>
          </cell>
          <cell r="AE229">
            <v>0</v>
          </cell>
          <cell r="AF229">
            <v>0.88888888899999996</v>
          </cell>
        </row>
        <row r="230">
          <cell r="B230" t="str">
            <v>1994MT</v>
          </cell>
          <cell r="C230">
            <v>0.28267889991120904</v>
          </cell>
          <cell r="D230">
            <v>0.22048554328546552</v>
          </cell>
          <cell r="E230">
            <v>6.5669707160881274E-2</v>
          </cell>
          <cell r="F230">
            <v>0.30799279247178007</v>
          </cell>
          <cell r="G230">
            <v>3.8879080358929716E-2</v>
          </cell>
          <cell r="H230">
            <v>8.4293976811734353E-2</v>
          </cell>
          <cell r="J230" t="str">
            <v>1994MT</v>
          </cell>
          <cell r="K230">
            <v>0.895451212480189</v>
          </cell>
          <cell r="L230">
            <v>3.8879080358929716E-2</v>
          </cell>
          <cell r="M230">
            <v>6.5669707160881274E-2</v>
          </cell>
          <cell r="U230" t="str">
            <v>1994MT</v>
          </cell>
          <cell r="V230">
            <v>0.13714974399999999</v>
          </cell>
          <cell r="W230">
            <v>4.4886401999999999E-2</v>
          </cell>
          <cell r="X230">
            <v>0.23064893</v>
          </cell>
          <cell r="Y230">
            <v>0.15899143399999999</v>
          </cell>
          <cell r="Z230">
            <v>0.42832348999999997</v>
          </cell>
          <cell r="AB230" t="str">
            <v>1994MT</v>
          </cell>
          <cell r="AC230">
            <v>0</v>
          </cell>
          <cell r="AD230">
            <v>4.4444444444444439E-2</v>
          </cell>
          <cell r="AE230">
            <v>0.28888888899999998</v>
          </cell>
          <cell r="AF230">
            <v>0.66666666699999999</v>
          </cell>
        </row>
        <row r="231">
          <cell r="B231" t="str">
            <v>1994NE</v>
          </cell>
          <cell r="C231">
            <v>5.1072524986370077E-2</v>
          </cell>
          <cell r="D231">
            <v>0.16847694246430905</v>
          </cell>
          <cell r="E231">
            <v>0.16363571583028955</v>
          </cell>
          <cell r="F231">
            <v>0.47140766512520649</v>
          </cell>
          <cell r="G231">
            <v>9.6878856635843044E-2</v>
          </cell>
          <cell r="H231">
            <v>4.8528294957981735E-2</v>
          </cell>
          <cell r="J231" t="str">
            <v>1994NE</v>
          </cell>
          <cell r="K231">
            <v>0.73948542753386737</v>
          </cell>
          <cell r="L231">
            <v>9.6878856635843044E-2</v>
          </cell>
          <cell r="M231">
            <v>0.16363571583028955</v>
          </cell>
          <cell r="U231" t="str">
            <v>1994NE</v>
          </cell>
          <cell r="V231">
            <v>8.3674017000000003E-2</v>
          </cell>
          <cell r="W231">
            <v>4.1714840000000003E-2</v>
          </cell>
          <cell r="X231">
            <v>0.25814283399999999</v>
          </cell>
          <cell r="Y231">
            <v>0.16297097999999999</v>
          </cell>
          <cell r="Z231">
            <v>0.453497329</v>
          </cell>
          <cell r="AB231" t="str">
            <v>1994NE</v>
          </cell>
          <cell r="AC231">
            <v>0</v>
          </cell>
          <cell r="AD231">
            <v>0</v>
          </cell>
          <cell r="AE231">
            <v>8.8888890000000005E-3</v>
          </cell>
          <cell r="AF231">
            <v>0.99111111100000004</v>
          </cell>
        </row>
        <row r="232">
          <cell r="B232" t="str">
            <v>1994NV</v>
          </cell>
          <cell r="C232">
            <v>0.60299660451931369</v>
          </cell>
          <cell r="D232">
            <v>0.2407197884650899</v>
          </cell>
          <cell r="E232">
            <v>2.229479360057525E-2</v>
          </cell>
          <cell r="F232">
            <v>0.11248681058013311</v>
          </cell>
          <cell r="G232">
            <v>1.3199405166509724E-2</v>
          </cell>
          <cell r="H232">
            <v>8.3025976683783372E-3</v>
          </cell>
          <cell r="J232" t="str">
            <v>1994NV</v>
          </cell>
          <cell r="K232">
            <v>0.96450580123291507</v>
          </cell>
          <cell r="L232">
            <v>1.3199405166509724E-2</v>
          </cell>
          <cell r="M232">
            <v>2.229479360057525E-2</v>
          </cell>
          <cell r="U232" t="str">
            <v>1994NV</v>
          </cell>
          <cell r="V232">
            <v>1</v>
          </cell>
          <cell r="W232">
            <v>0</v>
          </cell>
          <cell r="X232">
            <v>0</v>
          </cell>
          <cell r="Y232">
            <v>0</v>
          </cell>
          <cell r="Z232">
            <v>0</v>
          </cell>
          <cell r="AB232" t="str">
            <v>1994NV</v>
          </cell>
          <cell r="AC232">
            <v>0.13888888888888884</v>
          </cell>
          <cell r="AD232">
            <v>0</v>
          </cell>
          <cell r="AE232">
            <v>0</v>
          </cell>
          <cell r="AF232">
            <v>0.86111111100000004</v>
          </cell>
        </row>
        <row r="233">
          <cell r="B233" t="str">
            <v>1994NH</v>
          </cell>
          <cell r="C233">
            <v>4.7817391804278006E-2</v>
          </cell>
          <cell r="D233">
            <v>0.13245942141388184</v>
          </cell>
          <cell r="E233">
            <v>0.45844807326074644</v>
          </cell>
          <cell r="F233">
            <v>0.25285886868618473</v>
          </cell>
          <cell r="G233">
            <v>7.9166144651350689E-2</v>
          </cell>
          <cell r="H233">
            <v>2.9250100183558225E-2</v>
          </cell>
          <cell r="J233" t="str">
            <v>1994NH</v>
          </cell>
          <cell r="K233">
            <v>0.46238578208790293</v>
          </cell>
          <cell r="L233">
            <v>7.9166144651350689E-2</v>
          </cell>
          <cell r="M233">
            <v>0.45844807326074644</v>
          </cell>
          <cell r="U233" t="str">
            <v>1994NH</v>
          </cell>
          <cell r="V233">
            <v>0.85197198699999999</v>
          </cell>
          <cell r="W233">
            <v>6.5132330000000002E-3</v>
          </cell>
          <cell r="X233">
            <v>4.0855731999999999E-2</v>
          </cell>
          <cell r="Y233">
            <v>3.1233911E-2</v>
          </cell>
          <cell r="Z233">
            <v>6.9425137999999997E-2</v>
          </cell>
          <cell r="AB233" t="str">
            <v>1994NH</v>
          </cell>
          <cell r="AC233">
            <v>0</v>
          </cell>
          <cell r="AD233">
            <v>0</v>
          </cell>
          <cell r="AE233">
            <v>2.2222222E-2</v>
          </cell>
          <cell r="AF233">
            <v>0.97777777799999999</v>
          </cell>
        </row>
        <row r="234">
          <cell r="B234" t="str">
            <v>1994NJ</v>
          </cell>
          <cell r="C234">
            <v>4.2249109363661642E-2</v>
          </cell>
          <cell r="D234">
            <v>0.12193075640546447</v>
          </cell>
          <cell r="E234">
            <v>0.46304092136824898</v>
          </cell>
          <cell r="F234">
            <v>0.26052238585416171</v>
          </cell>
          <cell r="G234">
            <v>8.3309114927671526E-2</v>
          </cell>
          <cell r="H234">
            <v>2.8947712080791679E-2</v>
          </cell>
          <cell r="J234" t="str">
            <v>1994NJ</v>
          </cell>
          <cell r="K234">
            <v>0.45364996370407951</v>
          </cell>
          <cell r="L234">
            <v>8.3309114927671526E-2</v>
          </cell>
          <cell r="M234">
            <v>0.46304092136824898</v>
          </cell>
          <cell r="U234" t="str">
            <v>1994NJ</v>
          </cell>
          <cell r="V234">
            <v>0.48703707099999999</v>
          </cell>
          <cell r="W234">
            <v>2.2570369E-2</v>
          </cell>
          <cell r="X234">
            <v>0.14157776799999999</v>
          </cell>
          <cell r="Y234">
            <v>0.108235178</v>
          </cell>
          <cell r="Z234">
            <v>0.240579614</v>
          </cell>
          <cell r="AB234" t="str">
            <v>1994NJ</v>
          </cell>
          <cell r="AC234">
            <v>5.5555555555555552E-2</v>
          </cell>
          <cell r="AD234">
            <v>0.05</v>
          </cell>
          <cell r="AE234">
            <v>2.2222222E-2</v>
          </cell>
          <cell r="AF234">
            <v>0.87222222199999999</v>
          </cell>
        </row>
        <row r="235">
          <cell r="B235" t="str">
            <v>1994NM</v>
          </cell>
          <cell r="C235">
            <v>0.59902642582401044</v>
          </cell>
          <cell r="D235">
            <v>0.20533766022440381</v>
          </cell>
          <cell r="E235">
            <v>9.52685611675613E-2</v>
          </cell>
          <cell r="F235">
            <v>9.7656233504239631E-2</v>
          </cell>
          <cell r="G235">
            <v>0</v>
          </cell>
          <cell r="H235">
            <v>2.7111192797848105E-3</v>
          </cell>
          <cell r="J235" t="str">
            <v>1994NM</v>
          </cell>
          <cell r="K235">
            <v>0.90473143883243867</v>
          </cell>
          <cell r="L235">
            <v>0</v>
          </cell>
          <cell r="M235">
            <v>9.52685611675613E-2</v>
          </cell>
          <cell r="U235" t="str">
            <v>1994NM</v>
          </cell>
          <cell r="V235">
            <v>1</v>
          </cell>
          <cell r="W235">
            <v>0</v>
          </cell>
          <cell r="X235">
            <v>0</v>
          </cell>
          <cell r="Y235">
            <v>0</v>
          </cell>
          <cell r="Z235">
            <v>0</v>
          </cell>
          <cell r="AB235" t="str">
            <v>1994NM</v>
          </cell>
          <cell r="AC235">
            <v>0.13888888888888884</v>
          </cell>
          <cell r="AD235">
            <v>5.5555555555555552E-2</v>
          </cell>
          <cell r="AE235">
            <v>0.37777777800000001</v>
          </cell>
          <cell r="AF235">
            <v>0.427777778</v>
          </cell>
        </row>
        <row r="236">
          <cell r="B236" t="str">
            <v>1994NY</v>
          </cell>
          <cell r="C236">
            <v>5.9135877293440137E-2</v>
          </cell>
          <cell r="D236">
            <v>0.13045061572482697</v>
          </cell>
          <cell r="E236">
            <v>0.46150303732279196</v>
          </cell>
          <cell r="F236">
            <v>0.24238966305947007</v>
          </cell>
          <cell r="G236">
            <v>8.1921869423438889E-2</v>
          </cell>
          <cell r="H236">
            <v>2.4598937176032017E-2</v>
          </cell>
          <cell r="J236" t="str">
            <v>1994NY</v>
          </cell>
          <cell r="K236">
            <v>0.4565750932537691</v>
          </cell>
          <cell r="L236">
            <v>8.1921869423438889E-2</v>
          </cell>
          <cell r="M236">
            <v>0.46150303732279196</v>
          </cell>
          <cell r="U236" t="str">
            <v>1994NY</v>
          </cell>
          <cell r="V236">
            <v>0.36965716799999998</v>
          </cell>
          <cell r="W236">
            <v>2.9802335999999999E-2</v>
          </cell>
          <cell r="X236">
            <v>0.1717351</v>
          </cell>
          <cell r="Y236">
            <v>0.12611150099999999</v>
          </cell>
          <cell r="Z236">
            <v>0.30269389600000002</v>
          </cell>
          <cell r="AB236" t="str">
            <v>1994NY</v>
          </cell>
          <cell r="AC236">
            <v>5.5555555555555552E-2</v>
          </cell>
          <cell r="AD236">
            <v>0.16666666666666669</v>
          </cell>
          <cell r="AE236">
            <v>2.2222222E-2</v>
          </cell>
          <cell r="AF236">
            <v>0.75555555600000002</v>
          </cell>
        </row>
        <row r="237">
          <cell r="B237" t="str">
            <v>1994NC</v>
          </cell>
          <cell r="C237">
            <v>3.1542031735744512E-2</v>
          </cell>
          <cell r="D237">
            <v>8.0681507119252829E-2</v>
          </cell>
          <cell r="E237">
            <v>0.13912499999999997</v>
          </cell>
          <cell r="F237">
            <v>0.10397610448423111</v>
          </cell>
          <cell r="G237">
            <v>0.629</v>
          </cell>
          <cell r="H237">
            <v>1.5675356660771557E-2</v>
          </cell>
          <cell r="J237" t="str">
            <v>1994NC</v>
          </cell>
          <cell r="K237">
            <v>0.23187500000000005</v>
          </cell>
          <cell r="L237">
            <v>0.629</v>
          </cell>
          <cell r="M237">
            <v>0.13912499999999997</v>
          </cell>
          <cell r="U237" t="str">
            <v>1994NC</v>
          </cell>
          <cell r="V237">
            <v>1.2762015999999999E-2</v>
          </cell>
          <cell r="W237">
            <v>3.722081E-2</v>
          </cell>
          <cell r="X237">
            <v>7.6177222000000003E-2</v>
          </cell>
          <cell r="Y237">
            <v>0.552055081</v>
          </cell>
          <cell r="Z237">
            <v>0.32178487099999997</v>
          </cell>
          <cell r="AB237" t="str">
            <v>1994NC</v>
          </cell>
          <cell r="AC237">
            <v>0.27777777777777768</v>
          </cell>
          <cell r="AD237">
            <v>2.7777777777777776E-2</v>
          </cell>
          <cell r="AE237">
            <v>0.35288888899999998</v>
          </cell>
          <cell r="AF237">
            <v>0.34155555599999998</v>
          </cell>
        </row>
        <row r="238">
          <cell r="B238" t="str">
            <v>1994ND</v>
          </cell>
          <cell r="C238">
            <v>3.4252635644254889E-2</v>
          </cell>
          <cell r="D238">
            <v>0.12391539451285033</v>
          </cell>
          <cell r="E238">
            <v>0.22262232847889513</v>
          </cell>
          <cell r="F238">
            <v>0.4506041814618062</v>
          </cell>
          <cell r="G238">
            <v>0.1318012790496941</v>
          </cell>
          <cell r="H238">
            <v>3.6804180852499424E-2</v>
          </cell>
          <cell r="J238" t="str">
            <v>1994ND</v>
          </cell>
          <cell r="K238">
            <v>0.64557639247141074</v>
          </cell>
          <cell r="L238">
            <v>0.1318012790496941</v>
          </cell>
          <cell r="M238">
            <v>0.22262232847889513</v>
          </cell>
          <cell r="U238" t="str">
            <v>1994ND</v>
          </cell>
          <cell r="V238">
            <v>0.19722683699999999</v>
          </cell>
          <cell r="W238">
            <v>3.8490212000000003E-2</v>
          </cell>
          <cell r="X238">
            <v>0.21813318400000001</v>
          </cell>
          <cell r="Y238">
            <v>0.15882449500000001</v>
          </cell>
          <cell r="Z238">
            <v>0.38732527300000003</v>
          </cell>
          <cell r="AB238" t="str">
            <v>1994ND</v>
          </cell>
          <cell r="AC238">
            <v>0</v>
          </cell>
          <cell r="AD238">
            <v>2.7777777777777776E-2</v>
          </cell>
          <cell r="AE238">
            <v>3.6666667E-2</v>
          </cell>
          <cell r="AF238">
            <v>0.93555555599999995</v>
          </cell>
        </row>
        <row r="239">
          <cell r="B239" t="str">
            <v>1994OH</v>
          </cell>
          <cell r="C239">
            <v>5.1582087614982695E-2</v>
          </cell>
          <cell r="D239">
            <v>0.15998230848998779</v>
          </cell>
          <cell r="E239">
            <v>0.18812705827344511</v>
          </cell>
          <cell r="F239">
            <v>0.44675583451431761</v>
          </cell>
          <cell r="G239">
            <v>0.11137870614198989</v>
          </cell>
          <cell r="H239">
            <v>4.2174004965276964E-2</v>
          </cell>
          <cell r="J239" t="str">
            <v>1994OH</v>
          </cell>
          <cell r="K239">
            <v>0.70049423558456503</v>
          </cell>
          <cell r="L239">
            <v>0.11137870614198989</v>
          </cell>
          <cell r="M239">
            <v>0.18812705827344511</v>
          </cell>
          <cell r="U239" t="str">
            <v>1994OH</v>
          </cell>
          <cell r="V239">
            <v>0.14079148799999999</v>
          </cell>
          <cell r="W239">
            <v>3.8711514000000002E-2</v>
          </cell>
          <cell r="X239">
            <v>0.240540322</v>
          </cell>
          <cell r="Y239">
            <v>0.161580112</v>
          </cell>
          <cell r="Z239">
            <v>0.41837656400000001</v>
          </cell>
          <cell r="AB239" t="str">
            <v>1994OH</v>
          </cell>
          <cell r="AC239">
            <v>0</v>
          </cell>
          <cell r="AD239">
            <v>0</v>
          </cell>
          <cell r="AE239">
            <v>0</v>
          </cell>
          <cell r="AF239">
            <v>1</v>
          </cell>
        </row>
        <row r="240">
          <cell r="B240" t="str">
            <v>1994OK</v>
          </cell>
          <cell r="C240">
            <v>0.29960259972227243</v>
          </cell>
          <cell r="D240">
            <v>0.2336685754757506</v>
          </cell>
          <cell r="E240">
            <v>0.05</v>
          </cell>
          <cell r="F240">
            <v>0.32716904087374893</v>
          </cell>
          <cell r="G240">
            <v>0</v>
          </cell>
          <cell r="H240">
            <v>8.9559783928227943E-2</v>
          </cell>
          <cell r="J240" t="str">
            <v>1994OK</v>
          </cell>
          <cell r="K240">
            <v>0.95</v>
          </cell>
          <cell r="L240">
            <v>0</v>
          </cell>
          <cell r="M240">
            <v>0.05</v>
          </cell>
          <cell r="U240" t="str">
            <v>1994OK</v>
          </cell>
          <cell r="V240">
            <v>0.16641552600000001</v>
          </cell>
          <cell r="W240">
            <v>3.2114164000000001E-2</v>
          </cell>
          <cell r="X240">
            <v>8.5991444E-2</v>
          </cell>
          <cell r="Y240">
            <v>0.42818558099999998</v>
          </cell>
          <cell r="Z240">
            <v>0.28729328399999998</v>
          </cell>
          <cell r="AB240" t="str">
            <v>1994OK</v>
          </cell>
          <cell r="AC240">
            <v>0</v>
          </cell>
          <cell r="AD240">
            <v>0.1111111111111111</v>
          </cell>
          <cell r="AE240">
            <v>0.26666666700000002</v>
          </cell>
          <cell r="AF240">
            <v>0.62222222199999999</v>
          </cell>
        </row>
        <row r="241">
          <cell r="B241" t="str">
            <v>1994OR</v>
          </cell>
          <cell r="C241">
            <v>0.31312625178517034</v>
          </cell>
          <cell r="D241">
            <v>0.19525520458507686</v>
          </cell>
          <cell r="E241">
            <v>0</v>
          </cell>
          <cell r="F241">
            <v>0.13679878506994619</v>
          </cell>
          <cell r="G241">
            <v>0.32435095141185655</v>
          </cell>
          <cell r="H241">
            <v>3.046880714795008E-2</v>
          </cell>
          <cell r="J241" t="str">
            <v>1994OR</v>
          </cell>
          <cell r="K241">
            <v>0.67564904858814345</v>
          </cell>
          <cell r="L241">
            <v>0.32435095141185655</v>
          </cell>
          <cell r="M241">
            <v>0</v>
          </cell>
          <cell r="U241" t="str">
            <v>1994OR</v>
          </cell>
          <cell r="V241">
            <v>0.55800201000000005</v>
          </cell>
          <cell r="W241">
            <v>1.9447912000000001E-2</v>
          </cell>
          <cell r="X241">
            <v>0.121991445</v>
          </cell>
          <cell r="Y241">
            <v>9.3261575999999999E-2</v>
          </cell>
          <cell r="Z241">
            <v>0.20729705700000001</v>
          </cell>
          <cell r="AB241" t="str">
            <v>1994OR</v>
          </cell>
          <cell r="AC241">
            <v>0</v>
          </cell>
          <cell r="AD241">
            <v>0.05</v>
          </cell>
          <cell r="AE241">
            <v>0.17222222200000001</v>
          </cell>
          <cell r="AF241">
            <v>0.77777777800000003</v>
          </cell>
        </row>
        <row r="242">
          <cell r="B242" t="str">
            <v>1994PA</v>
          </cell>
          <cell r="C242">
            <v>3.0052332136010915E-2</v>
          </cell>
          <cell r="D242">
            <v>9.2416741477832742E-2</v>
          </cell>
          <cell r="E242">
            <v>0.48100066285500709</v>
          </cell>
          <cell r="F242">
            <v>0.27295299796228534</v>
          </cell>
          <cell r="G242">
            <v>9.9509667048805345E-2</v>
          </cell>
          <cell r="H242">
            <v>2.4067598520058634E-2</v>
          </cell>
          <cell r="J242" t="str">
            <v>1994PA</v>
          </cell>
          <cell r="K242">
            <v>0.41948967009618754</v>
          </cell>
          <cell r="L242">
            <v>9.9509667048805345E-2</v>
          </cell>
          <cell r="M242">
            <v>0.48100066285500709</v>
          </cell>
          <cell r="U242" t="str">
            <v>1994PA</v>
          </cell>
          <cell r="V242">
            <v>8.9264982000000007E-2</v>
          </cell>
          <cell r="W242">
            <v>4.5413429999999998E-2</v>
          </cell>
          <cell r="X242">
            <v>0.24557668499999999</v>
          </cell>
          <cell r="Y242">
            <v>0.174361459</v>
          </cell>
          <cell r="Z242">
            <v>0.44538344400000002</v>
          </cell>
          <cell r="AB242" t="str">
            <v>1994PA</v>
          </cell>
          <cell r="AC242">
            <v>0.16666666666666669</v>
          </cell>
          <cell r="AD242">
            <v>2.7777777777777776E-2</v>
          </cell>
          <cell r="AE242">
            <v>0</v>
          </cell>
          <cell r="AF242">
            <v>0.80555555599999995</v>
          </cell>
        </row>
        <row r="243">
          <cell r="B243" t="str">
            <v>1994RI</v>
          </cell>
          <cell r="C243">
            <v>1.8936291588497738E-2</v>
          </cell>
          <cell r="D243">
            <v>7.3871071245956169E-2</v>
          </cell>
          <cell r="E243">
            <v>0.49064359673274605</v>
          </cell>
          <cell r="F243">
            <v>0.28431046838093182</v>
          </cell>
          <cell r="G243">
            <v>0.10820805800293683</v>
          </cell>
          <cell r="H243">
            <v>2.4030514048931424E-2</v>
          </cell>
          <cell r="J243" t="str">
            <v>1994RI</v>
          </cell>
          <cell r="K243">
            <v>0.40114834526431709</v>
          </cell>
          <cell r="L243">
            <v>0.10820805800293683</v>
          </cell>
          <cell r="M243">
            <v>0.49064359673274605</v>
          </cell>
          <cell r="U243" t="str">
            <v>1994RI</v>
          </cell>
          <cell r="V243">
            <v>0.32389592699999997</v>
          </cell>
          <cell r="W243">
            <v>2.9748579000000001E-2</v>
          </cell>
          <cell r="X243">
            <v>0.186604724</v>
          </cell>
          <cell r="Y243">
            <v>0.142657959</v>
          </cell>
          <cell r="Z243">
            <v>0.31709281</v>
          </cell>
          <cell r="AB243" t="str">
            <v>1994RI</v>
          </cell>
          <cell r="AC243">
            <v>5.5555555555555552E-2</v>
          </cell>
          <cell r="AD243">
            <v>0.05</v>
          </cell>
          <cell r="AE243">
            <v>2.2222222E-2</v>
          </cell>
          <cell r="AF243">
            <v>0.87222222199999999</v>
          </cell>
        </row>
        <row r="244">
          <cell r="B244" t="str">
            <v>1994SC</v>
          </cell>
          <cell r="C244">
            <v>9.8400163151120046E-2</v>
          </cell>
          <cell r="D244">
            <v>7.3821162316226638E-2</v>
          </cell>
          <cell r="E244">
            <v>0.14396063574851983</v>
          </cell>
          <cell r="F244">
            <v>7.9703645347936267E-2</v>
          </cell>
          <cell r="G244">
            <v>0.60031359834602016</v>
          </cell>
          <cell r="H244">
            <v>3.800795090177111E-3</v>
          </cell>
          <cell r="J244" t="str">
            <v>1994SC</v>
          </cell>
          <cell r="K244">
            <v>0.25572576590546003</v>
          </cell>
          <cell r="L244">
            <v>0.60031359834602016</v>
          </cell>
          <cell r="M244">
            <v>0.14396063574851983</v>
          </cell>
          <cell r="U244" t="str">
            <v>1994SC</v>
          </cell>
          <cell r="V244">
            <v>0.14319269700000001</v>
          </cell>
          <cell r="W244">
            <v>3.4501476000000003E-2</v>
          </cell>
          <cell r="X244">
            <v>0.13551195399999999</v>
          </cell>
          <cell r="Y244">
            <v>0.357592564</v>
          </cell>
          <cell r="Z244">
            <v>0.329201309</v>
          </cell>
          <cell r="AB244" t="str">
            <v>1994SC</v>
          </cell>
          <cell r="AC244">
            <v>5.5555555555555552E-2</v>
          </cell>
          <cell r="AD244">
            <v>0</v>
          </cell>
          <cell r="AE244">
            <v>0.48888888899999999</v>
          </cell>
          <cell r="AF244">
            <v>0.45555555599999997</v>
          </cell>
        </row>
        <row r="245">
          <cell r="B245" t="str">
            <v>1994SD</v>
          </cell>
          <cell r="C245">
            <v>4.8844836754208643E-2</v>
          </cell>
          <cell r="D245">
            <v>0.15566944592055662</v>
          </cell>
          <cell r="E245">
            <v>0.1943268419465882</v>
          </cell>
          <cell r="F245">
            <v>0.44499243336229449</v>
          </cell>
          <cell r="G245">
            <v>0.11504922483404971</v>
          </cell>
          <cell r="H245">
            <v>4.1117217182302303E-2</v>
          </cell>
          <cell r="J245" t="str">
            <v>1994SD</v>
          </cell>
          <cell r="K245">
            <v>0.69062393321936211</v>
          </cell>
          <cell r="L245">
            <v>0.11504922483404971</v>
          </cell>
          <cell r="M245">
            <v>0.1943268419465882</v>
          </cell>
          <cell r="U245" t="str">
            <v>1994SD</v>
          </cell>
          <cell r="V245">
            <v>0.118510564</v>
          </cell>
          <cell r="W245">
            <v>4.2786286999999999E-2</v>
          </cell>
          <cell r="X245">
            <v>0.23895693600000001</v>
          </cell>
          <cell r="Y245">
            <v>0.17265843</v>
          </cell>
          <cell r="Z245">
            <v>0.42708778200000003</v>
          </cell>
          <cell r="AB245" t="str">
            <v>1994SD</v>
          </cell>
          <cell r="AC245">
            <v>0</v>
          </cell>
          <cell r="AD245">
            <v>0</v>
          </cell>
          <cell r="AE245">
            <v>0.12</v>
          </cell>
          <cell r="AF245">
            <v>0.88</v>
          </cell>
        </row>
        <row r="246">
          <cell r="B246" t="str">
            <v>1994TN</v>
          </cell>
          <cell r="C246">
            <v>2.5683376772653473E-2</v>
          </cell>
          <cell r="D246">
            <v>6.8554703639804856E-2</v>
          </cell>
          <cell r="E246">
            <v>0.14076890696206273</v>
          </cell>
          <cell r="F246">
            <v>0.13011024750827116</v>
          </cell>
          <cell r="G246">
            <v>0.61924786442817958</v>
          </cell>
          <cell r="H246">
            <v>1.5634900689028133E-2</v>
          </cell>
          <cell r="J246" t="str">
            <v>1994TN</v>
          </cell>
          <cell r="K246">
            <v>0.23998322860975763</v>
          </cell>
          <cell r="L246">
            <v>0.61924786442817958</v>
          </cell>
          <cell r="M246">
            <v>0.14076890696206273</v>
          </cell>
          <cell r="U246" t="str">
            <v>1994TN</v>
          </cell>
          <cell r="V246">
            <v>0.19181974199999999</v>
          </cell>
          <cell r="W246">
            <v>3.3589431000000003E-2</v>
          </cell>
          <cell r="X246">
            <v>0.160846235</v>
          </cell>
          <cell r="Y246">
            <v>0.279466563</v>
          </cell>
          <cell r="Z246">
            <v>0.33427802899999998</v>
          </cell>
          <cell r="AB246" t="str">
            <v>1994TN</v>
          </cell>
          <cell r="AC246">
            <v>0</v>
          </cell>
          <cell r="AD246">
            <v>0.5</v>
          </cell>
          <cell r="AE246">
            <v>6.1111111000000003E-2</v>
          </cell>
          <cell r="AF246">
            <v>0.438888889</v>
          </cell>
        </row>
        <row r="247">
          <cell r="B247" t="str">
            <v>1994TX</v>
          </cell>
          <cell r="C247">
            <v>0.4562414630981303</v>
          </cell>
          <cell r="D247">
            <v>0.26112965869941712</v>
          </cell>
          <cell r="E247">
            <v>6.6317190366538617E-2</v>
          </cell>
          <cell r="F247">
            <v>0.17892457122922739</v>
          </cell>
          <cell r="G247">
            <v>0</v>
          </cell>
          <cell r="H247">
            <v>3.7387116606686692E-2</v>
          </cell>
          <cell r="J247" t="str">
            <v>1994TX</v>
          </cell>
          <cell r="K247">
            <v>0.9336828096334614</v>
          </cell>
          <cell r="L247">
            <v>0</v>
          </cell>
          <cell r="M247">
            <v>6.6317190366538617E-2</v>
          </cell>
          <cell r="U247" t="str">
            <v>1994TX</v>
          </cell>
          <cell r="V247">
            <v>0.20461974499999999</v>
          </cell>
          <cell r="W247">
            <v>3.1342364999999997E-2</v>
          </cell>
          <cell r="X247">
            <v>0.10415138</v>
          </cell>
          <cell r="Y247">
            <v>0.36985949600000001</v>
          </cell>
          <cell r="Z247">
            <v>0.290027015</v>
          </cell>
          <cell r="AB247" t="str">
            <v>1994TX</v>
          </cell>
          <cell r="AC247">
            <v>0.27777777777777768</v>
          </cell>
          <cell r="AD247">
            <v>0</v>
          </cell>
          <cell r="AE247">
            <v>0.27555555599999998</v>
          </cell>
          <cell r="AF247">
            <v>0.44666666700000002</v>
          </cell>
        </row>
        <row r="248">
          <cell r="B248" t="str">
            <v>1994UT</v>
          </cell>
          <cell r="C248">
            <v>0.36868695725621942</v>
          </cell>
          <cell r="D248">
            <v>0.27278624491521003</v>
          </cell>
          <cell r="E248">
            <v>3.6495305589944613E-2</v>
          </cell>
          <cell r="F248">
            <v>0.23946871530451497</v>
          </cell>
          <cell r="G248">
            <v>2.1606673458723427E-2</v>
          </cell>
          <cell r="H248">
            <v>6.0956103475387567E-2</v>
          </cell>
          <cell r="J248" t="str">
            <v>1994UT</v>
          </cell>
          <cell r="K248">
            <v>0.9418980209513319</v>
          </cell>
          <cell r="L248">
            <v>2.1606673458723427E-2</v>
          </cell>
          <cell r="M248">
            <v>3.6495305589944613E-2</v>
          </cell>
          <cell r="U248" t="str">
            <v>1994UT</v>
          </cell>
          <cell r="V248">
            <v>0.33717216900000002</v>
          </cell>
          <cell r="W248">
            <v>3.3648759E-2</v>
          </cell>
          <cell r="X248">
            <v>0.178082452</v>
          </cell>
          <cell r="Y248">
            <v>0.124908889</v>
          </cell>
          <cell r="Z248">
            <v>0.32618773000000001</v>
          </cell>
          <cell r="AB248" t="str">
            <v>1994UT</v>
          </cell>
          <cell r="AC248">
            <v>0.27777777777777768</v>
          </cell>
          <cell r="AD248">
            <v>0</v>
          </cell>
          <cell r="AE248">
            <v>0.26666666700000002</v>
          </cell>
          <cell r="AF248">
            <v>0.45555555599999997</v>
          </cell>
        </row>
        <row r="249">
          <cell r="B249" t="str">
            <v>1994VT</v>
          </cell>
          <cell r="C249">
            <v>4.9585511002828472E-2</v>
          </cell>
          <cell r="D249">
            <v>0.12477392522497298</v>
          </cell>
          <cell r="E249">
            <v>0.46273362255373807</v>
          </cell>
          <cell r="F249">
            <v>0.25292668693595832</v>
          </cell>
          <cell r="G249">
            <v>8.3031916591330468E-2</v>
          </cell>
          <cell r="H249">
            <v>2.694833769117172E-2</v>
          </cell>
          <cell r="J249" t="str">
            <v>1994VT</v>
          </cell>
          <cell r="K249">
            <v>0.45423446085493147</v>
          </cell>
          <cell r="L249">
            <v>8.3031916591330468E-2</v>
          </cell>
          <cell r="M249">
            <v>0.46273362255373807</v>
          </cell>
          <cell r="U249" t="str">
            <v>1994VT</v>
          </cell>
          <cell r="V249">
            <v>1</v>
          </cell>
          <cell r="W249">
            <v>0</v>
          </cell>
          <cell r="X249">
            <v>0</v>
          </cell>
          <cell r="Y249">
            <v>0</v>
          </cell>
          <cell r="Z249">
            <v>0</v>
          </cell>
          <cell r="AB249" t="str">
            <v>1994VT</v>
          </cell>
          <cell r="AC249">
            <v>5.5555555555555552E-2</v>
          </cell>
          <cell r="AD249">
            <v>0.05</v>
          </cell>
          <cell r="AE249">
            <v>2.2222222E-2</v>
          </cell>
          <cell r="AF249">
            <v>0.87222222199999999</v>
          </cell>
        </row>
        <row r="250">
          <cell r="B250" t="str">
            <v>1994VA</v>
          </cell>
          <cell r="C250">
            <v>2.8579457260729399E-2</v>
          </cell>
          <cell r="D250">
            <v>7.4077506642435509E-2</v>
          </cell>
          <cell r="E250">
            <v>0.14116931812501335</v>
          </cell>
          <cell r="F250">
            <v>0.12268865906526336</v>
          </cell>
          <cell r="G250">
            <v>0.61687250862296739</v>
          </cell>
          <cell r="H250">
            <v>1.6612550283590932E-2</v>
          </cell>
          <cell r="J250" t="str">
            <v>1994VA</v>
          </cell>
          <cell r="K250">
            <v>0.24195817325201929</v>
          </cell>
          <cell r="L250">
            <v>0.61687250862296739</v>
          </cell>
          <cell r="M250">
            <v>0.14116931812501335</v>
          </cell>
          <cell r="U250" t="str">
            <v>1994VA</v>
          </cell>
          <cell r="V250">
            <v>8.1937236999999996E-2</v>
          </cell>
          <cell r="W250">
            <v>3.5553194000000003E-2</v>
          </cell>
          <cell r="X250">
            <v>0.100530112</v>
          </cell>
          <cell r="Y250">
            <v>0.46138077500000002</v>
          </cell>
          <cell r="Z250">
            <v>0.32059868200000002</v>
          </cell>
          <cell r="AB250" t="str">
            <v>1994VA</v>
          </cell>
          <cell r="AC250">
            <v>0.38888888888888895</v>
          </cell>
          <cell r="AD250">
            <v>0</v>
          </cell>
          <cell r="AE250">
            <v>2.2222222E-2</v>
          </cell>
          <cell r="AF250">
            <v>0.58888888900000003</v>
          </cell>
        </row>
        <row r="251">
          <cell r="B251" t="str">
            <v>1994WA</v>
          </cell>
          <cell r="C251">
            <v>0.38093961221509826</v>
          </cell>
          <cell r="D251">
            <v>0.21093396044216972</v>
          </cell>
          <cell r="E251">
            <v>0</v>
          </cell>
          <cell r="F251">
            <v>0.12009201671681821</v>
          </cell>
          <cell r="G251">
            <v>0.26583986976554752</v>
          </cell>
          <cell r="H251">
            <v>2.2194540860366326E-2</v>
          </cell>
          <cell r="J251" t="str">
            <v>1994WA</v>
          </cell>
          <cell r="K251">
            <v>0.73416013023445248</v>
          </cell>
          <cell r="L251">
            <v>0.26583986976554752</v>
          </cell>
          <cell r="M251">
            <v>0</v>
          </cell>
          <cell r="U251" t="str">
            <v>1994WA</v>
          </cell>
          <cell r="V251">
            <v>0.31252258500000002</v>
          </cell>
          <cell r="W251">
            <v>3.3259199000000003E-2</v>
          </cell>
          <cell r="X251">
            <v>0.18648272499999999</v>
          </cell>
          <cell r="Y251">
            <v>0.13502375999999999</v>
          </cell>
          <cell r="Z251">
            <v>0.33271173199999998</v>
          </cell>
          <cell r="AB251" t="str">
            <v>1994WA</v>
          </cell>
          <cell r="AC251">
            <v>0</v>
          </cell>
          <cell r="AD251">
            <v>5.5555555555555552E-2</v>
          </cell>
          <cell r="AE251">
            <v>5.3333332999999997E-2</v>
          </cell>
          <cell r="AF251">
            <v>0.89111111099999996</v>
          </cell>
        </row>
        <row r="252">
          <cell r="B252" t="str">
            <v>1994WV</v>
          </cell>
          <cell r="C252">
            <v>3.7958760475980451E-2</v>
          </cell>
          <cell r="D252">
            <v>0.11243401406685682</v>
          </cell>
          <cell r="E252">
            <v>0.4686862529434066</v>
          </cell>
          <cell r="F252">
            <v>0.26515864083987828</v>
          </cell>
          <cell r="G252">
            <v>8.840147600045517E-2</v>
          </cell>
          <cell r="H252">
            <v>2.7360855673422703E-2</v>
          </cell>
          <cell r="J252" t="str">
            <v>1994WV</v>
          </cell>
          <cell r="K252">
            <v>0.44291227105613817</v>
          </cell>
          <cell r="L252">
            <v>8.840147600045517E-2</v>
          </cell>
          <cell r="M252">
            <v>0.4686862529434066</v>
          </cell>
          <cell r="U252" t="str">
            <v>1994WV</v>
          </cell>
          <cell r="V252">
            <v>0.58111977800000003</v>
          </cell>
          <cell r="W252">
            <v>1.8430729999999999E-2</v>
          </cell>
          <cell r="X252">
            <v>0.11561094099999999</v>
          </cell>
          <cell r="Y252">
            <v>8.8383726999999995E-2</v>
          </cell>
          <cell r="Z252">
            <v>0.196454824</v>
          </cell>
          <cell r="AB252" t="str">
            <v>1994WV</v>
          </cell>
          <cell r="AC252">
            <v>0.55555555555555536</v>
          </cell>
          <cell r="AD252">
            <v>0</v>
          </cell>
          <cell r="AE252">
            <v>2.2222222E-2</v>
          </cell>
          <cell r="AF252">
            <v>0.42222222199999998</v>
          </cell>
        </row>
        <row r="253">
          <cell r="B253" t="str">
            <v>1994WI</v>
          </cell>
          <cell r="C253">
            <v>4.7758284239264925E-2</v>
          </cell>
          <cell r="D253">
            <v>0.14721007259621063</v>
          </cell>
          <cell r="E253">
            <v>0.20020917015482664</v>
          </cell>
          <cell r="F253">
            <v>0.44905111499579897</v>
          </cell>
          <cell r="G253">
            <v>0.11853179725584263</v>
          </cell>
          <cell r="H253">
            <v>3.7239560758056081E-2</v>
          </cell>
          <cell r="J253" t="str">
            <v>1994WI</v>
          </cell>
          <cell r="K253">
            <v>0.68125903258933074</v>
          </cell>
          <cell r="L253">
            <v>0.11853179725584263</v>
          </cell>
          <cell r="M253">
            <v>0.20020917015482664</v>
          </cell>
          <cell r="U253" t="str">
            <v>1994WI</v>
          </cell>
          <cell r="V253">
            <v>0.17195836</v>
          </cell>
          <cell r="W253">
            <v>3.8934153999999999E-2</v>
          </cell>
          <cell r="X253">
            <v>0.22583080999999999</v>
          </cell>
          <cell r="Y253">
            <v>0.166382379</v>
          </cell>
          <cell r="Z253">
            <v>0.39689429700000001</v>
          </cell>
          <cell r="AB253" t="str">
            <v>1994WI</v>
          </cell>
          <cell r="AC253">
            <v>0.22222222222222221</v>
          </cell>
          <cell r="AD253">
            <v>2.7777777777777776E-2</v>
          </cell>
          <cell r="AE253">
            <v>8.8888890000000005E-3</v>
          </cell>
          <cell r="AF253">
            <v>0.74111111100000004</v>
          </cell>
        </row>
        <row r="254">
          <cell r="B254" t="str">
            <v>1994WY</v>
          </cell>
          <cell r="C254">
            <v>0.25783103684076991</v>
          </cell>
          <cell r="D254">
            <v>0.20223396764435631</v>
          </cell>
          <cell r="E254">
            <v>0.15380813949690925</v>
          </cell>
          <cell r="F254">
            <v>0.23256411313323405</v>
          </cell>
          <cell r="G254">
            <v>9.106054029916516E-2</v>
          </cell>
          <cell r="H254">
            <v>6.2502202585565297E-2</v>
          </cell>
          <cell r="J254" t="str">
            <v>1994WY</v>
          </cell>
          <cell r="K254">
            <v>0.75513132020392559</v>
          </cell>
          <cell r="L254">
            <v>9.106054029916516E-2</v>
          </cell>
          <cell r="M254">
            <v>0.15380813949690925</v>
          </cell>
          <cell r="U254" t="str">
            <v>1994WY</v>
          </cell>
          <cell r="V254">
            <v>0.26060779899999997</v>
          </cell>
          <cell r="W254">
            <v>3.6875457E-2</v>
          </cell>
          <cell r="X254">
            <v>0.199368197</v>
          </cell>
          <cell r="Y254">
            <v>0.14153775399999999</v>
          </cell>
          <cell r="Z254">
            <v>0.36161079200000001</v>
          </cell>
          <cell r="AB254" t="str">
            <v>1994WY</v>
          </cell>
          <cell r="AC254">
            <v>0</v>
          </cell>
          <cell r="AD254">
            <v>4.4444444444444439E-2</v>
          </cell>
          <cell r="AE254">
            <v>0.28888888899999998</v>
          </cell>
          <cell r="AF254">
            <v>0.66666666699999999</v>
          </cell>
        </row>
        <row r="255">
          <cell r="B255" t="str">
            <v>1995AL</v>
          </cell>
          <cell r="C255">
            <v>9.3828846494674142E-2</v>
          </cell>
          <cell r="D255">
            <v>6.9868166780553811E-2</v>
          </cell>
          <cell r="E255">
            <v>0.14385678158137893</v>
          </cell>
          <cell r="F255">
            <v>8.7287171105110709E-2</v>
          </cell>
          <cell r="G255">
            <v>0.60092969155629861</v>
          </cell>
          <cell r="H255">
            <v>4.2293424819837061E-3</v>
          </cell>
          <cell r="J255" t="str">
            <v>1995AL</v>
          </cell>
          <cell r="K255">
            <v>0.25521352686232246</v>
          </cell>
          <cell r="L255">
            <v>0.60092969155629861</v>
          </cell>
          <cell r="M255">
            <v>0.14385678158137893</v>
          </cell>
          <cell r="U255" t="str">
            <v>1995AL</v>
          </cell>
          <cell r="V255">
            <v>0.13583730899999999</v>
          </cell>
          <cell r="W255">
            <v>3.4666197000000003E-2</v>
          </cell>
          <cell r="X255">
            <v>0.13252482700000001</v>
          </cell>
          <cell r="Y255">
            <v>0.36793035099999999</v>
          </cell>
          <cell r="Z255">
            <v>0.32904131599999997</v>
          </cell>
          <cell r="AB255" t="str">
            <v>1995AL</v>
          </cell>
          <cell r="AC255">
            <v>0</v>
          </cell>
          <cell r="AD255">
            <v>4.4444444444444439E-2</v>
          </cell>
          <cell r="AE255">
            <v>0.58833333300000001</v>
          </cell>
          <cell r="AF255">
            <v>0.36722222199999999</v>
          </cell>
        </row>
        <row r="256">
          <cell r="B256" t="str">
            <v>1995AK</v>
          </cell>
          <cell r="C256">
            <v>0.14958470295545417</v>
          </cell>
          <cell r="D256">
            <v>0.11730658952076004</v>
          </cell>
          <cell r="E256">
            <v>0.35216811649016644</v>
          </cell>
          <cell r="F256">
            <v>0.13589355604331216</v>
          </cell>
          <cell r="G256">
            <v>0.20849754160363088</v>
          </cell>
          <cell r="H256">
            <v>3.6549493386676304E-2</v>
          </cell>
          <cell r="J256" t="str">
            <v>1995AK</v>
          </cell>
          <cell r="K256">
            <v>0.43933434190620269</v>
          </cell>
          <cell r="L256">
            <v>0.20849754160363088</v>
          </cell>
          <cell r="M256">
            <v>0.35216811649016644</v>
          </cell>
          <cell r="U256" t="str">
            <v>1995AK</v>
          </cell>
          <cell r="V256">
            <v>1</v>
          </cell>
          <cell r="W256">
            <v>0</v>
          </cell>
          <cell r="X256">
            <v>0</v>
          </cell>
          <cell r="Y256">
            <v>0</v>
          </cell>
          <cell r="Z256">
            <v>0</v>
          </cell>
          <cell r="AB256" t="str">
            <v>1995AK</v>
          </cell>
          <cell r="AC256">
            <v>4.4444444444444439E-2</v>
          </cell>
          <cell r="AD256">
            <v>5.3333333333333316E-2</v>
          </cell>
          <cell r="AE256">
            <v>0.205555556</v>
          </cell>
          <cell r="AF256">
            <v>0.69666666700000002</v>
          </cell>
        </row>
        <row r="257">
          <cell r="B257" t="str">
            <v>1995AZ</v>
          </cell>
          <cell r="C257">
            <v>0.60287155981588014</v>
          </cell>
          <cell r="D257">
            <v>0.2077236610489008</v>
          </cell>
          <cell r="E257">
            <v>9.5407142924491567E-2</v>
          </cell>
          <cell r="F257">
            <v>9.2848408491660581E-2</v>
          </cell>
          <cell r="G257">
            <v>0</v>
          </cell>
          <cell r="H257">
            <v>1.149227719066876E-3</v>
          </cell>
          <cell r="J257" t="str">
            <v>1995AZ</v>
          </cell>
          <cell r="K257">
            <v>0.90459285707550841</v>
          </cell>
          <cell r="L257">
            <v>0</v>
          </cell>
          <cell r="M257">
            <v>9.5407142924491567E-2</v>
          </cell>
          <cell r="U257" t="str">
            <v>1995AZ</v>
          </cell>
          <cell r="V257">
            <v>5.0094134999999998E-2</v>
          </cell>
          <cell r="W257">
            <v>3.6773633E-2</v>
          </cell>
          <cell r="X257">
            <v>0.10361519199999999</v>
          </cell>
          <cell r="Y257">
            <v>0.478087449</v>
          </cell>
          <cell r="Z257">
            <v>0.33142959100000002</v>
          </cell>
          <cell r="AB257" t="str">
            <v>1995AZ</v>
          </cell>
          <cell r="AC257">
            <v>0</v>
          </cell>
          <cell r="AD257">
            <v>0</v>
          </cell>
          <cell r="AE257">
            <v>0.33333333300000001</v>
          </cell>
          <cell r="AF257">
            <v>0.66666666699999999</v>
          </cell>
        </row>
        <row r="258">
          <cell r="B258" t="str">
            <v>1995AR</v>
          </cell>
          <cell r="C258">
            <v>6.0987438802831112E-2</v>
          </cell>
          <cell r="D258">
            <v>4.8005008513511416E-2</v>
          </cell>
          <cell r="E258">
            <v>0.13912499999999997</v>
          </cell>
          <cell r="F258">
            <v>0.11687096503989014</v>
          </cell>
          <cell r="G258">
            <v>0.629</v>
          </cell>
          <cell r="H258">
            <v>6.0115876437673663E-3</v>
          </cell>
          <cell r="J258" t="str">
            <v>1995AR</v>
          </cell>
          <cell r="K258">
            <v>0.23187500000000005</v>
          </cell>
          <cell r="L258">
            <v>0.629</v>
          </cell>
          <cell r="M258">
            <v>0.13912499999999997</v>
          </cell>
          <cell r="U258" t="str">
            <v>1995AR</v>
          </cell>
          <cell r="V258">
            <v>3.356638E-2</v>
          </cell>
          <cell r="W258">
            <v>3.7484047E-2</v>
          </cell>
          <cell r="X258">
            <v>0.107646224</v>
          </cell>
          <cell r="Y258">
            <v>0.48250400500000001</v>
          </cell>
          <cell r="Z258">
            <v>0.338799344</v>
          </cell>
          <cell r="AB258" t="str">
            <v>1995AR</v>
          </cell>
          <cell r="AC258">
            <v>0</v>
          </cell>
          <cell r="AD258">
            <v>0.26666666666666672</v>
          </cell>
          <cell r="AE258">
            <v>0.177777778</v>
          </cell>
          <cell r="AF258">
            <v>0.55555555599999995</v>
          </cell>
        </row>
        <row r="259">
          <cell r="B259" t="str">
            <v>1995CA</v>
          </cell>
          <cell r="C259">
            <v>0.56051052204301866</v>
          </cell>
          <cell r="D259">
            <v>0.21776492571690156</v>
          </cell>
          <cell r="E259">
            <v>0.11321855175492829</v>
          </cell>
          <cell r="F259">
            <v>9.0634943409094407E-2</v>
          </cell>
          <cell r="G259">
            <v>1.4544734696916261E-2</v>
          </cell>
          <cell r="H259">
            <v>3.3263223791407731E-3</v>
          </cell>
          <cell r="J259" t="str">
            <v>1995CA</v>
          </cell>
          <cell r="K259">
            <v>0.87223671354815546</v>
          </cell>
          <cell r="L259">
            <v>1.4544734696916261E-2</v>
          </cell>
          <cell r="M259">
            <v>0.11321855175492829</v>
          </cell>
          <cell r="U259" t="str">
            <v>1995CA</v>
          </cell>
          <cell r="V259">
            <v>0.107612975</v>
          </cell>
          <cell r="W259">
            <v>3.393198E-2</v>
          </cell>
          <cell r="X259">
            <v>7.7926845999999994E-2</v>
          </cell>
          <cell r="Y259">
            <v>0.48313507999999999</v>
          </cell>
          <cell r="Z259">
            <v>0.29739311800000001</v>
          </cell>
          <cell r="AB259" t="str">
            <v>1995CA</v>
          </cell>
          <cell r="AC259">
            <v>0.2</v>
          </cell>
          <cell r="AD259">
            <v>1.3333333333333329E-2</v>
          </cell>
          <cell r="AE259">
            <v>9.7777777999999996E-2</v>
          </cell>
          <cell r="AF259">
            <v>0.688888889</v>
          </cell>
        </row>
        <row r="260">
          <cell r="B260" t="str">
            <v>1995CO</v>
          </cell>
          <cell r="C260">
            <v>0.52972016753180273</v>
          </cell>
          <cell r="D260">
            <v>0.26788799927642298</v>
          </cell>
          <cell r="E260">
            <v>2.5952996489540588E-2</v>
          </cell>
          <cell r="F260">
            <v>0.13943602528864282</v>
          </cell>
          <cell r="G260">
            <v>1.5365206876892187E-2</v>
          </cell>
          <cell r="H260">
            <v>2.1637604536698808E-2</v>
          </cell>
          <cell r="J260" t="str">
            <v>1995CO</v>
          </cell>
          <cell r="K260">
            <v>0.95868179663356723</v>
          </cell>
          <cell r="L260">
            <v>1.5365206876892187E-2</v>
          </cell>
          <cell r="M260">
            <v>2.5952996489540588E-2</v>
          </cell>
          <cell r="U260" t="str">
            <v>1995CO</v>
          </cell>
          <cell r="V260">
            <v>4.7909924E-2</v>
          </cell>
          <cell r="W260">
            <v>5.1792653000000001E-2</v>
          </cell>
          <cell r="X260">
            <v>0.25205111400000002</v>
          </cell>
          <cell r="Y260">
            <v>0.167888707</v>
          </cell>
          <cell r="Z260">
            <v>0.48035760199999999</v>
          </cell>
          <cell r="AB260" t="str">
            <v>1995CO</v>
          </cell>
          <cell r="AC260">
            <v>0</v>
          </cell>
          <cell r="AD260">
            <v>3.5555555555555549E-2</v>
          </cell>
          <cell r="AE260">
            <v>0.35111111099999998</v>
          </cell>
          <cell r="AF260">
            <v>0.61333333300000004</v>
          </cell>
        </row>
        <row r="261">
          <cell r="B261" t="str">
            <v>1995CT</v>
          </cell>
          <cell r="C261">
            <v>7.8262070592692953E-2</v>
          </cell>
          <cell r="D261">
            <v>0.16770789116527782</v>
          </cell>
          <cell r="E261">
            <v>0.44140007224917249</v>
          </cell>
          <cell r="F261">
            <v>0.21915615297154176</v>
          </cell>
          <cell r="G261">
            <v>6.3788026366475611E-2</v>
          </cell>
          <cell r="H261">
            <v>2.9685786654839365E-2</v>
          </cell>
          <cell r="J261" t="str">
            <v>1995CT</v>
          </cell>
          <cell r="K261">
            <v>0.49481190138435194</v>
          </cell>
          <cell r="L261">
            <v>6.3788026366475611E-2</v>
          </cell>
          <cell r="M261">
            <v>0.44140007224917249</v>
          </cell>
          <cell r="U261" t="str">
            <v>1995CT</v>
          </cell>
          <cell r="V261">
            <v>0.76132413799999998</v>
          </cell>
          <cell r="W261">
            <v>1.0501738E-2</v>
          </cell>
          <cell r="X261">
            <v>6.5874537999999996E-2</v>
          </cell>
          <cell r="Y261">
            <v>5.0360607000000002E-2</v>
          </cell>
          <cell r="Z261">
            <v>0.11193897899999999</v>
          </cell>
          <cell r="AB261" t="str">
            <v>1995CT</v>
          </cell>
          <cell r="AC261">
            <v>0</v>
          </cell>
          <cell r="AD261">
            <v>0</v>
          </cell>
          <cell r="AE261">
            <v>2.7777777999999999E-2</v>
          </cell>
          <cell r="AF261">
            <v>0.97222222199999997</v>
          </cell>
        </row>
        <row r="262">
          <cell r="B262" t="str">
            <v>1995DE</v>
          </cell>
          <cell r="C262">
            <v>5.6503182286672102E-2</v>
          </cell>
          <cell r="D262">
            <v>0.15090606144817378</v>
          </cell>
          <cell r="E262">
            <v>0.44874594407036289</v>
          </cell>
          <cell r="F262">
            <v>0.24167403863570636</v>
          </cell>
          <cell r="G262">
            <v>7.0414356673184547E-2</v>
          </cell>
          <cell r="H262">
            <v>3.1756416885900335E-2</v>
          </cell>
          <cell r="J262" t="str">
            <v>1995DE</v>
          </cell>
          <cell r="K262">
            <v>0.48083969925645254</v>
          </cell>
          <cell r="L262">
            <v>7.0414356673184547E-2</v>
          </cell>
          <cell r="M262">
            <v>0.44874594407036289</v>
          </cell>
          <cell r="U262" t="str">
            <v>1995DE</v>
          </cell>
          <cell r="V262">
            <v>0.106132754</v>
          </cell>
          <cell r="W262">
            <v>4.6313954999999997E-2</v>
          </cell>
          <cell r="X262">
            <v>0.23914158099999999</v>
          </cell>
          <cell r="Y262">
            <v>0.16532666800000001</v>
          </cell>
          <cell r="Z262">
            <v>0.44308504199999998</v>
          </cell>
          <cell r="AB262" t="str">
            <v>1995DE</v>
          </cell>
          <cell r="AC262">
            <v>0</v>
          </cell>
          <cell r="AD262">
            <v>0</v>
          </cell>
          <cell r="AE262">
            <v>2.7777777999999999E-2</v>
          </cell>
          <cell r="AF262">
            <v>0.97222222199999997</v>
          </cell>
        </row>
        <row r="263">
          <cell r="B263" t="str">
            <v>1995FL</v>
          </cell>
          <cell r="C263">
            <v>0.40809201738186751</v>
          </cell>
          <cell r="D263">
            <v>0.14822550595189202</v>
          </cell>
          <cell r="E263">
            <v>0.21994786189099791</v>
          </cell>
          <cell r="F263">
            <v>7.3433511054152176E-2</v>
          </cell>
          <cell r="G263">
            <v>0.14953520992788238</v>
          </cell>
          <cell r="H263">
            <v>7.6589379320801503E-4</v>
          </cell>
          <cell r="J263" t="str">
            <v>1995FL</v>
          </cell>
          <cell r="K263">
            <v>0.63051692818111971</v>
          </cell>
          <cell r="L263">
            <v>0.14953520992788238</v>
          </cell>
          <cell r="M263">
            <v>0.21994786189099791</v>
          </cell>
          <cell r="U263" t="str">
            <v>1995FL</v>
          </cell>
          <cell r="V263">
            <v>0.552367622</v>
          </cell>
          <cell r="W263">
            <v>1.9695825E-2</v>
          </cell>
          <cell r="X263">
            <v>0.123546536</v>
          </cell>
          <cell r="Y263">
            <v>9.4450432000000001E-2</v>
          </cell>
          <cell r="Z263">
            <v>0.20993958500000001</v>
          </cell>
          <cell r="AB263" t="str">
            <v>1995FL</v>
          </cell>
          <cell r="AC263">
            <v>5.3333333333333316E-2</v>
          </cell>
          <cell r="AD263">
            <v>2.6666666666666658E-2</v>
          </cell>
          <cell r="AE263">
            <v>0.28611111099999997</v>
          </cell>
          <cell r="AF263">
            <v>0.63388888899999996</v>
          </cell>
        </row>
        <row r="264">
          <cell r="B264" t="str">
            <v>1995GA</v>
          </cell>
          <cell r="C264">
            <v>0.13366707356776233</v>
          </cell>
          <cell r="D264">
            <v>8.7608410002093823E-2</v>
          </cell>
          <cell r="E264">
            <v>0.15630527995767507</v>
          </cell>
          <cell r="F264">
            <v>9.1186594977134772E-2</v>
          </cell>
          <cell r="G264">
            <v>0.52708156837608344</v>
          </cell>
          <cell r="H264">
            <v>4.1510731192504497E-3</v>
          </cell>
          <cell r="J264" t="str">
            <v>1995GA</v>
          </cell>
          <cell r="K264">
            <v>0.31661315166624149</v>
          </cell>
          <cell r="L264">
            <v>0.52708156837608344</v>
          </cell>
          <cell r="M264">
            <v>0.15630527995767507</v>
          </cell>
          <cell r="U264" t="str">
            <v>1995GA</v>
          </cell>
          <cell r="V264">
            <v>0.10666010300000001</v>
          </cell>
          <cell r="W264">
            <v>3.5805957999999999E-2</v>
          </cell>
          <cell r="X264">
            <v>0.13603030699999999</v>
          </cell>
          <cell r="Y264">
            <v>0.38204988699999998</v>
          </cell>
          <cell r="Z264">
            <v>0.33945374499999997</v>
          </cell>
          <cell r="AB264" t="str">
            <v>1995GA</v>
          </cell>
          <cell r="AC264">
            <v>0.28444444444444439</v>
          </cell>
          <cell r="AD264">
            <v>2.222222222222222E-2</v>
          </cell>
          <cell r="AE264">
            <v>0.23722222200000001</v>
          </cell>
          <cell r="AF264">
            <v>0.45611111100000001</v>
          </cell>
        </row>
        <row r="265">
          <cell r="B265" t="str">
            <v>1995HI</v>
          </cell>
          <cell r="C265">
            <v>0.58831382152864364</v>
          </cell>
          <cell r="D265">
            <v>0.21070298811065602</v>
          </cell>
          <cell r="E265">
            <v>0</v>
          </cell>
          <cell r="F265">
            <v>0.11844259484391831</v>
          </cell>
          <cell r="G265">
            <v>7.2798896282826653E-2</v>
          </cell>
          <cell r="H265">
            <v>9.741699233955509E-3</v>
          </cell>
          <cell r="J265" t="str">
            <v>1995HI</v>
          </cell>
          <cell r="K265">
            <v>0.92720110371717335</v>
          </cell>
          <cell r="L265">
            <v>7.2798896282826653E-2</v>
          </cell>
          <cell r="M265">
            <v>0</v>
          </cell>
          <cell r="U265" t="str">
            <v>1995HI</v>
          </cell>
          <cell r="V265">
            <v>0.35854955599999999</v>
          </cell>
          <cell r="W265">
            <v>2.822382E-2</v>
          </cell>
          <cell r="X265">
            <v>0.177040323</v>
          </cell>
          <cell r="Y265">
            <v>0.135346044</v>
          </cell>
          <cell r="Z265">
            <v>0.30084025800000003</v>
          </cell>
          <cell r="AB265" t="str">
            <v>1995HI</v>
          </cell>
          <cell r="AC265">
            <v>4.4444444444444439E-2</v>
          </cell>
          <cell r="AD265">
            <v>0</v>
          </cell>
          <cell r="AE265">
            <v>0.49444444399999998</v>
          </cell>
          <cell r="AF265">
            <v>0.46111111100000002</v>
          </cell>
        </row>
        <row r="266">
          <cell r="B266" t="str">
            <v>1995ID</v>
          </cell>
          <cell r="C266">
            <v>0.5112745514718412</v>
          </cell>
          <cell r="D266">
            <v>0.24463477232959777</v>
          </cell>
          <cell r="E266">
            <v>3.2097102613595642E-2</v>
          </cell>
          <cell r="F266">
            <v>0.1639066194150689</v>
          </cell>
          <cell r="G266">
            <v>1.9002762243870056E-2</v>
          </cell>
          <cell r="H266">
            <v>2.9084191926026355E-2</v>
          </cell>
          <cell r="J266" t="str">
            <v>1995ID</v>
          </cell>
          <cell r="K266">
            <v>0.94890013514253435</v>
          </cell>
          <cell r="L266">
            <v>1.9002762243870056E-2</v>
          </cell>
          <cell r="M266">
            <v>3.2097102613595642E-2</v>
          </cell>
          <cell r="U266" t="str">
            <v>1995ID</v>
          </cell>
          <cell r="V266">
            <v>0.33755710900000002</v>
          </cell>
          <cell r="W266">
            <v>3.1871865999999999E-2</v>
          </cell>
          <cell r="X266">
            <v>0.179882827</v>
          </cell>
          <cell r="Y266">
            <v>0.13069418599999999</v>
          </cell>
          <cell r="Z266">
            <v>0.31999401199999999</v>
          </cell>
          <cell r="AB266" t="str">
            <v>1995ID</v>
          </cell>
          <cell r="AC266">
            <v>0</v>
          </cell>
          <cell r="AD266">
            <v>0.26666666666666672</v>
          </cell>
          <cell r="AE266">
            <v>0.33333333300000001</v>
          </cell>
          <cell r="AF266">
            <v>0.4</v>
          </cell>
        </row>
        <row r="267">
          <cell r="B267" t="str">
            <v>1995IL</v>
          </cell>
          <cell r="C267">
            <v>5.5607419485179874E-2</v>
          </cell>
          <cell r="D267">
            <v>0.17838796719883851</v>
          </cell>
          <cell r="E267">
            <v>0.13268539917340127</v>
          </cell>
          <cell r="F267">
            <v>0.50676736269918887</v>
          </cell>
          <cell r="G267">
            <v>7.8555037321565907E-2</v>
          </cell>
          <cell r="H267">
            <v>4.7996814121825652E-2</v>
          </cell>
          <cell r="J267" t="str">
            <v>1995IL</v>
          </cell>
          <cell r="K267">
            <v>0.78875956350503285</v>
          </cell>
          <cell r="L267">
            <v>7.8555037321565907E-2</v>
          </cell>
          <cell r="M267">
            <v>0.13268539917340127</v>
          </cell>
          <cell r="U267" t="str">
            <v>1995IL</v>
          </cell>
          <cell r="V267">
            <v>5.8055355000000003E-2</v>
          </cell>
          <cell r="W267">
            <v>4.3128187999999998E-2</v>
          </cell>
          <cell r="X267">
            <v>0.266286562</v>
          </cell>
          <cell r="Y267">
            <v>0.162153245</v>
          </cell>
          <cell r="Z267">
            <v>0.47037664800000001</v>
          </cell>
          <cell r="AB267" t="str">
            <v>1995IL</v>
          </cell>
          <cell r="AC267">
            <v>0</v>
          </cell>
          <cell r="AD267">
            <v>0</v>
          </cell>
          <cell r="AE267">
            <v>5.5555555999999999E-2</v>
          </cell>
          <cell r="AF267">
            <v>0.94444444400000005</v>
          </cell>
        </row>
        <row r="268">
          <cell r="B268" t="str">
            <v>1995IN</v>
          </cell>
          <cell r="C268">
            <v>4.916997309222803E-2</v>
          </cell>
          <cell r="D268">
            <v>0.15839058043729351</v>
          </cell>
          <cell r="E268">
            <v>0.18583728913792313</v>
          </cell>
          <cell r="F268">
            <v>0.45376049740823304</v>
          </cell>
          <cell r="G268">
            <v>0.11002307167867088</v>
          </cell>
          <cell r="H268">
            <v>4.281858824565149E-2</v>
          </cell>
          <cell r="J268" t="str">
            <v>1995IN</v>
          </cell>
          <cell r="K268">
            <v>0.70413963918340605</v>
          </cell>
          <cell r="L268">
            <v>0.11002307167867088</v>
          </cell>
          <cell r="M268">
            <v>0.18583728913792313</v>
          </cell>
          <cell r="U268" t="str">
            <v>1995IN</v>
          </cell>
          <cell r="V268">
            <v>6.2837241000000002E-2</v>
          </cell>
          <cell r="W268">
            <v>4.3014968000000001E-2</v>
          </cell>
          <cell r="X268">
            <v>0.26533119599999999</v>
          </cell>
          <cell r="Y268">
            <v>0.15903055099999999</v>
          </cell>
          <cell r="Z268">
            <v>0.46978604400000001</v>
          </cell>
          <cell r="AB268" t="str">
            <v>1995IN</v>
          </cell>
          <cell r="AC268">
            <v>0</v>
          </cell>
          <cell r="AD268">
            <v>2.222222222222222E-2</v>
          </cell>
          <cell r="AE268">
            <v>0</v>
          </cell>
          <cell r="AF268">
            <v>0.97777777799999999</v>
          </cell>
        </row>
        <row r="269">
          <cell r="B269" t="str">
            <v>1995IA</v>
          </cell>
          <cell r="C269">
            <v>4.9252689743817871E-2</v>
          </cell>
          <cell r="D269">
            <v>0.1503386730532508</v>
          </cell>
          <cell r="E269">
            <v>0.18888060303915691</v>
          </cell>
          <cell r="F269">
            <v>0.46099493151675902</v>
          </cell>
          <cell r="G269">
            <v>0.11182483463512272</v>
          </cell>
          <cell r="H269">
            <v>3.8708268011892789E-2</v>
          </cell>
          <cell r="J269" t="str">
            <v>1995IA</v>
          </cell>
          <cell r="K269">
            <v>0.6992945623257204</v>
          </cell>
          <cell r="L269">
            <v>0.11182483463512272</v>
          </cell>
          <cell r="M269">
            <v>0.18888060303915691</v>
          </cell>
          <cell r="U269" t="str">
            <v>1995IA</v>
          </cell>
          <cell r="V269">
            <v>4.5586260000000003E-2</v>
          </cell>
          <cell r="W269">
            <v>3.9398458999999997E-2</v>
          </cell>
          <cell r="X269">
            <v>0.18146680600000001</v>
          </cell>
          <cell r="Y269">
            <v>0.34488893100000001</v>
          </cell>
          <cell r="Z269">
            <v>0.38865954400000002</v>
          </cell>
          <cell r="AB269" t="str">
            <v>1995IA</v>
          </cell>
          <cell r="AC269">
            <v>1.7777777777777774E-2</v>
          </cell>
          <cell r="AD269">
            <v>1.7777777777777774E-2</v>
          </cell>
          <cell r="AE269">
            <v>8.8888890000000005E-3</v>
          </cell>
          <cell r="AF269">
            <v>0.95555555599999997</v>
          </cell>
        </row>
        <row r="270">
          <cell r="B270" t="str">
            <v>1995KS</v>
          </cell>
          <cell r="C270">
            <v>5.5608477199173126E-2</v>
          </cell>
          <cell r="D270">
            <v>0.17627658716151126</v>
          </cell>
          <cell r="E270">
            <v>0.14439575424045117</v>
          </cell>
          <cell r="F270">
            <v>0.49161896303373515</v>
          </cell>
          <cell r="G270">
            <v>8.5488033605043215E-2</v>
          </cell>
          <cell r="H270">
            <v>4.6612184760086058E-2</v>
          </cell>
          <cell r="J270" t="str">
            <v>1995KS</v>
          </cell>
          <cell r="K270">
            <v>0.77011621215450554</v>
          </cell>
          <cell r="L270">
            <v>8.5488033605043215E-2</v>
          </cell>
          <cell r="M270">
            <v>0.14439575424045117</v>
          </cell>
          <cell r="U270" t="str">
            <v>1995KS</v>
          </cell>
          <cell r="V270">
            <v>9.0925864999999995E-2</v>
          </cell>
          <cell r="W270">
            <v>4.2117137999999998E-2</v>
          </cell>
          <cell r="X270">
            <v>0.25884649700000001</v>
          </cell>
          <cell r="Y270">
            <v>0.145750833</v>
          </cell>
          <cell r="Z270">
            <v>0.46235966699999997</v>
          </cell>
          <cell r="AB270" t="str">
            <v>1995KS</v>
          </cell>
          <cell r="AC270">
            <v>0</v>
          </cell>
          <cell r="AD270">
            <v>0</v>
          </cell>
          <cell r="AE270">
            <v>1.1111111E-2</v>
          </cell>
          <cell r="AF270">
            <v>0.98888888900000005</v>
          </cell>
        </row>
        <row r="271">
          <cell r="B271" t="str">
            <v>1995KY</v>
          </cell>
          <cell r="C271">
            <v>1.4615457097916184E-2</v>
          </cell>
          <cell r="D271">
            <v>4.9351442784049203E-2</v>
          </cell>
          <cell r="E271">
            <v>0.13966151747282213</v>
          </cell>
          <cell r="F271">
            <v>0.15585659983586916</v>
          </cell>
          <cell r="G271">
            <v>0.6258172218669561</v>
          </cell>
          <cell r="H271">
            <v>1.4697760942387162E-2</v>
          </cell>
          <cell r="J271" t="str">
            <v>1995KY</v>
          </cell>
          <cell r="K271">
            <v>0.23452126066022183</v>
          </cell>
          <cell r="L271">
            <v>0.6258172218669561</v>
          </cell>
          <cell r="M271">
            <v>0.13966151747282213</v>
          </cell>
          <cell r="U271" t="str">
            <v>1995KY</v>
          </cell>
          <cell r="V271">
            <v>0.116184801</v>
          </cell>
          <cell r="W271">
            <v>3.5982628000000003E-2</v>
          </cell>
          <cell r="X271">
            <v>0.15221040899999999</v>
          </cell>
          <cell r="Y271">
            <v>0.34710329000000001</v>
          </cell>
          <cell r="Z271">
            <v>0.34851887100000001</v>
          </cell>
          <cell r="AB271" t="str">
            <v>1995KY</v>
          </cell>
          <cell r="AC271">
            <v>1.3333333333333329E-2</v>
          </cell>
          <cell r="AD271">
            <v>0.14666666666666661</v>
          </cell>
          <cell r="AE271">
            <v>0.29888888899999999</v>
          </cell>
          <cell r="AF271">
            <v>0.54111111099999998</v>
          </cell>
        </row>
        <row r="272">
          <cell r="B272" t="str">
            <v>1995LA</v>
          </cell>
          <cell r="C272">
            <v>8.1842288506844149E-2</v>
          </cell>
          <cell r="D272">
            <v>6.039559658754029E-2</v>
          </cell>
          <cell r="E272">
            <v>0.14383455857060956</v>
          </cell>
          <cell r="F272">
            <v>0.10748949622604935</v>
          </cell>
          <cell r="G272">
            <v>0.60106152493789411</v>
          </cell>
          <cell r="H272">
            <v>5.3765351710625122E-3</v>
          </cell>
          <cell r="J272" t="str">
            <v>1995LA</v>
          </cell>
          <cell r="K272">
            <v>0.25510391649149633</v>
          </cell>
          <cell r="L272">
            <v>0.60106152493789411</v>
          </cell>
          <cell r="M272">
            <v>0.14383455857060956</v>
          </cell>
          <cell r="U272" t="str">
            <v>1995LA</v>
          </cell>
          <cell r="V272">
            <v>0.49395905299999998</v>
          </cell>
          <cell r="W272">
            <v>2.1429063000000002E-2</v>
          </cell>
          <cell r="X272">
            <v>0.113250265</v>
          </cell>
          <cell r="Y272">
            <v>0.15303433799999999</v>
          </cell>
          <cell r="Z272">
            <v>0.21832728200000001</v>
          </cell>
          <cell r="AB272" t="str">
            <v>1995LA</v>
          </cell>
          <cell r="AC272">
            <v>2.222222222222222E-2</v>
          </cell>
          <cell r="AD272">
            <v>0</v>
          </cell>
          <cell r="AE272">
            <v>0.75555555600000002</v>
          </cell>
          <cell r="AF272">
            <v>0.222222222</v>
          </cell>
        </row>
        <row r="273">
          <cell r="B273" t="str">
            <v>1995ME</v>
          </cell>
          <cell r="C273">
            <v>3.9674561834755505E-2</v>
          </cell>
          <cell r="D273">
            <v>0.11396969189015212</v>
          </cell>
          <cell r="E273">
            <v>0.46990140172930284</v>
          </cell>
          <cell r="F273">
            <v>0.26117043655215194</v>
          </cell>
          <cell r="G273">
            <v>8.9497598751184071E-2</v>
          </cell>
          <cell r="H273">
            <v>2.5786309242453599E-2</v>
          </cell>
          <cell r="J273" t="str">
            <v>1995ME</v>
          </cell>
          <cell r="K273">
            <v>0.44060099951951304</v>
          </cell>
          <cell r="L273">
            <v>8.9497598751184071E-2</v>
          </cell>
          <cell r="M273">
            <v>0.46990140172930284</v>
          </cell>
          <cell r="U273" t="str">
            <v>1995ME</v>
          </cell>
          <cell r="V273">
            <v>1</v>
          </cell>
          <cell r="W273">
            <v>0</v>
          </cell>
          <cell r="X273">
            <v>0</v>
          </cell>
          <cell r="Y273">
            <v>0</v>
          </cell>
          <cell r="Z273">
            <v>0</v>
          </cell>
          <cell r="AB273" t="str">
            <v>1995ME</v>
          </cell>
          <cell r="AC273">
            <v>4.4444444444444439E-2</v>
          </cell>
          <cell r="AD273">
            <v>0.04</v>
          </cell>
          <cell r="AE273">
            <v>2.7777777999999999E-2</v>
          </cell>
          <cell r="AF273">
            <v>0.88777777800000002</v>
          </cell>
        </row>
        <row r="274">
          <cell r="B274" t="str">
            <v>1995MD</v>
          </cell>
          <cell r="C274">
            <v>4.9361595962644417E-2</v>
          </cell>
          <cell r="D274">
            <v>0.12849784093002142</v>
          </cell>
          <cell r="E274">
            <v>0.45704669808581483</v>
          </cell>
          <cell r="F274">
            <v>0.25650381910886472</v>
          </cell>
          <cell r="G274">
            <v>7.7902036725327334E-2</v>
          </cell>
          <cell r="H274">
            <v>3.0688009187327329E-2</v>
          </cell>
          <cell r="J274" t="str">
            <v>1995MD</v>
          </cell>
          <cell r="K274">
            <v>0.46505126518885787</v>
          </cell>
          <cell r="L274">
            <v>7.7902036725327334E-2</v>
          </cell>
          <cell r="M274">
            <v>0.45704669808581483</v>
          </cell>
          <cell r="U274" t="str">
            <v>1995MD</v>
          </cell>
          <cell r="V274">
            <v>0.182536481</v>
          </cell>
          <cell r="W274">
            <v>4.0096318999999998E-2</v>
          </cell>
          <cell r="X274">
            <v>0.221148014</v>
          </cell>
          <cell r="Y274">
            <v>0.158725056</v>
          </cell>
          <cell r="Z274">
            <v>0.39749413099999997</v>
          </cell>
          <cell r="AB274" t="str">
            <v>1995MD</v>
          </cell>
          <cell r="AC274">
            <v>0</v>
          </cell>
          <cell r="AD274">
            <v>0</v>
          </cell>
          <cell r="AE274">
            <v>2.7777777999999999E-2</v>
          </cell>
          <cell r="AF274">
            <v>0.97222222199999997</v>
          </cell>
        </row>
        <row r="275">
          <cell r="B275" t="str">
            <v>1995MA</v>
          </cell>
          <cell r="C275">
            <v>4.5022867196627209E-2</v>
          </cell>
          <cell r="D275">
            <v>0.1271858433506439</v>
          </cell>
          <cell r="E275">
            <v>0.46069240253682692</v>
          </cell>
          <cell r="F275">
            <v>0.25680439288958562</v>
          </cell>
          <cell r="G275">
            <v>8.1190637790126405E-2</v>
          </cell>
          <cell r="H275">
            <v>2.9103856236190051E-2</v>
          </cell>
          <cell r="J275" t="str">
            <v>1995MA</v>
          </cell>
          <cell r="K275">
            <v>0.45811695967304666</v>
          </cell>
          <cell r="L275">
            <v>8.1190637790126405E-2</v>
          </cell>
          <cell r="M275">
            <v>0.46069240253682692</v>
          </cell>
          <cell r="U275" t="str">
            <v>1995MA</v>
          </cell>
          <cell r="V275">
            <v>0.41117253199999998</v>
          </cell>
          <cell r="W275">
            <v>2.5908409E-2</v>
          </cell>
          <cell r="X275">
            <v>0.16251638099999999</v>
          </cell>
          <cell r="Y275">
            <v>0.124242596</v>
          </cell>
          <cell r="Z275">
            <v>0.276160083</v>
          </cell>
          <cell r="AB275" t="str">
            <v>1995MA</v>
          </cell>
          <cell r="AC275">
            <v>4.4444444444444439E-2</v>
          </cell>
          <cell r="AD275">
            <v>0.04</v>
          </cell>
          <cell r="AE275">
            <v>2.7777777999999999E-2</v>
          </cell>
          <cell r="AF275">
            <v>0.88777777800000002</v>
          </cell>
        </row>
        <row r="276">
          <cell r="B276" t="str">
            <v>1995MI</v>
          </cell>
          <cell r="C276">
            <v>9.9002343536244403E-2</v>
          </cell>
          <cell r="D276">
            <v>0.24101165137257866</v>
          </cell>
          <cell r="E276">
            <v>0.11069094866744093</v>
          </cell>
          <cell r="F276">
            <v>0.43290794209742417</v>
          </cell>
          <cell r="G276">
            <v>6.5533447221022223E-2</v>
          </cell>
          <cell r="H276">
            <v>5.0853667105289588E-2</v>
          </cell>
          <cell r="J276" t="str">
            <v>1995MI</v>
          </cell>
          <cell r="K276">
            <v>0.82377560411153683</v>
          </cell>
          <cell r="L276">
            <v>6.5533447221022223E-2</v>
          </cell>
          <cell r="M276">
            <v>0.11069094866744093</v>
          </cell>
          <cell r="U276" t="str">
            <v>1995MI</v>
          </cell>
          <cell r="V276">
            <v>8.4952944000000002E-2</v>
          </cell>
          <cell r="W276">
            <v>4.6370921000000002E-2</v>
          </cell>
          <cell r="X276">
            <v>0.24593506600000001</v>
          </cell>
          <cell r="Y276">
            <v>0.17271209400000001</v>
          </cell>
          <cell r="Z276">
            <v>0.45002897400000003</v>
          </cell>
          <cell r="AB276" t="str">
            <v>1995MI</v>
          </cell>
          <cell r="AC276">
            <v>0.04</v>
          </cell>
          <cell r="AD276">
            <v>1.3333333333333329E-2</v>
          </cell>
          <cell r="AE276">
            <v>2.4444443999999999E-2</v>
          </cell>
          <cell r="AF276">
            <v>0.92222222200000004</v>
          </cell>
        </row>
        <row r="277">
          <cell r="B277" t="str">
            <v>1995MN</v>
          </cell>
          <cell r="C277">
            <v>4.4012772782335473E-2</v>
          </cell>
          <cell r="D277">
            <v>0.13857570587664017</v>
          </cell>
          <cell r="E277">
            <v>0.21836433654303855</v>
          </cell>
          <cell r="F277">
            <v>0.43407522292513484</v>
          </cell>
          <cell r="G277">
            <v>0.12928037835135117</v>
          </cell>
          <cell r="H277">
            <v>3.5691583521499794E-2</v>
          </cell>
          <cell r="J277" t="str">
            <v>1995MN</v>
          </cell>
          <cell r="K277">
            <v>0.65235528510561025</v>
          </cell>
          <cell r="L277">
            <v>0.12928037835135117</v>
          </cell>
          <cell r="M277">
            <v>0.21836433654303855</v>
          </cell>
          <cell r="U277" t="str">
            <v>1995MN</v>
          </cell>
          <cell r="V277">
            <v>5.6583227E-2</v>
          </cell>
          <cell r="W277">
            <v>4.6530782E-2</v>
          </cell>
          <cell r="X277">
            <v>0.25494421499999997</v>
          </cell>
          <cell r="Y277">
            <v>0.18232612600000001</v>
          </cell>
          <cell r="Z277">
            <v>0.45961564999999999</v>
          </cell>
          <cell r="AB277" t="str">
            <v>1995MN</v>
          </cell>
          <cell r="AC277">
            <v>0</v>
          </cell>
          <cell r="AD277">
            <v>0.11111111111111106</v>
          </cell>
          <cell r="AE277">
            <v>0</v>
          </cell>
          <cell r="AF277">
            <v>0.88888888899999996</v>
          </cell>
        </row>
        <row r="278">
          <cell r="B278" t="str">
            <v>1995MS</v>
          </cell>
          <cell r="C278">
            <v>7.2826935580670576E-2</v>
          </cell>
          <cell r="D278">
            <v>5.770741201015242E-2</v>
          </cell>
          <cell r="E278">
            <v>0.13912499999999997</v>
          </cell>
          <cell r="F278">
            <v>9.648309513725685E-2</v>
          </cell>
          <cell r="G278">
            <v>0.629</v>
          </cell>
          <cell r="H278">
            <v>4.8575572719201984E-3</v>
          </cell>
          <cell r="J278" t="str">
            <v>1995MS</v>
          </cell>
          <cell r="K278">
            <v>0.23187500000000005</v>
          </cell>
          <cell r="L278">
            <v>0.629</v>
          </cell>
          <cell r="M278">
            <v>0.13912499999999997</v>
          </cell>
          <cell r="U278" t="str">
            <v>1995MS</v>
          </cell>
          <cell r="V278">
            <v>8.9265337E-2</v>
          </cell>
          <cell r="W278">
            <v>3.5540507999999998E-2</v>
          </cell>
          <cell r="X278">
            <v>0.108286825</v>
          </cell>
          <cell r="Y278">
            <v>0.44270976200000001</v>
          </cell>
          <cell r="Z278">
            <v>0.32419756700000002</v>
          </cell>
          <cell r="AB278" t="str">
            <v>1995MS</v>
          </cell>
          <cell r="AC278">
            <v>4.4444444444444439E-2</v>
          </cell>
          <cell r="AD278">
            <v>2.222222222222222E-2</v>
          </cell>
          <cell r="AE278">
            <v>0.71111111100000002</v>
          </cell>
          <cell r="AF278">
            <v>0.222222222</v>
          </cell>
        </row>
        <row r="279">
          <cell r="B279" t="str">
            <v>1995MO</v>
          </cell>
          <cell r="C279">
            <v>4.789615843285204E-2</v>
          </cell>
          <cell r="D279">
            <v>0.15991532351110388</v>
          </cell>
          <cell r="E279">
            <v>0.16451875576769157</v>
          </cell>
          <cell r="F279">
            <v>0.48362713236586596</v>
          </cell>
          <cell r="G279">
            <v>9.7401651424653221E-2</v>
          </cell>
          <cell r="H279">
            <v>4.6640978497833309E-2</v>
          </cell>
          <cell r="J279" t="str">
            <v>1995MO</v>
          </cell>
          <cell r="K279">
            <v>0.73807959280765523</v>
          </cell>
          <cell r="L279">
            <v>9.7401651424653221E-2</v>
          </cell>
          <cell r="M279">
            <v>0.16451875576769157</v>
          </cell>
          <cell r="U279" t="str">
            <v>1995MO</v>
          </cell>
          <cell r="V279">
            <v>8.9775514000000001E-2</v>
          </cell>
          <cell r="W279">
            <v>4.2019952999999999E-2</v>
          </cell>
          <cell r="X279">
            <v>0.25860973999999998</v>
          </cell>
          <cell r="Y279">
            <v>0.14920823</v>
          </cell>
          <cell r="Z279">
            <v>0.46038656300000003</v>
          </cell>
          <cell r="AB279" t="str">
            <v>1995MO</v>
          </cell>
          <cell r="AC279">
            <v>0</v>
          </cell>
          <cell r="AD279">
            <v>8.8888888888888878E-2</v>
          </cell>
          <cell r="AE279">
            <v>0</v>
          </cell>
          <cell r="AF279">
            <v>0.91111111099999997</v>
          </cell>
        </row>
        <row r="280">
          <cell r="B280" t="str">
            <v>1995MT</v>
          </cell>
          <cell r="C280">
            <v>0.2879602583389263</v>
          </cell>
          <cell r="D280">
            <v>0.22468365149244926</v>
          </cell>
          <cell r="E280">
            <v>5.7858586115503395E-2</v>
          </cell>
          <cell r="F280">
            <v>0.31037654482369087</v>
          </cell>
          <cell r="G280">
            <v>3.4254585809676143E-2</v>
          </cell>
          <cell r="H280">
            <v>8.4866373419754046E-2</v>
          </cell>
          <cell r="J280" t="str">
            <v>1995MT</v>
          </cell>
          <cell r="K280">
            <v>0.90788682807482046</v>
          </cell>
          <cell r="L280">
            <v>3.4254585809676143E-2</v>
          </cell>
          <cell r="M280">
            <v>5.7858586115503395E-2</v>
          </cell>
          <cell r="U280" t="str">
            <v>1995MT</v>
          </cell>
          <cell r="V280">
            <v>0.118288869</v>
          </cell>
          <cell r="W280">
            <v>4.6193643E-2</v>
          </cell>
          <cell r="X280">
            <v>0.23533738900000001</v>
          </cell>
          <cell r="Y280">
            <v>0.16137987100000001</v>
          </cell>
          <cell r="Z280">
            <v>0.43880022699999999</v>
          </cell>
          <cell r="AB280" t="str">
            <v>1995MT</v>
          </cell>
          <cell r="AC280">
            <v>0</v>
          </cell>
          <cell r="AD280">
            <v>3.5555555555555549E-2</v>
          </cell>
          <cell r="AE280">
            <v>0.35111111099999998</v>
          </cell>
          <cell r="AF280">
            <v>0.61333333300000004</v>
          </cell>
        </row>
        <row r="281">
          <cell r="B281" t="str">
            <v>1995NE</v>
          </cell>
          <cell r="C281">
            <v>5.0654584365125016E-2</v>
          </cell>
          <cell r="D281">
            <v>0.16829032114831829</v>
          </cell>
          <cell r="E281">
            <v>0.16138745414361363</v>
          </cell>
          <cell r="F281">
            <v>0.4751593823999738</v>
          </cell>
          <cell r="G281">
            <v>9.5547796234278698E-2</v>
          </cell>
          <cell r="H281">
            <v>4.8960461708690478E-2</v>
          </cell>
          <cell r="J281" t="str">
            <v>1995NE</v>
          </cell>
          <cell r="K281">
            <v>0.74306474962210767</v>
          </cell>
          <cell r="L281">
            <v>9.5547796234278698E-2</v>
          </cell>
          <cell r="M281">
            <v>0.16138745414361363</v>
          </cell>
          <cell r="U281" t="str">
            <v>1995NE</v>
          </cell>
          <cell r="V281">
            <v>7.4044347999999996E-2</v>
          </cell>
          <cell r="W281">
            <v>4.2246804999999998E-2</v>
          </cell>
          <cell r="X281">
            <v>0.26120659600000001</v>
          </cell>
          <cell r="Y281">
            <v>0.162648193</v>
          </cell>
          <cell r="Z281">
            <v>0.45985405800000001</v>
          </cell>
          <cell r="AB281" t="str">
            <v>1995NE</v>
          </cell>
          <cell r="AC281">
            <v>0</v>
          </cell>
          <cell r="AD281">
            <v>0</v>
          </cell>
          <cell r="AE281">
            <v>1.1111111E-2</v>
          </cell>
          <cell r="AF281">
            <v>0.98888888900000005</v>
          </cell>
        </row>
        <row r="282">
          <cell r="B282" t="str">
            <v>1995NV</v>
          </cell>
          <cell r="C282">
            <v>0.61288634329467662</v>
          </cell>
          <cell r="D282">
            <v>0.22801517329414139</v>
          </cell>
          <cell r="E282">
            <v>2.4858094323872659E-2</v>
          </cell>
          <cell r="F282">
            <v>0.1123367012111947</v>
          </cell>
          <cell r="G282">
            <v>1.4716981216621124E-2</v>
          </cell>
          <cell r="H282">
            <v>7.1867066594935658E-3</v>
          </cell>
          <cell r="J282" t="str">
            <v>1995NV</v>
          </cell>
          <cell r="K282">
            <v>0.96042492445950622</v>
          </cell>
          <cell r="L282">
            <v>1.4716981216621124E-2</v>
          </cell>
          <cell r="M282">
            <v>2.4858094323872659E-2</v>
          </cell>
          <cell r="U282" t="str">
            <v>1995NV</v>
          </cell>
          <cell r="V282">
            <v>1</v>
          </cell>
          <cell r="W282">
            <v>0</v>
          </cell>
          <cell r="X282">
            <v>0</v>
          </cell>
          <cell r="Y282">
            <v>0</v>
          </cell>
          <cell r="Z282">
            <v>0</v>
          </cell>
          <cell r="AB282" t="str">
            <v>1995NV</v>
          </cell>
          <cell r="AC282">
            <v>0.11111111111111106</v>
          </cell>
          <cell r="AD282">
            <v>0</v>
          </cell>
          <cell r="AE282">
            <v>0</v>
          </cell>
          <cell r="AF282">
            <v>0.88888888899999996</v>
          </cell>
        </row>
        <row r="283">
          <cell r="B283" t="str">
            <v>1995NH</v>
          </cell>
          <cell r="C283">
            <v>4.7415953103058607E-2</v>
          </cell>
          <cell r="D283">
            <v>0.13302340719959393</v>
          </cell>
          <cell r="E283">
            <v>0.45681425009072874</v>
          </cell>
          <cell r="F283">
            <v>0.25452691188015947</v>
          </cell>
          <cell r="G283">
            <v>7.7692357434418657E-2</v>
          </cell>
          <cell r="H283">
            <v>3.0527120292040532E-2</v>
          </cell>
          <cell r="J283" t="str">
            <v>1995NH</v>
          </cell>
          <cell r="K283">
            <v>0.46549339247485255</v>
          </cell>
          <cell r="L283">
            <v>7.7692357434418657E-2</v>
          </cell>
          <cell r="M283">
            <v>0.45681425009072874</v>
          </cell>
          <cell r="U283" t="str">
            <v>1995NH</v>
          </cell>
          <cell r="V283">
            <v>0.77795798000000005</v>
          </cell>
          <cell r="W283">
            <v>9.7698490000000006E-3</v>
          </cell>
          <cell r="X283">
            <v>6.1283597000000002E-2</v>
          </cell>
          <cell r="Y283">
            <v>4.6850865999999998E-2</v>
          </cell>
          <cell r="Z283">
            <v>0.104137707</v>
          </cell>
          <cell r="AB283" t="str">
            <v>1995NH</v>
          </cell>
          <cell r="AC283">
            <v>0</v>
          </cell>
          <cell r="AD283">
            <v>0</v>
          </cell>
          <cell r="AE283">
            <v>2.7777777999999999E-2</v>
          </cell>
          <cell r="AF283">
            <v>0.97222222199999997</v>
          </cell>
        </row>
        <row r="284">
          <cell r="B284" t="str">
            <v>1995NJ</v>
          </cell>
          <cell r="C284">
            <v>4.2661112965054634E-2</v>
          </cell>
          <cell r="D284">
            <v>0.12404297546108367</v>
          </cell>
          <cell r="E284">
            <v>0.46068946229632007</v>
          </cell>
          <cell r="F284">
            <v>0.26114286239322354</v>
          </cell>
          <cell r="G284">
            <v>8.118798555152848E-2</v>
          </cell>
          <cell r="H284">
            <v>3.0275601332789601E-2</v>
          </cell>
          <cell r="J284" t="str">
            <v>1995NJ</v>
          </cell>
          <cell r="K284">
            <v>0.45812255215215147</v>
          </cell>
          <cell r="L284">
            <v>8.118798555152848E-2</v>
          </cell>
          <cell r="M284">
            <v>0.46068946229632007</v>
          </cell>
          <cell r="U284" t="str">
            <v>1995NJ</v>
          </cell>
          <cell r="V284">
            <v>0.48936369299999999</v>
          </cell>
          <cell r="W284">
            <v>2.2467997999999999E-2</v>
          </cell>
          <cell r="X284">
            <v>0.14093562100000001</v>
          </cell>
          <cell r="Y284">
            <v>0.10774426099999999</v>
          </cell>
          <cell r="Z284">
            <v>0.239488428</v>
          </cell>
          <cell r="AB284" t="str">
            <v>1995NJ</v>
          </cell>
          <cell r="AC284">
            <v>4.4444444444444439E-2</v>
          </cell>
          <cell r="AD284">
            <v>0.04</v>
          </cell>
          <cell r="AE284">
            <v>2.7777777999999999E-2</v>
          </cell>
          <cell r="AF284">
            <v>0.88777777800000002</v>
          </cell>
        </row>
        <row r="285">
          <cell r="B285" t="str">
            <v>1995NM</v>
          </cell>
          <cell r="C285">
            <v>0.60279048359353871</v>
          </cell>
          <cell r="D285">
            <v>0.20135047010624052</v>
          </cell>
          <cell r="E285">
            <v>9.6488857219274055E-2</v>
          </cell>
          <cell r="F285">
            <v>9.7176426636198049E-2</v>
          </cell>
          <cell r="G285">
            <v>0</v>
          </cell>
          <cell r="H285">
            <v>2.1937624447486937E-3</v>
          </cell>
          <cell r="J285" t="str">
            <v>1995NM</v>
          </cell>
          <cell r="K285">
            <v>0.90351114278072597</v>
          </cell>
          <cell r="L285">
            <v>0</v>
          </cell>
          <cell r="M285">
            <v>9.6488857219274055E-2</v>
          </cell>
          <cell r="U285" t="str">
            <v>1995NM</v>
          </cell>
          <cell r="V285">
            <v>1</v>
          </cell>
          <cell r="W285">
            <v>0</v>
          </cell>
          <cell r="X285">
            <v>0</v>
          </cell>
          <cell r="Y285">
            <v>0</v>
          </cell>
          <cell r="Z285">
            <v>0</v>
          </cell>
          <cell r="AB285" t="str">
            <v>1995NM</v>
          </cell>
          <cell r="AC285">
            <v>0.11111111111111106</v>
          </cell>
          <cell r="AD285">
            <v>4.4444444444444439E-2</v>
          </cell>
          <cell r="AE285">
            <v>0.42222222199999998</v>
          </cell>
          <cell r="AF285">
            <v>0.42222222199999998</v>
          </cell>
        </row>
        <row r="286">
          <cell r="B286" t="str">
            <v>1995NY</v>
          </cell>
          <cell r="C286">
            <v>6.2915267385922846E-2</v>
          </cell>
          <cell r="D286">
            <v>0.13453640067983053</v>
          </cell>
          <cell r="E286">
            <v>0.4598882396567649</v>
          </cell>
          <cell r="F286">
            <v>0.23797144118634422</v>
          </cell>
          <cell r="G286">
            <v>8.0465244127754895E-2</v>
          </cell>
          <cell r="H286">
            <v>2.4223406963382699E-2</v>
          </cell>
          <cell r="J286" t="str">
            <v>1995NY</v>
          </cell>
          <cell r="K286">
            <v>0.45964651621548025</v>
          </cell>
          <cell r="L286">
            <v>8.0465244127754895E-2</v>
          </cell>
          <cell r="M286">
            <v>0.4598882396567649</v>
          </cell>
          <cell r="U286" t="str">
            <v>1995NY</v>
          </cell>
          <cell r="V286">
            <v>0.35227437299999997</v>
          </cell>
          <cell r="W286">
            <v>3.1600804000000003E-2</v>
          </cell>
          <cell r="X286">
            <v>0.17541298999999999</v>
          </cell>
          <cell r="Y286">
            <v>0.126333852</v>
          </cell>
          <cell r="Z286">
            <v>0.31437798099999997</v>
          </cell>
          <cell r="AB286" t="str">
            <v>1995NY</v>
          </cell>
          <cell r="AC286">
            <v>4.4444444444444439E-2</v>
          </cell>
          <cell r="AD286">
            <v>0.13333333333333336</v>
          </cell>
          <cell r="AE286">
            <v>2.7777777999999999E-2</v>
          </cell>
          <cell r="AF286">
            <v>0.79444444400000003</v>
          </cell>
        </row>
        <row r="287">
          <cell r="B287" t="str">
            <v>1995NC</v>
          </cell>
          <cell r="C287">
            <v>3.1697502078971887E-2</v>
          </cell>
          <cell r="D287">
            <v>8.0969270069246355E-2</v>
          </cell>
          <cell r="E287">
            <v>0.13912499999999997</v>
          </cell>
          <cell r="F287">
            <v>0.10351819550623211</v>
          </cell>
          <cell r="G287">
            <v>0.629</v>
          </cell>
          <cell r="H287">
            <v>1.5690032345549658E-2</v>
          </cell>
          <cell r="J287" t="str">
            <v>1995NC</v>
          </cell>
          <cell r="K287">
            <v>0.23187500000000005</v>
          </cell>
          <cell r="L287">
            <v>0.629</v>
          </cell>
          <cell r="M287">
            <v>0.13912499999999997</v>
          </cell>
          <cell r="U287" t="str">
            <v>1995NC</v>
          </cell>
          <cell r="V287">
            <v>9.5701559999999998E-3</v>
          </cell>
          <cell r="W287">
            <v>3.7219395000000002E-2</v>
          </cell>
          <cell r="X287">
            <v>7.2579556000000003E-2</v>
          </cell>
          <cell r="Y287">
            <v>0.56057121499999996</v>
          </cell>
          <cell r="Z287">
            <v>0.32005967899999999</v>
          </cell>
          <cell r="AB287" t="str">
            <v>1995NC</v>
          </cell>
          <cell r="AC287">
            <v>0.22222222222222213</v>
          </cell>
          <cell r="AD287">
            <v>2.222222222222222E-2</v>
          </cell>
          <cell r="AE287">
            <v>0.36611111099999999</v>
          </cell>
          <cell r="AF287">
            <v>0.389444444</v>
          </cell>
        </row>
        <row r="288">
          <cell r="B288" t="str">
            <v>1995ND</v>
          </cell>
          <cell r="C288">
            <v>3.3295509844232969E-2</v>
          </cell>
          <cell r="D288">
            <v>0.12330548616066851</v>
          </cell>
          <cell r="E288">
            <v>0.21651182115527931</v>
          </cell>
          <cell r="F288">
            <v>0.46120029137159502</v>
          </cell>
          <cell r="G288">
            <v>0.12818361550984195</v>
          </cell>
          <cell r="H288">
            <v>3.7503275958382341E-2</v>
          </cell>
          <cell r="J288" t="str">
            <v>1995ND</v>
          </cell>
          <cell r="K288">
            <v>0.65530456333487874</v>
          </cell>
          <cell r="L288">
            <v>0.12818361550984195</v>
          </cell>
          <cell r="M288">
            <v>0.21651182115527931</v>
          </cell>
          <cell r="U288" t="str">
            <v>1995ND</v>
          </cell>
          <cell r="V288">
            <v>0.178422996</v>
          </cell>
          <cell r="W288">
            <v>3.9919522999999998E-2</v>
          </cell>
          <cell r="X288">
            <v>0.22267094100000001</v>
          </cell>
          <cell r="Y288">
            <v>0.16078563200000001</v>
          </cell>
          <cell r="Z288">
            <v>0.39820090899999999</v>
          </cell>
          <cell r="AB288" t="str">
            <v>1995ND</v>
          </cell>
          <cell r="AC288">
            <v>0</v>
          </cell>
          <cell r="AD288">
            <v>2.222222222222222E-2</v>
          </cell>
          <cell r="AE288">
            <v>3.3333333E-2</v>
          </cell>
          <cell r="AF288">
            <v>0.94444444400000005</v>
          </cell>
        </row>
        <row r="289">
          <cell r="B289" t="str">
            <v>1995OH</v>
          </cell>
          <cell r="C289">
            <v>5.2043073255284733E-2</v>
          </cell>
          <cell r="D289">
            <v>0.16310887499697335</v>
          </cell>
          <cell r="E289">
            <v>0.18170507555939808</v>
          </cell>
          <cell r="F289">
            <v>0.45205456142777994</v>
          </cell>
          <cell r="G289">
            <v>0.10757663677397199</v>
          </cell>
          <cell r="H289">
            <v>4.351177798659199E-2</v>
          </cell>
          <cell r="J289" t="str">
            <v>1995OH</v>
          </cell>
          <cell r="K289">
            <v>0.71071828766662992</v>
          </cell>
          <cell r="L289">
            <v>0.10757663677397199</v>
          </cell>
          <cell r="M289">
            <v>0.18170507555939808</v>
          </cell>
          <cell r="U289" t="str">
            <v>1995OH</v>
          </cell>
          <cell r="V289">
            <v>0.12562456299999999</v>
          </cell>
          <cell r="W289">
            <v>3.9521872999999999E-2</v>
          </cell>
          <cell r="X289">
            <v>0.245262696</v>
          </cell>
          <cell r="Y289">
            <v>0.16166977900000001</v>
          </cell>
          <cell r="Z289">
            <v>0.42792108899999998</v>
          </cell>
          <cell r="AB289" t="str">
            <v>1995OH</v>
          </cell>
          <cell r="AC289">
            <v>0</v>
          </cell>
          <cell r="AD289">
            <v>0</v>
          </cell>
          <cell r="AE289">
            <v>0</v>
          </cell>
          <cell r="AF289">
            <v>1</v>
          </cell>
        </row>
        <row r="290">
          <cell r="B290" t="str">
            <v>1995OK</v>
          </cell>
          <cell r="C290">
            <v>0.29726614653070943</v>
          </cell>
          <cell r="D290">
            <v>0.23171049527067553</v>
          </cell>
          <cell r="E290">
            <v>0.05</v>
          </cell>
          <cell r="F290">
            <v>0.33043250788220735</v>
          </cell>
          <cell r="G290">
            <v>0</v>
          </cell>
          <cell r="H290">
            <v>9.0590850316407567E-2</v>
          </cell>
          <cell r="J290" t="str">
            <v>1995OK</v>
          </cell>
          <cell r="K290">
            <v>0.95</v>
          </cell>
          <cell r="L290">
            <v>0</v>
          </cell>
          <cell r="M290">
            <v>0.05</v>
          </cell>
          <cell r="U290" t="str">
            <v>1995OK</v>
          </cell>
          <cell r="V290">
            <v>0.118613093</v>
          </cell>
          <cell r="W290">
            <v>3.3578137000000001E-2</v>
          </cell>
          <cell r="X290">
            <v>7.9000213E-2</v>
          </cell>
          <cell r="Y290">
            <v>0.47361795800000001</v>
          </cell>
          <cell r="Z290">
            <v>0.295190599</v>
          </cell>
          <cell r="AB290" t="str">
            <v>1995OK</v>
          </cell>
          <cell r="AC290">
            <v>0</v>
          </cell>
          <cell r="AD290">
            <v>8.8888888888888878E-2</v>
          </cell>
          <cell r="AE290">
            <v>0.33333333300000001</v>
          </cell>
          <cell r="AF290">
            <v>0.57777777799999996</v>
          </cell>
        </row>
        <row r="291">
          <cell r="B291" t="str">
            <v>1995OR</v>
          </cell>
          <cell r="C291">
            <v>0.3188255557425933</v>
          </cell>
          <cell r="D291">
            <v>0.19795125018381951</v>
          </cell>
          <cell r="E291">
            <v>0</v>
          </cell>
          <cell r="F291">
            <v>0.13298528902416817</v>
          </cell>
          <cell r="G291">
            <v>0.32112896662401996</v>
          </cell>
          <cell r="H291">
            <v>2.9108938425399106E-2</v>
          </cell>
          <cell r="J291" t="str">
            <v>1995OR</v>
          </cell>
          <cell r="K291">
            <v>0.67887103337597998</v>
          </cell>
          <cell r="L291">
            <v>0.32112896662401996</v>
          </cell>
          <cell r="M291">
            <v>0</v>
          </cell>
          <cell r="U291" t="str">
            <v>1995OR</v>
          </cell>
          <cell r="V291">
            <v>0.59299415799999999</v>
          </cell>
          <cell r="W291">
            <v>1.7908257E-2</v>
          </cell>
          <cell r="X291">
            <v>0.112333612</v>
          </cell>
          <cell r="Y291">
            <v>8.5878232999999998E-2</v>
          </cell>
          <cell r="Z291">
            <v>0.19088574</v>
          </cell>
          <cell r="AB291" t="str">
            <v>1995OR</v>
          </cell>
          <cell r="AC291">
            <v>0</v>
          </cell>
          <cell r="AD291">
            <v>0.04</v>
          </cell>
          <cell r="AE291">
            <v>0.18777777800000001</v>
          </cell>
          <cell r="AF291">
            <v>0.77222222200000001</v>
          </cell>
        </row>
        <row r="292">
          <cell r="B292" t="str">
            <v>1995PA</v>
          </cell>
          <cell r="C292">
            <v>3.0470915566540628E-2</v>
          </cell>
          <cell r="D292">
            <v>9.3735730774673787E-2</v>
          </cell>
          <cell r="E292">
            <v>0.48019321642753099</v>
          </cell>
          <cell r="F292">
            <v>0.27253243023198787</v>
          </cell>
          <cell r="G292">
            <v>9.8781311468465013E-2</v>
          </cell>
          <cell r="H292">
            <v>2.4286395530801821E-2</v>
          </cell>
          <cell r="J292" t="str">
            <v>1995PA</v>
          </cell>
          <cell r="K292">
            <v>0.42102547210400398</v>
          </cell>
          <cell r="L292">
            <v>9.8781311468465013E-2</v>
          </cell>
          <cell r="M292">
            <v>0.48019321642753099</v>
          </cell>
          <cell r="U292" t="str">
            <v>1995PA</v>
          </cell>
          <cell r="V292">
            <v>7.9906310999999994E-2</v>
          </cell>
          <cell r="W292">
            <v>4.6288489000000002E-2</v>
          </cell>
          <cell r="X292">
            <v>0.24765779499999999</v>
          </cell>
          <cell r="Y292">
            <v>0.17479188100000001</v>
          </cell>
          <cell r="Z292">
            <v>0.45135552499999998</v>
          </cell>
          <cell r="AB292" t="str">
            <v>1995PA</v>
          </cell>
          <cell r="AC292">
            <v>0.13333333333333336</v>
          </cell>
          <cell r="AD292">
            <v>2.222222222222222E-2</v>
          </cell>
          <cell r="AE292">
            <v>0</v>
          </cell>
          <cell r="AF292">
            <v>0.84444444399999996</v>
          </cell>
        </row>
        <row r="293">
          <cell r="B293" t="str">
            <v>1995RI</v>
          </cell>
          <cell r="C293">
            <v>1.7824377725665159E-2</v>
          </cell>
          <cell r="D293">
            <v>6.9116005830637456E-2</v>
          </cell>
          <cell r="E293">
            <v>0.49646378671071961</v>
          </cell>
          <cell r="F293">
            <v>0.28167186225395452</v>
          </cell>
          <cell r="G293">
            <v>0.11345814977973565</v>
          </cell>
          <cell r="H293">
            <v>2.1465817699287616E-2</v>
          </cell>
          <cell r="J293" t="str">
            <v>1995RI</v>
          </cell>
          <cell r="K293">
            <v>0.39007806350954477</v>
          </cell>
          <cell r="L293">
            <v>0.11345814977973565</v>
          </cell>
          <cell r="M293">
            <v>0.49646378671071961</v>
          </cell>
          <cell r="U293" t="str">
            <v>1995RI</v>
          </cell>
          <cell r="V293">
            <v>0.366634081</v>
          </cell>
          <cell r="W293">
            <v>2.78681E-2</v>
          </cell>
          <cell r="X293">
            <v>0.174808994</v>
          </cell>
          <cell r="Y293">
            <v>0.13364020900000001</v>
          </cell>
          <cell r="Z293">
            <v>0.29704861599999999</v>
          </cell>
          <cell r="AB293" t="str">
            <v>1995RI</v>
          </cell>
          <cell r="AC293">
            <v>4.4444444444444439E-2</v>
          </cell>
          <cell r="AD293">
            <v>0.04</v>
          </cell>
          <cell r="AE293">
            <v>2.7777777999999999E-2</v>
          </cell>
          <cell r="AF293">
            <v>0.88777777800000002</v>
          </cell>
        </row>
        <row r="294">
          <cell r="B294" t="str">
            <v>1995SC</v>
          </cell>
          <cell r="C294">
            <v>9.4573716652111617E-2</v>
          </cell>
          <cell r="D294">
            <v>7.2299867199361087E-2</v>
          </cell>
          <cell r="E294">
            <v>0.14234875716567988</v>
          </cell>
          <cell r="F294">
            <v>7.7206801762639582E-2</v>
          </cell>
          <cell r="G294">
            <v>0.60987573223068015</v>
          </cell>
          <cell r="H294">
            <v>3.6951249895277516E-3</v>
          </cell>
          <cell r="J294" t="str">
            <v>1995SC</v>
          </cell>
          <cell r="K294">
            <v>0.24777551060364</v>
          </cell>
          <cell r="L294">
            <v>0.60987573223068015</v>
          </cell>
          <cell r="M294">
            <v>0.14234875716567988</v>
          </cell>
          <cell r="U294" t="str">
            <v>1995SC</v>
          </cell>
          <cell r="V294">
            <v>0.12385483799999999</v>
          </cell>
          <cell r="W294">
            <v>3.4929605000000002E-2</v>
          </cell>
          <cell r="X294">
            <v>0.12750281599999999</v>
          </cell>
          <cell r="Y294">
            <v>0.38504412799999999</v>
          </cell>
          <cell r="Z294">
            <v>0.32866861200000003</v>
          </cell>
          <cell r="AB294" t="str">
            <v>1995SC</v>
          </cell>
          <cell r="AC294">
            <v>4.4444444444444439E-2</v>
          </cell>
          <cell r="AD294">
            <v>0</v>
          </cell>
          <cell r="AE294">
            <v>0.51111111099999995</v>
          </cell>
          <cell r="AF294">
            <v>0.44444444399999999</v>
          </cell>
        </row>
        <row r="295">
          <cell r="B295" t="str">
            <v>1995SD</v>
          </cell>
          <cell r="C295">
            <v>4.8594772850563309E-2</v>
          </cell>
          <cell r="D295">
            <v>0.15689747689457842</v>
          </cell>
          <cell r="E295">
            <v>0.18677183388667118</v>
          </cell>
          <cell r="F295">
            <v>0.45480077034154992</v>
          </cell>
          <cell r="G295">
            <v>0.11057635936574063</v>
          </cell>
          <cell r="H295">
            <v>4.2358786660896465E-2</v>
          </cell>
          <cell r="J295" t="str">
            <v>1995SD</v>
          </cell>
          <cell r="K295">
            <v>0.7026518067475882</v>
          </cell>
          <cell r="L295">
            <v>0.11057635936574063</v>
          </cell>
          <cell r="M295">
            <v>0.18677183388667118</v>
          </cell>
          <cell r="U295" t="str">
            <v>1995SD</v>
          </cell>
          <cell r="V295">
            <v>0.10539558</v>
          </cell>
          <cell r="W295">
            <v>4.3978656999999997E-2</v>
          </cell>
          <cell r="X295">
            <v>0.241910086</v>
          </cell>
          <cell r="Y295">
            <v>0.17337465699999999</v>
          </cell>
          <cell r="Z295">
            <v>0.43534102000000002</v>
          </cell>
          <cell r="AB295" t="str">
            <v>1995SD</v>
          </cell>
          <cell r="AC295">
            <v>0</v>
          </cell>
          <cell r="AD295">
            <v>0</v>
          </cell>
          <cell r="AE295">
            <v>0.1</v>
          </cell>
          <cell r="AF295">
            <v>0.9</v>
          </cell>
        </row>
        <row r="296">
          <cell r="B296" t="str">
            <v>1995TN</v>
          </cell>
          <cell r="C296">
            <v>2.4862913139473728E-2</v>
          </cell>
          <cell r="D296">
            <v>6.7774728227119677E-2</v>
          </cell>
          <cell r="E296">
            <v>0.14022093797470847</v>
          </cell>
          <cell r="F296">
            <v>0.12890311677192101</v>
          </cell>
          <cell r="G296">
            <v>0.62249857628545302</v>
          </cell>
          <cell r="H296">
            <v>1.5739727601324013E-2</v>
          </cell>
          <cell r="J296" t="str">
            <v>1995TN</v>
          </cell>
          <cell r="K296">
            <v>0.23728048573983851</v>
          </cell>
          <cell r="L296">
            <v>0.62249857628545302</v>
          </cell>
          <cell r="M296">
            <v>0.14022093797470847</v>
          </cell>
          <cell r="U296" t="str">
            <v>1995TN</v>
          </cell>
          <cell r="V296">
            <v>0.17139569399999999</v>
          </cell>
          <cell r="W296">
            <v>3.4238818999999997E-2</v>
          </cell>
          <cell r="X296">
            <v>0.15861344999999999</v>
          </cell>
          <cell r="Y296">
            <v>0.297557128</v>
          </cell>
          <cell r="Z296">
            <v>0.33819490899999999</v>
          </cell>
          <cell r="AB296" t="str">
            <v>1995TN</v>
          </cell>
          <cell r="AC296">
            <v>0</v>
          </cell>
          <cell r="AD296">
            <v>0.4</v>
          </cell>
          <cell r="AE296">
            <v>5.8888889E-2</v>
          </cell>
          <cell r="AF296">
            <v>0.54111111099999998</v>
          </cell>
        </row>
        <row r="297">
          <cell r="B297" t="str">
            <v>1995TX</v>
          </cell>
          <cell r="C297">
            <v>0.46613869479909126</v>
          </cell>
          <cell r="D297">
            <v>0.25946919050522343</v>
          </cell>
          <cell r="E297">
            <v>6.7911010227762345E-2</v>
          </cell>
          <cell r="F297">
            <v>0.17184273627380842</v>
          </cell>
          <cell r="G297">
            <v>0</v>
          </cell>
          <cell r="H297">
            <v>3.463836819411472E-2</v>
          </cell>
          <cell r="J297" t="str">
            <v>1995TX</v>
          </cell>
          <cell r="K297">
            <v>0.93208898977223764</v>
          </cell>
          <cell r="L297">
            <v>0</v>
          </cell>
          <cell r="M297">
            <v>6.7911010227762345E-2</v>
          </cell>
          <cell r="U297" t="str">
            <v>1995TX</v>
          </cell>
          <cell r="V297">
            <v>0.17804929999999999</v>
          </cell>
          <cell r="W297">
            <v>3.2046853E-2</v>
          </cell>
          <cell r="X297">
            <v>9.6816376999999995E-2</v>
          </cell>
          <cell r="Y297">
            <v>0.401152232</v>
          </cell>
          <cell r="Z297">
            <v>0.29193523799999999</v>
          </cell>
          <cell r="AB297" t="str">
            <v>1995TX</v>
          </cell>
          <cell r="AC297">
            <v>0.22222222222222213</v>
          </cell>
          <cell r="AD297">
            <v>0</v>
          </cell>
          <cell r="AE297">
            <v>0.24444444400000001</v>
          </cell>
          <cell r="AF297">
            <v>0.53333333299999997</v>
          </cell>
        </row>
        <row r="298">
          <cell r="B298" t="str">
            <v>1995UT</v>
          </cell>
          <cell r="C298">
            <v>0.38262227057543757</v>
          </cell>
          <cell r="D298">
            <v>0.27489904455470221</v>
          </cell>
          <cell r="E298">
            <v>3.2998636289208017E-2</v>
          </cell>
          <cell r="F298">
            <v>0.23195032456710743</v>
          </cell>
          <cell r="G298">
            <v>1.9536506061769918E-2</v>
          </cell>
          <cell r="H298">
            <v>5.7993217951774936E-2</v>
          </cell>
          <cell r="J298" t="str">
            <v>1995UT</v>
          </cell>
          <cell r="K298">
            <v>0.94746485764902211</v>
          </cell>
          <cell r="L298">
            <v>1.9536506061769918E-2</v>
          </cell>
          <cell r="M298">
            <v>3.2998636289208017E-2</v>
          </cell>
          <cell r="U298" t="str">
            <v>1995UT</v>
          </cell>
          <cell r="V298">
            <v>0.233650671</v>
          </cell>
          <cell r="W298">
            <v>4.0445873E-2</v>
          </cell>
          <cell r="X298">
            <v>0.20422536999999999</v>
          </cell>
          <cell r="Y298">
            <v>0.139278034</v>
          </cell>
          <cell r="Z298">
            <v>0.38240005199999999</v>
          </cell>
          <cell r="AB298" t="str">
            <v>1995UT</v>
          </cell>
          <cell r="AC298">
            <v>0.22222222222222213</v>
          </cell>
          <cell r="AD298">
            <v>0</v>
          </cell>
          <cell r="AE298">
            <v>0.33333333300000001</v>
          </cell>
          <cell r="AF298">
            <v>0.44444444399999999</v>
          </cell>
        </row>
        <row r="299">
          <cell r="B299" t="str">
            <v>1995VT</v>
          </cell>
          <cell r="C299">
            <v>5.4342256397843208E-2</v>
          </cell>
          <cell r="D299">
            <v>0.12906789204417016</v>
          </cell>
          <cell r="E299">
            <v>0.46046266881440018</v>
          </cell>
          <cell r="F299">
            <v>0.24833785035300818</v>
          </cell>
          <cell r="G299">
            <v>8.0983406903930286E-2</v>
          </cell>
          <cell r="H299">
            <v>2.680592548664798E-2</v>
          </cell>
          <cell r="J299" t="str">
            <v>1995VT</v>
          </cell>
          <cell r="K299">
            <v>0.45855392428166952</v>
          </cell>
          <cell r="L299">
            <v>8.0983406903930286E-2</v>
          </cell>
          <cell r="M299">
            <v>0.46046266881440018</v>
          </cell>
          <cell r="U299" t="str">
            <v>1995VT</v>
          </cell>
          <cell r="V299">
            <v>1</v>
          </cell>
          <cell r="W299">
            <v>0</v>
          </cell>
          <cell r="X299">
            <v>0</v>
          </cell>
          <cell r="Y299">
            <v>0</v>
          </cell>
          <cell r="Z299">
            <v>0</v>
          </cell>
          <cell r="AB299" t="str">
            <v>1995VT</v>
          </cell>
          <cell r="AC299">
            <v>4.4444444444444439E-2</v>
          </cell>
          <cell r="AD299">
            <v>0.04</v>
          </cell>
          <cell r="AE299">
            <v>2.7777777999999999E-2</v>
          </cell>
          <cell r="AF299">
            <v>0.88777777800000002</v>
          </cell>
        </row>
        <row r="300">
          <cell r="B300" t="str">
            <v>1995VA</v>
          </cell>
          <cell r="C300">
            <v>2.6972795453921714E-2</v>
          </cell>
          <cell r="D300">
            <v>7.2170834859776767E-2</v>
          </cell>
          <cell r="E300">
            <v>0.14048787875000887</v>
          </cell>
          <cell r="F300">
            <v>0.12261061824625699</v>
          </cell>
          <cell r="G300">
            <v>0.62091500574864489</v>
          </cell>
          <cell r="H300">
            <v>1.6842866941390668E-2</v>
          </cell>
          <cell r="J300" t="str">
            <v>1995VA</v>
          </cell>
          <cell r="K300">
            <v>0.23859711550134621</v>
          </cell>
          <cell r="L300">
            <v>0.62091500574864489</v>
          </cell>
          <cell r="M300">
            <v>0.14048787875000887</v>
          </cell>
          <cell r="U300" t="str">
            <v>1995VA</v>
          </cell>
          <cell r="V300">
            <v>7.0514012000000001E-2</v>
          </cell>
          <cell r="W300">
            <v>3.5834531000000003E-2</v>
          </cell>
          <cell r="X300">
            <v>9.6696647999999996E-2</v>
          </cell>
          <cell r="Y300">
            <v>0.476024958</v>
          </cell>
          <cell r="Z300">
            <v>0.32092985099999999</v>
          </cell>
          <cell r="AB300" t="str">
            <v>1995VA</v>
          </cell>
          <cell r="AC300">
            <v>0.31111111111111117</v>
          </cell>
          <cell r="AD300">
            <v>0</v>
          </cell>
          <cell r="AE300">
            <v>2.7777777999999999E-2</v>
          </cell>
          <cell r="AF300">
            <v>0.66111111099999997</v>
          </cell>
        </row>
        <row r="301">
          <cell r="B301" t="str">
            <v>1995WA</v>
          </cell>
          <cell r="C301">
            <v>0.3958171760011997</v>
          </cell>
          <cell r="D301">
            <v>0.2136499072604324</v>
          </cell>
          <cell r="E301">
            <v>0</v>
          </cell>
          <cell r="F301">
            <v>0.11716465814930364</v>
          </cell>
          <cell r="G301">
            <v>0.25279739727066103</v>
          </cell>
          <cell r="H301">
            <v>2.0570861318403265E-2</v>
          </cell>
          <cell r="J301" t="str">
            <v>1995WA</v>
          </cell>
          <cell r="K301">
            <v>0.74720260272933903</v>
          </cell>
          <cell r="L301">
            <v>0.25279739727066103</v>
          </cell>
          <cell r="M301">
            <v>0</v>
          </cell>
          <cell r="U301" t="str">
            <v>1995WA</v>
          </cell>
          <cell r="V301">
            <v>0.30798025899999998</v>
          </cell>
          <cell r="W301">
            <v>3.3567102000000001E-2</v>
          </cell>
          <cell r="X301">
            <v>0.18761936200000001</v>
          </cell>
          <cell r="Y301">
            <v>0.13562205399999999</v>
          </cell>
          <cell r="Z301">
            <v>0.33521122199999998</v>
          </cell>
          <cell r="AB301" t="str">
            <v>1995WA</v>
          </cell>
          <cell r="AC301">
            <v>0</v>
          </cell>
          <cell r="AD301">
            <v>4.4444444444444439E-2</v>
          </cell>
          <cell r="AE301">
            <v>6.6666666999999999E-2</v>
          </cell>
          <cell r="AF301">
            <v>0.88888888899999996</v>
          </cell>
        </row>
        <row r="302">
          <cell r="B302" t="str">
            <v>1995WV</v>
          </cell>
          <cell r="C302">
            <v>3.7358086557080471E-2</v>
          </cell>
          <cell r="D302">
            <v>0.11162572967334437</v>
          </cell>
          <cell r="E302">
            <v>0.46868542100153177</v>
          </cell>
          <cell r="F302">
            <v>0.26628133485878253</v>
          </cell>
          <cell r="G302">
            <v>8.8400725548801115E-2</v>
          </cell>
          <cell r="H302">
            <v>2.7648702360459805E-2</v>
          </cell>
          <cell r="J302" t="str">
            <v>1995WV</v>
          </cell>
          <cell r="K302">
            <v>0.44291385344966716</v>
          </cell>
          <cell r="L302">
            <v>8.8400725548801115E-2</v>
          </cell>
          <cell r="M302">
            <v>0.46868542100153177</v>
          </cell>
          <cell r="U302" t="str">
            <v>1995WV</v>
          </cell>
          <cell r="V302">
            <v>0.52709341799999998</v>
          </cell>
          <cell r="W302">
            <v>2.0807889999999999E-2</v>
          </cell>
          <cell r="X302">
            <v>0.130522217</v>
          </cell>
          <cell r="Y302">
            <v>9.9783288999999997E-2</v>
          </cell>
          <cell r="Z302">
            <v>0.221793187</v>
          </cell>
          <cell r="AB302" t="str">
            <v>1995WV</v>
          </cell>
          <cell r="AC302">
            <v>0.44444444444444425</v>
          </cell>
          <cell r="AD302">
            <v>0</v>
          </cell>
          <cell r="AE302">
            <v>2.7777777999999999E-2</v>
          </cell>
          <cell r="AF302">
            <v>0.52777777800000003</v>
          </cell>
        </row>
        <row r="303">
          <cell r="B303" t="str">
            <v>1995WI</v>
          </cell>
          <cell r="C303">
            <v>5.2580217028482298E-2</v>
          </cell>
          <cell r="D303">
            <v>0.15605634805878651</v>
          </cell>
          <cell r="E303">
            <v>0.1888525775456614</v>
          </cell>
          <cell r="F303">
            <v>0.45256306792033818</v>
          </cell>
          <cell r="G303">
            <v>0.11180824242753087</v>
          </cell>
          <cell r="H303">
            <v>3.8139547019200588E-2</v>
          </cell>
          <cell r="J303" t="str">
            <v>1995WI</v>
          </cell>
          <cell r="K303">
            <v>0.69933918002680773</v>
          </cell>
          <cell r="L303">
            <v>0.11180824242753087</v>
          </cell>
          <cell r="M303">
            <v>0.1888525775456614</v>
          </cell>
          <cell r="U303" t="str">
            <v>1995WI</v>
          </cell>
          <cell r="V303">
            <v>0.16083313399999999</v>
          </cell>
          <cell r="W303">
            <v>3.9587445999999998E-2</v>
          </cell>
          <cell r="X303">
            <v>0.22872394300000001</v>
          </cell>
          <cell r="Y303">
            <v>0.16818386299999999</v>
          </cell>
          <cell r="Z303">
            <v>0.40267161400000001</v>
          </cell>
          <cell r="AB303" t="str">
            <v>1995WI</v>
          </cell>
          <cell r="AC303">
            <v>0.17777777777777776</v>
          </cell>
          <cell r="AD303">
            <v>2.222222222222222E-2</v>
          </cell>
          <cell r="AE303">
            <v>1.1111111E-2</v>
          </cell>
          <cell r="AF303">
            <v>0.78888888899999998</v>
          </cell>
        </row>
        <row r="304">
          <cell r="B304" t="str">
            <v>1995WY</v>
          </cell>
          <cell r="C304">
            <v>0.26387068821297871</v>
          </cell>
          <cell r="D304">
            <v>0.2071242154568112</v>
          </cell>
          <cell r="E304">
            <v>0.14793796951392627</v>
          </cell>
          <cell r="F304">
            <v>0.23146335565953552</v>
          </cell>
          <cell r="G304">
            <v>8.7585166030632947E-2</v>
          </cell>
          <cell r="H304">
            <v>6.2018605126115331E-2</v>
          </cell>
          <cell r="J304" t="str">
            <v>1995WY</v>
          </cell>
          <cell r="K304">
            <v>0.76447686445544072</v>
          </cell>
          <cell r="L304">
            <v>8.7585166030632947E-2</v>
          </cell>
          <cell r="M304">
            <v>0.14793796951392627</v>
          </cell>
          <cell r="U304" t="str">
            <v>1995WY</v>
          </cell>
          <cell r="V304">
            <v>0.189725804</v>
          </cell>
          <cell r="W304">
            <v>4.2165365000000003E-2</v>
          </cell>
          <cell r="X304">
            <v>0.21657960300000001</v>
          </cell>
          <cell r="Y304">
            <v>0.14925685499999999</v>
          </cell>
          <cell r="Z304">
            <v>0.40227237300000002</v>
          </cell>
          <cell r="AB304" t="str">
            <v>1995WY</v>
          </cell>
          <cell r="AC304">
            <v>0</v>
          </cell>
          <cell r="AD304">
            <v>3.5555555555555549E-2</v>
          </cell>
          <cell r="AE304">
            <v>0.35111111099999998</v>
          </cell>
          <cell r="AF304">
            <v>0.61333333300000004</v>
          </cell>
        </row>
        <row r="305">
          <cell r="B305" t="str">
            <v>1996AL</v>
          </cell>
          <cell r="C305">
            <v>8.855834377255796E-2</v>
          </cell>
          <cell r="D305">
            <v>6.8074117087840613E-2</v>
          </cell>
          <cell r="E305">
            <v>0.14149089079068944</v>
          </cell>
          <cell r="F305">
            <v>8.2878180216705649E-2</v>
          </cell>
          <cell r="G305">
            <v>0.61496484577814925</v>
          </cell>
          <cell r="H305">
            <v>4.0336223540569649E-3</v>
          </cell>
          <cell r="J305" t="str">
            <v>1996AL</v>
          </cell>
          <cell r="K305">
            <v>0.24354426343116131</v>
          </cell>
          <cell r="L305">
            <v>0.61496484577814925</v>
          </cell>
          <cell r="M305">
            <v>0.14149089079068944</v>
          </cell>
          <cell r="U305" t="str">
            <v>1996AL</v>
          </cell>
          <cell r="V305">
            <v>0.12013805399999999</v>
          </cell>
          <cell r="W305">
            <v>3.5034871000000002E-2</v>
          </cell>
          <cell r="X305">
            <v>0.126688882</v>
          </cell>
          <cell r="Y305">
            <v>0.38905004300000001</v>
          </cell>
          <cell r="Z305">
            <v>0.329088151</v>
          </cell>
          <cell r="AB305" t="str">
            <v>1996AL</v>
          </cell>
          <cell r="AC305">
            <v>0</v>
          </cell>
          <cell r="AD305">
            <v>3.3333333333333326E-2</v>
          </cell>
          <cell r="AE305">
            <v>0.54600000000000004</v>
          </cell>
          <cell r="AF305">
            <v>0.42066666699999999</v>
          </cell>
        </row>
        <row r="306">
          <cell r="B306" t="str">
            <v>1996AK</v>
          </cell>
          <cell r="C306">
            <v>0.19944627060727221</v>
          </cell>
          <cell r="D306">
            <v>0.15640878602768005</v>
          </cell>
          <cell r="E306">
            <v>0.26018248865355526</v>
          </cell>
          <cell r="F306">
            <v>0.18119140805774953</v>
          </cell>
          <cell r="G306">
            <v>0.15403838880484116</v>
          </cell>
          <cell r="H306">
            <v>4.8732657848901739E-2</v>
          </cell>
          <cell r="J306" t="str">
            <v>1996AK</v>
          </cell>
          <cell r="K306">
            <v>0.58577912254160358</v>
          </cell>
          <cell r="L306">
            <v>0.15403838880484116</v>
          </cell>
          <cell r="M306">
            <v>0.26018248865355526</v>
          </cell>
          <cell r="U306" t="str">
            <v>1996AK</v>
          </cell>
          <cell r="V306">
            <v>1</v>
          </cell>
          <cell r="W306">
            <v>0</v>
          </cell>
          <cell r="X306">
            <v>0</v>
          </cell>
          <cell r="Y306">
            <v>0</v>
          </cell>
          <cell r="Z306">
            <v>0</v>
          </cell>
          <cell r="AB306" t="str">
            <v>1996AK</v>
          </cell>
          <cell r="AC306">
            <v>3.3333333333333326E-2</v>
          </cell>
          <cell r="AD306">
            <v>0.04</v>
          </cell>
          <cell r="AE306">
            <v>0.21666666700000001</v>
          </cell>
          <cell r="AF306">
            <v>0.71</v>
          </cell>
        </row>
        <row r="307">
          <cell r="B307" t="str">
            <v>1996AZ</v>
          </cell>
          <cell r="C307">
            <v>0.6056534205166707</v>
          </cell>
          <cell r="D307">
            <v>0.20450547404912858</v>
          </cell>
          <cell r="E307">
            <v>9.6353301451034531E-2</v>
          </cell>
          <cell r="F307">
            <v>9.26769870746805E-2</v>
          </cell>
          <cell r="G307">
            <v>0</v>
          </cell>
          <cell r="H307">
            <v>8.1081690848561975E-4</v>
          </cell>
          <cell r="J307" t="str">
            <v>1996AZ</v>
          </cell>
          <cell r="K307">
            <v>0.90364669854896551</v>
          </cell>
          <cell r="L307">
            <v>0</v>
          </cell>
          <cell r="M307">
            <v>9.6353301451034531E-2</v>
          </cell>
          <cell r="U307" t="str">
            <v>1996AZ</v>
          </cell>
          <cell r="V307">
            <v>5.6963766999999998E-2</v>
          </cell>
          <cell r="W307">
            <v>3.6723157999999999E-2</v>
          </cell>
          <cell r="X307">
            <v>0.109668526</v>
          </cell>
          <cell r="Y307">
            <v>0.46271759699999998</v>
          </cell>
          <cell r="Z307">
            <v>0.33392695100000003</v>
          </cell>
          <cell r="AB307" t="str">
            <v>1996AZ</v>
          </cell>
          <cell r="AC307">
            <v>0</v>
          </cell>
          <cell r="AD307">
            <v>0</v>
          </cell>
          <cell r="AE307">
            <v>0.4</v>
          </cell>
          <cell r="AF307">
            <v>0.6</v>
          </cell>
        </row>
        <row r="308">
          <cell r="B308" t="str">
            <v>1996AR</v>
          </cell>
          <cell r="C308">
            <v>5.9709969401415555E-2</v>
          </cell>
          <cell r="D308">
            <v>4.6958129256755708E-2</v>
          </cell>
          <cell r="E308">
            <v>0.13912499999999997</v>
          </cell>
          <cell r="F308">
            <v>0.11907079501994509</v>
          </cell>
          <cell r="G308">
            <v>0.629</v>
          </cell>
          <cell r="H308">
            <v>6.1361063218836843E-3</v>
          </cell>
          <cell r="J308" t="str">
            <v>1996AR</v>
          </cell>
          <cell r="K308">
            <v>0.23187500000000005</v>
          </cell>
          <cell r="L308">
            <v>0.629</v>
          </cell>
          <cell r="M308">
            <v>0.13912499999999997</v>
          </cell>
          <cell r="U308" t="str">
            <v>1996AR</v>
          </cell>
          <cell r="V308">
            <v>2.6551559999999998E-2</v>
          </cell>
          <cell r="W308">
            <v>3.7680252999999997E-2</v>
          </cell>
          <cell r="X308">
            <v>0.10603223000000001</v>
          </cell>
          <cell r="Y308">
            <v>0.49020079599999999</v>
          </cell>
          <cell r="Z308">
            <v>0.33953516099999997</v>
          </cell>
          <cell r="AB308" t="str">
            <v>1996AR</v>
          </cell>
          <cell r="AC308">
            <v>0</v>
          </cell>
          <cell r="AD308">
            <v>0.2</v>
          </cell>
          <cell r="AE308">
            <v>0.133333333</v>
          </cell>
          <cell r="AF308">
            <v>0.66666666699999999</v>
          </cell>
        </row>
        <row r="309">
          <cell r="B309" t="str">
            <v>1996CA</v>
          </cell>
          <cell r="C309">
            <v>0.56641466312768063</v>
          </cell>
          <cell r="D309">
            <v>0.2152557679452427</v>
          </cell>
          <cell r="E309">
            <v>0.1118003234820851</v>
          </cell>
          <cell r="F309">
            <v>9.0562626440821678E-2</v>
          </cell>
          <cell r="G309">
            <v>1.3101119396287518E-2</v>
          </cell>
          <cell r="H309">
            <v>2.8654996078823075E-3</v>
          </cell>
          <cell r="J309" t="str">
            <v>1996CA</v>
          </cell>
          <cell r="K309">
            <v>0.87509855712162743</v>
          </cell>
          <cell r="L309">
            <v>1.3101119396287518E-2</v>
          </cell>
          <cell r="M309">
            <v>0.1118003234820851</v>
          </cell>
          <cell r="U309" t="str">
            <v>1996CA</v>
          </cell>
          <cell r="V309">
            <v>0.101772426</v>
          </cell>
          <cell r="W309">
            <v>3.4117363999999997E-2</v>
          </cell>
          <cell r="X309">
            <v>7.7278299999999994E-2</v>
          </cell>
          <cell r="Y309">
            <v>0.48832593499999999</v>
          </cell>
          <cell r="Z309">
            <v>0.29850597499999998</v>
          </cell>
          <cell r="AB309" t="str">
            <v>1996CA</v>
          </cell>
          <cell r="AC309">
            <v>0.15</v>
          </cell>
          <cell r="AD309">
            <v>0.01</v>
          </cell>
          <cell r="AE309">
            <v>0.103333333</v>
          </cell>
          <cell r="AF309">
            <v>0.73666666700000005</v>
          </cell>
        </row>
        <row r="310">
          <cell r="B310" t="str">
            <v>1996CO</v>
          </cell>
          <cell r="C310">
            <v>0.54263148040386666</v>
          </cell>
          <cell r="D310">
            <v>0.26702245483986836</v>
          </cell>
          <cell r="E310">
            <v>2.4005385481318399E-2</v>
          </cell>
          <cell r="F310">
            <v>0.13314584681717387</v>
          </cell>
          <cell r="G310">
            <v>1.4212143643168602E-2</v>
          </cell>
          <cell r="H310">
            <v>1.8982688814604225E-2</v>
          </cell>
          <cell r="J310" t="str">
            <v>1996CO</v>
          </cell>
          <cell r="K310">
            <v>0.96178247087551294</v>
          </cell>
          <cell r="L310">
            <v>1.4212143643168602E-2</v>
          </cell>
          <cell r="M310">
            <v>2.4005385481318399E-2</v>
          </cell>
          <cell r="U310" t="str">
            <v>1996CO</v>
          </cell>
          <cell r="V310">
            <v>3.6449882000000003E-2</v>
          </cell>
          <cell r="W310">
            <v>5.2821282999999997E-2</v>
          </cell>
          <cell r="X310">
            <v>0.25464599799999998</v>
          </cell>
          <cell r="Y310">
            <v>0.168558815</v>
          </cell>
          <cell r="Z310">
            <v>0.487524022</v>
          </cell>
          <cell r="AB310" t="str">
            <v>1996CO</v>
          </cell>
          <cell r="AC310">
            <v>0</v>
          </cell>
          <cell r="AD310">
            <v>2.6666666666666658E-2</v>
          </cell>
          <cell r="AE310">
            <v>0.41333333300000002</v>
          </cell>
          <cell r="AF310">
            <v>0.56000000000000005</v>
          </cell>
        </row>
        <row r="311">
          <cell r="B311" t="str">
            <v>1996CT</v>
          </cell>
          <cell r="C311">
            <v>7.6136373933755913E-2</v>
          </cell>
          <cell r="D311">
            <v>0.16674666758840057</v>
          </cell>
          <cell r="E311">
            <v>0.44053123299661345</v>
          </cell>
          <cell r="F311">
            <v>0.222482280915448</v>
          </cell>
          <cell r="G311">
            <v>6.3004291500005097E-2</v>
          </cell>
          <cell r="H311">
            <v>3.1099153065776965E-2</v>
          </cell>
          <cell r="J311" t="str">
            <v>1996CT</v>
          </cell>
          <cell r="K311">
            <v>0.49646447550338146</v>
          </cell>
          <cell r="L311">
            <v>6.3004291500005097E-2</v>
          </cell>
          <cell r="M311">
            <v>0.44053123299661345</v>
          </cell>
          <cell r="U311" t="str">
            <v>1996CT</v>
          </cell>
          <cell r="V311">
            <v>0.68176551699999999</v>
          </cell>
          <cell r="W311">
            <v>1.4002317E-2</v>
          </cell>
          <cell r="X311">
            <v>8.7832717000000005E-2</v>
          </cell>
          <cell r="Y311">
            <v>6.7147475999999998E-2</v>
          </cell>
          <cell r="Z311">
            <v>0.14925197200000001</v>
          </cell>
          <cell r="AB311" t="str">
            <v>1996CT</v>
          </cell>
          <cell r="AC311">
            <v>0</v>
          </cell>
          <cell r="AD311">
            <v>0</v>
          </cell>
          <cell r="AE311">
            <v>3.3333333E-2</v>
          </cell>
          <cell r="AF311">
            <v>0.96666666700000003</v>
          </cell>
        </row>
        <row r="312">
          <cell r="B312" t="str">
            <v>1996DE</v>
          </cell>
          <cell r="C312">
            <v>5.3763834797438015E-2</v>
          </cell>
          <cell r="D312">
            <v>0.14504151411379113</v>
          </cell>
          <cell r="E312">
            <v>0.45181170646029861</v>
          </cell>
          <cell r="F312">
            <v>0.24528968309692681</v>
          </cell>
          <cell r="G312">
            <v>7.3179822057292981E-2</v>
          </cell>
          <cell r="H312">
            <v>3.0913439474252482E-2</v>
          </cell>
          <cell r="J312" t="str">
            <v>1996DE</v>
          </cell>
          <cell r="K312">
            <v>0.47500847148240843</v>
          </cell>
          <cell r="L312">
            <v>7.3179822057292981E-2</v>
          </cell>
          <cell r="M312">
            <v>0.45181170646029861</v>
          </cell>
          <cell r="U312" t="str">
            <v>1996DE</v>
          </cell>
          <cell r="V312">
            <v>0.11042495200000001</v>
          </cell>
          <cell r="W312">
            <v>4.5986817999999999E-2</v>
          </cell>
          <cell r="X312">
            <v>0.23810673800000001</v>
          </cell>
          <cell r="Y312">
            <v>0.16488195</v>
          </cell>
          <cell r="Z312">
            <v>0.44059954200000001</v>
          </cell>
          <cell r="AB312" t="str">
            <v>1996DE</v>
          </cell>
          <cell r="AC312">
            <v>0</v>
          </cell>
          <cell r="AD312">
            <v>0</v>
          </cell>
          <cell r="AE312">
            <v>3.3333333E-2</v>
          </cell>
          <cell r="AF312">
            <v>0.96666666700000003</v>
          </cell>
        </row>
        <row r="313">
          <cell r="B313" t="str">
            <v>1996FL</v>
          </cell>
          <cell r="C313">
            <v>0.42134093312951293</v>
          </cell>
          <cell r="D313">
            <v>0.1490300697057439</v>
          </cell>
          <cell r="E313">
            <v>0.22271756203203391</v>
          </cell>
          <cell r="F313">
            <v>7.3186647493156565E-2</v>
          </cell>
          <cell r="G313">
            <v>0.13310454086204909</v>
          </cell>
          <cell r="H313">
            <v>6.2024677750359284E-4</v>
          </cell>
          <cell r="J313" t="str">
            <v>1996FL</v>
          </cell>
          <cell r="K313">
            <v>0.644177897105917</v>
          </cell>
          <cell r="L313">
            <v>0.13310454086204909</v>
          </cell>
          <cell r="M313">
            <v>0.22271756203203391</v>
          </cell>
          <cell r="U313" t="str">
            <v>1996FL</v>
          </cell>
          <cell r="V313">
            <v>0.58454829100000005</v>
          </cell>
          <cell r="W313">
            <v>1.8279875000000001E-2</v>
          </cell>
          <cell r="X313">
            <v>0.114664672</v>
          </cell>
          <cell r="Y313">
            <v>8.7660311000000005E-2</v>
          </cell>
          <cell r="Z313">
            <v>0.19484685199999999</v>
          </cell>
          <cell r="AB313" t="str">
            <v>1996FL</v>
          </cell>
          <cell r="AC313">
            <v>0.04</v>
          </cell>
          <cell r="AD313">
            <v>0.02</v>
          </cell>
          <cell r="AE313">
            <v>0.319333333</v>
          </cell>
          <cell r="AF313">
            <v>0.62066666699999995</v>
          </cell>
        </row>
        <row r="314">
          <cell r="B314" t="str">
            <v>1996GA</v>
          </cell>
          <cell r="C314">
            <v>0.13219595727695002</v>
          </cell>
          <cell r="D314">
            <v>8.7026938448690375E-2</v>
          </cell>
          <cell r="E314">
            <v>0.15587994339549371</v>
          </cell>
          <cell r="F314">
            <v>9.1133006348842013E-2</v>
          </cell>
          <cell r="G314">
            <v>0.52960478891944052</v>
          </cell>
          <cell r="H314">
            <v>4.1593656105832141E-3</v>
          </cell>
          <cell r="J314" t="str">
            <v>1996GA</v>
          </cell>
          <cell r="K314">
            <v>0.31451526768506577</v>
          </cell>
          <cell r="L314">
            <v>0.52960478891944052</v>
          </cell>
          <cell r="M314">
            <v>0.15587994339549371</v>
          </cell>
          <cell r="U314" t="str">
            <v>1996GA</v>
          </cell>
          <cell r="V314">
            <v>9.8940318999999999E-2</v>
          </cell>
          <cell r="W314">
            <v>3.6016522000000002E-2</v>
          </cell>
          <cell r="X314">
            <v>0.13408490300000001</v>
          </cell>
          <cell r="Y314">
            <v>0.39081648400000002</v>
          </cell>
          <cell r="Z314">
            <v>0.34014177099999998</v>
          </cell>
          <cell r="AB314" t="str">
            <v>1996GA</v>
          </cell>
          <cell r="AC314">
            <v>0.21333333333333326</v>
          </cell>
          <cell r="AD314">
            <v>1.6666666666666663E-2</v>
          </cell>
          <cell r="AE314">
            <v>0.28266666699999998</v>
          </cell>
          <cell r="AF314">
            <v>0.48733333299999998</v>
          </cell>
        </row>
        <row r="315">
          <cell r="B315" t="str">
            <v>1996HI</v>
          </cell>
          <cell r="C315">
            <v>0.55874868022363511</v>
          </cell>
          <cell r="D315">
            <v>0.21037187174323566</v>
          </cell>
          <cell r="E315">
            <v>0</v>
          </cell>
          <cell r="F315">
            <v>0.12251017968353593</v>
          </cell>
          <cell r="G315">
            <v>9.5723146287927011E-2</v>
          </cell>
          <cell r="H315">
            <v>1.2646122061666459E-2</v>
          </cell>
          <cell r="J315" t="str">
            <v>1996HI</v>
          </cell>
          <cell r="K315">
            <v>0.904276853712073</v>
          </cell>
          <cell r="L315">
            <v>9.5723146287927011E-2</v>
          </cell>
          <cell r="M315">
            <v>0</v>
          </cell>
          <cell r="U315" t="str">
            <v>1996HI</v>
          </cell>
          <cell r="V315">
            <v>0.35792432099999999</v>
          </cell>
          <cell r="W315">
            <v>2.8251330000000002E-2</v>
          </cell>
          <cell r="X315">
            <v>0.17721288700000001</v>
          </cell>
          <cell r="Y315">
            <v>0.135477968</v>
          </cell>
          <cell r="Z315">
            <v>0.301133494</v>
          </cell>
          <cell r="AB315" t="str">
            <v>1996HI</v>
          </cell>
          <cell r="AC315">
            <v>3.3333333333333326E-2</v>
          </cell>
          <cell r="AD315">
            <v>0</v>
          </cell>
          <cell r="AE315">
            <v>0.43333333299999999</v>
          </cell>
          <cell r="AF315">
            <v>0.53333333299999997</v>
          </cell>
        </row>
        <row r="316">
          <cell r="B316" t="str">
            <v>1996ID</v>
          </cell>
          <cell r="C316">
            <v>0.53437457900516627</v>
          </cell>
          <cell r="D316">
            <v>0.24610079524037443</v>
          </cell>
          <cell r="E316">
            <v>2.5083024487627208E-2</v>
          </cell>
          <cell r="F316">
            <v>0.15456715958490616</v>
          </cell>
          <cell r="G316">
            <v>1.4850148826008146E-2</v>
          </cell>
          <cell r="H316">
            <v>2.5024292855917687E-2</v>
          </cell>
          <cell r="J316" t="str">
            <v>1996ID</v>
          </cell>
          <cell r="K316">
            <v>0.96006682668636467</v>
          </cell>
          <cell r="L316">
            <v>1.4850148826008146E-2</v>
          </cell>
          <cell r="M316">
            <v>2.5083024487627208E-2</v>
          </cell>
          <cell r="U316" t="str">
            <v>1996ID</v>
          </cell>
          <cell r="V316">
            <v>0.33680032799999998</v>
          </cell>
          <cell r="W316">
            <v>3.1963907999999999E-2</v>
          </cell>
          <cell r="X316">
            <v>0.18002805999999999</v>
          </cell>
          <cell r="Y316">
            <v>0.13065805599999999</v>
          </cell>
          <cell r="Z316">
            <v>0.32054964800000002</v>
          </cell>
          <cell r="AB316" t="str">
            <v>1996ID</v>
          </cell>
          <cell r="AC316">
            <v>0</v>
          </cell>
          <cell r="AD316">
            <v>0.2</v>
          </cell>
          <cell r="AE316">
            <v>0.4</v>
          </cell>
          <cell r="AF316">
            <v>0.4</v>
          </cell>
        </row>
        <row r="317">
          <cell r="B317" t="str">
            <v>1996IL</v>
          </cell>
          <cell r="C317">
            <v>5.8122567128923427E-2</v>
          </cell>
          <cell r="D317">
            <v>0.18355689773480077</v>
          </cell>
          <cell r="E317">
            <v>0.12699321069686459</v>
          </cell>
          <cell r="F317">
            <v>0.50781821244945191</v>
          </cell>
          <cell r="G317">
            <v>7.5185035188690949E-2</v>
          </cell>
          <cell r="H317">
            <v>4.8324076801268448E-2</v>
          </cell>
          <cell r="J317" t="str">
            <v>1996IL</v>
          </cell>
          <cell r="K317">
            <v>0.79782175411444445</v>
          </cell>
          <cell r="L317">
            <v>7.5185035188690949E-2</v>
          </cell>
          <cell r="M317">
            <v>0.12699321069686459</v>
          </cell>
          <cell r="U317" t="str">
            <v>1996IL</v>
          </cell>
          <cell r="V317">
            <v>5.0288625000000003E-2</v>
          </cell>
          <cell r="W317">
            <v>4.3629467999999998E-2</v>
          </cell>
          <cell r="X317">
            <v>0.26902846899999999</v>
          </cell>
          <cell r="Y317">
            <v>0.16032195099999999</v>
          </cell>
          <cell r="Z317">
            <v>0.47673148700000001</v>
          </cell>
          <cell r="AB317" t="str">
            <v>1996IL</v>
          </cell>
          <cell r="AC317">
            <v>0</v>
          </cell>
          <cell r="AD317">
            <v>0</v>
          </cell>
          <cell r="AE317">
            <v>4.6666667000000002E-2</v>
          </cell>
          <cell r="AF317">
            <v>0.953333333</v>
          </cell>
        </row>
        <row r="318">
          <cell r="B318" t="str">
            <v>1996IN</v>
          </cell>
          <cell r="C318">
            <v>4.9530695530463381E-2</v>
          </cell>
          <cell r="D318">
            <v>0.15944581103420224</v>
          </cell>
          <cell r="E318">
            <v>0.18441335010316867</v>
          </cell>
          <cell r="F318">
            <v>0.45426080319127859</v>
          </cell>
          <cell r="G318">
            <v>0.1091800430959058</v>
          </cell>
          <cell r="H318">
            <v>4.3169297044981389E-2</v>
          </cell>
          <cell r="J318" t="str">
            <v>1996IN</v>
          </cell>
          <cell r="K318">
            <v>0.7064066068009256</v>
          </cell>
          <cell r="L318">
            <v>0.1091800430959058</v>
          </cell>
          <cell r="M318">
            <v>0.18441335010316867</v>
          </cell>
          <cell r="U318" t="str">
            <v>1996IN</v>
          </cell>
          <cell r="V318">
            <v>5.3576266999999997E-2</v>
          </cell>
          <cell r="W318">
            <v>4.3588195000000003E-2</v>
          </cell>
          <cell r="X318">
            <v>0.26850876499999998</v>
          </cell>
          <cell r="Y318">
            <v>0.15737968599999999</v>
          </cell>
          <cell r="Z318">
            <v>0.47694708800000002</v>
          </cell>
          <cell r="AB318" t="str">
            <v>1996IN</v>
          </cell>
          <cell r="AC318">
            <v>0</v>
          </cell>
          <cell r="AD318">
            <v>1.6666666666666663E-2</v>
          </cell>
          <cell r="AE318">
            <v>0</v>
          </cell>
          <cell r="AF318">
            <v>0.98333333300000003</v>
          </cell>
        </row>
        <row r="319">
          <cell r="B319" t="str">
            <v>1996IA</v>
          </cell>
          <cell r="C319">
            <v>5.2801504981808516E-2</v>
          </cell>
          <cell r="D319">
            <v>0.15682186210989749</v>
          </cell>
          <cell r="E319">
            <v>0.17881518052123568</v>
          </cell>
          <cell r="F319">
            <v>0.46597688353309397</v>
          </cell>
          <cell r="G319">
            <v>0.10586570389068178</v>
          </cell>
          <cell r="H319">
            <v>3.9718864963282724E-2</v>
          </cell>
          <cell r="J319" t="str">
            <v>1996IA</v>
          </cell>
          <cell r="K319">
            <v>0.71531911558808248</v>
          </cell>
          <cell r="L319">
            <v>0.10586570389068178</v>
          </cell>
          <cell r="M319">
            <v>0.17881518052123568</v>
          </cell>
          <cell r="U319" t="str">
            <v>1996IA</v>
          </cell>
          <cell r="V319">
            <v>3.6736115999999999E-2</v>
          </cell>
          <cell r="W319">
            <v>3.9352857999999998E-2</v>
          </cell>
          <cell r="X319">
            <v>0.17017564700000001</v>
          </cell>
          <cell r="Y319">
            <v>0.370805995</v>
          </cell>
          <cell r="Z319">
            <v>0.38292938399999998</v>
          </cell>
          <cell r="AB319" t="str">
            <v>1996IA</v>
          </cell>
          <cell r="AC319">
            <v>1.3333333333333329E-2</v>
          </cell>
          <cell r="AD319">
            <v>1.3333333333333329E-2</v>
          </cell>
          <cell r="AE319">
            <v>6.6666670000000003E-3</v>
          </cell>
          <cell r="AF319">
            <v>0.96666666700000003</v>
          </cell>
        </row>
        <row r="320">
          <cell r="B320" t="str">
            <v>1996KS</v>
          </cell>
          <cell r="C320">
            <v>5.3641883900122471E-2</v>
          </cell>
          <cell r="D320">
            <v>0.17376476979254998</v>
          </cell>
          <cell r="E320">
            <v>0.14103434623495803</v>
          </cell>
          <cell r="F320">
            <v>0.50064480337204786</v>
          </cell>
          <cell r="G320">
            <v>8.3497946278407967E-2</v>
          </cell>
          <cell r="H320">
            <v>4.7416250421913712E-2</v>
          </cell>
          <cell r="J320" t="str">
            <v>1996KS</v>
          </cell>
          <cell r="K320">
            <v>0.77546770748663407</v>
          </cell>
          <cell r="L320">
            <v>8.3497946278407967E-2</v>
          </cell>
          <cell r="M320">
            <v>0.14103434623495803</v>
          </cell>
          <cell r="U320" t="str">
            <v>1996KS</v>
          </cell>
          <cell r="V320">
            <v>7.3570316999999996E-2</v>
          </cell>
          <cell r="W320">
            <v>4.313637E-2</v>
          </cell>
          <cell r="X320">
            <v>0.26459508300000001</v>
          </cell>
          <cell r="Y320">
            <v>0.14385381999999999</v>
          </cell>
          <cell r="Z320">
            <v>0.47484440999999999</v>
          </cell>
          <cell r="AB320" t="str">
            <v>1996KS</v>
          </cell>
          <cell r="AC320">
            <v>0</v>
          </cell>
          <cell r="AD320">
            <v>0</v>
          </cell>
          <cell r="AE320">
            <v>1.3333332999999999E-2</v>
          </cell>
          <cell r="AF320">
            <v>0.98666666700000005</v>
          </cell>
        </row>
        <row r="321">
          <cell r="B321" t="str">
            <v>1996KY</v>
          </cell>
          <cell r="C321">
            <v>1.3938553023129846E-2</v>
          </cell>
          <cell r="D321">
            <v>4.8545288945969677E-2</v>
          </cell>
          <cell r="E321">
            <v>0.13939325873641106</v>
          </cell>
          <cell r="F321">
            <v>0.1558834575846739</v>
          </cell>
          <cell r="G321">
            <v>0.62740861093347799</v>
          </cell>
          <cell r="H321">
            <v>1.4830830776337435E-2</v>
          </cell>
          <cell r="J321" t="str">
            <v>1996KY</v>
          </cell>
          <cell r="K321">
            <v>0.23319813033011094</v>
          </cell>
          <cell r="L321">
            <v>0.62740861093347799</v>
          </cell>
          <cell r="M321">
            <v>0.13939325873641106</v>
          </cell>
          <cell r="U321" t="str">
            <v>1996KY</v>
          </cell>
          <cell r="V321">
            <v>9.4163007000000007E-2</v>
          </cell>
          <cell r="W321">
            <v>3.6659878E-2</v>
          </cell>
          <cell r="X321">
            <v>0.14907875600000001</v>
          </cell>
          <cell r="Y321">
            <v>0.367877226</v>
          </cell>
          <cell r="Z321">
            <v>0.35222113199999999</v>
          </cell>
          <cell r="AB321" t="str">
            <v>1996KY</v>
          </cell>
          <cell r="AC321">
            <v>0.01</v>
          </cell>
          <cell r="AD321">
            <v>0.11</v>
          </cell>
          <cell r="AE321">
            <v>0.236666667</v>
          </cell>
          <cell r="AF321">
            <v>0.64333333299999995</v>
          </cell>
        </row>
        <row r="322">
          <cell r="B322" t="str">
            <v>1996LA</v>
          </cell>
          <cell r="C322">
            <v>8.5408332041256751E-2</v>
          </cell>
          <cell r="D322">
            <v>6.1751333844616126E-2</v>
          </cell>
          <cell r="E322">
            <v>0.14540441142747942</v>
          </cell>
          <cell r="F322">
            <v>0.11019237005232599</v>
          </cell>
          <cell r="G322">
            <v>0.59174869991719214</v>
          </cell>
          <cell r="H322">
            <v>5.4948527171295239E-3</v>
          </cell>
          <cell r="J322" t="str">
            <v>1996LA</v>
          </cell>
          <cell r="K322">
            <v>0.26284688865532846</v>
          </cell>
          <cell r="L322">
            <v>0.59174869991719214</v>
          </cell>
          <cell r="M322">
            <v>0.14540441142747942</v>
          </cell>
          <cell r="U322" t="str">
            <v>1996LA</v>
          </cell>
          <cell r="V322">
            <v>0.55333208</v>
          </cell>
          <cell r="W322">
            <v>1.9235018999999999E-2</v>
          </cell>
          <cell r="X322">
            <v>0.110071828</v>
          </cell>
          <cell r="Y322">
            <v>0.11737678</v>
          </cell>
          <cell r="Z322">
            <v>0.19998429400000001</v>
          </cell>
          <cell r="AB322" t="str">
            <v>1996LA</v>
          </cell>
          <cell r="AC322">
            <v>1.6666666666666663E-2</v>
          </cell>
          <cell r="AD322">
            <v>0</v>
          </cell>
          <cell r="AE322">
            <v>0.71666666700000003</v>
          </cell>
          <cell r="AF322">
            <v>0.26666666700000002</v>
          </cell>
        </row>
        <row r="323">
          <cell r="B323" t="str">
            <v>1996ME</v>
          </cell>
          <cell r="C323">
            <v>4.0504400850037203E-2</v>
          </cell>
          <cell r="D323">
            <v>0.11528439802777525</v>
          </cell>
          <cell r="E323">
            <v>0.46959106884492618</v>
          </cell>
          <cell r="F323">
            <v>0.25982119395093928</v>
          </cell>
          <cell r="G323">
            <v>8.9217663537642586E-2</v>
          </cell>
          <cell r="H323">
            <v>2.5581274788679574E-2</v>
          </cell>
          <cell r="J323" t="str">
            <v>1996ME</v>
          </cell>
          <cell r="K323">
            <v>0.44119126761743122</v>
          </cell>
          <cell r="L323">
            <v>8.9217663537642586E-2</v>
          </cell>
          <cell r="M323">
            <v>0.46959106884492618</v>
          </cell>
          <cell r="U323" t="str">
            <v>1996ME</v>
          </cell>
          <cell r="V323">
            <v>1</v>
          </cell>
          <cell r="W323">
            <v>0</v>
          </cell>
          <cell r="X323">
            <v>0</v>
          </cell>
          <cell r="Y323">
            <v>0</v>
          </cell>
          <cell r="Z323">
            <v>0</v>
          </cell>
          <cell r="AB323" t="str">
            <v>1996ME</v>
          </cell>
          <cell r="AC323">
            <v>3.3333333333333326E-2</v>
          </cell>
          <cell r="AD323">
            <v>0.03</v>
          </cell>
          <cell r="AE323">
            <v>3.3333333E-2</v>
          </cell>
          <cell r="AF323">
            <v>0.90333333299999996</v>
          </cell>
        </row>
        <row r="324">
          <cell r="B324" t="str">
            <v>1996MD</v>
          </cell>
          <cell r="C324">
            <v>5.1850886645729843E-2</v>
          </cell>
          <cell r="D324">
            <v>0.13011368938221698</v>
          </cell>
          <cell r="E324">
            <v>0.45617900313546933</v>
          </cell>
          <cell r="F324">
            <v>0.2542405527558414</v>
          </cell>
          <cell r="G324">
            <v>7.7119334074585891E-2</v>
          </cell>
          <cell r="H324">
            <v>3.0496534006156609E-2</v>
          </cell>
          <cell r="J324" t="str">
            <v>1996MD</v>
          </cell>
          <cell r="K324">
            <v>0.46670166278994474</v>
          </cell>
          <cell r="L324">
            <v>7.7119334074585891E-2</v>
          </cell>
          <cell r="M324">
            <v>0.45617900313546933</v>
          </cell>
          <cell r="U324" t="str">
            <v>1996MD</v>
          </cell>
          <cell r="V324">
            <v>0.18777411499999999</v>
          </cell>
          <cell r="W324">
            <v>3.9716482999999997E-2</v>
          </cell>
          <cell r="X324">
            <v>0.21986425400000001</v>
          </cell>
          <cell r="Y324">
            <v>0.15811784700000001</v>
          </cell>
          <cell r="Z324">
            <v>0.39452730000000003</v>
          </cell>
          <cell r="AB324" t="str">
            <v>1996MD</v>
          </cell>
          <cell r="AC324">
            <v>0</v>
          </cell>
          <cell r="AD324">
            <v>0</v>
          </cell>
          <cell r="AE324">
            <v>3.3333333E-2</v>
          </cell>
          <cell r="AF324">
            <v>0.96666666700000003</v>
          </cell>
        </row>
        <row r="325">
          <cell r="B325" t="str">
            <v>1996MA</v>
          </cell>
          <cell r="C325">
            <v>4.5193062590097609E-2</v>
          </cell>
          <cell r="D325">
            <v>0.12832849503041918</v>
          </cell>
          <cell r="E325">
            <v>0.45931647688209437</v>
          </cell>
          <cell r="F325">
            <v>0.25729526709511102</v>
          </cell>
          <cell r="G325">
            <v>7.9949486557480021E-2</v>
          </cell>
          <cell r="H325">
            <v>2.9917211844797915E-2</v>
          </cell>
          <cell r="J325" t="str">
            <v>1996MA</v>
          </cell>
          <cell r="K325">
            <v>0.46073403656042555</v>
          </cell>
          <cell r="L325">
            <v>7.9949486557480021E-2</v>
          </cell>
          <cell r="M325">
            <v>0.45931647688209437</v>
          </cell>
          <cell r="U325" t="str">
            <v>1996MA</v>
          </cell>
          <cell r="V325">
            <v>0.41768574000000003</v>
          </cell>
          <cell r="W325">
            <v>2.5621827E-2</v>
          </cell>
          <cell r="X325">
            <v>0.160718736</v>
          </cell>
          <cell r="Y325">
            <v>0.122868309</v>
          </cell>
          <cell r="Z325">
            <v>0.273105388</v>
          </cell>
          <cell r="AB325" t="str">
            <v>1996MA</v>
          </cell>
          <cell r="AC325">
            <v>3.3333333333333326E-2</v>
          </cell>
          <cell r="AD325">
            <v>0.03</v>
          </cell>
          <cell r="AE325">
            <v>3.3333333E-2</v>
          </cell>
          <cell r="AF325">
            <v>0.90333333299999996</v>
          </cell>
        </row>
        <row r="326">
          <cell r="B326" t="str">
            <v>1996MI</v>
          </cell>
          <cell r="C326">
            <v>0.10758731451937302</v>
          </cell>
          <cell r="D326">
            <v>0.25074356011406829</v>
          </cell>
          <cell r="E326">
            <v>0.10357828024030155</v>
          </cell>
          <cell r="F326">
            <v>0.42579287656819043</v>
          </cell>
          <cell r="G326">
            <v>6.1322464420875029E-2</v>
          </cell>
          <cell r="H326">
            <v>5.0975504137191645E-2</v>
          </cell>
          <cell r="J326" t="str">
            <v>1996MI</v>
          </cell>
          <cell r="K326">
            <v>0.83509925533882345</v>
          </cell>
          <cell r="L326">
            <v>6.1322464420875029E-2</v>
          </cell>
          <cell r="M326">
            <v>0.10357828024030155</v>
          </cell>
          <cell r="U326" t="str">
            <v>1996MI</v>
          </cell>
          <cell r="V326">
            <v>7.5150446999999995E-2</v>
          </cell>
          <cell r="W326">
            <v>4.7249001999999998E-2</v>
          </cell>
          <cell r="X326">
            <v>0.248156553</v>
          </cell>
          <cell r="Y326">
            <v>0.17329118299999999</v>
          </cell>
          <cell r="Z326">
            <v>0.45615281499999999</v>
          </cell>
          <cell r="AB326" t="str">
            <v>1996MI</v>
          </cell>
          <cell r="AC326">
            <v>0.03</v>
          </cell>
          <cell r="AD326">
            <v>0.01</v>
          </cell>
          <cell r="AE326">
            <v>2.3333333000000001E-2</v>
          </cell>
          <cell r="AF326">
            <v>0.93666666700000001</v>
          </cell>
        </row>
        <row r="327">
          <cell r="B327" t="str">
            <v>1996MN</v>
          </cell>
          <cell r="C327">
            <v>4.8248679633127838E-2</v>
          </cell>
          <cell r="D327">
            <v>0.14767801087834811</v>
          </cell>
          <cell r="E327">
            <v>0.20423315407236942</v>
          </cell>
          <cell r="F327">
            <v>0.44189256296194235</v>
          </cell>
          <cell r="G327">
            <v>0.12091415589359183</v>
          </cell>
          <cell r="H327">
            <v>3.7033436560620484E-2</v>
          </cell>
          <cell r="J327" t="str">
            <v>1996MN</v>
          </cell>
          <cell r="K327">
            <v>0.6748526900340388</v>
          </cell>
          <cell r="L327">
            <v>0.12091415589359183</v>
          </cell>
          <cell r="M327">
            <v>0.20423315407236942</v>
          </cell>
          <cell r="U327" t="str">
            <v>1996MN</v>
          </cell>
          <cell r="V327">
            <v>4.3838686000000002E-2</v>
          </cell>
          <cell r="W327">
            <v>4.7885695999999998E-2</v>
          </cell>
          <cell r="X327">
            <v>0.25760137399999999</v>
          </cell>
          <cell r="Y327">
            <v>0.18236804300000001</v>
          </cell>
          <cell r="Z327">
            <v>0.46830620099999998</v>
          </cell>
          <cell r="AB327" t="str">
            <v>1996MN</v>
          </cell>
          <cell r="AC327">
            <v>0</v>
          </cell>
          <cell r="AD327">
            <v>8.3333333333333287E-2</v>
          </cell>
          <cell r="AE327">
            <v>0</v>
          </cell>
          <cell r="AF327">
            <v>0.91666666699999999</v>
          </cell>
        </row>
        <row r="328">
          <cell r="B328" t="str">
            <v>1996MS</v>
          </cell>
          <cell r="C328">
            <v>7.3056095086541636E-2</v>
          </cell>
          <cell r="D328">
            <v>5.7895206984277803E-2</v>
          </cell>
          <cell r="E328">
            <v>0.13912499999999997</v>
          </cell>
          <cell r="F328">
            <v>9.608847750440308E-2</v>
          </cell>
          <cell r="G328">
            <v>0.629</v>
          </cell>
          <cell r="H328">
            <v>4.835220424777532E-3</v>
          </cell>
          <cell r="J328" t="str">
            <v>1996MS</v>
          </cell>
          <cell r="K328">
            <v>0.23187500000000005</v>
          </cell>
          <cell r="L328">
            <v>0.629</v>
          </cell>
          <cell r="M328">
            <v>0.13912499999999997</v>
          </cell>
          <cell r="U328" t="str">
            <v>1996MS</v>
          </cell>
          <cell r="V328">
            <v>6.5638893000000004E-2</v>
          </cell>
          <cell r="W328">
            <v>3.5976150999999998E-2</v>
          </cell>
          <cell r="X328">
            <v>9.5741077999999993E-2</v>
          </cell>
          <cell r="Y328">
            <v>0.48108314099999999</v>
          </cell>
          <cell r="Z328">
            <v>0.32156073800000001</v>
          </cell>
          <cell r="AB328" t="str">
            <v>1996MS</v>
          </cell>
          <cell r="AC328">
            <v>3.3333333333333326E-2</v>
          </cell>
          <cell r="AD328">
            <v>1.6666666666666663E-2</v>
          </cell>
          <cell r="AE328">
            <v>0.68333333299999999</v>
          </cell>
          <cell r="AF328">
            <v>0.26666666700000002</v>
          </cell>
        </row>
        <row r="329">
          <cell r="B329" t="str">
            <v>1996MO</v>
          </cell>
          <cell r="C329">
            <v>4.6683932592682477E-2</v>
          </cell>
          <cell r="D329">
            <v>0.15910140272265597</v>
          </cell>
          <cell r="E329">
            <v>0.16274699480739757</v>
          </cell>
          <cell r="F329">
            <v>0.48780936825374216</v>
          </cell>
          <cell r="G329">
            <v>9.6352698418310012E-2</v>
          </cell>
          <cell r="H329">
            <v>4.7305603205211814E-2</v>
          </cell>
          <cell r="J329" t="str">
            <v>1996MO</v>
          </cell>
          <cell r="K329">
            <v>0.74090030677429242</v>
          </cell>
          <cell r="L329">
            <v>9.6352698418310012E-2</v>
          </cell>
          <cell r="M329">
            <v>0.16274699480739757</v>
          </cell>
          <cell r="U329" t="str">
            <v>1996MO</v>
          </cell>
          <cell r="V329">
            <v>6.8326481999999994E-2</v>
          </cell>
          <cell r="W329">
            <v>4.3316515999999999E-2</v>
          </cell>
          <cell r="X329">
            <v>0.265852694</v>
          </cell>
          <cell r="Y329">
            <v>0.146060457</v>
          </cell>
          <cell r="Z329">
            <v>0.476443852</v>
          </cell>
          <cell r="AB329" t="str">
            <v>1996MO</v>
          </cell>
          <cell r="AC329">
            <v>0</v>
          </cell>
          <cell r="AD329">
            <v>6.6666666666666652E-2</v>
          </cell>
          <cell r="AE329">
            <v>0</v>
          </cell>
          <cell r="AF329">
            <v>0.93333333299999999</v>
          </cell>
        </row>
        <row r="330">
          <cell r="B330" t="str">
            <v>1996MT</v>
          </cell>
          <cell r="C330">
            <v>0.29324161676664356</v>
          </cell>
          <cell r="D330">
            <v>0.228881759699433</v>
          </cell>
          <cell r="E330">
            <v>5.0047465070125516E-2</v>
          </cell>
          <cell r="F330">
            <v>0.31276029717560166</v>
          </cell>
          <cell r="G330">
            <v>2.963009126042257E-2</v>
          </cell>
          <cell r="H330">
            <v>8.5438770027773739E-2</v>
          </cell>
          <cell r="J330" t="str">
            <v>1996MT</v>
          </cell>
          <cell r="K330">
            <v>0.92032244366945193</v>
          </cell>
          <cell r="L330">
            <v>2.963009126042257E-2</v>
          </cell>
          <cell r="M330">
            <v>5.0047465070125516E-2</v>
          </cell>
          <cell r="U330" t="str">
            <v>1996MT</v>
          </cell>
          <cell r="V330">
            <v>9.9427995000000005E-2</v>
          </cell>
          <cell r="W330">
            <v>4.7500884E-2</v>
          </cell>
          <cell r="X330">
            <v>0.24002584800000001</v>
          </cell>
          <cell r="Y330">
            <v>0.163768308</v>
          </cell>
          <cell r="Z330">
            <v>0.44927696499999997</v>
          </cell>
          <cell r="AB330" t="str">
            <v>1996MT</v>
          </cell>
          <cell r="AC330">
            <v>0</v>
          </cell>
          <cell r="AD330">
            <v>2.6666666666666658E-2</v>
          </cell>
          <cell r="AE330">
            <v>0.41333333300000002</v>
          </cell>
          <cell r="AF330">
            <v>0.56000000000000005</v>
          </cell>
        </row>
        <row r="331">
          <cell r="B331" t="str">
            <v>1996NE</v>
          </cell>
          <cell r="C331">
            <v>5.0236643743879955E-2</v>
          </cell>
          <cell r="D331">
            <v>0.16810369983232754</v>
          </cell>
          <cell r="E331">
            <v>0.15913919245693772</v>
          </cell>
          <cell r="F331">
            <v>0.4789110996747411</v>
          </cell>
          <cell r="G331">
            <v>9.4216735832714352E-2</v>
          </cell>
          <cell r="H331">
            <v>4.9392628459399221E-2</v>
          </cell>
          <cell r="J331" t="str">
            <v>1996NE</v>
          </cell>
          <cell r="K331">
            <v>0.74664407171034797</v>
          </cell>
          <cell r="L331">
            <v>9.4216735832714352E-2</v>
          </cell>
          <cell r="M331">
            <v>0.15913919245693772</v>
          </cell>
          <cell r="U331" t="str">
            <v>1996NE</v>
          </cell>
          <cell r="V331">
            <v>6.4414679000000002E-2</v>
          </cell>
          <cell r="W331">
            <v>4.2778770000000001E-2</v>
          </cell>
          <cell r="X331">
            <v>0.26427035900000001</v>
          </cell>
          <cell r="Y331">
            <v>0.16232540500000001</v>
          </cell>
          <cell r="Z331">
            <v>0.46621078799999999</v>
          </cell>
          <cell r="AB331" t="str">
            <v>1996NE</v>
          </cell>
          <cell r="AC331">
            <v>0</v>
          </cell>
          <cell r="AD331">
            <v>0</v>
          </cell>
          <cell r="AE331">
            <v>1.3333332999999999E-2</v>
          </cell>
          <cell r="AF331">
            <v>0.98666666700000005</v>
          </cell>
        </row>
        <row r="332">
          <cell r="B332" t="str">
            <v>1996NV</v>
          </cell>
          <cell r="C332">
            <v>0.62277608207003954</v>
          </cell>
          <cell r="D332">
            <v>0.21531055812319289</v>
          </cell>
          <cell r="E332">
            <v>2.7421395047170068E-2</v>
          </cell>
          <cell r="F332">
            <v>0.11218659184225628</v>
          </cell>
          <cell r="G332">
            <v>1.6234557266732525E-2</v>
          </cell>
          <cell r="H332">
            <v>6.0708156506087945E-3</v>
          </cell>
          <cell r="J332" t="str">
            <v>1996NV</v>
          </cell>
          <cell r="K332">
            <v>0.95634404768609738</v>
          </cell>
          <cell r="L332">
            <v>1.6234557266732525E-2</v>
          </cell>
          <cell r="M332">
            <v>2.7421395047170068E-2</v>
          </cell>
          <cell r="U332" t="str">
            <v>1996NV</v>
          </cell>
          <cell r="V332">
            <v>1</v>
          </cell>
          <cell r="W332">
            <v>0</v>
          </cell>
          <cell r="X332">
            <v>0</v>
          </cell>
          <cell r="Y332">
            <v>0</v>
          </cell>
          <cell r="Z332">
            <v>0</v>
          </cell>
          <cell r="AB332" t="str">
            <v>1996NV</v>
          </cell>
          <cell r="AC332">
            <v>8.3333333333333287E-2</v>
          </cell>
          <cell r="AD332">
            <v>0</v>
          </cell>
          <cell r="AE332">
            <v>0</v>
          </cell>
          <cell r="AF332">
            <v>0.91666666699999999</v>
          </cell>
        </row>
        <row r="333">
          <cell r="B333" t="str">
            <v>1996NH</v>
          </cell>
          <cell r="C333">
            <v>4.7014514401839208E-2</v>
          </cell>
          <cell r="D333">
            <v>0.13358739298530603</v>
          </cell>
          <cell r="E333">
            <v>0.45518042692071103</v>
          </cell>
          <cell r="F333">
            <v>0.2561949550741342</v>
          </cell>
          <cell r="G333">
            <v>7.6218570217486625E-2</v>
          </cell>
          <cell r="H333">
            <v>3.1804140400522839E-2</v>
          </cell>
          <cell r="J333" t="str">
            <v>1996NH</v>
          </cell>
          <cell r="K333">
            <v>0.4686010028618024</v>
          </cell>
          <cell r="L333">
            <v>7.6218570217486625E-2</v>
          </cell>
          <cell r="M333">
            <v>0.45518042692071103</v>
          </cell>
          <cell r="U333" t="str">
            <v>1996NH</v>
          </cell>
          <cell r="V333">
            <v>0.703943973</v>
          </cell>
          <cell r="W333">
            <v>1.3026464999999999E-2</v>
          </cell>
          <cell r="X333">
            <v>8.1711462999999998E-2</v>
          </cell>
          <cell r="Y333">
            <v>6.2467821999999999E-2</v>
          </cell>
          <cell r="Z333">
            <v>0.13885027599999999</v>
          </cell>
          <cell r="AB333" t="str">
            <v>1996NH</v>
          </cell>
          <cell r="AC333">
            <v>0</v>
          </cell>
          <cell r="AD333">
            <v>0</v>
          </cell>
          <cell r="AE333">
            <v>3.3333333E-2</v>
          </cell>
          <cell r="AF333">
            <v>0.96666666700000003</v>
          </cell>
        </row>
        <row r="334">
          <cell r="B334" t="str">
            <v>1996NJ</v>
          </cell>
          <cell r="C334">
            <v>4.3073116566447626E-2</v>
          </cell>
          <cell r="D334">
            <v>0.12615519451670287</v>
          </cell>
          <cell r="E334">
            <v>0.45833800322439117</v>
          </cell>
          <cell r="F334">
            <v>0.26176333893228537</v>
          </cell>
          <cell r="G334">
            <v>7.9066856175385433E-2</v>
          </cell>
          <cell r="H334">
            <v>3.1603490584787522E-2</v>
          </cell>
          <cell r="J334" t="str">
            <v>1996NJ</v>
          </cell>
          <cell r="K334">
            <v>0.46259514060022344</v>
          </cell>
          <cell r="L334">
            <v>7.9066856175385433E-2</v>
          </cell>
          <cell r="M334">
            <v>0.45833800322439117</v>
          </cell>
          <cell r="U334" t="str">
            <v>1996NJ</v>
          </cell>
          <cell r="V334">
            <v>0.49169031499999999</v>
          </cell>
          <cell r="W334">
            <v>2.2365626E-2</v>
          </cell>
          <cell r="X334">
            <v>0.140293473</v>
          </cell>
          <cell r="Y334">
            <v>0.107253344</v>
          </cell>
          <cell r="Z334">
            <v>0.23839724200000001</v>
          </cell>
          <cell r="AB334" t="str">
            <v>1996NJ</v>
          </cell>
          <cell r="AC334">
            <v>3.3333333333333326E-2</v>
          </cell>
          <cell r="AD334">
            <v>0.03</v>
          </cell>
          <cell r="AE334">
            <v>3.3333333E-2</v>
          </cell>
          <cell r="AF334">
            <v>0.90333333299999996</v>
          </cell>
        </row>
        <row r="335">
          <cell r="B335" t="str">
            <v>1996NM</v>
          </cell>
          <cell r="C335">
            <v>0.60655454136306697</v>
          </cell>
          <cell r="D335">
            <v>0.19736327998807723</v>
          </cell>
          <cell r="E335">
            <v>9.7709153270986809E-2</v>
          </cell>
          <cell r="F335">
            <v>9.6696619768156467E-2</v>
          </cell>
          <cell r="G335">
            <v>0</v>
          </cell>
          <cell r="H335">
            <v>1.6764056097125768E-3</v>
          </cell>
          <cell r="J335" t="str">
            <v>1996NM</v>
          </cell>
          <cell r="K335">
            <v>0.90229084672901316</v>
          </cell>
          <cell r="L335">
            <v>0</v>
          </cell>
          <cell r="M335">
            <v>9.7709153270986809E-2</v>
          </cell>
          <cell r="U335" t="str">
            <v>1996NM</v>
          </cell>
          <cell r="V335">
            <v>1</v>
          </cell>
          <cell r="W335">
            <v>0</v>
          </cell>
          <cell r="X335">
            <v>0</v>
          </cell>
          <cell r="Y335">
            <v>0</v>
          </cell>
          <cell r="Z335">
            <v>0</v>
          </cell>
          <cell r="AB335" t="str">
            <v>1996NM</v>
          </cell>
          <cell r="AC335">
            <v>8.3333333333333287E-2</v>
          </cell>
          <cell r="AD335">
            <v>3.3333333333333326E-2</v>
          </cell>
          <cell r="AE335">
            <v>0.46666666699999998</v>
          </cell>
          <cell r="AF335">
            <v>0.41666666699999999</v>
          </cell>
        </row>
        <row r="336">
          <cell r="B336" t="str">
            <v>1996NY</v>
          </cell>
          <cell r="C336">
            <v>6.6694657478405556E-2</v>
          </cell>
          <cell r="D336">
            <v>0.13862218563483408</v>
          </cell>
          <cell r="E336">
            <v>0.45827344199073783</v>
          </cell>
          <cell r="F336">
            <v>0.23355321931321837</v>
          </cell>
          <cell r="G336">
            <v>7.9008618832070901E-2</v>
          </cell>
          <cell r="H336">
            <v>2.3847876750733382E-2</v>
          </cell>
          <cell r="J336" t="str">
            <v>1996NY</v>
          </cell>
          <cell r="K336">
            <v>0.46271793917719128</v>
          </cell>
          <cell r="L336">
            <v>7.9008618832070901E-2</v>
          </cell>
          <cell r="M336">
            <v>0.45827344199073783</v>
          </cell>
          <cell r="U336" t="str">
            <v>1996NY</v>
          </cell>
          <cell r="V336">
            <v>0.33489157800000002</v>
          </cell>
          <cell r="W336">
            <v>3.3399273E-2</v>
          </cell>
          <cell r="X336">
            <v>0.17909088100000001</v>
          </cell>
          <cell r="Y336">
            <v>0.12655620300000001</v>
          </cell>
          <cell r="Z336">
            <v>0.32606206599999998</v>
          </cell>
          <cell r="AB336" t="str">
            <v>1996NY</v>
          </cell>
          <cell r="AC336">
            <v>3.3333333333333326E-2</v>
          </cell>
          <cell r="AD336">
            <v>0.1</v>
          </cell>
          <cell r="AE336">
            <v>3.3333333E-2</v>
          </cell>
          <cell r="AF336">
            <v>0.83333333300000001</v>
          </cell>
        </row>
        <row r="337">
          <cell r="B337" t="str">
            <v>1996NC</v>
          </cell>
          <cell r="C337">
            <v>3.1852972422199262E-2</v>
          </cell>
          <cell r="D337">
            <v>8.125703301923988E-2</v>
          </cell>
          <cell r="E337">
            <v>0.13912499999999997</v>
          </cell>
          <cell r="F337">
            <v>0.1030602865282331</v>
          </cell>
          <cell r="G337">
            <v>0.629</v>
          </cell>
          <cell r="H337">
            <v>1.5704708030327759E-2</v>
          </cell>
          <cell r="J337" t="str">
            <v>1996NC</v>
          </cell>
          <cell r="K337">
            <v>0.23187500000000005</v>
          </cell>
          <cell r="L337">
            <v>0.629</v>
          </cell>
          <cell r="M337">
            <v>0.13912499999999997</v>
          </cell>
          <cell r="U337" t="str">
            <v>1996NC</v>
          </cell>
          <cell r="V337">
            <v>6.3782960000000003E-3</v>
          </cell>
          <cell r="W337">
            <v>3.7217979999999998E-2</v>
          </cell>
          <cell r="X337">
            <v>6.8981889000000005E-2</v>
          </cell>
          <cell r="Y337">
            <v>0.56908734900000002</v>
          </cell>
          <cell r="Z337">
            <v>0.31833448600000003</v>
          </cell>
          <cell r="AB337" t="str">
            <v>1996NC</v>
          </cell>
          <cell r="AC337">
            <v>0.16666666666666657</v>
          </cell>
          <cell r="AD337">
            <v>1.6666666666666663E-2</v>
          </cell>
          <cell r="AE337">
            <v>0.37933333299999999</v>
          </cell>
          <cell r="AF337">
            <v>0.43733333299999999</v>
          </cell>
        </row>
        <row r="338">
          <cell r="B338" t="str">
            <v>1996ND</v>
          </cell>
          <cell r="C338">
            <v>3.2338384044211049E-2</v>
          </cell>
          <cell r="D338">
            <v>0.12269557780848669</v>
          </cell>
          <cell r="E338">
            <v>0.21040131383166349</v>
          </cell>
          <cell r="F338">
            <v>0.47179640128138384</v>
          </cell>
          <cell r="G338">
            <v>0.12456595196998979</v>
          </cell>
          <cell r="H338">
            <v>3.8202371064265259E-2</v>
          </cell>
          <cell r="J338" t="str">
            <v>1996ND</v>
          </cell>
          <cell r="K338">
            <v>0.66503273419834674</v>
          </cell>
          <cell r="L338">
            <v>0.12456595196998979</v>
          </cell>
          <cell r="M338">
            <v>0.21040131383166349</v>
          </cell>
          <cell r="U338" t="str">
            <v>1996ND</v>
          </cell>
          <cell r="V338">
            <v>0.15961915400000001</v>
          </cell>
          <cell r="W338">
            <v>4.1348834000000001E-2</v>
          </cell>
          <cell r="X338">
            <v>0.22720869699999999</v>
          </cell>
          <cell r="Y338">
            <v>0.16274676900000001</v>
          </cell>
          <cell r="Z338">
            <v>0.40907654500000001</v>
          </cell>
          <cell r="AB338" t="str">
            <v>1996ND</v>
          </cell>
          <cell r="AC338">
            <v>0</v>
          </cell>
          <cell r="AD338">
            <v>1.6666666666666663E-2</v>
          </cell>
          <cell r="AE338">
            <v>0.03</v>
          </cell>
          <cell r="AF338">
            <v>0.953333333</v>
          </cell>
        </row>
        <row r="339">
          <cell r="B339" t="str">
            <v>1996OH</v>
          </cell>
          <cell r="C339">
            <v>5.2504058895586771E-2</v>
          </cell>
          <cell r="D339">
            <v>0.16623544150395891</v>
          </cell>
          <cell r="E339">
            <v>0.17528309284535104</v>
          </cell>
          <cell r="F339">
            <v>0.45735328834124228</v>
          </cell>
          <cell r="G339">
            <v>0.10377456740595409</v>
          </cell>
          <cell r="H339">
            <v>4.4849551007907017E-2</v>
          </cell>
          <cell r="J339" t="str">
            <v>1996OH</v>
          </cell>
          <cell r="K339">
            <v>0.72094233974869493</v>
          </cell>
          <cell r="L339">
            <v>0.10377456740595409</v>
          </cell>
          <cell r="M339">
            <v>0.17528309284535104</v>
          </cell>
          <cell r="U339" t="str">
            <v>1996OH</v>
          </cell>
          <cell r="V339">
            <v>0.110457638</v>
          </cell>
          <cell r="W339">
            <v>4.0332231000000003E-2</v>
          </cell>
          <cell r="X339">
            <v>0.24998507</v>
          </cell>
          <cell r="Y339">
            <v>0.161759447</v>
          </cell>
          <cell r="Z339">
            <v>0.437465614</v>
          </cell>
          <cell r="AB339" t="str">
            <v>1996OH</v>
          </cell>
          <cell r="AC339">
            <v>0</v>
          </cell>
          <cell r="AD339">
            <v>0</v>
          </cell>
          <cell r="AE339">
            <v>0</v>
          </cell>
          <cell r="AF339">
            <v>1</v>
          </cell>
        </row>
        <row r="340">
          <cell r="B340" t="str">
            <v>1996OK</v>
          </cell>
          <cell r="C340">
            <v>0.29492969333914643</v>
          </cell>
          <cell r="D340">
            <v>0.22975241506560046</v>
          </cell>
          <cell r="E340">
            <v>0.05</v>
          </cell>
          <cell r="F340">
            <v>0.33369597489066577</v>
          </cell>
          <cell r="G340">
            <v>0</v>
          </cell>
          <cell r="H340">
            <v>9.1621916704587192E-2</v>
          </cell>
          <cell r="J340" t="str">
            <v>1996OK</v>
          </cell>
          <cell r="K340">
            <v>0.95</v>
          </cell>
          <cell r="L340">
            <v>0</v>
          </cell>
          <cell r="M340">
            <v>0.05</v>
          </cell>
          <cell r="U340" t="str">
            <v>1996OK</v>
          </cell>
          <cell r="V340">
            <v>7.0810659999999997E-2</v>
          </cell>
          <cell r="W340">
            <v>3.5042110000000001E-2</v>
          </cell>
          <cell r="X340">
            <v>7.2008981999999999E-2</v>
          </cell>
          <cell r="Y340">
            <v>0.51905033499999997</v>
          </cell>
          <cell r="Z340">
            <v>0.30308791400000001</v>
          </cell>
          <cell r="AB340" t="str">
            <v>1996OK</v>
          </cell>
          <cell r="AC340">
            <v>0</v>
          </cell>
          <cell r="AD340">
            <v>6.6666666666666652E-2</v>
          </cell>
          <cell r="AE340">
            <v>0.4</v>
          </cell>
          <cell r="AF340">
            <v>0.53333333299999997</v>
          </cell>
        </row>
        <row r="341">
          <cell r="B341" t="str">
            <v>1996OR</v>
          </cell>
          <cell r="C341">
            <v>0.32452485970001627</v>
          </cell>
          <cell r="D341">
            <v>0.20064729578256216</v>
          </cell>
          <cell r="E341">
            <v>0</v>
          </cell>
          <cell r="F341">
            <v>0.12917179297839015</v>
          </cell>
          <cell r="G341">
            <v>0.31790698183618338</v>
          </cell>
          <cell r="H341">
            <v>2.7749069702848132E-2</v>
          </cell>
          <cell r="J341" t="str">
            <v>1996OR</v>
          </cell>
          <cell r="K341">
            <v>0.68209301816381662</v>
          </cell>
          <cell r="L341">
            <v>0.31790698183618338</v>
          </cell>
          <cell r="M341">
            <v>0</v>
          </cell>
          <cell r="U341" t="str">
            <v>1996OR</v>
          </cell>
          <cell r="V341">
            <v>0.62798630700000002</v>
          </cell>
          <cell r="W341">
            <v>1.6368601999999999E-2</v>
          </cell>
          <cell r="X341">
            <v>0.10267577899999999</v>
          </cell>
          <cell r="Y341">
            <v>7.8494888999999998E-2</v>
          </cell>
          <cell r="Z341">
            <v>0.17447442199999999</v>
          </cell>
          <cell r="AB341" t="str">
            <v>1996OR</v>
          </cell>
          <cell r="AC341">
            <v>0</v>
          </cell>
          <cell r="AD341">
            <v>0.03</v>
          </cell>
          <cell r="AE341">
            <v>0.203333333</v>
          </cell>
          <cell r="AF341">
            <v>0.76666666699999997</v>
          </cell>
        </row>
        <row r="342">
          <cell r="B342" t="str">
            <v>1996PA</v>
          </cell>
          <cell r="C342">
            <v>3.0889498997070341E-2</v>
          </cell>
          <cell r="D342">
            <v>9.5054720071514831E-2</v>
          </cell>
          <cell r="E342">
            <v>0.47938577000005489</v>
          </cell>
          <cell r="F342">
            <v>0.27211186250169039</v>
          </cell>
          <cell r="G342">
            <v>9.8052955888124682E-2</v>
          </cell>
          <cell r="H342">
            <v>2.4505192541545009E-2</v>
          </cell>
          <cell r="J342" t="str">
            <v>1996PA</v>
          </cell>
          <cell r="K342">
            <v>0.42256127411182043</v>
          </cell>
          <cell r="L342">
            <v>9.8052955888124682E-2</v>
          </cell>
          <cell r="M342">
            <v>0.47938577000005489</v>
          </cell>
          <cell r="U342" t="str">
            <v>1996PA</v>
          </cell>
          <cell r="V342">
            <v>7.0547638999999995E-2</v>
          </cell>
          <cell r="W342">
            <v>4.7163547E-2</v>
          </cell>
          <cell r="X342">
            <v>0.24973890500000001</v>
          </cell>
          <cell r="Y342">
            <v>0.175222303</v>
          </cell>
          <cell r="Z342">
            <v>0.457327606</v>
          </cell>
          <cell r="AB342" t="str">
            <v>1996PA</v>
          </cell>
          <cell r="AC342">
            <v>0.1</v>
          </cell>
          <cell r="AD342">
            <v>1.6666666666666663E-2</v>
          </cell>
          <cell r="AE342">
            <v>0</v>
          </cell>
          <cell r="AF342">
            <v>0.88333333300000005</v>
          </cell>
        </row>
        <row r="343">
          <cell r="B343" t="str">
            <v>1996RI</v>
          </cell>
          <cell r="C343">
            <v>1.671246386283258E-2</v>
          </cell>
          <cell r="D343">
            <v>6.4360940415318743E-2</v>
          </cell>
          <cell r="E343">
            <v>0.50228397668869318</v>
          </cell>
          <cell r="F343">
            <v>0.27903325612697721</v>
          </cell>
          <cell r="G343">
            <v>0.11870824155653446</v>
          </cell>
          <cell r="H343">
            <v>1.8901121349643807E-2</v>
          </cell>
          <cell r="J343" t="str">
            <v>1996RI</v>
          </cell>
          <cell r="K343">
            <v>0.37900778175477234</v>
          </cell>
          <cell r="L343">
            <v>0.11870824155653446</v>
          </cell>
          <cell r="M343">
            <v>0.50228397668869318</v>
          </cell>
          <cell r="U343" t="str">
            <v>1996RI</v>
          </cell>
          <cell r="V343">
            <v>0.40937223499999997</v>
          </cell>
          <cell r="W343">
            <v>2.5987621999999998E-2</v>
          </cell>
          <cell r="X343">
            <v>0.16301326299999999</v>
          </cell>
          <cell r="Y343">
            <v>0.12462245800000001</v>
          </cell>
          <cell r="Z343">
            <v>0.27700442199999997</v>
          </cell>
          <cell r="AB343" t="str">
            <v>1996RI</v>
          </cell>
          <cell r="AC343">
            <v>3.3333333333333326E-2</v>
          </cell>
          <cell r="AD343">
            <v>0.03</v>
          </cell>
          <cell r="AE343">
            <v>3.3333333E-2</v>
          </cell>
          <cell r="AF343">
            <v>0.90333333299999996</v>
          </cell>
        </row>
        <row r="344">
          <cell r="B344" t="str">
            <v>1996SC</v>
          </cell>
          <cell r="C344">
            <v>9.0747270153103188E-2</v>
          </cell>
          <cell r="D344">
            <v>7.0778572082495536E-2</v>
          </cell>
          <cell r="E344">
            <v>0.14073687858283992</v>
          </cell>
          <cell r="F344">
            <v>7.4709958177342897E-2</v>
          </cell>
          <cell r="G344">
            <v>0.61943786611534013</v>
          </cell>
          <cell r="H344">
            <v>3.5894548888783921E-3</v>
          </cell>
          <cell r="J344" t="str">
            <v>1996SC</v>
          </cell>
          <cell r="K344">
            <v>0.23982525530181997</v>
          </cell>
          <cell r="L344">
            <v>0.61943786611534013</v>
          </cell>
          <cell r="M344">
            <v>0.14073687858283992</v>
          </cell>
          <cell r="U344" t="str">
            <v>1996SC</v>
          </cell>
          <cell r="V344">
            <v>0.10451698</v>
          </cell>
          <cell r="W344">
            <v>3.5357735000000001E-2</v>
          </cell>
          <cell r="X344">
            <v>0.11949367700000001</v>
          </cell>
          <cell r="Y344">
            <v>0.41249569200000002</v>
          </cell>
          <cell r="Z344">
            <v>0.32813591600000003</v>
          </cell>
          <cell r="AB344" t="str">
            <v>1996SC</v>
          </cell>
          <cell r="AC344">
            <v>3.3333333333333326E-2</v>
          </cell>
          <cell r="AD344">
            <v>0</v>
          </cell>
          <cell r="AE344">
            <v>0.53333333299999997</v>
          </cell>
          <cell r="AF344">
            <v>0.43333333299999999</v>
          </cell>
        </row>
        <row r="345">
          <cell r="B345" t="str">
            <v>1996SD</v>
          </cell>
          <cell r="C345">
            <v>4.8344708946917975E-2</v>
          </cell>
          <cell r="D345">
            <v>0.15812550786860022</v>
          </cell>
          <cell r="E345">
            <v>0.17921682582675416</v>
          </cell>
          <cell r="F345">
            <v>0.46460910732080535</v>
          </cell>
          <cell r="G345">
            <v>0.10610349389743155</v>
          </cell>
          <cell r="H345">
            <v>4.3600356139490627E-2</v>
          </cell>
          <cell r="J345" t="str">
            <v>1996SD</v>
          </cell>
          <cell r="K345">
            <v>0.7146796802758143</v>
          </cell>
          <cell r="L345">
            <v>0.10610349389743155</v>
          </cell>
          <cell r="M345">
            <v>0.17921682582675416</v>
          </cell>
          <cell r="U345" t="str">
            <v>1996SD</v>
          </cell>
          <cell r="V345">
            <v>9.2280595000000007E-2</v>
          </cell>
          <cell r="W345">
            <v>4.5171027000000002E-2</v>
          </cell>
          <cell r="X345">
            <v>0.24486323500000001</v>
          </cell>
          <cell r="Y345">
            <v>0.174090885</v>
          </cell>
          <cell r="Z345">
            <v>0.44359425899999999</v>
          </cell>
          <cell r="AB345" t="str">
            <v>1996SD</v>
          </cell>
          <cell r="AC345">
            <v>0</v>
          </cell>
          <cell r="AD345">
            <v>0</v>
          </cell>
          <cell r="AE345">
            <v>0.08</v>
          </cell>
          <cell r="AF345">
            <v>0.92</v>
          </cell>
        </row>
        <row r="346">
          <cell r="B346" t="str">
            <v>1996TN</v>
          </cell>
          <cell r="C346">
            <v>2.4042449506293983E-2</v>
          </cell>
          <cell r="D346">
            <v>6.6994752814434497E-2</v>
          </cell>
          <cell r="E346">
            <v>0.13967296898735421</v>
          </cell>
          <cell r="F346">
            <v>0.12769598603557086</v>
          </cell>
          <cell r="G346">
            <v>0.62574928814272646</v>
          </cell>
          <cell r="H346">
            <v>1.5844554513619893E-2</v>
          </cell>
          <cell r="J346" t="str">
            <v>1996TN</v>
          </cell>
          <cell r="K346">
            <v>0.23457774286991939</v>
          </cell>
          <cell r="L346">
            <v>0.62574928814272646</v>
          </cell>
          <cell r="M346">
            <v>0.13967296898735421</v>
          </cell>
          <cell r="U346" t="str">
            <v>1996TN</v>
          </cell>
          <cell r="V346">
            <v>0.15097164499999999</v>
          </cell>
          <cell r="W346">
            <v>3.4888205999999998E-2</v>
          </cell>
          <cell r="X346">
            <v>0.156380666</v>
          </cell>
          <cell r="Y346">
            <v>0.31564769300000001</v>
          </cell>
          <cell r="Z346">
            <v>0.342111789</v>
          </cell>
          <cell r="AB346" t="str">
            <v>1996TN</v>
          </cell>
          <cell r="AC346">
            <v>0</v>
          </cell>
          <cell r="AD346">
            <v>0.3</v>
          </cell>
          <cell r="AE346">
            <v>5.6666666999999997E-2</v>
          </cell>
          <cell r="AF346">
            <v>0.64333333299999995</v>
          </cell>
        </row>
        <row r="347">
          <cell r="B347" t="str">
            <v>1996TX</v>
          </cell>
          <cell r="C347">
            <v>0.47603592650005222</v>
          </cell>
          <cell r="D347">
            <v>0.25780872231102975</v>
          </cell>
          <cell r="E347">
            <v>6.9504830088986072E-2</v>
          </cell>
          <cell r="F347">
            <v>0.16476090131838944</v>
          </cell>
          <cell r="G347">
            <v>0</v>
          </cell>
          <cell r="H347">
            <v>3.1889619781542748E-2</v>
          </cell>
          <cell r="J347" t="str">
            <v>1996TX</v>
          </cell>
          <cell r="K347">
            <v>0.93049516991101389</v>
          </cell>
          <cell r="L347">
            <v>0</v>
          </cell>
          <cell r="M347">
            <v>6.9504830088986072E-2</v>
          </cell>
          <cell r="U347" t="str">
            <v>1996TX</v>
          </cell>
          <cell r="V347">
            <v>0.151478855</v>
          </cell>
          <cell r="W347">
            <v>3.2751341000000003E-2</v>
          </cell>
          <cell r="X347">
            <v>8.9481374000000002E-2</v>
          </cell>
          <cell r="Y347">
            <v>0.43244496900000001</v>
          </cell>
          <cell r="Z347">
            <v>0.29384346099999997</v>
          </cell>
          <cell r="AB347" t="str">
            <v>1996TX</v>
          </cell>
          <cell r="AC347">
            <v>0.16666666666666657</v>
          </cell>
          <cell r="AD347">
            <v>0</v>
          </cell>
          <cell r="AE347">
            <v>0.21333333300000001</v>
          </cell>
          <cell r="AF347">
            <v>0.62</v>
          </cell>
        </row>
        <row r="348">
          <cell r="B348" t="str">
            <v>1996UT</v>
          </cell>
          <cell r="C348">
            <v>0.39655758389465573</v>
          </cell>
          <cell r="D348">
            <v>0.27701184419419439</v>
          </cell>
          <cell r="E348">
            <v>2.950196698847142E-2</v>
          </cell>
          <cell r="F348">
            <v>0.22443193382969989</v>
          </cell>
          <cell r="G348">
            <v>1.7466338664816408E-2</v>
          </cell>
          <cell r="H348">
            <v>5.5030332428162305E-2</v>
          </cell>
          <cell r="J348" t="str">
            <v>1996UT</v>
          </cell>
          <cell r="K348">
            <v>0.9530316943467122</v>
          </cell>
          <cell r="L348">
            <v>1.7466338664816408E-2</v>
          </cell>
          <cell r="M348">
            <v>2.950196698847142E-2</v>
          </cell>
          <cell r="U348" t="str">
            <v>1996UT</v>
          </cell>
          <cell r="V348">
            <v>0.13012917299999999</v>
          </cell>
          <cell r="W348">
            <v>4.7242986000000001E-2</v>
          </cell>
          <cell r="X348">
            <v>0.230368289</v>
          </cell>
          <cell r="Y348">
            <v>0.153647178</v>
          </cell>
          <cell r="Z348">
            <v>0.438612373</v>
          </cell>
          <cell r="AB348" t="str">
            <v>1996UT</v>
          </cell>
          <cell r="AC348">
            <v>0.16666666666666657</v>
          </cell>
          <cell r="AD348">
            <v>0</v>
          </cell>
          <cell r="AE348">
            <v>0.4</v>
          </cell>
          <cell r="AF348">
            <v>0.43333333299999999</v>
          </cell>
        </row>
        <row r="349">
          <cell r="B349" t="str">
            <v>1996VT</v>
          </cell>
          <cell r="C349">
            <v>5.9099001792857944E-2</v>
          </cell>
          <cell r="D349">
            <v>0.13336185886336732</v>
          </cell>
          <cell r="E349">
            <v>0.45819171507506229</v>
          </cell>
          <cell r="F349">
            <v>0.24374901377005803</v>
          </cell>
          <cell r="G349">
            <v>7.8934897216530103E-2</v>
          </cell>
          <cell r="H349">
            <v>2.666351328212424E-2</v>
          </cell>
          <cell r="J349" t="str">
            <v>1996VT</v>
          </cell>
          <cell r="K349">
            <v>0.46287338770840758</v>
          </cell>
          <cell r="L349">
            <v>7.8934897216530103E-2</v>
          </cell>
          <cell r="M349">
            <v>0.45819171507506229</v>
          </cell>
          <cell r="U349" t="str">
            <v>1996VT</v>
          </cell>
          <cell r="V349">
            <v>1</v>
          </cell>
          <cell r="W349">
            <v>0</v>
          </cell>
          <cell r="X349">
            <v>0</v>
          </cell>
          <cell r="Y349">
            <v>0</v>
          </cell>
          <cell r="Z349">
            <v>0</v>
          </cell>
          <cell r="AB349" t="str">
            <v>1996VT</v>
          </cell>
          <cell r="AC349">
            <v>3.3333333333333326E-2</v>
          </cell>
          <cell r="AD349">
            <v>0.03</v>
          </cell>
          <cell r="AE349">
            <v>3.3333333E-2</v>
          </cell>
          <cell r="AF349">
            <v>0.90333333299999996</v>
          </cell>
        </row>
        <row r="350">
          <cell r="B350" t="str">
            <v>1996VA</v>
          </cell>
          <cell r="C350">
            <v>2.5366133647114028E-2</v>
          </cell>
          <cell r="D350">
            <v>7.0264163077118025E-2</v>
          </cell>
          <cell r="E350">
            <v>0.13980643937500439</v>
          </cell>
          <cell r="F350">
            <v>0.12253257742725063</v>
          </cell>
          <cell r="G350">
            <v>0.62495750287432239</v>
          </cell>
          <cell r="H350">
            <v>1.7073183599190404E-2</v>
          </cell>
          <cell r="J350" t="str">
            <v>1996VA</v>
          </cell>
          <cell r="K350">
            <v>0.23523605775067324</v>
          </cell>
          <cell r="L350">
            <v>0.62495750287432239</v>
          </cell>
          <cell r="M350">
            <v>0.13980643937500439</v>
          </cell>
          <cell r="U350" t="str">
            <v>1996VA</v>
          </cell>
          <cell r="V350">
            <v>5.9090785999999999E-2</v>
          </cell>
          <cell r="W350">
            <v>3.6115868000000002E-2</v>
          </cell>
          <cell r="X350">
            <v>9.2863185000000001E-2</v>
          </cell>
          <cell r="Y350">
            <v>0.49066914099999998</v>
          </cell>
          <cell r="Z350">
            <v>0.32126102000000001</v>
          </cell>
          <cell r="AB350" t="str">
            <v>1996VA</v>
          </cell>
          <cell r="AC350">
            <v>0.23333333333333339</v>
          </cell>
          <cell r="AD350">
            <v>0</v>
          </cell>
          <cell r="AE350">
            <v>3.3333333E-2</v>
          </cell>
          <cell r="AF350">
            <v>0.73333333300000003</v>
          </cell>
        </row>
        <row r="351">
          <cell r="B351" t="str">
            <v>1996WA</v>
          </cell>
          <cell r="C351">
            <v>0.41069473978730114</v>
          </cell>
          <cell r="D351">
            <v>0.21636585407869507</v>
          </cell>
          <cell r="E351">
            <v>0</v>
          </cell>
          <cell r="F351">
            <v>0.11423729958178908</v>
          </cell>
          <cell r="G351">
            <v>0.23975492477577451</v>
          </cell>
          <cell r="H351">
            <v>1.8947181776440204E-2</v>
          </cell>
          <cell r="J351" t="str">
            <v>1996WA</v>
          </cell>
          <cell r="K351">
            <v>0.76024507522422546</v>
          </cell>
          <cell r="L351">
            <v>0.23975492477577451</v>
          </cell>
          <cell r="M351">
            <v>0</v>
          </cell>
          <cell r="U351" t="str">
            <v>1996WA</v>
          </cell>
          <cell r="V351">
            <v>0.30343793400000002</v>
          </cell>
          <cell r="W351">
            <v>3.3875005E-2</v>
          </cell>
          <cell r="X351">
            <v>0.18875600000000001</v>
          </cell>
          <cell r="Y351">
            <v>0.13622034899999999</v>
          </cell>
          <cell r="Z351">
            <v>0.33771071200000002</v>
          </cell>
          <cell r="AB351" t="str">
            <v>1996WA</v>
          </cell>
          <cell r="AC351">
            <v>0</v>
          </cell>
          <cell r="AD351">
            <v>3.3333333333333326E-2</v>
          </cell>
          <cell r="AE351">
            <v>0.08</v>
          </cell>
          <cell r="AF351">
            <v>0.88666666699999996</v>
          </cell>
        </row>
        <row r="352">
          <cell r="B352" t="str">
            <v>1996WV</v>
          </cell>
          <cell r="C352">
            <v>3.6757412638180491E-2</v>
          </cell>
          <cell r="D352">
            <v>0.11081744527983192</v>
          </cell>
          <cell r="E352">
            <v>0.46868458905965693</v>
          </cell>
          <cell r="F352">
            <v>0.26740402887768677</v>
          </cell>
          <cell r="G352">
            <v>8.839997509714706E-2</v>
          </cell>
          <cell r="H352">
            <v>2.7936549047496907E-2</v>
          </cell>
          <cell r="J352" t="str">
            <v>1996WV</v>
          </cell>
          <cell r="K352">
            <v>0.44291543584319604</v>
          </cell>
          <cell r="L352">
            <v>8.839997509714706E-2</v>
          </cell>
          <cell r="M352">
            <v>0.46868458905965693</v>
          </cell>
          <cell r="U352" t="str">
            <v>1996WV</v>
          </cell>
          <cell r="V352">
            <v>0.47306705799999998</v>
          </cell>
          <cell r="W352">
            <v>2.3185048999999999E-2</v>
          </cell>
          <cell r="X352">
            <v>0.145433492</v>
          </cell>
          <cell r="Y352">
            <v>0.111182851</v>
          </cell>
          <cell r="Z352">
            <v>0.24713155000000001</v>
          </cell>
          <cell r="AB352" t="str">
            <v>1996WV</v>
          </cell>
          <cell r="AC352">
            <v>0.33333333333333315</v>
          </cell>
          <cell r="AD352">
            <v>0</v>
          </cell>
          <cell r="AE352">
            <v>3.3333333E-2</v>
          </cell>
          <cell r="AF352">
            <v>0.63333333300000005</v>
          </cell>
        </row>
        <row r="353">
          <cell r="B353" t="str">
            <v>1996WI</v>
          </cell>
          <cell r="C353">
            <v>5.7402149817699671E-2</v>
          </cell>
          <cell r="D353">
            <v>0.1649026235213624</v>
          </cell>
          <cell r="E353">
            <v>0.17749598493649615</v>
          </cell>
          <cell r="F353">
            <v>0.45607502084487739</v>
          </cell>
          <cell r="G353">
            <v>0.10508468759921911</v>
          </cell>
          <cell r="H353">
            <v>3.9039533280345096E-2</v>
          </cell>
          <cell r="J353" t="str">
            <v>1996WI</v>
          </cell>
          <cell r="K353">
            <v>0.71741932746428472</v>
          </cell>
          <cell r="L353">
            <v>0.10508468759921911</v>
          </cell>
          <cell r="M353">
            <v>0.17749598493649615</v>
          </cell>
          <cell r="U353" t="str">
            <v>1996WI</v>
          </cell>
          <cell r="V353">
            <v>0.149707909</v>
          </cell>
          <cell r="W353">
            <v>4.0240736999999999E-2</v>
          </cell>
          <cell r="X353">
            <v>0.23161707500000001</v>
          </cell>
          <cell r="Y353">
            <v>0.16998534800000001</v>
          </cell>
          <cell r="Z353">
            <v>0.40844893100000002</v>
          </cell>
          <cell r="AB353" t="str">
            <v>1996WI</v>
          </cell>
          <cell r="AC353">
            <v>0.1333333333333333</v>
          </cell>
          <cell r="AD353">
            <v>1.6666666666666663E-2</v>
          </cell>
          <cell r="AE353">
            <v>1.3333332999999999E-2</v>
          </cell>
          <cell r="AF353">
            <v>0.83666666700000003</v>
          </cell>
        </row>
        <row r="354">
          <cell r="B354" t="str">
            <v>1996WY</v>
          </cell>
          <cell r="C354">
            <v>0.26991033958518751</v>
          </cell>
          <cell r="D354">
            <v>0.2120144632692661</v>
          </cell>
          <cell r="E354">
            <v>0.14206779953094328</v>
          </cell>
          <cell r="F354">
            <v>0.23036259818583699</v>
          </cell>
          <cell r="G354">
            <v>8.4109791762100733E-2</v>
          </cell>
          <cell r="H354">
            <v>6.1535007666665364E-2</v>
          </cell>
          <cell r="J354" t="str">
            <v>1996WY</v>
          </cell>
          <cell r="K354">
            <v>0.77382240870695596</v>
          </cell>
          <cell r="L354">
            <v>8.4109791762100733E-2</v>
          </cell>
          <cell r="M354">
            <v>0.14206779953094328</v>
          </cell>
          <cell r="U354" t="str">
            <v>1996WY</v>
          </cell>
          <cell r="V354">
            <v>0.11884380999999999</v>
          </cell>
          <cell r="W354">
            <v>4.7455272E-2</v>
          </cell>
          <cell r="X354">
            <v>0.23379100799999999</v>
          </cell>
          <cell r="Y354">
            <v>0.156975956</v>
          </cell>
          <cell r="Z354">
            <v>0.44293395400000002</v>
          </cell>
          <cell r="AB354" t="str">
            <v>1996WY</v>
          </cell>
          <cell r="AC354">
            <v>0</v>
          </cell>
          <cell r="AD354">
            <v>2.6666666666666658E-2</v>
          </cell>
          <cell r="AE354">
            <v>0.41333333300000002</v>
          </cell>
          <cell r="AF354">
            <v>0.56000000000000005</v>
          </cell>
        </row>
        <row r="355">
          <cell r="B355" t="str">
            <v>1997AL</v>
          </cell>
          <cell r="C355">
            <v>8.3287841050441805E-2</v>
          </cell>
          <cell r="D355">
            <v>6.6280067395127387E-2</v>
          </cell>
          <cell r="E355">
            <v>0.13912499999999997</v>
          </cell>
          <cell r="F355">
            <v>7.8469189328300604E-2</v>
          </cell>
          <cell r="G355">
            <v>0.629</v>
          </cell>
          <cell r="H355">
            <v>3.8379022261302224E-3</v>
          </cell>
          <cell r="J355" t="str">
            <v>1997AL</v>
          </cell>
          <cell r="K355">
            <v>0.23187500000000005</v>
          </cell>
          <cell r="L355">
            <v>0.629</v>
          </cell>
          <cell r="M355">
            <v>0.13912499999999997</v>
          </cell>
          <cell r="U355" t="str">
            <v>1997AL</v>
          </cell>
          <cell r="V355">
            <v>0.104438799</v>
          </cell>
          <cell r="W355">
            <v>3.5403545000000002E-2</v>
          </cell>
          <cell r="X355">
            <v>0.12085293599999999</v>
          </cell>
          <cell r="Y355">
            <v>0.41016973400000001</v>
          </cell>
          <cell r="Z355">
            <v>0.32913498600000002</v>
          </cell>
          <cell r="AB355" t="str">
            <v>1997AL</v>
          </cell>
          <cell r="AC355">
            <v>0</v>
          </cell>
          <cell r="AD355">
            <v>2.2222222222222213E-2</v>
          </cell>
          <cell r="AE355">
            <v>0.50366666699999996</v>
          </cell>
          <cell r="AF355">
            <v>0.47411111099999997</v>
          </cell>
        </row>
        <row r="356">
          <cell r="B356" t="str">
            <v>1997AK</v>
          </cell>
          <cell r="C356">
            <v>0.24930783825909028</v>
          </cell>
          <cell r="D356">
            <v>0.19551098253460006</v>
          </cell>
          <cell r="E356">
            <v>0.16819686081694404</v>
          </cell>
          <cell r="F356">
            <v>0.22648926007218692</v>
          </cell>
          <cell r="G356">
            <v>9.9579236006051453E-2</v>
          </cell>
          <cell r="H356">
            <v>6.0915822311127174E-2</v>
          </cell>
          <cell r="J356" t="str">
            <v>1997AK</v>
          </cell>
          <cell r="K356">
            <v>0.73222390317700448</v>
          </cell>
          <cell r="L356">
            <v>9.9579236006051453E-2</v>
          </cell>
          <cell r="M356">
            <v>0.16819686081694404</v>
          </cell>
          <cell r="U356" t="str">
            <v>1997AK</v>
          </cell>
          <cell r="V356">
            <v>1</v>
          </cell>
          <cell r="W356">
            <v>0</v>
          </cell>
          <cell r="X356">
            <v>0</v>
          </cell>
          <cell r="Y356">
            <v>0</v>
          </cell>
          <cell r="Z356">
            <v>0</v>
          </cell>
          <cell r="AB356" t="str">
            <v>1997AK</v>
          </cell>
          <cell r="AC356">
            <v>2.2222222222222213E-2</v>
          </cell>
          <cell r="AD356">
            <v>2.6666666666666648E-2</v>
          </cell>
          <cell r="AE356">
            <v>0.22777777799999999</v>
          </cell>
          <cell r="AF356">
            <v>0.72333333300000002</v>
          </cell>
        </row>
        <row r="357">
          <cell r="B357" t="str">
            <v>1997AZ</v>
          </cell>
          <cell r="C357">
            <v>0.60843528121746138</v>
          </cell>
          <cell r="D357">
            <v>0.20128728704935631</v>
          </cell>
          <cell r="E357">
            <v>9.729945997757751E-2</v>
          </cell>
          <cell r="F357">
            <v>9.2505565657700392E-2</v>
          </cell>
          <cell r="G357">
            <v>0</v>
          </cell>
          <cell r="H357">
            <v>4.7240609790436309E-4</v>
          </cell>
          <cell r="J357" t="str">
            <v>1997AZ</v>
          </cell>
          <cell r="K357">
            <v>0.9027005400224225</v>
          </cell>
          <cell r="L357">
            <v>0</v>
          </cell>
          <cell r="M357">
            <v>9.729945997757751E-2</v>
          </cell>
          <cell r="U357" t="str">
            <v>1997AZ</v>
          </cell>
          <cell r="V357">
            <v>6.3833398999999999E-2</v>
          </cell>
          <cell r="W357">
            <v>3.6672683999999997E-2</v>
          </cell>
          <cell r="X357">
            <v>0.115721861</v>
          </cell>
          <cell r="Y357">
            <v>0.44734774500000002</v>
          </cell>
          <cell r="Z357">
            <v>0.33642431099999998</v>
          </cell>
          <cell r="AB357" t="str">
            <v>1997AZ</v>
          </cell>
          <cell r="AC357">
            <v>0</v>
          </cell>
          <cell r="AD357">
            <v>0</v>
          </cell>
          <cell r="AE357">
            <v>0.46666666699999998</v>
          </cell>
          <cell r="AF357">
            <v>0.53333333299999997</v>
          </cell>
        </row>
        <row r="358">
          <cell r="B358" t="str">
            <v>1997AR</v>
          </cell>
          <cell r="C358">
            <v>5.8432500000000005E-2</v>
          </cell>
          <cell r="D358">
            <v>4.5911250000000008E-2</v>
          </cell>
          <cell r="E358">
            <v>0.13912499999999997</v>
          </cell>
          <cell r="F358">
            <v>0.12127062500000002</v>
          </cell>
          <cell r="G358">
            <v>0.629</v>
          </cell>
          <cell r="H358">
            <v>6.2606250000000006E-3</v>
          </cell>
          <cell r="J358" t="str">
            <v>1997AR</v>
          </cell>
          <cell r="K358">
            <v>0.23187500000000005</v>
          </cell>
          <cell r="L358">
            <v>0.629</v>
          </cell>
          <cell r="M358">
            <v>0.13912499999999997</v>
          </cell>
          <cell r="U358" t="str">
            <v>1997AR</v>
          </cell>
          <cell r="V358">
            <v>1.953674E-2</v>
          </cell>
          <cell r="W358">
            <v>3.7876459000000001E-2</v>
          </cell>
          <cell r="X358">
            <v>0.104418236</v>
          </cell>
          <cell r="Y358">
            <v>0.49789758699999997</v>
          </cell>
          <cell r="Z358">
            <v>0.340270978</v>
          </cell>
          <cell r="AB358" t="str">
            <v>1997AR</v>
          </cell>
          <cell r="AC358">
            <v>0</v>
          </cell>
          <cell r="AD358">
            <v>0.13333333333333341</v>
          </cell>
          <cell r="AE358">
            <v>8.8888888999999999E-2</v>
          </cell>
          <cell r="AF358">
            <v>0.77777777800000003</v>
          </cell>
        </row>
        <row r="359">
          <cell r="B359" t="str">
            <v>1997CA</v>
          </cell>
          <cell r="C359">
            <v>0.57231880421234249</v>
          </cell>
          <cell r="D359">
            <v>0.2127466101735839</v>
          </cell>
          <cell r="E359">
            <v>0.11038209520924191</v>
          </cell>
          <cell r="F359">
            <v>9.0490309472548963E-2</v>
          </cell>
          <cell r="G359">
            <v>1.1657504095658775E-2</v>
          </cell>
          <cell r="H359">
            <v>2.4046768366238419E-3</v>
          </cell>
          <cell r="J359" t="str">
            <v>1997CA</v>
          </cell>
          <cell r="K359">
            <v>0.87796040069509929</v>
          </cell>
          <cell r="L359">
            <v>1.1657504095658775E-2</v>
          </cell>
          <cell r="M359">
            <v>0.11038209520924191</v>
          </cell>
          <cell r="U359" t="str">
            <v>1997CA</v>
          </cell>
          <cell r="V359">
            <v>9.5931876999999999E-2</v>
          </cell>
          <cell r="W359">
            <v>3.4302747000000001E-2</v>
          </cell>
          <cell r="X359">
            <v>7.6629752999999995E-2</v>
          </cell>
          <cell r="Y359">
            <v>0.49351678999999998</v>
          </cell>
          <cell r="Z359">
            <v>0.29961883299999997</v>
          </cell>
          <cell r="AB359" t="str">
            <v>1997CA</v>
          </cell>
          <cell r="AC359">
            <v>0.1</v>
          </cell>
          <cell r="AD359">
            <v>6.6666666666666619E-3</v>
          </cell>
          <cell r="AE359">
            <v>0.108888889</v>
          </cell>
          <cell r="AF359">
            <v>0.78444444400000002</v>
          </cell>
        </row>
        <row r="360">
          <cell r="B360" t="str">
            <v>1997CO</v>
          </cell>
          <cell r="C360">
            <v>0.55554279327593059</v>
          </cell>
          <cell r="D360">
            <v>0.26615691040331363</v>
          </cell>
          <cell r="E360">
            <v>2.2057774473096203E-2</v>
          </cell>
          <cell r="F360">
            <v>0.12685566834570489</v>
          </cell>
          <cell r="G360">
            <v>1.3059080409445015E-2</v>
          </cell>
          <cell r="H360">
            <v>1.6327773092509639E-2</v>
          </cell>
          <cell r="J360" t="str">
            <v>1997CO</v>
          </cell>
          <cell r="K360">
            <v>0.96488314511745876</v>
          </cell>
          <cell r="L360">
            <v>1.3059080409445015E-2</v>
          </cell>
          <cell r="M360">
            <v>2.2057774473096203E-2</v>
          </cell>
          <cell r="U360" t="str">
            <v>1997CO</v>
          </cell>
          <cell r="V360">
            <v>2.4989839999999999E-2</v>
          </cell>
          <cell r="W360">
            <v>5.3849913999999999E-2</v>
          </cell>
          <cell r="X360">
            <v>0.257240882</v>
          </cell>
          <cell r="Y360">
            <v>0.169228922</v>
          </cell>
          <cell r="Z360">
            <v>0.49469044200000001</v>
          </cell>
          <cell r="AB360" t="str">
            <v>1997CO</v>
          </cell>
          <cell r="AC360">
            <v>0</v>
          </cell>
          <cell r="AD360">
            <v>1.7777777777777767E-2</v>
          </cell>
          <cell r="AE360">
            <v>0.47555555599999999</v>
          </cell>
          <cell r="AF360">
            <v>0.50666666699999996</v>
          </cell>
        </row>
        <row r="361">
          <cell r="B361" t="str">
            <v>1997CT</v>
          </cell>
          <cell r="C361">
            <v>7.4010677274818873E-2</v>
          </cell>
          <cell r="D361">
            <v>0.16578544401152337</v>
          </cell>
          <cell r="E361">
            <v>0.43966239374405452</v>
          </cell>
          <cell r="F361">
            <v>0.22580840885935419</v>
          </cell>
          <cell r="G361">
            <v>6.2220556633534554E-2</v>
          </cell>
          <cell r="H361">
            <v>3.251251947671456E-2</v>
          </cell>
          <cell r="J361" t="str">
            <v>1997CT</v>
          </cell>
          <cell r="K361">
            <v>0.49811704962241088</v>
          </cell>
          <cell r="L361">
            <v>6.2220556633534554E-2</v>
          </cell>
          <cell r="M361">
            <v>0.43966239374405452</v>
          </cell>
          <cell r="U361" t="str">
            <v>1997CT</v>
          </cell>
          <cell r="V361">
            <v>0.60220689699999996</v>
          </cell>
          <cell r="W361">
            <v>1.7502897E-2</v>
          </cell>
          <cell r="X361">
            <v>0.109790897</v>
          </cell>
          <cell r="Y361">
            <v>8.3934344999999994E-2</v>
          </cell>
          <cell r="Z361">
            <v>0.186564966</v>
          </cell>
          <cell r="AB361" t="str">
            <v>1997CT</v>
          </cell>
          <cell r="AC361">
            <v>0</v>
          </cell>
          <cell r="AD361">
            <v>0</v>
          </cell>
          <cell r="AE361">
            <v>3.8888889000000003E-2</v>
          </cell>
          <cell r="AF361">
            <v>0.96111111100000002</v>
          </cell>
        </row>
        <row r="362">
          <cell r="B362" t="str">
            <v>1997DE</v>
          </cell>
          <cell r="C362">
            <v>5.1024487308203942E-2</v>
          </cell>
          <cell r="D362">
            <v>0.1391769667794085</v>
          </cell>
          <cell r="E362">
            <v>0.45487746885023439</v>
          </cell>
          <cell r="F362">
            <v>0.2489053275581472</v>
          </cell>
          <cell r="G362">
            <v>7.5945287441401402E-2</v>
          </cell>
          <cell r="H362">
            <v>3.0070462062604619E-2</v>
          </cell>
          <cell r="J362" t="str">
            <v>1997DE</v>
          </cell>
          <cell r="K362">
            <v>0.46917724370836422</v>
          </cell>
          <cell r="L362">
            <v>7.5945287441401402E-2</v>
          </cell>
          <cell r="M362">
            <v>0.45487746885023439</v>
          </cell>
          <cell r="U362" t="str">
            <v>1997DE</v>
          </cell>
          <cell r="V362">
            <v>0.114717151</v>
          </cell>
          <cell r="W362">
            <v>4.5659680000000001E-2</v>
          </cell>
          <cell r="X362">
            <v>0.237071895</v>
          </cell>
          <cell r="Y362">
            <v>0.16443723199999999</v>
          </cell>
          <cell r="Z362">
            <v>0.43811404100000001</v>
          </cell>
          <cell r="AB362" t="str">
            <v>1997DE</v>
          </cell>
          <cell r="AC362">
            <v>0</v>
          </cell>
          <cell r="AD362">
            <v>0</v>
          </cell>
          <cell r="AE362">
            <v>3.8888889000000003E-2</v>
          </cell>
          <cell r="AF362">
            <v>0.96111111100000002</v>
          </cell>
        </row>
        <row r="363">
          <cell r="B363" t="str">
            <v>1997FL</v>
          </cell>
          <cell r="C363">
            <v>0.43458984887715846</v>
          </cell>
          <cell r="D363">
            <v>0.1498346334595958</v>
          </cell>
          <cell r="E363">
            <v>0.22548726217306986</v>
          </cell>
          <cell r="F363">
            <v>7.2939783932160954E-2</v>
          </cell>
          <cell r="G363">
            <v>0.11667387179621573</v>
          </cell>
          <cell r="H363">
            <v>4.7459976179917038E-4</v>
          </cell>
          <cell r="J363" t="str">
            <v>1997FL</v>
          </cell>
          <cell r="K363">
            <v>0.6578388660307144</v>
          </cell>
          <cell r="L363">
            <v>0.11667387179621573</v>
          </cell>
          <cell r="M363">
            <v>0.22548726217306986</v>
          </cell>
          <cell r="U363" t="str">
            <v>1997FL</v>
          </cell>
          <cell r="V363">
            <v>0.61672895999999999</v>
          </cell>
          <cell r="W363">
            <v>1.6863926000000001E-2</v>
          </cell>
          <cell r="X363">
            <v>0.10578280700000001</v>
          </cell>
          <cell r="Y363">
            <v>8.0870188999999995E-2</v>
          </cell>
          <cell r="Z363">
            <v>0.17975411799999999</v>
          </cell>
          <cell r="AB363" t="str">
            <v>1997FL</v>
          </cell>
          <cell r="AC363">
            <v>2.6666666666666648E-2</v>
          </cell>
          <cell r="AD363">
            <v>1.3333333333333324E-2</v>
          </cell>
          <cell r="AE363">
            <v>0.35255555599999999</v>
          </cell>
          <cell r="AF363">
            <v>0.60744444399999997</v>
          </cell>
        </row>
        <row r="364">
          <cell r="B364" t="str">
            <v>1997GA</v>
          </cell>
          <cell r="C364">
            <v>0.13072484098613765</v>
          </cell>
          <cell r="D364">
            <v>8.6445466895286913E-2</v>
          </cell>
          <cell r="E364">
            <v>0.15545460683331236</v>
          </cell>
          <cell r="F364">
            <v>9.1079417720549283E-2</v>
          </cell>
          <cell r="G364">
            <v>0.53212800946279781</v>
          </cell>
          <cell r="H364">
            <v>4.1676581019159786E-3</v>
          </cell>
          <cell r="J364" t="str">
            <v>1997GA</v>
          </cell>
          <cell r="K364">
            <v>0.31241738370388983</v>
          </cell>
          <cell r="L364">
            <v>0.53212800946279781</v>
          </cell>
          <cell r="M364">
            <v>0.15545460683331236</v>
          </cell>
          <cell r="U364" t="str">
            <v>1997GA</v>
          </cell>
          <cell r="V364">
            <v>9.1220534000000006E-2</v>
          </cell>
          <cell r="W364">
            <v>3.6227085999999999E-2</v>
          </cell>
          <cell r="X364">
            <v>0.13213949999999999</v>
          </cell>
          <cell r="Y364">
            <v>0.39958308199999998</v>
          </cell>
          <cell r="Z364">
            <v>0.34082979800000002</v>
          </cell>
          <cell r="AB364" t="str">
            <v>1997GA</v>
          </cell>
          <cell r="AC364">
            <v>0.14222222222222214</v>
          </cell>
          <cell r="AD364">
            <v>1.1111111111111106E-2</v>
          </cell>
          <cell r="AE364">
            <v>0.32811111100000001</v>
          </cell>
          <cell r="AF364">
            <v>0.51855555600000003</v>
          </cell>
        </row>
        <row r="365">
          <cell r="B365" t="str">
            <v>1997HI</v>
          </cell>
          <cell r="C365">
            <v>0.52918353891862635</v>
          </cell>
          <cell r="D365">
            <v>0.21004075537581532</v>
          </cell>
          <cell r="E365">
            <v>0</v>
          </cell>
          <cell r="F365">
            <v>0.12657776452315359</v>
          </cell>
          <cell r="G365">
            <v>0.11864739629302737</v>
          </cell>
          <cell r="H365">
            <v>1.555054488937741E-2</v>
          </cell>
          <cell r="J365" t="str">
            <v>1997HI</v>
          </cell>
          <cell r="K365">
            <v>0.88135260370697266</v>
          </cell>
          <cell r="L365">
            <v>0.11864739629302737</v>
          </cell>
          <cell r="M365">
            <v>0</v>
          </cell>
          <cell r="U365" t="str">
            <v>1997HI</v>
          </cell>
          <cell r="V365">
            <v>0.35729908599999999</v>
          </cell>
          <cell r="W365">
            <v>2.827884E-2</v>
          </cell>
          <cell r="X365">
            <v>0.177385452</v>
          </cell>
          <cell r="Y365">
            <v>0.13560989300000001</v>
          </cell>
          <cell r="Z365">
            <v>0.301426729</v>
          </cell>
          <cell r="AB365" t="str">
            <v>1997HI</v>
          </cell>
          <cell r="AC365">
            <v>2.2222222222222213E-2</v>
          </cell>
          <cell r="AD365">
            <v>0</v>
          </cell>
          <cell r="AE365">
            <v>0.37222222199999999</v>
          </cell>
          <cell r="AF365">
            <v>0.60555555599999999</v>
          </cell>
        </row>
        <row r="366">
          <cell r="B366" t="str">
            <v>1997ID</v>
          </cell>
          <cell r="C366">
            <v>0.55747460653849124</v>
          </cell>
          <cell r="D366">
            <v>0.24756681815115114</v>
          </cell>
          <cell r="E366">
            <v>1.8068946361658778E-2</v>
          </cell>
          <cell r="F366">
            <v>0.14522769975474345</v>
          </cell>
          <cell r="G366">
            <v>1.069753540814624E-2</v>
          </cell>
          <cell r="H366">
            <v>2.096439378580902E-2</v>
          </cell>
          <cell r="J366" t="str">
            <v>1997ID</v>
          </cell>
          <cell r="K366">
            <v>0.97123351823019499</v>
          </cell>
          <cell r="L366">
            <v>1.069753540814624E-2</v>
          </cell>
          <cell r="M366">
            <v>1.8068946361658778E-2</v>
          </cell>
          <cell r="U366" t="str">
            <v>1997ID</v>
          </cell>
          <cell r="V366">
            <v>0.336043547</v>
          </cell>
          <cell r="W366">
            <v>3.205595E-2</v>
          </cell>
          <cell r="X366">
            <v>0.18017329300000001</v>
          </cell>
          <cell r="Y366">
            <v>0.130621925</v>
          </cell>
          <cell r="Z366">
            <v>0.32110528500000002</v>
          </cell>
          <cell r="AB366" t="str">
            <v>1997ID</v>
          </cell>
          <cell r="AC366">
            <v>0</v>
          </cell>
          <cell r="AD366">
            <v>0.13333333333333341</v>
          </cell>
          <cell r="AE366">
            <v>0.46666666699999998</v>
          </cell>
          <cell r="AF366">
            <v>0.4</v>
          </cell>
        </row>
        <row r="367">
          <cell r="B367" t="str">
            <v>1997IL</v>
          </cell>
          <cell r="C367">
            <v>6.0637714772666967E-2</v>
          </cell>
          <cell r="D367">
            <v>0.18872582827076306</v>
          </cell>
          <cell r="E367">
            <v>0.12130102222032792</v>
          </cell>
          <cell r="F367">
            <v>0.50886906219971484</v>
          </cell>
          <cell r="G367">
            <v>7.1815033055816019E-2</v>
          </cell>
          <cell r="H367">
            <v>4.8651339480711243E-2</v>
          </cell>
          <cell r="J367" t="str">
            <v>1997IL</v>
          </cell>
          <cell r="K367">
            <v>0.80688394472385605</v>
          </cell>
          <cell r="L367">
            <v>7.1815033055816019E-2</v>
          </cell>
          <cell r="M367">
            <v>0.12130102222032792</v>
          </cell>
          <cell r="U367" t="str">
            <v>1997IL</v>
          </cell>
          <cell r="V367">
            <v>4.2521893999999998E-2</v>
          </cell>
          <cell r="W367">
            <v>4.4130747999999997E-2</v>
          </cell>
          <cell r="X367">
            <v>0.27177037500000001</v>
          </cell>
          <cell r="Y367">
            <v>0.15849065700000001</v>
          </cell>
          <cell r="Z367">
            <v>0.48308632600000001</v>
          </cell>
          <cell r="AB367" t="str">
            <v>1997IL</v>
          </cell>
          <cell r="AC367">
            <v>0</v>
          </cell>
          <cell r="AD367">
            <v>0</v>
          </cell>
          <cell r="AE367">
            <v>3.7777777999999998E-2</v>
          </cell>
          <cell r="AF367">
            <v>0.96222222199999996</v>
          </cell>
        </row>
        <row r="368">
          <cell r="B368" t="str">
            <v>1997IN</v>
          </cell>
          <cell r="C368">
            <v>4.989141796869874E-2</v>
          </cell>
          <cell r="D368">
            <v>0.16050104163111101</v>
          </cell>
          <cell r="E368">
            <v>0.18298941106841421</v>
          </cell>
          <cell r="F368">
            <v>0.45476110897432409</v>
          </cell>
          <cell r="G368">
            <v>0.10833701451314075</v>
          </cell>
          <cell r="H368">
            <v>4.3520005844311295E-2</v>
          </cell>
          <cell r="J368" t="str">
            <v>1997IN</v>
          </cell>
          <cell r="K368">
            <v>0.70867357441844503</v>
          </cell>
          <cell r="L368">
            <v>0.10833701451314075</v>
          </cell>
          <cell r="M368">
            <v>0.18298941106841421</v>
          </cell>
          <cell r="U368" t="str">
            <v>1997IN</v>
          </cell>
          <cell r="V368">
            <v>4.4315291999999999E-2</v>
          </cell>
          <cell r="W368">
            <v>4.4161421999999999E-2</v>
          </cell>
          <cell r="X368">
            <v>0.271686333</v>
          </cell>
          <cell r="Y368">
            <v>0.15572881999999999</v>
          </cell>
          <cell r="Z368">
            <v>0.484108133</v>
          </cell>
          <cell r="AB368" t="str">
            <v>1997IN</v>
          </cell>
          <cell r="AC368">
            <v>0</v>
          </cell>
          <cell r="AD368">
            <v>1.1111111111111106E-2</v>
          </cell>
          <cell r="AE368">
            <v>0</v>
          </cell>
          <cell r="AF368">
            <v>0.98888888900000005</v>
          </cell>
        </row>
        <row r="369">
          <cell r="B369" t="str">
            <v>1997IA</v>
          </cell>
          <cell r="C369">
            <v>5.6350320219799167E-2</v>
          </cell>
          <cell r="D369">
            <v>0.16330505116654412</v>
          </cell>
          <cell r="E369">
            <v>0.1687497580033144</v>
          </cell>
          <cell r="F369">
            <v>0.47095883554942886</v>
          </cell>
          <cell r="G369">
            <v>9.9906573146240851E-2</v>
          </cell>
          <cell r="H369">
            <v>4.0729461914672666E-2</v>
          </cell>
          <cell r="J369" t="str">
            <v>1997IA</v>
          </cell>
          <cell r="K369">
            <v>0.73134366885044477</v>
          </cell>
          <cell r="L369">
            <v>9.9906573146240851E-2</v>
          </cell>
          <cell r="M369">
            <v>0.1687497580033144</v>
          </cell>
          <cell r="U369" t="str">
            <v>1997IA</v>
          </cell>
          <cell r="V369">
            <v>2.7885971999999998E-2</v>
          </cell>
          <cell r="W369">
            <v>3.9307257999999998E-2</v>
          </cell>
          <cell r="X369">
            <v>0.15888448799999999</v>
          </cell>
          <cell r="Y369">
            <v>0.39672305899999999</v>
          </cell>
          <cell r="Z369">
            <v>0.377199224</v>
          </cell>
          <cell r="AB369" t="str">
            <v>1997IA</v>
          </cell>
          <cell r="AC369">
            <v>8.8888888888888837E-3</v>
          </cell>
          <cell r="AD369">
            <v>8.8888888888888837E-3</v>
          </cell>
          <cell r="AE369">
            <v>4.4444439999999997E-3</v>
          </cell>
          <cell r="AF369">
            <v>0.97777777799999999</v>
          </cell>
        </row>
        <row r="370">
          <cell r="B370" t="str">
            <v>1997KS</v>
          </cell>
          <cell r="C370">
            <v>5.1675290601071802E-2</v>
          </cell>
          <cell r="D370">
            <v>0.17125295242358873</v>
          </cell>
          <cell r="E370">
            <v>0.13767293822946489</v>
          </cell>
          <cell r="F370">
            <v>0.50967064371036053</v>
          </cell>
          <cell r="G370">
            <v>8.1507858951772733E-2</v>
          </cell>
          <cell r="H370">
            <v>4.8220316083741367E-2</v>
          </cell>
          <cell r="J370" t="str">
            <v>1997KS</v>
          </cell>
          <cell r="K370">
            <v>0.78081920281876238</v>
          </cell>
          <cell r="L370">
            <v>8.1507858951772733E-2</v>
          </cell>
          <cell r="M370">
            <v>0.13767293822946489</v>
          </cell>
          <cell r="U370" t="str">
            <v>1997KS</v>
          </cell>
          <cell r="V370">
            <v>5.6214767999999998E-2</v>
          </cell>
          <cell r="W370">
            <v>4.4155602000000002E-2</v>
          </cell>
          <cell r="X370">
            <v>0.27034366799999998</v>
          </cell>
          <cell r="Y370">
            <v>0.14195680699999999</v>
          </cell>
          <cell r="Z370">
            <v>0.48732915399999999</v>
          </cell>
          <cell r="AB370" t="str">
            <v>1997KS</v>
          </cell>
          <cell r="AC370">
            <v>0</v>
          </cell>
          <cell r="AD370">
            <v>0</v>
          </cell>
          <cell r="AE370">
            <v>1.5555556E-2</v>
          </cell>
          <cell r="AF370">
            <v>0.98444444399999997</v>
          </cell>
        </row>
        <row r="371">
          <cell r="B371" t="str">
            <v>1997KY</v>
          </cell>
          <cell r="C371">
            <v>1.3261648948343507E-2</v>
          </cell>
          <cell r="D371">
            <v>4.7739135107890157E-2</v>
          </cell>
          <cell r="E371">
            <v>0.13912499999999997</v>
          </cell>
          <cell r="F371">
            <v>0.15591031533347866</v>
          </cell>
          <cell r="G371">
            <v>0.629</v>
          </cell>
          <cell r="H371">
            <v>1.496390061028771E-2</v>
          </cell>
          <cell r="J371" t="str">
            <v>1997KY</v>
          </cell>
          <cell r="K371">
            <v>0.23187500000000005</v>
          </cell>
          <cell r="L371">
            <v>0.629</v>
          </cell>
          <cell r="M371">
            <v>0.13912499999999997</v>
          </cell>
          <cell r="U371" t="str">
            <v>1997KY</v>
          </cell>
          <cell r="V371">
            <v>7.2141213999999995E-2</v>
          </cell>
          <cell r="W371">
            <v>3.7337127999999997E-2</v>
          </cell>
          <cell r="X371">
            <v>0.14594710299999999</v>
          </cell>
          <cell r="Y371">
            <v>0.38865116199999999</v>
          </cell>
          <cell r="Z371">
            <v>0.35592339299999998</v>
          </cell>
          <cell r="AB371" t="str">
            <v>1997KY</v>
          </cell>
          <cell r="AC371">
            <v>6.6666666666666619E-3</v>
          </cell>
          <cell r="AD371">
            <v>7.3333333333333278E-2</v>
          </cell>
          <cell r="AE371">
            <v>0.174444444</v>
          </cell>
          <cell r="AF371">
            <v>0.74555555600000001</v>
          </cell>
        </row>
        <row r="372">
          <cell r="B372" t="str">
            <v>1997LA</v>
          </cell>
          <cell r="C372">
            <v>8.8974375575669368E-2</v>
          </cell>
          <cell r="D372">
            <v>6.3107071101691975E-2</v>
          </cell>
          <cell r="E372">
            <v>0.14697426428434932</v>
          </cell>
          <cell r="F372">
            <v>0.11289524387860261</v>
          </cell>
          <cell r="G372">
            <v>0.58243587489649018</v>
          </cell>
          <cell r="H372">
            <v>5.6131702631965364E-3</v>
          </cell>
          <cell r="J372" t="str">
            <v>1997LA</v>
          </cell>
          <cell r="K372">
            <v>0.27058986081916048</v>
          </cell>
          <cell r="L372">
            <v>0.58243587489649018</v>
          </cell>
          <cell r="M372">
            <v>0.14697426428434932</v>
          </cell>
          <cell r="U372" t="str">
            <v>1997LA</v>
          </cell>
          <cell r="V372">
            <v>0.61270510600000005</v>
          </cell>
          <cell r="W372">
            <v>1.7040975E-2</v>
          </cell>
          <cell r="X372">
            <v>0.106893391</v>
          </cell>
          <cell r="Y372">
            <v>8.1719222999999994E-2</v>
          </cell>
          <cell r="Z372">
            <v>0.181641305</v>
          </cell>
          <cell r="AB372" t="str">
            <v>1997LA</v>
          </cell>
          <cell r="AC372">
            <v>1.1111111111111106E-2</v>
          </cell>
          <cell r="AD372">
            <v>0</v>
          </cell>
          <cell r="AE372">
            <v>0.67777777800000005</v>
          </cell>
          <cell r="AF372">
            <v>0.311111111</v>
          </cell>
        </row>
        <row r="373">
          <cell r="B373" t="str">
            <v>1997ME</v>
          </cell>
          <cell r="C373">
            <v>4.1334239865318888E-2</v>
          </cell>
          <cell r="D373">
            <v>0.11659910416539841</v>
          </cell>
          <cell r="E373">
            <v>0.46928073596054959</v>
          </cell>
          <cell r="F373">
            <v>0.2584719513497265</v>
          </cell>
          <cell r="G373">
            <v>8.8937728324101087E-2</v>
          </cell>
          <cell r="H373">
            <v>2.5376240334905553E-2</v>
          </cell>
          <cell r="J373" t="str">
            <v>1997ME</v>
          </cell>
          <cell r="K373">
            <v>0.44178153571534928</v>
          </cell>
          <cell r="L373">
            <v>8.8937728324101087E-2</v>
          </cell>
          <cell r="M373">
            <v>0.46928073596054959</v>
          </cell>
          <cell r="U373" t="str">
            <v>1997ME</v>
          </cell>
          <cell r="V373">
            <v>1</v>
          </cell>
          <cell r="W373">
            <v>0</v>
          </cell>
          <cell r="X373">
            <v>0</v>
          </cell>
          <cell r="Y373">
            <v>0</v>
          </cell>
          <cell r="Z373">
            <v>0</v>
          </cell>
          <cell r="AB373" t="str">
            <v>1997ME</v>
          </cell>
          <cell r="AC373">
            <v>2.2222222222222213E-2</v>
          </cell>
          <cell r="AD373">
            <v>0.02</v>
          </cell>
          <cell r="AE373">
            <v>3.8888889000000003E-2</v>
          </cell>
          <cell r="AF373">
            <v>0.91888888899999999</v>
          </cell>
        </row>
        <row r="374">
          <cell r="B374" t="str">
            <v>1997MD</v>
          </cell>
          <cell r="C374">
            <v>5.4340177328815263E-2</v>
          </cell>
          <cell r="D374">
            <v>0.13172953783441252</v>
          </cell>
          <cell r="E374">
            <v>0.45531130818512389</v>
          </cell>
          <cell r="F374">
            <v>0.25197728640281797</v>
          </cell>
          <cell r="G374">
            <v>7.6336631423844475E-2</v>
          </cell>
          <cell r="H374">
            <v>3.0305058824985884E-2</v>
          </cell>
          <cell r="J374" t="str">
            <v>1997MD</v>
          </cell>
          <cell r="K374">
            <v>0.46835206039103161</v>
          </cell>
          <cell r="L374">
            <v>7.6336631423844475E-2</v>
          </cell>
          <cell r="M374">
            <v>0.45531130818512389</v>
          </cell>
          <cell r="U374" t="str">
            <v>1997MD</v>
          </cell>
          <cell r="V374">
            <v>0.19301175000000001</v>
          </cell>
          <cell r="W374">
            <v>3.9336648000000002E-2</v>
          </cell>
          <cell r="X374">
            <v>0.21858049500000001</v>
          </cell>
          <cell r="Y374">
            <v>0.15751063700000001</v>
          </cell>
          <cell r="Z374">
            <v>0.39156046999999999</v>
          </cell>
          <cell r="AB374" t="str">
            <v>1997MD</v>
          </cell>
          <cell r="AC374">
            <v>0</v>
          </cell>
          <cell r="AD374">
            <v>0</v>
          </cell>
          <cell r="AE374">
            <v>3.8888889000000003E-2</v>
          </cell>
          <cell r="AF374">
            <v>0.96111111100000002</v>
          </cell>
        </row>
        <row r="375">
          <cell r="B375" t="str">
            <v>1997MA</v>
          </cell>
          <cell r="C375">
            <v>4.5363257983568023E-2</v>
          </cell>
          <cell r="D375">
            <v>0.12947114671019447</v>
          </cell>
          <cell r="E375">
            <v>0.45794055122736171</v>
          </cell>
          <cell r="F375">
            <v>0.25778614130063648</v>
          </cell>
          <cell r="G375">
            <v>7.8708335324833609E-2</v>
          </cell>
          <cell r="H375">
            <v>3.0730567453405782E-2</v>
          </cell>
          <cell r="J375" t="str">
            <v>1997MA</v>
          </cell>
          <cell r="K375">
            <v>0.46335111344780466</v>
          </cell>
          <cell r="L375">
            <v>7.8708335324833609E-2</v>
          </cell>
          <cell r="M375">
            <v>0.45794055122736171</v>
          </cell>
          <cell r="U375" t="str">
            <v>1997MA</v>
          </cell>
          <cell r="V375">
            <v>0.42419894800000002</v>
          </cell>
          <cell r="W375">
            <v>2.5335245999999999E-2</v>
          </cell>
          <cell r="X375">
            <v>0.15892108999999999</v>
          </cell>
          <cell r="Y375">
            <v>0.12149402199999999</v>
          </cell>
          <cell r="Z375">
            <v>0.27005069300000001</v>
          </cell>
          <cell r="AB375" t="str">
            <v>1997MA</v>
          </cell>
          <cell r="AC375">
            <v>2.2222222222222213E-2</v>
          </cell>
          <cell r="AD375">
            <v>0.02</v>
          </cell>
          <cell r="AE375">
            <v>3.8888889000000003E-2</v>
          </cell>
          <cell r="AF375">
            <v>0.91888888899999999</v>
          </cell>
        </row>
        <row r="376">
          <cell r="B376" t="str">
            <v>1997MI</v>
          </cell>
          <cell r="C376">
            <v>0.11617228550250164</v>
          </cell>
          <cell r="D376">
            <v>0.26047546885555795</v>
          </cell>
          <cell r="E376">
            <v>9.6465611813162155E-2</v>
          </cell>
          <cell r="F376">
            <v>0.41867781103895668</v>
          </cell>
          <cell r="G376">
            <v>5.7111481620727843E-2</v>
          </cell>
          <cell r="H376">
            <v>5.1097341169093702E-2</v>
          </cell>
          <cell r="J376" t="str">
            <v>1997MI</v>
          </cell>
          <cell r="K376">
            <v>0.84642290656610997</v>
          </cell>
          <cell r="L376">
            <v>5.7111481620727843E-2</v>
          </cell>
          <cell r="M376">
            <v>9.6465611813162155E-2</v>
          </cell>
          <cell r="U376" t="str">
            <v>1997MI</v>
          </cell>
          <cell r="V376">
            <v>6.5347951000000001E-2</v>
          </cell>
          <cell r="W376">
            <v>4.8127084000000001E-2</v>
          </cell>
          <cell r="X376">
            <v>0.250378039</v>
          </cell>
          <cell r="Y376">
            <v>0.17387027099999999</v>
          </cell>
          <cell r="Z376">
            <v>0.46227665499999998</v>
          </cell>
          <cell r="AB376" t="str">
            <v>1997MI</v>
          </cell>
          <cell r="AC376">
            <v>0.02</v>
          </cell>
          <cell r="AD376">
            <v>6.6666666666666619E-3</v>
          </cell>
          <cell r="AE376">
            <v>2.2222222E-2</v>
          </cell>
          <cell r="AF376">
            <v>0.95111111100000001</v>
          </cell>
        </row>
        <row r="377">
          <cell r="B377" t="str">
            <v>1997MN</v>
          </cell>
          <cell r="C377">
            <v>5.2484586483920202E-2</v>
          </cell>
          <cell r="D377">
            <v>0.15678031588005603</v>
          </cell>
          <cell r="E377">
            <v>0.19010197160170031</v>
          </cell>
          <cell r="F377">
            <v>0.4497099029987498</v>
          </cell>
          <cell r="G377">
            <v>0.1125479334358325</v>
          </cell>
          <cell r="H377">
            <v>3.8375289599741173E-2</v>
          </cell>
          <cell r="J377" t="str">
            <v>1997MN</v>
          </cell>
          <cell r="K377">
            <v>0.69735009496246714</v>
          </cell>
          <cell r="L377">
            <v>0.1125479334358325</v>
          </cell>
          <cell r="M377">
            <v>0.19010197160170031</v>
          </cell>
          <cell r="U377" t="str">
            <v>1997MN</v>
          </cell>
          <cell r="V377">
            <v>3.1094145E-2</v>
          </cell>
          <cell r="W377">
            <v>4.9240610999999997E-2</v>
          </cell>
          <cell r="X377">
            <v>0.26025853399999999</v>
          </cell>
          <cell r="Y377">
            <v>0.18240995900000001</v>
          </cell>
          <cell r="Z377">
            <v>0.47699675200000002</v>
          </cell>
          <cell r="AB377" t="str">
            <v>1997MN</v>
          </cell>
          <cell r="AC377">
            <v>0</v>
          </cell>
          <cell r="AD377">
            <v>5.5555555555555511E-2</v>
          </cell>
          <cell r="AE377">
            <v>0</v>
          </cell>
          <cell r="AF377">
            <v>0.94444444400000005</v>
          </cell>
        </row>
        <row r="378">
          <cell r="B378" t="str">
            <v>1997MS</v>
          </cell>
          <cell r="C378">
            <v>7.3285254592412696E-2</v>
          </cell>
          <cell r="D378">
            <v>5.8083001958403171E-2</v>
          </cell>
          <cell r="E378">
            <v>0.13912499999999997</v>
          </cell>
          <cell r="F378">
            <v>9.5693859871549297E-2</v>
          </cell>
          <cell r="G378">
            <v>0.629</v>
          </cell>
          <cell r="H378">
            <v>4.8128835776348649E-3</v>
          </cell>
          <cell r="J378" t="str">
            <v>1997MS</v>
          </cell>
          <cell r="K378">
            <v>0.23187500000000005</v>
          </cell>
          <cell r="L378">
            <v>0.629</v>
          </cell>
          <cell r="M378">
            <v>0.13912499999999997</v>
          </cell>
          <cell r="U378" t="str">
            <v>1997MS</v>
          </cell>
          <cell r="V378">
            <v>4.2012448000000001E-2</v>
          </cell>
          <cell r="W378">
            <v>3.6411792999999998E-2</v>
          </cell>
          <cell r="X378">
            <v>8.3195330999999997E-2</v>
          </cell>
          <cell r="Y378">
            <v>0.51945651999999998</v>
          </cell>
          <cell r="Z378">
            <v>0.31892390799999998</v>
          </cell>
          <cell r="AB378" t="str">
            <v>1997MS</v>
          </cell>
          <cell r="AC378">
            <v>2.2222222222222213E-2</v>
          </cell>
          <cell r="AD378">
            <v>1.1111111111111106E-2</v>
          </cell>
          <cell r="AE378">
            <v>0.65555555600000004</v>
          </cell>
          <cell r="AF378">
            <v>0.311111111</v>
          </cell>
        </row>
        <row r="379">
          <cell r="B379" t="str">
            <v>1997MO</v>
          </cell>
          <cell r="C379">
            <v>4.5471706752512921E-2</v>
          </cell>
          <cell r="D379">
            <v>0.15828748193420802</v>
          </cell>
          <cell r="E379">
            <v>0.1609752338471036</v>
          </cell>
          <cell r="F379">
            <v>0.49199160414161835</v>
          </cell>
          <cell r="G379">
            <v>9.5303745411966803E-2</v>
          </cell>
          <cell r="H379">
            <v>4.7970227912590313E-2</v>
          </cell>
          <cell r="J379" t="str">
            <v>1997MO</v>
          </cell>
          <cell r="K379">
            <v>0.74372102074092961</v>
          </cell>
          <cell r="L379">
            <v>9.5303745411966803E-2</v>
          </cell>
          <cell r="M379">
            <v>0.1609752338471036</v>
          </cell>
          <cell r="U379" t="str">
            <v>1997MO</v>
          </cell>
          <cell r="V379">
            <v>4.6877449000000002E-2</v>
          </cell>
          <cell r="W379">
            <v>4.4613078E-2</v>
          </cell>
          <cell r="X379">
            <v>0.273095647</v>
          </cell>
          <cell r="Y379">
            <v>0.14291268400000001</v>
          </cell>
          <cell r="Z379">
            <v>0.492501142</v>
          </cell>
          <cell r="AB379" t="str">
            <v>1997MO</v>
          </cell>
          <cell r="AC379">
            <v>0</v>
          </cell>
          <cell r="AD379">
            <v>4.4444444444444425E-2</v>
          </cell>
          <cell r="AE379">
            <v>0</v>
          </cell>
          <cell r="AF379">
            <v>0.95555555599999997</v>
          </cell>
        </row>
        <row r="380">
          <cell r="B380" t="str">
            <v>1997MT</v>
          </cell>
          <cell r="C380">
            <v>0.29852297519436083</v>
          </cell>
          <cell r="D380">
            <v>0.23307986790641672</v>
          </cell>
          <cell r="E380">
            <v>4.2236344024747643E-2</v>
          </cell>
          <cell r="F380">
            <v>0.31514404952751246</v>
          </cell>
          <cell r="G380">
            <v>2.5005596711169E-2</v>
          </cell>
          <cell r="H380">
            <v>8.6011166635793446E-2</v>
          </cell>
          <cell r="J380" t="str">
            <v>1997MT</v>
          </cell>
          <cell r="K380">
            <v>0.93275805926408339</v>
          </cell>
          <cell r="L380">
            <v>2.5005596711169E-2</v>
          </cell>
          <cell r="M380">
            <v>4.2236344024747643E-2</v>
          </cell>
          <cell r="U380" t="str">
            <v>1997MT</v>
          </cell>
          <cell r="V380">
            <v>8.0567121000000005E-2</v>
          </cell>
          <cell r="W380">
            <v>4.8808124000000001E-2</v>
          </cell>
          <cell r="X380">
            <v>0.24471430699999999</v>
          </cell>
          <cell r="Y380">
            <v>0.16615674599999999</v>
          </cell>
          <cell r="Z380">
            <v>0.45975370199999999</v>
          </cell>
          <cell r="AB380" t="str">
            <v>1997MT</v>
          </cell>
          <cell r="AC380">
            <v>0</v>
          </cell>
          <cell r="AD380">
            <v>1.7777777777777767E-2</v>
          </cell>
          <cell r="AE380">
            <v>0.47555555599999999</v>
          </cell>
          <cell r="AF380">
            <v>0.50666666699999996</v>
          </cell>
        </row>
        <row r="381">
          <cell r="B381" t="str">
            <v>1997NE</v>
          </cell>
          <cell r="C381">
            <v>4.9818703122634887E-2</v>
          </cell>
          <cell r="D381">
            <v>0.16791707851633675</v>
          </cell>
          <cell r="E381">
            <v>0.15689093077026181</v>
          </cell>
          <cell r="F381">
            <v>0.48266281694950847</v>
          </cell>
          <cell r="G381">
            <v>9.2885675431150033E-2</v>
          </cell>
          <cell r="H381">
            <v>4.9824795210107978E-2</v>
          </cell>
          <cell r="J381" t="str">
            <v>1997NE</v>
          </cell>
          <cell r="K381">
            <v>0.75022339379858816</v>
          </cell>
          <cell r="L381">
            <v>9.2885675431150033E-2</v>
          </cell>
          <cell r="M381">
            <v>0.15689093077026181</v>
          </cell>
          <cell r="U381" t="str">
            <v>1997NE</v>
          </cell>
          <cell r="V381">
            <v>5.4785010000000002E-2</v>
          </cell>
          <cell r="W381">
            <v>4.3310735000000003E-2</v>
          </cell>
          <cell r="X381">
            <v>0.26733412099999998</v>
          </cell>
          <cell r="Y381">
            <v>0.16200261699999999</v>
          </cell>
          <cell r="Z381">
            <v>0.47256751699999999</v>
          </cell>
          <cell r="AB381" t="str">
            <v>1997NE</v>
          </cell>
          <cell r="AC381">
            <v>0</v>
          </cell>
          <cell r="AD381">
            <v>0</v>
          </cell>
          <cell r="AE381">
            <v>1.5555556E-2</v>
          </cell>
          <cell r="AF381">
            <v>0.98444444399999997</v>
          </cell>
        </row>
        <row r="382">
          <cell r="B382" t="str">
            <v>1997NV</v>
          </cell>
          <cell r="C382">
            <v>0.63266582084540246</v>
          </cell>
          <cell r="D382">
            <v>0.20260594295224432</v>
          </cell>
          <cell r="E382">
            <v>2.9984695770467477E-2</v>
          </cell>
          <cell r="F382">
            <v>0.11203648247331786</v>
          </cell>
          <cell r="G382">
            <v>1.7752133316843929E-2</v>
          </cell>
          <cell r="H382">
            <v>4.9549246417240249E-3</v>
          </cell>
          <cell r="J382" t="str">
            <v>1997NV</v>
          </cell>
          <cell r="K382">
            <v>0.95226317091268864</v>
          </cell>
          <cell r="L382">
            <v>1.7752133316843929E-2</v>
          </cell>
          <cell r="M382">
            <v>2.9984695770467477E-2</v>
          </cell>
          <cell r="U382" t="str">
            <v>1997NV</v>
          </cell>
          <cell r="V382">
            <v>1</v>
          </cell>
          <cell r="W382">
            <v>0</v>
          </cell>
          <cell r="X382">
            <v>0</v>
          </cell>
          <cell r="Y382">
            <v>0</v>
          </cell>
          <cell r="Z382">
            <v>0</v>
          </cell>
          <cell r="AB382" t="str">
            <v>1997NV</v>
          </cell>
          <cell r="AC382">
            <v>5.5555555555555511E-2</v>
          </cell>
          <cell r="AD382">
            <v>0</v>
          </cell>
          <cell r="AE382">
            <v>0</v>
          </cell>
          <cell r="AF382">
            <v>0.94444444400000005</v>
          </cell>
        </row>
        <row r="383">
          <cell r="B383" t="str">
            <v>1997NH</v>
          </cell>
          <cell r="C383">
            <v>4.6613075700619802E-2</v>
          </cell>
          <cell r="D383">
            <v>0.13415137877101818</v>
          </cell>
          <cell r="E383">
            <v>0.45354660375069339</v>
          </cell>
          <cell r="F383">
            <v>0.25786299826810888</v>
          </cell>
          <cell r="G383">
            <v>7.4744783000554621E-2</v>
          </cell>
          <cell r="H383">
            <v>3.3081160509005149E-2</v>
          </cell>
          <cell r="J383" t="str">
            <v>1997NH</v>
          </cell>
          <cell r="K383">
            <v>0.47170861324875202</v>
          </cell>
          <cell r="L383">
            <v>7.4744783000554621E-2</v>
          </cell>
          <cell r="M383">
            <v>0.45354660375069339</v>
          </cell>
          <cell r="U383" t="str">
            <v>1997NH</v>
          </cell>
          <cell r="V383">
            <v>0.62992996700000004</v>
          </cell>
          <cell r="W383">
            <v>1.6283081000000001E-2</v>
          </cell>
          <cell r="X383">
            <v>0.102139329</v>
          </cell>
          <cell r="Y383">
            <v>7.8084776999999994E-2</v>
          </cell>
          <cell r="Z383">
            <v>0.17356284599999999</v>
          </cell>
          <cell r="AB383" t="str">
            <v>1997NH</v>
          </cell>
          <cell r="AC383">
            <v>0</v>
          </cell>
          <cell r="AD383">
            <v>0</v>
          </cell>
          <cell r="AE383">
            <v>3.8888889000000003E-2</v>
          </cell>
          <cell r="AF383">
            <v>0.96111111100000002</v>
          </cell>
        </row>
        <row r="384">
          <cell r="B384" t="str">
            <v>1997NJ</v>
          </cell>
          <cell r="C384">
            <v>4.3485120167840632E-2</v>
          </cell>
          <cell r="D384">
            <v>0.1282674135723221</v>
          </cell>
          <cell r="E384">
            <v>0.45598654415246215</v>
          </cell>
          <cell r="F384">
            <v>0.26238381547134726</v>
          </cell>
          <cell r="G384">
            <v>7.69457267992424E-2</v>
          </cell>
          <cell r="H384">
            <v>3.2931379836785436E-2</v>
          </cell>
          <cell r="J384" t="str">
            <v>1997NJ</v>
          </cell>
          <cell r="K384">
            <v>0.46706772904829541</v>
          </cell>
          <cell r="L384">
            <v>7.69457267992424E-2</v>
          </cell>
          <cell r="M384">
            <v>0.45598654415246215</v>
          </cell>
          <cell r="U384" t="str">
            <v>1997NJ</v>
          </cell>
          <cell r="V384">
            <v>0.49401693699999999</v>
          </cell>
          <cell r="W384">
            <v>2.2263254999999999E-2</v>
          </cell>
          <cell r="X384">
            <v>0.13965132499999999</v>
          </cell>
          <cell r="Y384">
            <v>0.10676242599999999</v>
          </cell>
          <cell r="Z384">
            <v>0.23730605699999999</v>
          </cell>
          <cell r="AB384" t="str">
            <v>1997NJ</v>
          </cell>
          <cell r="AC384">
            <v>2.2222222222222213E-2</v>
          </cell>
          <cell r="AD384">
            <v>0.02</v>
          </cell>
          <cell r="AE384">
            <v>3.8888889000000003E-2</v>
          </cell>
          <cell r="AF384">
            <v>0.91888888899999999</v>
          </cell>
        </row>
        <row r="385">
          <cell r="B385" t="str">
            <v>1997NM</v>
          </cell>
          <cell r="C385">
            <v>0.61031859913259534</v>
          </cell>
          <cell r="D385">
            <v>0.19337608986991395</v>
          </cell>
          <cell r="E385">
            <v>9.8929449322699536E-2</v>
          </cell>
          <cell r="F385">
            <v>9.6216812900114884E-2</v>
          </cell>
          <cell r="G385">
            <v>0</v>
          </cell>
          <cell r="H385">
            <v>1.1590487746764595E-3</v>
          </cell>
          <cell r="J385" t="str">
            <v>1997NM</v>
          </cell>
          <cell r="K385">
            <v>0.90107055067730046</v>
          </cell>
          <cell r="L385">
            <v>0</v>
          </cell>
          <cell r="M385">
            <v>9.8929449322699536E-2</v>
          </cell>
          <cell r="U385" t="str">
            <v>1997NM</v>
          </cell>
          <cell r="V385">
            <v>1</v>
          </cell>
          <cell r="W385">
            <v>0</v>
          </cell>
          <cell r="X385">
            <v>0</v>
          </cell>
          <cell r="Y385">
            <v>0</v>
          </cell>
          <cell r="Z385">
            <v>0</v>
          </cell>
          <cell r="AB385" t="str">
            <v>1997NM</v>
          </cell>
          <cell r="AC385">
            <v>5.5555555555555511E-2</v>
          </cell>
          <cell r="AD385">
            <v>2.2222222222222213E-2</v>
          </cell>
          <cell r="AE385">
            <v>0.51111111099999995</v>
          </cell>
          <cell r="AF385">
            <v>0.41111111099999997</v>
          </cell>
        </row>
        <row r="386">
          <cell r="B386" t="str">
            <v>1997NY</v>
          </cell>
          <cell r="C386">
            <v>7.0474047570888251E-2</v>
          </cell>
          <cell r="D386">
            <v>0.14270797058983758</v>
          </cell>
          <cell r="E386">
            <v>0.45665864432471071</v>
          </cell>
          <cell r="F386">
            <v>0.22913499744009258</v>
          </cell>
          <cell r="G386">
            <v>7.7551993536386893E-2</v>
          </cell>
          <cell r="H386">
            <v>2.3472346538084065E-2</v>
          </cell>
          <cell r="J386" t="str">
            <v>1997NY</v>
          </cell>
          <cell r="K386">
            <v>0.46578936213890243</v>
          </cell>
          <cell r="L386">
            <v>7.7551993536386893E-2</v>
          </cell>
          <cell r="M386">
            <v>0.45665864432471071</v>
          </cell>
          <cell r="U386" t="str">
            <v>1997NY</v>
          </cell>
          <cell r="V386">
            <v>0.31750878199999999</v>
          </cell>
          <cell r="W386">
            <v>3.5197740999999998E-2</v>
          </cell>
          <cell r="X386">
            <v>0.182768771</v>
          </cell>
          <cell r="Y386">
            <v>0.12677855499999999</v>
          </cell>
          <cell r="Z386">
            <v>0.33774615099999999</v>
          </cell>
          <cell r="AB386" t="str">
            <v>1997NY</v>
          </cell>
          <cell r="AC386">
            <v>2.2222222222222213E-2</v>
          </cell>
          <cell r="AD386">
            <v>6.6666666666666707E-2</v>
          </cell>
          <cell r="AE386">
            <v>3.8888889000000003E-2</v>
          </cell>
          <cell r="AF386">
            <v>0.87222222199999999</v>
          </cell>
        </row>
        <row r="387">
          <cell r="B387" t="str">
            <v>1997NC</v>
          </cell>
          <cell r="C387">
            <v>3.200844276542663E-2</v>
          </cell>
          <cell r="D387">
            <v>8.1544795969233433E-2</v>
          </cell>
          <cell r="E387">
            <v>0.13912499999999997</v>
          </cell>
          <cell r="F387">
            <v>0.10260237755023409</v>
          </cell>
          <cell r="G387">
            <v>0.629</v>
          </cell>
          <cell r="H387">
            <v>1.5719383715105863E-2</v>
          </cell>
          <cell r="J387" t="str">
            <v>1997NC</v>
          </cell>
          <cell r="K387">
            <v>0.23187500000000005</v>
          </cell>
          <cell r="L387">
            <v>0.629</v>
          </cell>
          <cell r="M387">
            <v>0.13912499999999997</v>
          </cell>
          <cell r="U387" t="str">
            <v>1997NC</v>
          </cell>
          <cell r="V387">
            <v>3.186436E-3</v>
          </cell>
          <cell r="W387">
            <v>3.7216565E-2</v>
          </cell>
          <cell r="X387">
            <v>6.5384222000000006E-2</v>
          </cell>
          <cell r="Y387">
            <v>0.57760348299999997</v>
          </cell>
          <cell r="Z387">
            <v>0.31660929399999999</v>
          </cell>
          <cell r="AB387" t="str">
            <v>1997NC</v>
          </cell>
          <cell r="AC387">
            <v>0.11111111111111102</v>
          </cell>
          <cell r="AD387">
            <v>1.1111111111111106E-2</v>
          </cell>
          <cell r="AE387">
            <v>0.39255555600000003</v>
          </cell>
          <cell r="AF387">
            <v>0.48522222199999998</v>
          </cell>
        </row>
        <row r="388">
          <cell r="B388" t="str">
            <v>1997ND</v>
          </cell>
          <cell r="C388">
            <v>3.1381258244189129E-2</v>
          </cell>
          <cell r="D388">
            <v>0.12208566945630485</v>
          </cell>
          <cell r="E388">
            <v>0.20429080650804762</v>
          </cell>
          <cell r="F388">
            <v>0.4823925111911726</v>
          </cell>
          <cell r="G388">
            <v>0.12094828843013763</v>
          </cell>
          <cell r="H388">
            <v>3.8901466170148176E-2</v>
          </cell>
          <cell r="J388" t="str">
            <v>1997ND</v>
          </cell>
          <cell r="K388">
            <v>0.67476090506181474</v>
          </cell>
          <cell r="L388">
            <v>0.12094828843013763</v>
          </cell>
          <cell r="M388">
            <v>0.20429080650804762</v>
          </cell>
          <cell r="U388" t="str">
            <v>1997ND</v>
          </cell>
          <cell r="V388">
            <v>0.140815313</v>
          </cell>
          <cell r="W388">
            <v>4.2778144999999997E-2</v>
          </cell>
          <cell r="X388">
            <v>0.23174645299999999</v>
          </cell>
          <cell r="Y388">
            <v>0.16470790699999999</v>
          </cell>
          <cell r="Z388">
            <v>0.41995218200000001</v>
          </cell>
          <cell r="AB388" t="str">
            <v>1997ND</v>
          </cell>
          <cell r="AC388">
            <v>0</v>
          </cell>
          <cell r="AD388">
            <v>1.1111111111111106E-2</v>
          </cell>
          <cell r="AE388">
            <v>2.6666667000000002E-2</v>
          </cell>
          <cell r="AF388">
            <v>0.96222222199999996</v>
          </cell>
        </row>
        <row r="389">
          <cell r="B389" t="str">
            <v>1997OH</v>
          </cell>
          <cell r="C389">
            <v>5.2965044535888801E-2</v>
          </cell>
          <cell r="D389">
            <v>0.16936200801094448</v>
          </cell>
          <cell r="E389">
            <v>0.16886111013130398</v>
          </cell>
          <cell r="F389">
            <v>0.46265201525470451</v>
          </cell>
          <cell r="G389">
            <v>9.9972498037936175E-2</v>
          </cell>
          <cell r="H389">
            <v>4.6187324029222057E-2</v>
          </cell>
          <cell r="J389" t="str">
            <v>1997OH</v>
          </cell>
          <cell r="K389">
            <v>0.73116639183075982</v>
          </cell>
          <cell r="L389">
            <v>9.9972498037936175E-2</v>
          </cell>
          <cell r="M389">
            <v>0.16886111013130398</v>
          </cell>
          <cell r="U389" t="str">
            <v>1997OH</v>
          </cell>
          <cell r="V389">
            <v>9.5290712999999999E-2</v>
          </cell>
          <cell r="W389">
            <v>4.114259E-2</v>
          </cell>
          <cell r="X389">
            <v>0.25470744299999998</v>
          </cell>
          <cell r="Y389">
            <v>0.16184911499999999</v>
          </cell>
          <cell r="Z389">
            <v>0.44701013899999997</v>
          </cell>
          <cell r="AB389" t="str">
            <v>1997OH</v>
          </cell>
          <cell r="AC389">
            <v>0</v>
          </cell>
          <cell r="AD389">
            <v>0</v>
          </cell>
          <cell r="AE389">
            <v>0</v>
          </cell>
          <cell r="AF389">
            <v>1</v>
          </cell>
        </row>
        <row r="390">
          <cell r="B390" t="str">
            <v>1997OK</v>
          </cell>
          <cell r="C390">
            <v>0.29259324014758348</v>
          </cell>
          <cell r="D390">
            <v>0.22779433486052544</v>
          </cell>
          <cell r="E390">
            <v>0.05</v>
          </cell>
          <cell r="F390">
            <v>0.33695944189912425</v>
          </cell>
          <cell r="G390">
            <v>0</v>
          </cell>
          <cell r="H390">
            <v>9.2652983092766789E-2</v>
          </cell>
          <cell r="J390" t="str">
            <v>1997OK</v>
          </cell>
          <cell r="K390">
            <v>0.95</v>
          </cell>
          <cell r="L390">
            <v>0</v>
          </cell>
          <cell r="M390">
            <v>0.05</v>
          </cell>
          <cell r="U390" t="str">
            <v>1997OK</v>
          </cell>
          <cell r="V390">
            <v>2.3008226E-2</v>
          </cell>
          <cell r="W390">
            <v>3.6506082000000002E-2</v>
          </cell>
          <cell r="X390">
            <v>6.5017749999999999E-2</v>
          </cell>
          <cell r="Y390">
            <v>0.564482712</v>
          </cell>
          <cell r="Z390">
            <v>0.31098522899999997</v>
          </cell>
          <cell r="AB390" t="str">
            <v>1997OK</v>
          </cell>
          <cell r="AC390">
            <v>0</v>
          </cell>
          <cell r="AD390">
            <v>4.4444444444444425E-2</v>
          </cell>
          <cell r="AE390">
            <v>0.46666666699999998</v>
          </cell>
          <cell r="AF390">
            <v>0.48888888899999999</v>
          </cell>
        </row>
        <row r="391">
          <cell r="B391" t="str">
            <v>1997OR</v>
          </cell>
          <cell r="C391">
            <v>0.33022416365743917</v>
          </cell>
          <cell r="D391">
            <v>0.20334334138130478</v>
          </cell>
          <cell r="E391">
            <v>0</v>
          </cell>
          <cell r="F391">
            <v>0.12535829693261213</v>
          </cell>
          <cell r="G391">
            <v>0.31468499704834668</v>
          </cell>
          <cell r="H391">
            <v>2.6389200980297157E-2</v>
          </cell>
          <cell r="J391" t="str">
            <v>1997OR</v>
          </cell>
          <cell r="K391">
            <v>0.68531500295165326</v>
          </cell>
          <cell r="L391">
            <v>0.31468499704834668</v>
          </cell>
          <cell r="M391">
            <v>0</v>
          </cell>
          <cell r="U391" t="str">
            <v>1997OR</v>
          </cell>
          <cell r="V391">
            <v>0.66297845499999997</v>
          </cell>
          <cell r="W391">
            <v>1.4828948E-2</v>
          </cell>
          <cell r="X391">
            <v>9.3017946000000004E-2</v>
          </cell>
          <cell r="Y391">
            <v>7.1111545999999998E-2</v>
          </cell>
          <cell r="Z391">
            <v>0.15806310400000001</v>
          </cell>
          <cell r="AB391" t="str">
            <v>1997OR</v>
          </cell>
          <cell r="AC391">
            <v>0</v>
          </cell>
          <cell r="AD391">
            <v>0.02</v>
          </cell>
          <cell r="AE391">
            <v>0.218888889</v>
          </cell>
          <cell r="AF391">
            <v>0.76111111099999995</v>
          </cell>
        </row>
        <row r="392">
          <cell r="B392" t="str">
            <v>1997PA</v>
          </cell>
          <cell r="C392">
            <v>3.130808242760006E-2</v>
          </cell>
          <cell r="D392">
            <v>9.6373709368355848E-2</v>
          </cell>
          <cell r="E392">
            <v>0.47857832357257868</v>
          </cell>
          <cell r="F392">
            <v>0.27169129477139287</v>
          </cell>
          <cell r="G392">
            <v>9.7324600307784365E-2</v>
          </cell>
          <cell r="H392">
            <v>2.4723989552288203E-2</v>
          </cell>
          <cell r="J392" t="str">
            <v>1997PA</v>
          </cell>
          <cell r="K392">
            <v>0.42409707611963698</v>
          </cell>
          <cell r="L392">
            <v>9.7324600307784365E-2</v>
          </cell>
          <cell r="M392">
            <v>0.47857832357257868</v>
          </cell>
          <cell r="U392" t="str">
            <v>1997PA</v>
          </cell>
          <cell r="V392">
            <v>6.1188966999999997E-2</v>
          </cell>
          <cell r="W392">
            <v>4.8038605999999998E-2</v>
          </cell>
          <cell r="X392">
            <v>0.25182001399999998</v>
          </cell>
          <cell r="Y392">
            <v>0.17565272500000001</v>
          </cell>
          <cell r="Z392">
            <v>0.46329968700000002</v>
          </cell>
          <cell r="AB392" t="str">
            <v>1997PA</v>
          </cell>
          <cell r="AC392">
            <v>6.6666666666666707E-2</v>
          </cell>
          <cell r="AD392">
            <v>1.1111111111111106E-2</v>
          </cell>
          <cell r="AE392">
            <v>0</v>
          </cell>
          <cell r="AF392">
            <v>0.92222222200000004</v>
          </cell>
        </row>
        <row r="393">
          <cell r="B393" t="str">
            <v>1997RI</v>
          </cell>
          <cell r="C393">
            <v>1.5600550000000001E-2</v>
          </cell>
          <cell r="D393">
            <v>5.960587500000001E-2</v>
          </cell>
          <cell r="E393">
            <v>0.50810416666666669</v>
          </cell>
          <cell r="F393">
            <v>0.27639465000000002</v>
          </cell>
          <cell r="G393">
            <v>0.12395833333333331</v>
          </cell>
          <cell r="H393">
            <v>1.6336425000000002E-2</v>
          </cell>
          <cell r="J393" t="str">
            <v>1997RI</v>
          </cell>
          <cell r="K393">
            <v>0.36793750000000003</v>
          </cell>
          <cell r="L393">
            <v>0.12395833333333331</v>
          </cell>
          <cell r="M393">
            <v>0.50810416666666669</v>
          </cell>
          <cell r="U393" t="str">
            <v>1997RI</v>
          </cell>
          <cell r="V393">
            <v>0.45211038999999997</v>
          </cell>
          <cell r="W393">
            <v>2.4107143000000001E-2</v>
          </cell>
          <cell r="X393">
            <v>0.15121753199999999</v>
          </cell>
          <cell r="Y393">
            <v>0.115604708</v>
          </cell>
          <cell r="Z393">
            <v>0.25696022699999999</v>
          </cell>
          <cell r="AB393" t="str">
            <v>1997RI</v>
          </cell>
          <cell r="AC393">
            <v>2.2222222222222213E-2</v>
          </cell>
          <cell r="AD393">
            <v>0.02</v>
          </cell>
          <cell r="AE393">
            <v>3.8888889000000003E-2</v>
          </cell>
          <cell r="AF393">
            <v>0.91888888899999999</v>
          </cell>
        </row>
        <row r="394">
          <cell r="B394" t="str">
            <v>1997SC</v>
          </cell>
          <cell r="C394">
            <v>8.6920823654094745E-2</v>
          </cell>
          <cell r="D394">
            <v>6.9257276965629985E-2</v>
          </cell>
          <cell r="E394">
            <v>0.13912499999999997</v>
          </cell>
          <cell r="F394">
            <v>7.221311459204624E-2</v>
          </cell>
          <cell r="G394">
            <v>0.629</v>
          </cell>
          <cell r="H394">
            <v>3.4837847882290321E-3</v>
          </cell>
          <cell r="J394" t="str">
            <v>1997SC</v>
          </cell>
          <cell r="K394">
            <v>0.23187500000000005</v>
          </cell>
          <cell r="L394">
            <v>0.629</v>
          </cell>
          <cell r="M394">
            <v>0.13912499999999997</v>
          </cell>
          <cell r="U394" t="str">
            <v>1997SC</v>
          </cell>
          <cell r="V394">
            <v>8.5179121999999996E-2</v>
          </cell>
          <cell r="W394">
            <v>3.5785865E-2</v>
          </cell>
          <cell r="X394">
            <v>0.11148453899999999</v>
          </cell>
          <cell r="Y394">
            <v>0.43994725600000001</v>
          </cell>
          <cell r="Z394">
            <v>0.327603219</v>
          </cell>
          <cell r="AB394" t="str">
            <v>1997SC</v>
          </cell>
          <cell r="AC394">
            <v>2.2222222222222213E-2</v>
          </cell>
          <cell r="AD394">
            <v>0</v>
          </cell>
          <cell r="AE394">
            <v>0.55555555599999995</v>
          </cell>
          <cell r="AF394">
            <v>0.42222222199999998</v>
          </cell>
        </row>
        <row r="395">
          <cell r="B395" t="str">
            <v>1997SD</v>
          </cell>
          <cell r="C395">
            <v>4.8094645043272641E-2</v>
          </cell>
          <cell r="D395">
            <v>0.15935353884262207</v>
          </cell>
          <cell r="E395">
            <v>0.17166181776683717</v>
          </cell>
          <cell r="F395">
            <v>0.47441744430006072</v>
          </cell>
          <cell r="G395">
            <v>0.1016306284291225</v>
          </cell>
          <cell r="H395">
            <v>4.4841925618084783E-2</v>
          </cell>
          <cell r="J395" t="str">
            <v>1997SD</v>
          </cell>
          <cell r="K395">
            <v>0.7267075538040404</v>
          </cell>
          <cell r="L395">
            <v>0.1016306284291225</v>
          </cell>
          <cell r="M395">
            <v>0.17166181776683717</v>
          </cell>
          <cell r="U395" t="str">
            <v>1997SD</v>
          </cell>
          <cell r="V395">
            <v>7.9165609999999997E-2</v>
          </cell>
          <cell r="W395">
            <v>4.6363397000000001E-2</v>
          </cell>
          <cell r="X395">
            <v>0.247816385</v>
          </cell>
          <cell r="Y395">
            <v>0.17480711199999999</v>
          </cell>
          <cell r="Z395">
            <v>0.45184749699999999</v>
          </cell>
          <cell r="AB395" t="str">
            <v>1997SD</v>
          </cell>
          <cell r="AC395">
            <v>0</v>
          </cell>
          <cell r="AD395">
            <v>0</v>
          </cell>
          <cell r="AE395">
            <v>0.06</v>
          </cell>
          <cell r="AF395">
            <v>0.94</v>
          </cell>
        </row>
        <row r="396">
          <cell r="B396" t="str">
            <v>1997TN</v>
          </cell>
          <cell r="C396">
            <v>2.3221985873114234E-2</v>
          </cell>
          <cell r="D396">
            <v>6.6214777401749345E-2</v>
          </cell>
          <cell r="E396">
            <v>0.13912499999999997</v>
          </cell>
          <cell r="F396">
            <v>0.12648885529922069</v>
          </cell>
          <cell r="G396">
            <v>0.629</v>
          </cell>
          <cell r="H396">
            <v>1.5949381425915777E-2</v>
          </cell>
          <cell r="J396" t="str">
            <v>1997TN</v>
          </cell>
          <cell r="K396">
            <v>0.23187500000000005</v>
          </cell>
          <cell r="L396">
            <v>0.629</v>
          </cell>
          <cell r="M396">
            <v>0.13912499999999997</v>
          </cell>
          <cell r="U396" t="str">
            <v>1997TN</v>
          </cell>
          <cell r="V396">
            <v>0.13054759699999999</v>
          </cell>
          <cell r="W396">
            <v>3.5537593999999999E-2</v>
          </cell>
          <cell r="X396">
            <v>0.15414788099999999</v>
          </cell>
          <cell r="Y396">
            <v>0.33373825800000001</v>
          </cell>
          <cell r="Z396">
            <v>0.34602866900000001</v>
          </cell>
          <cell r="AB396" t="str">
            <v>1997TN</v>
          </cell>
          <cell r="AC396">
            <v>0</v>
          </cell>
          <cell r="AD396">
            <v>0.2</v>
          </cell>
          <cell r="AE396">
            <v>5.4444444000000002E-2</v>
          </cell>
          <cell r="AF396">
            <v>0.74555555600000001</v>
          </cell>
        </row>
        <row r="397">
          <cell r="B397" t="str">
            <v>1997TX</v>
          </cell>
          <cell r="C397">
            <v>0.48593315820101318</v>
          </cell>
          <cell r="D397">
            <v>0.25614825411683595</v>
          </cell>
          <cell r="E397">
            <v>7.1098649950209786E-2</v>
          </cell>
          <cell r="F397">
            <v>0.15767906636297041</v>
          </cell>
          <cell r="G397">
            <v>0</v>
          </cell>
          <cell r="H397">
            <v>2.9140871368970773E-2</v>
          </cell>
          <cell r="J397" t="str">
            <v>1997TX</v>
          </cell>
          <cell r="K397">
            <v>0.92890135004979024</v>
          </cell>
          <cell r="L397">
            <v>0</v>
          </cell>
          <cell r="M397">
            <v>7.1098649950209786E-2</v>
          </cell>
          <cell r="U397" t="str">
            <v>1997TX</v>
          </cell>
          <cell r="V397">
            <v>0.12490841</v>
          </cell>
          <cell r="W397">
            <v>3.3455828999999999E-2</v>
          </cell>
          <cell r="X397">
            <v>8.2146371999999995E-2</v>
          </cell>
          <cell r="Y397">
            <v>0.46373770600000003</v>
          </cell>
          <cell r="Z397">
            <v>0.29575168299999999</v>
          </cell>
          <cell r="AB397" t="str">
            <v>1997TX</v>
          </cell>
          <cell r="AC397">
            <v>0.11111111111111102</v>
          </cell>
          <cell r="AD397">
            <v>0</v>
          </cell>
          <cell r="AE397">
            <v>0.18222222199999999</v>
          </cell>
          <cell r="AF397">
            <v>0.70666666700000003</v>
          </cell>
        </row>
        <row r="398">
          <cell r="B398" t="str">
            <v>1997UT</v>
          </cell>
          <cell r="C398">
            <v>0.41049289721387389</v>
          </cell>
          <cell r="D398">
            <v>0.27912464383368657</v>
          </cell>
          <cell r="E398">
            <v>2.6005297687734824E-2</v>
          </cell>
          <cell r="F398">
            <v>0.2169135430922923</v>
          </cell>
          <cell r="G398">
            <v>1.5396171267862904E-2</v>
          </cell>
          <cell r="H398">
            <v>5.2067446904549675E-2</v>
          </cell>
          <cell r="J398" t="str">
            <v>1997UT</v>
          </cell>
          <cell r="K398">
            <v>0.95859853104440229</v>
          </cell>
          <cell r="L398">
            <v>1.5396171267862904E-2</v>
          </cell>
          <cell r="M398">
            <v>2.6005297687734824E-2</v>
          </cell>
          <cell r="U398" t="str">
            <v>1997UT</v>
          </cell>
          <cell r="V398">
            <v>2.6607675000000001E-2</v>
          </cell>
          <cell r="W398">
            <v>5.4040100000000001E-2</v>
          </cell>
          <cell r="X398">
            <v>0.25651120799999999</v>
          </cell>
          <cell r="Y398">
            <v>0.168016323</v>
          </cell>
          <cell r="Z398">
            <v>0.49482469400000001</v>
          </cell>
          <cell r="AB398" t="str">
            <v>1997UT</v>
          </cell>
          <cell r="AC398">
            <v>0.11111111111111102</v>
          </cell>
          <cell r="AD398">
            <v>0</v>
          </cell>
          <cell r="AE398">
            <v>0.46666666699999998</v>
          </cell>
          <cell r="AF398">
            <v>0.42222222199999998</v>
          </cell>
        </row>
        <row r="399">
          <cell r="B399" t="str">
            <v>1997VT</v>
          </cell>
          <cell r="C399">
            <v>6.3855747187872666E-2</v>
          </cell>
          <cell r="D399">
            <v>0.13765582568256449</v>
          </cell>
          <cell r="E399">
            <v>0.45592076133572451</v>
          </cell>
          <cell r="F399">
            <v>0.23916017718710789</v>
          </cell>
          <cell r="G399">
            <v>7.6886387529129935E-2</v>
          </cell>
          <cell r="H399">
            <v>2.6521101077600508E-2</v>
          </cell>
          <cell r="J399" t="str">
            <v>1997VT</v>
          </cell>
          <cell r="K399">
            <v>0.46719285113514553</v>
          </cell>
          <cell r="L399">
            <v>7.6886387529129935E-2</v>
          </cell>
          <cell r="M399">
            <v>0.45592076133572451</v>
          </cell>
          <cell r="U399" t="str">
            <v>1997VT</v>
          </cell>
          <cell r="V399">
            <v>1</v>
          </cell>
          <cell r="W399">
            <v>0</v>
          </cell>
          <cell r="X399">
            <v>0</v>
          </cell>
          <cell r="Y399">
            <v>0</v>
          </cell>
          <cell r="Z399">
            <v>0</v>
          </cell>
          <cell r="AB399" t="str">
            <v>1997VT</v>
          </cell>
          <cell r="AC399">
            <v>2.2222222222222213E-2</v>
          </cell>
          <cell r="AD399">
            <v>0.02</v>
          </cell>
          <cell r="AE399">
            <v>3.8888889000000003E-2</v>
          </cell>
          <cell r="AF399">
            <v>0.91888888899999999</v>
          </cell>
        </row>
        <row r="400">
          <cell r="B400" t="str">
            <v>1997VA</v>
          </cell>
          <cell r="C400">
            <v>2.3759471840306336E-2</v>
          </cell>
          <cell r="D400">
            <v>6.835749129445931E-2</v>
          </cell>
          <cell r="E400">
            <v>0.13912499999999997</v>
          </cell>
          <cell r="F400">
            <v>0.12245453660824426</v>
          </cell>
          <cell r="G400">
            <v>0.629</v>
          </cell>
          <cell r="H400">
            <v>1.7303500256990133E-2</v>
          </cell>
          <cell r="J400" t="str">
            <v>1997VA</v>
          </cell>
          <cell r="K400">
            <v>0.23187500000000005</v>
          </cell>
          <cell r="L400">
            <v>0.629</v>
          </cell>
          <cell r="M400">
            <v>0.13912499999999997</v>
          </cell>
          <cell r="U400" t="str">
            <v>1997VA</v>
          </cell>
          <cell r="V400">
            <v>4.7667560999999997E-2</v>
          </cell>
          <cell r="W400">
            <v>3.6397205000000002E-2</v>
          </cell>
          <cell r="X400">
            <v>8.9029721000000006E-2</v>
          </cell>
          <cell r="Y400">
            <v>0.50531332299999998</v>
          </cell>
          <cell r="Z400">
            <v>0.32159218899999997</v>
          </cell>
          <cell r="AB400" t="str">
            <v>1997VA</v>
          </cell>
          <cell r="AC400">
            <v>0.15555555555555561</v>
          </cell>
          <cell r="AD400">
            <v>0</v>
          </cell>
          <cell r="AE400">
            <v>3.8888889000000003E-2</v>
          </cell>
          <cell r="AF400">
            <v>0.80555555599999995</v>
          </cell>
        </row>
        <row r="401">
          <cell r="B401" t="str">
            <v>1997WA</v>
          </cell>
          <cell r="C401">
            <v>0.42557230357340259</v>
          </cell>
          <cell r="D401">
            <v>0.21908180089695775</v>
          </cell>
          <cell r="E401">
            <v>0</v>
          </cell>
          <cell r="F401">
            <v>0.11130994101427454</v>
          </cell>
          <cell r="G401">
            <v>0.22671245228088796</v>
          </cell>
          <cell r="H401">
            <v>1.7323502234477147E-2</v>
          </cell>
          <cell r="J401" t="str">
            <v>1997WA</v>
          </cell>
          <cell r="K401">
            <v>0.77328754771911201</v>
          </cell>
          <cell r="L401">
            <v>0.22671245228088796</v>
          </cell>
          <cell r="M401">
            <v>0</v>
          </cell>
          <cell r="U401" t="str">
            <v>1997WA</v>
          </cell>
          <cell r="V401">
            <v>0.29889560900000001</v>
          </cell>
          <cell r="W401">
            <v>3.4182907999999998E-2</v>
          </cell>
          <cell r="X401">
            <v>0.189892637</v>
          </cell>
          <cell r="Y401">
            <v>0.13681864299999999</v>
          </cell>
          <cell r="Z401">
            <v>0.34021020200000002</v>
          </cell>
          <cell r="AB401" t="str">
            <v>1997WA</v>
          </cell>
          <cell r="AC401">
            <v>0</v>
          </cell>
          <cell r="AD401">
            <v>2.2222222222222213E-2</v>
          </cell>
          <cell r="AE401">
            <v>9.3333333000000004E-2</v>
          </cell>
          <cell r="AF401">
            <v>0.884444444</v>
          </cell>
        </row>
        <row r="402">
          <cell r="B402" t="str">
            <v>1997WV</v>
          </cell>
          <cell r="C402">
            <v>3.6156738719280525E-2</v>
          </cell>
          <cell r="D402">
            <v>0.11000916088631948</v>
          </cell>
          <cell r="E402">
            <v>0.46868375711778199</v>
          </cell>
          <cell r="F402">
            <v>0.26852672289659102</v>
          </cell>
          <cell r="G402">
            <v>8.8399224645492991E-2</v>
          </cell>
          <cell r="H402">
            <v>2.8224395734534016E-2</v>
          </cell>
          <cell r="J402" t="str">
            <v>1997WV</v>
          </cell>
          <cell r="K402">
            <v>0.44291701823672502</v>
          </cell>
          <cell r="L402">
            <v>8.8399224645492991E-2</v>
          </cell>
          <cell r="M402">
            <v>0.46868375711778199</v>
          </cell>
          <cell r="U402" t="str">
            <v>1997WV</v>
          </cell>
          <cell r="V402">
            <v>0.41904069799999999</v>
          </cell>
          <cell r="W402">
            <v>2.5562208999999999E-2</v>
          </cell>
          <cell r="X402">
            <v>0.160344767</v>
          </cell>
          <cell r="Y402">
            <v>0.122582413</v>
          </cell>
          <cell r="Z402">
            <v>0.27246991300000001</v>
          </cell>
          <cell r="AB402" t="str">
            <v>1997WV</v>
          </cell>
          <cell r="AC402">
            <v>0.22222222222222204</v>
          </cell>
          <cell r="AD402">
            <v>0</v>
          </cell>
          <cell r="AE402">
            <v>3.8888889000000003E-2</v>
          </cell>
          <cell r="AF402">
            <v>0.73888888900000005</v>
          </cell>
        </row>
        <row r="403">
          <cell r="B403" t="str">
            <v>1997WI</v>
          </cell>
          <cell r="C403">
            <v>6.2224082606917031E-2</v>
          </cell>
          <cell r="D403">
            <v>0.17374889898393833</v>
          </cell>
          <cell r="E403">
            <v>0.16613939232733094</v>
          </cell>
          <cell r="F403">
            <v>0.45958697376941671</v>
          </cell>
          <cell r="G403">
            <v>9.836113277090737E-2</v>
          </cell>
          <cell r="H403">
            <v>3.993951954148961E-2</v>
          </cell>
          <cell r="J403" t="str">
            <v>1997WI</v>
          </cell>
          <cell r="K403">
            <v>0.73549947490176171</v>
          </cell>
          <cell r="L403">
            <v>9.836113277090737E-2</v>
          </cell>
          <cell r="M403">
            <v>0.16613939232733094</v>
          </cell>
          <cell r="U403" t="str">
            <v>1997WI</v>
          </cell>
          <cell r="V403">
            <v>0.13858268400000001</v>
          </cell>
          <cell r="W403">
            <v>4.0894027999999999E-2</v>
          </cell>
          <cell r="X403">
            <v>0.234510207</v>
          </cell>
          <cell r="Y403">
            <v>0.171786832</v>
          </cell>
          <cell r="Z403">
            <v>0.41422624800000002</v>
          </cell>
          <cell r="AB403" t="str">
            <v>1997WI</v>
          </cell>
          <cell r="AC403">
            <v>8.8888888888888851E-2</v>
          </cell>
          <cell r="AD403">
            <v>1.1111111111111106E-2</v>
          </cell>
          <cell r="AE403">
            <v>1.5555556E-2</v>
          </cell>
          <cell r="AF403">
            <v>0.884444444</v>
          </cell>
        </row>
        <row r="404">
          <cell r="B404" t="str">
            <v>1997WY</v>
          </cell>
          <cell r="C404">
            <v>0.27594999095739625</v>
          </cell>
          <cell r="D404">
            <v>0.21690471108172096</v>
          </cell>
          <cell r="E404">
            <v>0.1361976295479603</v>
          </cell>
          <cell r="F404">
            <v>0.22926184071213845</v>
          </cell>
          <cell r="G404">
            <v>8.0634417493568547E-2</v>
          </cell>
          <cell r="H404">
            <v>6.1051410207215412E-2</v>
          </cell>
          <cell r="J404" t="str">
            <v>1997WY</v>
          </cell>
          <cell r="K404">
            <v>0.78316795295847119</v>
          </cell>
          <cell r="L404">
            <v>8.0634417493568547E-2</v>
          </cell>
          <cell r="M404">
            <v>0.1361976295479603</v>
          </cell>
          <cell r="U404" t="str">
            <v>1997WY</v>
          </cell>
          <cell r="V404">
            <v>4.7961814999999998E-2</v>
          </cell>
          <cell r="W404">
            <v>5.2745180000000003E-2</v>
          </cell>
          <cell r="X404">
            <v>0.25100241400000001</v>
          </cell>
          <cell r="Y404">
            <v>0.16469505700000001</v>
          </cell>
          <cell r="Z404">
            <v>0.48359553399999999</v>
          </cell>
          <cell r="AB404" t="str">
            <v>1997WY</v>
          </cell>
          <cell r="AC404">
            <v>0</v>
          </cell>
          <cell r="AD404">
            <v>1.7777777777777767E-2</v>
          </cell>
          <cell r="AE404">
            <v>0.47555555599999999</v>
          </cell>
          <cell r="AF404">
            <v>0.50666666699999996</v>
          </cell>
        </row>
        <row r="405">
          <cell r="B405" t="str">
            <v>1998AL</v>
          </cell>
          <cell r="C405">
            <v>0.10109739310339702</v>
          </cell>
          <cell r="D405">
            <v>7.2545284865476387E-2</v>
          </cell>
          <cell r="E405">
            <v>0.14513869291441467</v>
          </cell>
          <cell r="F405">
            <v>8.3903457970289197E-2</v>
          </cell>
          <cell r="G405">
            <v>0.59332501963792528</v>
          </cell>
          <cell r="H405">
            <v>3.9901515084973865E-3</v>
          </cell>
          <cell r="J405" t="str">
            <v>1998AL</v>
          </cell>
          <cell r="K405">
            <v>0.26153628744766011</v>
          </cell>
          <cell r="L405">
            <v>0.59332501963792528</v>
          </cell>
          <cell r="M405">
            <v>0.14513869291441467</v>
          </cell>
          <cell r="U405" t="str">
            <v>1998AL</v>
          </cell>
          <cell r="V405">
            <v>9.4174025999999994E-2</v>
          </cell>
          <cell r="W405">
            <v>3.5534627999999999E-2</v>
          </cell>
          <cell r="X405">
            <v>0.113565254</v>
          </cell>
          <cell r="Y405">
            <v>0.43005837800000002</v>
          </cell>
          <cell r="Z405">
            <v>0.326667714</v>
          </cell>
          <cell r="AB405" t="str">
            <v>1998AL</v>
          </cell>
          <cell r="AC405">
            <v>0</v>
          </cell>
          <cell r="AD405">
            <v>1.1111111111111101E-2</v>
          </cell>
          <cell r="AE405">
            <v>0.46133333300000001</v>
          </cell>
          <cell r="AF405">
            <v>0.52755555600000004</v>
          </cell>
        </row>
        <row r="406">
          <cell r="B406" t="str">
            <v>1998AK</v>
          </cell>
          <cell r="C406">
            <v>0.26011523874009923</v>
          </cell>
          <cell r="D406">
            <v>0.20394866146115145</v>
          </cell>
          <cell r="E406">
            <v>0.14696917603141396</v>
          </cell>
          <cell r="F406">
            <v>0.23791939754002328</v>
          </cell>
          <cell r="G406">
            <v>8.7011601730041105E-2</v>
          </cell>
          <cell r="H406">
            <v>6.4035924497270941E-2</v>
          </cell>
          <cell r="J406" t="str">
            <v>1998AK</v>
          </cell>
          <cell r="K406">
            <v>0.76601922223854491</v>
          </cell>
          <cell r="L406">
            <v>8.7011601730041105E-2</v>
          </cell>
          <cell r="M406">
            <v>0.14696917603141396</v>
          </cell>
          <cell r="U406" t="str">
            <v>1998AK</v>
          </cell>
          <cell r="V406">
            <v>0.90526515100000005</v>
          </cell>
          <cell r="W406">
            <v>4.1683329999999998E-3</v>
          </cell>
          <cell r="X406">
            <v>2.6146817999999999E-2</v>
          </cell>
          <cell r="Y406">
            <v>1.9989053E-2</v>
          </cell>
          <cell r="Z406">
            <v>4.4430643999999998E-2</v>
          </cell>
          <cell r="AB406" t="str">
            <v>1998AK</v>
          </cell>
          <cell r="AC406">
            <v>1.1111111111111101E-2</v>
          </cell>
          <cell r="AD406">
            <v>1.3333333333333315E-2</v>
          </cell>
          <cell r="AE406">
            <v>0.23888888899999999</v>
          </cell>
          <cell r="AF406">
            <v>0.73666666700000005</v>
          </cell>
        </row>
        <row r="407">
          <cell r="B407" t="str">
            <v>1998AZ</v>
          </cell>
          <cell r="C407">
            <v>0.60899235230481252</v>
          </cell>
          <cell r="D407">
            <v>0.20017542502629906</v>
          </cell>
          <cell r="E407">
            <v>9.7570544749036869E-2</v>
          </cell>
          <cell r="F407">
            <v>9.2782586374762846E-2</v>
          </cell>
          <cell r="G407">
            <v>0</v>
          </cell>
          <cell r="H407">
            <v>4.7909154508864161E-4</v>
          </cell>
          <cell r="J407" t="str">
            <v>1998AZ</v>
          </cell>
          <cell r="K407">
            <v>0.90242945525096308</v>
          </cell>
          <cell r="L407">
            <v>0</v>
          </cell>
          <cell r="M407">
            <v>9.7570544749036869E-2</v>
          </cell>
          <cell r="U407" t="str">
            <v>1998AZ</v>
          </cell>
          <cell r="V407">
            <v>7.8385252000000002E-2</v>
          </cell>
          <cell r="W407">
            <v>3.5772394999999998E-2</v>
          </cell>
          <cell r="X407">
            <v>0.103496752</v>
          </cell>
          <cell r="Y407">
            <v>0.45865198499999998</v>
          </cell>
          <cell r="Z407">
            <v>0.32369361499999999</v>
          </cell>
          <cell r="AB407" t="str">
            <v>1998AZ</v>
          </cell>
          <cell r="AC407">
            <v>0</v>
          </cell>
          <cell r="AD407">
            <v>0</v>
          </cell>
          <cell r="AE407">
            <v>0.53333333299999997</v>
          </cell>
          <cell r="AF407">
            <v>0.46666666699999998</v>
          </cell>
        </row>
        <row r="408">
          <cell r="B408" t="str">
            <v>1998AR</v>
          </cell>
          <cell r="C408">
            <v>6.6024268465921188E-2</v>
          </cell>
          <cell r="D408">
            <v>5.0120091319374817E-2</v>
          </cell>
          <cell r="E408">
            <v>0.14107667156106304</v>
          </cell>
          <cell r="F408">
            <v>0.11925410801239177</v>
          </cell>
          <cell r="G408">
            <v>0.61742211506223532</v>
          </cell>
          <cell r="H408">
            <v>6.1027455790139155E-3</v>
          </cell>
          <cell r="J408" t="str">
            <v>1998AR</v>
          </cell>
          <cell r="K408">
            <v>0.24150121337670161</v>
          </cell>
          <cell r="L408">
            <v>0.61742211506223532</v>
          </cell>
          <cell r="M408">
            <v>0.14107667156106304</v>
          </cell>
          <cell r="U408" t="str">
            <v>1998AR</v>
          </cell>
          <cell r="V408">
            <v>2.3521192999999999E-2</v>
          </cell>
          <cell r="W408">
            <v>3.7829263000000002E-2</v>
          </cell>
          <cell r="X408">
            <v>0.107363475</v>
          </cell>
          <cell r="Y408">
            <v>0.48997363199999999</v>
          </cell>
          <cell r="Z408">
            <v>0.341312436</v>
          </cell>
          <cell r="AB408" t="str">
            <v>1998AR</v>
          </cell>
          <cell r="AC408">
            <v>0</v>
          </cell>
          <cell r="AD408">
            <v>6.6666666666666749E-2</v>
          </cell>
          <cell r="AE408">
            <v>4.4444444E-2</v>
          </cell>
          <cell r="AF408">
            <v>0.88888888899999996</v>
          </cell>
        </row>
        <row r="409">
          <cell r="B409" t="str">
            <v>1998CA</v>
          </cell>
          <cell r="C409">
            <v>0.57401876834808863</v>
          </cell>
          <cell r="D409">
            <v>0.21163797997269157</v>
          </cell>
          <cell r="E409">
            <v>0.1099095251871812</v>
          </cell>
          <cell r="F409">
            <v>9.0878471721925161E-2</v>
          </cell>
          <cell r="G409">
            <v>1.1176474823059621E-2</v>
          </cell>
          <cell r="H409">
            <v>2.3787799470537056E-3</v>
          </cell>
          <cell r="J409" t="str">
            <v>1998CA</v>
          </cell>
          <cell r="K409">
            <v>0.87891399998975916</v>
          </cell>
          <cell r="L409">
            <v>1.1176474823059621E-2</v>
          </cell>
          <cell r="M409">
            <v>0.1099095251871812</v>
          </cell>
          <cell r="U409" t="str">
            <v>1998CA</v>
          </cell>
          <cell r="V409">
            <v>0.10350540699999999</v>
          </cell>
          <cell r="W409">
            <v>3.4030468000000001E-2</v>
          </cell>
          <cell r="X409">
            <v>7.6463943000000006E-2</v>
          </cell>
          <cell r="Y409">
            <v>0.48854874999999998</v>
          </cell>
          <cell r="Z409">
            <v>0.29745143099999999</v>
          </cell>
          <cell r="AB409" t="str">
            <v>1998CA</v>
          </cell>
          <cell r="AC409">
            <v>5.0000000000000072E-2</v>
          </cell>
          <cell r="AD409">
            <v>3.3333333333333288E-3</v>
          </cell>
          <cell r="AE409">
            <v>0.11444444400000001</v>
          </cell>
          <cell r="AF409">
            <v>0.83222222199999996</v>
          </cell>
        </row>
        <row r="410">
          <cell r="B410" t="str">
            <v>1998CO</v>
          </cell>
          <cell r="C410">
            <v>0.56777004319231461</v>
          </cell>
          <cell r="D410">
            <v>0.26135131546351098</v>
          </cell>
          <cell r="E410">
            <v>1.9864697927549357E-2</v>
          </cell>
          <cell r="F410">
            <v>0.12451735662012546</v>
          </cell>
          <cell r="G410">
            <v>1.1760691807852603E-2</v>
          </cell>
          <cell r="H410">
            <v>1.47358949886469E-2</v>
          </cell>
          <cell r="J410" t="str">
            <v>1998CO</v>
          </cell>
          <cell r="K410">
            <v>0.96837461026459803</v>
          </cell>
          <cell r="L410">
            <v>1.1760691807852603E-2</v>
          </cell>
          <cell r="M410">
            <v>1.9864697927549357E-2</v>
          </cell>
          <cell r="U410" t="str">
            <v>1998CO</v>
          </cell>
          <cell r="V410">
            <v>2.4667499999999998E-2</v>
          </cell>
          <cell r="W410">
            <v>5.3856016E-2</v>
          </cell>
          <cell r="X410">
            <v>0.25733860200000003</v>
          </cell>
          <cell r="Y410">
            <v>0.16932386999999999</v>
          </cell>
          <cell r="Z410">
            <v>0.49481401200000003</v>
          </cell>
          <cell r="AB410" t="str">
            <v>1998CO</v>
          </cell>
          <cell r="AC410">
            <v>0</v>
          </cell>
          <cell r="AD410">
            <v>8.8888888888888785E-3</v>
          </cell>
          <cell r="AE410">
            <v>0.53777777800000004</v>
          </cell>
          <cell r="AF410">
            <v>0.453333333</v>
          </cell>
        </row>
        <row r="411">
          <cell r="B411" t="str">
            <v>1998CT</v>
          </cell>
          <cell r="C411">
            <v>8.2354226606359618E-2</v>
          </cell>
          <cell r="D411">
            <v>0.17286811643970662</v>
          </cell>
          <cell r="E411">
            <v>0.43819791450836393</v>
          </cell>
          <cell r="F411">
            <v>0.21511581011863504</v>
          </cell>
          <cell r="G411">
            <v>6.0899525804353816E-2</v>
          </cell>
          <cell r="H411">
            <v>3.0564406522581047E-2</v>
          </cell>
          <cell r="J411" t="str">
            <v>1998CT</v>
          </cell>
          <cell r="K411">
            <v>0.50090255968728226</v>
          </cell>
          <cell r="L411">
            <v>6.0899525804353816E-2</v>
          </cell>
          <cell r="M411">
            <v>0.43819791450836393</v>
          </cell>
          <cell r="U411" t="str">
            <v>1998CT</v>
          </cell>
          <cell r="V411">
            <v>0.59649324000000004</v>
          </cell>
          <cell r="W411">
            <v>1.7754296999999999E-2</v>
          </cell>
          <cell r="X411">
            <v>0.111367866</v>
          </cell>
          <cell r="Y411">
            <v>8.5139926000000005E-2</v>
          </cell>
          <cell r="Z411">
            <v>0.18924467</v>
          </cell>
          <cell r="AB411" t="str">
            <v>1998CT</v>
          </cell>
          <cell r="AC411">
            <v>0</v>
          </cell>
          <cell r="AD411">
            <v>0</v>
          </cell>
          <cell r="AE411">
            <v>4.4444444E-2</v>
          </cell>
          <cell r="AF411">
            <v>0.95555555599999997</v>
          </cell>
        </row>
        <row r="412">
          <cell r="B412" t="str">
            <v>1998DE</v>
          </cell>
          <cell r="C412">
            <v>6.122289763725048E-2</v>
          </cell>
          <cell r="D412">
            <v>0.14954341154030393</v>
          </cell>
          <cell r="E412">
            <v>0.45131630095513442</v>
          </cell>
          <cell r="F412">
            <v>0.23640021362287292</v>
          </cell>
          <cell r="G412">
            <v>7.2732942423004959E-2</v>
          </cell>
          <cell r="H412">
            <v>2.8784233821433344E-2</v>
          </cell>
          <cell r="J412" t="str">
            <v>1998DE</v>
          </cell>
          <cell r="K412">
            <v>0.47595075662186059</v>
          </cell>
          <cell r="L412">
            <v>7.2732942423004959E-2</v>
          </cell>
          <cell r="M412">
            <v>0.45131630095513442</v>
          </cell>
          <cell r="U412" t="str">
            <v>1998DE</v>
          </cell>
          <cell r="V412">
            <v>0.11582442699999999</v>
          </cell>
          <cell r="W412">
            <v>4.4853974999999997E-2</v>
          </cell>
          <cell r="X412">
            <v>0.237586355</v>
          </cell>
          <cell r="Y412">
            <v>0.16672688099999999</v>
          </cell>
          <cell r="Z412">
            <v>0.43500836300000001</v>
          </cell>
          <cell r="AB412" t="str">
            <v>1998DE</v>
          </cell>
          <cell r="AC412">
            <v>0</v>
          </cell>
          <cell r="AD412">
            <v>0</v>
          </cell>
          <cell r="AE412">
            <v>4.4444444E-2</v>
          </cell>
          <cell r="AF412">
            <v>0.95555555599999997</v>
          </cell>
        </row>
        <row r="413">
          <cell r="B413" t="str">
            <v>1998FL</v>
          </cell>
          <cell r="C413">
            <v>0.42498161095058767</v>
          </cell>
          <cell r="D413">
            <v>0.14887567310367228</v>
          </cell>
          <cell r="E413">
            <v>0.22362260990829497</v>
          </cell>
          <cell r="F413">
            <v>7.4151326497137626E-2</v>
          </cell>
          <cell r="G413">
            <v>0.12773553288777104</v>
          </cell>
          <cell r="H413">
            <v>6.3324665253639185E-4</v>
          </cell>
          <cell r="J413" t="str">
            <v>1998FL</v>
          </cell>
          <cell r="K413">
            <v>0.64864185720393397</v>
          </cell>
          <cell r="L413">
            <v>0.12773553288777104</v>
          </cell>
          <cell r="M413">
            <v>0.22362260990829497</v>
          </cell>
          <cell r="U413" t="str">
            <v>1998FL</v>
          </cell>
          <cell r="V413">
            <v>0.63571701700000005</v>
          </cell>
          <cell r="W413">
            <v>1.6028450999999999E-2</v>
          </cell>
          <cell r="X413">
            <v>0.10054210299999999</v>
          </cell>
          <cell r="Y413">
            <v>7.6863709000000002E-2</v>
          </cell>
          <cell r="Z413">
            <v>0.17084871900000001</v>
          </cell>
          <cell r="AB413" t="str">
            <v>1998FL</v>
          </cell>
          <cell r="AC413">
            <v>1.3333333333333315E-2</v>
          </cell>
          <cell r="AD413">
            <v>6.6666666666666576E-3</v>
          </cell>
          <cell r="AE413">
            <v>0.38577777800000002</v>
          </cell>
          <cell r="AF413">
            <v>0.59422222199999997</v>
          </cell>
        </row>
        <row r="414">
          <cell r="B414" t="str">
            <v>1998GA</v>
          </cell>
          <cell r="C414">
            <v>0.14622630510008269</v>
          </cell>
          <cell r="D414">
            <v>9.1222785869663897E-2</v>
          </cell>
          <cell r="E414">
            <v>0.1598300936359123</v>
          </cell>
          <cell r="F414">
            <v>9.2436092908263545E-2</v>
          </cell>
          <cell r="G414">
            <v>0.5061713455661242</v>
          </cell>
          <cell r="H414">
            <v>4.1133769199532978E-3</v>
          </cell>
          <cell r="J414" t="str">
            <v>1998GA</v>
          </cell>
          <cell r="K414">
            <v>0.33399856079796353</v>
          </cell>
          <cell r="L414">
            <v>0.5061713455661242</v>
          </cell>
          <cell r="M414">
            <v>0.1598300936359123</v>
          </cell>
          <cell r="U414" t="str">
            <v>1998GA</v>
          </cell>
          <cell r="V414">
            <v>8.8603081E-2</v>
          </cell>
          <cell r="W414">
            <v>3.6099232000000002E-2</v>
          </cell>
          <cell r="X414">
            <v>0.125189367</v>
          </cell>
          <cell r="Y414">
            <v>0.41357100600000002</v>
          </cell>
          <cell r="Z414">
            <v>0.33653731399999998</v>
          </cell>
          <cell r="AB414" t="str">
            <v>1998GA</v>
          </cell>
          <cell r="AC414">
            <v>7.1111111111111028E-2</v>
          </cell>
          <cell r="AD414">
            <v>5.5555555555555506E-3</v>
          </cell>
          <cell r="AE414">
            <v>0.37355555600000001</v>
          </cell>
          <cell r="AF414">
            <v>0.54977777800000005</v>
          </cell>
        </row>
        <row r="415">
          <cell r="B415" t="str">
            <v>1998HI</v>
          </cell>
          <cell r="C415">
            <v>0.5576212795306229</v>
          </cell>
          <cell r="D415">
            <v>0.21023267243770757</v>
          </cell>
          <cell r="E415">
            <v>0</v>
          </cell>
          <cell r="F415">
            <v>0.12290306491175958</v>
          </cell>
          <cell r="G415">
            <v>9.6420160000593447E-2</v>
          </cell>
          <cell r="H415">
            <v>1.2822823119316444E-2</v>
          </cell>
          <cell r="J415" t="str">
            <v>1998HI</v>
          </cell>
          <cell r="K415">
            <v>0.90357983999940661</v>
          </cell>
          <cell r="L415">
            <v>9.6420160000593447E-2</v>
          </cell>
          <cell r="M415">
            <v>0</v>
          </cell>
          <cell r="U415" t="str">
            <v>1998HI</v>
          </cell>
          <cell r="V415">
            <v>0.33227302600000003</v>
          </cell>
          <cell r="W415">
            <v>2.9204045000000001E-2</v>
          </cell>
          <cell r="X415">
            <v>0.178737919</v>
          </cell>
          <cell r="Y415">
            <v>0.15061744499999999</v>
          </cell>
          <cell r="Z415">
            <v>0.30916756499999998</v>
          </cell>
          <cell r="AB415" t="str">
            <v>1998HI</v>
          </cell>
          <cell r="AC415">
            <v>1.1111111111111101E-2</v>
          </cell>
          <cell r="AD415">
            <v>0</v>
          </cell>
          <cell r="AE415">
            <v>0.311111111</v>
          </cell>
          <cell r="AF415">
            <v>0.67777777800000005</v>
          </cell>
        </row>
        <row r="416">
          <cell r="B416" t="str">
            <v>1998ID</v>
          </cell>
          <cell r="C416">
            <v>0.57168137211232239</v>
          </cell>
          <cell r="D416">
            <v>0.24464713396159654</v>
          </cell>
          <cell r="E416">
            <v>1.5743890768282476E-2</v>
          </cell>
          <cell r="F416">
            <v>0.1401046052463632</v>
          </cell>
          <cell r="G416">
            <v>9.3210099573413641E-3</v>
          </cell>
          <cell r="H416">
            <v>1.8501987954093881E-2</v>
          </cell>
          <cell r="J416" t="str">
            <v>1998ID</v>
          </cell>
          <cell r="K416">
            <v>0.97493509927437616</v>
          </cell>
          <cell r="L416">
            <v>9.3210099573413641E-3</v>
          </cell>
          <cell r="M416">
            <v>1.5743890768282476E-2</v>
          </cell>
          <cell r="U416" t="str">
            <v>1998ID</v>
          </cell>
          <cell r="V416">
            <v>0.36100241700000002</v>
          </cell>
          <cell r="W416">
            <v>3.1039607E-2</v>
          </cell>
          <cell r="X416">
            <v>0.173195977</v>
          </cell>
          <cell r="Y416">
            <v>0.12508277800000001</v>
          </cell>
          <cell r="Z416">
            <v>0.309679221</v>
          </cell>
          <cell r="AB416" t="str">
            <v>1998ID</v>
          </cell>
          <cell r="AC416">
            <v>0</v>
          </cell>
          <cell r="AD416">
            <v>6.6666666666666749E-2</v>
          </cell>
          <cell r="AE416">
            <v>0.53333333299999997</v>
          </cell>
          <cell r="AF416">
            <v>0.4</v>
          </cell>
        </row>
        <row r="417">
          <cell r="B417" t="str">
            <v>1998IL</v>
          </cell>
          <cell r="C417">
            <v>7.4860738107127955E-2</v>
          </cell>
          <cell r="D417">
            <v>0.20307298168594837</v>
          </cell>
          <cell r="E417">
            <v>0.11331748762324866</v>
          </cell>
          <cell r="F417">
            <v>0.49350974562619354</v>
          </cell>
          <cell r="G417">
            <v>6.7088462821724315E-2</v>
          </cell>
          <cell r="H417">
            <v>4.8150584135757221E-2</v>
          </cell>
          <cell r="J417" t="str">
            <v>1998IL</v>
          </cell>
          <cell r="K417">
            <v>0.81959404955502702</v>
          </cell>
          <cell r="L417">
            <v>6.7088462821724315E-2</v>
          </cell>
          <cell r="M417">
            <v>0.11331748762324866</v>
          </cell>
          <cell r="U417" t="str">
            <v>1998IL</v>
          </cell>
          <cell r="V417">
            <v>3.8054826E-2</v>
          </cell>
          <cell r="W417">
            <v>4.4452498999999999E-2</v>
          </cell>
          <cell r="X417">
            <v>0.273472785</v>
          </cell>
          <cell r="Y417">
            <v>0.15671011500000001</v>
          </cell>
          <cell r="Z417">
            <v>0.48730977599999997</v>
          </cell>
          <cell r="AB417" t="str">
            <v>1998IL</v>
          </cell>
          <cell r="AC417">
            <v>0</v>
          </cell>
          <cell r="AD417">
            <v>0</v>
          </cell>
          <cell r="AE417">
            <v>2.8888889000000001E-2</v>
          </cell>
          <cell r="AF417">
            <v>0.97111111100000003</v>
          </cell>
        </row>
        <row r="418">
          <cell r="B418" t="str">
            <v>1998IN</v>
          </cell>
          <cell r="C418">
            <v>7.2292969143551142E-2</v>
          </cell>
          <cell r="D418">
            <v>0.17672725878137727</v>
          </cell>
          <cell r="E418">
            <v>0.17317594632945374</v>
          </cell>
          <cell r="F418">
            <v>0.43362978105943678</v>
          </cell>
          <cell r="G418">
            <v>0.10252705280201489</v>
          </cell>
          <cell r="H418">
            <v>4.1646991884166241E-2</v>
          </cell>
          <cell r="J418" t="str">
            <v>1998IN</v>
          </cell>
          <cell r="K418">
            <v>0.72429700086853144</v>
          </cell>
          <cell r="L418">
            <v>0.10252705280201489</v>
          </cell>
          <cell r="M418">
            <v>0.17317594632945374</v>
          </cell>
          <cell r="U418" t="str">
            <v>1998IN</v>
          </cell>
          <cell r="V418">
            <v>4.0550075999999997E-2</v>
          </cell>
          <cell r="W418">
            <v>4.4436352999999998E-2</v>
          </cell>
          <cell r="X418">
            <v>0.27313526599999999</v>
          </cell>
          <cell r="Y418">
            <v>0.15414683100000001</v>
          </cell>
          <cell r="Z418">
            <v>0.487731474</v>
          </cell>
          <cell r="AB418" t="str">
            <v>1998IN</v>
          </cell>
          <cell r="AC418">
            <v>0</v>
          </cell>
          <cell r="AD418">
            <v>5.5555555555555506E-3</v>
          </cell>
          <cell r="AE418">
            <v>0</v>
          </cell>
          <cell r="AF418">
            <v>0.99444444399999998</v>
          </cell>
        </row>
        <row r="419">
          <cell r="B419" t="str">
            <v>1998IA</v>
          </cell>
          <cell r="C419">
            <v>7.2665485504290486E-2</v>
          </cell>
          <cell r="D419">
            <v>0.18073955687250698</v>
          </cell>
          <cell r="E419">
            <v>0.15595420086548339</v>
          </cell>
          <cell r="F419">
            <v>0.45778205469024891</v>
          </cell>
          <cell r="G419">
            <v>9.2331094044738923E-2</v>
          </cell>
          <cell r="H419">
            <v>4.0527608022731323E-2</v>
          </cell>
          <cell r="J419" t="str">
            <v>1998IA</v>
          </cell>
          <cell r="K419">
            <v>0.75171470508977767</v>
          </cell>
          <cell r="L419">
            <v>9.2331094044738923E-2</v>
          </cell>
          <cell r="M419">
            <v>0.15595420086548339</v>
          </cell>
          <cell r="U419" t="str">
            <v>1998IA</v>
          </cell>
          <cell r="V419">
            <v>2.4238829E-2</v>
          </cell>
          <cell r="W419">
            <v>3.9193801E-2</v>
          </cell>
          <cell r="X419">
            <v>0.15124270500000001</v>
          </cell>
          <cell r="Y419">
            <v>0.41263707900000002</v>
          </cell>
          <cell r="Z419">
            <v>0.37268758600000002</v>
          </cell>
          <cell r="AB419" t="str">
            <v>1998IA</v>
          </cell>
          <cell r="AC419">
            <v>4.4444444444444392E-3</v>
          </cell>
          <cell r="AD419">
            <v>4.4444444444444392E-3</v>
          </cell>
          <cell r="AE419">
            <v>2.2222219999999998E-3</v>
          </cell>
          <cell r="AF419">
            <v>0.98888888900000005</v>
          </cell>
        </row>
        <row r="420">
          <cell r="B420" t="str">
            <v>1998KS</v>
          </cell>
          <cell r="C420">
            <v>9.8857041052679256E-2</v>
          </cell>
          <cell r="D420">
            <v>0.20221757544670535</v>
          </cell>
          <cell r="E420">
            <v>0.12034846017035543</v>
          </cell>
          <cell r="F420">
            <v>0.46326076364598412</v>
          </cell>
          <cell r="G420">
            <v>7.1251078409314897E-2</v>
          </cell>
          <cell r="H420">
            <v>4.4065081274960984E-2</v>
          </cell>
          <cell r="J420" t="str">
            <v>1998KS</v>
          </cell>
          <cell r="K420">
            <v>0.80840046142032973</v>
          </cell>
          <cell r="L420">
            <v>7.1251078409314897E-2</v>
          </cell>
          <cell r="M420">
            <v>0.12034846017035543</v>
          </cell>
          <cell r="U420" t="str">
            <v>1998KS</v>
          </cell>
          <cell r="V420">
            <v>4.9701347E-2</v>
          </cell>
          <cell r="W420">
            <v>4.4578957000000002E-2</v>
          </cell>
          <cell r="X420">
            <v>0.27265423900000002</v>
          </cell>
          <cell r="Y420">
            <v>0.14035651299999999</v>
          </cell>
          <cell r="Z420">
            <v>0.49270894399999998</v>
          </cell>
          <cell r="AB420" t="str">
            <v>1998KS</v>
          </cell>
          <cell r="AC420">
            <v>0</v>
          </cell>
          <cell r="AD420">
            <v>0</v>
          </cell>
          <cell r="AE420">
            <v>1.7777778000000001E-2</v>
          </cell>
          <cell r="AF420">
            <v>0.98222222199999998</v>
          </cell>
        </row>
        <row r="421">
          <cell r="B421" t="str">
            <v>1998KY</v>
          </cell>
          <cell r="C421">
            <v>1.5270439744288978E-2</v>
          </cell>
          <cell r="D421">
            <v>5.076848043957001E-2</v>
          </cell>
          <cell r="E421">
            <v>0.13963147660142264</v>
          </cell>
          <cell r="F421">
            <v>0.15335909624849517</v>
          </cell>
          <cell r="G421">
            <v>0.62599543307801875</v>
          </cell>
          <cell r="H421">
            <v>1.4975073888204469E-2</v>
          </cell>
          <cell r="J421" t="str">
            <v>1998KY</v>
          </cell>
          <cell r="K421">
            <v>0.23437309032055864</v>
          </cell>
          <cell r="L421">
            <v>0.62599543307801875</v>
          </cell>
          <cell r="M421">
            <v>0.13963147660142264</v>
          </cell>
          <cell r="U421" t="str">
            <v>1998KY</v>
          </cell>
          <cell r="V421">
            <v>6.7549912000000004E-2</v>
          </cell>
          <cell r="W421">
            <v>3.7334080999999998E-2</v>
          </cell>
          <cell r="X421">
            <v>0.140740113</v>
          </cell>
          <cell r="Y421">
            <v>0.40095708099999999</v>
          </cell>
          <cell r="Z421">
            <v>0.35341881200000003</v>
          </cell>
          <cell r="AB421" t="str">
            <v>1998KY</v>
          </cell>
          <cell r="AC421">
            <v>3.3333333333333288E-3</v>
          </cell>
          <cell r="AD421">
            <v>3.6666666666666611E-2</v>
          </cell>
          <cell r="AE421">
            <v>0.112222222</v>
          </cell>
          <cell r="AF421">
            <v>0.84777777799999998</v>
          </cell>
        </row>
        <row r="422">
          <cell r="B422" t="str">
            <v>1998LA</v>
          </cell>
          <cell r="C422">
            <v>8.871879925060093E-2</v>
          </cell>
          <cell r="D422">
            <v>6.3413161108536953E-2</v>
          </cell>
          <cell r="E422">
            <v>0.1465028727585965</v>
          </cell>
          <cell r="F422">
            <v>0.11063668416092964</v>
          </cell>
          <cell r="G422">
            <v>0.5852323069164509</v>
          </cell>
          <cell r="H422">
            <v>5.4961758048850777E-3</v>
          </cell>
          <cell r="J422" t="str">
            <v>1998LA</v>
          </cell>
          <cell r="K422">
            <v>0.26826482032495258</v>
          </cell>
          <cell r="L422">
            <v>0.5852323069164509</v>
          </cell>
          <cell r="M422">
            <v>0.1465028727585965</v>
          </cell>
          <cell r="U422" t="str">
            <v>1998LA</v>
          </cell>
          <cell r="V422">
            <v>0.59726749400000001</v>
          </cell>
          <cell r="W422">
            <v>1.772023E-2</v>
          </cell>
          <cell r="X422">
            <v>0.111154172</v>
          </cell>
          <cell r="Y422">
            <v>8.4976558999999993E-2</v>
          </cell>
          <cell r="Z422">
            <v>0.18888154500000001</v>
          </cell>
          <cell r="AB422" t="str">
            <v>1998LA</v>
          </cell>
          <cell r="AC422">
            <v>5.5555555555555506E-3</v>
          </cell>
          <cell r="AD422">
            <v>0</v>
          </cell>
          <cell r="AE422">
            <v>0.63888888899999996</v>
          </cell>
          <cell r="AF422">
            <v>0.35555555599999999</v>
          </cell>
        </row>
        <row r="423">
          <cell r="B423" t="str">
            <v>1998ME</v>
          </cell>
          <cell r="C423">
            <v>5.1809994955366659E-2</v>
          </cell>
          <cell r="D423">
            <v>0.12769947600875126</v>
          </cell>
          <cell r="E423">
            <v>0.46509889693165496</v>
          </cell>
          <cell r="F423">
            <v>0.2460441876156465</v>
          </cell>
          <cell r="G423">
            <v>8.5165508039095839E-2</v>
          </cell>
          <cell r="H423">
            <v>2.4181936449484808E-2</v>
          </cell>
          <cell r="J423" t="str">
            <v>1998ME</v>
          </cell>
          <cell r="K423">
            <v>0.4497355950292492</v>
          </cell>
          <cell r="L423">
            <v>8.5165508039095839E-2</v>
          </cell>
          <cell r="M423">
            <v>0.46509889693165496</v>
          </cell>
          <cell r="U423" t="str">
            <v>1998ME</v>
          </cell>
          <cell r="V423">
            <v>0.94584040400000002</v>
          </cell>
          <cell r="W423">
            <v>2.3830219999999998E-3</v>
          </cell>
          <cell r="X423">
            <v>1.4948048E-2</v>
          </cell>
          <cell r="Y423">
            <v>1.1427675E-2</v>
          </cell>
          <cell r="Z423">
            <v>2.5400850999999999E-2</v>
          </cell>
          <cell r="AB423" t="str">
            <v>1998ME</v>
          </cell>
          <cell r="AC423">
            <v>1.1111111111111101E-2</v>
          </cell>
          <cell r="AD423">
            <v>0.01</v>
          </cell>
          <cell r="AE423">
            <v>4.4444444E-2</v>
          </cell>
          <cell r="AF423">
            <v>0.93444444400000004</v>
          </cell>
        </row>
        <row r="424">
          <cell r="B424" t="str">
            <v>1998MD</v>
          </cell>
          <cell r="C424">
            <v>5.8769848874170923E-2</v>
          </cell>
          <cell r="D424">
            <v>0.13632857478200749</v>
          </cell>
          <cell r="E424">
            <v>0.45301071506435259</v>
          </cell>
          <cell r="F424">
            <v>0.24730504060008243</v>
          </cell>
          <cell r="G424">
            <v>7.4261385586366357E-2</v>
          </cell>
          <cell r="H424">
            <v>3.0324435093020193E-2</v>
          </cell>
          <cell r="J424" t="str">
            <v>1998MD</v>
          </cell>
          <cell r="K424">
            <v>0.47272789934928106</v>
          </cell>
          <cell r="L424">
            <v>7.4261385586366357E-2</v>
          </cell>
          <cell r="M424">
            <v>0.45301071506435259</v>
          </cell>
          <cell r="U424" t="str">
            <v>1998MD</v>
          </cell>
          <cell r="V424">
            <v>0.19669075899999999</v>
          </cell>
          <cell r="W424">
            <v>3.8989900000000001E-2</v>
          </cell>
          <cell r="X424">
            <v>0.21776536599999999</v>
          </cell>
          <cell r="Y424">
            <v>0.157350606</v>
          </cell>
          <cell r="Z424">
            <v>0.38920336900000002</v>
          </cell>
          <cell r="AB424" t="str">
            <v>1998MD</v>
          </cell>
          <cell r="AC424">
            <v>0</v>
          </cell>
          <cell r="AD424">
            <v>0</v>
          </cell>
          <cell r="AE424">
            <v>4.4444444E-2</v>
          </cell>
          <cell r="AF424">
            <v>0.95555555599999997</v>
          </cell>
        </row>
        <row r="425">
          <cell r="B425" t="str">
            <v>1998MA</v>
          </cell>
          <cell r="C425">
            <v>4.855169441953993E-2</v>
          </cell>
          <cell r="D425">
            <v>0.13332632838444114</v>
          </cell>
          <cell r="E425">
            <v>0.45678524832789869</v>
          </cell>
          <cell r="F425">
            <v>0.25346344959288725</v>
          </cell>
          <cell r="G425">
            <v>7.7666196447041411E-2</v>
          </cell>
          <cell r="H425">
            <v>3.0207082828191692E-2</v>
          </cell>
          <cell r="J425" t="str">
            <v>1998MA</v>
          </cell>
          <cell r="K425">
            <v>0.46554855522505989</v>
          </cell>
          <cell r="L425">
            <v>7.7666196447041411E-2</v>
          </cell>
          <cell r="M425">
            <v>0.45678524832789869</v>
          </cell>
          <cell r="U425" t="str">
            <v>1998MA</v>
          </cell>
          <cell r="V425">
            <v>0.40219831</v>
          </cell>
          <cell r="W425">
            <v>2.6303274000000001E-2</v>
          </cell>
          <cell r="X425">
            <v>0.164993266</v>
          </cell>
          <cell r="Y425">
            <v>0.126136157</v>
          </cell>
          <cell r="Z425">
            <v>0.28036899300000001</v>
          </cell>
          <cell r="AB425" t="str">
            <v>1998MA</v>
          </cell>
          <cell r="AC425">
            <v>1.1111111111111101E-2</v>
          </cell>
          <cell r="AD425">
            <v>0.01</v>
          </cell>
          <cell r="AE425">
            <v>4.4444444E-2</v>
          </cell>
          <cell r="AF425">
            <v>0.93444444400000004</v>
          </cell>
        </row>
        <row r="426">
          <cell r="B426" t="str">
            <v>1998MI</v>
          </cell>
          <cell r="C426">
            <v>0.13612330859382368</v>
          </cell>
          <cell r="D426">
            <v>0.27446958309442837</v>
          </cell>
          <cell r="E426">
            <v>8.8972262177040892E-2</v>
          </cell>
          <cell r="F426">
            <v>0.39909111052623025</v>
          </cell>
          <cell r="G426">
            <v>5.2675120393372465E-2</v>
          </cell>
          <cell r="H426">
            <v>4.8668615215104294E-2</v>
          </cell>
          <cell r="J426" t="str">
            <v>1998MI</v>
          </cell>
          <cell r="K426">
            <v>0.85835261742958657</v>
          </cell>
          <cell r="L426">
            <v>5.2675120393372465E-2</v>
          </cell>
          <cell r="M426">
            <v>8.8972262177040892E-2</v>
          </cell>
          <cell r="U426" t="str">
            <v>1998MI</v>
          </cell>
          <cell r="V426">
            <v>6.1303808000000001E-2</v>
          </cell>
          <cell r="W426">
            <v>4.8601676000000003E-2</v>
          </cell>
          <cell r="X426">
            <v>0.25117285099999997</v>
          </cell>
          <cell r="Y426">
            <v>0.17373474999999999</v>
          </cell>
          <cell r="Z426">
            <v>0.46518691400000001</v>
          </cell>
          <cell r="AB426" t="str">
            <v>1998MI</v>
          </cell>
          <cell r="AC426">
            <v>0.01</v>
          </cell>
          <cell r="AD426">
            <v>3.3333333333333288E-3</v>
          </cell>
          <cell r="AE426">
            <v>2.1111110999999998E-2</v>
          </cell>
          <cell r="AF426">
            <v>0.96555555599999998</v>
          </cell>
        </row>
        <row r="427">
          <cell r="B427" t="str">
            <v>1998MN</v>
          </cell>
          <cell r="C427">
            <v>6.5107152260716297E-2</v>
          </cell>
          <cell r="D427">
            <v>0.1732550844395756</v>
          </cell>
          <cell r="E427">
            <v>0.17218744024367269</v>
          </cell>
          <cell r="F427">
            <v>0.44741362609717616</v>
          </cell>
          <cell r="G427">
            <v>0.10194181785570669</v>
          </cell>
          <cell r="H427">
            <v>4.0094879103152542E-2</v>
          </cell>
          <cell r="J427" t="str">
            <v>1998MN</v>
          </cell>
          <cell r="K427">
            <v>0.72587074190062062</v>
          </cell>
          <cell r="L427">
            <v>0.10194181785570669</v>
          </cell>
          <cell r="M427">
            <v>0.17218744024367269</v>
          </cell>
          <cell r="U427" t="str">
            <v>1998MN</v>
          </cell>
          <cell r="V427">
            <v>2.7904384000000001E-2</v>
          </cell>
          <cell r="W427">
            <v>4.9789855000000001E-2</v>
          </cell>
          <cell r="X427">
            <v>0.26069593800000002</v>
          </cell>
          <cell r="Y427">
            <v>0.18172001600000001</v>
          </cell>
          <cell r="Z427">
            <v>0.479889807</v>
          </cell>
          <cell r="AB427" t="str">
            <v>1998MN</v>
          </cell>
          <cell r="AC427">
            <v>0</v>
          </cell>
          <cell r="AD427">
            <v>2.7777777777777735E-2</v>
          </cell>
          <cell r="AE427">
            <v>0</v>
          </cell>
          <cell r="AF427">
            <v>0.97222222199999997</v>
          </cell>
        </row>
        <row r="428">
          <cell r="B428" t="str">
            <v>1998MS</v>
          </cell>
          <cell r="C428">
            <v>7.946087209515218E-2</v>
          </cell>
          <cell r="D428">
            <v>6.1032388302407092E-2</v>
          </cell>
          <cell r="E428">
            <v>0.1411585392082266</v>
          </cell>
          <cell r="F428">
            <v>9.6593645161121997E-2</v>
          </cell>
          <cell r="G428">
            <v>0.61693645230119731</v>
          </cell>
          <cell r="H428">
            <v>4.8181029318948585E-3</v>
          </cell>
          <cell r="J428" t="str">
            <v>1998MS</v>
          </cell>
          <cell r="K428">
            <v>0.24190500849057606</v>
          </cell>
          <cell r="L428">
            <v>0.61693645230119731</v>
          </cell>
          <cell r="M428">
            <v>0.1411585392082266</v>
          </cell>
          <cell r="U428" t="str">
            <v>1998MS</v>
          </cell>
          <cell r="V428">
            <v>3.7830084E-2</v>
          </cell>
          <cell r="W428">
            <v>3.6413136999999998E-2</v>
          </cell>
          <cell r="X428">
            <v>7.8582183E-2</v>
          </cell>
          <cell r="Y428">
            <v>0.53043861299999995</v>
          </cell>
          <cell r="Z428">
            <v>0.316735983</v>
          </cell>
          <cell r="AB428" t="str">
            <v>1998MS</v>
          </cell>
          <cell r="AC428">
            <v>1.1111111111111101E-2</v>
          </cell>
          <cell r="AD428">
            <v>5.5555555555555506E-3</v>
          </cell>
          <cell r="AE428">
            <v>0.62777777800000001</v>
          </cell>
          <cell r="AF428">
            <v>0.35555555599999999</v>
          </cell>
        </row>
        <row r="429">
          <cell r="B429" t="str">
            <v>1998MO</v>
          </cell>
          <cell r="C429">
            <v>4.9362461306465828E-2</v>
          </cell>
          <cell r="D429">
            <v>0.16297059267476269</v>
          </cell>
          <cell r="E429">
            <v>0.15745475307287812</v>
          </cell>
          <cell r="F429">
            <v>0.48935396501829975</v>
          </cell>
          <cell r="G429">
            <v>9.3219480674987532E-2</v>
          </cell>
          <cell r="H429">
            <v>4.763874725260607E-2</v>
          </cell>
          <cell r="J429" t="str">
            <v>1998MO</v>
          </cell>
          <cell r="K429">
            <v>0.74932576625213432</v>
          </cell>
          <cell r="L429">
            <v>9.3219480674987532E-2</v>
          </cell>
          <cell r="M429">
            <v>0.15745475307287812</v>
          </cell>
          <cell r="U429" t="str">
            <v>1998MO</v>
          </cell>
          <cell r="V429">
            <v>4.3499946999999997E-2</v>
          </cell>
          <cell r="W429">
            <v>4.4841891000000002E-2</v>
          </cell>
          <cell r="X429">
            <v>0.27432859799999998</v>
          </cell>
          <cell r="Y429">
            <v>0.14188092899999999</v>
          </cell>
          <cell r="Z429">
            <v>0.495448634</v>
          </cell>
          <cell r="AB429" t="str">
            <v>1998MO</v>
          </cell>
          <cell r="AC429">
            <v>0</v>
          </cell>
          <cell r="AD429">
            <v>2.2222222222222202E-2</v>
          </cell>
          <cell r="AE429">
            <v>0</v>
          </cell>
          <cell r="AF429">
            <v>0.97777777799999999</v>
          </cell>
        </row>
        <row r="430">
          <cell r="B430" t="str">
            <v>1998MT</v>
          </cell>
          <cell r="C430">
            <v>0.31001394365565527</v>
          </cell>
          <cell r="D430">
            <v>0.23831267409561505</v>
          </cell>
          <cell r="E430">
            <v>4.2548633044980667E-2</v>
          </cell>
          <cell r="F430">
            <v>0.30223140069746468</v>
          </cell>
          <cell r="G430">
            <v>2.5190484240560692E-2</v>
          </cell>
          <cell r="H430">
            <v>8.1702864265723665E-2</v>
          </cell>
          <cell r="J430" t="str">
            <v>1998MT</v>
          </cell>
          <cell r="K430">
            <v>0.93226088271445862</v>
          </cell>
          <cell r="L430">
            <v>2.5190484240560692E-2</v>
          </cell>
          <cell r="M430">
            <v>4.2548633044980667E-2</v>
          </cell>
          <cell r="U430" t="str">
            <v>1998MT</v>
          </cell>
          <cell r="V430">
            <v>7.6557703000000005E-2</v>
          </cell>
          <cell r="W430">
            <v>4.9289307999999997E-2</v>
          </cell>
          <cell r="X430">
            <v>0.24549074000000001</v>
          </cell>
          <cell r="Y430">
            <v>0.165986835</v>
          </cell>
          <cell r="Z430">
            <v>0.46267541499999998</v>
          </cell>
          <cell r="AB430" t="str">
            <v>1998MT</v>
          </cell>
          <cell r="AC430">
            <v>0</v>
          </cell>
          <cell r="AD430">
            <v>8.8888888888888785E-3</v>
          </cell>
          <cell r="AE430">
            <v>0.53777777800000004</v>
          </cell>
          <cell r="AF430">
            <v>0.453333333</v>
          </cell>
        </row>
        <row r="431">
          <cell r="B431" t="str">
            <v>1998NE</v>
          </cell>
          <cell r="C431">
            <v>8.2376872113172711E-2</v>
          </cell>
          <cell r="D431">
            <v>0.19498217473723709</v>
          </cell>
          <cell r="E431">
            <v>0.13776815544309287</v>
          </cell>
          <cell r="F431">
            <v>0.45552240784400577</v>
          </cell>
          <cell r="G431">
            <v>8.1564231331980361E-2</v>
          </cell>
          <cell r="H431">
            <v>4.7786158530511096E-2</v>
          </cell>
          <cell r="J431" t="str">
            <v>1998NE</v>
          </cell>
          <cell r="K431">
            <v>0.78066761322492684</v>
          </cell>
          <cell r="L431">
            <v>8.1564231331980361E-2</v>
          </cell>
          <cell r="M431">
            <v>0.13776815544309287</v>
          </cell>
          <cell r="U431" t="str">
            <v>1998NE</v>
          </cell>
          <cell r="V431">
            <v>4.9840783999999999E-2</v>
          </cell>
          <cell r="W431">
            <v>4.3707623000000001E-2</v>
          </cell>
          <cell r="X431">
            <v>0.269371258</v>
          </cell>
          <cell r="Y431">
            <v>0.159145171</v>
          </cell>
          <cell r="Z431">
            <v>0.47793516400000002</v>
          </cell>
          <cell r="AB431" t="str">
            <v>1998NE</v>
          </cell>
          <cell r="AC431">
            <v>0</v>
          </cell>
          <cell r="AD431">
            <v>0</v>
          </cell>
          <cell r="AE431">
            <v>1.7777778000000001E-2</v>
          </cell>
          <cell r="AF431">
            <v>0.98222222199999998</v>
          </cell>
        </row>
        <row r="432">
          <cell r="B432" t="str">
            <v>1998NV</v>
          </cell>
          <cell r="C432">
            <v>0.63455295372855403</v>
          </cell>
          <cell r="D432">
            <v>0.20976473107924687</v>
          </cell>
          <cell r="E432">
            <v>2.4819644119918327E-2</v>
          </cell>
          <cell r="F432">
            <v>0.11126891572043614</v>
          </cell>
          <cell r="G432">
            <v>1.4694217165523785E-2</v>
          </cell>
          <cell r="H432">
            <v>4.8995381863209302E-3</v>
          </cell>
          <cell r="J432" t="str">
            <v>1998NV</v>
          </cell>
          <cell r="K432">
            <v>0.9604861387145579</v>
          </cell>
          <cell r="L432">
            <v>1.4694217165523785E-2</v>
          </cell>
          <cell r="M432">
            <v>2.4819644119918327E-2</v>
          </cell>
          <cell r="U432" t="str">
            <v>1998NV</v>
          </cell>
          <cell r="V432">
            <v>0.87000822899999997</v>
          </cell>
          <cell r="W432">
            <v>4.8096959999999996E-3</v>
          </cell>
          <cell r="X432">
            <v>7.149547E-3</v>
          </cell>
          <cell r="Y432">
            <v>7.7735078999999999E-2</v>
          </cell>
          <cell r="Z432">
            <v>4.0297448999999999E-2</v>
          </cell>
          <cell r="AB432" t="str">
            <v>1998NV</v>
          </cell>
          <cell r="AC432">
            <v>2.7777777777777735E-2</v>
          </cell>
          <cell r="AD432">
            <v>0</v>
          </cell>
          <cell r="AE432">
            <v>0</v>
          </cell>
          <cell r="AF432">
            <v>0.97222222199999997</v>
          </cell>
        </row>
        <row r="433">
          <cell r="B433" t="str">
            <v>1998NH</v>
          </cell>
          <cell r="C433">
            <v>5.6205149600266006E-2</v>
          </cell>
          <cell r="D433">
            <v>0.14000278805453986</v>
          </cell>
          <cell r="E433">
            <v>0.45143333469272928</v>
          </cell>
          <cell r="F433">
            <v>0.24799465802019538</v>
          </cell>
          <cell r="G433">
            <v>7.2838512492999191E-2</v>
          </cell>
          <cell r="H433">
            <v>3.1525557139270285E-2</v>
          </cell>
          <cell r="J433" t="str">
            <v>1998NH</v>
          </cell>
          <cell r="K433">
            <v>0.4757281528142715</v>
          </cell>
          <cell r="L433">
            <v>7.2838512492999191E-2</v>
          </cell>
          <cell r="M433">
            <v>0.45143333469272928</v>
          </cell>
          <cell r="U433" t="str">
            <v>1998NH</v>
          </cell>
          <cell r="V433">
            <v>0.61746389899999998</v>
          </cell>
          <cell r="W433">
            <v>1.6831588000000001E-2</v>
          </cell>
          <cell r="X433">
            <v>0.105579964</v>
          </cell>
          <cell r="Y433">
            <v>8.0715117000000003E-2</v>
          </cell>
          <cell r="Z433">
            <v>0.17940943100000001</v>
          </cell>
          <cell r="AB433" t="str">
            <v>1998NH</v>
          </cell>
          <cell r="AC433">
            <v>0</v>
          </cell>
          <cell r="AD433">
            <v>0</v>
          </cell>
          <cell r="AE433">
            <v>4.4444444E-2</v>
          </cell>
          <cell r="AF433">
            <v>0.95555555599999997</v>
          </cell>
        </row>
        <row r="434">
          <cell r="B434" t="str">
            <v>1998NJ</v>
          </cell>
          <cell r="C434">
            <v>4.6388811456541855E-2</v>
          </cell>
          <cell r="D434">
            <v>0.1304096735683388</v>
          </cell>
          <cell r="E434">
            <v>0.45558329358164545</v>
          </cell>
          <cell r="F434">
            <v>0.25885035963221803</v>
          </cell>
          <cell r="G434">
            <v>7.6581975355759238E-2</v>
          </cell>
          <cell r="H434">
            <v>3.2185886405496592E-2</v>
          </cell>
          <cell r="J434" t="str">
            <v>1998NJ</v>
          </cell>
          <cell r="K434">
            <v>0.46783473106259532</v>
          </cell>
          <cell r="L434">
            <v>7.6581975355759238E-2</v>
          </cell>
          <cell r="M434">
            <v>0.45558329358164545</v>
          </cell>
          <cell r="U434" t="str">
            <v>1998NJ</v>
          </cell>
          <cell r="V434">
            <v>0.45682988400000002</v>
          </cell>
          <cell r="W434">
            <v>2.4412950999999999E-2</v>
          </cell>
          <cell r="X434">
            <v>0.14935869700000001</v>
          </cell>
          <cell r="Y434">
            <v>0.112897342</v>
          </cell>
          <cell r="Z434">
            <v>0.25650112600000002</v>
          </cell>
          <cell r="AB434" t="str">
            <v>1998NJ</v>
          </cell>
          <cell r="AC434">
            <v>1.1111111111111101E-2</v>
          </cell>
          <cell r="AD434">
            <v>0.01</v>
          </cell>
          <cell r="AE434">
            <v>4.4444444E-2</v>
          </cell>
          <cell r="AF434">
            <v>0.93444444400000004</v>
          </cell>
        </row>
        <row r="435">
          <cell r="B435" t="str">
            <v>1998NM</v>
          </cell>
          <cell r="C435">
            <v>0.61062405794009045</v>
          </cell>
          <cell r="D435">
            <v>0.19360493048466576</v>
          </cell>
          <cell r="E435">
            <v>9.8934122083108061E-2</v>
          </cell>
          <cell r="F435">
            <v>9.5808297889575761E-2</v>
          </cell>
          <cell r="G435">
            <v>0</v>
          </cell>
          <cell r="H435">
            <v>1.0285916025600992E-3</v>
          </cell>
          <cell r="J435" t="str">
            <v>1998NM</v>
          </cell>
          <cell r="K435">
            <v>0.90106587791689197</v>
          </cell>
          <cell r="L435">
            <v>0</v>
          </cell>
          <cell r="M435">
            <v>9.8934122083108061E-2</v>
          </cell>
          <cell r="U435" t="str">
            <v>1998NM</v>
          </cell>
          <cell r="V435">
            <v>0.98331121200000005</v>
          </cell>
          <cell r="W435">
            <v>7.3430700000000002E-4</v>
          </cell>
          <cell r="X435">
            <v>4.6061050000000001E-3</v>
          </cell>
          <cell r="Y435">
            <v>3.5213340000000001E-3</v>
          </cell>
          <cell r="Z435">
            <v>7.8270409999999999E-3</v>
          </cell>
          <cell r="AB435" t="str">
            <v>1998NM</v>
          </cell>
          <cell r="AC435">
            <v>2.7777777777777735E-2</v>
          </cell>
          <cell r="AD435">
            <v>1.1111111111111101E-2</v>
          </cell>
          <cell r="AE435">
            <v>0.55555555599999995</v>
          </cell>
          <cell r="AF435">
            <v>0.40555555599999998</v>
          </cell>
        </row>
        <row r="436">
          <cell r="B436" t="str">
            <v>1998NY</v>
          </cell>
          <cell r="C436">
            <v>7.6060978665047255E-2</v>
          </cell>
          <cell r="D436">
            <v>0.14607513098436042</v>
          </cell>
          <cell r="E436">
            <v>0.45502524594609972</v>
          </cell>
          <cell r="F436">
            <v>0.22388346470515097</v>
          </cell>
          <cell r="G436">
            <v>7.6078589501770183E-2</v>
          </cell>
          <cell r="H436">
            <v>2.2876590197571506E-2</v>
          </cell>
          <cell r="J436" t="str">
            <v>1998NY</v>
          </cell>
          <cell r="K436">
            <v>0.46889616455213012</v>
          </cell>
          <cell r="L436">
            <v>7.6078589501770183E-2</v>
          </cell>
          <cell r="M436">
            <v>0.45502524594609972</v>
          </cell>
          <cell r="U436" t="str">
            <v>1998NY</v>
          </cell>
          <cell r="V436">
            <v>0.29489005600000001</v>
          </cell>
          <cell r="W436">
            <v>3.6521354999999998E-2</v>
          </cell>
          <cell r="X436">
            <v>0.18865578399999999</v>
          </cell>
          <cell r="Y436">
            <v>0.13045647299999999</v>
          </cell>
          <cell r="Z436">
            <v>0.34947633299999997</v>
          </cell>
          <cell r="AB436" t="str">
            <v>1998NY</v>
          </cell>
          <cell r="AC436">
            <v>1.1111111111111101E-2</v>
          </cell>
          <cell r="AD436">
            <v>3.3333333333333375E-2</v>
          </cell>
          <cell r="AE436">
            <v>4.4444444E-2</v>
          </cell>
          <cell r="AF436">
            <v>0.91111111099999997</v>
          </cell>
        </row>
        <row r="437">
          <cell r="B437" t="str">
            <v>1998NC</v>
          </cell>
          <cell r="C437">
            <v>3.7944397367350807E-2</v>
          </cell>
          <cell r="D437">
            <v>8.7792689612180508E-2</v>
          </cell>
          <cell r="E437">
            <v>0.14209155998234188</v>
          </cell>
          <cell r="F437">
            <v>0.10526010593945997</v>
          </cell>
          <cell r="G437">
            <v>0.61140150093808632</v>
          </cell>
          <cell r="H437">
            <v>1.5509746160580507E-2</v>
          </cell>
          <cell r="J437" t="str">
            <v>1998NC</v>
          </cell>
          <cell r="K437">
            <v>0.24650693907957177</v>
          </cell>
          <cell r="L437">
            <v>0.61140150093808632</v>
          </cell>
          <cell r="M437">
            <v>0.14209155998234188</v>
          </cell>
          <cell r="U437" t="str">
            <v>1998NC</v>
          </cell>
          <cell r="V437">
            <v>3.0439999999999998E-3</v>
          </cell>
          <cell r="W437">
            <v>3.7197901999999998E-2</v>
          </cell>
          <cell r="X437">
            <v>6.4636462000000006E-2</v>
          </cell>
          <cell r="Y437">
            <v>0.57901180299999999</v>
          </cell>
          <cell r="Z437">
            <v>0.31610983199999998</v>
          </cell>
          <cell r="AB437" t="str">
            <v>1998NC</v>
          </cell>
          <cell r="AC437">
            <v>5.5555555555555469E-2</v>
          </cell>
          <cell r="AD437">
            <v>5.5555555555555506E-3</v>
          </cell>
          <cell r="AE437">
            <v>0.40577777799999998</v>
          </cell>
          <cell r="AF437">
            <v>0.53311111099999997</v>
          </cell>
        </row>
        <row r="438">
          <cell r="B438" t="str">
            <v>1998ND</v>
          </cell>
          <cell r="C438">
            <v>4.904366061129177E-2</v>
          </cell>
          <cell r="D438">
            <v>0.14140195810195982</v>
          </cell>
          <cell r="E438">
            <v>0.18539058554463134</v>
          </cell>
          <cell r="F438">
            <v>0.47551969262684546</v>
          </cell>
          <cell r="G438">
            <v>0.10975860537219466</v>
          </cell>
          <cell r="H438">
            <v>3.8885497743076959E-2</v>
          </cell>
          <cell r="J438" t="str">
            <v>1998ND</v>
          </cell>
          <cell r="K438">
            <v>0.70485080908317399</v>
          </cell>
          <cell r="L438">
            <v>0.10975860537219466</v>
          </cell>
          <cell r="M438">
            <v>0.18539058554463134</v>
          </cell>
          <cell r="U438" t="str">
            <v>1998ND</v>
          </cell>
          <cell r="V438">
            <v>0.13033920500000001</v>
          </cell>
          <cell r="W438">
            <v>4.3796143000000003E-2</v>
          </cell>
          <cell r="X438">
            <v>0.23403438900000001</v>
          </cell>
          <cell r="Y438">
            <v>0.16506153300000001</v>
          </cell>
          <cell r="Z438">
            <v>0.42676872999999999</v>
          </cell>
          <cell r="AB438" t="str">
            <v>1998ND</v>
          </cell>
          <cell r="AC438">
            <v>0</v>
          </cell>
          <cell r="AD438">
            <v>5.5555555555555506E-3</v>
          </cell>
          <cell r="AE438">
            <v>2.3333333000000001E-2</v>
          </cell>
          <cell r="AF438">
            <v>0.97111111100000003</v>
          </cell>
        </row>
        <row r="439">
          <cell r="B439" t="str">
            <v>1998OH</v>
          </cell>
          <cell r="C439">
            <v>6.387970352442901E-2</v>
          </cell>
          <cell r="D439">
            <v>0.18053472205285467</v>
          </cell>
          <cell r="E439">
            <v>0.16226710833815838</v>
          </cell>
          <cell r="F439">
            <v>0.45207301644778908</v>
          </cell>
          <cell r="G439">
            <v>9.6068586528561414E-2</v>
          </cell>
          <cell r="H439">
            <v>4.5176863108207482E-2</v>
          </cell>
          <cell r="J439" t="str">
            <v>1998OH</v>
          </cell>
          <cell r="K439">
            <v>0.74166430513328019</v>
          </cell>
          <cell r="L439">
            <v>9.6068586528561414E-2</v>
          </cell>
          <cell r="M439">
            <v>0.16226710833815838</v>
          </cell>
          <cell r="U439" t="str">
            <v>1998OH</v>
          </cell>
          <cell r="V439">
            <v>8.9500351000000006E-2</v>
          </cell>
          <cell r="W439">
            <v>4.1537894999999998E-2</v>
          </cell>
          <cell r="X439">
            <v>0.25683256599999998</v>
          </cell>
          <cell r="Y439">
            <v>0.16001438200000001</v>
          </cell>
          <cell r="Z439">
            <v>0.45211480700000001</v>
          </cell>
          <cell r="AB439" t="str">
            <v>1998OH</v>
          </cell>
          <cell r="AC439">
            <v>0</v>
          </cell>
          <cell r="AD439">
            <v>0</v>
          </cell>
          <cell r="AE439">
            <v>0</v>
          </cell>
          <cell r="AF439">
            <v>1</v>
          </cell>
        </row>
        <row r="440">
          <cell r="B440" t="str">
            <v>1998OK</v>
          </cell>
          <cell r="C440">
            <v>0.3146685099876439</v>
          </cell>
          <cell r="D440">
            <v>0.22729245379654286</v>
          </cell>
          <cell r="E440">
            <v>5.2979251188130294E-2</v>
          </cell>
          <cell r="F440">
            <v>0.31904390865959775</v>
          </cell>
          <cell r="G440">
            <v>0</v>
          </cell>
          <cell r="H440">
            <v>8.6015876368085165E-2</v>
          </cell>
          <cell r="J440" t="str">
            <v>1998OK</v>
          </cell>
          <cell r="K440">
            <v>0.94702074881186971</v>
          </cell>
          <cell r="L440">
            <v>0</v>
          </cell>
          <cell r="M440">
            <v>5.2979251188130294E-2</v>
          </cell>
          <cell r="U440" t="str">
            <v>1998OK</v>
          </cell>
          <cell r="V440">
            <v>2.0972843000000001E-2</v>
          </cell>
          <cell r="W440">
            <v>3.6563473999999999E-2</v>
          </cell>
          <cell r="X440">
            <v>6.4564021999999999E-2</v>
          </cell>
          <cell r="Y440">
            <v>0.56669044099999999</v>
          </cell>
          <cell r="Z440">
            <v>0.31120922000000001</v>
          </cell>
          <cell r="AB440" t="str">
            <v>1998OK</v>
          </cell>
          <cell r="AC440">
            <v>0</v>
          </cell>
          <cell r="AD440">
            <v>2.2222222222222202E-2</v>
          </cell>
          <cell r="AE440">
            <v>0.53333333299999997</v>
          </cell>
          <cell r="AF440">
            <v>0.44444444399999999</v>
          </cell>
        </row>
        <row r="441">
          <cell r="B441" t="str">
            <v>1998OR</v>
          </cell>
          <cell r="C441">
            <v>0.35189282494357549</v>
          </cell>
          <cell r="D441">
            <v>0.2045911912869289</v>
          </cell>
          <cell r="E441">
            <v>0</v>
          </cell>
          <cell r="F441">
            <v>0.12601253386350808</v>
          </cell>
          <cell r="G441">
            <v>0.29211867181817797</v>
          </cell>
          <cell r="H441">
            <v>2.5384778087809513E-2</v>
          </cell>
          <cell r="J441" t="str">
            <v>1998OR</v>
          </cell>
          <cell r="K441">
            <v>0.70788132818182203</v>
          </cell>
          <cell r="L441">
            <v>0.29211867181817797</v>
          </cell>
          <cell r="M441">
            <v>0</v>
          </cell>
          <cell r="U441" t="str">
            <v>1998OR</v>
          </cell>
          <cell r="V441">
            <v>0.64566435600000005</v>
          </cell>
          <cell r="W441">
            <v>1.5590768E-2</v>
          </cell>
          <cell r="X441">
            <v>9.7796638000000005E-2</v>
          </cell>
          <cell r="Y441">
            <v>7.4764820999999995E-2</v>
          </cell>
          <cell r="Z441">
            <v>0.166183417</v>
          </cell>
          <cell r="AB441" t="str">
            <v>1998OR</v>
          </cell>
          <cell r="AC441">
            <v>0</v>
          </cell>
          <cell r="AD441">
            <v>0.01</v>
          </cell>
          <cell r="AE441">
            <v>0.234444444</v>
          </cell>
          <cell r="AF441">
            <v>0.75555555600000002</v>
          </cell>
        </row>
        <row r="442">
          <cell r="B442" t="str">
            <v>1998PA</v>
          </cell>
          <cell r="C442">
            <v>3.4971275056051826E-2</v>
          </cell>
          <cell r="D442">
            <v>0.10052396320976251</v>
          </cell>
          <cell r="E442">
            <v>0.47661175689772611</v>
          </cell>
          <cell r="F442">
            <v>0.26781496785406944</v>
          </cell>
          <cell r="G442">
            <v>9.5550662417914184E-2</v>
          </cell>
          <cell r="H442">
            <v>2.4527374564475943E-2</v>
          </cell>
          <cell r="J442" t="str">
            <v>1998PA</v>
          </cell>
          <cell r="K442">
            <v>0.42783758068435973</v>
          </cell>
          <cell r="L442">
            <v>9.5550662417914184E-2</v>
          </cell>
          <cell r="M442">
            <v>0.47661175689772611</v>
          </cell>
          <cell r="U442" t="str">
            <v>1998PA</v>
          </cell>
          <cell r="V442">
            <v>5.8971673000000002E-2</v>
          </cell>
          <cell r="W442">
            <v>4.8312859E-2</v>
          </cell>
          <cell r="X442">
            <v>0.25224057100000002</v>
          </cell>
          <cell r="Y442">
            <v>0.17553160100000001</v>
          </cell>
          <cell r="Z442">
            <v>0.46494329499999998</v>
          </cell>
          <cell r="AB442" t="str">
            <v>1998PA</v>
          </cell>
          <cell r="AC442">
            <v>3.3333333333333375E-2</v>
          </cell>
          <cell r="AD442">
            <v>5.5555555555555506E-3</v>
          </cell>
          <cell r="AE442">
            <v>0</v>
          </cell>
          <cell r="AF442">
            <v>0.96111111100000002</v>
          </cell>
        </row>
        <row r="443">
          <cell r="B443" t="str">
            <v>1998RI</v>
          </cell>
          <cell r="C443">
            <v>2.0969845001185358E-2</v>
          </cell>
          <cell r="D443">
            <v>7.148819894065285E-2</v>
          </cell>
          <cell r="E443">
            <v>0.50005227074823666</v>
          </cell>
          <cell r="F443">
            <v>0.27257742995367157</v>
          </cell>
          <cell r="G443">
            <v>0.11669513527468368</v>
          </cell>
          <cell r="H443">
            <v>1.8217120081569917E-2</v>
          </cell>
          <cell r="J443" t="str">
            <v>1998RI</v>
          </cell>
          <cell r="K443">
            <v>0.38325259397707967</v>
          </cell>
          <cell r="L443">
            <v>0.11669513527468368</v>
          </cell>
          <cell r="M443">
            <v>0.50005227074823666</v>
          </cell>
          <cell r="U443" t="str">
            <v>1998RI</v>
          </cell>
          <cell r="V443">
            <v>0.47374207099999999</v>
          </cell>
          <cell r="W443">
            <v>2.3155348999999999E-2</v>
          </cell>
          <cell r="X443">
            <v>0.145247189</v>
          </cell>
          <cell r="Y443">
            <v>0.111040423</v>
          </cell>
          <cell r="Z443">
            <v>0.246814969</v>
          </cell>
          <cell r="AB443" t="str">
            <v>1998RI</v>
          </cell>
          <cell r="AC443">
            <v>1.1111111111111101E-2</v>
          </cell>
          <cell r="AD443">
            <v>0.01</v>
          </cell>
          <cell r="AE443">
            <v>4.4444444E-2</v>
          </cell>
          <cell r="AF443">
            <v>0.93444444400000004</v>
          </cell>
        </row>
        <row r="444">
          <cell r="B444" t="str">
            <v>1998SC</v>
          </cell>
          <cell r="C444">
            <v>9.6229020144926958E-2</v>
          </cell>
          <cell r="D444">
            <v>7.3409766190790163E-2</v>
          </cell>
          <cell r="E444">
            <v>0.14220259389555046</v>
          </cell>
          <cell r="F444">
            <v>7.3907972971719194E-2</v>
          </cell>
          <cell r="G444">
            <v>0.6107428153800416</v>
          </cell>
          <cell r="H444">
            <v>3.5078314169715939E-3</v>
          </cell>
          <cell r="J444" t="str">
            <v>1998SC</v>
          </cell>
          <cell r="K444">
            <v>0.24705459072440794</v>
          </cell>
          <cell r="L444">
            <v>0.6107428153800416</v>
          </cell>
          <cell r="M444">
            <v>0.14220259389555046</v>
          </cell>
          <cell r="U444" t="str">
            <v>1998SC</v>
          </cell>
          <cell r="V444">
            <v>8.0469213999999997E-2</v>
          </cell>
          <cell r="W444">
            <v>3.5793298000000001E-2</v>
          </cell>
          <cell r="X444">
            <v>0.106476429</v>
          </cell>
          <cell r="Y444">
            <v>0.45198725899999997</v>
          </cell>
          <cell r="Z444">
            <v>0.32527379899999997</v>
          </cell>
          <cell r="AB444" t="str">
            <v>1998SC</v>
          </cell>
          <cell r="AC444">
            <v>1.1111111111111101E-2</v>
          </cell>
          <cell r="AD444">
            <v>0</v>
          </cell>
          <cell r="AE444">
            <v>0.57777777799999996</v>
          </cell>
          <cell r="AF444">
            <v>0.41111111099999997</v>
          </cell>
        </row>
        <row r="445">
          <cell r="B445" t="str">
            <v>1998SD</v>
          </cell>
          <cell r="C445">
            <v>7.3693619857740672E-2</v>
          </cell>
          <cell r="D445">
            <v>0.18304910470621685</v>
          </cell>
          <cell r="E445">
            <v>0.15328956660642884</v>
          </cell>
          <cell r="F445">
            <v>0.45513818512599402</v>
          </cell>
          <cell r="G445">
            <v>9.0753524508283723E-2</v>
          </cell>
          <cell r="H445">
            <v>4.4075999195335828E-2</v>
          </cell>
          <cell r="J445" t="str">
            <v>1998SD</v>
          </cell>
          <cell r="K445">
            <v>0.75595690888528744</v>
          </cell>
          <cell r="L445">
            <v>9.0753524508283723E-2</v>
          </cell>
          <cell r="M445">
            <v>0.15328956660642884</v>
          </cell>
          <cell r="U445" t="str">
            <v>1998SD</v>
          </cell>
          <cell r="V445">
            <v>6.9941838000000006E-2</v>
          </cell>
          <cell r="W445">
            <v>4.7322169999999997E-2</v>
          </cell>
          <cell r="X445">
            <v>0.24976314099999999</v>
          </cell>
          <cell r="Y445">
            <v>0.174910236</v>
          </cell>
          <cell r="Z445">
            <v>0.45806261500000001</v>
          </cell>
          <cell r="AB445" t="str">
            <v>1998SD</v>
          </cell>
          <cell r="AC445">
            <v>0</v>
          </cell>
          <cell r="AD445">
            <v>0</v>
          </cell>
          <cell r="AE445">
            <v>0.04</v>
          </cell>
          <cell r="AF445">
            <v>0.96</v>
          </cell>
        </row>
        <row r="446">
          <cell r="B446" t="str">
            <v>1998TN</v>
          </cell>
          <cell r="C446">
            <v>2.6681578616981283E-2</v>
          </cell>
          <cell r="D446">
            <v>7.0904651813684105E-2</v>
          </cell>
          <cell r="E446">
            <v>0.14040336985372004</v>
          </cell>
          <cell r="F446">
            <v>0.12459479995897263</v>
          </cell>
          <cell r="G446">
            <v>0.62141633716985845</v>
          </cell>
          <cell r="H446">
            <v>1.5999262586783452E-2</v>
          </cell>
          <cell r="J446" t="str">
            <v>1998TN</v>
          </cell>
          <cell r="K446">
            <v>0.23818029297642151</v>
          </cell>
          <cell r="L446">
            <v>0.62141633716985845</v>
          </cell>
          <cell r="M446">
            <v>0.14040336985372004</v>
          </cell>
          <cell r="U446" t="str">
            <v>1998TN</v>
          </cell>
          <cell r="V446">
            <v>0.12501309499999999</v>
          </cell>
          <cell r="W446">
            <v>3.5510561000000003E-2</v>
          </cell>
          <cell r="X446">
            <v>0.14713372599999999</v>
          </cell>
          <cell r="Y446">
            <v>0.34986363700000001</v>
          </cell>
          <cell r="Z446">
            <v>0.34247898100000002</v>
          </cell>
          <cell r="AB446" t="str">
            <v>1998TN</v>
          </cell>
          <cell r="AC446">
            <v>0</v>
          </cell>
          <cell r="AD446">
            <v>0.1</v>
          </cell>
          <cell r="AE446">
            <v>5.2222221999999999E-2</v>
          </cell>
          <cell r="AF446">
            <v>0.84777777799999998</v>
          </cell>
        </row>
        <row r="447">
          <cell r="B447" t="str">
            <v>1998TX</v>
          </cell>
          <cell r="C447">
            <v>0.4953578376009245</v>
          </cell>
          <cell r="D447">
            <v>0.2533852285198625</v>
          </cell>
          <cell r="E447">
            <v>7.2837316118817663E-2</v>
          </cell>
          <cell r="F447">
            <v>0.15171135492037144</v>
          </cell>
          <cell r="G447">
            <v>0</v>
          </cell>
          <cell r="H447">
            <v>2.6708262840023953E-2</v>
          </cell>
          <cell r="J447" t="str">
            <v>1998TX</v>
          </cell>
          <cell r="K447">
            <v>0.92716268388118239</v>
          </cell>
          <cell r="L447">
            <v>0</v>
          </cell>
          <cell r="M447">
            <v>7.2837316118817663E-2</v>
          </cell>
          <cell r="U447" t="str">
            <v>1998TX</v>
          </cell>
          <cell r="V447">
            <v>0.113853235</v>
          </cell>
          <cell r="W447">
            <v>3.3704796000000002E-2</v>
          </cell>
          <cell r="X447">
            <v>7.7700612000000002E-2</v>
          </cell>
          <cell r="Y447">
            <v>0.479198558</v>
          </cell>
          <cell r="Z447">
            <v>0.29554279900000002</v>
          </cell>
          <cell r="AB447" t="str">
            <v>1998TX</v>
          </cell>
          <cell r="AC447">
            <v>5.5555555555555469E-2</v>
          </cell>
          <cell r="AD447">
            <v>0</v>
          </cell>
          <cell r="AE447">
            <v>0.15111111099999999</v>
          </cell>
          <cell r="AF447">
            <v>0.79333333299999997</v>
          </cell>
        </row>
        <row r="448">
          <cell r="B448" t="str">
            <v>1998UT</v>
          </cell>
          <cell r="C448">
            <v>0.43072556407686757</v>
          </cell>
          <cell r="D448">
            <v>0.27608906958525048</v>
          </cell>
          <cell r="E448">
            <v>2.3604073690978142E-2</v>
          </cell>
          <cell r="F448">
            <v>0.20760290410329796</v>
          </cell>
          <cell r="G448">
            <v>1.3974551090678602E-2</v>
          </cell>
          <cell r="H448">
            <v>4.8003837452927398E-2</v>
          </cell>
          <cell r="J448" t="str">
            <v>1998UT</v>
          </cell>
          <cell r="K448">
            <v>0.96242137521834326</v>
          </cell>
          <cell r="L448">
            <v>1.3974551090678602E-2</v>
          </cell>
          <cell r="M448">
            <v>2.3604073690978142E-2</v>
          </cell>
          <cell r="U448" t="str">
            <v>1998UT</v>
          </cell>
          <cell r="V448">
            <v>2.3015272999999999E-2</v>
          </cell>
          <cell r="W448">
            <v>5.4317035E-2</v>
          </cell>
          <cell r="X448">
            <v>0.25737393600000003</v>
          </cell>
          <cell r="Y448">
            <v>0.16837808900000001</v>
          </cell>
          <cell r="Z448">
            <v>0.49691566799999998</v>
          </cell>
          <cell r="AB448" t="str">
            <v>1998UT</v>
          </cell>
          <cell r="AC448">
            <v>5.5555555555555469E-2</v>
          </cell>
          <cell r="AD448">
            <v>0</v>
          </cell>
          <cell r="AE448">
            <v>0.53333333299999997</v>
          </cell>
          <cell r="AF448">
            <v>0.41111111099999997</v>
          </cell>
        </row>
        <row r="449">
          <cell r="B449" t="str">
            <v>1998VT</v>
          </cell>
          <cell r="C449">
            <v>7.1079354021278809E-2</v>
          </cell>
          <cell r="D449">
            <v>0.14490004277198673</v>
          </cell>
          <cell r="E449">
            <v>0.45358447475356539</v>
          </cell>
          <cell r="F449">
            <v>0.23022586543894669</v>
          </cell>
          <cell r="G449">
            <v>7.4778944469769584E-2</v>
          </cell>
          <cell r="H449">
            <v>2.5431318544452824E-2</v>
          </cell>
          <cell r="J449" t="str">
            <v>1998VT</v>
          </cell>
          <cell r="K449">
            <v>0.47163658077666504</v>
          </cell>
          <cell r="L449">
            <v>7.4778944469769584E-2</v>
          </cell>
          <cell r="M449">
            <v>0.45358447475356539</v>
          </cell>
          <cell r="U449" t="str">
            <v>1998VT</v>
          </cell>
          <cell r="V449">
            <v>0.97207594900000005</v>
          </cell>
          <cell r="W449">
            <v>1.2286580000000001E-3</v>
          </cell>
          <cell r="X449">
            <v>7.7070380000000003E-3</v>
          </cell>
          <cell r="Y449">
            <v>5.8919749999999998E-3</v>
          </cell>
          <cell r="Z449">
            <v>1.3096379999999999E-2</v>
          </cell>
          <cell r="AB449" t="str">
            <v>1998VT</v>
          </cell>
          <cell r="AC449">
            <v>1.1111111111111101E-2</v>
          </cell>
          <cell r="AD449">
            <v>0.01</v>
          </cell>
          <cell r="AE449">
            <v>4.4444444E-2</v>
          </cell>
          <cell r="AF449">
            <v>0.93444444400000004</v>
          </cell>
        </row>
        <row r="450">
          <cell r="B450" t="str">
            <v>1998VA</v>
          </cell>
          <cell r="C450">
            <v>2.7998279382203929E-2</v>
          </cell>
          <cell r="D450">
            <v>7.3365334640324603E-2</v>
          </cell>
          <cell r="E450">
            <v>0.14098818578031125</v>
          </cell>
          <cell r="F450">
            <v>0.12262673065541595</v>
          </cell>
          <cell r="G450">
            <v>0.61794703852200761</v>
          </cell>
          <cell r="H450">
            <v>1.7074431019736734E-2</v>
          </cell>
          <cell r="J450" t="str">
            <v>1998VA</v>
          </cell>
          <cell r="K450">
            <v>0.24106477569768114</v>
          </cell>
          <cell r="L450">
            <v>0.61794703852200761</v>
          </cell>
          <cell r="M450">
            <v>0.14098818578031125</v>
          </cell>
          <cell r="U450" t="str">
            <v>1998VA</v>
          </cell>
          <cell r="V450">
            <v>4.4921022999999997E-2</v>
          </cell>
          <cell r="W450">
            <v>3.6366732999999998E-2</v>
          </cell>
          <cell r="X450">
            <v>8.5010381999999995E-2</v>
          </cell>
          <cell r="Y450">
            <v>0.51425866799999997</v>
          </cell>
          <cell r="Z450">
            <v>0.31944319399999999</v>
          </cell>
          <cell r="AB450" t="str">
            <v>1998VA</v>
          </cell>
          <cell r="AC450">
            <v>7.7777777777777835E-2</v>
          </cell>
          <cell r="AD450">
            <v>0</v>
          </cell>
          <cell r="AE450">
            <v>4.4444444E-2</v>
          </cell>
          <cell r="AF450">
            <v>0.87777777800000001</v>
          </cell>
        </row>
        <row r="451">
          <cell r="B451" t="str">
            <v>1998WA</v>
          </cell>
          <cell r="C451">
            <v>0.43794200268032679</v>
          </cell>
          <cell r="D451">
            <v>0.21918798970119843</v>
          </cell>
          <cell r="E451">
            <v>0</v>
          </cell>
          <cell r="F451">
            <v>0.11155651655128376</v>
          </cell>
          <cell r="G451">
            <v>0.21462514007988862</v>
          </cell>
          <cell r="H451">
            <v>1.6688350987302404E-2</v>
          </cell>
          <cell r="J451" t="str">
            <v>1998WA</v>
          </cell>
          <cell r="K451">
            <v>0.78537485992011136</v>
          </cell>
          <cell r="L451">
            <v>0.21462514007988862</v>
          </cell>
          <cell r="M451">
            <v>0</v>
          </cell>
          <cell r="U451" t="str">
            <v>1998WA</v>
          </cell>
          <cell r="V451">
            <v>0.31382347599999999</v>
          </cell>
          <cell r="W451">
            <v>3.3599051999999997E-2</v>
          </cell>
          <cell r="X451">
            <v>0.18569349499999999</v>
          </cell>
          <cell r="Y451">
            <v>0.13342562999999999</v>
          </cell>
          <cell r="Z451">
            <v>0.33345834699999999</v>
          </cell>
          <cell r="AB451" t="str">
            <v>1998WA</v>
          </cell>
          <cell r="AC451">
            <v>0</v>
          </cell>
          <cell r="AD451">
            <v>1.1111111111111101E-2</v>
          </cell>
          <cell r="AE451">
            <v>0.10666666700000001</v>
          </cell>
          <cell r="AF451">
            <v>0.882222222</v>
          </cell>
        </row>
        <row r="452">
          <cell r="B452" t="str">
            <v>1998WV</v>
          </cell>
          <cell r="C452">
            <v>4.2675753512061682E-2</v>
          </cell>
          <cell r="D452">
            <v>0.11978461162031358</v>
          </cell>
          <cell r="E452">
            <v>0.4646099764206077</v>
          </cell>
          <cell r="F452">
            <v>0.26008934811045781</v>
          </cell>
          <cell r="G452">
            <v>8.4724478181948282E-2</v>
          </cell>
          <cell r="H452">
            <v>2.8115832154611033E-2</v>
          </cell>
          <cell r="J452" t="str">
            <v>1998WV</v>
          </cell>
          <cell r="K452">
            <v>0.45066554539744397</v>
          </cell>
          <cell r="L452">
            <v>8.4724478181948282E-2</v>
          </cell>
          <cell r="M452">
            <v>0.4646099764206077</v>
          </cell>
          <cell r="U452" t="str">
            <v>1998WV</v>
          </cell>
          <cell r="V452">
            <v>0.45107293300000001</v>
          </cell>
          <cell r="W452">
            <v>2.4701153999999999E-2</v>
          </cell>
          <cell r="X452">
            <v>0.15090981000000001</v>
          </cell>
          <cell r="Y452">
            <v>0.113995733</v>
          </cell>
          <cell r="Z452">
            <v>0.259320369</v>
          </cell>
          <cell r="AB452" t="str">
            <v>1998WV</v>
          </cell>
          <cell r="AC452">
            <v>0.11111111111111094</v>
          </cell>
          <cell r="AD452">
            <v>0</v>
          </cell>
          <cell r="AE452">
            <v>4.4444444E-2</v>
          </cell>
          <cell r="AF452">
            <v>0.84444444399999996</v>
          </cell>
        </row>
        <row r="453">
          <cell r="B453" t="str">
            <v>1998WI</v>
          </cell>
          <cell r="C453">
            <v>7.4186131280223486E-2</v>
          </cell>
          <cell r="D453">
            <v>0.18611037861828725</v>
          </cell>
          <cell r="E453">
            <v>0.15599186105867327</v>
          </cell>
          <cell r="F453">
            <v>0.45173499574411502</v>
          </cell>
          <cell r="G453">
            <v>9.2353390378020497E-2</v>
          </cell>
          <cell r="H453">
            <v>3.9623242920680424E-2</v>
          </cell>
          <cell r="J453" t="str">
            <v>1998WI</v>
          </cell>
          <cell r="K453">
            <v>0.75165474856330627</v>
          </cell>
          <cell r="L453">
            <v>9.2353390378020497E-2</v>
          </cell>
          <cell r="M453">
            <v>0.15599186105867327</v>
          </cell>
          <cell r="U453" t="str">
            <v>1998WI</v>
          </cell>
          <cell r="V453">
            <v>0.13663264</v>
          </cell>
          <cell r="W453">
            <v>4.1228102000000003E-2</v>
          </cell>
          <cell r="X453">
            <v>0.234779458</v>
          </cell>
          <cell r="Y453">
            <v>0.171370719</v>
          </cell>
          <cell r="Z453">
            <v>0.41598908099999998</v>
          </cell>
          <cell r="AB453" t="str">
            <v>1998WI</v>
          </cell>
          <cell r="AC453">
            <v>4.4444444444444405E-2</v>
          </cell>
          <cell r="AD453">
            <v>5.5555555555555506E-3</v>
          </cell>
          <cell r="AE453">
            <v>1.7777778000000001E-2</v>
          </cell>
          <cell r="AF453">
            <v>0.93222222200000004</v>
          </cell>
        </row>
        <row r="454">
          <cell r="B454" t="str">
            <v>1998WY</v>
          </cell>
          <cell r="C454">
            <v>0.2797774418100436</v>
          </cell>
          <cell r="D454">
            <v>0.22002722841212402</v>
          </cell>
          <cell r="E454">
            <v>0.13328165552274412</v>
          </cell>
          <cell r="F454">
            <v>0.22755952202730512</v>
          </cell>
          <cell r="G454">
            <v>7.8908044811972888E-2</v>
          </cell>
          <cell r="H454">
            <v>6.0446107415810232E-2</v>
          </cell>
          <cell r="J454" t="str">
            <v>1998WY</v>
          </cell>
          <cell r="K454">
            <v>0.78781029966528293</v>
          </cell>
          <cell r="L454">
            <v>7.8908044811972888E-2</v>
          </cell>
          <cell r="M454">
            <v>0.13328165552274412</v>
          </cell>
          <cell r="U454" t="str">
            <v>1998WY</v>
          </cell>
          <cell r="V454">
            <v>4.4791365999999999E-2</v>
          </cell>
          <cell r="W454">
            <v>5.2915513999999997E-2</v>
          </cell>
          <cell r="X454">
            <v>0.25184405399999998</v>
          </cell>
          <cell r="Y454">
            <v>0.165261241</v>
          </cell>
          <cell r="Z454">
            <v>0.48518782500000002</v>
          </cell>
          <cell r="AB454" t="str">
            <v>1998WY</v>
          </cell>
          <cell r="AC454">
            <v>0</v>
          </cell>
          <cell r="AD454">
            <v>8.8888888888888785E-3</v>
          </cell>
          <cell r="AE454">
            <v>0.53777777800000004</v>
          </cell>
          <cell r="AF454">
            <v>0.453333333</v>
          </cell>
        </row>
        <row r="455">
          <cell r="B455" t="str">
            <v>1999AL</v>
          </cell>
          <cell r="C455">
            <v>0.11890694515635224</v>
          </cell>
          <cell r="D455">
            <v>7.8810502335825386E-2</v>
          </cell>
          <cell r="E455">
            <v>0.15115238582882937</v>
          </cell>
          <cell r="F455">
            <v>8.933772661227779E-2</v>
          </cell>
          <cell r="G455">
            <v>0.55765003927585055</v>
          </cell>
          <cell r="H455">
            <v>4.142400790864551E-3</v>
          </cell>
          <cell r="J455" t="str">
            <v>1999AL</v>
          </cell>
          <cell r="K455">
            <v>0.29119757489532005</v>
          </cell>
          <cell r="L455">
            <v>0.55765003927585055</v>
          </cell>
          <cell r="M455">
            <v>0.15115238582882937</v>
          </cell>
          <cell r="U455" t="str">
            <v>1999AL</v>
          </cell>
          <cell r="V455">
            <v>8.3909254000000003E-2</v>
          </cell>
          <cell r="W455">
            <v>3.5665711000000003E-2</v>
          </cell>
          <cell r="X455">
            <v>0.106277573</v>
          </cell>
          <cell r="Y455">
            <v>0.44994702199999997</v>
          </cell>
          <cell r="Z455">
            <v>0.32420044100000001</v>
          </cell>
          <cell r="AB455" t="str">
            <v>1999AL</v>
          </cell>
          <cell r="AC455">
            <v>0</v>
          </cell>
          <cell r="AD455">
            <v>0</v>
          </cell>
          <cell r="AE455">
            <v>0.41899999999999998</v>
          </cell>
          <cell r="AF455">
            <v>0.58099999999999996</v>
          </cell>
        </row>
        <row r="456">
          <cell r="B456" t="str">
            <v>1999AK</v>
          </cell>
          <cell r="C456">
            <v>0.27092263922110815</v>
          </cell>
          <cell r="D456">
            <v>0.21238634038770285</v>
          </cell>
          <cell r="E456">
            <v>0.12574149124588388</v>
          </cell>
          <cell r="F456">
            <v>0.24934953500785964</v>
          </cell>
          <cell r="G456">
            <v>7.4443967454030757E-2</v>
          </cell>
          <cell r="H456">
            <v>6.7156026683414707E-2</v>
          </cell>
          <cell r="J456" t="str">
            <v>1999AK</v>
          </cell>
          <cell r="K456">
            <v>0.79981454130008534</v>
          </cell>
          <cell r="L456">
            <v>7.4443967454030757E-2</v>
          </cell>
          <cell r="M456">
            <v>0.12574149124588388</v>
          </cell>
          <cell r="U456" t="str">
            <v>1999AK</v>
          </cell>
          <cell r="V456">
            <v>0.81053030199999998</v>
          </cell>
          <cell r="W456">
            <v>8.3366670000000007E-3</v>
          </cell>
          <cell r="X456">
            <v>5.2293636999999997E-2</v>
          </cell>
          <cell r="Y456">
            <v>3.9978105999999999E-2</v>
          </cell>
          <cell r="Z456">
            <v>8.8861287999999997E-2</v>
          </cell>
          <cell r="AB456" t="str">
            <v>1999AK</v>
          </cell>
          <cell r="AC456">
            <v>0</v>
          </cell>
          <cell r="AD456">
            <v>0</v>
          </cell>
          <cell r="AE456">
            <v>0.25</v>
          </cell>
          <cell r="AF456">
            <v>0.75</v>
          </cell>
        </row>
        <row r="457">
          <cell r="B457" t="str">
            <v>1999AZ</v>
          </cell>
          <cell r="C457">
            <v>0.60954942339216367</v>
          </cell>
          <cell r="D457">
            <v>0.19906356300324182</v>
          </cell>
          <cell r="E457">
            <v>9.7841629520496229E-2</v>
          </cell>
          <cell r="F457">
            <v>9.30596070918253E-2</v>
          </cell>
          <cell r="G457">
            <v>0</v>
          </cell>
          <cell r="H457">
            <v>4.8577699227292013E-4</v>
          </cell>
          <cell r="J457" t="str">
            <v>1999AZ</v>
          </cell>
          <cell r="K457">
            <v>0.90215837047950376</v>
          </cell>
          <cell r="L457">
            <v>0</v>
          </cell>
          <cell r="M457">
            <v>9.7841629520496229E-2</v>
          </cell>
          <cell r="U457" t="str">
            <v>1999AZ</v>
          </cell>
          <cell r="V457">
            <v>9.2937105000000006E-2</v>
          </cell>
          <cell r="W457">
            <v>3.4872106999999999E-2</v>
          </cell>
          <cell r="X457">
            <v>9.1271643E-2</v>
          </cell>
          <cell r="Y457">
            <v>0.46995622599999998</v>
          </cell>
          <cell r="Z457">
            <v>0.310962919</v>
          </cell>
          <cell r="AB457" t="str">
            <v>1999AZ</v>
          </cell>
          <cell r="AC457">
            <v>0</v>
          </cell>
          <cell r="AD457">
            <v>0</v>
          </cell>
          <cell r="AE457">
            <v>0.6</v>
          </cell>
          <cell r="AF457">
            <v>0.4</v>
          </cell>
        </row>
        <row r="458">
          <cell r="B458" t="str">
            <v>1999AR</v>
          </cell>
          <cell r="C458">
            <v>7.3616036931842363E-2</v>
          </cell>
          <cell r="D458">
            <v>5.4328932638749626E-2</v>
          </cell>
          <cell r="E458">
            <v>0.14302834312212612</v>
          </cell>
          <cell r="F458">
            <v>0.11723759102478351</v>
          </cell>
          <cell r="G458">
            <v>0.60584423012447064</v>
          </cell>
          <cell r="H458">
            <v>5.9448661580278304E-3</v>
          </cell>
          <cell r="J458" t="str">
            <v>1999AR</v>
          </cell>
          <cell r="K458">
            <v>0.25112742675340327</v>
          </cell>
          <cell r="L458">
            <v>0.60584423012447064</v>
          </cell>
          <cell r="M458">
            <v>0.14302834312212612</v>
          </cell>
          <cell r="U458" t="str">
            <v>1999AR</v>
          </cell>
          <cell r="V458">
            <v>2.7505646000000002E-2</v>
          </cell>
          <cell r="W458">
            <v>3.7782068000000002E-2</v>
          </cell>
          <cell r="X458">
            <v>0.110308714</v>
          </cell>
          <cell r="Y458">
            <v>0.48204967799999998</v>
          </cell>
          <cell r="Z458">
            <v>0.34235389399999999</v>
          </cell>
          <cell r="AB458" t="str">
            <v>1999AR</v>
          </cell>
          <cell r="AC458">
            <v>0</v>
          </cell>
          <cell r="AD458">
            <v>0</v>
          </cell>
          <cell r="AE458">
            <v>0</v>
          </cell>
          <cell r="AF458">
            <v>1</v>
          </cell>
        </row>
        <row r="459">
          <cell r="B459" t="str">
            <v>1999CA</v>
          </cell>
          <cell r="C459">
            <v>0.57571873248383476</v>
          </cell>
          <cell r="D459">
            <v>0.21052934977179924</v>
          </cell>
          <cell r="E459">
            <v>0.10943695516512048</v>
          </cell>
          <cell r="F459">
            <v>9.1266633971301359E-2</v>
          </cell>
          <cell r="G459">
            <v>1.0695445550460467E-2</v>
          </cell>
          <cell r="H459">
            <v>2.3528830574835692E-3</v>
          </cell>
          <cell r="J459" t="str">
            <v>1999CA</v>
          </cell>
          <cell r="K459">
            <v>0.87986759928441904</v>
          </cell>
          <cell r="L459">
            <v>1.0695445550460467E-2</v>
          </cell>
          <cell r="M459">
            <v>0.10943695516512048</v>
          </cell>
          <cell r="U459" t="str">
            <v>1999CA</v>
          </cell>
          <cell r="V459">
            <v>0.111078937</v>
          </cell>
          <cell r="W459">
            <v>3.3758189000000001E-2</v>
          </cell>
          <cell r="X459">
            <v>7.6298133000000004E-2</v>
          </cell>
          <cell r="Y459">
            <v>0.483580711</v>
          </cell>
          <cell r="Z459">
            <v>0.29528402999999998</v>
          </cell>
          <cell r="AB459" t="str">
            <v>1999CA</v>
          </cell>
          <cell r="AC459">
            <v>0</v>
          </cell>
          <cell r="AD459">
            <v>0</v>
          </cell>
          <cell r="AE459">
            <v>0.12</v>
          </cell>
          <cell r="AF459">
            <v>0.88</v>
          </cell>
        </row>
        <row r="460">
          <cell r="B460" t="str">
            <v>1999CO</v>
          </cell>
          <cell r="C460">
            <v>0.57999729310869863</v>
          </cell>
          <cell r="D460">
            <v>0.25654572052370839</v>
          </cell>
          <cell r="E460">
            <v>1.7671621382002511E-2</v>
          </cell>
          <cell r="F460">
            <v>0.12217904489454604</v>
          </cell>
          <cell r="G460">
            <v>1.046230320626019E-2</v>
          </cell>
          <cell r="H460">
            <v>1.3144016884784161E-2</v>
          </cell>
          <cell r="J460" t="str">
            <v>1999CO</v>
          </cell>
          <cell r="K460">
            <v>0.97186607541173731</v>
          </cell>
          <cell r="L460">
            <v>1.046230320626019E-2</v>
          </cell>
          <cell r="M460">
            <v>1.7671621382002511E-2</v>
          </cell>
          <cell r="U460" t="str">
            <v>1999CO</v>
          </cell>
          <cell r="V460">
            <v>2.4345160000000001E-2</v>
          </cell>
          <cell r="W460">
            <v>5.3862119E-2</v>
          </cell>
          <cell r="X460">
            <v>0.25743632100000002</v>
          </cell>
          <cell r="Y460">
            <v>0.169418819</v>
          </cell>
          <cell r="Z460">
            <v>0.49493758100000002</v>
          </cell>
          <cell r="AB460" t="str">
            <v>1999CO</v>
          </cell>
          <cell r="AC460">
            <v>0</v>
          </cell>
          <cell r="AD460">
            <v>0</v>
          </cell>
          <cell r="AE460">
            <v>0.6</v>
          </cell>
          <cell r="AF460">
            <v>0.4</v>
          </cell>
        </row>
        <row r="461">
          <cell r="B461" t="str">
            <v>1999CT</v>
          </cell>
          <cell r="C461">
            <v>9.0697775937900363E-2</v>
          </cell>
          <cell r="D461">
            <v>0.17995078886788987</v>
          </cell>
          <cell r="E461">
            <v>0.43673343527267333</v>
          </cell>
          <cell r="F461">
            <v>0.20442321137791589</v>
          </cell>
          <cell r="G461">
            <v>5.9578494975173077E-2</v>
          </cell>
          <cell r="H461">
            <v>2.8616293568447533E-2</v>
          </cell>
          <cell r="J461" t="str">
            <v>1999CT</v>
          </cell>
          <cell r="K461">
            <v>0.50368806975215352</v>
          </cell>
          <cell r="L461">
            <v>5.9578494975173077E-2</v>
          </cell>
          <cell r="M461">
            <v>0.43673343527267333</v>
          </cell>
          <cell r="U461" t="str">
            <v>1999CT</v>
          </cell>
          <cell r="V461">
            <v>0.590779583</v>
          </cell>
          <cell r="W461">
            <v>1.8005698000000001E-2</v>
          </cell>
          <cell r="X461">
            <v>0.11294483499999999</v>
          </cell>
          <cell r="Y461">
            <v>8.6345508000000001E-2</v>
          </cell>
          <cell r="Z461">
            <v>0.19192437500000001</v>
          </cell>
          <cell r="AB461" t="str">
            <v>1999CT</v>
          </cell>
          <cell r="AC461">
            <v>0</v>
          </cell>
          <cell r="AD461">
            <v>0</v>
          </cell>
          <cell r="AE461">
            <v>0.05</v>
          </cell>
          <cell r="AF461">
            <v>0.95</v>
          </cell>
        </row>
        <row r="462">
          <cell r="B462" t="str">
            <v>1999DE</v>
          </cell>
          <cell r="C462">
            <v>7.1421307966297018E-2</v>
          </cell>
          <cell r="D462">
            <v>0.15990985630119936</v>
          </cell>
          <cell r="E462">
            <v>0.44775513306003445</v>
          </cell>
          <cell r="F462">
            <v>0.22389509968759863</v>
          </cell>
          <cell r="G462">
            <v>6.9520597404608517E-2</v>
          </cell>
          <cell r="H462">
            <v>2.749800558026207E-2</v>
          </cell>
          <cell r="J462" t="str">
            <v>1999DE</v>
          </cell>
          <cell r="K462">
            <v>0.48272426953535708</v>
          </cell>
          <cell r="L462">
            <v>6.9520597404608517E-2</v>
          </cell>
          <cell r="M462">
            <v>0.44775513306003445</v>
          </cell>
          <cell r="U462" t="str">
            <v>1999DE</v>
          </cell>
          <cell r="V462">
            <v>0.116931702</v>
          </cell>
          <cell r="W462">
            <v>4.404827E-2</v>
          </cell>
          <cell r="X462">
            <v>0.23810081399999999</v>
          </cell>
          <cell r="Y462">
            <v>0.169016529</v>
          </cell>
          <cell r="Z462">
            <v>0.43190268500000001</v>
          </cell>
          <cell r="AB462" t="str">
            <v>1999DE</v>
          </cell>
          <cell r="AC462">
            <v>0</v>
          </cell>
          <cell r="AD462">
            <v>0</v>
          </cell>
          <cell r="AE462">
            <v>0.05</v>
          </cell>
          <cell r="AF462">
            <v>0.95</v>
          </cell>
        </row>
        <row r="463">
          <cell r="B463" t="str">
            <v>1999FL</v>
          </cell>
          <cell r="C463">
            <v>0.41537337302401689</v>
          </cell>
          <cell r="D463">
            <v>0.14791671274774876</v>
          </cell>
          <cell r="E463">
            <v>0.22175795764352008</v>
          </cell>
          <cell r="F463">
            <v>7.5362869062114299E-2</v>
          </cell>
          <cell r="G463">
            <v>0.13879719397932633</v>
          </cell>
          <cell r="H463">
            <v>7.9189354327361327E-4</v>
          </cell>
          <cell r="J463" t="str">
            <v>1999FL</v>
          </cell>
          <cell r="K463">
            <v>0.63944484837715354</v>
          </cell>
          <cell r="L463">
            <v>0.13879719397932633</v>
          </cell>
          <cell r="M463">
            <v>0.22175795764352008</v>
          </cell>
          <cell r="U463" t="str">
            <v>1999FL</v>
          </cell>
          <cell r="V463">
            <v>0.654705074</v>
          </cell>
          <cell r="W463">
            <v>1.5192977E-2</v>
          </cell>
          <cell r="X463">
            <v>9.5301399999999994E-2</v>
          </cell>
          <cell r="Y463">
            <v>7.2857228999999996E-2</v>
          </cell>
          <cell r="Z463">
            <v>0.16194332</v>
          </cell>
          <cell r="AB463" t="str">
            <v>1999FL</v>
          </cell>
          <cell r="AC463">
            <v>0</v>
          </cell>
          <cell r="AD463">
            <v>0</v>
          </cell>
          <cell r="AE463">
            <v>0.41899999999999998</v>
          </cell>
          <cell r="AF463">
            <v>0.58099999999999996</v>
          </cell>
        </row>
        <row r="464">
          <cell r="B464" t="str">
            <v>1999GA</v>
          </cell>
          <cell r="C464">
            <v>0.16172776921402773</v>
          </cell>
          <cell r="D464">
            <v>9.6000104844040882E-2</v>
          </cell>
          <cell r="E464">
            <v>0.16420558043851224</v>
          </cell>
          <cell r="F464">
            <v>9.3792768095977808E-2</v>
          </cell>
          <cell r="G464">
            <v>0.48021468166945064</v>
          </cell>
          <cell r="H464">
            <v>4.0590957379906169E-3</v>
          </cell>
          <cell r="J464" t="str">
            <v>1999GA</v>
          </cell>
          <cell r="K464">
            <v>0.35557973789203712</v>
          </cell>
          <cell r="L464">
            <v>0.48021468166945064</v>
          </cell>
          <cell r="M464">
            <v>0.16420558043851224</v>
          </cell>
          <cell r="U464" t="str">
            <v>1999GA</v>
          </cell>
          <cell r="V464">
            <v>8.5985626999999995E-2</v>
          </cell>
          <cell r="W464">
            <v>3.5971377999999998E-2</v>
          </cell>
          <cell r="X464">
            <v>0.118239235</v>
          </cell>
          <cell r="Y464">
            <v>0.42755893</v>
          </cell>
          <cell r="Z464">
            <v>0.33224482999999999</v>
          </cell>
          <cell r="AB464" t="str">
            <v>1999GA</v>
          </cell>
          <cell r="AC464">
            <v>0</v>
          </cell>
          <cell r="AD464">
            <v>0</v>
          </cell>
          <cell r="AE464">
            <v>0.41899999999999998</v>
          </cell>
          <cell r="AF464">
            <v>0.58099999999999996</v>
          </cell>
        </row>
        <row r="465">
          <cell r="B465" t="str">
            <v>1999HI</v>
          </cell>
          <cell r="C465">
            <v>0.58605902014261946</v>
          </cell>
          <cell r="D465">
            <v>0.21042458949959983</v>
          </cell>
          <cell r="E465">
            <v>0</v>
          </cell>
          <cell r="F465">
            <v>0.11922836530036557</v>
          </cell>
          <cell r="G465">
            <v>7.4192923708159525E-2</v>
          </cell>
          <cell r="H465">
            <v>1.0095101349255479E-2</v>
          </cell>
          <cell r="J465" t="str">
            <v>1999HI</v>
          </cell>
          <cell r="K465">
            <v>0.92580707629184045</v>
          </cell>
          <cell r="L465">
            <v>7.4192923708159525E-2</v>
          </cell>
          <cell r="M465">
            <v>0</v>
          </cell>
          <cell r="U465" t="str">
            <v>1999HI</v>
          </cell>
          <cell r="V465">
            <v>0.30724696499999998</v>
          </cell>
          <cell r="W465">
            <v>3.012925E-2</v>
          </cell>
          <cell r="X465">
            <v>0.18009038599999999</v>
          </cell>
          <cell r="Y465">
            <v>0.165624997</v>
          </cell>
          <cell r="Z465">
            <v>0.31690840100000001</v>
          </cell>
          <cell r="AB465" t="str">
            <v>1999HI</v>
          </cell>
          <cell r="AC465">
            <v>0</v>
          </cell>
          <cell r="AD465">
            <v>0</v>
          </cell>
          <cell r="AE465">
            <v>0.25</v>
          </cell>
          <cell r="AF465">
            <v>0.75</v>
          </cell>
        </row>
        <row r="466">
          <cell r="B466" t="str">
            <v>1999ID</v>
          </cell>
          <cell r="C466">
            <v>0.58588813768615355</v>
          </cell>
          <cell r="D466">
            <v>0.24172744977204194</v>
          </cell>
          <cell r="E466">
            <v>1.3418835174906173E-2</v>
          </cell>
          <cell r="F466">
            <v>0.13498151073798295</v>
          </cell>
          <cell r="G466">
            <v>7.944484506536488E-3</v>
          </cell>
          <cell r="H466">
            <v>1.6039582122378743E-2</v>
          </cell>
          <cell r="J466" t="str">
            <v>1999ID</v>
          </cell>
          <cell r="K466">
            <v>0.97863668031855733</v>
          </cell>
          <cell r="L466">
            <v>7.944484506536488E-3</v>
          </cell>
          <cell r="M466">
            <v>1.3418835174906173E-2</v>
          </cell>
          <cell r="U466" t="str">
            <v>1999ID</v>
          </cell>
          <cell r="V466">
            <v>0.38596128600000001</v>
          </cell>
          <cell r="W466">
            <v>3.0023265E-2</v>
          </cell>
          <cell r="X466">
            <v>0.16621865999999999</v>
          </cell>
          <cell r="Y466">
            <v>0.119543631</v>
          </cell>
          <cell r="Z466">
            <v>0.29825315699999999</v>
          </cell>
          <cell r="AB466" t="str">
            <v>1999ID</v>
          </cell>
          <cell r="AC466">
            <v>0</v>
          </cell>
          <cell r="AD466">
            <v>0</v>
          </cell>
          <cell r="AE466">
            <v>0.6</v>
          </cell>
          <cell r="AF466">
            <v>0.4</v>
          </cell>
        </row>
        <row r="467">
          <cell r="B467" t="str">
            <v>1999IL</v>
          </cell>
          <cell r="C467">
            <v>8.9083761441588943E-2</v>
          </cell>
          <cell r="D467">
            <v>0.21742013510113367</v>
          </cell>
          <cell r="E467">
            <v>0.10533395302616939</v>
          </cell>
          <cell r="F467">
            <v>0.47815042905267224</v>
          </cell>
          <cell r="G467">
            <v>6.2361892587632611E-2</v>
          </cell>
          <cell r="H467">
            <v>4.7649828790803199E-2</v>
          </cell>
          <cell r="J467" t="str">
            <v>1999IL</v>
          </cell>
          <cell r="K467">
            <v>0.83230415438619798</v>
          </cell>
          <cell r="L467">
            <v>6.2361892587632611E-2</v>
          </cell>
          <cell r="M467">
            <v>0.10533395302616939</v>
          </cell>
          <cell r="U467" t="str">
            <v>1999IL</v>
          </cell>
          <cell r="V467">
            <v>3.3587758000000002E-2</v>
          </cell>
          <cell r="W467">
            <v>4.4774250000000002E-2</v>
          </cell>
          <cell r="X467">
            <v>0.27517519499999998</v>
          </cell>
          <cell r="Y467">
            <v>0.15492957199999999</v>
          </cell>
          <cell r="Z467">
            <v>0.49153322599999999</v>
          </cell>
          <cell r="AB467" t="str">
            <v>1999IL</v>
          </cell>
          <cell r="AC467">
            <v>0</v>
          </cell>
          <cell r="AD467">
            <v>0</v>
          </cell>
          <cell r="AE467">
            <v>0.02</v>
          </cell>
          <cell r="AF467">
            <v>0.98</v>
          </cell>
        </row>
        <row r="468">
          <cell r="B468" t="str">
            <v>1999IN</v>
          </cell>
          <cell r="C468">
            <v>9.4694520318403544E-2</v>
          </cell>
          <cell r="D468">
            <v>0.19295347593164353</v>
          </cell>
          <cell r="E468">
            <v>0.16336248159049327</v>
          </cell>
          <cell r="F468">
            <v>0.41249845314454947</v>
          </cell>
          <cell r="G468">
            <v>9.6717091090889037E-2</v>
          </cell>
          <cell r="H468">
            <v>3.9773977924021188E-2</v>
          </cell>
          <cell r="J468" t="str">
            <v>1999IN</v>
          </cell>
          <cell r="K468">
            <v>0.73992042731861773</v>
          </cell>
          <cell r="L468">
            <v>9.6717091090889037E-2</v>
          </cell>
          <cell r="M468">
            <v>0.16336248159049327</v>
          </cell>
          <cell r="U468" t="str">
            <v>1999IN</v>
          </cell>
          <cell r="V468">
            <v>3.6784859000000003E-2</v>
          </cell>
          <cell r="W468">
            <v>4.4711285000000003E-2</v>
          </cell>
          <cell r="X468">
            <v>0.274584198</v>
          </cell>
          <cell r="Y468">
            <v>0.15256484200000001</v>
          </cell>
          <cell r="Z468">
            <v>0.49135481600000003</v>
          </cell>
          <cell r="AB468" t="str">
            <v>1999IN</v>
          </cell>
          <cell r="AC468">
            <v>0</v>
          </cell>
          <cell r="AD468">
            <v>0</v>
          </cell>
          <cell r="AE468">
            <v>0</v>
          </cell>
          <cell r="AF468">
            <v>1</v>
          </cell>
        </row>
        <row r="469">
          <cell r="B469" t="str">
            <v>1999IA</v>
          </cell>
          <cell r="C469">
            <v>8.8980650788781812E-2</v>
          </cell>
          <cell r="D469">
            <v>0.19817406257846984</v>
          </cell>
          <cell r="E469">
            <v>0.14315864372765238</v>
          </cell>
          <cell r="F469">
            <v>0.44460527383106896</v>
          </cell>
          <cell r="G469">
            <v>8.4755614943236995E-2</v>
          </cell>
          <cell r="H469">
            <v>4.0325754130789981E-2</v>
          </cell>
          <cell r="J469" t="str">
            <v>1999IA</v>
          </cell>
          <cell r="K469">
            <v>0.77208574132911068</v>
          </cell>
          <cell r="L469">
            <v>8.4755614943236995E-2</v>
          </cell>
          <cell r="M469">
            <v>0.14315864372765238</v>
          </cell>
          <cell r="U469" t="str">
            <v>1999IA</v>
          </cell>
          <cell r="V469">
            <v>2.0591686000000001E-2</v>
          </cell>
          <cell r="W469">
            <v>3.9080344000000003E-2</v>
          </cell>
          <cell r="X469">
            <v>0.14360092299999999</v>
          </cell>
          <cell r="Y469">
            <v>0.42855109899999999</v>
          </cell>
          <cell r="Z469">
            <v>0.36817594799999998</v>
          </cell>
          <cell r="AB469" t="str">
            <v>1999IA</v>
          </cell>
          <cell r="AC469">
            <v>0</v>
          </cell>
          <cell r="AD469">
            <v>0</v>
          </cell>
          <cell r="AE469">
            <v>0</v>
          </cell>
          <cell r="AF469">
            <v>1</v>
          </cell>
        </row>
        <row r="470">
          <cell r="B470" t="str">
            <v>1999KS</v>
          </cell>
          <cell r="C470">
            <v>0.14603879150428672</v>
          </cell>
          <cell r="D470">
            <v>0.23318219846982197</v>
          </cell>
          <cell r="E470">
            <v>0.10302398211124597</v>
          </cell>
          <cell r="F470">
            <v>0.41685088358160771</v>
          </cell>
          <cell r="G470">
            <v>6.0994297866857061E-2</v>
          </cell>
          <cell r="H470">
            <v>3.99098464661806E-2</v>
          </cell>
          <cell r="J470" t="str">
            <v>1999KS</v>
          </cell>
          <cell r="K470">
            <v>0.83598172002189697</v>
          </cell>
          <cell r="L470">
            <v>6.0994297866857061E-2</v>
          </cell>
          <cell r="M470">
            <v>0.10302398211124597</v>
          </cell>
          <cell r="U470" t="str">
            <v>1999KS</v>
          </cell>
          <cell r="V470">
            <v>4.3187926000000001E-2</v>
          </cell>
          <cell r="W470">
            <v>4.5002312000000003E-2</v>
          </cell>
          <cell r="X470">
            <v>0.27496481</v>
          </cell>
          <cell r="Y470">
            <v>0.13875621799999999</v>
          </cell>
          <cell r="Z470">
            <v>0.49808873399999998</v>
          </cell>
          <cell r="AB470" t="str">
            <v>1999KS</v>
          </cell>
          <cell r="AC470">
            <v>0</v>
          </cell>
          <cell r="AD470">
            <v>0</v>
          </cell>
          <cell r="AE470">
            <v>0.02</v>
          </cell>
          <cell r="AF470">
            <v>0.98</v>
          </cell>
        </row>
        <row r="471">
          <cell r="B471" t="str">
            <v>1999KY</v>
          </cell>
          <cell r="C471">
            <v>1.7279230540234447E-2</v>
          </cell>
          <cell r="D471">
            <v>5.3797825771249863E-2</v>
          </cell>
          <cell r="E471">
            <v>0.14013795320284531</v>
          </cell>
          <cell r="F471">
            <v>0.15080787716351168</v>
          </cell>
          <cell r="G471">
            <v>0.62299086615603749</v>
          </cell>
          <cell r="H471">
            <v>1.4986247166121227E-2</v>
          </cell>
          <cell r="J471" t="str">
            <v>1999KY</v>
          </cell>
          <cell r="K471">
            <v>0.23687118064111723</v>
          </cell>
          <cell r="L471">
            <v>0.62299086615603749</v>
          </cell>
          <cell r="M471">
            <v>0.14013795320284531</v>
          </cell>
          <cell r="U471" t="str">
            <v>1999KY</v>
          </cell>
          <cell r="V471">
            <v>6.2958609999999998E-2</v>
          </cell>
          <cell r="W471">
            <v>3.7331033E-2</v>
          </cell>
          <cell r="X471">
            <v>0.135533124</v>
          </cell>
          <cell r="Y471">
            <v>0.41326300100000002</v>
          </cell>
          <cell r="Z471">
            <v>0.35091423199999999</v>
          </cell>
          <cell r="AB471" t="str">
            <v>1999KY</v>
          </cell>
          <cell r="AC471">
            <v>0</v>
          </cell>
          <cell r="AD471">
            <v>0</v>
          </cell>
          <cell r="AE471">
            <v>0.05</v>
          </cell>
          <cell r="AF471">
            <v>0.95</v>
          </cell>
        </row>
        <row r="472">
          <cell r="B472" t="str">
            <v>1999LA</v>
          </cell>
          <cell r="C472">
            <v>8.8463222925532492E-2</v>
          </cell>
          <cell r="D472">
            <v>6.3719251115381931E-2</v>
          </cell>
          <cell r="E472">
            <v>0.14603148123284368</v>
          </cell>
          <cell r="F472">
            <v>0.10837812444325667</v>
          </cell>
          <cell r="G472">
            <v>0.58802873893641161</v>
          </cell>
          <cell r="H472">
            <v>5.379181346573619E-3</v>
          </cell>
          <cell r="J472" t="str">
            <v>1999LA</v>
          </cell>
          <cell r="K472">
            <v>0.26593977983074468</v>
          </cell>
          <cell r="L472">
            <v>0.58802873893641161</v>
          </cell>
          <cell r="M472">
            <v>0.14603148123284368</v>
          </cell>
          <cell r="U472" t="str">
            <v>1999LA</v>
          </cell>
          <cell r="V472">
            <v>0.58182988199999996</v>
          </cell>
          <cell r="W472">
            <v>1.8399485E-2</v>
          </cell>
          <cell r="X472">
            <v>0.115414952</v>
          </cell>
          <cell r="Y472">
            <v>8.8233895000000007E-2</v>
          </cell>
          <cell r="Z472">
            <v>0.19612178499999999</v>
          </cell>
          <cell r="AB472" t="str">
            <v>1999LA</v>
          </cell>
          <cell r="AC472">
            <v>0</v>
          </cell>
          <cell r="AD472">
            <v>0</v>
          </cell>
          <cell r="AE472">
            <v>0.6</v>
          </cell>
          <cell r="AF472">
            <v>0.4</v>
          </cell>
        </row>
        <row r="473">
          <cell r="B473" t="str">
            <v>1999ME</v>
          </cell>
          <cell r="C473">
            <v>6.2285750045414437E-2</v>
          </cell>
          <cell r="D473">
            <v>0.13879984785210409</v>
          </cell>
          <cell r="E473">
            <v>0.46091705790276033</v>
          </cell>
          <cell r="F473">
            <v>0.2336164238815665</v>
          </cell>
          <cell r="G473">
            <v>8.139328775409059E-2</v>
          </cell>
          <cell r="H473">
            <v>2.2987632564064064E-2</v>
          </cell>
          <cell r="J473" t="str">
            <v>1999ME</v>
          </cell>
          <cell r="K473">
            <v>0.45768965434314912</v>
          </cell>
          <cell r="L473">
            <v>8.139328775409059E-2</v>
          </cell>
          <cell r="M473">
            <v>0.46091705790276033</v>
          </cell>
          <cell r="U473" t="str">
            <v>1999ME</v>
          </cell>
          <cell r="V473">
            <v>0.89168080800000005</v>
          </cell>
          <cell r="W473">
            <v>4.7660439999999997E-3</v>
          </cell>
          <cell r="X473">
            <v>2.9896097E-2</v>
          </cell>
          <cell r="Y473">
            <v>2.285535E-2</v>
          </cell>
          <cell r="Z473">
            <v>5.0801700999999998E-2</v>
          </cell>
          <cell r="AB473" t="str">
            <v>1999ME</v>
          </cell>
          <cell r="AC473">
            <v>0</v>
          </cell>
          <cell r="AD473">
            <v>0</v>
          </cell>
          <cell r="AE473">
            <v>0.05</v>
          </cell>
          <cell r="AF473">
            <v>0.95</v>
          </cell>
        </row>
        <row r="474">
          <cell r="B474" t="str">
            <v>1999MD</v>
          </cell>
          <cell r="C474">
            <v>6.3199520419526575E-2</v>
          </cell>
          <cell r="D474">
            <v>0.14092761172960247</v>
          </cell>
          <cell r="E474">
            <v>0.45071012194358129</v>
          </cell>
          <cell r="F474">
            <v>0.2426327947973469</v>
          </cell>
          <cell r="G474">
            <v>7.2186139748888239E-2</v>
          </cell>
          <cell r="H474">
            <v>3.0343811361054501E-2</v>
          </cell>
          <cell r="J474" t="str">
            <v>1999MD</v>
          </cell>
          <cell r="K474">
            <v>0.4771037383075305</v>
          </cell>
          <cell r="L474">
            <v>7.2186139748888239E-2</v>
          </cell>
          <cell r="M474">
            <v>0.45071012194358129</v>
          </cell>
          <cell r="U474" t="str">
            <v>1999MD</v>
          </cell>
          <cell r="V474">
            <v>0.200369768</v>
          </cell>
          <cell r="W474">
            <v>3.8643151000000001E-2</v>
          </cell>
          <cell r="X474">
            <v>0.21695023799999999</v>
          </cell>
          <cell r="Y474">
            <v>0.157190576</v>
          </cell>
          <cell r="Z474">
            <v>0.38684626700000002</v>
          </cell>
          <cell r="AB474" t="str">
            <v>1999MD</v>
          </cell>
          <cell r="AC474">
            <v>0</v>
          </cell>
          <cell r="AD474">
            <v>0</v>
          </cell>
          <cell r="AE474">
            <v>0.05</v>
          </cell>
          <cell r="AF474">
            <v>0.95</v>
          </cell>
        </row>
        <row r="475">
          <cell r="B475" t="str">
            <v>1999MA</v>
          </cell>
          <cell r="C475">
            <v>5.1740130855511837E-2</v>
          </cell>
          <cell r="D475">
            <v>0.13718151005868781</v>
          </cell>
          <cell r="E475">
            <v>0.45562994542843566</v>
          </cell>
          <cell r="F475">
            <v>0.24914075788513798</v>
          </cell>
          <cell r="G475">
            <v>7.6624057569249213E-2</v>
          </cell>
          <cell r="H475">
            <v>2.9683598202977602E-2</v>
          </cell>
          <cell r="J475" t="str">
            <v>1999MA</v>
          </cell>
          <cell r="K475">
            <v>0.46774599700231512</v>
          </cell>
          <cell r="L475">
            <v>7.6624057569249213E-2</v>
          </cell>
          <cell r="M475">
            <v>0.45562994542843566</v>
          </cell>
          <cell r="U475" t="str">
            <v>1999MA</v>
          </cell>
          <cell r="V475">
            <v>0.38019767199999999</v>
          </cell>
          <cell r="W475">
            <v>2.7271302000000001E-2</v>
          </cell>
          <cell r="X475">
            <v>0.17106544300000001</v>
          </cell>
          <cell r="Y475">
            <v>0.13077829099999999</v>
          </cell>
          <cell r="Z475">
            <v>0.29068729199999999</v>
          </cell>
          <cell r="AB475" t="str">
            <v>1999MA</v>
          </cell>
          <cell r="AC475">
            <v>0</v>
          </cell>
          <cell r="AD475">
            <v>0</v>
          </cell>
          <cell r="AE475">
            <v>0.05</v>
          </cell>
          <cell r="AF475">
            <v>0.95</v>
          </cell>
        </row>
        <row r="476">
          <cell r="B476" t="str">
            <v>1999MI</v>
          </cell>
          <cell r="C476">
            <v>0.15607433168514573</v>
          </cell>
          <cell r="D476">
            <v>0.2884636973332988</v>
          </cell>
          <cell r="E476">
            <v>8.1478912540919629E-2</v>
          </cell>
          <cell r="F476">
            <v>0.37950441001350382</v>
          </cell>
          <cell r="G476">
            <v>4.8238759166017088E-2</v>
          </cell>
          <cell r="H476">
            <v>4.6239889261114886E-2</v>
          </cell>
          <cell r="J476" t="str">
            <v>1999MI</v>
          </cell>
          <cell r="K476">
            <v>0.87028232829306329</v>
          </cell>
          <cell r="L476">
            <v>4.8238759166017088E-2</v>
          </cell>
          <cell r="M476">
            <v>8.1478912540919629E-2</v>
          </cell>
          <cell r="U476" t="str">
            <v>1999MI</v>
          </cell>
          <cell r="V476">
            <v>5.7259665000000001E-2</v>
          </cell>
          <cell r="W476">
            <v>4.9076268999999999E-2</v>
          </cell>
          <cell r="X476">
            <v>0.25196766300000001</v>
          </cell>
          <cell r="Y476">
            <v>0.17359922899999999</v>
          </cell>
          <cell r="Z476">
            <v>0.46809717299999998</v>
          </cell>
          <cell r="AB476" t="str">
            <v>1999MI</v>
          </cell>
          <cell r="AC476">
            <v>0</v>
          </cell>
          <cell r="AD476">
            <v>0</v>
          </cell>
          <cell r="AE476">
            <v>0.02</v>
          </cell>
          <cell r="AF476">
            <v>0.98</v>
          </cell>
        </row>
        <row r="477">
          <cell r="B477" t="str">
            <v>1999MN</v>
          </cell>
          <cell r="C477">
            <v>7.7729718037512399E-2</v>
          </cell>
          <cell r="D477">
            <v>0.18972985299909517</v>
          </cell>
          <cell r="E477">
            <v>0.15427290888564507</v>
          </cell>
          <cell r="F477">
            <v>0.44511734919560253</v>
          </cell>
          <cell r="G477">
            <v>9.1335702275580882E-2</v>
          </cell>
          <cell r="H477">
            <v>4.1814468606563911E-2</v>
          </cell>
          <cell r="J477" t="str">
            <v>1999MN</v>
          </cell>
          <cell r="K477">
            <v>0.7543913888387741</v>
          </cell>
          <cell r="L477">
            <v>9.1335702275580882E-2</v>
          </cell>
          <cell r="M477">
            <v>0.15427290888564507</v>
          </cell>
          <cell r="U477" t="str">
            <v>1999MN</v>
          </cell>
          <cell r="V477">
            <v>2.4714623000000002E-2</v>
          </cell>
          <cell r="W477">
            <v>5.0339098999999998E-2</v>
          </cell>
          <cell r="X477">
            <v>0.26113334300000002</v>
          </cell>
          <cell r="Y477">
            <v>0.18103007199999999</v>
          </cell>
          <cell r="Z477">
            <v>0.48278286300000001</v>
          </cell>
          <cell r="AB477" t="str">
            <v>1999MN</v>
          </cell>
          <cell r="AC477">
            <v>0</v>
          </cell>
          <cell r="AD477">
            <v>0</v>
          </cell>
          <cell r="AE477">
            <v>0</v>
          </cell>
          <cell r="AF477">
            <v>1</v>
          </cell>
        </row>
        <row r="478">
          <cell r="B478" t="str">
            <v>1999MS</v>
          </cell>
          <cell r="C478">
            <v>8.5636489597891663E-2</v>
          </cell>
          <cell r="D478">
            <v>6.3981774646411013E-2</v>
          </cell>
          <cell r="E478">
            <v>0.14319207841645323</v>
          </cell>
          <cell r="F478">
            <v>9.7493430450694696E-2</v>
          </cell>
          <cell r="G478">
            <v>0.60487290460239462</v>
          </cell>
          <cell r="H478">
            <v>4.8233222861548521E-3</v>
          </cell>
          <cell r="J478" t="str">
            <v>1999MS</v>
          </cell>
          <cell r="K478">
            <v>0.25193501698115217</v>
          </cell>
          <cell r="L478">
            <v>0.60487290460239462</v>
          </cell>
          <cell r="M478">
            <v>0.14319207841645323</v>
          </cell>
          <cell r="U478" t="str">
            <v>1999MS</v>
          </cell>
          <cell r="V478">
            <v>3.3647719E-2</v>
          </cell>
          <cell r="W478">
            <v>3.6414480999999999E-2</v>
          </cell>
          <cell r="X478">
            <v>7.3969036000000002E-2</v>
          </cell>
          <cell r="Y478">
            <v>0.541420707</v>
          </cell>
          <cell r="Z478">
            <v>0.31454805800000002</v>
          </cell>
          <cell r="AB478" t="str">
            <v>1999MS</v>
          </cell>
          <cell r="AC478">
            <v>0</v>
          </cell>
          <cell r="AD478">
            <v>0</v>
          </cell>
          <cell r="AE478">
            <v>0.6</v>
          </cell>
          <cell r="AF478">
            <v>0.4</v>
          </cell>
        </row>
        <row r="479">
          <cell r="B479" t="str">
            <v>1999MO</v>
          </cell>
          <cell r="C479">
            <v>5.3253215860418736E-2</v>
          </cell>
          <cell r="D479">
            <v>0.16765370341531735</v>
          </cell>
          <cell r="E479">
            <v>0.15393427229865264</v>
          </cell>
          <cell r="F479">
            <v>0.48671632589498115</v>
          </cell>
          <cell r="G479">
            <v>9.113521593800826E-2</v>
          </cell>
          <cell r="H479">
            <v>4.7307266592621827E-2</v>
          </cell>
          <cell r="J479" t="str">
            <v>1999MO</v>
          </cell>
          <cell r="K479">
            <v>0.75493051176333914</v>
          </cell>
          <cell r="L479">
            <v>9.113521593800826E-2</v>
          </cell>
          <cell r="M479">
            <v>0.15393427229865264</v>
          </cell>
          <cell r="U479" t="str">
            <v>1999MO</v>
          </cell>
          <cell r="V479">
            <v>4.0122445999999999E-2</v>
          </cell>
          <cell r="W479">
            <v>4.5070704000000003E-2</v>
          </cell>
          <cell r="X479">
            <v>0.27556154799999999</v>
          </cell>
          <cell r="Y479">
            <v>0.14084917499999999</v>
          </cell>
          <cell r="Z479">
            <v>0.49839612700000002</v>
          </cell>
          <cell r="AB479" t="str">
            <v>1999MO</v>
          </cell>
          <cell r="AC479">
            <v>0</v>
          </cell>
          <cell r="AD479">
            <v>0</v>
          </cell>
          <cell r="AE479">
            <v>0</v>
          </cell>
          <cell r="AF479">
            <v>1</v>
          </cell>
        </row>
        <row r="480">
          <cell r="B480" t="str">
            <v>1999MT</v>
          </cell>
          <cell r="C480">
            <v>0.3215049121169497</v>
          </cell>
          <cell r="D480">
            <v>0.24354548028481338</v>
          </cell>
          <cell r="E480">
            <v>4.2860922065213691E-2</v>
          </cell>
          <cell r="F480">
            <v>0.2893187518674169</v>
          </cell>
          <cell r="G480">
            <v>2.5375371769952384E-2</v>
          </cell>
          <cell r="H480">
            <v>7.7394561895653885E-2</v>
          </cell>
          <cell r="J480" t="str">
            <v>1999MT</v>
          </cell>
          <cell r="K480">
            <v>0.93176370616483395</v>
          </cell>
          <cell r="L480">
            <v>2.5375371769952384E-2</v>
          </cell>
          <cell r="M480">
            <v>4.2860922065213691E-2</v>
          </cell>
          <cell r="U480" t="str">
            <v>1999MT</v>
          </cell>
          <cell r="V480">
            <v>7.2548285000000004E-2</v>
          </cell>
          <cell r="W480">
            <v>4.9770492E-2</v>
          </cell>
          <cell r="X480">
            <v>0.24626717200000001</v>
          </cell>
          <cell r="Y480">
            <v>0.165816924</v>
          </cell>
          <cell r="Z480">
            <v>0.465597127</v>
          </cell>
          <cell r="AB480" t="str">
            <v>1999MT</v>
          </cell>
          <cell r="AC480">
            <v>0</v>
          </cell>
          <cell r="AD480">
            <v>0</v>
          </cell>
          <cell r="AE480">
            <v>0.6</v>
          </cell>
          <cell r="AF480">
            <v>0.4</v>
          </cell>
        </row>
        <row r="481">
          <cell r="B481" t="str">
            <v>1999NE</v>
          </cell>
          <cell r="C481">
            <v>0.11493504110371054</v>
          </cell>
          <cell r="D481">
            <v>0.22204727095813742</v>
          </cell>
          <cell r="E481">
            <v>0.11864538011592393</v>
          </cell>
          <cell r="F481">
            <v>0.42838199873850308</v>
          </cell>
          <cell r="G481">
            <v>7.0242787232810688E-2</v>
          </cell>
          <cell r="H481">
            <v>4.5747521850914213E-2</v>
          </cell>
          <cell r="J481" t="str">
            <v>1999NE</v>
          </cell>
          <cell r="K481">
            <v>0.81111183265126541</v>
          </cell>
          <cell r="L481">
            <v>7.0242787232810688E-2</v>
          </cell>
          <cell r="M481">
            <v>0.11864538011592393</v>
          </cell>
          <cell r="U481" t="str">
            <v>1999NE</v>
          </cell>
          <cell r="V481">
            <v>4.4896558000000003E-2</v>
          </cell>
          <cell r="W481">
            <v>4.410451E-2</v>
          </cell>
          <cell r="X481">
            <v>0.27140839500000002</v>
          </cell>
          <cell r="Y481">
            <v>0.15628772499999999</v>
          </cell>
          <cell r="Z481">
            <v>0.48330281200000003</v>
          </cell>
          <cell r="AB481" t="str">
            <v>1999NE</v>
          </cell>
          <cell r="AC481">
            <v>0</v>
          </cell>
          <cell r="AD481">
            <v>0</v>
          </cell>
          <cell r="AE481">
            <v>0.02</v>
          </cell>
          <cell r="AF481">
            <v>0.98</v>
          </cell>
        </row>
        <row r="482">
          <cell r="B482" t="str">
            <v>1999NV</v>
          </cell>
          <cell r="C482">
            <v>0.63644008661170559</v>
          </cell>
          <cell r="D482">
            <v>0.21692351920624942</v>
          </cell>
          <cell r="E482">
            <v>1.9654592469369174E-2</v>
          </cell>
          <cell r="F482">
            <v>0.11050134896755441</v>
          </cell>
          <cell r="G482">
            <v>1.163630101420364E-2</v>
          </cell>
          <cell r="H482">
            <v>4.8441517309178355E-3</v>
          </cell>
          <cell r="J482" t="str">
            <v>1999NV</v>
          </cell>
          <cell r="K482">
            <v>0.96870910651642717</v>
          </cell>
          <cell r="L482">
            <v>1.163630101420364E-2</v>
          </cell>
          <cell r="M482">
            <v>1.9654592469369174E-2</v>
          </cell>
          <cell r="U482" t="str">
            <v>1999NV</v>
          </cell>
          <cell r="V482">
            <v>0.74001645900000002</v>
          </cell>
          <cell r="W482">
            <v>9.6193909999999997E-3</v>
          </cell>
          <cell r="X482">
            <v>1.4299095E-2</v>
          </cell>
          <cell r="Y482">
            <v>0.155470158</v>
          </cell>
          <cell r="Z482">
            <v>8.0594897999999998E-2</v>
          </cell>
          <cell r="AB482" t="str">
            <v>1999NV</v>
          </cell>
          <cell r="AC482">
            <v>0</v>
          </cell>
          <cell r="AD482">
            <v>0</v>
          </cell>
          <cell r="AE482">
            <v>0</v>
          </cell>
          <cell r="AF482">
            <v>1</v>
          </cell>
        </row>
        <row r="483">
          <cell r="B483" t="str">
            <v>1999NH</v>
          </cell>
          <cell r="C483">
            <v>6.5797223499912211E-2</v>
          </cell>
          <cell r="D483">
            <v>0.14585419733806154</v>
          </cell>
          <cell r="E483">
            <v>0.44932006563476518</v>
          </cell>
          <cell r="F483">
            <v>0.23812631777228188</v>
          </cell>
          <cell r="G483">
            <v>7.0932241985443761E-2</v>
          </cell>
          <cell r="H483">
            <v>2.9969953769535422E-2</v>
          </cell>
          <cell r="J483" t="str">
            <v>1999NH</v>
          </cell>
          <cell r="K483">
            <v>0.47974769237979109</v>
          </cell>
          <cell r="L483">
            <v>7.0932241985443761E-2</v>
          </cell>
          <cell r="M483">
            <v>0.44932006563476518</v>
          </cell>
          <cell r="U483" t="str">
            <v>1999NH</v>
          </cell>
          <cell r="V483">
            <v>0.60499783100000004</v>
          </cell>
          <cell r="W483">
            <v>1.7380095000000002E-2</v>
          </cell>
          <cell r="X483">
            <v>0.109020599</v>
          </cell>
          <cell r="Y483">
            <v>8.3345457999999997E-2</v>
          </cell>
          <cell r="Z483">
            <v>0.185256017</v>
          </cell>
          <cell r="AB483" t="str">
            <v>1999NH</v>
          </cell>
          <cell r="AC483">
            <v>0</v>
          </cell>
          <cell r="AD483">
            <v>0</v>
          </cell>
          <cell r="AE483">
            <v>0.05</v>
          </cell>
          <cell r="AF483">
            <v>0.95</v>
          </cell>
        </row>
        <row r="484">
          <cell r="B484" t="str">
            <v>1999NJ</v>
          </cell>
          <cell r="C484">
            <v>4.9292502745243078E-2</v>
          </cell>
          <cell r="D484">
            <v>0.13255193356435549</v>
          </cell>
          <cell r="E484">
            <v>0.45518004301082876</v>
          </cell>
          <cell r="F484">
            <v>0.2553169037930888</v>
          </cell>
          <cell r="G484">
            <v>7.6218223912276076E-2</v>
          </cell>
          <cell r="H484">
            <v>3.1440392974207747E-2</v>
          </cell>
          <cell r="J484" t="str">
            <v>1999NJ</v>
          </cell>
          <cell r="K484">
            <v>0.46860173307689512</v>
          </cell>
          <cell r="L484">
            <v>7.6218223912276076E-2</v>
          </cell>
          <cell r="M484">
            <v>0.45518004301082876</v>
          </cell>
          <cell r="U484" t="str">
            <v>1999NJ</v>
          </cell>
          <cell r="V484">
            <v>0.41964283099999999</v>
          </cell>
          <cell r="W484">
            <v>2.6562647000000002E-2</v>
          </cell>
          <cell r="X484">
            <v>0.159066069</v>
          </cell>
          <cell r="Y484">
            <v>0.119032257</v>
          </cell>
          <cell r="Z484">
            <v>0.275696196</v>
          </cell>
          <cell r="AB484" t="str">
            <v>1999NJ</v>
          </cell>
          <cell r="AC484">
            <v>0</v>
          </cell>
          <cell r="AD484">
            <v>0</v>
          </cell>
          <cell r="AE484">
            <v>0.05</v>
          </cell>
          <cell r="AF484">
            <v>0.95</v>
          </cell>
        </row>
        <row r="485">
          <cell r="B485" t="str">
            <v>1999NM</v>
          </cell>
          <cell r="C485">
            <v>0.61092951674758555</v>
          </cell>
          <cell r="D485">
            <v>0.19383377109941757</v>
          </cell>
          <cell r="E485">
            <v>9.8938794843516586E-2</v>
          </cell>
          <cell r="F485">
            <v>9.5399782879036638E-2</v>
          </cell>
          <cell r="G485">
            <v>0</v>
          </cell>
          <cell r="H485">
            <v>8.9813443044373879E-4</v>
          </cell>
          <cell r="J485" t="str">
            <v>1999NM</v>
          </cell>
          <cell r="K485">
            <v>0.90106120515648347</v>
          </cell>
          <cell r="L485">
            <v>0</v>
          </cell>
          <cell r="M485">
            <v>9.8938794843516586E-2</v>
          </cell>
          <cell r="U485" t="str">
            <v>1999NM</v>
          </cell>
          <cell r="V485">
            <v>0.96662242499999995</v>
          </cell>
          <cell r="W485">
            <v>1.4686129999999999E-3</v>
          </cell>
          <cell r="X485">
            <v>9.2122109999999997E-3</v>
          </cell>
          <cell r="Y485">
            <v>7.0426680000000002E-3</v>
          </cell>
          <cell r="Z485">
            <v>1.5654082999999999E-2</v>
          </cell>
          <cell r="AB485" t="str">
            <v>1999NM</v>
          </cell>
          <cell r="AC485">
            <v>0</v>
          </cell>
          <cell r="AD485">
            <v>0</v>
          </cell>
          <cell r="AE485">
            <v>0.6</v>
          </cell>
          <cell r="AF485">
            <v>0.4</v>
          </cell>
        </row>
        <row r="486">
          <cell r="B486" t="str">
            <v>1999NY</v>
          </cell>
          <cell r="C486">
            <v>8.1647909759206258E-2</v>
          </cell>
          <cell r="D486">
            <v>0.14944229137888326</v>
          </cell>
          <cell r="E486">
            <v>0.45339184756748874</v>
          </cell>
          <cell r="F486">
            <v>0.21863193197020936</v>
          </cell>
          <cell r="G486">
            <v>7.4605185467153473E-2</v>
          </cell>
          <cell r="H486">
            <v>2.2280833857058948E-2</v>
          </cell>
          <cell r="J486" t="str">
            <v>1999NY</v>
          </cell>
          <cell r="K486">
            <v>0.47200296696535782</v>
          </cell>
          <cell r="L486">
            <v>7.4605185467153473E-2</v>
          </cell>
          <cell r="M486">
            <v>0.45339184756748874</v>
          </cell>
          <cell r="U486" t="str">
            <v>1999NY</v>
          </cell>
          <cell r="V486">
            <v>0.27227132900000001</v>
          </cell>
          <cell r="W486">
            <v>3.7844968999999999E-2</v>
          </cell>
          <cell r="X486">
            <v>0.19454279599999999</v>
          </cell>
          <cell r="Y486">
            <v>0.13413438999999999</v>
          </cell>
          <cell r="Z486">
            <v>0.36120651500000001</v>
          </cell>
          <cell r="AB486" t="str">
            <v>1999NY</v>
          </cell>
          <cell r="AC486">
            <v>0</v>
          </cell>
          <cell r="AD486">
            <v>0</v>
          </cell>
          <cell r="AE486">
            <v>0.05</v>
          </cell>
          <cell r="AF486">
            <v>0.95</v>
          </cell>
        </row>
        <row r="487">
          <cell r="B487" t="str">
            <v>1999NC</v>
          </cell>
          <cell r="C487">
            <v>4.3880351969274985E-2</v>
          </cell>
          <cell r="D487">
            <v>9.4040583255127583E-2</v>
          </cell>
          <cell r="E487">
            <v>0.14505811996468379</v>
          </cell>
          <cell r="F487">
            <v>0.10791783432868586</v>
          </cell>
          <cell r="G487">
            <v>0.59380300187617263</v>
          </cell>
          <cell r="H487">
            <v>1.530010860605515E-2</v>
          </cell>
          <cell r="J487" t="str">
            <v>1999NC</v>
          </cell>
          <cell r="K487">
            <v>0.26113887815914361</v>
          </cell>
          <cell r="L487">
            <v>0.59380300187617263</v>
          </cell>
          <cell r="M487">
            <v>0.14505811996468379</v>
          </cell>
          <cell r="U487" t="str">
            <v>1999NC</v>
          </cell>
          <cell r="V487">
            <v>2.9015640000000001E-3</v>
          </cell>
          <cell r="W487">
            <v>3.7179240000000002E-2</v>
          </cell>
          <cell r="X487">
            <v>6.3888703000000005E-2</v>
          </cell>
          <cell r="Y487">
            <v>0.58042012399999998</v>
          </cell>
          <cell r="Z487">
            <v>0.31561036999999997</v>
          </cell>
          <cell r="AB487" t="str">
            <v>1999NC</v>
          </cell>
          <cell r="AC487">
            <v>0</v>
          </cell>
          <cell r="AD487">
            <v>0</v>
          </cell>
          <cell r="AE487">
            <v>0.41899999999999998</v>
          </cell>
          <cell r="AF487">
            <v>0.58099999999999996</v>
          </cell>
        </row>
        <row r="488">
          <cell r="B488" t="str">
            <v>1999ND</v>
          </cell>
          <cell r="C488">
            <v>6.6706062978394404E-2</v>
          </cell>
          <cell r="D488">
            <v>0.16071824674761478</v>
          </cell>
          <cell r="E488">
            <v>0.16649036458121505</v>
          </cell>
          <cell r="F488">
            <v>0.46864687406251831</v>
          </cell>
          <cell r="G488">
            <v>9.8568922314251683E-2</v>
          </cell>
          <cell r="H488">
            <v>3.8869529316005742E-2</v>
          </cell>
          <cell r="J488" t="str">
            <v>1999ND</v>
          </cell>
          <cell r="K488">
            <v>0.73494071310453324</v>
          </cell>
          <cell r="L488">
            <v>9.8568922314251683E-2</v>
          </cell>
          <cell r="M488">
            <v>0.16649036458121505</v>
          </cell>
          <cell r="U488" t="str">
            <v>1999ND</v>
          </cell>
          <cell r="V488">
            <v>0.119863097</v>
          </cell>
          <cell r="W488">
            <v>4.4814142000000001E-2</v>
          </cell>
          <cell r="X488">
            <v>0.236322324</v>
          </cell>
          <cell r="Y488">
            <v>0.16541515900000001</v>
          </cell>
          <cell r="Z488">
            <v>0.43358527800000002</v>
          </cell>
          <cell r="AB488" t="str">
            <v>1999ND</v>
          </cell>
          <cell r="AC488">
            <v>0</v>
          </cell>
          <cell r="AD488">
            <v>0</v>
          </cell>
          <cell r="AE488">
            <v>0.02</v>
          </cell>
          <cell r="AF488">
            <v>0.98</v>
          </cell>
        </row>
        <row r="489">
          <cell r="B489" t="str">
            <v>1999OH</v>
          </cell>
          <cell r="C489">
            <v>7.4794362512969212E-2</v>
          </cell>
          <cell r="D489">
            <v>0.19170743609476487</v>
          </cell>
          <cell r="E489">
            <v>0.15567310654501279</v>
          </cell>
          <cell r="F489">
            <v>0.44149401764087365</v>
          </cell>
          <cell r="G489">
            <v>9.2164675019186654E-2</v>
          </cell>
          <cell r="H489">
            <v>4.4166402187192907E-2</v>
          </cell>
          <cell r="J489" t="str">
            <v>1999OH</v>
          </cell>
          <cell r="K489">
            <v>0.75216221843580056</v>
          </cell>
          <cell r="L489">
            <v>9.2164675019186654E-2</v>
          </cell>
          <cell r="M489">
            <v>0.15567310654501279</v>
          </cell>
          <cell r="U489" t="str">
            <v>1999OH</v>
          </cell>
          <cell r="V489">
            <v>8.3709987999999999E-2</v>
          </cell>
          <cell r="W489">
            <v>4.1933198999999997E-2</v>
          </cell>
          <cell r="X489">
            <v>0.25895768899999999</v>
          </cell>
          <cell r="Y489">
            <v>0.15817965</v>
          </cell>
          <cell r="Z489">
            <v>0.45721947400000001</v>
          </cell>
          <cell r="AB489" t="str">
            <v>1999OH</v>
          </cell>
          <cell r="AC489">
            <v>0</v>
          </cell>
          <cell r="AD489">
            <v>0</v>
          </cell>
          <cell r="AE489">
            <v>0</v>
          </cell>
          <cell r="AF489">
            <v>1</v>
          </cell>
        </row>
        <row r="490">
          <cell r="B490" t="str">
            <v>1999OK</v>
          </cell>
          <cell r="C490">
            <v>0.33674377982770431</v>
          </cell>
          <cell r="D490">
            <v>0.22679057273256029</v>
          </cell>
          <cell r="E490">
            <v>5.5958502376260585E-2</v>
          </cell>
          <cell r="F490">
            <v>0.30112837542007126</v>
          </cell>
          <cell r="G490">
            <v>0</v>
          </cell>
          <cell r="H490">
            <v>7.9378769643403541E-2</v>
          </cell>
          <cell r="J490" t="str">
            <v>1999OK</v>
          </cell>
          <cell r="K490">
            <v>0.94404149762373946</v>
          </cell>
          <cell r="L490">
            <v>0</v>
          </cell>
          <cell r="M490">
            <v>5.5958502376260585E-2</v>
          </cell>
          <cell r="U490" t="str">
            <v>1999OK</v>
          </cell>
          <cell r="V490">
            <v>1.8937459E-2</v>
          </cell>
          <cell r="W490">
            <v>3.6620866000000002E-2</v>
          </cell>
          <cell r="X490">
            <v>6.4110293999999998E-2</v>
          </cell>
          <cell r="Y490">
            <v>0.56889816999999998</v>
          </cell>
          <cell r="Z490">
            <v>0.31143321099999999</v>
          </cell>
          <cell r="AB490" t="str">
            <v>1999OK</v>
          </cell>
          <cell r="AC490">
            <v>0</v>
          </cell>
          <cell r="AD490">
            <v>0</v>
          </cell>
          <cell r="AE490">
            <v>0.6</v>
          </cell>
          <cell r="AF490">
            <v>0.4</v>
          </cell>
        </row>
        <row r="491">
          <cell r="B491" t="str">
            <v>1999OR</v>
          </cell>
          <cell r="C491">
            <v>0.3735614862297118</v>
          </cell>
          <cell r="D491">
            <v>0.20583904119255303</v>
          </cell>
          <cell r="E491">
            <v>0</v>
          </cell>
          <cell r="F491">
            <v>0.12666677079440403</v>
          </cell>
          <cell r="G491">
            <v>0.26955234658800925</v>
          </cell>
          <cell r="H491">
            <v>2.4380355195321869E-2</v>
          </cell>
          <cell r="J491" t="str">
            <v>1999OR</v>
          </cell>
          <cell r="K491">
            <v>0.7304476534119908</v>
          </cell>
          <cell r="L491">
            <v>0.26955234658800925</v>
          </cell>
          <cell r="M491">
            <v>0</v>
          </cell>
          <cell r="U491" t="str">
            <v>1999OR</v>
          </cell>
          <cell r="V491">
            <v>0.62835025700000002</v>
          </cell>
          <cell r="W491">
            <v>1.6352589000000001E-2</v>
          </cell>
          <cell r="X491">
            <v>0.10257532900000001</v>
          </cell>
          <cell r="Y491">
            <v>7.8418096000000007E-2</v>
          </cell>
          <cell r="Z491">
            <v>0.17430372899999999</v>
          </cell>
          <cell r="AB491" t="str">
            <v>1999OR</v>
          </cell>
          <cell r="AC491">
            <v>0</v>
          </cell>
          <cell r="AD491">
            <v>0</v>
          </cell>
          <cell r="AE491">
            <v>0.25</v>
          </cell>
          <cell r="AF491">
            <v>0.75</v>
          </cell>
        </row>
        <row r="492">
          <cell r="B492" t="str">
            <v>1999PA</v>
          </cell>
          <cell r="C492">
            <v>3.8634467684503591E-2</v>
          </cell>
          <cell r="D492">
            <v>0.10467421705116917</v>
          </cell>
          <cell r="E492">
            <v>0.47464519022287355</v>
          </cell>
          <cell r="F492">
            <v>0.26393864093674602</v>
          </cell>
          <cell r="G492">
            <v>9.3776724528044003E-2</v>
          </cell>
          <cell r="H492">
            <v>2.4330759576663682E-2</v>
          </cell>
          <cell r="J492" t="str">
            <v>1999PA</v>
          </cell>
          <cell r="K492">
            <v>0.43157808524908248</v>
          </cell>
          <cell r="L492">
            <v>9.3776724528044003E-2</v>
          </cell>
          <cell r="M492">
            <v>0.47464519022287355</v>
          </cell>
          <cell r="U492" t="str">
            <v>1999PA</v>
          </cell>
          <cell r="V492">
            <v>5.675438E-2</v>
          </cell>
          <cell r="W492">
            <v>4.8587112000000002E-2</v>
          </cell>
          <cell r="X492">
            <v>0.25266112800000001</v>
          </cell>
          <cell r="Y492">
            <v>0.17541047800000001</v>
          </cell>
          <cell r="Z492">
            <v>0.466586903</v>
          </cell>
          <cell r="AB492" t="str">
            <v>1999PA</v>
          </cell>
          <cell r="AC492">
            <v>0</v>
          </cell>
          <cell r="AD492">
            <v>0</v>
          </cell>
          <cell r="AE492">
            <v>0</v>
          </cell>
          <cell r="AF492">
            <v>1</v>
          </cell>
        </row>
        <row r="493">
          <cell r="B493" t="str">
            <v>1999RI</v>
          </cell>
          <cell r="C493">
            <v>2.6339140002370719E-2</v>
          </cell>
          <cell r="D493">
            <v>8.3370522881305684E-2</v>
          </cell>
          <cell r="E493">
            <v>0.49200037482980663</v>
          </cell>
          <cell r="F493">
            <v>0.26876020990734312</v>
          </cell>
          <cell r="G493">
            <v>0.10943193721603406</v>
          </cell>
          <cell r="H493">
            <v>2.0097815163139833E-2</v>
          </cell>
          <cell r="J493" t="str">
            <v>1999RI</v>
          </cell>
          <cell r="K493">
            <v>0.39856768795415931</v>
          </cell>
          <cell r="L493">
            <v>0.10943193721603406</v>
          </cell>
          <cell r="M493">
            <v>0.49200037482980663</v>
          </cell>
          <cell r="U493" t="str">
            <v>1999RI</v>
          </cell>
          <cell r="V493">
            <v>0.495373752</v>
          </cell>
          <cell r="W493">
            <v>2.2203555E-2</v>
          </cell>
          <cell r="X493">
            <v>0.13927684500000001</v>
          </cell>
          <cell r="Y493">
            <v>0.106476138</v>
          </cell>
          <cell r="Z493">
            <v>0.23666971000000001</v>
          </cell>
          <cell r="AB493" t="str">
            <v>1999RI</v>
          </cell>
          <cell r="AC493">
            <v>0</v>
          </cell>
          <cell r="AD493">
            <v>0</v>
          </cell>
          <cell r="AE493">
            <v>0.05</v>
          </cell>
          <cell r="AF493">
            <v>0.95</v>
          </cell>
        </row>
        <row r="494">
          <cell r="B494" t="str">
            <v>1999SC</v>
          </cell>
          <cell r="C494">
            <v>0.10553721663575917</v>
          </cell>
          <cell r="D494">
            <v>7.756225541595034E-2</v>
          </cell>
          <cell r="E494">
            <v>0.14528018779110094</v>
          </cell>
          <cell r="F494">
            <v>7.5602831351392147E-2</v>
          </cell>
          <cell r="G494">
            <v>0.5924856307600832</v>
          </cell>
          <cell r="H494">
            <v>3.5318780457141556E-3</v>
          </cell>
          <cell r="J494" t="str">
            <v>1999SC</v>
          </cell>
          <cell r="K494">
            <v>0.26223418144881583</v>
          </cell>
          <cell r="L494">
            <v>0.5924856307600832</v>
          </cell>
          <cell r="M494">
            <v>0.14528018779110094</v>
          </cell>
          <cell r="U494" t="str">
            <v>1999SC</v>
          </cell>
          <cell r="V494">
            <v>7.5759306999999998E-2</v>
          </cell>
          <cell r="W494">
            <v>3.5800732000000002E-2</v>
          </cell>
          <cell r="X494">
            <v>0.101468319</v>
          </cell>
          <cell r="Y494">
            <v>0.46402726300000002</v>
          </cell>
          <cell r="Z494">
            <v>0.322944379</v>
          </cell>
          <cell r="AB494" t="str">
            <v>1999SC</v>
          </cell>
          <cell r="AC494">
            <v>0</v>
          </cell>
          <cell r="AD494">
            <v>0</v>
          </cell>
          <cell r="AE494">
            <v>0.6</v>
          </cell>
          <cell r="AF494">
            <v>0.4</v>
          </cell>
        </row>
        <row r="495">
          <cell r="B495" t="str">
            <v>1999SD</v>
          </cell>
          <cell r="C495">
            <v>9.9292594672208689E-2</v>
          </cell>
          <cell r="D495">
            <v>0.20674467056981163</v>
          </cell>
          <cell r="E495">
            <v>0.13491731544602048</v>
          </cell>
          <cell r="F495">
            <v>0.43585892595192732</v>
          </cell>
          <cell r="G495">
            <v>7.9876420587444957E-2</v>
          </cell>
          <cell r="H495">
            <v>4.3310072772586874E-2</v>
          </cell>
          <cell r="J495" t="str">
            <v>1999SD</v>
          </cell>
          <cell r="K495">
            <v>0.78520626396653459</v>
          </cell>
          <cell r="L495">
            <v>7.9876420587444957E-2</v>
          </cell>
          <cell r="M495">
            <v>0.13491731544602048</v>
          </cell>
          <cell r="U495" t="str">
            <v>1999SD</v>
          </cell>
          <cell r="V495">
            <v>6.0718065000000002E-2</v>
          </cell>
          <cell r="W495">
            <v>4.8280943999999999E-2</v>
          </cell>
          <cell r="X495">
            <v>0.25170989700000002</v>
          </cell>
          <cell r="Y495">
            <v>0.17501336000000001</v>
          </cell>
          <cell r="Z495">
            <v>0.464277734</v>
          </cell>
          <cell r="AB495" t="str">
            <v>1999SD</v>
          </cell>
          <cell r="AC495">
            <v>0</v>
          </cell>
          <cell r="AD495">
            <v>0</v>
          </cell>
          <cell r="AE495">
            <v>0.02</v>
          </cell>
          <cell r="AF495">
            <v>0.98</v>
          </cell>
        </row>
        <row r="496">
          <cell r="B496" t="str">
            <v>1999TN</v>
          </cell>
          <cell r="C496">
            <v>3.0141171360848332E-2</v>
          </cell>
          <cell r="D496">
            <v>7.5594526225618866E-2</v>
          </cell>
          <cell r="E496">
            <v>0.14168173970744011</v>
          </cell>
          <cell r="F496">
            <v>0.12270074461872457</v>
          </cell>
          <cell r="G496">
            <v>0.61383267433971689</v>
          </cell>
          <cell r="H496">
            <v>1.6049143747651127E-2</v>
          </cell>
          <cell r="J496" t="str">
            <v>1999TN</v>
          </cell>
          <cell r="K496">
            <v>0.24448558595284298</v>
          </cell>
          <cell r="L496">
            <v>0.61383267433971689</v>
          </cell>
          <cell r="M496">
            <v>0.14168173970744011</v>
          </cell>
          <cell r="U496" t="str">
            <v>1999TN</v>
          </cell>
          <cell r="V496">
            <v>0.11947859399999999</v>
          </cell>
          <cell r="W496">
            <v>3.5483528E-2</v>
          </cell>
          <cell r="X496">
            <v>0.14011957</v>
          </cell>
          <cell r="Y496">
            <v>0.36598901499999997</v>
          </cell>
          <cell r="Z496">
            <v>0.33892929199999999</v>
          </cell>
          <cell r="AB496" t="str">
            <v>1999TN</v>
          </cell>
          <cell r="AC496">
            <v>0</v>
          </cell>
          <cell r="AD496">
            <v>0</v>
          </cell>
          <cell r="AE496">
            <v>0.05</v>
          </cell>
          <cell r="AF496">
            <v>0.95</v>
          </cell>
        </row>
        <row r="497">
          <cell r="B497" t="str">
            <v>1999TX</v>
          </cell>
          <cell r="C497">
            <v>0.50478251700083576</v>
          </cell>
          <cell r="D497">
            <v>0.25062220292288906</v>
          </cell>
          <cell r="E497">
            <v>7.4575982287425541E-2</v>
          </cell>
          <cell r="F497">
            <v>0.14574364347777247</v>
          </cell>
          <cell r="G497">
            <v>0</v>
          </cell>
          <cell r="H497">
            <v>2.4275654311077133E-2</v>
          </cell>
          <cell r="J497" t="str">
            <v>1999TX</v>
          </cell>
          <cell r="K497">
            <v>0.92542401771257443</v>
          </cell>
          <cell r="L497">
            <v>0</v>
          </cell>
          <cell r="M497">
            <v>7.4575982287425541E-2</v>
          </cell>
          <cell r="U497" t="str">
            <v>1999TX</v>
          </cell>
          <cell r="V497">
            <v>0.10279806</v>
          </cell>
          <cell r="W497">
            <v>3.3953761999999998E-2</v>
          </cell>
          <cell r="X497">
            <v>7.3254851999999995E-2</v>
          </cell>
          <cell r="Y497">
            <v>0.49465941000000002</v>
          </cell>
          <cell r="Z497">
            <v>0.29533391599999997</v>
          </cell>
          <cell r="AB497" t="str">
            <v>1999TX</v>
          </cell>
          <cell r="AC497">
            <v>0</v>
          </cell>
          <cell r="AD497">
            <v>0</v>
          </cell>
          <cell r="AE497">
            <v>0.12</v>
          </cell>
          <cell r="AF497">
            <v>0.88</v>
          </cell>
        </row>
        <row r="498">
          <cell r="B498" t="str">
            <v>1999UT</v>
          </cell>
          <cell r="C498">
            <v>0.45095823093986126</v>
          </cell>
          <cell r="D498">
            <v>0.27305349533681439</v>
          </cell>
          <cell r="E498">
            <v>2.1202849694221461E-2</v>
          </cell>
          <cell r="F498">
            <v>0.19829226511430362</v>
          </cell>
          <cell r="G498">
            <v>1.25529309134943E-2</v>
          </cell>
          <cell r="H498">
            <v>4.3940228001305121E-2</v>
          </cell>
          <cell r="J498" t="str">
            <v>1999UT</v>
          </cell>
          <cell r="K498">
            <v>0.96624421939228422</v>
          </cell>
          <cell r="L498">
            <v>1.25529309134943E-2</v>
          </cell>
          <cell r="M498">
            <v>2.1202849694221461E-2</v>
          </cell>
          <cell r="U498" t="str">
            <v>1999UT</v>
          </cell>
          <cell r="V498">
            <v>1.9422869999999998E-2</v>
          </cell>
          <cell r="W498">
            <v>5.4593969999999999E-2</v>
          </cell>
          <cell r="X498">
            <v>0.258236664</v>
          </cell>
          <cell r="Y498">
            <v>0.16873985499999999</v>
          </cell>
          <cell r="Z498">
            <v>0.499006642</v>
          </cell>
          <cell r="AB498" t="str">
            <v>1999UT</v>
          </cell>
          <cell r="AC498">
            <v>0</v>
          </cell>
          <cell r="AD498">
            <v>0</v>
          </cell>
          <cell r="AE498">
            <v>0.6</v>
          </cell>
          <cell r="AF498">
            <v>0.4</v>
          </cell>
        </row>
        <row r="499">
          <cell r="B499" t="str">
            <v>1999VT</v>
          </cell>
          <cell r="C499">
            <v>7.8302960854684953E-2</v>
          </cell>
          <cell r="D499">
            <v>0.15214425986140898</v>
          </cell>
          <cell r="E499">
            <v>0.45124818817140627</v>
          </cell>
          <cell r="F499">
            <v>0.22129155369078549</v>
          </cell>
          <cell r="G499">
            <v>7.2671501410409234E-2</v>
          </cell>
          <cell r="H499">
            <v>2.4341536011305141E-2</v>
          </cell>
          <cell r="J499" t="str">
            <v>1999VT</v>
          </cell>
          <cell r="K499">
            <v>0.47608031041818455</v>
          </cell>
          <cell r="L499">
            <v>7.2671501410409234E-2</v>
          </cell>
          <cell r="M499">
            <v>0.45124818817140627</v>
          </cell>
          <cell r="U499" t="str">
            <v>1999VT</v>
          </cell>
          <cell r="V499">
            <v>0.94415189700000002</v>
          </cell>
          <cell r="W499">
            <v>2.4573170000000001E-3</v>
          </cell>
          <cell r="X499">
            <v>1.5414076000000001E-2</v>
          </cell>
          <cell r="Y499">
            <v>1.178395E-2</v>
          </cell>
          <cell r="Z499">
            <v>2.6192759999999999E-2</v>
          </cell>
          <cell r="AB499" t="str">
            <v>1999VT</v>
          </cell>
          <cell r="AC499">
            <v>0</v>
          </cell>
          <cell r="AD499">
            <v>0</v>
          </cell>
          <cell r="AE499">
            <v>0.05</v>
          </cell>
          <cell r="AF499">
            <v>0.95</v>
          </cell>
        </row>
        <row r="500">
          <cell r="B500" t="str">
            <v>1999VA</v>
          </cell>
          <cell r="C500">
            <v>3.2237086924101523E-2</v>
          </cell>
          <cell r="D500">
            <v>7.8373177986189896E-2</v>
          </cell>
          <cell r="E500">
            <v>0.14285137156062253</v>
          </cell>
          <cell r="F500">
            <v>0.12279892470258763</v>
          </cell>
          <cell r="G500">
            <v>0.60689407704401521</v>
          </cell>
          <cell r="H500">
            <v>1.6845361782483335E-2</v>
          </cell>
          <cell r="J500" t="str">
            <v>1999VA</v>
          </cell>
          <cell r="K500">
            <v>0.25025455139536223</v>
          </cell>
          <cell r="L500">
            <v>0.60689407704401521</v>
          </cell>
          <cell r="M500">
            <v>0.14285137156062253</v>
          </cell>
          <cell r="U500" t="str">
            <v>1999VA</v>
          </cell>
          <cell r="V500">
            <v>4.2174484999999998E-2</v>
          </cell>
          <cell r="W500">
            <v>3.6336261000000002E-2</v>
          </cell>
          <cell r="X500">
            <v>8.0991042999999999E-2</v>
          </cell>
          <cell r="Y500">
            <v>0.523204012</v>
          </cell>
          <cell r="Z500">
            <v>0.31729419800000003</v>
          </cell>
          <cell r="AB500" t="str">
            <v>1999VA</v>
          </cell>
          <cell r="AC500">
            <v>0</v>
          </cell>
          <cell r="AD500">
            <v>0</v>
          </cell>
          <cell r="AE500">
            <v>0.05</v>
          </cell>
          <cell r="AF500">
            <v>0.95</v>
          </cell>
        </row>
        <row r="501">
          <cell r="B501" t="str">
            <v>1999WA</v>
          </cell>
          <cell r="C501">
            <v>0.450311701787251</v>
          </cell>
          <cell r="D501">
            <v>0.21929417850543911</v>
          </cell>
          <cell r="E501">
            <v>0</v>
          </cell>
          <cell r="F501">
            <v>0.11180309208829299</v>
          </cell>
          <cell r="G501">
            <v>0.20253782787888927</v>
          </cell>
          <cell r="H501">
            <v>1.6053199740127661E-2</v>
          </cell>
          <cell r="J501" t="str">
            <v>1999WA</v>
          </cell>
          <cell r="K501">
            <v>0.7974621721211107</v>
          </cell>
          <cell r="L501">
            <v>0.20253782787888927</v>
          </cell>
          <cell r="M501">
            <v>0</v>
          </cell>
          <cell r="U501" t="str">
            <v>1999WA</v>
          </cell>
          <cell r="V501">
            <v>0.328751344</v>
          </cell>
          <cell r="W501">
            <v>3.3015195999999997E-2</v>
          </cell>
          <cell r="X501">
            <v>0.181494353</v>
          </cell>
          <cell r="Y501">
            <v>0.13003261699999999</v>
          </cell>
          <cell r="Z501">
            <v>0.32670649099999999</v>
          </cell>
          <cell r="AB501" t="str">
            <v>1999WA</v>
          </cell>
          <cell r="AC501">
            <v>0</v>
          </cell>
          <cell r="AD501">
            <v>0</v>
          </cell>
          <cell r="AE501">
            <v>0.12</v>
          </cell>
          <cell r="AF501">
            <v>0.88</v>
          </cell>
        </row>
        <row r="502">
          <cell r="B502" t="str">
            <v>1999WV</v>
          </cell>
          <cell r="C502">
            <v>4.9194768304842838E-2</v>
          </cell>
          <cell r="D502">
            <v>0.12956006235430767</v>
          </cell>
          <cell r="E502">
            <v>0.46053619572343341</v>
          </cell>
          <cell r="F502">
            <v>0.25165197332432454</v>
          </cell>
          <cell r="G502">
            <v>8.1049731718403573E-2</v>
          </cell>
          <cell r="H502">
            <v>2.8007268574688049E-2</v>
          </cell>
          <cell r="J502" t="str">
            <v>1999WV</v>
          </cell>
          <cell r="K502">
            <v>0.45841407255816302</v>
          </cell>
          <cell r="L502">
            <v>8.1049731718403573E-2</v>
          </cell>
          <cell r="M502">
            <v>0.46053619572343341</v>
          </cell>
          <cell r="U502" t="str">
            <v>1999WV</v>
          </cell>
          <cell r="V502">
            <v>0.483105169</v>
          </cell>
          <cell r="W502">
            <v>2.3840099E-2</v>
          </cell>
          <cell r="X502">
            <v>0.14147485300000001</v>
          </cell>
          <cell r="Y502">
            <v>0.105409054</v>
          </cell>
          <cell r="Z502">
            <v>0.24617082500000001</v>
          </cell>
          <cell r="AB502" t="str">
            <v>1999WV</v>
          </cell>
          <cell r="AC502">
            <v>0</v>
          </cell>
          <cell r="AD502">
            <v>0</v>
          </cell>
          <cell r="AE502">
            <v>0.05</v>
          </cell>
          <cell r="AF502">
            <v>0.95</v>
          </cell>
        </row>
        <row r="503">
          <cell r="B503" t="str">
            <v>1999WI</v>
          </cell>
          <cell r="C503">
            <v>8.6148179953529941E-2</v>
          </cell>
          <cell r="D503">
            <v>0.19847185825263616</v>
          </cell>
          <cell r="E503">
            <v>0.1458443297900156</v>
          </cell>
          <cell r="F503">
            <v>0.44388301771881333</v>
          </cell>
          <cell r="G503">
            <v>8.6345647985133625E-2</v>
          </cell>
          <cell r="H503">
            <v>3.9306966299871238E-2</v>
          </cell>
          <cell r="J503" t="str">
            <v>1999WI</v>
          </cell>
          <cell r="K503">
            <v>0.76781002222485073</v>
          </cell>
          <cell r="L503">
            <v>8.6345647985133625E-2</v>
          </cell>
          <cell r="M503">
            <v>0.1458443297900156</v>
          </cell>
          <cell r="U503" t="str">
            <v>1999WI</v>
          </cell>
          <cell r="V503">
            <v>0.13468259599999999</v>
          </cell>
          <cell r="W503">
            <v>4.1562175999999999E-2</v>
          </cell>
          <cell r="X503">
            <v>0.23504870899999999</v>
          </cell>
          <cell r="Y503">
            <v>0.17095460600000001</v>
          </cell>
          <cell r="Z503">
            <v>0.41775191299999997</v>
          </cell>
          <cell r="AB503" t="str">
            <v>1999WI</v>
          </cell>
          <cell r="AC503">
            <v>0</v>
          </cell>
          <cell r="AD503">
            <v>0</v>
          </cell>
          <cell r="AE503">
            <v>0.02</v>
          </cell>
          <cell r="AF503">
            <v>0.98</v>
          </cell>
        </row>
        <row r="504">
          <cell r="B504" t="str">
            <v>1999WY</v>
          </cell>
          <cell r="C504">
            <v>0.28360489266269095</v>
          </cell>
          <cell r="D504">
            <v>0.22314974574252708</v>
          </cell>
          <cell r="E504">
            <v>0.13036568149752795</v>
          </cell>
          <cell r="F504">
            <v>0.22585720334247178</v>
          </cell>
          <cell r="G504">
            <v>7.718167213037723E-2</v>
          </cell>
          <cell r="H504">
            <v>5.9840804624405053E-2</v>
          </cell>
          <cell r="J504" t="str">
            <v>1999WY</v>
          </cell>
          <cell r="K504">
            <v>0.79245264637209489</v>
          </cell>
          <cell r="L504">
            <v>7.718167213037723E-2</v>
          </cell>
          <cell r="M504">
            <v>0.13036568149752795</v>
          </cell>
          <cell r="U504" t="str">
            <v>1999WY</v>
          </cell>
          <cell r="V504">
            <v>4.1620916000000001E-2</v>
          </cell>
          <cell r="W504">
            <v>5.3085847999999998E-2</v>
          </cell>
          <cell r="X504">
            <v>0.25268569400000002</v>
          </cell>
          <cell r="Y504">
            <v>0.165827425</v>
          </cell>
          <cell r="Z504">
            <v>0.48678011599999998</v>
          </cell>
          <cell r="AB504" t="str">
            <v>1999WY</v>
          </cell>
          <cell r="AC504">
            <v>0</v>
          </cell>
          <cell r="AD504">
            <v>0</v>
          </cell>
          <cell r="AE504">
            <v>0.6</v>
          </cell>
          <cell r="AF504">
            <v>0.4</v>
          </cell>
        </row>
        <row r="505">
          <cell r="B505" t="str">
            <v>2000AL</v>
          </cell>
          <cell r="C505">
            <v>0.13671649720930745</v>
          </cell>
          <cell r="D505">
            <v>8.5075719806174385E-2</v>
          </cell>
          <cell r="E505">
            <v>0.15716607874324406</v>
          </cell>
          <cell r="F505">
            <v>9.4771995254266383E-2</v>
          </cell>
          <cell r="G505">
            <v>0.52197505891377582</v>
          </cell>
          <cell r="H505">
            <v>4.2946500732317155E-3</v>
          </cell>
          <cell r="J505" t="str">
            <v>2000AL</v>
          </cell>
          <cell r="K505">
            <v>0.32085886234298011</v>
          </cell>
          <cell r="L505">
            <v>0.52197505891377582</v>
          </cell>
          <cell r="M505">
            <v>0.15716607874324406</v>
          </cell>
          <cell r="U505" t="str">
            <v>2000AL</v>
          </cell>
          <cell r="V505">
            <v>7.3644481999999997E-2</v>
          </cell>
          <cell r="W505">
            <v>3.5796794E-2</v>
          </cell>
          <cell r="X505">
            <v>9.8989890999999997E-2</v>
          </cell>
          <cell r="Y505">
            <v>0.46983566500000001</v>
          </cell>
          <cell r="Z505">
            <v>0.32173316800000001</v>
          </cell>
          <cell r="AB505" t="str">
            <v>2000AL</v>
          </cell>
          <cell r="AC505">
            <v>0</v>
          </cell>
          <cell r="AD505">
            <v>0</v>
          </cell>
          <cell r="AE505">
            <v>0.41899999999999998</v>
          </cell>
          <cell r="AF505">
            <v>0.58099999999999996</v>
          </cell>
        </row>
        <row r="506">
          <cell r="B506" t="str">
            <v>2000AK</v>
          </cell>
          <cell r="C506">
            <v>0.28173003970211707</v>
          </cell>
          <cell r="D506">
            <v>0.22082401931425424</v>
          </cell>
          <cell r="E506">
            <v>0.1045138064603538</v>
          </cell>
          <cell r="F506">
            <v>0.260779672475696</v>
          </cell>
          <cell r="G506">
            <v>6.187633317802041E-2</v>
          </cell>
          <cell r="H506">
            <v>7.0276128869558474E-2</v>
          </cell>
          <cell r="J506" t="str">
            <v>2000AK</v>
          </cell>
          <cell r="K506">
            <v>0.83360986036162577</v>
          </cell>
          <cell r="L506">
            <v>6.187633317802041E-2</v>
          </cell>
          <cell r="M506">
            <v>0.1045138064603538</v>
          </cell>
          <cell r="U506" t="str">
            <v>2000AK</v>
          </cell>
          <cell r="V506">
            <v>0.71579545300000003</v>
          </cell>
          <cell r="W506">
            <v>1.2505E-2</v>
          </cell>
          <cell r="X506">
            <v>7.8440455000000006E-2</v>
          </cell>
          <cell r="Y506">
            <v>5.9967158999999999E-2</v>
          </cell>
          <cell r="Z506">
            <v>0.133291932</v>
          </cell>
          <cell r="AB506" t="str">
            <v>2000AK</v>
          </cell>
          <cell r="AC506">
            <v>0</v>
          </cell>
          <cell r="AD506">
            <v>0</v>
          </cell>
          <cell r="AE506">
            <v>0.25</v>
          </cell>
          <cell r="AF506">
            <v>0.75</v>
          </cell>
        </row>
        <row r="507">
          <cell r="B507" t="str">
            <v>2000AZ</v>
          </cell>
          <cell r="C507">
            <v>0.61010649447951482</v>
          </cell>
          <cell r="D507">
            <v>0.19795170098018458</v>
          </cell>
          <cell r="E507">
            <v>9.8112714291955588E-2</v>
          </cell>
          <cell r="F507">
            <v>9.3336627808887754E-2</v>
          </cell>
          <cell r="G507">
            <v>0</v>
          </cell>
          <cell r="H507">
            <v>4.9246243945719865E-4</v>
          </cell>
          <cell r="J507" t="str">
            <v>2000AZ</v>
          </cell>
          <cell r="K507">
            <v>0.90188728570804444</v>
          </cell>
          <cell r="L507">
            <v>0</v>
          </cell>
          <cell r="M507">
            <v>9.8112714291955588E-2</v>
          </cell>
          <cell r="U507" t="str">
            <v>2000AZ</v>
          </cell>
          <cell r="V507">
            <v>0.107488958</v>
          </cell>
          <cell r="W507">
            <v>3.3971818000000001E-2</v>
          </cell>
          <cell r="X507">
            <v>7.9046534000000002E-2</v>
          </cell>
          <cell r="Y507">
            <v>0.481260466</v>
          </cell>
          <cell r="Z507">
            <v>0.29823222300000002</v>
          </cell>
          <cell r="AB507" t="str">
            <v>2000AZ</v>
          </cell>
          <cell r="AC507">
            <v>0</v>
          </cell>
          <cell r="AD507">
            <v>0</v>
          </cell>
          <cell r="AE507">
            <v>0.6</v>
          </cell>
          <cell r="AF507">
            <v>0.4</v>
          </cell>
        </row>
        <row r="508">
          <cell r="B508" t="str">
            <v>2000AR</v>
          </cell>
          <cell r="C508">
            <v>8.1207805397763538E-2</v>
          </cell>
          <cell r="D508">
            <v>5.8537773958124435E-2</v>
          </cell>
          <cell r="E508">
            <v>0.14498001468318919</v>
          </cell>
          <cell r="F508">
            <v>0.11522107403717526</v>
          </cell>
          <cell r="G508">
            <v>0.59426634518670596</v>
          </cell>
          <cell r="H508">
            <v>5.7869867370417454E-3</v>
          </cell>
          <cell r="J508" t="str">
            <v>2000AR</v>
          </cell>
          <cell r="K508">
            <v>0.26075364013010482</v>
          </cell>
          <cell r="L508">
            <v>0.59426634518670596</v>
          </cell>
          <cell r="M508">
            <v>0.14498001468318919</v>
          </cell>
          <cell r="U508" t="str">
            <v>2000AR</v>
          </cell>
          <cell r="V508">
            <v>3.1490099000000001E-2</v>
          </cell>
          <cell r="W508">
            <v>3.7734872000000003E-2</v>
          </cell>
          <cell r="X508">
            <v>0.113253954</v>
          </cell>
          <cell r="Y508">
            <v>0.474125723</v>
          </cell>
          <cell r="Z508">
            <v>0.34339535199999999</v>
          </cell>
          <cell r="AB508" t="str">
            <v>2000AR</v>
          </cell>
          <cell r="AC508">
            <v>0</v>
          </cell>
          <cell r="AD508">
            <v>0</v>
          </cell>
          <cell r="AE508">
            <v>0</v>
          </cell>
          <cell r="AF508">
            <v>1</v>
          </cell>
        </row>
        <row r="509">
          <cell r="B509" t="str">
            <v>2000CA</v>
          </cell>
          <cell r="C509">
            <v>0.5774186966195809</v>
          </cell>
          <cell r="D509">
            <v>0.20942071957090691</v>
          </cell>
          <cell r="E509">
            <v>0.10896438514305976</v>
          </cell>
          <cell r="F509">
            <v>9.1654796220677556E-2</v>
          </cell>
          <cell r="G509">
            <v>1.0214416277861313E-2</v>
          </cell>
          <cell r="H509">
            <v>2.3269861679134328E-3</v>
          </cell>
          <cell r="J509" t="str">
            <v>2000CA</v>
          </cell>
          <cell r="K509">
            <v>0.88082119857907892</v>
          </cell>
          <cell r="L509">
            <v>1.0214416277861313E-2</v>
          </cell>
          <cell r="M509">
            <v>0.10896438514305976</v>
          </cell>
          <cell r="U509" t="str">
            <v>2000CA</v>
          </cell>
          <cell r="V509">
            <v>0.118652467</v>
          </cell>
          <cell r="W509">
            <v>3.3485911E-2</v>
          </cell>
          <cell r="X509">
            <v>7.6132324000000001E-2</v>
          </cell>
          <cell r="Y509">
            <v>0.47861267099999999</v>
          </cell>
          <cell r="Z509">
            <v>0.29311662799999999</v>
          </cell>
          <cell r="AB509" t="str">
            <v>2000CA</v>
          </cell>
          <cell r="AC509">
            <v>0</v>
          </cell>
          <cell r="AD509">
            <v>0</v>
          </cell>
          <cell r="AE509">
            <v>0.12</v>
          </cell>
          <cell r="AF509">
            <v>0.88</v>
          </cell>
        </row>
        <row r="510">
          <cell r="B510" t="str">
            <v>2000CO</v>
          </cell>
          <cell r="C510">
            <v>0.59222454302508265</v>
          </cell>
          <cell r="D510">
            <v>0.25174012558390579</v>
          </cell>
          <cell r="E510">
            <v>1.5478544836455664E-2</v>
          </cell>
          <cell r="F510">
            <v>0.11984073316896661</v>
          </cell>
          <cell r="G510">
            <v>9.1639146046677781E-3</v>
          </cell>
          <cell r="H510">
            <v>1.1552138780921421E-2</v>
          </cell>
          <cell r="J510" t="str">
            <v>2000CO</v>
          </cell>
          <cell r="K510">
            <v>0.97535754055887658</v>
          </cell>
          <cell r="L510">
            <v>9.1639146046677781E-3</v>
          </cell>
          <cell r="M510">
            <v>1.5478544836455664E-2</v>
          </cell>
          <cell r="U510" t="str">
            <v>2000CO</v>
          </cell>
          <cell r="V510">
            <v>2.4022819000000001E-2</v>
          </cell>
          <cell r="W510">
            <v>5.3868221000000001E-2</v>
          </cell>
          <cell r="X510">
            <v>0.25753404099999999</v>
          </cell>
          <cell r="Y510">
            <v>0.16951376700000001</v>
          </cell>
          <cell r="Z510">
            <v>0.49506115099999998</v>
          </cell>
          <cell r="AB510" t="str">
            <v>2000CO</v>
          </cell>
          <cell r="AC510">
            <v>0</v>
          </cell>
          <cell r="AD510">
            <v>0</v>
          </cell>
          <cell r="AE510">
            <v>0.6</v>
          </cell>
          <cell r="AF510">
            <v>0.4</v>
          </cell>
        </row>
        <row r="511">
          <cell r="B511" t="str">
            <v>2000CT</v>
          </cell>
          <cell r="C511">
            <v>9.9041325269441108E-2</v>
          </cell>
          <cell r="D511">
            <v>0.18703346129607312</v>
          </cell>
          <cell r="E511">
            <v>0.43526895603698273</v>
          </cell>
          <cell r="F511">
            <v>0.19373061263719674</v>
          </cell>
          <cell r="G511">
            <v>5.8257464145992338E-2</v>
          </cell>
          <cell r="H511">
            <v>2.6668180614314019E-2</v>
          </cell>
          <cell r="J511" t="str">
            <v>2000CT</v>
          </cell>
          <cell r="K511">
            <v>0.5064735798170249</v>
          </cell>
          <cell r="L511">
            <v>5.8257464145992338E-2</v>
          </cell>
          <cell r="M511">
            <v>0.43526895603698273</v>
          </cell>
          <cell r="U511" t="str">
            <v>2000CT</v>
          </cell>
          <cell r="V511">
            <v>0.58506592700000004</v>
          </cell>
          <cell r="W511">
            <v>1.8257098999999999E-2</v>
          </cell>
          <cell r="X511">
            <v>0.114521804</v>
          </cell>
          <cell r="Y511">
            <v>8.7551088999999999E-2</v>
          </cell>
          <cell r="Z511">
            <v>0.19460408000000001</v>
          </cell>
          <cell r="AB511" t="str">
            <v>2000CT</v>
          </cell>
          <cell r="AC511">
            <v>0</v>
          </cell>
          <cell r="AD511">
            <v>0</v>
          </cell>
          <cell r="AE511">
            <v>0.05</v>
          </cell>
          <cell r="AF511">
            <v>0.95</v>
          </cell>
        </row>
        <row r="512">
          <cell r="B512" t="str">
            <v>2000DE</v>
          </cell>
          <cell r="C512">
            <v>8.1619718295343549E-2</v>
          </cell>
          <cell r="D512">
            <v>0.17027630106209479</v>
          </cell>
          <cell r="E512">
            <v>0.44419396516493448</v>
          </cell>
          <cell r="F512">
            <v>0.21138998575232434</v>
          </cell>
          <cell r="G512">
            <v>6.6308252386212074E-2</v>
          </cell>
          <cell r="H512">
            <v>2.6211777339090796E-2</v>
          </cell>
          <cell r="J512" t="str">
            <v>2000DE</v>
          </cell>
          <cell r="K512">
            <v>0.48949778244885345</v>
          </cell>
          <cell r="L512">
            <v>6.6308252386212074E-2</v>
          </cell>
          <cell r="M512">
            <v>0.44419396516493448</v>
          </cell>
          <cell r="U512" t="str">
            <v>2000DE</v>
          </cell>
          <cell r="V512">
            <v>0.118038978</v>
          </cell>
          <cell r="W512">
            <v>4.3242563999999997E-2</v>
          </cell>
          <cell r="X512">
            <v>0.23861527299999999</v>
          </cell>
          <cell r="Y512">
            <v>0.171306178</v>
          </cell>
          <cell r="Z512">
            <v>0.42879700700000001</v>
          </cell>
          <cell r="AB512" t="str">
            <v>2000DE</v>
          </cell>
          <cell r="AC512">
            <v>0</v>
          </cell>
          <cell r="AD512">
            <v>0</v>
          </cell>
          <cell r="AE512">
            <v>0.05</v>
          </cell>
          <cell r="AF512">
            <v>0.95</v>
          </cell>
        </row>
        <row r="513">
          <cell r="B513" t="str">
            <v>2000FL</v>
          </cell>
          <cell r="C513">
            <v>0.40576513509744611</v>
          </cell>
          <cell r="D513">
            <v>0.14695775239182524</v>
          </cell>
          <cell r="E513">
            <v>0.21989330537874519</v>
          </cell>
          <cell r="F513">
            <v>7.6574411627090971E-2</v>
          </cell>
          <cell r="G513">
            <v>0.14985885507088165</v>
          </cell>
          <cell r="H513">
            <v>9.505404340108348E-4</v>
          </cell>
          <cell r="J513" t="str">
            <v>2000FL</v>
          </cell>
          <cell r="K513">
            <v>0.63024783955037322</v>
          </cell>
          <cell r="L513">
            <v>0.14985885507088165</v>
          </cell>
          <cell r="M513">
            <v>0.21989330537874519</v>
          </cell>
          <cell r="U513" t="str">
            <v>2000FL</v>
          </cell>
          <cell r="V513">
            <v>0.67369313099999995</v>
          </cell>
          <cell r="W513">
            <v>1.4357501999999999E-2</v>
          </cell>
          <cell r="X513">
            <v>9.0060695999999996E-2</v>
          </cell>
          <cell r="Y513">
            <v>6.8850749000000003E-2</v>
          </cell>
          <cell r="Z513">
            <v>0.15303792199999999</v>
          </cell>
          <cell r="AB513" t="str">
            <v>2000FL</v>
          </cell>
          <cell r="AC513">
            <v>0</v>
          </cell>
          <cell r="AD513">
            <v>0</v>
          </cell>
          <cell r="AE513">
            <v>0.41899999999999998</v>
          </cell>
          <cell r="AF513">
            <v>0.58099999999999996</v>
          </cell>
        </row>
        <row r="514">
          <cell r="B514" t="str">
            <v>2000GA</v>
          </cell>
          <cell r="C514">
            <v>0.17722923332797277</v>
          </cell>
          <cell r="D514">
            <v>0.10077742381841787</v>
          </cell>
          <cell r="E514">
            <v>0.16858106724111219</v>
          </cell>
          <cell r="F514">
            <v>9.514944328369207E-2</v>
          </cell>
          <cell r="G514">
            <v>0.45425801777277708</v>
          </cell>
          <cell r="H514">
            <v>4.0048145560279361E-3</v>
          </cell>
          <cell r="J514" t="str">
            <v>2000GA</v>
          </cell>
          <cell r="K514">
            <v>0.37716091498611071</v>
          </cell>
          <cell r="L514">
            <v>0.45425801777277708</v>
          </cell>
          <cell r="M514">
            <v>0.16858106724111219</v>
          </cell>
          <cell r="U514" t="str">
            <v>2000GA</v>
          </cell>
          <cell r="V514">
            <v>8.3368173000000004E-2</v>
          </cell>
          <cell r="W514">
            <v>3.5843524000000002E-2</v>
          </cell>
          <cell r="X514">
            <v>0.111289103</v>
          </cell>
          <cell r="Y514">
            <v>0.44154685399999999</v>
          </cell>
          <cell r="Z514">
            <v>0.32795234600000001</v>
          </cell>
          <cell r="AB514" t="str">
            <v>2000GA</v>
          </cell>
          <cell r="AC514">
            <v>0</v>
          </cell>
          <cell r="AD514">
            <v>0</v>
          </cell>
          <cell r="AE514">
            <v>0.41899999999999998</v>
          </cell>
          <cell r="AF514">
            <v>0.58099999999999996</v>
          </cell>
        </row>
        <row r="515">
          <cell r="B515" t="str">
            <v>2000HI</v>
          </cell>
          <cell r="C515">
            <v>0.61449676075461601</v>
          </cell>
          <cell r="D515">
            <v>0.21061650656149208</v>
          </cell>
          <cell r="E515">
            <v>0</v>
          </cell>
          <cell r="F515">
            <v>0.11555366568897156</v>
          </cell>
          <cell r="G515">
            <v>5.1965687415725603E-2</v>
          </cell>
          <cell r="H515">
            <v>7.3673795791945138E-3</v>
          </cell>
          <cell r="J515" t="str">
            <v>2000HI</v>
          </cell>
          <cell r="K515">
            <v>0.9480343125842744</v>
          </cell>
          <cell r="L515">
            <v>5.1965687415725603E-2</v>
          </cell>
          <cell r="M515">
            <v>0</v>
          </cell>
          <cell r="U515" t="str">
            <v>2000HI</v>
          </cell>
          <cell r="V515">
            <v>0.28222090500000002</v>
          </cell>
          <cell r="W515">
            <v>3.1054456000000001E-2</v>
          </cell>
          <cell r="X515">
            <v>0.18144285299999999</v>
          </cell>
          <cell r="Y515">
            <v>0.180632549</v>
          </cell>
          <cell r="Z515">
            <v>0.32464923699999998</v>
          </cell>
          <cell r="AB515" t="str">
            <v>2000HI</v>
          </cell>
          <cell r="AC515">
            <v>0</v>
          </cell>
          <cell r="AD515">
            <v>0</v>
          </cell>
          <cell r="AE515">
            <v>0.25</v>
          </cell>
          <cell r="AF515">
            <v>0.75</v>
          </cell>
        </row>
        <row r="516">
          <cell r="B516" t="str">
            <v>2000ID</v>
          </cell>
          <cell r="C516">
            <v>0.60009490325998471</v>
          </cell>
          <cell r="D516">
            <v>0.23880776558248734</v>
          </cell>
          <cell r="E516">
            <v>1.1093779581529871E-2</v>
          </cell>
          <cell r="F516">
            <v>0.1298584162296027</v>
          </cell>
          <cell r="G516">
            <v>6.5679590557316129E-3</v>
          </cell>
          <cell r="H516">
            <v>1.3577176290663604E-2</v>
          </cell>
          <cell r="J516" t="str">
            <v>2000ID</v>
          </cell>
          <cell r="K516">
            <v>0.9823382613627385</v>
          </cell>
          <cell r="L516">
            <v>6.5679590557316129E-3</v>
          </cell>
          <cell r="M516">
            <v>1.1093779581529871E-2</v>
          </cell>
          <cell r="U516" t="str">
            <v>2000ID</v>
          </cell>
          <cell r="V516">
            <v>0.41092015599999998</v>
          </cell>
          <cell r="W516">
            <v>2.9006922000000001E-2</v>
          </cell>
          <cell r="X516">
            <v>0.15924134400000001</v>
          </cell>
          <cell r="Y516">
            <v>0.114004484</v>
          </cell>
          <cell r="Z516">
            <v>0.286827094</v>
          </cell>
          <cell r="AB516" t="str">
            <v>2000ID</v>
          </cell>
          <cell r="AC516">
            <v>0</v>
          </cell>
          <cell r="AD516">
            <v>0</v>
          </cell>
          <cell r="AE516">
            <v>0.6</v>
          </cell>
          <cell r="AF516">
            <v>0.4</v>
          </cell>
        </row>
        <row r="517">
          <cell r="B517" t="str">
            <v>2000IL</v>
          </cell>
          <cell r="C517">
            <v>0.10330678477604993</v>
          </cell>
          <cell r="D517">
            <v>0.23176728851631898</v>
          </cell>
          <cell r="E517">
            <v>9.7350418429090133E-2</v>
          </cell>
          <cell r="F517">
            <v>0.46279111247915095</v>
          </cell>
          <cell r="G517">
            <v>5.7635322353540908E-2</v>
          </cell>
          <cell r="H517">
            <v>4.7149073445849177E-2</v>
          </cell>
          <cell r="J517" t="str">
            <v>2000IL</v>
          </cell>
          <cell r="K517">
            <v>0.84501425921736895</v>
          </cell>
          <cell r="L517">
            <v>5.7635322353540908E-2</v>
          </cell>
          <cell r="M517">
            <v>9.7350418429090133E-2</v>
          </cell>
          <cell r="U517" t="str">
            <v>2000IL</v>
          </cell>
          <cell r="V517">
            <v>2.9120689000000002E-2</v>
          </cell>
          <cell r="W517">
            <v>4.5095999999999997E-2</v>
          </cell>
          <cell r="X517">
            <v>0.276877604</v>
          </cell>
          <cell r="Y517">
            <v>0.15314902899999999</v>
          </cell>
          <cell r="Z517">
            <v>0.49575667699999998</v>
          </cell>
          <cell r="AB517" t="str">
            <v>2000IL</v>
          </cell>
          <cell r="AC517">
            <v>0</v>
          </cell>
          <cell r="AD517">
            <v>0</v>
          </cell>
          <cell r="AE517">
            <v>0.02</v>
          </cell>
          <cell r="AF517">
            <v>0.98</v>
          </cell>
        </row>
        <row r="518">
          <cell r="B518" t="str">
            <v>2000IN</v>
          </cell>
          <cell r="C518">
            <v>0.11709607149325595</v>
          </cell>
          <cell r="D518">
            <v>0.20917969308190978</v>
          </cell>
          <cell r="E518">
            <v>0.1535490168515328</v>
          </cell>
          <cell r="F518">
            <v>0.39136712522966216</v>
          </cell>
          <cell r="G518">
            <v>9.0907129379763182E-2</v>
          </cell>
          <cell r="H518">
            <v>3.7900963963876134E-2</v>
          </cell>
          <cell r="J518" t="str">
            <v>2000IN</v>
          </cell>
          <cell r="K518">
            <v>0.75554385376870403</v>
          </cell>
          <cell r="L518">
            <v>9.0907129379763182E-2</v>
          </cell>
          <cell r="M518">
            <v>0.1535490168515328</v>
          </cell>
          <cell r="U518" t="str">
            <v>2000IN</v>
          </cell>
          <cell r="V518">
            <v>3.3019643000000001E-2</v>
          </cell>
          <cell r="W518">
            <v>4.4986216000000002E-2</v>
          </cell>
          <cell r="X518">
            <v>0.27603313099999999</v>
          </cell>
          <cell r="Y518">
            <v>0.150982853</v>
          </cell>
          <cell r="Z518">
            <v>0.49497815699999997</v>
          </cell>
          <cell r="AB518" t="str">
            <v>2000IN</v>
          </cell>
          <cell r="AC518">
            <v>0</v>
          </cell>
          <cell r="AD518">
            <v>0</v>
          </cell>
          <cell r="AE518">
            <v>0</v>
          </cell>
          <cell r="AF518">
            <v>1</v>
          </cell>
        </row>
        <row r="519">
          <cell r="B519" t="str">
            <v>2000IA</v>
          </cell>
          <cell r="C519">
            <v>0.10529581607327312</v>
          </cell>
          <cell r="D519">
            <v>0.2156085682844327</v>
          </cell>
          <cell r="E519">
            <v>0.13036308658982138</v>
          </cell>
          <cell r="F519">
            <v>0.43142849297188901</v>
          </cell>
          <cell r="G519">
            <v>7.7180135841735067E-2</v>
          </cell>
          <cell r="H519">
            <v>4.0123900238848639E-2</v>
          </cell>
          <cell r="J519" t="str">
            <v>2000IA</v>
          </cell>
          <cell r="K519">
            <v>0.79245677756844357</v>
          </cell>
          <cell r="L519">
            <v>7.7180135841735067E-2</v>
          </cell>
          <cell r="M519">
            <v>0.13036308658982138</v>
          </cell>
          <cell r="U519" t="str">
            <v>2000IA</v>
          </cell>
          <cell r="V519">
            <v>1.6944542999999999E-2</v>
          </cell>
          <cell r="W519">
            <v>3.8966886999999999E-2</v>
          </cell>
          <cell r="X519">
            <v>0.13595914000000001</v>
          </cell>
          <cell r="Y519">
            <v>0.44446511900000002</v>
          </cell>
          <cell r="Z519">
            <v>0.36366431100000002</v>
          </cell>
          <cell r="AB519" t="str">
            <v>2000IA</v>
          </cell>
          <cell r="AC519">
            <v>0</v>
          </cell>
          <cell r="AD519">
            <v>0</v>
          </cell>
          <cell r="AE519">
            <v>0</v>
          </cell>
          <cell r="AF519">
            <v>1</v>
          </cell>
        </row>
        <row r="520">
          <cell r="B520" t="str">
            <v>2000KS</v>
          </cell>
          <cell r="C520">
            <v>0.19322054195589417</v>
          </cell>
          <cell r="D520">
            <v>0.26414682149293861</v>
          </cell>
          <cell r="E520">
            <v>8.5699504052136513E-2</v>
          </cell>
          <cell r="F520">
            <v>0.3704410035172313</v>
          </cell>
          <cell r="G520">
            <v>5.0737517324399226E-2</v>
          </cell>
          <cell r="H520">
            <v>3.5754611657400216E-2</v>
          </cell>
          <cell r="J520" t="str">
            <v>2000KS</v>
          </cell>
          <cell r="K520">
            <v>0.86356297862346421</v>
          </cell>
          <cell r="L520">
            <v>5.0737517324399226E-2</v>
          </cell>
          <cell r="M520">
            <v>8.5699504052136513E-2</v>
          </cell>
          <cell r="U520" t="str">
            <v>2000KS</v>
          </cell>
          <cell r="V520">
            <v>3.6674505000000003E-2</v>
          </cell>
          <cell r="W520">
            <v>4.5425667000000003E-2</v>
          </cell>
          <cell r="X520">
            <v>0.27727538099999999</v>
          </cell>
          <cell r="Y520">
            <v>0.13715592400000001</v>
          </cell>
          <cell r="Z520">
            <v>0.50346852399999997</v>
          </cell>
          <cell r="AB520" t="str">
            <v>2000KS</v>
          </cell>
          <cell r="AC520">
            <v>0</v>
          </cell>
          <cell r="AD520">
            <v>0</v>
          </cell>
          <cell r="AE520">
            <v>0.02</v>
          </cell>
          <cell r="AF520">
            <v>0.98</v>
          </cell>
        </row>
        <row r="521">
          <cell r="B521" t="str">
            <v>2000KY</v>
          </cell>
          <cell r="C521">
            <v>1.9288021336179916E-2</v>
          </cell>
          <cell r="D521">
            <v>5.6827171102929716E-2</v>
          </cell>
          <cell r="E521">
            <v>0.14064442980426797</v>
          </cell>
          <cell r="F521">
            <v>0.1482566580785282</v>
          </cell>
          <cell r="G521">
            <v>0.61998629923405624</v>
          </cell>
          <cell r="H521">
            <v>1.4997420444037986E-2</v>
          </cell>
          <cell r="J521" t="str">
            <v>2000KY</v>
          </cell>
          <cell r="K521">
            <v>0.23936927096167582</v>
          </cell>
          <cell r="L521">
            <v>0.61998629923405624</v>
          </cell>
          <cell r="M521">
            <v>0.14064442980426797</v>
          </cell>
          <cell r="U521" t="str">
            <v>2000KY</v>
          </cell>
          <cell r="V521">
            <v>5.8367308E-2</v>
          </cell>
          <cell r="W521">
            <v>3.7327986E-2</v>
          </cell>
          <cell r="X521">
            <v>0.13032613400000001</v>
          </cell>
          <cell r="Y521">
            <v>0.42556892000000002</v>
          </cell>
          <cell r="Z521">
            <v>0.34840965200000001</v>
          </cell>
          <cell r="AB521" t="str">
            <v>2000KY</v>
          </cell>
          <cell r="AC521">
            <v>0</v>
          </cell>
          <cell r="AD521">
            <v>0</v>
          </cell>
          <cell r="AE521">
            <v>0.05</v>
          </cell>
          <cell r="AF521">
            <v>0.95</v>
          </cell>
        </row>
        <row r="522">
          <cell r="B522" t="str">
            <v>2000LA</v>
          </cell>
          <cell r="C522">
            <v>8.8207646600464054E-2</v>
          </cell>
          <cell r="D522">
            <v>6.4025341122226909E-2</v>
          </cell>
          <cell r="E522">
            <v>0.14556008970709086</v>
          </cell>
          <cell r="F522">
            <v>0.1061195647255837</v>
          </cell>
          <cell r="G522">
            <v>0.59082517095637233</v>
          </cell>
          <cell r="H522">
            <v>5.2621868882621603E-3</v>
          </cell>
          <cell r="J522" t="str">
            <v>2000LA</v>
          </cell>
          <cell r="K522">
            <v>0.26361473933653679</v>
          </cell>
          <cell r="L522">
            <v>0.59082517095637233</v>
          </cell>
          <cell r="M522">
            <v>0.14556008970709086</v>
          </cell>
          <cell r="U522" t="str">
            <v>2000LA</v>
          </cell>
          <cell r="V522">
            <v>0.566392271</v>
          </cell>
          <cell r="W522">
            <v>1.907874E-2</v>
          </cell>
          <cell r="X522">
            <v>0.11967573300000001</v>
          </cell>
          <cell r="Y522">
            <v>9.1491231000000006E-2</v>
          </cell>
          <cell r="Z522">
            <v>0.203362025</v>
          </cell>
          <cell r="AB522" t="str">
            <v>2000LA</v>
          </cell>
          <cell r="AC522">
            <v>0</v>
          </cell>
          <cell r="AD522">
            <v>0</v>
          </cell>
          <cell r="AE522">
            <v>0.6</v>
          </cell>
          <cell r="AF522">
            <v>0.4</v>
          </cell>
        </row>
        <row r="523">
          <cell r="B523" t="str">
            <v>2000ME</v>
          </cell>
          <cell r="C523">
            <v>7.2761505135462215E-2</v>
          </cell>
          <cell r="D523">
            <v>0.14990021969545692</v>
          </cell>
          <cell r="E523">
            <v>0.4567352188738657</v>
          </cell>
          <cell r="F523">
            <v>0.2211886601474865</v>
          </cell>
          <cell r="G523">
            <v>7.7621067469085342E-2</v>
          </cell>
          <cell r="H523">
            <v>2.1793328678643319E-2</v>
          </cell>
          <cell r="J523" t="str">
            <v>2000ME</v>
          </cell>
          <cell r="K523">
            <v>0.46564371365704893</v>
          </cell>
          <cell r="L523">
            <v>7.7621067469085342E-2</v>
          </cell>
          <cell r="M523">
            <v>0.4567352188738657</v>
          </cell>
          <cell r="U523" t="str">
            <v>2000ME</v>
          </cell>
          <cell r="V523">
            <v>0.83752121199999996</v>
          </cell>
          <cell r="W523">
            <v>7.1490670000000003E-3</v>
          </cell>
          <cell r="X523">
            <v>4.4844145000000002E-2</v>
          </cell>
          <cell r="Y523">
            <v>3.4283024000000002E-2</v>
          </cell>
          <cell r="Z523">
            <v>7.6202552000000007E-2</v>
          </cell>
          <cell r="AB523" t="str">
            <v>2000ME</v>
          </cell>
          <cell r="AC523">
            <v>0</v>
          </cell>
          <cell r="AD523">
            <v>0</v>
          </cell>
          <cell r="AE523">
            <v>0.05</v>
          </cell>
          <cell r="AF523">
            <v>0.95</v>
          </cell>
        </row>
        <row r="524">
          <cell r="B524" t="str">
            <v>2000MD</v>
          </cell>
          <cell r="C524">
            <v>6.7629191964882235E-2</v>
          </cell>
          <cell r="D524">
            <v>0.14552664867719745</v>
          </cell>
          <cell r="E524">
            <v>0.44840952882280999</v>
          </cell>
          <cell r="F524">
            <v>0.23796054899461136</v>
          </cell>
          <cell r="G524">
            <v>7.0110893911410122E-2</v>
          </cell>
          <cell r="H524">
            <v>3.0363187629088809E-2</v>
          </cell>
          <cell r="J524" t="str">
            <v>2000MD</v>
          </cell>
          <cell r="K524">
            <v>0.48147957726577983</v>
          </cell>
          <cell r="L524">
            <v>7.0110893911410122E-2</v>
          </cell>
          <cell r="M524">
            <v>0.44840952882280999</v>
          </cell>
          <cell r="U524" t="str">
            <v>2000MD</v>
          </cell>
          <cell r="V524">
            <v>0.20404877599999999</v>
          </cell>
          <cell r="W524">
            <v>3.8296403E-2</v>
          </cell>
          <cell r="X524">
            <v>0.21613510999999999</v>
          </cell>
          <cell r="Y524">
            <v>0.15703054499999999</v>
          </cell>
          <cell r="Z524">
            <v>0.38448916599999999</v>
          </cell>
          <cell r="AB524" t="str">
            <v>2000MD</v>
          </cell>
          <cell r="AC524">
            <v>0</v>
          </cell>
          <cell r="AD524">
            <v>0</v>
          </cell>
          <cell r="AE524">
            <v>0.05</v>
          </cell>
          <cell r="AF524">
            <v>0.95</v>
          </cell>
        </row>
        <row r="525">
          <cell r="B525" t="str">
            <v>2000MA</v>
          </cell>
          <cell r="C525">
            <v>5.4928567291483744E-2</v>
          </cell>
          <cell r="D525">
            <v>0.14103669173293448</v>
          </cell>
          <cell r="E525">
            <v>0.45447464252897263</v>
          </cell>
          <cell r="F525">
            <v>0.24481806617738872</v>
          </cell>
          <cell r="G525">
            <v>7.5581918691457015E-2</v>
          </cell>
          <cell r="H525">
            <v>2.9160113577763512E-2</v>
          </cell>
          <cell r="J525" t="str">
            <v>2000MA</v>
          </cell>
          <cell r="K525">
            <v>0.46994343877957034</v>
          </cell>
          <cell r="L525">
            <v>7.5581918691457015E-2</v>
          </cell>
          <cell r="M525">
            <v>0.45447464252897263</v>
          </cell>
          <cell r="U525" t="str">
            <v>2000MA</v>
          </cell>
          <cell r="V525">
            <v>0.35819703400000003</v>
          </cell>
          <cell r="W525">
            <v>2.8239330999999999E-2</v>
          </cell>
          <cell r="X525">
            <v>0.177137619</v>
          </cell>
          <cell r="Y525">
            <v>0.13542042600000001</v>
          </cell>
          <cell r="Z525">
            <v>0.30100559100000002</v>
          </cell>
          <cell r="AB525" t="str">
            <v>2000MA</v>
          </cell>
          <cell r="AC525">
            <v>0</v>
          </cell>
          <cell r="AD525">
            <v>0</v>
          </cell>
          <cell r="AE525">
            <v>0.05</v>
          </cell>
          <cell r="AF525">
            <v>0.95</v>
          </cell>
        </row>
        <row r="526">
          <cell r="B526" t="str">
            <v>2000MI</v>
          </cell>
          <cell r="C526">
            <v>0.17602535477646777</v>
          </cell>
          <cell r="D526">
            <v>0.30245781157216922</v>
          </cell>
          <cell r="E526">
            <v>7.3985562904798366E-2</v>
          </cell>
          <cell r="F526">
            <v>0.35991770950077739</v>
          </cell>
          <cell r="G526">
            <v>4.3802397938661711E-2</v>
          </cell>
          <cell r="H526">
            <v>4.3811163307125478E-2</v>
          </cell>
          <cell r="J526" t="str">
            <v>2000MI</v>
          </cell>
          <cell r="K526">
            <v>0.8822120391565399</v>
          </cell>
          <cell r="L526">
            <v>4.3802397938661711E-2</v>
          </cell>
          <cell r="M526">
            <v>7.3985562904798366E-2</v>
          </cell>
          <cell r="U526" t="str">
            <v>2000MI</v>
          </cell>
          <cell r="V526">
            <v>5.3215523000000001E-2</v>
          </cell>
          <cell r="W526">
            <v>4.9550862000000001E-2</v>
          </cell>
          <cell r="X526">
            <v>0.25276247499999999</v>
          </cell>
          <cell r="Y526">
            <v>0.17346370799999999</v>
          </cell>
          <cell r="Z526">
            <v>0.471007432</v>
          </cell>
          <cell r="AB526" t="str">
            <v>2000MI</v>
          </cell>
          <cell r="AC526">
            <v>0</v>
          </cell>
          <cell r="AD526">
            <v>0</v>
          </cell>
          <cell r="AE526">
            <v>0.02</v>
          </cell>
          <cell r="AF526">
            <v>0.98</v>
          </cell>
        </row>
        <row r="527">
          <cell r="B527" t="str">
            <v>2000MN</v>
          </cell>
          <cell r="C527">
            <v>9.0352283814308501E-2</v>
          </cell>
          <cell r="D527">
            <v>0.20620462155861474</v>
          </cell>
          <cell r="E527">
            <v>0.13635837752761745</v>
          </cell>
          <cell r="F527">
            <v>0.44282107229402889</v>
          </cell>
          <cell r="G527">
            <v>8.0729586695455074E-2</v>
          </cell>
          <cell r="H527">
            <v>4.3534058109975279E-2</v>
          </cell>
          <cell r="J527" t="str">
            <v>2000MN</v>
          </cell>
          <cell r="K527">
            <v>0.78291203577692747</v>
          </cell>
          <cell r="L527">
            <v>8.0729586695455074E-2</v>
          </cell>
          <cell r="M527">
            <v>0.13635837752761745</v>
          </cell>
          <cell r="U527" t="str">
            <v>2000MN</v>
          </cell>
          <cell r="V527">
            <v>2.1524861999999999E-2</v>
          </cell>
          <cell r="W527">
            <v>5.0888344000000002E-2</v>
          </cell>
          <cell r="X527">
            <v>0.26157074800000002</v>
          </cell>
          <cell r="Y527">
            <v>0.18034012899999999</v>
          </cell>
          <cell r="Z527">
            <v>0.48567591799999998</v>
          </cell>
          <cell r="AB527" t="str">
            <v>2000MN</v>
          </cell>
          <cell r="AC527">
            <v>0</v>
          </cell>
          <cell r="AD527">
            <v>0</v>
          </cell>
          <cell r="AE527">
            <v>0</v>
          </cell>
          <cell r="AF527">
            <v>1</v>
          </cell>
        </row>
        <row r="528">
          <cell r="B528" t="str">
            <v>2000MS</v>
          </cell>
          <cell r="C528">
            <v>9.1812107100631146E-2</v>
          </cell>
          <cell r="D528">
            <v>6.6931160990414934E-2</v>
          </cell>
          <cell r="E528">
            <v>0.14522561762467986</v>
          </cell>
          <cell r="F528">
            <v>9.8393215740267395E-2</v>
          </cell>
          <cell r="G528">
            <v>0.59280935690359193</v>
          </cell>
          <cell r="H528">
            <v>4.8285416404148457E-3</v>
          </cell>
          <cell r="J528" t="str">
            <v>2000MS</v>
          </cell>
          <cell r="K528">
            <v>0.26196502547172817</v>
          </cell>
          <cell r="L528">
            <v>0.59280935690359193</v>
          </cell>
          <cell r="M528">
            <v>0.14522561762467986</v>
          </cell>
          <cell r="U528" t="str">
            <v>2000MS</v>
          </cell>
          <cell r="V528">
            <v>2.9465353999999999E-2</v>
          </cell>
          <cell r="W528">
            <v>3.6415823999999999E-2</v>
          </cell>
          <cell r="X528">
            <v>6.9355888000000004E-2</v>
          </cell>
          <cell r="Y528">
            <v>0.55240279999999997</v>
          </cell>
          <cell r="Z528">
            <v>0.31236013299999998</v>
          </cell>
          <cell r="AB528" t="str">
            <v>2000MS</v>
          </cell>
          <cell r="AC528">
            <v>0</v>
          </cell>
          <cell r="AD528">
            <v>0</v>
          </cell>
          <cell r="AE528">
            <v>0.6</v>
          </cell>
          <cell r="AF528">
            <v>0.4</v>
          </cell>
        </row>
        <row r="529">
          <cell r="B529" t="str">
            <v>2000MO</v>
          </cell>
          <cell r="C529">
            <v>5.7143970414371643E-2</v>
          </cell>
          <cell r="D529">
            <v>0.17233681415587201</v>
          </cell>
          <cell r="E529">
            <v>0.15041379152442716</v>
          </cell>
          <cell r="F529">
            <v>0.48407868677166255</v>
          </cell>
          <cell r="G529">
            <v>8.9050951201028988E-2</v>
          </cell>
          <cell r="H529">
            <v>4.6975785932637584E-2</v>
          </cell>
          <cell r="J529" t="str">
            <v>2000MO</v>
          </cell>
          <cell r="K529">
            <v>0.76053525727454385</v>
          </cell>
          <cell r="L529">
            <v>8.9050951201028988E-2</v>
          </cell>
          <cell r="M529">
            <v>0.15041379152442716</v>
          </cell>
          <cell r="U529" t="str">
            <v>2000MO</v>
          </cell>
          <cell r="V529">
            <v>3.6744944000000002E-2</v>
          </cell>
          <cell r="W529">
            <v>4.5299516999999997E-2</v>
          </cell>
          <cell r="X529">
            <v>0.276794498</v>
          </cell>
          <cell r="Y529">
            <v>0.139817421</v>
          </cell>
          <cell r="Z529">
            <v>0.50134361999999999</v>
          </cell>
          <cell r="AB529" t="str">
            <v>2000MO</v>
          </cell>
          <cell r="AC529">
            <v>0</v>
          </cell>
          <cell r="AD529">
            <v>0</v>
          </cell>
          <cell r="AE529">
            <v>0</v>
          </cell>
          <cell r="AF529">
            <v>1</v>
          </cell>
        </row>
        <row r="530">
          <cell r="B530" t="str">
            <v>2000MT</v>
          </cell>
          <cell r="C530">
            <v>0.33299588057824414</v>
          </cell>
          <cell r="D530">
            <v>0.24877828647401171</v>
          </cell>
          <cell r="E530">
            <v>4.3173211085446715E-2</v>
          </cell>
          <cell r="F530">
            <v>0.27640610303736912</v>
          </cell>
          <cell r="G530">
            <v>2.5560259299344076E-2</v>
          </cell>
          <cell r="H530">
            <v>7.3086259525584105E-2</v>
          </cell>
          <cell r="J530" t="str">
            <v>2000MT</v>
          </cell>
          <cell r="K530">
            <v>0.93126652961520917</v>
          </cell>
          <cell r="L530">
            <v>2.5560259299344076E-2</v>
          </cell>
          <cell r="M530">
            <v>4.3173211085446715E-2</v>
          </cell>
          <cell r="U530" t="str">
            <v>2000MT</v>
          </cell>
          <cell r="V530">
            <v>6.8538867000000003E-2</v>
          </cell>
          <cell r="W530">
            <v>5.0251676000000002E-2</v>
          </cell>
          <cell r="X530">
            <v>0.247043605</v>
          </cell>
          <cell r="Y530">
            <v>0.16564701300000001</v>
          </cell>
          <cell r="Z530">
            <v>0.46851883900000002</v>
          </cell>
          <cell r="AB530" t="str">
            <v>2000MT</v>
          </cell>
          <cell r="AC530">
            <v>0</v>
          </cell>
          <cell r="AD530">
            <v>0</v>
          </cell>
          <cell r="AE530">
            <v>0.6</v>
          </cell>
          <cell r="AF530">
            <v>0.4</v>
          </cell>
        </row>
        <row r="531">
          <cell r="B531" t="str">
            <v>2000NE</v>
          </cell>
          <cell r="C531">
            <v>0.14749321009424837</v>
          </cell>
          <cell r="D531">
            <v>0.24911236717903776</v>
          </cell>
          <cell r="E531">
            <v>9.9522604788754992E-2</v>
          </cell>
          <cell r="F531">
            <v>0.40124158963300038</v>
          </cell>
          <cell r="G531">
            <v>5.8921343133641016E-2</v>
          </cell>
          <cell r="H531">
            <v>4.3708885171317331E-2</v>
          </cell>
          <cell r="J531" t="str">
            <v>2000NE</v>
          </cell>
          <cell r="K531">
            <v>0.84155605207760398</v>
          </cell>
          <cell r="L531">
            <v>5.8921343133641016E-2</v>
          </cell>
          <cell r="M531">
            <v>9.9522604788754992E-2</v>
          </cell>
          <cell r="U531" t="str">
            <v>2000NE</v>
          </cell>
          <cell r="V531">
            <v>3.9952332E-2</v>
          </cell>
          <cell r="W531">
            <v>4.4501397999999998E-2</v>
          </cell>
          <cell r="X531">
            <v>0.27344553199999999</v>
          </cell>
          <cell r="Y531">
            <v>0.153430278</v>
          </cell>
          <cell r="Z531">
            <v>0.48867045999999997</v>
          </cell>
          <cell r="AB531" t="str">
            <v>2000NE</v>
          </cell>
          <cell r="AC531">
            <v>0</v>
          </cell>
          <cell r="AD531">
            <v>0</v>
          </cell>
          <cell r="AE531">
            <v>0.02</v>
          </cell>
          <cell r="AF531">
            <v>0.98</v>
          </cell>
        </row>
        <row r="532">
          <cell r="B532" t="str">
            <v>2000NV</v>
          </cell>
          <cell r="C532">
            <v>0.63832721949485716</v>
          </cell>
          <cell r="D532">
            <v>0.22408230733325196</v>
          </cell>
          <cell r="E532">
            <v>1.4489540818820023E-2</v>
          </cell>
          <cell r="F532">
            <v>0.10973378221467268</v>
          </cell>
          <cell r="G532">
            <v>8.5783848628834952E-3</v>
          </cell>
          <cell r="H532">
            <v>4.7887652755147407E-3</v>
          </cell>
          <cell r="J532" t="str">
            <v>2000NV</v>
          </cell>
          <cell r="K532">
            <v>0.97693207431829654</v>
          </cell>
          <cell r="L532">
            <v>8.5783848628834952E-3</v>
          </cell>
          <cell r="M532">
            <v>1.4489540818820023E-2</v>
          </cell>
          <cell r="U532" t="str">
            <v>2000NV</v>
          </cell>
          <cell r="V532">
            <v>0.61002468799999998</v>
          </cell>
          <cell r="W532">
            <v>1.4429087E-2</v>
          </cell>
          <cell r="X532">
            <v>2.1448642E-2</v>
          </cell>
          <cell r="Y532">
            <v>0.23320523700000001</v>
          </cell>
          <cell r="Z532">
            <v>0.120892347</v>
          </cell>
          <cell r="AB532" t="str">
            <v>2000NV</v>
          </cell>
          <cell r="AC532">
            <v>0</v>
          </cell>
          <cell r="AD532">
            <v>0</v>
          </cell>
          <cell r="AE532">
            <v>0</v>
          </cell>
          <cell r="AF532">
            <v>1</v>
          </cell>
        </row>
        <row r="533">
          <cell r="B533" t="str">
            <v>2000NH</v>
          </cell>
          <cell r="C533">
            <v>7.5389297399558408E-2</v>
          </cell>
          <cell r="D533">
            <v>0.15170560662158322</v>
          </cell>
          <cell r="E533">
            <v>0.44720679657680107</v>
          </cell>
          <cell r="F533">
            <v>0.22825797752436838</v>
          </cell>
          <cell r="G533">
            <v>6.9025971477888332E-2</v>
          </cell>
          <cell r="H533">
            <v>2.8414350399800559E-2</v>
          </cell>
          <cell r="J533" t="str">
            <v>2000NH</v>
          </cell>
          <cell r="K533">
            <v>0.48376723194531057</v>
          </cell>
          <cell r="L533">
            <v>6.9025971477888332E-2</v>
          </cell>
          <cell r="M533">
            <v>0.44720679657680107</v>
          </cell>
          <cell r="U533" t="str">
            <v>2000NH</v>
          </cell>
          <cell r="V533">
            <v>0.59253176299999999</v>
          </cell>
          <cell r="W533">
            <v>1.7928601999999998E-2</v>
          </cell>
          <cell r="X533">
            <v>0.11246123299999999</v>
          </cell>
          <cell r="Y533">
            <v>8.5975798000000006E-2</v>
          </cell>
          <cell r="Z533">
            <v>0.19110260300000001</v>
          </cell>
          <cell r="AB533" t="str">
            <v>2000NH</v>
          </cell>
          <cell r="AC533">
            <v>0</v>
          </cell>
          <cell r="AD533">
            <v>0</v>
          </cell>
          <cell r="AE533">
            <v>0.05</v>
          </cell>
          <cell r="AF533">
            <v>0.95</v>
          </cell>
        </row>
        <row r="534">
          <cell r="B534" t="str">
            <v>2000NJ</v>
          </cell>
          <cell r="C534">
            <v>5.21961940339443E-2</v>
          </cell>
          <cell r="D534">
            <v>0.13469419356037218</v>
          </cell>
          <cell r="E534">
            <v>0.45477679244001207</v>
          </cell>
          <cell r="F534">
            <v>0.25178344795395957</v>
          </cell>
          <cell r="G534">
            <v>7.5854472468792913E-2</v>
          </cell>
          <cell r="H534">
            <v>3.0694899542918902E-2</v>
          </cell>
          <cell r="J534" t="str">
            <v>2000NJ</v>
          </cell>
          <cell r="K534">
            <v>0.46936873509119503</v>
          </cell>
          <cell r="L534">
            <v>7.5854472468792913E-2</v>
          </cell>
          <cell r="M534">
            <v>0.45477679244001207</v>
          </cell>
          <cell r="U534" t="str">
            <v>2000NJ</v>
          </cell>
          <cell r="V534">
            <v>0.382455779</v>
          </cell>
          <cell r="W534">
            <v>2.8712343000000001E-2</v>
          </cell>
          <cell r="X534">
            <v>0.168773441</v>
          </cell>
          <cell r="Y534">
            <v>0.12516717199999999</v>
          </cell>
          <cell r="Z534">
            <v>0.29489126500000001</v>
          </cell>
          <cell r="AB534" t="str">
            <v>2000NJ</v>
          </cell>
          <cell r="AC534">
            <v>0</v>
          </cell>
          <cell r="AD534">
            <v>0</v>
          </cell>
          <cell r="AE534">
            <v>0.05</v>
          </cell>
          <cell r="AF534">
            <v>0.95</v>
          </cell>
        </row>
        <row r="535">
          <cell r="B535" t="str">
            <v>2000NM</v>
          </cell>
          <cell r="C535">
            <v>0.61123497555508066</v>
          </cell>
          <cell r="D535">
            <v>0.19406261171416939</v>
          </cell>
          <cell r="E535">
            <v>9.8943467603925112E-2</v>
          </cell>
          <cell r="F535">
            <v>9.4991267868497514E-2</v>
          </cell>
          <cell r="G535">
            <v>0</v>
          </cell>
          <cell r="H535">
            <v>7.676772583273784E-4</v>
          </cell>
          <cell r="J535" t="str">
            <v>2000NM</v>
          </cell>
          <cell r="K535">
            <v>0.90105653239607486</v>
          </cell>
          <cell r="L535">
            <v>0</v>
          </cell>
          <cell r="M535">
            <v>9.8943467603925112E-2</v>
          </cell>
          <cell r="U535" t="str">
            <v>2000NM</v>
          </cell>
          <cell r="V535">
            <v>0.949933637</v>
          </cell>
          <cell r="W535">
            <v>2.2029200000000001E-3</v>
          </cell>
          <cell r="X535">
            <v>1.3818316000000001E-2</v>
          </cell>
          <cell r="Y535">
            <v>1.0564003000000001E-2</v>
          </cell>
          <cell r="Z535">
            <v>2.3481123999999999E-2</v>
          </cell>
          <cell r="AB535" t="str">
            <v>2000NM</v>
          </cell>
          <cell r="AC535">
            <v>0</v>
          </cell>
          <cell r="AD535">
            <v>0</v>
          </cell>
          <cell r="AE535">
            <v>0.6</v>
          </cell>
          <cell r="AF535">
            <v>0.4</v>
          </cell>
        </row>
        <row r="536">
          <cell r="B536" t="str">
            <v>2000NY</v>
          </cell>
          <cell r="C536">
            <v>8.7234840853365261E-2</v>
          </cell>
          <cell r="D536">
            <v>0.1528094517734061</v>
          </cell>
          <cell r="E536">
            <v>0.45175844918887775</v>
          </cell>
          <cell r="F536">
            <v>0.21338039923526775</v>
          </cell>
          <cell r="G536">
            <v>7.3131781432536763E-2</v>
          </cell>
          <cell r="H536">
            <v>2.168507751654639E-2</v>
          </cell>
          <cell r="J536" t="str">
            <v>2000NY</v>
          </cell>
          <cell r="K536">
            <v>0.47510976937858551</v>
          </cell>
          <cell r="L536">
            <v>7.3131781432536763E-2</v>
          </cell>
          <cell r="M536">
            <v>0.45175844918887775</v>
          </cell>
          <cell r="U536" t="str">
            <v>2000NY</v>
          </cell>
          <cell r="V536">
            <v>0.249652602</v>
          </cell>
          <cell r="W536">
            <v>3.9168583E-2</v>
          </cell>
          <cell r="X536">
            <v>0.20042980899999999</v>
          </cell>
          <cell r="Y536">
            <v>0.13781230799999999</v>
          </cell>
          <cell r="Z536">
            <v>0.37293669699999998</v>
          </cell>
          <cell r="AB536" t="str">
            <v>2000NY</v>
          </cell>
          <cell r="AC536">
            <v>0</v>
          </cell>
          <cell r="AD536">
            <v>0</v>
          </cell>
          <cell r="AE536">
            <v>0.05</v>
          </cell>
          <cell r="AF536">
            <v>0.95</v>
          </cell>
        </row>
        <row r="537">
          <cell r="B537" t="str">
            <v>2000NC</v>
          </cell>
          <cell r="C537">
            <v>4.9816306571199162E-2</v>
          </cell>
          <cell r="D537">
            <v>0.10028847689807466</v>
          </cell>
          <cell r="E537">
            <v>0.1480246799470257</v>
          </cell>
          <cell r="F537">
            <v>0.11057556271791175</v>
          </cell>
          <cell r="G537">
            <v>0.57620450281425895</v>
          </cell>
          <cell r="H537">
            <v>1.5090471051529794E-2</v>
          </cell>
          <cell r="J537" t="str">
            <v>2000NC</v>
          </cell>
          <cell r="K537">
            <v>0.27577081723871533</v>
          </cell>
          <cell r="L537">
            <v>0.57620450281425895</v>
          </cell>
          <cell r="M537">
            <v>0.1480246799470257</v>
          </cell>
          <cell r="U537" t="str">
            <v>2000NC</v>
          </cell>
          <cell r="V537">
            <v>2.7591270000000001E-3</v>
          </cell>
          <cell r="W537">
            <v>3.7160577E-2</v>
          </cell>
          <cell r="X537">
            <v>6.3140943000000005E-2</v>
          </cell>
          <cell r="Y537">
            <v>0.58182844499999997</v>
          </cell>
          <cell r="Z537">
            <v>0.31511090800000002</v>
          </cell>
          <cell r="AB537" t="str">
            <v>2000NC</v>
          </cell>
          <cell r="AC537">
            <v>0</v>
          </cell>
          <cell r="AD537">
            <v>0</v>
          </cell>
          <cell r="AE537">
            <v>0.41899999999999998</v>
          </cell>
          <cell r="AF537">
            <v>0.58099999999999996</v>
          </cell>
        </row>
        <row r="538">
          <cell r="B538" t="str">
            <v>2000ND</v>
          </cell>
          <cell r="C538">
            <v>8.4368465345497037E-2</v>
          </cell>
          <cell r="D538">
            <v>0.18003453539326975</v>
          </cell>
          <cell r="E538">
            <v>0.14759014361779876</v>
          </cell>
          <cell r="F538">
            <v>0.46177405549819117</v>
          </cell>
          <cell r="G538">
            <v>8.7379239256308708E-2</v>
          </cell>
          <cell r="H538">
            <v>3.8853560888934525E-2</v>
          </cell>
          <cell r="J538" t="str">
            <v>2000ND</v>
          </cell>
          <cell r="K538">
            <v>0.76503061712589249</v>
          </cell>
          <cell r="L538">
            <v>8.7379239256308708E-2</v>
          </cell>
          <cell r="M538">
            <v>0.14759014361779876</v>
          </cell>
          <cell r="U538" t="str">
            <v>2000ND</v>
          </cell>
          <cell r="V538">
            <v>0.109386989</v>
          </cell>
          <cell r="W538">
            <v>4.5832141E-2</v>
          </cell>
          <cell r="X538">
            <v>0.23861025899999999</v>
          </cell>
          <cell r="Y538">
            <v>0.165768785</v>
          </cell>
          <cell r="Z538">
            <v>0.44040182700000002</v>
          </cell>
          <cell r="AB538" t="str">
            <v>2000ND</v>
          </cell>
          <cell r="AC538">
            <v>0</v>
          </cell>
          <cell r="AD538">
            <v>0</v>
          </cell>
          <cell r="AE538">
            <v>0.02</v>
          </cell>
          <cell r="AF538">
            <v>0.98</v>
          </cell>
        </row>
        <row r="539">
          <cell r="B539" t="str">
            <v>2000OH</v>
          </cell>
          <cell r="C539">
            <v>8.5709021501509414E-2</v>
          </cell>
          <cell r="D539">
            <v>0.20288015013667507</v>
          </cell>
          <cell r="E539">
            <v>0.1490791047518672</v>
          </cell>
          <cell r="F539">
            <v>0.43091501883395822</v>
          </cell>
          <cell r="G539">
            <v>8.8260763509811893E-2</v>
          </cell>
          <cell r="H539">
            <v>4.3155941266178333E-2</v>
          </cell>
          <cell r="J539" t="str">
            <v>2000OH</v>
          </cell>
          <cell r="K539">
            <v>0.76266013173832092</v>
          </cell>
          <cell r="L539">
            <v>8.8260763509811893E-2</v>
          </cell>
          <cell r="M539">
            <v>0.1490791047518672</v>
          </cell>
          <cell r="U539" t="str">
            <v>2000OH</v>
          </cell>
          <cell r="V539">
            <v>7.7919626000000006E-2</v>
          </cell>
          <cell r="W539">
            <v>4.2328504000000003E-2</v>
          </cell>
          <cell r="X539">
            <v>0.26108281100000003</v>
          </cell>
          <cell r="Y539">
            <v>0.156344917</v>
          </cell>
          <cell r="Z539">
            <v>0.46232414199999999</v>
          </cell>
          <cell r="AB539" t="str">
            <v>2000OH</v>
          </cell>
          <cell r="AC539">
            <v>0</v>
          </cell>
          <cell r="AD539">
            <v>0</v>
          </cell>
          <cell r="AE539">
            <v>0</v>
          </cell>
          <cell r="AF539">
            <v>1</v>
          </cell>
        </row>
        <row r="540">
          <cell r="B540" t="str">
            <v>2000OK</v>
          </cell>
          <cell r="C540">
            <v>0.35881904966776473</v>
          </cell>
          <cell r="D540">
            <v>0.22628869166857771</v>
          </cell>
          <cell r="E540">
            <v>5.8937753564390877E-2</v>
          </cell>
          <cell r="F540">
            <v>0.28321284218054477</v>
          </cell>
          <cell r="G540">
            <v>0</v>
          </cell>
          <cell r="H540">
            <v>7.2741662918721917E-2</v>
          </cell>
          <cell r="J540" t="str">
            <v>2000OK</v>
          </cell>
          <cell r="K540">
            <v>0.9410622464356091</v>
          </cell>
          <cell r="L540">
            <v>0</v>
          </cell>
          <cell r="M540">
            <v>5.8937753564390877E-2</v>
          </cell>
          <cell r="U540" t="str">
            <v>2000OK</v>
          </cell>
          <cell r="V540">
            <v>1.6902074999999999E-2</v>
          </cell>
          <cell r="W540">
            <v>3.6678257999999998E-2</v>
          </cell>
          <cell r="X540">
            <v>6.3656565999999998E-2</v>
          </cell>
          <cell r="Y540">
            <v>0.57110590000000006</v>
          </cell>
          <cell r="Z540">
            <v>0.31165720099999999</v>
          </cell>
          <cell r="AB540" t="str">
            <v>2000OK</v>
          </cell>
          <cell r="AC540">
            <v>0</v>
          </cell>
          <cell r="AD540">
            <v>0</v>
          </cell>
          <cell r="AE540">
            <v>0.6</v>
          </cell>
          <cell r="AF540">
            <v>0.4</v>
          </cell>
        </row>
        <row r="541">
          <cell r="B541" t="str">
            <v>2000OR</v>
          </cell>
          <cell r="C541">
            <v>0.39523014751584812</v>
          </cell>
          <cell r="D541">
            <v>0.20708689109817716</v>
          </cell>
          <cell r="E541">
            <v>0</v>
          </cell>
          <cell r="F541">
            <v>0.12732100772529997</v>
          </cell>
          <cell r="G541">
            <v>0.24698602135784054</v>
          </cell>
          <cell r="H541">
            <v>2.3375932302834225E-2</v>
          </cell>
          <cell r="J541" t="str">
            <v>2000OR</v>
          </cell>
          <cell r="K541">
            <v>0.75301397864215946</v>
          </cell>
          <cell r="L541">
            <v>0.24698602135784054</v>
          </cell>
          <cell r="M541">
            <v>0</v>
          </cell>
          <cell r="U541" t="str">
            <v>2000OR</v>
          </cell>
          <cell r="V541">
            <v>0.611036158</v>
          </cell>
          <cell r="W541">
            <v>1.7114409000000001E-2</v>
          </cell>
          <cell r="X541">
            <v>0.10735401999999999</v>
          </cell>
          <cell r="Y541">
            <v>8.2071371000000004E-2</v>
          </cell>
          <cell r="Z541">
            <v>0.18242404200000001</v>
          </cell>
          <cell r="AB541" t="str">
            <v>2000OR</v>
          </cell>
          <cell r="AC541">
            <v>0</v>
          </cell>
          <cell r="AD541">
            <v>0</v>
          </cell>
          <cell r="AE541">
            <v>0.25</v>
          </cell>
          <cell r="AF541">
            <v>0.75</v>
          </cell>
        </row>
        <row r="542">
          <cell r="B542" t="str">
            <v>2000PA</v>
          </cell>
          <cell r="C542">
            <v>4.2297660312955357E-2</v>
          </cell>
          <cell r="D542">
            <v>0.10882447089257583</v>
          </cell>
          <cell r="E542">
            <v>0.47267862354802098</v>
          </cell>
          <cell r="F542">
            <v>0.26006231401942259</v>
          </cell>
          <cell r="G542">
            <v>9.2002786638173822E-2</v>
          </cell>
          <cell r="H542">
            <v>2.4134144588851422E-2</v>
          </cell>
          <cell r="J542" t="str">
            <v>2000PA</v>
          </cell>
          <cell r="K542">
            <v>0.43531858981380522</v>
          </cell>
          <cell r="L542">
            <v>9.2002786638173822E-2</v>
          </cell>
          <cell r="M542">
            <v>0.47267862354802098</v>
          </cell>
          <cell r="U542" t="str">
            <v>2000PA</v>
          </cell>
          <cell r="V542">
            <v>5.4537085999999999E-2</v>
          </cell>
          <cell r="W542">
            <v>4.8861364999999997E-2</v>
          </cell>
          <cell r="X542">
            <v>0.253081685</v>
          </cell>
          <cell r="Y542">
            <v>0.17528935400000001</v>
          </cell>
          <cell r="Z542">
            <v>0.46823051100000002</v>
          </cell>
          <cell r="AB542" t="str">
            <v>2000PA</v>
          </cell>
          <cell r="AC542">
            <v>0</v>
          </cell>
          <cell r="AD542">
            <v>0</v>
          </cell>
          <cell r="AE542">
            <v>0</v>
          </cell>
          <cell r="AF542">
            <v>1</v>
          </cell>
        </row>
        <row r="543">
          <cell r="B543" t="str">
            <v>2000RI</v>
          </cell>
          <cell r="C543">
            <v>3.1708435003556079E-2</v>
          </cell>
          <cell r="D543">
            <v>9.5252846821958517E-2</v>
          </cell>
          <cell r="E543">
            <v>0.4839484789113766</v>
          </cell>
          <cell r="F543">
            <v>0.26494298986101467</v>
          </cell>
          <cell r="G543">
            <v>0.10216873915738443</v>
          </cell>
          <cell r="H543">
            <v>2.1978510244709749E-2</v>
          </cell>
          <cell r="J543" t="str">
            <v>2000RI</v>
          </cell>
          <cell r="K543">
            <v>0.41388278193123895</v>
          </cell>
          <cell r="L543">
            <v>0.10216873915738443</v>
          </cell>
          <cell r="M543">
            <v>0.4839484789113766</v>
          </cell>
          <cell r="U543" t="str">
            <v>2000RI</v>
          </cell>
          <cell r="V543">
            <v>0.51700543300000001</v>
          </cell>
          <cell r="W543">
            <v>2.1251761000000001E-2</v>
          </cell>
          <cell r="X543">
            <v>0.13330650099999999</v>
          </cell>
          <cell r="Y543">
            <v>0.101911854</v>
          </cell>
          <cell r="Z543">
            <v>0.22652445199999999</v>
          </cell>
          <cell r="AB543" t="str">
            <v>2000RI</v>
          </cell>
          <cell r="AC543">
            <v>0</v>
          </cell>
          <cell r="AD543">
            <v>0</v>
          </cell>
          <cell r="AE543">
            <v>0.05</v>
          </cell>
          <cell r="AF543">
            <v>0.95</v>
          </cell>
        </row>
        <row r="544">
          <cell r="B544" t="str">
            <v>2000SC</v>
          </cell>
          <cell r="C544">
            <v>0.11484541312659138</v>
          </cell>
          <cell r="D544">
            <v>8.1714744641110518E-2</v>
          </cell>
          <cell r="E544">
            <v>0.14835778168665142</v>
          </cell>
          <cell r="F544">
            <v>7.72976897310651E-2</v>
          </cell>
          <cell r="G544">
            <v>0.5742284461401248</v>
          </cell>
          <cell r="H544">
            <v>3.5559246744567173E-3</v>
          </cell>
          <cell r="J544" t="str">
            <v>2000SC</v>
          </cell>
          <cell r="K544">
            <v>0.27741377217322372</v>
          </cell>
          <cell r="L544">
            <v>0.5742284461401248</v>
          </cell>
          <cell r="M544">
            <v>0.14835778168665142</v>
          </cell>
          <cell r="U544" t="str">
            <v>2000SC</v>
          </cell>
          <cell r="V544">
            <v>7.1049399999999999E-2</v>
          </cell>
          <cell r="W544">
            <v>3.5808165000000003E-2</v>
          </cell>
          <cell r="X544">
            <v>9.6460210000000005E-2</v>
          </cell>
          <cell r="Y544">
            <v>0.47606726599999999</v>
          </cell>
          <cell r="Z544">
            <v>0.32061495899999998</v>
          </cell>
          <cell r="AB544" t="str">
            <v>2000SC</v>
          </cell>
          <cell r="AC544">
            <v>0</v>
          </cell>
          <cell r="AD544">
            <v>0</v>
          </cell>
          <cell r="AE544">
            <v>0.6</v>
          </cell>
          <cell r="AF544">
            <v>0.4</v>
          </cell>
        </row>
        <row r="545">
          <cell r="B545" t="str">
            <v>2000SD</v>
          </cell>
          <cell r="C545">
            <v>0.12489156948667671</v>
          </cell>
          <cell r="D545">
            <v>0.23044023643340641</v>
          </cell>
          <cell r="E545">
            <v>0.11654506428561213</v>
          </cell>
          <cell r="F545">
            <v>0.41657966677786062</v>
          </cell>
          <cell r="G545">
            <v>6.8999316666606192E-2</v>
          </cell>
          <cell r="H545">
            <v>4.254414634983792E-2</v>
          </cell>
          <cell r="J545" t="str">
            <v>2000SD</v>
          </cell>
          <cell r="K545">
            <v>0.81445561904778163</v>
          </cell>
          <cell r="L545">
            <v>6.8999316666606192E-2</v>
          </cell>
          <cell r="M545">
            <v>0.11654506428561213</v>
          </cell>
          <cell r="U545" t="str">
            <v>2000SD</v>
          </cell>
          <cell r="V545">
            <v>5.1494292999999997E-2</v>
          </cell>
          <cell r="W545">
            <v>4.9239717000000002E-2</v>
          </cell>
          <cell r="X545">
            <v>0.25365665399999998</v>
          </cell>
          <cell r="Y545">
            <v>0.17511648399999999</v>
          </cell>
          <cell r="Z545">
            <v>0.47049285200000002</v>
          </cell>
          <cell r="AB545" t="str">
            <v>2000SD</v>
          </cell>
          <cell r="AC545">
            <v>0</v>
          </cell>
          <cell r="AD545">
            <v>0</v>
          </cell>
          <cell r="AE545">
            <v>0.02</v>
          </cell>
          <cell r="AF545">
            <v>0.98</v>
          </cell>
        </row>
        <row r="546">
          <cell r="B546" t="str">
            <v>2000TN</v>
          </cell>
          <cell r="C546">
            <v>3.360076410471538E-2</v>
          </cell>
          <cell r="D546">
            <v>8.0284400637553627E-2</v>
          </cell>
          <cell r="E546">
            <v>0.14296010956116018</v>
          </cell>
          <cell r="F546">
            <v>0.12080668927847651</v>
          </cell>
          <cell r="G546">
            <v>0.60624901150957533</v>
          </cell>
          <cell r="H546">
            <v>1.6099024908518802E-2</v>
          </cell>
          <cell r="J546" t="str">
            <v>2000TN</v>
          </cell>
          <cell r="K546">
            <v>0.25079087892926455</v>
          </cell>
          <cell r="L546">
            <v>0.60624901150957533</v>
          </cell>
          <cell r="M546">
            <v>0.14296010956116018</v>
          </cell>
          <cell r="U546" t="str">
            <v>2000TN</v>
          </cell>
          <cell r="V546">
            <v>0.113944092</v>
          </cell>
          <cell r="W546">
            <v>3.5456495999999997E-2</v>
          </cell>
          <cell r="X546">
            <v>0.133105415</v>
          </cell>
          <cell r="Y546">
            <v>0.38211439400000002</v>
          </cell>
          <cell r="Z546">
            <v>0.33537960300000003</v>
          </cell>
          <cell r="AB546" t="str">
            <v>2000TN</v>
          </cell>
          <cell r="AC546">
            <v>0</v>
          </cell>
          <cell r="AD546">
            <v>0</v>
          </cell>
          <cell r="AE546">
            <v>0.05</v>
          </cell>
          <cell r="AF546">
            <v>0.95</v>
          </cell>
        </row>
        <row r="547">
          <cell r="B547" t="str">
            <v>2000TX</v>
          </cell>
          <cell r="C547">
            <v>0.51420719640074708</v>
          </cell>
          <cell r="D547">
            <v>0.24785917732591561</v>
          </cell>
          <cell r="E547">
            <v>7.6314648456033418E-2</v>
          </cell>
          <cell r="F547">
            <v>0.13977593203517349</v>
          </cell>
          <cell r="G547">
            <v>0</v>
          </cell>
          <cell r="H547">
            <v>2.1843045782130314E-2</v>
          </cell>
          <cell r="J547" t="str">
            <v>2000TX</v>
          </cell>
          <cell r="K547">
            <v>0.92368535154396658</v>
          </cell>
          <cell r="L547">
            <v>0</v>
          </cell>
          <cell r="M547">
            <v>7.6314648456033418E-2</v>
          </cell>
          <cell r="U547" t="str">
            <v>2000TX</v>
          </cell>
          <cell r="V547">
            <v>9.1742884999999996E-2</v>
          </cell>
          <cell r="W547">
            <v>3.4202729000000001E-2</v>
          </cell>
          <cell r="X547">
            <v>6.8809092000000002E-2</v>
          </cell>
          <cell r="Y547">
            <v>0.51012026200000005</v>
          </cell>
          <cell r="Z547">
            <v>0.29512503200000001</v>
          </cell>
          <cell r="AB547" t="str">
            <v>2000TX</v>
          </cell>
          <cell r="AC547">
            <v>0</v>
          </cell>
          <cell r="AD547">
            <v>0</v>
          </cell>
          <cell r="AE547">
            <v>0.12</v>
          </cell>
          <cell r="AF547">
            <v>0.88</v>
          </cell>
        </row>
        <row r="548">
          <cell r="B548" t="str">
            <v>2000UT</v>
          </cell>
          <cell r="C548">
            <v>0.47119089780285495</v>
          </cell>
          <cell r="D548">
            <v>0.2700179210883783</v>
          </cell>
          <cell r="E548">
            <v>1.8801625697464779E-2</v>
          </cell>
          <cell r="F548">
            <v>0.18898162612530928</v>
          </cell>
          <cell r="G548">
            <v>1.1131310736309998E-2</v>
          </cell>
          <cell r="H548">
            <v>3.9876618549682843E-2</v>
          </cell>
          <cell r="J548" t="str">
            <v>2000UT</v>
          </cell>
          <cell r="K548">
            <v>0.97006706356622519</v>
          </cell>
          <cell r="L548">
            <v>1.1131310736309998E-2</v>
          </cell>
          <cell r="M548">
            <v>1.8801625697464779E-2</v>
          </cell>
          <cell r="U548" t="str">
            <v>2000UT</v>
          </cell>
          <cell r="V548">
            <v>1.5830467000000001E-2</v>
          </cell>
          <cell r="W548">
            <v>5.4870904999999998E-2</v>
          </cell>
          <cell r="X548">
            <v>0.25909939199999998</v>
          </cell>
          <cell r="Y548">
            <v>0.16910162100000001</v>
          </cell>
          <cell r="Z548">
            <v>0.50109761500000005</v>
          </cell>
          <cell r="AB548" t="str">
            <v>2000UT</v>
          </cell>
          <cell r="AC548">
            <v>0</v>
          </cell>
          <cell r="AD548">
            <v>0</v>
          </cell>
          <cell r="AE548">
            <v>0.6</v>
          </cell>
          <cell r="AF548">
            <v>0.4</v>
          </cell>
        </row>
        <row r="549">
          <cell r="B549" t="str">
            <v>2000VT</v>
          </cell>
          <cell r="C549">
            <v>8.5526567688091096E-2</v>
          </cell>
          <cell r="D549">
            <v>0.15938847695083122</v>
          </cell>
          <cell r="E549">
            <v>0.44891190158924715</v>
          </cell>
          <cell r="F549">
            <v>0.21235724194262429</v>
          </cell>
          <cell r="G549">
            <v>7.0564058351048883E-2</v>
          </cell>
          <cell r="H549">
            <v>2.3251753478157458E-2</v>
          </cell>
          <cell r="J549" t="str">
            <v>2000VT</v>
          </cell>
          <cell r="K549">
            <v>0.48052404005970395</v>
          </cell>
          <cell r="L549">
            <v>7.0564058351048883E-2</v>
          </cell>
          <cell r="M549">
            <v>0.44891190158924715</v>
          </cell>
          <cell r="U549" t="str">
            <v>2000VT</v>
          </cell>
          <cell r="V549">
            <v>0.91622784599999996</v>
          </cell>
          <cell r="W549">
            <v>3.6859750000000002E-3</v>
          </cell>
          <cell r="X549">
            <v>2.3121115000000001E-2</v>
          </cell>
          <cell r="Y549">
            <v>1.7675923999999999E-2</v>
          </cell>
          <cell r="Z549">
            <v>3.928914E-2</v>
          </cell>
          <cell r="AB549" t="str">
            <v>2000VT</v>
          </cell>
          <cell r="AC549">
            <v>0</v>
          </cell>
          <cell r="AD549">
            <v>0</v>
          </cell>
          <cell r="AE549">
            <v>0.05</v>
          </cell>
          <cell r="AF549">
            <v>0.95</v>
          </cell>
        </row>
        <row r="550">
          <cell r="B550" t="str">
            <v>2000VA</v>
          </cell>
          <cell r="C550">
            <v>3.6475894465999116E-2</v>
          </cell>
          <cell r="D550">
            <v>8.3381021332055189E-2</v>
          </cell>
          <cell r="E550">
            <v>0.1447145573409338</v>
          </cell>
          <cell r="F550">
            <v>0.12297111874975931</v>
          </cell>
          <cell r="G550">
            <v>0.59584111556602282</v>
          </cell>
          <cell r="H550">
            <v>1.6616292545229935E-2</v>
          </cell>
          <cell r="J550" t="str">
            <v>2000VA</v>
          </cell>
          <cell r="K550">
            <v>0.25944432709304333</v>
          </cell>
          <cell r="L550">
            <v>0.59584111556602282</v>
          </cell>
          <cell r="M550">
            <v>0.1447145573409338</v>
          </cell>
          <cell r="U550" t="str">
            <v>2000VA</v>
          </cell>
          <cell r="V550">
            <v>3.9427946999999998E-2</v>
          </cell>
          <cell r="W550">
            <v>3.6305788999999998E-2</v>
          </cell>
          <cell r="X550">
            <v>7.6971705000000001E-2</v>
          </cell>
          <cell r="Y550">
            <v>0.53214935699999999</v>
          </cell>
          <cell r="Z550">
            <v>0.31514520200000001</v>
          </cell>
          <cell r="AB550" t="str">
            <v>2000VA</v>
          </cell>
          <cell r="AC550">
            <v>0</v>
          </cell>
          <cell r="AD550">
            <v>0</v>
          </cell>
          <cell r="AE550">
            <v>0.05</v>
          </cell>
          <cell r="AF550">
            <v>0.95</v>
          </cell>
        </row>
        <row r="551">
          <cell r="B551" t="str">
            <v>2000WA</v>
          </cell>
          <cell r="C551">
            <v>0.4626814008941752</v>
          </cell>
          <cell r="D551">
            <v>0.21940036730967979</v>
          </cell>
          <cell r="E551">
            <v>0</v>
          </cell>
          <cell r="F551">
            <v>0.11204966762530222</v>
          </cell>
          <cell r="G551">
            <v>0.19045051567788993</v>
          </cell>
          <cell r="H551">
            <v>1.541804849295292E-2</v>
          </cell>
          <cell r="J551" t="str">
            <v>2000WA</v>
          </cell>
          <cell r="K551">
            <v>0.80954948432211005</v>
          </cell>
          <cell r="L551">
            <v>0.19045051567788993</v>
          </cell>
          <cell r="M551">
            <v>0</v>
          </cell>
          <cell r="U551" t="str">
            <v>2000WA</v>
          </cell>
          <cell r="V551">
            <v>0.34367921200000001</v>
          </cell>
          <cell r="W551">
            <v>3.2431340000000003E-2</v>
          </cell>
          <cell r="X551">
            <v>0.17729521100000001</v>
          </cell>
          <cell r="Y551">
            <v>0.12663960399999999</v>
          </cell>
          <cell r="Z551">
            <v>0.31995463499999999</v>
          </cell>
          <cell r="AB551" t="str">
            <v>2000WA</v>
          </cell>
          <cell r="AC551">
            <v>0</v>
          </cell>
          <cell r="AD551">
            <v>0</v>
          </cell>
          <cell r="AE551">
            <v>0.12</v>
          </cell>
          <cell r="AF551">
            <v>0.88</v>
          </cell>
        </row>
        <row r="552">
          <cell r="B552" t="str">
            <v>2000WV</v>
          </cell>
          <cell r="C552">
            <v>5.5713783097623995E-2</v>
          </cell>
          <cell r="D552">
            <v>0.13933551308830175</v>
          </cell>
          <cell r="E552">
            <v>0.45646241502625912</v>
          </cell>
          <cell r="F552">
            <v>0.2432145985381913</v>
          </cell>
          <cell r="G552">
            <v>7.7374985254858863E-2</v>
          </cell>
          <cell r="H552">
            <v>2.7898704994765065E-2</v>
          </cell>
          <cell r="J552" t="str">
            <v>2000WV</v>
          </cell>
          <cell r="K552">
            <v>0.46616259971888208</v>
          </cell>
          <cell r="L552">
            <v>7.7374985254858863E-2</v>
          </cell>
          <cell r="M552">
            <v>0.45646241502625912</v>
          </cell>
          <cell r="U552" t="str">
            <v>2000WV</v>
          </cell>
          <cell r="V552">
            <v>0.51513740399999997</v>
          </cell>
          <cell r="W552">
            <v>2.2979044000000001E-2</v>
          </cell>
          <cell r="X552">
            <v>0.13203989599999999</v>
          </cell>
          <cell r="Y552">
            <v>9.6822375000000002E-2</v>
          </cell>
          <cell r="Z552">
            <v>0.233021281</v>
          </cell>
          <cell r="AB552" t="str">
            <v>2000WV</v>
          </cell>
          <cell r="AC552">
            <v>0</v>
          </cell>
          <cell r="AD552">
            <v>0</v>
          </cell>
          <cell r="AE552">
            <v>0.05</v>
          </cell>
          <cell r="AF552">
            <v>0.95</v>
          </cell>
        </row>
        <row r="553">
          <cell r="B553" t="str">
            <v>2000WI</v>
          </cell>
          <cell r="C553">
            <v>9.8110228626836396E-2</v>
          </cell>
          <cell r="D553">
            <v>0.21083333788698508</v>
          </cell>
          <cell r="E553">
            <v>0.13569679852135794</v>
          </cell>
          <cell r="F553">
            <v>0.43603103969351165</v>
          </cell>
          <cell r="G553">
            <v>8.0337905592246753E-2</v>
          </cell>
          <cell r="H553">
            <v>3.8990689679062052E-2</v>
          </cell>
          <cell r="J553" t="str">
            <v>2000WI</v>
          </cell>
          <cell r="K553">
            <v>0.7839652958863953</v>
          </cell>
          <cell r="L553">
            <v>8.0337905592246753E-2</v>
          </cell>
          <cell r="M553">
            <v>0.13569679852135794</v>
          </cell>
          <cell r="U553" t="str">
            <v>2000WI</v>
          </cell>
          <cell r="V553">
            <v>0.132732552</v>
          </cell>
          <cell r="W553">
            <v>4.1896249000000003E-2</v>
          </cell>
          <cell r="X553">
            <v>0.23531795999999999</v>
          </cell>
          <cell r="Y553">
            <v>0.17053849300000001</v>
          </cell>
          <cell r="Z553">
            <v>0.41951474500000002</v>
          </cell>
          <cell r="AB553" t="str">
            <v>2000WI</v>
          </cell>
          <cell r="AC553">
            <v>0</v>
          </cell>
          <cell r="AD553">
            <v>0</v>
          </cell>
          <cell r="AE553">
            <v>0.02</v>
          </cell>
          <cell r="AF553">
            <v>0.98</v>
          </cell>
        </row>
        <row r="554">
          <cell r="B554" t="str">
            <v>2000WY</v>
          </cell>
          <cell r="C554">
            <v>0.28743234351533831</v>
          </cell>
          <cell r="D554">
            <v>0.22627226307293014</v>
          </cell>
          <cell r="E554">
            <v>0.12744970747231177</v>
          </cell>
          <cell r="F554">
            <v>0.22415488465763844</v>
          </cell>
          <cell r="G554">
            <v>7.5455299448781571E-2</v>
          </cell>
          <cell r="H554">
            <v>5.9235501832999873E-2</v>
          </cell>
          <cell r="J554" t="str">
            <v>2000WY</v>
          </cell>
          <cell r="K554">
            <v>0.79709499307890663</v>
          </cell>
          <cell r="L554">
            <v>7.5455299448781571E-2</v>
          </cell>
          <cell r="M554">
            <v>0.12744970747231177</v>
          </cell>
          <cell r="U554" t="str">
            <v>2000WY</v>
          </cell>
          <cell r="V554">
            <v>3.8450467000000002E-2</v>
          </cell>
          <cell r="W554">
            <v>5.3256181999999999E-2</v>
          </cell>
          <cell r="X554">
            <v>0.25352733500000002</v>
          </cell>
          <cell r="Y554">
            <v>0.166393608</v>
          </cell>
          <cell r="Z554">
            <v>0.48837240700000001</v>
          </cell>
          <cell r="AB554" t="str">
            <v>2000WY</v>
          </cell>
          <cell r="AC554">
            <v>0</v>
          </cell>
          <cell r="AD554">
            <v>0</v>
          </cell>
          <cell r="AE554">
            <v>0.6</v>
          </cell>
          <cell r="AF554">
            <v>0.4</v>
          </cell>
        </row>
        <row r="555">
          <cell r="B555" t="str">
            <v>2001AL</v>
          </cell>
          <cell r="C555">
            <v>0.15452604926226265</v>
          </cell>
          <cell r="D555">
            <v>9.1340937276523385E-2</v>
          </cell>
          <cell r="E555">
            <v>0.16317977165765876</v>
          </cell>
          <cell r="F555">
            <v>0.10020626389625498</v>
          </cell>
          <cell r="G555">
            <v>0.48630007855170115</v>
          </cell>
          <cell r="H555">
            <v>4.44689935559888E-3</v>
          </cell>
          <cell r="J555" t="str">
            <v>2001AL</v>
          </cell>
          <cell r="K555">
            <v>0.35052014979064006</v>
          </cell>
          <cell r="L555">
            <v>0.48630007855170115</v>
          </cell>
          <cell r="M555">
            <v>0.16317977165765876</v>
          </cell>
          <cell r="U555" t="str">
            <v>2001AL</v>
          </cell>
          <cell r="V555">
            <v>6.3379710000000006E-2</v>
          </cell>
          <cell r="W555">
            <v>3.5927876999999997E-2</v>
          </cell>
          <cell r="X555">
            <v>9.1702209000000007E-2</v>
          </cell>
          <cell r="Y555">
            <v>0.48972430900000002</v>
          </cell>
          <cell r="Z555">
            <v>0.31926589500000002</v>
          </cell>
          <cell r="AB555" t="str">
            <v>2001AL</v>
          </cell>
          <cell r="AC555">
            <v>0</v>
          </cell>
          <cell r="AD555">
            <v>0</v>
          </cell>
          <cell r="AE555">
            <v>0.41899999999999998</v>
          </cell>
          <cell r="AF555">
            <v>0.58099999999999996</v>
          </cell>
        </row>
        <row r="556">
          <cell r="B556" t="str">
            <v>2001AK</v>
          </cell>
          <cell r="C556">
            <v>0.292537440183126</v>
          </cell>
          <cell r="D556">
            <v>0.22926169824080564</v>
          </cell>
          <cell r="E556">
            <v>8.3286121674823715E-2</v>
          </cell>
          <cell r="F556">
            <v>0.27220980994353239</v>
          </cell>
          <cell r="G556">
            <v>4.9308698902010062E-2</v>
          </cell>
          <cell r="H556">
            <v>7.3396231055702241E-2</v>
          </cell>
          <cell r="J556" t="str">
            <v>2001AK</v>
          </cell>
          <cell r="K556">
            <v>0.86740517942316619</v>
          </cell>
          <cell r="L556">
            <v>4.9308698902010062E-2</v>
          </cell>
          <cell r="M556">
            <v>8.3286121674823715E-2</v>
          </cell>
          <cell r="U556" t="str">
            <v>2001AK</v>
          </cell>
          <cell r="V556">
            <v>0.62106060399999996</v>
          </cell>
          <cell r="W556">
            <v>1.6673332999999999E-2</v>
          </cell>
          <cell r="X556">
            <v>0.10458727299999999</v>
          </cell>
          <cell r="Y556">
            <v>7.9956211999999999E-2</v>
          </cell>
          <cell r="Z556">
            <v>0.17772257699999999</v>
          </cell>
          <cell r="AB556" t="str">
            <v>2001AK</v>
          </cell>
          <cell r="AC556">
            <v>0</v>
          </cell>
          <cell r="AD556">
            <v>0</v>
          </cell>
          <cell r="AE556">
            <v>0.25</v>
          </cell>
          <cell r="AF556">
            <v>0.75</v>
          </cell>
        </row>
        <row r="557">
          <cell r="B557" t="str">
            <v>2001AZ</v>
          </cell>
          <cell r="C557">
            <v>0.61066356556686596</v>
          </cell>
          <cell r="D557">
            <v>0.19683983895712734</v>
          </cell>
          <cell r="E557">
            <v>9.8383799063414948E-2</v>
          </cell>
          <cell r="F557">
            <v>9.3613648525950208E-2</v>
          </cell>
          <cell r="G557">
            <v>0</v>
          </cell>
          <cell r="H557">
            <v>4.9914788664147717E-4</v>
          </cell>
          <cell r="J557" t="str">
            <v>2001AZ</v>
          </cell>
          <cell r="K557">
            <v>0.90161620093658501</v>
          </cell>
          <cell r="L557">
            <v>0</v>
          </cell>
          <cell r="M557">
            <v>9.8383799063414948E-2</v>
          </cell>
          <cell r="U557" t="str">
            <v>2001AZ</v>
          </cell>
          <cell r="V557">
            <v>0.122040811</v>
          </cell>
          <cell r="W557">
            <v>3.3071529000000002E-2</v>
          </cell>
          <cell r="X557">
            <v>6.6821426000000003E-2</v>
          </cell>
          <cell r="Y557">
            <v>0.49256470600000002</v>
          </cell>
          <cell r="Z557">
            <v>0.285501528</v>
          </cell>
          <cell r="AB557" t="str">
            <v>2001AZ</v>
          </cell>
          <cell r="AC557">
            <v>0</v>
          </cell>
          <cell r="AD557">
            <v>0</v>
          </cell>
          <cell r="AE557">
            <v>0.6</v>
          </cell>
          <cell r="AF557">
            <v>0.4</v>
          </cell>
        </row>
        <row r="558">
          <cell r="B558" t="str">
            <v>2001AR</v>
          </cell>
          <cell r="C558">
            <v>8.8799573863684714E-2</v>
          </cell>
          <cell r="D558">
            <v>6.2746615277499251E-2</v>
          </cell>
          <cell r="E558">
            <v>0.14693168624425226</v>
          </cell>
          <cell r="F558">
            <v>0.113204557049567</v>
          </cell>
          <cell r="G558">
            <v>0.58268846024894128</v>
          </cell>
          <cell r="H558">
            <v>5.6291073160556603E-3</v>
          </cell>
          <cell r="J558" t="str">
            <v>2001AR</v>
          </cell>
          <cell r="K558">
            <v>0.27037985350680649</v>
          </cell>
          <cell r="L558">
            <v>0.58268846024894128</v>
          </cell>
          <cell r="M558">
            <v>0.14693168624425226</v>
          </cell>
          <cell r="U558" t="str">
            <v>2001AR</v>
          </cell>
          <cell r="V558">
            <v>3.5474551999999999E-2</v>
          </cell>
          <cell r="W558">
            <v>3.7687677000000003E-2</v>
          </cell>
          <cell r="X558">
            <v>0.11619919300000001</v>
          </cell>
          <cell r="Y558">
            <v>0.46620176800000002</v>
          </cell>
          <cell r="Z558">
            <v>0.34443680999999998</v>
          </cell>
          <cell r="AB558" t="str">
            <v>2001AR</v>
          </cell>
          <cell r="AC558">
            <v>0</v>
          </cell>
          <cell r="AD558">
            <v>0</v>
          </cell>
          <cell r="AE558">
            <v>0</v>
          </cell>
          <cell r="AF558">
            <v>1</v>
          </cell>
        </row>
        <row r="559">
          <cell r="B559" t="str">
            <v>2001CA</v>
          </cell>
          <cell r="C559">
            <v>0.57911866075532703</v>
          </cell>
          <cell r="D559">
            <v>0.20831208937001458</v>
          </cell>
          <cell r="E559">
            <v>0.10849181512099904</v>
          </cell>
          <cell r="F559">
            <v>9.2042958470053754E-2</v>
          </cell>
          <cell r="G559">
            <v>9.7333870052621584E-3</v>
          </cell>
          <cell r="H559">
            <v>2.3010892783432964E-3</v>
          </cell>
          <cell r="J559" t="str">
            <v>2001CA</v>
          </cell>
          <cell r="K559">
            <v>0.8817747978737388</v>
          </cell>
          <cell r="L559">
            <v>9.7333870052621584E-3</v>
          </cell>
          <cell r="M559">
            <v>0.10849181512099904</v>
          </cell>
          <cell r="U559" t="str">
            <v>2001CA</v>
          </cell>
          <cell r="V559">
            <v>0.12622599700000001</v>
          </cell>
          <cell r="W559">
            <v>3.3213632E-2</v>
          </cell>
          <cell r="X559">
            <v>7.5966513999999999E-2</v>
          </cell>
          <cell r="Y559">
            <v>0.47364463099999998</v>
          </cell>
          <cell r="Z559">
            <v>0.29094922600000001</v>
          </cell>
          <cell r="AB559" t="str">
            <v>2001CA</v>
          </cell>
          <cell r="AC559">
            <v>0</v>
          </cell>
          <cell r="AD559">
            <v>0</v>
          </cell>
          <cell r="AE559">
            <v>0.12</v>
          </cell>
          <cell r="AF559">
            <v>0.88</v>
          </cell>
        </row>
        <row r="560">
          <cell r="B560" t="str">
            <v>2001CO</v>
          </cell>
          <cell r="C560">
            <v>0.60445179294146667</v>
          </cell>
          <cell r="D560">
            <v>0.24693453064410317</v>
          </cell>
          <cell r="E560">
            <v>1.3285468290908816E-2</v>
          </cell>
          <cell r="F560">
            <v>0.11750242144338718</v>
          </cell>
          <cell r="G560">
            <v>7.8655260030753658E-3</v>
          </cell>
          <cell r="H560">
            <v>9.960260677058682E-3</v>
          </cell>
          <cell r="J560" t="str">
            <v>2001CO</v>
          </cell>
          <cell r="K560">
            <v>0.97884900570601585</v>
          </cell>
          <cell r="L560">
            <v>7.8655260030753658E-3</v>
          </cell>
          <cell r="M560">
            <v>1.3285468290908816E-2</v>
          </cell>
          <cell r="U560" t="str">
            <v>2001CO</v>
          </cell>
          <cell r="V560">
            <v>2.3700479E-2</v>
          </cell>
          <cell r="W560">
            <v>5.3874324000000001E-2</v>
          </cell>
          <cell r="X560">
            <v>0.25763176100000001</v>
          </cell>
          <cell r="Y560">
            <v>0.16960871599999999</v>
          </cell>
          <cell r="Z560">
            <v>0.49518472000000002</v>
          </cell>
          <cell r="AB560" t="str">
            <v>2001CO</v>
          </cell>
          <cell r="AC560">
            <v>0</v>
          </cell>
          <cell r="AD560">
            <v>0</v>
          </cell>
          <cell r="AE560">
            <v>0.6</v>
          </cell>
          <cell r="AF560">
            <v>0.4</v>
          </cell>
        </row>
        <row r="561">
          <cell r="B561" t="str">
            <v>2001CT</v>
          </cell>
          <cell r="C561">
            <v>0.10738487460098185</v>
          </cell>
          <cell r="D561">
            <v>0.19411613372425637</v>
          </cell>
          <cell r="E561">
            <v>0.43380447680129214</v>
          </cell>
          <cell r="F561">
            <v>0.18303801389647759</v>
          </cell>
          <cell r="G561">
            <v>5.6936433316811599E-2</v>
          </cell>
          <cell r="H561">
            <v>2.4720067660180506E-2</v>
          </cell>
          <cell r="J561" t="str">
            <v>2001CT</v>
          </cell>
          <cell r="K561">
            <v>0.50925908988189628</v>
          </cell>
          <cell r="L561">
            <v>5.6936433316811599E-2</v>
          </cell>
          <cell r="M561">
            <v>0.43380447680129214</v>
          </cell>
          <cell r="U561" t="str">
            <v>2001CT</v>
          </cell>
          <cell r="V561">
            <v>0.57935227</v>
          </cell>
          <cell r="W561">
            <v>1.8508500000000001E-2</v>
          </cell>
          <cell r="X561">
            <v>0.116098773</v>
          </cell>
          <cell r="Y561">
            <v>8.8756670999999995E-2</v>
          </cell>
          <cell r="Z561">
            <v>0.19728378499999999</v>
          </cell>
          <cell r="AB561" t="str">
            <v>2001CT</v>
          </cell>
          <cell r="AC561">
            <v>0</v>
          </cell>
          <cell r="AD561">
            <v>0</v>
          </cell>
          <cell r="AE561">
            <v>0.05</v>
          </cell>
          <cell r="AF561">
            <v>0.95</v>
          </cell>
        </row>
        <row r="562">
          <cell r="B562" t="str">
            <v>2001DE</v>
          </cell>
          <cell r="C562">
            <v>9.181812862439008E-2</v>
          </cell>
          <cell r="D562">
            <v>0.18064274582299022</v>
          </cell>
          <cell r="E562">
            <v>0.44063279726983451</v>
          </cell>
          <cell r="F562">
            <v>0.19888487181705006</v>
          </cell>
          <cell r="G562">
            <v>6.3095907367815632E-2</v>
          </cell>
          <cell r="H562">
            <v>2.4925549097919521E-2</v>
          </cell>
          <cell r="J562" t="str">
            <v>2001DE</v>
          </cell>
          <cell r="K562">
            <v>0.49627129536234982</v>
          </cell>
          <cell r="L562">
            <v>6.3095907367815632E-2</v>
          </cell>
          <cell r="M562">
            <v>0.44063279726983451</v>
          </cell>
          <cell r="U562" t="str">
            <v>2001DE</v>
          </cell>
          <cell r="V562">
            <v>0.11914625299999999</v>
          </cell>
          <cell r="W562">
            <v>4.2436859E-2</v>
          </cell>
          <cell r="X562">
            <v>0.23912973200000001</v>
          </cell>
          <cell r="Y562">
            <v>0.17359582600000001</v>
          </cell>
          <cell r="Z562">
            <v>0.42569132900000001</v>
          </cell>
          <cell r="AB562" t="str">
            <v>2001DE</v>
          </cell>
          <cell r="AC562">
            <v>0</v>
          </cell>
          <cell r="AD562">
            <v>0</v>
          </cell>
          <cell r="AE562">
            <v>0.05</v>
          </cell>
          <cell r="AF562">
            <v>0.95</v>
          </cell>
        </row>
        <row r="563">
          <cell r="B563" t="str">
            <v>2001FL</v>
          </cell>
          <cell r="C563">
            <v>0.39615689717087532</v>
          </cell>
          <cell r="D563">
            <v>0.14599879203590171</v>
          </cell>
          <cell r="E563">
            <v>0.21802865311397029</v>
          </cell>
          <cell r="F563">
            <v>7.7785954192067644E-2</v>
          </cell>
          <cell r="G563">
            <v>0.16092051616243697</v>
          </cell>
          <cell r="H563">
            <v>1.1091873247480563E-3</v>
          </cell>
          <cell r="J563" t="str">
            <v>2001FL</v>
          </cell>
          <cell r="K563">
            <v>0.62105083072359268</v>
          </cell>
          <cell r="L563">
            <v>0.16092051616243697</v>
          </cell>
          <cell r="M563">
            <v>0.21802865311397029</v>
          </cell>
          <cell r="U563" t="str">
            <v>2001FL</v>
          </cell>
          <cell r="V563">
            <v>0.69268118700000003</v>
          </cell>
          <cell r="W563">
            <v>1.3522028E-2</v>
          </cell>
          <cell r="X563">
            <v>8.4819991999999997E-2</v>
          </cell>
          <cell r="Y563">
            <v>6.4844268999999996E-2</v>
          </cell>
          <cell r="Z563">
            <v>0.14413252300000001</v>
          </cell>
          <cell r="AB563" t="str">
            <v>2001FL</v>
          </cell>
          <cell r="AC563">
            <v>0</v>
          </cell>
          <cell r="AD563">
            <v>0</v>
          </cell>
          <cell r="AE563">
            <v>0.41899999999999998</v>
          </cell>
          <cell r="AF563">
            <v>0.58099999999999996</v>
          </cell>
        </row>
        <row r="564">
          <cell r="B564" t="str">
            <v>2001GA</v>
          </cell>
          <cell r="C564">
            <v>0.19273069744191781</v>
          </cell>
          <cell r="D564">
            <v>0.10555474279279485</v>
          </cell>
          <cell r="E564">
            <v>0.17295655404371213</v>
          </cell>
          <cell r="F564">
            <v>9.6506118471406332E-2</v>
          </cell>
          <cell r="G564">
            <v>0.42830135387610352</v>
          </cell>
          <cell r="H564">
            <v>3.9505333740652553E-3</v>
          </cell>
          <cell r="J564" t="str">
            <v>2001GA</v>
          </cell>
          <cell r="K564">
            <v>0.3987420920801843</v>
          </cell>
          <cell r="L564">
            <v>0.42830135387610352</v>
          </cell>
          <cell r="M564">
            <v>0.17295655404371213</v>
          </cell>
          <cell r="U564" t="str">
            <v>2001GA</v>
          </cell>
          <cell r="V564">
            <v>8.0750719999999998E-2</v>
          </cell>
          <cell r="W564">
            <v>3.5715670999999997E-2</v>
          </cell>
          <cell r="X564">
            <v>0.10433897</v>
          </cell>
          <cell r="Y564">
            <v>0.45553477799999997</v>
          </cell>
          <cell r="Z564">
            <v>0.32365986200000002</v>
          </cell>
          <cell r="AB564" t="str">
            <v>2001GA</v>
          </cell>
          <cell r="AC564">
            <v>0</v>
          </cell>
          <cell r="AD564">
            <v>0</v>
          </cell>
          <cell r="AE564">
            <v>0.41899999999999998</v>
          </cell>
          <cell r="AF564">
            <v>0.58099999999999996</v>
          </cell>
        </row>
        <row r="565">
          <cell r="B565" t="str">
            <v>2001HI</v>
          </cell>
          <cell r="C565">
            <v>0.64293450136661257</v>
          </cell>
          <cell r="D565">
            <v>0.21080842362338434</v>
          </cell>
          <cell r="E565">
            <v>0</v>
          </cell>
          <cell r="F565">
            <v>0.11187896607757755</v>
          </cell>
          <cell r="G565">
            <v>2.9738451123291681E-2</v>
          </cell>
          <cell r="H565">
            <v>4.6396578091335485E-3</v>
          </cell>
          <cell r="J565" t="str">
            <v>2001HI</v>
          </cell>
          <cell r="K565">
            <v>0.97026154887670835</v>
          </cell>
          <cell r="L565">
            <v>2.9738451123291681E-2</v>
          </cell>
          <cell r="M565">
            <v>0</v>
          </cell>
          <cell r="U565" t="str">
            <v>2001HI</v>
          </cell>
          <cell r="V565">
            <v>0.25719484500000001</v>
          </cell>
          <cell r="W565">
            <v>3.1979661E-2</v>
          </cell>
          <cell r="X565">
            <v>0.18279532000000001</v>
          </cell>
          <cell r="Y565">
            <v>0.19564010200000001</v>
          </cell>
          <cell r="Z565">
            <v>0.33239007300000001</v>
          </cell>
          <cell r="AB565" t="str">
            <v>2001HI</v>
          </cell>
          <cell r="AC565">
            <v>0</v>
          </cell>
          <cell r="AD565">
            <v>0</v>
          </cell>
          <cell r="AE565">
            <v>0.25</v>
          </cell>
          <cell r="AF565">
            <v>0.75</v>
          </cell>
        </row>
        <row r="566">
          <cell r="B566" t="str">
            <v>2001ID</v>
          </cell>
          <cell r="C566">
            <v>0.61430166883381587</v>
          </cell>
          <cell r="D566">
            <v>0.23588808139293274</v>
          </cell>
          <cell r="E566">
            <v>8.7687239881535685E-3</v>
          </cell>
          <cell r="F566">
            <v>0.12473532172122244</v>
          </cell>
          <cell r="G566">
            <v>5.1914336049267377E-3</v>
          </cell>
          <cell r="H566">
            <v>1.1114770458948466E-2</v>
          </cell>
          <cell r="J566" t="str">
            <v>2001ID</v>
          </cell>
          <cell r="K566">
            <v>0.98603984240691966</v>
          </cell>
          <cell r="L566">
            <v>5.1914336049267377E-3</v>
          </cell>
          <cell r="M566">
            <v>8.7687239881535685E-3</v>
          </cell>
          <cell r="U566" t="str">
            <v>2001ID</v>
          </cell>
          <cell r="V566">
            <v>0.43587902499999998</v>
          </cell>
          <cell r="W566">
            <v>2.7990579000000002E-2</v>
          </cell>
          <cell r="X566">
            <v>0.152264028</v>
          </cell>
          <cell r="Y566">
            <v>0.10846533799999999</v>
          </cell>
          <cell r="Z566">
            <v>0.27540102999999999</v>
          </cell>
          <cell r="AB566" t="str">
            <v>2001ID</v>
          </cell>
          <cell r="AC566">
            <v>0</v>
          </cell>
          <cell r="AD566">
            <v>0</v>
          </cell>
          <cell r="AE566">
            <v>0.6</v>
          </cell>
          <cell r="AF566">
            <v>0.4</v>
          </cell>
        </row>
        <row r="567">
          <cell r="B567" t="str">
            <v>2001IL</v>
          </cell>
          <cell r="C567">
            <v>0.11752980811051092</v>
          </cell>
          <cell r="D567">
            <v>0.24611444193150428</v>
          </cell>
          <cell r="E567">
            <v>8.9366883832010871E-2</v>
          </cell>
          <cell r="F567">
            <v>0.44743179590562965</v>
          </cell>
          <cell r="G567">
            <v>5.2908752119449204E-2</v>
          </cell>
          <cell r="H567">
            <v>4.6648318100895154E-2</v>
          </cell>
          <cell r="J567" t="str">
            <v>2001IL</v>
          </cell>
          <cell r="K567">
            <v>0.85772436404853991</v>
          </cell>
          <cell r="L567">
            <v>5.2908752119449204E-2</v>
          </cell>
          <cell r="M567">
            <v>8.9366883832010871E-2</v>
          </cell>
          <cell r="U567" t="str">
            <v>2001IL</v>
          </cell>
          <cell r="V567">
            <v>2.4653621000000001E-2</v>
          </cell>
          <cell r="W567">
            <v>4.5417750999999999E-2</v>
          </cell>
          <cell r="X567">
            <v>0.27858001399999999</v>
          </cell>
          <cell r="Y567">
            <v>0.151368487</v>
          </cell>
          <cell r="Z567">
            <v>0.499980127</v>
          </cell>
          <cell r="AB567" t="str">
            <v>2001IL</v>
          </cell>
          <cell r="AC567">
            <v>0</v>
          </cell>
          <cell r="AD567">
            <v>0</v>
          </cell>
          <cell r="AE567">
            <v>0.02</v>
          </cell>
          <cell r="AF567">
            <v>0.98</v>
          </cell>
        </row>
        <row r="568">
          <cell r="B568" t="str">
            <v>2001IN</v>
          </cell>
          <cell r="C568">
            <v>0.13949762266810836</v>
          </cell>
          <cell r="D568">
            <v>0.22540591023217604</v>
          </cell>
          <cell r="E568">
            <v>0.14373555211257233</v>
          </cell>
          <cell r="F568">
            <v>0.37023579731477485</v>
          </cell>
          <cell r="G568">
            <v>8.5097167668637327E-2</v>
          </cell>
          <cell r="H568">
            <v>3.6027950003731081E-2</v>
          </cell>
          <cell r="J568" t="str">
            <v>2001IN</v>
          </cell>
          <cell r="K568">
            <v>0.77116728021879033</v>
          </cell>
          <cell r="L568">
            <v>8.5097167668637327E-2</v>
          </cell>
          <cell r="M568">
            <v>0.14373555211257233</v>
          </cell>
          <cell r="U568" t="str">
            <v>2001IN</v>
          </cell>
          <cell r="V568">
            <v>2.9254426E-2</v>
          </cell>
          <cell r="W568">
            <v>4.5261148000000001E-2</v>
          </cell>
          <cell r="X568">
            <v>0.277482063</v>
          </cell>
          <cell r="Y568">
            <v>0.14940086399999999</v>
          </cell>
          <cell r="Z568">
            <v>0.498601499</v>
          </cell>
          <cell r="AB568" t="str">
            <v>2001IN</v>
          </cell>
          <cell r="AC568">
            <v>0</v>
          </cell>
          <cell r="AD568">
            <v>0</v>
          </cell>
          <cell r="AE568">
            <v>0</v>
          </cell>
          <cell r="AF568">
            <v>1</v>
          </cell>
        </row>
        <row r="569">
          <cell r="B569" t="str">
            <v>2001IA</v>
          </cell>
          <cell r="C569">
            <v>0.12161098135776444</v>
          </cell>
          <cell r="D569">
            <v>0.23304307399039556</v>
          </cell>
          <cell r="E569">
            <v>0.11756752945199038</v>
          </cell>
          <cell r="F569">
            <v>0.41825171211270906</v>
          </cell>
          <cell r="G569">
            <v>6.960465674023314E-2</v>
          </cell>
          <cell r="H569">
            <v>3.9922046346907297E-2</v>
          </cell>
          <cell r="J569" t="str">
            <v>2001IA</v>
          </cell>
          <cell r="K569">
            <v>0.81282781380777647</v>
          </cell>
          <cell r="L569">
            <v>6.960465674023314E-2</v>
          </cell>
          <cell r="M569">
            <v>0.11756752945199038</v>
          </cell>
          <cell r="U569" t="str">
            <v>2001IA</v>
          </cell>
          <cell r="V569">
            <v>1.3297399999999999E-2</v>
          </cell>
          <cell r="W569">
            <v>3.8853431000000001E-2</v>
          </cell>
          <cell r="X569">
            <v>0.12831735699999999</v>
          </cell>
          <cell r="Y569">
            <v>0.46037914000000002</v>
          </cell>
          <cell r="Z569">
            <v>0.35915267299999998</v>
          </cell>
          <cell r="AB569" t="str">
            <v>2001IA</v>
          </cell>
          <cell r="AC569">
            <v>0</v>
          </cell>
          <cell r="AD569">
            <v>0</v>
          </cell>
          <cell r="AE569">
            <v>0</v>
          </cell>
          <cell r="AF569">
            <v>1</v>
          </cell>
        </row>
        <row r="570">
          <cell r="B570" t="str">
            <v>2001KS</v>
          </cell>
          <cell r="C570">
            <v>0.24040229240750161</v>
          </cell>
          <cell r="D570">
            <v>0.29511144451605525</v>
          </cell>
          <cell r="E570">
            <v>6.8375025993027055E-2</v>
          </cell>
          <cell r="F570">
            <v>0.3240311234528549</v>
          </cell>
          <cell r="G570">
            <v>4.048073678194139E-2</v>
          </cell>
          <cell r="H570">
            <v>3.1599376848619833E-2</v>
          </cell>
          <cell r="J570" t="str">
            <v>2001KS</v>
          </cell>
          <cell r="K570">
            <v>0.89114423722503155</v>
          </cell>
          <cell r="L570">
            <v>4.048073678194139E-2</v>
          </cell>
          <cell r="M570">
            <v>6.8375025993027055E-2</v>
          </cell>
          <cell r="U570" t="str">
            <v>2001KS</v>
          </cell>
          <cell r="V570">
            <v>3.0161084000000001E-2</v>
          </cell>
          <cell r="W570">
            <v>4.5849022000000003E-2</v>
          </cell>
          <cell r="X570">
            <v>0.27958595200000003</v>
          </cell>
          <cell r="Y570">
            <v>0.13555563000000001</v>
          </cell>
          <cell r="Z570">
            <v>0.508848313</v>
          </cell>
          <cell r="AB570" t="str">
            <v>2001KS</v>
          </cell>
          <cell r="AC570">
            <v>0</v>
          </cell>
          <cell r="AD570">
            <v>0</v>
          </cell>
          <cell r="AE570">
            <v>0.02</v>
          </cell>
          <cell r="AF570">
            <v>0.98</v>
          </cell>
        </row>
        <row r="571">
          <cell r="B571" t="str">
            <v>2001KY</v>
          </cell>
          <cell r="C571">
            <v>2.1296812132125385E-2</v>
          </cell>
          <cell r="D571">
            <v>5.9856516434609569E-2</v>
          </cell>
          <cell r="E571">
            <v>0.14115090640569064</v>
          </cell>
          <cell r="F571">
            <v>0.14570543899354471</v>
          </cell>
          <cell r="G571">
            <v>0.61698173231207498</v>
          </cell>
          <cell r="H571">
            <v>1.5008593721954745E-2</v>
          </cell>
          <cell r="J571" t="str">
            <v>2001KY</v>
          </cell>
          <cell r="K571">
            <v>0.24186736128223441</v>
          </cell>
          <cell r="L571">
            <v>0.61698173231207498</v>
          </cell>
          <cell r="M571">
            <v>0.14115090640569064</v>
          </cell>
          <cell r="U571" t="str">
            <v>2001KY</v>
          </cell>
          <cell r="V571">
            <v>5.3776006000000001E-2</v>
          </cell>
          <cell r="W571">
            <v>3.7324938000000002E-2</v>
          </cell>
          <cell r="X571">
            <v>0.12511914399999999</v>
          </cell>
          <cell r="Y571">
            <v>0.43787483999999999</v>
          </cell>
          <cell r="Z571">
            <v>0.34590507199999998</v>
          </cell>
          <cell r="AB571" t="str">
            <v>2001KY</v>
          </cell>
          <cell r="AC571">
            <v>0</v>
          </cell>
          <cell r="AD571">
            <v>0</v>
          </cell>
          <cell r="AE571">
            <v>0.05</v>
          </cell>
          <cell r="AF571">
            <v>0.95</v>
          </cell>
        </row>
        <row r="572">
          <cell r="B572" t="str">
            <v>2001LA</v>
          </cell>
          <cell r="C572">
            <v>8.7952070275395616E-2</v>
          </cell>
          <cell r="D572">
            <v>6.4331431129071887E-2</v>
          </cell>
          <cell r="E572">
            <v>0.14508869818133804</v>
          </cell>
          <cell r="F572">
            <v>0.10386100500791073</v>
          </cell>
          <cell r="G572">
            <v>0.59362160297633304</v>
          </cell>
          <cell r="H572">
            <v>5.1451924299507016E-3</v>
          </cell>
          <cell r="J572" t="str">
            <v>2001LA</v>
          </cell>
          <cell r="K572">
            <v>0.26128969884232889</v>
          </cell>
          <cell r="L572">
            <v>0.59362160297633304</v>
          </cell>
          <cell r="M572">
            <v>0.14508869818133804</v>
          </cell>
          <cell r="U572" t="str">
            <v>2001LA</v>
          </cell>
          <cell r="V572">
            <v>0.55095465899999996</v>
          </cell>
          <cell r="W572">
            <v>1.9757995E-2</v>
          </cell>
          <cell r="X572">
            <v>0.123936514</v>
          </cell>
          <cell r="Y572">
            <v>9.4748567000000006E-2</v>
          </cell>
          <cell r="Z572">
            <v>0.21060226500000001</v>
          </cell>
          <cell r="AB572" t="str">
            <v>2001LA</v>
          </cell>
          <cell r="AC572">
            <v>0</v>
          </cell>
          <cell r="AD572">
            <v>0</v>
          </cell>
          <cell r="AE572">
            <v>0.6</v>
          </cell>
          <cell r="AF572">
            <v>0.4</v>
          </cell>
        </row>
        <row r="573">
          <cell r="B573" t="str">
            <v>2001ME</v>
          </cell>
          <cell r="C573">
            <v>8.3237260225509993E-2</v>
          </cell>
          <cell r="D573">
            <v>0.16100059153880975</v>
          </cell>
          <cell r="E573">
            <v>0.45255337984497107</v>
          </cell>
          <cell r="F573">
            <v>0.2087608964134065</v>
          </cell>
          <cell r="G573">
            <v>7.3848847184080094E-2</v>
          </cell>
          <cell r="H573">
            <v>2.0599024793222575E-2</v>
          </cell>
          <cell r="J573" t="str">
            <v>2001ME</v>
          </cell>
          <cell r="K573">
            <v>0.47359777297094885</v>
          </cell>
          <cell r="L573">
            <v>7.3848847184080094E-2</v>
          </cell>
          <cell r="M573">
            <v>0.45255337984497107</v>
          </cell>
          <cell r="U573" t="str">
            <v>2001ME</v>
          </cell>
          <cell r="V573">
            <v>0.78336161599999998</v>
          </cell>
          <cell r="W573">
            <v>9.5320890000000005E-3</v>
          </cell>
          <cell r="X573">
            <v>5.9792194E-2</v>
          </cell>
          <cell r="Y573">
            <v>4.5710699E-2</v>
          </cell>
          <cell r="Z573">
            <v>0.101603402</v>
          </cell>
          <cell r="AB573" t="str">
            <v>2001ME</v>
          </cell>
          <cell r="AC573">
            <v>0</v>
          </cell>
          <cell r="AD573">
            <v>0</v>
          </cell>
          <cell r="AE573">
            <v>0.05</v>
          </cell>
          <cell r="AF573">
            <v>0.95</v>
          </cell>
        </row>
        <row r="574">
          <cell r="B574" t="str">
            <v>2001MD</v>
          </cell>
          <cell r="C574">
            <v>7.2058863510237894E-2</v>
          </cell>
          <cell r="D574">
            <v>0.15012568562479242</v>
          </cell>
          <cell r="E574">
            <v>0.44610893570203869</v>
          </cell>
          <cell r="F574">
            <v>0.23328830319187582</v>
          </cell>
          <cell r="G574">
            <v>6.8035648073932004E-2</v>
          </cell>
          <cell r="H574">
            <v>3.0382563897123117E-2</v>
          </cell>
          <cell r="J574" t="str">
            <v>2001MD</v>
          </cell>
          <cell r="K574">
            <v>0.48585541622402928</v>
          </cell>
          <cell r="L574">
            <v>6.8035648073932004E-2</v>
          </cell>
          <cell r="M574">
            <v>0.44610893570203869</v>
          </cell>
          <cell r="U574" t="str">
            <v>2001MD</v>
          </cell>
          <cell r="V574">
            <v>0.207727785</v>
          </cell>
          <cell r="W574">
            <v>3.7949653999999999E-2</v>
          </cell>
          <cell r="X574">
            <v>0.21531998099999999</v>
          </cell>
          <cell r="Y574">
            <v>0.15687051499999999</v>
          </cell>
          <cell r="Z574">
            <v>0.38213206399999999</v>
          </cell>
          <cell r="AB574" t="str">
            <v>2001MD</v>
          </cell>
          <cell r="AC574">
            <v>0</v>
          </cell>
          <cell r="AD574">
            <v>0</v>
          </cell>
          <cell r="AE574">
            <v>0.05</v>
          </cell>
          <cell r="AF574">
            <v>0.95</v>
          </cell>
        </row>
        <row r="575">
          <cell r="B575" t="str">
            <v>2001MA</v>
          </cell>
          <cell r="C575">
            <v>5.8117003727455652E-2</v>
          </cell>
          <cell r="D575">
            <v>0.14489187340718115</v>
          </cell>
          <cell r="E575">
            <v>0.4533193396295096</v>
          </cell>
          <cell r="F575">
            <v>0.24049537446963945</v>
          </cell>
          <cell r="G575">
            <v>7.4539779813664817E-2</v>
          </cell>
          <cell r="H575">
            <v>2.8636628952549422E-2</v>
          </cell>
          <cell r="J575" t="str">
            <v>2001MA</v>
          </cell>
          <cell r="K575">
            <v>0.47214088055682557</v>
          </cell>
          <cell r="L575">
            <v>7.4539779813664817E-2</v>
          </cell>
          <cell r="M575">
            <v>0.4533193396295096</v>
          </cell>
          <cell r="U575" t="str">
            <v>2001MA</v>
          </cell>
          <cell r="V575">
            <v>0.33619639600000001</v>
          </cell>
          <cell r="W575">
            <v>2.9207358999999999E-2</v>
          </cell>
          <cell r="X575">
            <v>0.18320979500000001</v>
          </cell>
          <cell r="Y575">
            <v>0.14006256</v>
          </cell>
          <cell r="Z575">
            <v>0.31132388999999999</v>
          </cell>
          <cell r="AB575" t="str">
            <v>2001MA</v>
          </cell>
          <cell r="AC575">
            <v>0</v>
          </cell>
          <cell r="AD575">
            <v>0</v>
          </cell>
          <cell r="AE575">
            <v>0.05</v>
          </cell>
          <cell r="AF575">
            <v>0.95</v>
          </cell>
        </row>
        <row r="576">
          <cell r="B576" t="str">
            <v>2001MI</v>
          </cell>
          <cell r="C576">
            <v>0.19597637786778982</v>
          </cell>
          <cell r="D576">
            <v>0.31645192581103965</v>
          </cell>
          <cell r="E576">
            <v>6.6492213268677103E-2</v>
          </cell>
          <cell r="F576">
            <v>0.34033100898805096</v>
          </cell>
          <cell r="G576">
            <v>3.9366036711306333E-2</v>
          </cell>
          <cell r="H576">
            <v>4.138243735313607E-2</v>
          </cell>
          <cell r="J576" t="str">
            <v>2001MI</v>
          </cell>
          <cell r="K576">
            <v>0.89414175002001661</v>
          </cell>
          <cell r="L576">
            <v>3.9366036711306333E-2</v>
          </cell>
          <cell r="M576">
            <v>6.6492213268677103E-2</v>
          </cell>
          <cell r="U576" t="str">
            <v>2001MI</v>
          </cell>
          <cell r="V576">
            <v>4.9171380000000001E-2</v>
          </cell>
          <cell r="W576">
            <v>5.0025455000000003E-2</v>
          </cell>
          <cell r="X576">
            <v>0.25355728700000002</v>
          </cell>
          <cell r="Y576">
            <v>0.17332818799999999</v>
          </cell>
          <cell r="Z576">
            <v>0.47391769</v>
          </cell>
          <cell r="AB576" t="str">
            <v>2001MI</v>
          </cell>
          <cell r="AC576">
            <v>0</v>
          </cell>
          <cell r="AD576">
            <v>0</v>
          </cell>
          <cell r="AE576">
            <v>0.02</v>
          </cell>
          <cell r="AF576">
            <v>0.98</v>
          </cell>
        </row>
        <row r="577">
          <cell r="B577" t="str">
            <v>2001MN</v>
          </cell>
          <cell r="C577">
            <v>0.1029748495911046</v>
          </cell>
          <cell r="D577">
            <v>0.22267939011813431</v>
          </cell>
          <cell r="E577">
            <v>0.11844384616958983</v>
          </cell>
          <cell r="F577">
            <v>0.44052479539245526</v>
          </cell>
          <cell r="G577">
            <v>7.0123471115329267E-2</v>
          </cell>
          <cell r="H577">
            <v>4.5253647613386648E-2</v>
          </cell>
          <cell r="J577" t="str">
            <v>2001MN</v>
          </cell>
          <cell r="K577">
            <v>0.81143268271508084</v>
          </cell>
          <cell r="L577">
            <v>7.0123471115329267E-2</v>
          </cell>
          <cell r="M577">
            <v>0.11844384616958983</v>
          </cell>
          <cell r="U577" t="str">
            <v>2001MN</v>
          </cell>
          <cell r="V577">
            <v>1.83351E-2</v>
          </cell>
          <cell r="W577">
            <v>5.1437587999999999E-2</v>
          </cell>
          <cell r="X577">
            <v>0.26200815199999999</v>
          </cell>
          <cell r="Y577">
            <v>0.17965018599999999</v>
          </cell>
          <cell r="Z577">
            <v>0.48856897399999999</v>
          </cell>
          <cell r="AB577" t="str">
            <v>2001MN</v>
          </cell>
          <cell r="AC577">
            <v>0</v>
          </cell>
          <cell r="AD577">
            <v>0</v>
          </cell>
          <cell r="AE577">
            <v>0</v>
          </cell>
          <cell r="AF577">
            <v>1</v>
          </cell>
        </row>
        <row r="578">
          <cell r="B578" t="str">
            <v>2001MS</v>
          </cell>
          <cell r="C578">
            <v>9.798772460337063E-2</v>
          </cell>
          <cell r="D578">
            <v>6.9880547334418855E-2</v>
          </cell>
          <cell r="E578">
            <v>0.1472591568329065</v>
          </cell>
          <cell r="F578">
            <v>9.9293001029840094E-2</v>
          </cell>
          <cell r="G578">
            <v>0.58074580920478924</v>
          </cell>
          <cell r="H578">
            <v>4.8337609946748393E-3</v>
          </cell>
          <cell r="J578" t="str">
            <v>2001MS</v>
          </cell>
          <cell r="K578">
            <v>0.27199503396230429</v>
          </cell>
          <cell r="L578">
            <v>0.58074580920478924</v>
          </cell>
          <cell r="M578">
            <v>0.1472591568329065</v>
          </cell>
          <cell r="U578" t="str">
            <v>2001MS</v>
          </cell>
          <cell r="V578">
            <v>2.5282990000000002E-2</v>
          </cell>
          <cell r="W578">
            <v>3.6417168E-2</v>
          </cell>
          <cell r="X578">
            <v>6.4742741000000006E-2</v>
          </cell>
          <cell r="Y578">
            <v>0.56338489400000002</v>
          </cell>
          <cell r="Z578">
            <v>0.310172208</v>
          </cell>
          <cell r="AB578" t="str">
            <v>2001MS</v>
          </cell>
          <cell r="AC578">
            <v>0</v>
          </cell>
          <cell r="AD578">
            <v>0</v>
          </cell>
          <cell r="AE578">
            <v>0.6</v>
          </cell>
          <cell r="AF578">
            <v>0.4</v>
          </cell>
        </row>
        <row r="579">
          <cell r="B579" t="str">
            <v>2001MO</v>
          </cell>
          <cell r="C579">
            <v>6.1034724968324551E-2</v>
          </cell>
          <cell r="D579">
            <v>0.17701992489642668</v>
          </cell>
          <cell r="E579">
            <v>0.14689331075020168</v>
          </cell>
          <cell r="F579">
            <v>0.48144104764834394</v>
          </cell>
          <cell r="G579">
            <v>8.6966686464049717E-2</v>
          </cell>
          <cell r="H579">
            <v>4.6644305272653341E-2</v>
          </cell>
          <cell r="J579" t="str">
            <v>2001MO</v>
          </cell>
          <cell r="K579">
            <v>0.76614000278574856</v>
          </cell>
          <cell r="L579">
            <v>8.6966686464049717E-2</v>
          </cell>
          <cell r="M579">
            <v>0.14689331075020168</v>
          </cell>
          <cell r="U579" t="str">
            <v>2001MO</v>
          </cell>
          <cell r="V579">
            <v>3.3367441999999997E-2</v>
          </cell>
          <cell r="W579">
            <v>4.5528328999999999E-2</v>
          </cell>
          <cell r="X579">
            <v>0.27802744899999998</v>
          </cell>
          <cell r="Y579">
            <v>0.138785667</v>
          </cell>
          <cell r="Z579">
            <v>0.50429111299999996</v>
          </cell>
          <cell r="AB579" t="str">
            <v>2001MO</v>
          </cell>
          <cell r="AC579">
            <v>0</v>
          </cell>
          <cell r="AD579">
            <v>0</v>
          </cell>
          <cell r="AE579">
            <v>0</v>
          </cell>
          <cell r="AF579">
            <v>1</v>
          </cell>
        </row>
        <row r="580">
          <cell r="B580" t="str">
            <v>2001MT</v>
          </cell>
          <cell r="C580">
            <v>0.34448684903953858</v>
          </cell>
          <cell r="D580">
            <v>0.25401109266321004</v>
          </cell>
          <cell r="E580">
            <v>4.3485500105679739E-2</v>
          </cell>
          <cell r="F580">
            <v>0.26349345420732134</v>
          </cell>
          <cell r="G580">
            <v>2.5745146828735768E-2</v>
          </cell>
          <cell r="H580">
            <v>6.8777957155514324E-2</v>
          </cell>
          <cell r="J580" t="str">
            <v>2001MT</v>
          </cell>
          <cell r="K580">
            <v>0.9307693530655845</v>
          </cell>
          <cell r="L580">
            <v>2.5745146828735768E-2</v>
          </cell>
          <cell r="M580">
            <v>4.3485500105679739E-2</v>
          </cell>
          <cell r="U580" t="str">
            <v>2001MT</v>
          </cell>
          <cell r="V580">
            <v>6.4529449000000003E-2</v>
          </cell>
          <cell r="W580">
            <v>5.0732858999999998E-2</v>
          </cell>
          <cell r="X580">
            <v>0.24782003699999999</v>
          </cell>
          <cell r="Y580">
            <v>0.16547710199999999</v>
          </cell>
          <cell r="Z580">
            <v>0.47144055200000001</v>
          </cell>
          <cell r="AB580" t="str">
            <v>2001MT</v>
          </cell>
          <cell r="AC580">
            <v>0</v>
          </cell>
          <cell r="AD580">
            <v>0</v>
          </cell>
          <cell r="AE580">
            <v>0.6</v>
          </cell>
          <cell r="AF580">
            <v>0.4</v>
          </cell>
        </row>
        <row r="581">
          <cell r="B581" t="str">
            <v>2001NE</v>
          </cell>
          <cell r="C581">
            <v>0.18005137908478619</v>
          </cell>
          <cell r="D581">
            <v>0.27617746339993809</v>
          </cell>
          <cell r="E581">
            <v>8.0399829461586053E-2</v>
          </cell>
          <cell r="F581">
            <v>0.37410118052749769</v>
          </cell>
          <cell r="G581">
            <v>4.7599899034471344E-2</v>
          </cell>
          <cell r="H581">
            <v>4.1670248491720449E-2</v>
          </cell>
          <cell r="J581" t="str">
            <v>2001NE</v>
          </cell>
          <cell r="K581">
            <v>0.87200027150394255</v>
          </cell>
          <cell r="L581">
            <v>4.7599899034471344E-2</v>
          </cell>
          <cell r="M581">
            <v>8.0399829461586053E-2</v>
          </cell>
          <cell r="U581" t="str">
            <v>2001NE</v>
          </cell>
          <cell r="V581">
            <v>3.5008105999999997E-2</v>
          </cell>
          <cell r="W581">
            <v>4.4898285000000003E-2</v>
          </cell>
          <cell r="X581">
            <v>0.27548266900000001</v>
          </cell>
          <cell r="Y581">
            <v>0.15057283199999999</v>
          </cell>
          <cell r="Z581">
            <v>0.49403810799999998</v>
          </cell>
          <cell r="AB581" t="str">
            <v>2001NE</v>
          </cell>
          <cell r="AC581">
            <v>0</v>
          </cell>
          <cell r="AD581">
            <v>0</v>
          </cell>
          <cell r="AE581">
            <v>0.02</v>
          </cell>
          <cell r="AF581">
            <v>0.98</v>
          </cell>
        </row>
        <row r="582">
          <cell r="B582" t="str">
            <v>2001NV</v>
          </cell>
          <cell r="C582">
            <v>0.64021435237800872</v>
          </cell>
          <cell r="D582">
            <v>0.23124109546025451</v>
          </cell>
          <cell r="E582">
            <v>9.3244891682708712E-3</v>
          </cell>
          <cell r="F582">
            <v>0.10896621546179096</v>
          </cell>
          <cell r="G582">
            <v>5.5204687115633505E-3</v>
          </cell>
          <cell r="H582">
            <v>4.733378820111646E-3</v>
          </cell>
          <cell r="J582" t="str">
            <v>2001NV</v>
          </cell>
          <cell r="K582">
            <v>0.9851550421201658</v>
          </cell>
          <cell r="L582">
            <v>5.5204687115633505E-3</v>
          </cell>
          <cell r="M582">
            <v>9.3244891682708712E-3</v>
          </cell>
          <cell r="U582" t="str">
            <v>2001NV</v>
          </cell>
          <cell r="V582">
            <v>0.480032917</v>
          </cell>
          <cell r="W582">
            <v>1.9238781999999999E-2</v>
          </cell>
          <cell r="X582">
            <v>2.8598189999999999E-2</v>
          </cell>
          <cell r="Y582">
            <v>0.31094031599999999</v>
          </cell>
          <cell r="Z582">
            <v>0.161189796</v>
          </cell>
          <cell r="AB582" t="str">
            <v>2001NV</v>
          </cell>
          <cell r="AC582">
            <v>0</v>
          </cell>
          <cell r="AD582">
            <v>0</v>
          </cell>
          <cell r="AE582">
            <v>0</v>
          </cell>
          <cell r="AF582">
            <v>1</v>
          </cell>
        </row>
        <row r="583">
          <cell r="B583" t="str">
            <v>2001NH</v>
          </cell>
          <cell r="C583">
            <v>8.4981371299204606E-2</v>
          </cell>
          <cell r="D583">
            <v>0.1575570159051049</v>
          </cell>
          <cell r="E583">
            <v>0.44509352751883696</v>
          </cell>
          <cell r="F583">
            <v>0.21838963727645488</v>
          </cell>
          <cell r="G583">
            <v>6.7119700970332902E-2</v>
          </cell>
          <cell r="H583">
            <v>2.6858747030065695E-2</v>
          </cell>
          <cell r="J583" t="str">
            <v>2001NH</v>
          </cell>
          <cell r="K583">
            <v>0.48778677151083016</v>
          </cell>
          <cell r="L583">
            <v>6.7119700970332902E-2</v>
          </cell>
          <cell r="M583">
            <v>0.44509352751883696</v>
          </cell>
          <cell r="U583" t="str">
            <v>2001NH</v>
          </cell>
          <cell r="V583">
            <v>0.58006569600000002</v>
          </cell>
          <cell r="W583">
            <v>1.8477108999999999E-2</v>
          </cell>
          <cell r="X583">
            <v>0.11590186800000001</v>
          </cell>
          <cell r="Y583">
            <v>8.8606138000000001E-2</v>
          </cell>
          <cell r="Z583">
            <v>0.196949189</v>
          </cell>
          <cell r="AB583" t="str">
            <v>2001NH</v>
          </cell>
          <cell r="AC583">
            <v>0</v>
          </cell>
          <cell r="AD583">
            <v>0</v>
          </cell>
          <cell r="AE583">
            <v>0.05</v>
          </cell>
          <cell r="AF583">
            <v>0.95</v>
          </cell>
        </row>
        <row r="584">
          <cell r="B584" t="str">
            <v>2001NJ</v>
          </cell>
          <cell r="C584">
            <v>5.5099885322645523E-2</v>
          </cell>
          <cell r="D584">
            <v>0.13683645355638888</v>
          </cell>
          <cell r="E584">
            <v>0.45437354186919537</v>
          </cell>
          <cell r="F584">
            <v>0.24824999211483034</v>
          </cell>
          <cell r="G584">
            <v>7.5490721025309751E-2</v>
          </cell>
          <cell r="H584">
            <v>2.9949406111630057E-2</v>
          </cell>
          <cell r="J584" t="str">
            <v>2001NJ</v>
          </cell>
          <cell r="K584">
            <v>0.47013573710549483</v>
          </cell>
          <cell r="L584">
            <v>7.5490721025309751E-2</v>
          </cell>
          <cell r="M584">
            <v>0.45437354186919537</v>
          </cell>
          <cell r="U584" t="str">
            <v>2001NJ</v>
          </cell>
          <cell r="V584">
            <v>0.34526872600000003</v>
          </cell>
          <cell r="W584">
            <v>3.086204E-2</v>
          </cell>
          <cell r="X584">
            <v>0.17848081299999999</v>
          </cell>
          <cell r="Y584">
            <v>0.13130208700000001</v>
          </cell>
          <cell r="Z584">
            <v>0.31408633400000002</v>
          </cell>
          <cell r="AB584" t="str">
            <v>2001NJ</v>
          </cell>
          <cell r="AC584">
            <v>0</v>
          </cell>
          <cell r="AD584">
            <v>0</v>
          </cell>
          <cell r="AE584">
            <v>0.05</v>
          </cell>
          <cell r="AF584">
            <v>0.95</v>
          </cell>
        </row>
        <row r="585">
          <cell r="B585" t="str">
            <v>2001NM</v>
          </cell>
          <cell r="C585">
            <v>0.61154043436257577</v>
          </cell>
          <cell r="D585">
            <v>0.1942914523289212</v>
          </cell>
          <cell r="E585">
            <v>9.8948140364333637E-2</v>
          </cell>
          <cell r="F585">
            <v>9.4582752857958391E-2</v>
          </cell>
          <cell r="G585">
            <v>0</v>
          </cell>
          <cell r="H585">
            <v>6.3722008621101801E-4</v>
          </cell>
          <cell r="J585" t="str">
            <v>2001NM</v>
          </cell>
          <cell r="K585">
            <v>0.90105185963566636</v>
          </cell>
          <cell r="L585">
            <v>0</v>
          </cell>
          <cell r="M585">
            <v>9.8948140364333637E-2</v>
          </cell>
          <cell r="U585" t="str">
            <v>2001NM</v>
          </cell>
          <cell r="V585">
            <v>0.93324484900000004</v>
          </cell>
          <cell r="W585">
            <v>2.9372270000000002E-3</v>
          </cell>
          <cell r="X585">
            <v>1.8424421999999999E-2</v>
          </cell>
          <cell r="Y585">
            <v>1.4085337E-2</v>
          </cell>
          <cell r="Z585">
            <v>3.1308165999999998E-2</v>
          </cell>
          <cell r="AB585" t="str">
            <v>2001NM</v>
          </cell>
          <cell r="AC585">
            <v>0</v>
          </cell>
          <cell r="AD585">
            <v>0</v>
          </cell>
          <cell r="AE585">
            <v>0.6</v>
          </cell>
          <cell r="AF585">
            <v>0.4</v>
          </cell>
        </row>
        <row r="586">
          <cell r="B586" t="str">
            <v>2001NY</v>
          </cell>
          <cell r="C586">
            <v>9.2821771947524265E-2</v>
          </cell>
          <cell r="D586">
            <v>0.15617661216792894</v>
          </cell>
          <cell r="E586">
            <v>0.45012505081026677</v>
          </cell>
          <cell r="F586">
            <v>0.20812886650032614</v>
          </cell>
          <cell r="G586">
            <v>7.1658377397920053E-2</v>
          </cell>
          <cell r="H586">
            <v>2.1089321176033831E-2</v>
          </cell>
          <cell r="J586" t="str">
            <v>2001NY</v>
          </cell>
          <cell r="K586">
            <v>0.47821657179181321</v>
          </cell>
          <cell r="L586">
            <v>7.1658377397920053E-2</v>
          </cell>
          <cell r="M586">
            <v>0.45012505081026677</v>
          </cell>
          <cell r="U586" t="str">
            <v>2001NY</v>
          </cell>
          <cell r="V586">
            <v>0.227033876</v>
          </cell>
          <cell r="W586">
            <v>4.0492197000000001E-2</v>
          </cell>
          <cell r="X586">
            <v>0.20631682200000001</v>
          </cell>
          <cell r="Y586">
            <v>0.141490226</v>
          </cell>
          <cell r="Z586">
            <v>0.38466687900000002</v>
          </cell>
          <cell r="AB586" t="str">
            <v>2001NY</v>
          </cell>
          <cell r="AC586">
            <v>0</v>
          </cell>
          <cell r="AD586">
            <v>0</v>
          </cell>
          <cell r="AE586">
            <v>0.05</v>
          </cell>
          <cell r="AF586">
            <v>0.95</v>
          </cell>
        </row>
        <row r="587">
          <cell r="B587" t="str">
            <v>2001NC</v>
          </cell>
          <cell r="C587">
            <v>5.5752261173123339E-2</v>
          </cell>
          <cell r="D587">
            <v>0.10653637054102173</v>
          </cell>
          <cell r="E587">
            <v>0.15099123992936761</v>
          </cell>
          <cell r="F587">
            <v>0.11323329110713763</v>
          </cell>
          <cell r="G587">
            <v>0.55860600375234526</v>
          </cell>
          <cell r="H587">
            <v>1.4880833497004437E-2</v>
          </cell>
          <cell r="J587" t="str">
            <v>2001NC</v>
          </cell>
          <cell r="K587">
            <v>0.29040275631828716</v>
          </cell>
          <cell r="L587">
            <v>0.55860600375234526</v>
          </cell>
          <cell r="M587">
            <v>0.15099123992936761</v>
          </cell>
          <cell r="U587" t="str">
            <v>2001NC</v>
          </cell>
          <cell r="V587">
            <v>2.616691E-3</v>
          </cell>
          <cell r="W587">
            <v>3.7141913999999998E-2</v>
          </cell>
          <cell r="X587">
            <v>6.2393182999999998E-2</v>
          </cell>
          <cell r="Y587">
            <v>0.58323676499999999</v>
          </cell>
          <cell r="Z587">
            <v>0.31461144600000002</v>
          </cell>
          <cell r="AB587" t="str">
            <v>2001NC</v>
          </cell>
          <cell r="AC587">
            <v>0</v>
          </cell>
          <cell r="AD587">
            <v>0</v>
          </cell>
          <cell r="AE587">
            <v>0.41899999999999998</v>
          </cell>
          <cell r="AF587">
            <v>0.58099999999999996</v>
          </cell>
        </row>
        <row r="588">
          <cell r="B588" t="str">
            <v>2001ND</v>
          </cell>
          <cell r="C588">
            <v>0.10203086771259967</v>
          </cell>
          <cell r="D588">
            <v>0.19935082403892471</v>
          </cell>
          <cell r="E588">
            <v>0.12868992265438248</v>
          </cell>
          <cell r="F588">
            <v>0.45490123693386403</v>
          </cell>
          <cell r="G588">
            <v>7.6189556198365732E-2</v>
          </cell>
          <cell r="H588">
            <v>3.8837592461863309E-2</v>
          </cell>
          <cell r="J588" t="str">
            <v>2001ND</v>
          </cell>
          <cell r="K588">
            <v>0.79512052114725185</v>
          </cell>
          <cell r="L588">
            <v>7.6189556198365732E-2</v>
          </cell>
          <cell r="M588">
            <v>0.12868992265438248</v>
          </cell>
          <cell r="U588" t="str">
            <v>2001ND</v>
          </cell>
          <cell r="V588">
            <v>9.8910882000000006E-2</v>
          </cell>
          <cell r="W588">
            <v>4.6850138999999999E-2</v>
          </cell>
          <cell r="X588">
            <v>0.24089819400000001</v>
          </cell>
          <cell r="Y588">
            <v>0.166122411</v>
          </cell>
          <cell r="Z588">
            <v>0.447218375</v>
          </cell>
          <cell r="AB588" t="str">
            <v>2001ND</v>
          </cell>
          <cell r="AC588">
            <v>0</v>
          </cell>
          <cell r="AD588">
            <v>0</v>
          </cell>
          <cell r="AE588">
            <v>0.02</v>
          </cell>
          <cell r="AF588">
            <v>0.98</v>
          </cell>
        </row>
        <row r="589">
          <cell r="B589" t="str">
            <v>2001OH</v>
          </cell>
          <cell r="C589">
            <v>9.6623680490049615E-2</v>
          </cell>
          <cell r="D589">
            <v>0.21405286417858527</v>
          </cell>
          <cell r="E589">
            <v>0.1424851029587216</v>
          </cell>
          <cell r="F589">
            <v>0.42033602002704279</v>
          </cell>
          <cell r="G589">
            <v>8.4356852000437132E-2</v>
          </cell>
          <cell r="H589">
            <v>4.2145480345163758E-2</v>
          </cell>
          <cell r="J589" t="str">
            <v>2001OH</v>
          </cell>
          <cell r="K589">
            <v>0.77315804504084129</v>
          </cell>
          <cell r="L589">
            <v>8.4356852000437132E-2</v>
          </cell>
          <cell r="M589">
            <v>0.1424851029587216</v>
          </cell>
          <cell r="U589" t="str">
            <v>2001OH</v>
          </cell>
          <cell r="V589">
            <v>7.2129262999999999E-2</v>
          </cell>
          <cell r="W589">
            <v>4.2723809000000001E-2</v>
          </cell>
          <cell r="X589">
            <v>0.26320793399999998</v>
          </cell>
          <cell r="Y589">
            <v>0.15451018499999999</v>
          </cell>
          <cell r="Z589">
            <v>0.46742880999999997</v>
          </cell>
          <cell r="AB589" t="str">
            <v>2001OH</v>
          </cell>
          <cell r="AC589">
            <v>0</v>
          </cell>
          <cell r="AD589">
            <v>0</v>
          </cell>
          <cell r="AE589">
            <v>0</v>
          </cell>
          <cell r="AF589">
            <v>1</v>
          </cell>
        </row>
        <row r="590">
          <cell r="B590" t="str">
            <v>2001OK</v>
          </cell>
          <cell r="C590">
            <v>0.38089431950782515</v>
          </cell>
          <cell r="D590">
            <v>0.22578681060459513</v>
          </cell>
          <cell r="E590">
            <v>6.1917004752521168E-2</v>
          </cell>
          <cell r="F590">
            <v>0.26529730894101827</v>
          </cell>
          <cell r="G590">
            <v>0</v>
          </cell>
          <cell r="H590">
            <v>6.6104556194040293E-2</v>
          </cell>
          <cell r="J590" t="str">
            <v>2001OK</v>
          </cell>
          <cell r="K590">
            <v>0.93808299524747885</v>
          </cell>
          <cell r="L590">
            <v>0</v>
          </cell>
          <cell r="M590">
            <v>6.1917004752521168E-2</v>
          </cell>
          <cell r="U590" t="str">
            <v>2001OK</v>
          </cell>
          <cell r="V590">
            <v>1.4866692000000001E-2</v>
          </cell>
          <cell r="W590">
            <v>3.6735650000000002E-2</v>
          </cell>
          <cell r="X590">
            <v>6.3202837999999997E-2</v>
          </cell>
          <cell r="Y590">
            <v>0.57331362900000005</v>
          </cell>
          <cell r="Z590">
            <v>0.31188119199999997</v>
          </cell>
          <cell r="AB590" t="str">
            <v>2001OK</v>
          </cell>
          <cell r="AC590">
            <v>0</v>
          </cell>
          <cell r="AD590">
            <v>0</v>
          </cell>
          <cell r="AE590">
            <v>0.6</v>
          </cell>
          <cell r="AF590">
            <v>0.4</v>
          </cell>
        </row>
        <row r="591">
          <cell r="B591" t="str">
            <v>2001OR</v>
          </cell>
          <cell r="C591">
            <v>0.41689880880198443</v>
          </cell>
          <cell r="D591">
            <v>0.20833474100380128</v>
          </cell>
          <cell r="E591">
            <v>0</v>
          </cell>
          <cell r="F591">
            <v>0.12797524465619592</v>
          </cell>
          <cell r="G591">
            <v>0.22441969612767182</v>
          </cell>
          <cell r="H591">
            <v>2.2371509410346581E-2</v>
          </cell>
          <cell r="J591" t="str">
            <v>2001OR</v>
          </cell>
          <cell r="K591">
            <v>0.77558030387232813</v>
          </cell>
          <cell r="L591">
            <v>0.22441969612767182</v>
          </cell>
          <cell r="M591">
            <v>0</v>
          </cell>
          <cell r="U591" t="str">
            <v>2001OR</v>
          </cell>
          <cell r="V591">
            <v>0.59372205899999997</v>
          </cell>
          <cell r="W591">
            <v>1.7876229E-2</v>
          </cell>
          <cell r="X591">
            <v>0.112132712</v>
          </cell>
          <cell r="Y591">
            <v>8.5724645000000002E-2</v>
          </cell>
          <cell r="Z591">
            <v>0.190544354</v>
          </cell>
          <cell r="AB591" t="str">
            <v>2001OR</v>
          </cell>
          <cell r="AC591">
            <v>0</v>
          </cell>
          <cell r="AD591">
            <v>0</v>
          </cell>
          <cell r="AE591">
            <v>0.25</v>
          </cell>
          <cell r="AF591">
            <v>0.75</v>
          </cell>
        </row>
        <row r="592">
          <cell r="B592" t="str">
            <v>2001PA</v>
          </cell>
          <cell r="C592">
            <v>4.5960852941407122E-2</v>
          </cell>
          <cell r="D592">
            <v>0.11297472473398248</v>
          </cell>
          <cell r="E592">
            <v>0.47071205687316842</v>
          </cell>
          <cell r="F592">
            <v>0.25618598710209917</v>
          </cell>
          <cell r="G592">
            <v>9.0228848748303642E-2</v>
          </cell>
          <cell r="H592">
            <v>2.3937529601039162E-2</v>
          </cell>
          <cell r="J592" t="str">
            <v>2001PA</v>
          </cell>
          <cell r="K592">
            <v>0.43905909437852797</v>
          </cell>
          <cell r="L592">
            <v>9.0228848748303642E-2</v>
          </cell>
          <cell r="M592">
            <v>0.47071205687316842</v>
          </cell>
          <cell r="U592" t="str">
            <v>2001PA</v>
          </cell>
          <cell r="V592">
            <v>5.2319791999999997E-2</v>
          </cell>
          <cell r="W592">
            <v>4.9135616999999999E-2</v>
          </cell>
          <cell r="X592">
            <v>0.25350224199999999</v>
          </cell>
          <cell r="Y592">
            <v>0.17516823000000001</v>
          </cell>
          <cell r="Z592">
            <v>0.46987411899999998</v>
          </cell>
          <cell r="AB592" t="str">
            <v>2001PA</v>
          </cell>
          <cell r="AC592">
            <v>0</v>
          </cell>
          <cell r="AD592">
            <v>0</v>
          </cell>
          <cell r="AE592">
            <v>0</v>
          </cell>
          <cell r="AF592">
            <v>1</v>
          </cell>
        </row>
        <row r="593">
          <cell r="B593" t="str">
            <v>2001RI</v>
          </cell>
          <cell r="C593">
            <v>3.707773000474144E-2</v>
          </cell>
          <cell r="D593">
            <v>0.10713517076261135</v>
          </cell>
          <cell r="E593">
            <v>0.47589658299294657</v>
          </cell>
          <cell r="F593">
            <v>0.26112576981468621</v>
          </cell>
          <cell r="G593">
            <v>9.4905541098734808E-2</v>
          </cell>
          <cell r="H593">
            <v>2.3859205326279664E-2</v>
          </cell>
          <cell r="J593" t="str">
            <v>2001RI</v>
          </cell>
          <cell r="K593">
            <v>0.42919787590831859</v>
          </cell>
          <cell r="L593">
            <v>9.4905541098734808E-2</v>
          </cell>
          <cell r="M593">
            <v>0.47589658299294657</v>
          </cell>
          <cell r="U593" t="str">
            <v>2001RI</v>
          </cell>
          <cell r="V593">
            <v>0.53863711400000003</v>
          </cell>
          <cell r="W593">
            <v>2.0299966999999999E-2</v>
          </cell>
          <cell r="X593">
            <v>0.12733615700000001</v>
          </cell>
          <cell r="Y593">
            <v>9.7347568999999995E-2</v>
          </cell>
          <cell r="Z593">
            <v>0.216379194</v>
          </cell>
          <cell r="AB593" t="str">
            <v>2001RI</v>
          </cell>
          <cell r="AC593">
            <v>0</v>
          </cell>
          <cell r="AD593">
            <v>0</v>
          </cell>
          <cell r="AE593">
            <v>0.05</v>
          </cell>
          <cell r="AF593">
            <v>0.95</v>
          </cell>
        </row>
        <row r="594">
          <cell r="B594" t="str">
            <v>2001SC</v>
          </cell>
          <cell r="C594">
            <v>0.1241536096174236</v>
          </cell>
          <cell r="D594">
            <v>8.5867233866270695E-2</v>
          </cell>
          <cell r="E594">
            <v>0.15143537558220191</v>
          </cell>
          <cell r="F594">
            <v>7.8992548110738053E-2</v>
          </cell>
          <cell r="G594">
            <v>0.5559712615201664</v>
          </cell>
          <cell r="H594">
            <v>3.579971303199279E-3</v>
          </cell>
          <cell r="J594" t="str">
            <v>2001SC</v>
          </cell>
          <cell r="K594">
            <v>0.29259336289763171</v>
          </cell>
          <cell r="L594">
            <v>0.5559712615201664</v>
          </cell>
          <cell r="M594">
            <v>0.15143537558220191</v>
          </cell>
          <cell r="U594" t="str">
            <v>2001SC</v>
          </cell>
          <cell r="V594">
            <v>6.6339492E-2</v>
          </cell>
          <cell r="W594">
            <v>3.5815598999999997E-2</v>
          </cell>
          <cell r="X594">
            <v>9.1452099999999995E-2</v>
          </cell>
          <cell r="Y594">
            <v>0.48810726999999998</v>
          </cell>
          <cell r="Z594">
            <v>0.31828553900000001</v>
          </cell>
          <cell r="AB594" t="str">
            <v>2001SC</v>
          </cell>
          <cell r="AC594">
            <v>0</v>
          </cell>
          <cell r="AD594">
            <v>0</v>
          </cell>
          <cell r="AE594">
            <v>0.6</v>
          </cell>
          <cell r="AF594">
            <v>0.4</v>
          </cell>
        </row>
        <row r="595">
          <cell r="B595" t="str">
            <v>2001SD</v>
          </cell>
          <cell r="C595">
            <v>0.15049054430114472</v>
          </cell>
          <cell r="D595">
            <v>0.25413580229700122</v>
          </cell>
          <cell r="E595">
            <v>9.8172813125203789E-2</v>
          </cell>
          <cell r="F595">
            <v>0.39730040760379393</v>
          </cell>
          <cell r="G595">
            <v>5.812221274576742E-2</v>
          </cell>
          <cell r="H595">
            <v>4.1778219927088966E-2</v>
          </cell>
          <cell r="J595" t="str">
            <v>2001SD</v>
          </cell>
          <cell r="K595">
            <v>0.84370497412902878</v>
          </cell>
          <cell r="L595">
            <v>5.812221274576742E-2</v>
          </cell>
          <cell r="M595">
            <v>9.8172813125203789E-2</v>
          </cell>
          <cell r="U595" t="str">
            <v>2001SD</v>
          </cell>
          <cell r="V595">
            <v>4.2270519999999999E-2</v>
          </cell>
          <cell r="W595">
            <v>5.0198490999999998E-2</v>
          </cell>
          <cell r="X595">
            <v>0.25560340999999998</v>
          </cell>
          <cell r="Y595">
            <v>0.175219608</v>
          </cell>
          <cell r="Z595">
            <v>0.47670797100000001</v>
          </cell>
          <cell r="AB595" t="str">
            <v>2001SD</v>
          </cell>
          <cell r="AC595">
            <v>0</v>
          </cell>
          <cell r="AD595">
            <v>0</v>
          </cell>
          <cell r="AE595">
            <v>0.02</v>
          </cell>
          <cell r="AF595">
            <v>0.98</v>
          </cell>
        </row>
        <row r="596">
          <cell r="B596" t="str">
            <v>2001TN</v>
          </cell>
          <cell r="C596">
            <v>3.7060356848582429E-2</v>
          </cell>
          <cell r="D596">
            <v>8.4974275049488388E-2</v>
          </cell>
          <cell r="E596">
            <v>0.14423847941488024</v>
          </cell>
          <cell r="F596">
            <v>0.11891263393822846</v>
          </cell>
          <cell r="G596">
            <v>0.59866534867943377</v>
          </cell>
          <cell r="H596">
            <v>1.6148906069386477E-2</v>
          </cell>
          <cell r="J596" t="str">
            <v>2001TN</v>
          </cell>
          <cell r="K596">
            <v>0.25709617190568601</v>
          </cell>
          <cell r="L596">
            <v>0.59866534867943377</v>
          </cell>
          <cell r="M596">
            <v>0.14423847941488024</v>
          </cell>
          <cell r="U596" t="str">
            <v>2001TN</v>
          </cell>
          <cell r="V596">
            <v>0.108409591</v>
          </cell>
          <cell r="W596">
            <v>3.5429463000000001E-2</v>
          </cell>
          <cell r="X596">
            <v>0.12609126000000001</v>
          </cell>
          <cell r="Y596">
            <v>0.39823977300000002</v>
          </cell>
          <cell r="Z596">
            <v>0.331829914</v>
          </cell>
          <cell r="AB596" t="str">
            <v>2001TN</v>
          </cell>
          <cell r="AC596">
            <v>0</v>
          </cell>
          <cell r="AD596">
            <v>0</v>
          </cell>
          <cell r="AE596">
            <v>0.05</v>
          </cell>
          <cell r="AF596">
            <v>0.95</v>
          </cell>
        </row>
        <row r="597">
          <cell r="B597" t="str">
            <v>2001TX</v>
          </cell>
          <cell r="C597">
            <v>0.5236318758006584</v>
          </cell>
          <cell r="D597">
            <v>0.24509615172894217</v>
          </cell>
          <cell r="E597">
            <v>7.8053314624641296E-2</v>
          </cell>
          <cell r="F597">
            <v>0.13380822059257452</v>
          </cell>
          <cell r="G597">
            <v>0</v>
          </cell>
          <cell r="H597">
            <v>1.9410437253183494E-2</v>
          </cell>
          <cell r="J597" t="str">
            <v>2001TX</v>
          </cell>
          <cell r="K597">
            <v>0.92194668537535873</v>
          </cell>
          <cell r="L597">
            <v>0</v>
          </cell>
          <cell r="M597">
            <v>7.8053314624641296E-2</v>
          </cell>
          <cell r="U597" t="str">
            <v>2001TX</v>
          </cell>
          <cell r="V597">
            <v>8.0687710999999995E-2</v>
          </cell>
          <cell r="W597">
            <v>3.4451694999999997E-2</v>
          </cell>
          <cell r="X597">
            <v>6.4363331999999995E-2</v>
          </cell>
          <cell r="Y597">
            <v>0.52558111399999996</v>
          </cell>
          <cell r="Z597">
            <v>0.29491614799999999</v>
          </cell>
          <cell r="AB597" t="str">
            <v>2001TX</v>
          </cell>
          <cell r="AC597">
            <v>0</v>
          </cell>
          <cell r="AD597">
            <v>0</v>
          </cell>
          <cell r="AE597">
            <v>0.12</v>
          </cell>
          <cell r="AF597">
            <v>0.88</v>
          </cell>
        </row>
        <row r="598">
          <cell r="B598" t="str">
            <v>2001UT</v>
          </cell>
          <cell r="C598">
            <v>0.49142356466584863</v>
          </cell>
          <cell r="D598">
            <v>0.26698234683994221</v>
          </cell>
          <cell r="E598">
            <v>1.6400401700708098E-2</v>
          </cell>
          <cell r="F598">
            <v>0.17967098713631494</v>
          </cell>
          <cell r="G598">
            <v>9.7096905591256954E-3</v>
          </cell>
          <cell r="H598">
            <v>3.5813009098060566E-2</v>
          </cell>
          <cell r="J598" t="str">
            <v>2001UT</v>
          </cell>
          <cell r="K598">
            <v>0.97388990774016615</v>
          </cell>
          <cell r="L598">
            <v>9.7096905591256954E-3</v>
          </cell>
          <cell r="M598">
            <v>1.6400401700708098E-2</v>
          </cell>
          <cell r="U598" t="str">
            <v>2001UT</v>
          </cell>
          <cell r="V598">
            <v>1.2238064999999999E-2</v>
          </cell>
          <cell r="W598">
            <v>5.5147839999999997E-2</v>
          </cell>
          <cell r="X598">
            <v>0.25996212000000002</v>
          </cell>
          <cell r="Y598">
            <v>0.16946338699999999</v>
          </cell>
          <cell r="Z598">
            <v>0.50318858899999996</v>
          </cell>
          <cell r="AB598" t="str">
            <v>2001UT</v>
          </cell>
          <cell r="AC598">
            <v>0</v>
          </cell>
          <cell r="AD598">
            <v>0</v>
          </cell>
          <cell r="AE598">
            <v>0.6</v>
          </cell>
          <cell r="AF598">
            <v>0.4</v>
          </cell>
        </row>
        <row r="599">
          <cell r="B599" t="str">
            <v>2001VT</v>
          </cell>
          <cell r="C599">
            <v>9.2750174521497239E-2</v>
          </cell>
          <cell r="D599">
            <v>0.16663269404025347</v>
          </cell>
          <cell r="E599">
            <v>0.44657561500708803</v>
          </cell>
          <cell r="F599">
            <v>0.20342293019446309</v>
          </cell>
          <cell r="G599">
            <v>6.8456615291688533E-2</v>
          </cell>
          <cell r="H599">
            <v>2.2161970945009775E-2</v>
          </cell>
          <cell r="J599" t="str">
            <v>2001VT</v>
          </cell>
          <cell r="K599">
            <v>0.48496776970122346</v>
          </cell>
          <cell r="L599">
            <v>6.8456615291688533E-2</v>
          </cell>
          <cell r="M599">
            <v>0.44657561500708803</v>
          </cell>
          <cell r="U599" t="str">
            <v>2001VT</v>
          </cell>
          <cell r="V599">
            <v>0.88830379500000001</v>
          </cell>
          <cell r="W599">
            <v>4.9146329999999998E-3</v>
          </cell>
          <cell r="X599">
            <v>3.0828153E-2</v>
          </cell>
          <cell r="Y599">
            <v>2.3567899E-2</v>
          </cell>
          <cell r="Z599">
            <v>5.2385519999999998E-2</v>
          </cell>
          <cell r="AB599" t="str">
            <v>2001VT</v>
          </cell>
          <cell r="AC599">
            <v>0</v>
          </cell>
          <cell r="AD599">
            <v>0</v>
          </cell>
          <cell r="AE599">
            <v>0.05</v>
          </cell>
          <cell r="AF599">
            <v>0.95</v>
          </cell>
        </row>
        <row r="600">
          <cell r="B600" t="str">
            <v>2001VA</v>
          </cell>
          <cell r="C600">
            <v>4.071470200789671E-2</v>
          </cell>
          <cell r="D600">
            <v>8.8388864677920481E-2</v>
          </cell>
          <cell r="E600">
            <v>0.14657774312124508</v>
          </cell>
          <cell r="F600">
            <v>0.123143312796931</v>
          </cell>
          <cell r="G600">
            <v>0.58478815408803042</v>
          </cell>
          <cell r="H600">
            <v>1.6387223307976536E-2</v>
          </cell>
          <cell r="J600" t="str">
            <v>2001VA</v>
          </cell>
          <cell r="K600">
            <v>0.26863410279072453</v>
          </cell>
          <cell r="L600">
            <v>0.58478815408803042</v>
          </cell>
          <cell r="M600">
            <v>0.14657774312124508</v>
          </cell>
          <cell r="U600" t="str">
            <v>2001VA</v>
          </cell>
          <cell r="V600">
            <v>3.6681409999999998E-2</v>
          </cell>
          <cell r="W600">
            <v>3.6275317000000001E-2</v>
          </cell>
          <cell r="X600">
            <v>7.2952366000000005E-2</v>
          </cell>
          <cell r="Y600">
            <v>0.54109470100000001</v>
          </cell>
          <cell r="Z600">
            <v>0.31299620700000003</v>
          </cell>
          <cell r="AB600" t="str">
            <v>2001VA</v>
          </cell>
          <cell r="AC600">
            <v>0</v>
          </cell>
          <cell r="AD600">
            <v>0</v>
          </cell>
          <cell r="AE600">
            <v>0.05</v>
          </cell>
          <cell r="AF600">
            <v>0.95</v>
          </cell>
        </row>
        <row r="601">
          <cell r="B601" t="str">
            <v>2001WA</v>
          </cell>
          <cell r="C601">
            <v>0.4750511000010994</v>
          </cell>
          <cell r="D601">
            <v>0.21950655611392048</v>
          </cell>
          <cell r="E601">
            <v>0</v>
          </cell>
          <cell r="F601">
            <v>0.11229624316231145</v>
          </cell>
          <cell r="G601">
            <v>0.17836320347689058</v>
          </cell>
          <cell r="H601">
            <v>1.4782897245778179E-2</v>
          </cell>
          <cell r="J601" t="str">
            <v>2001WA</v>
          </cell>
          <cell r="K601">
            <v>0.82163679652310939</v>
          </cell>
          <cell r="L601">
            <v>0.17836320347689058</v>
          </cell>
          <cell r="M601">
            <v>0</v>
          </cell>
          <cell r="U601" t="str">
            <v>2001WA</v>
          </cell>
          <cell r="V601">
            <v>0.358607079</v>
          </cell>
          <cell r="W601">
            <v>3.1847483000000003E-2</v>
          </cell>
          <cell r="X601">
            <v>0.17309606799999999</v>
          </cell>
          <cell r="Y601">
            <v>0.12324659</v>
          </cell>
          <cell r="Z601">
            <v>0.31320277899999999</v>
          </cell>
          <cell r="AB601" t="str">
            <v>2001WA</v>
          </cell>
          <cell r="AC601">
            <v>0</v>
          </cell>
          <cell r="AD601">
            <v>0</v>
          </cell>
          <cell r="AE601">
            <v>0.12</v>
          </cell>
          <cell r="AF601">
            <v>0.88</v>
          </cell>
        </row>
        <row r="602">
          <cell r="B602" t="str">
            <v>2001WV</v>
          </cell>
          <cell r="C602">
            <v>6.2232797890405152E-2</v>
          </cell>
          <cell r="D602">
            <v>0.14911096382229583</v>
          </cell>
          <cell r="E602">
            <v>0.45238863432908483</v>
          </cell>
          <cell r="F602">
            <v>0.23477722375205806</v>
          </cell>
          <cell r="G602">
            <v>7.3700238791314154E-2</v>
          </cell>
          <cell r="H602">
            <v>2.7790141414842082E-2</v>
          </cell>
          <cell r="J602" t="str">
            <v>2001WV</v>
          </cell>
          <cell r="K602">
            <v>0.47391112687960102</v>
          </cell>
          <cell r="L602">
            <v>7.3700238791314154E-2</v>
          </cell>
          <cell r="M602">
            <v>0.45238863432908483</v>
          </cell>
          <cell r="U602" t="str">
            <v>2001WV</v>
          </cell>
          <cell r="V602">
            <v>0.54716963900000004</v>
          </cell>
          <cell r="W602">
            <v>2.2117989000000001E-2</v>
          </cell>
          <cell r="X602">
            <v>0.122604938</v>
          </cell>
          <cell r="Y602">
            <v>8.8235695000000003E-2</v>
          </cell>
          <cell r="Z602">
            <v>0.21987173800000001</v>
          </cell>
          <cell r="AB602" t="str">
            <v>2001WV</v>
          </cell>
          <cell r="AC602">
            <v>0</v>
          </cell>
          <cell r="AD602">
            <v>0</v>
          </cell>
          <cell r="AE602">
            <v>0.05</v>
          </cell>
          <cell r="AF602">
            <v>0.95</v>
          </cell>
        </row>
        <row r="603">
          <cell r="B603" t="str">
            <v>2001WI</v>
          </cell>
          <cell r="C603">
            <v>0.11007227730014285</v>
          </cell>
          <cell r="D603">
            <v>0.22319481752133399</v>
          </cell>
          <cell r="E603">
            <v>0.12554926725270027</v>
          </cell>
          <cell r="F603">
            <v>0.42817906166820996</v>
          </cell>
          <cell r="G603">
            <v>7.433016319935988E-2</v>
          </cell>
          <cell r="H603">
            <v>3.8674413058252866E-2</v>
          </cell>
          <cell r="J603" t="str">
            <v>2001WI</v>
          </cell>
          <cell r="K603">
            <v>0.80012056954793986</v>
          </cell>
          <cell r="L603">
            <v>7.433016319935988E-2</v>
          </cell>
          <cell r="M603">
            <v>0.12554926725270027</v>
          </cell>
          <cell r="U603" t="str">
            <v>2001WI</v>
          </cell>
          <cell r="V603">
            <v>0.13078250899999999</v>
          </cell>
          <cell r="W603">
            <v>4.2230323E-2</v>
          </cell>
          <cell r="X603">
            <v>0.23558721099999999</v>
          </cell>
          <cell r="Y603">
            <v>0.17012237899999999</v>
          </cell>
          <cell r="Z603">
            <v>0.42127757700000001</v>
          </cell>
          <cell r="AB603" t="str">
            <v>2001WI</v>
          </cell>
          <cell r="AC603">
            <v>0</v>
          </cell>
          <cell r="AD603">
            <v>0</v>
          </cell>
          <cell r="AE603">
            <v>0.02</v>
          </cell>
          <cell r="AF603">
            <v>0.98</v>
          </cell>
        </row>
        <row r="604">
          <cell r="B604" t="str">
            <v>2001WY</v>
          </cell>
          <cell r="C604">
            <v>0.29125979436798566</v>
          </cell>
          <cell r="D604">
            <v>0.22939478040333319</v>
          </cell>
          <cell r="E604">
            <v>0.12453373344709558</v>
          </cell>
          <cell r="F604">
            <v>0.22245256597280511</v>
          </cell>
          <cell r="G604">
            <v>7.3728926767185912E-2</v>
          </cell>
          <cell r="H604">
            <v>5.8630199041594694E-2</v>
          </cell>
          <cell r="J604" t="str">
            <v>2001WY</v>
          </cell>
          <cell r="K604">
            <v>0.80173733978571848</v>
          </cell>
          <cell r="L604">
            <v>7.3728926767185912E-2</v>
          </cell>
          <cell r="M604">
            <v>0.12453373344709558</v>
          </cell>
          <cell r="U604" t="str">
            <v>2001WY</v>
          </cell>
          <cell r="V604">
            <v>3.5280018000000003E-2</v>
          </cell>
          <cell r="W604">
            <v>5.3426516E-2</v>
          </cell>
          <cell r="X604">
            <v>0.254368975</v>
          </cell>
          <cell r="Y604">
            <v>0.166959792</v>
          </cell>
          <cell r="Z604">
            <v>0.489964699</v>
          </cell>
          <cell r="AB604" t="str">
            <v>2001WY</v>
          </cell>
          <cell r="AC604">
            <v>0</v>
          </cell>
          <cell r="AD604">
            <v>0</v>
          </cell>
          <cell r="AE604">
            <v>0.6</v>
          </cell>
          <cell r="AF604">
            <v>0.4</v>
          </cell>
        </row>
        <row r="605">
          <cell r="B605" t="str">
            <v>2002AL</v>
          </cell>
          <cell r="C605">
            <v>0.17233560131521788</v>
          </cell>
          <cell r="D605">
            <v>9.7606154746872412E-2</v>
          </cell>
          <cell r="E605">
            <v>0.16919346457207346</v>
          </cell>
          <cell r="F605">
            <v>0.1056405325382436</v>
          </cell>
          <cell r="G605">
            <v>0.45062509818962659</v>
          </cell>
          <cell r="H605">
            <v>4.5991486379660445E-3</v>
          </cell>
          <cell r="J605" t="str">
            <v>2002AL</v>
          </cell>
          <cell r="K605">
            <v>0.38018143723829989</v>
          </cell>
          <cell r="L605">
            <v>0.45062509818962659</v>
          </cell>
          <cell r="M605">
            <v>0.16919346457207346</v>
          </cell>
          <cell r="U605" t="str">
            <v>2002AL</v>
          </cell>
          <cell r="V605">
            <v>5.3114938E-2</v>
          </cell>
          <cell r="W605">
            <v>3.6058960000000001E-2</v>
          </cell>
          <cell r="X605">
            <v>8.4414527000000003E-2</v>
          </cell>
          <cell r="Y605">
            <v>0.50961295299999998</v>
          </cell>
          <cell r="Z605">
            <v>0.316798623</v>
          </cell>
          <cell r="AB605" t="str">
            <v>2002AL</v>
          </cell>
          <cell r="AC605">
            <v>0</v>
          </cell>
          <cell r="AD605">
            <v>0</v>
          </cell>
          <cell r="AE605">
            <v>0.41899999999999998</v>
          </cell>
          <cell r="AF605">
            <v>0.58099999999999996</v>
          </cell>
        </row>
        <row r="606">
          <cell r="B606" t="str">
            <v>2002AK</v>
          </cell>
          <cell r="C606">
            <v>0.30334484066413492</v>
          </cell>
          <cell r="D606">
            <v>0.23769937716735701</v>
          </cell>
          <cell r="E606">
            <v>6.205843688929364E-2</v>
          </cell>
          <cell r="F606">
            <v>0.28363994741136878</v>
          </cell>
          <cell r="G606">
            <v>3.6741064625999714E-2</v>
          </cell>
          <cell r="H606">
            <v>7.6516333241846021E-2</v>
          </cell>
          <cell r="J606" t="str">
            <v>2002AK</v>
          </cell>
          <cell r="K606">
            <v>0.90120049848470662</v>
          </cell>
          <cell r="L606">
            <v>3.6741064625999714E-2</v>
          </cell>
          <cell r="M606">
            <v>6.205843688929364E-2</v>
          </cell>
          <cell r="U606" t="str">
            <v>2002AK</v>
          </cell>
          <cell r="V606">
            <v>0.52632575500000001</v>
          </cell>
          <cell r="W606">
            <v>2.0841667000000001E-2</v>
          </cell>
          <cell r="X606">
            <v>0.130734092</v>
          </cell>
          <cell r="Y606">
            <v>9.9945266000000005E-2</v>
          </cell>
          <cell r="Z606">
            <v>0.22215322100000001</v>
          </cell>
          <cell r="AB606" t="str">
            <v>2002AK</v>
          </cell>
          <cell r="AC606">
            <v>0</v>
          </cell>
          <cell r="AD606">
            <v>0</v>
          </cell>
          <cell r="AE606">
            <v>0.25</v>
          </cell>
          <cell r="AF606">
            <v>0.75</v>
          </cell>
        </row>
        <row r="607">
          <cell r="B607" t="str">
            <v>2002AZ</v>
          </cell>
          <cell r="C607">
            <v>0.611220636654217</v>
          </cell>
          <cell r="D607">
            <v>0.19572797693407004</v>
          </cell>
          <cell r="E607">
            <v>9.865488383487428E-2</v>
          </cell>
          <cell r="F607">
            <v>9.3890669243012675E-2</v>
          </cell>
          <cell r="G607">
            <v>0</v>
          </cell>
          <cell r="H607">
            <v>5.0583333382575558E-4</v>
          </cell>
          <cell r="J607" t="str">
            <v>2002AZ</v>
          </cell>
          <cell r="K607">
            <v>0.90134511616512569</v>
          </cell>
          <cell r="L607">
            <v>0</v>
          </cell>
          <cell r="M607">
            <v>9.865488383487428E-2</v>
          </cell>
          <cell r="U607" t="str">
            <v>2002AZ</v>
          </cell>
          <cell r="V607">
            <v>0.136592664</v>
          </cell>
          <cell r="W607">
            <v>3.2171241000000003E-2</v>
          </cell>
          <cell r="X607">
            <v>5.4596316999999998E-2</v>
          </cell>
          <cell r="Y607">
            <v>0.50386894699999996</v>
          </cell>
          <cell r="Z607">
            <v>0.27277083200000002</v>
          </cell>
          <cell r="AB607" t="str">
            <v>2002AZ</v>
          </cell>
          <cell r="AC607">
            <v>0</v>
          </cell>
          <cell r="AD607">
            <v>0</v>
          </cell>
          <cell r="AE607">
            <v>0.6</v>
          </cell>
          <cell r="AF607">
            <v>0.4</v>
          </cell>
        </row>
        <row r="608">
          <cell r="B608" t="str">
            <v>2002AR</v>
          </cell>
          <cell r="C608">
            <v>9.6391342329605903E-2</v>
          </cell>
          <cell r="D608">
            <v>6.6955456596874061E-2</v>
          </cell>
          <cell r="E608">
            <v>0.14888335780531528</v>
          </cell>
          <cell r="F608">
            <v>0.11118804006195876</v>
          </cell>
          <cell r="G608">
            <v>0.57111057531117648</v>
          </cell>
          <cell r="H608">
            <v>5.4712278950695761E-3</v>
          </cell>
          <cell r="J608" t="str">
            <v>2002AR</v>
          </cell>
          <cell r="K608">
            <v>0.28000606688350826</v>
          </cell>
          <cell r="L608">
            <v>0.57111057531117648</v>
          </cell>
          <cell r="M608">
            <v>0.14888335780531528</v>
          </cell>
          <cell r="U608" t="str">
            <v>2002AR</v>
          </cell>
          <cell r="V608">
            <v>3.9459004999999998E-2</v>
          </cell>
          <cell r="W608">
            <v>3.7640482000000003E-2</v>
          </cell>
          <cell r="X608">
            <v>0.11914443199999999</v>
          </cell>
          <cell r="Y608">
            <v>0.45827781299999998</v>
          </cell>
          <cell r="Z608">
            <v>0.34547826799999998</v>
          </cell>
          <cell r="AB608" t="str">
            <v>2002AR</v>
          </cell>
          <cell r="AC608">
            <v>0</v>
          </cell>
          <cell r="AD608">
            <v>0</v>
          </cell>
          <cell r="AE608">
            <v>0</v>
          </cell>
          <cell r="AF608">
            <v>1</v>
          </cell>
        </row>
        <row r="609">
          <cell r="B609" t="str">
            <v>2002CA</v>
          </cell>
          <cell r="C609">
            <v>0.58081862489107328</v>
          </cell>
          <cell r="D609">
            <v>0.20720345916912225</v>
          </cell>
          <cell r="E609">
            <v>0.10801924509893834</v>
          </cell>
          <cell r="F609">
            <v>9.2431120719429966E-2</v>
          </cell>
          <cell r="G609">
            <v>9.2523577326630076E-3</v>
          </cell>
          <cell r="H609">
            <v>2.2751923887731596E-3</v>
          </cell>
          <cell r="J609" t="str">
            <v>2002CA</v>
          </cell>
          <cell r="K609">
            <v>0.88272839716839868</v>
          </cell>
          <cell r="L609">
            <v>9.2523577326630076E-3</v>
          </cell>
          <cell r="M609">
            <v>0.10801924509893834</v>
          </cell>
          <cell r="U609" t="str">
            <v>2002CA</v>
          </cell>
          <cell r="V609">
            <v>0.133799526</v>
          </cell>
          <cell r="W609">
            <v>3.2941353E-2</v>
          </cell>
          <cell r="X609">
            <v>7.5800703999999997E-2</v>
          </cell>
          <cell r="Y609">
            <v>0.46867659099999998</v>
          </cell>
          <cell r="Z609">
            <v>0.28878182499999999</v>
          </cell>
          <cell r="AB609" t="str">
            <v>2002CA</v>
          </cell>
          <cell r="AC609">
            <v>0</v>
          </cell>
          <cell r="AD609">
            <v>0</v>
          </cell>
          <cell r="AE609">
            <v>0.12</v>
          </cell>
          <cell r="AF609">
            <v>0.88</v>
          </cell>
        </row>
        <row r="610">
          <cell r="B610" t="str">
            <v>2002CO</v>
          </cell>
          <cell r="C610">
            <v>0.61667904285785091</v>
          </cell>
          <cell r="D610">
            <v>0.24212893570430052</v>
          </cell>
          <cell r="E610">
            <v>1.1092391745361967E-2</v>
          </cell>
          <cell r="F610">
            <v>0.11516410971780773</v>
          </cell>
          <cell r="G610">
            <v>6.5671374014829543E-3</v>
          </cell>
          <cell r="H610">
            <v>8.3683825731959392E-3</v>
          </cell>
          <cell r="J610" t="str">
            <v>2002CO</v>
          </cell>
          <cell r="K610">
            <v>0.98234047085315512</v>
          </cell>
          <cell r="L610">
            <v>6.5671374014829543E-3</v>
          </cell>
          <cell r="M610">
            <v>1.1092391745361967E-2</v>
          </cell>
          <cell r="U610" t="str">
            <v>2002CO</v>
          </cell>
          <cell r="V610">
            <v>2.3378138E-2</v>
          </cell>
          <cell r="W610">
            <v>5.3880426000000002E-2</v>
          </cell>
          <cell r="X610">
            <v>0.25772948099999998</v>
          </cell>
          <cell r="Y610">
            <v>0.169703665</v>
          </cell>
          <cell r="Z610">
            <v>0.49530828999999998</v>
          </cell>
          <cell r="AB610" t="str">
            <v>2002CO</v>
          </cell>
          <cell r="AC610">
            <v>0</v>
          </cell>
          <cell r="AD610">
            <v>0</v>
          </cell>
          <cell r="AE610">
            <v>0.6</v>
          </cell>
          <cell r="AF610">
            <v>0.4</v>
          </cell>
        </row>
        <row r="611">
          <cell r="B611" t="str">
            <v>2002CT</v>
          </cell>
          <cell r="C611">
            <v>0.11572842393252261</v>
          </cell>
          <cell r="D611">
            <v>0.20119880615243968</v>
          </cell>
          <cell r="E611">
            <v>0.43233999756560143</v>
          </cell>
          <cell r="F611">
            <v>0.17234541515575838</v>
          </cell>
          <cell r="G611">
            <v>5.5615402487630847E-2</v>
          </cell>
          <cell r="H611">
            <v>2.2771954706046996E-2</v>
          </cell>
          <cell r="J611" t="str">
            <v>2002CT</v>
          </cell>
          <cell r="K611">
            <v>0.51204459994676776</v>
          </cell>
          <cell r="L611">
            <v>5.5615402487630847E-2</v>
          </cell>
          <cell r="M611">
            <v>0.43233999756560143</v>
          </cell>
          <cell r="U611" t="str">
            <v>2002CT</v>
          </cell>
          <cell r="V611">
            <v>0.57363861400000005</v>
          </cell>
          <cell r="W611">
            <v>1.8759900999999999E-2</v>
          </cell>
          <cell r="X611">
            <v>0.117675743</v>
          </cell>
          <cell r="Y611">
            <v>8.9962252000000006E-2</v>
          </cell>
          <cell r="Z611">
            <v>0.19996348999999999</v>
          </cell>
          <cell r="AB611" t="str">
            <v>2002CT</v>
          </cell>
          <cell r="AC611">
            <v>0</v>
          </cell>
          <cell r="AD611">
            <v>0</v>
          </cell>
          <cell r="AE611">
            <v>0.05</v>
          </cell>
          <cell r="AF611">
            <v>0.95</v>
          </cell>
        </row>
        <row r="612">
          <cell r="B612" t="str">
            <v>2002DE</v>
          </cell>
          <cell r="C612">
            <v>0.10201653895343663</v>
          </cell>
          <cell r="D612">
            <v>0.1910091905838856</v>
          </cell>
          <cell r="E612">
            <v>0.43707162937473454</v>
          </cell>
          <cell r="F612">
            <v>0.18637975788177577</v>
          </cell>
          <cell r="G612">
            <v>5.9883562349419175E-2</v>
          </cell>
          <cell r="H612">
            <v>2.3639320856748244E-2</v>
          </cell>
          <cell r="J612" t="str">
            <v>2002DE</v>
          </cell>
          <cell r="K612">
            <v>0.5030448082758463</v>
          </cell>
          <cell r="L612">
            <v>5.9883562349419175E-2</v>
          </cell>
          <cell r="M612">
            <v>0.43707162937473454</v>
          </cell>
          <cell r="U612" t="str">
            <v>2002DE</v>
          </cell>
          <cell r="V612">
            <v>0.120253529</v>
          </cell>
          <cell r="W612">
            <v>4.1631153999999997E-2</v>
          </cell>
          <cell r="X612">
            <v>0.23964419100000001</v>
          </cell>
          <cell r="Y612">
            <v>0.17588547500000001</v>
          </cell>
          <cell r="Z612">
            <v>0.42258565100000001</v>
          </cell>
          <cell r="AB612" t="str">
            <v>2002DE</v>
          </cell>
          <cell r="AC612">
            <v>0</v>
          </cell>
          <cell r="AD612">
            <v>0</v>
          </cell>
          <cell r="AE612">
            <v>0.05</v>
          </cell>
          <cell r="AF612">
            <v>0.95</v>
          </cell>
        </row>
        <row r="613">
          <cell r="B613" t="str">
            <v>2002FL</v>
          </cell>
          <cell r="C613">
            <v>0.38654865924430459</v>
          </cell>
          <cell r="D613">
            <v>0.14503983167997814</v>
          </cell>
          <cell r="E613">
            <v>0.21616400084919535</v>
          </cell>
          <cell r="F613">
            <v>7.8997496757044303E-2</v>
          </cell>
          <cell r="G613">
            <v>0.17198217725399226</v>
          </cell>
          <cell r="H613">
            <v>1.2678342154852779E-3</v>
          </cell>
          <cell r="J613" t="str">
            <v>2002FL</v>
          </cell>
          <cell r="K613">
            <v>0.61185382189681237</v>
          </cell>
          <cell r="L613">
            <v>0.17198217725399226</v>
          </cell>
          <cell r="M613">
            <v>0.21616400084919535</v>
          </cell>
          <cell r="U613" t="str">
            <v>2002FL</v>
          </cell>
          <cell r="V613">
            <v>0.71166924399999998</v>
          </cell>
          <cell r="W613">
            <v>1.2686553E-2</v>
          </cell>
          <cell r="X613">
            <v>7.9579288999999998E-2</v>
          </cell>
          <cell r="Y613">
            <v>6.0837789000000003E-2</v>
          </cell>
          <cell r="Z613">
            <v>0.135227124</v>
          </cell>
          <cell r="AB613" t="str">
            <v>2002FL</v>
          </cell>
          <cell r="AC613">
            <v>0</v>
          </cell>
          <cell r="AD613">
            <v>0</v>
          </cell>
          <cell r="AE613">
            <v>0.41899999999999998</v>
          </cell>
          <cell r="AF613">
            <v>0.58099999999999996</v>
          </cell>
        </row>
        <row r="614">
          <cell r="B614" t="str">
            <v>2002GA</v>
          </cell>
          <cell r="C614">
            <v>0.20823216155586291</v>
          </cell>
          <cell r="D614">
            <v>0.11033206176717186</v>
          </cell>
          <cell r="E614">
            <v>0.17733204084631207</v>
          </cell>
          <cell r="F614">
            <v>9.7862793659120595E-2</v>
          </cell>
          <cell r="G614">
            <v>0.40234468997942996</v>
          </cell>
          <cell r="H614">
            <v>3.8962521921025758E-3</v>
          </cell>
          <cell r="J614" t="str">
            <v>2002GA</v>
          </cell>
          <cell r="K614">
            <v>0.420323269174258</v>
          </cell>
          <cell r="L614">
            <v>0.40234468997942996</v>
          </cell>
          <cell r="M614">
            <v>0.17733204084631207</v>
          </cell>
          <cell r="U614" t="str">
            <v>2002GA</v>
          </cell>
          <cell r="V614">
            <v>7.8133266000000007E-2</v>
          </cell>
          <cell r="W614">
            <v>3.5587817000000001E-2</v>
          </cell>
          <cell r="X614">
            <v>9.7388838000000005E-2</v>
          </cell>
          <cell r="Y614">
            <v>0.46952270200000001</v>
          </cell>
          <cell r="Z614">
            <v>0.31936737799999998</v>
          </cell>
          <cell r="AB614" t="str">
            <v>2002GA</v>
          </cell>
          <cell r="AC614">
            <v>0</v>
          </cell>
          <cell r="AD614">
            <v>0</v>
          </cell>
          <cell r="AE614">
            <v>0.41899999999999998</v>
          </cell>
          <cell r="AF614">
            <v>0.58099999999999996</v>
          </cell>
        </row>
        <row r="615">
          <cell r="B615" t="str">
            <v>2002HI</v>
          </cell>
          <cell r="C615">
            <v>0.67137224197860923</v>
          </cell>
          <cell r="D615">
            <v>0.21100034068527662</v>
          </cell>
          <cell r="E615">
            <v>0</v>
          </cell>
          <cell r="F615">
            <v>0.10820426646618357</v>
          </cell>
          <cell r="G615">
            <v>7.5112148308577572E-3</v>
          </cell>
          <cell r="H615">
            <v>1.9119360390725836E-3</v>
          </cell>
          <cell r="J615" t="str">
            <v>2002HI</v>
          </cell>
          <cell r="K615">
            <v>0.9924887851691423</v>
          </cell>
          <cell r="L615">
            <v>7.5112148308577572E-3</v>
          </cell>
          <cell r="M615">
            <v>0</v>
          </cell>
          <cell r="U615" t="str">
            <v>2002HI</v>
          </cell>
          <cell r="V615">
            <v>0.23216878499999999</v>
          </cell>
          <cell r="W615">
            <v>3.2904865999999998E-2</v>
          </cell>
          <cell r="X615">
            <v>0.18414778700000001</v>
          </cell>
          <cell r="Y615">
            <v>0.21064765399999999</v>
          </cell>
          <cell r="Z615">
            <v>0.34013090899999998</v>
          </cell>
          <cell r="AB615" t="str">
            <v>2002HI</v>
          </cell>
          <cell r="AC615">
            <v>0</v>
          </cell>
          <cell r="AD615">
            <v>0</v>
          </cell>
          <cell r="AE615">
            <v>0.25</v>
          </cell>
          <cell r="AF615">
            <v>0.75</v>
          </cell>
        </row>
        <row r="616">
          <cell r="B616" t="str">
            <v>2002ID</v>
          </cell>
          <cell r="C616">
            <v>0.62850843440764703</v>
          </cell>
          <cell r="D616">
            <v>0.2329683972033782</v>
          </cell>
          <cell r="E616">
            <v>6.4436683947772669E-3</v>
          </cell>
          <cell r="F616">
            <v>0.11961222721284216</v>
          </cell>
          <cell r="G616">
            <v>3.8149081541218642E-3</v>
          </cell>
          <cell r="H616">
            <v>8.6523646272333287E-3</v>
          </cell>
          <cell r="J616" t="str">
            <v>2002ID</v>
          </cell>
          <cell r="K616">
            <v>0.98974142345110083</v>
          </cell>
          <cell r="L616">
            <v>3.8149081541218642E-3</v>
          </cell>
          <cell r="M616">
            <v>6.4436683947772669E-3</v>
          </cell>
          <cell r="U616" t="str">
            <v>2002ID</v>
          </cell>
          <cell r="V616">
            <v>0.460837895</v>
          </cell>
          <cell r="W616">
            <v>2.6974237000000002E-2</v>
          </cell>
          <cell r="X616">
            <v>0.14528671200000001</v>
          </cell>
          <cell r="Y616">
            <v>0.102926191</v>
          </cell>
          <cell r="Z616">
            <v>0.26397496599999998</v>
          </cell>
          <cell r="AB616" t="str">
            <v>2002ID</v>
          </cell>
          <cell r="AC616">
            <v>0</v>
          </cell>
          <cell r="AD616">
            <v>0</v>
          </cell>
          <cell r="AE616">
            <v>0.6</v>
          </cell>
          <cell r="AF616">
            <v>0.4</v>
          </cell>
        </row>
        <row r="617">
          <cell r="B617" t="str">
            <v>2002IL</v>
          </cell>
          <cell r="C617">
            <v>0.13175283144497188</v>
          </cell>
          <cell r="D617">
            <v>0.26046159534668961</v>
          </cell>
          <cell r="E617">
            <v>8.1383349234931596E-2</v>
          </cell>
          <cell r="F617">
            <v>0.43207247933210829</v>
          </cell>
          <cell r="G617">
            <v>4.8182181885357514E-2</v>
          </cell>
          <cell r="H617">
            <v>4.6147562755941125E-2</v>
          </cell>
          <cell r="J617" t="str">
            <v>2002IL</v>
          </cell>
          <cell r="K617">
            <v>0.87043446887971088</v>
          </cell>
          <cell r="L617">
            <v>4.8182181885357514E-2</v>
          </cell>
          <cell r="M617">
            <v>8.1383349234931596E-2</v>
          </cell>
          <cell r="U617" t="str">
            <v>2002IL</v>
          </cell>
          <cell r="V617">
            <v>2.0186552999999999E-2</v>
          </cell>
          <cell r="W617">
            <v>4.5739502000000001E-2</v>
          </cell>
          <cell r="X617">
            <v>0.28028242399999997</v>
          </cell>
          <cell r="Y617">
            <v>0.149587944</v>
          </cell>
          <cell r="Z617">
            <v>0.50420357699999996</v>
          </cell>
          <cell r="AB617" t="str">
            <v>2002IL</v>
          </cell>
          <cell r="AC617">
            <v>0</v>
          </cell>
          <cell r="AD617">
            <v>0</v>
          </cell>
          <cell r="AE617">
            <v>0.02</v>
          </cell>
          <cell r="AF617">
            <v>0.98</v>
          </cell>
        </row>
        <row r="618">
          <cell r="B618" t="str">
            <v>2002IN</v>
          </cell>
          <cell r="C618">
            <v>0.16189917384296076</v>
          </cell>
          <cell r="D618">
            <v>0.24163212738244233</v>
          </cell>
          <cell r="E618">
            <v>0.13392208737361183</v>
          </cell>
          <cell r="F618">
            <v>0.3491044693998876</v>
          </cell>
          <cell r="G618">
            <v>7.9287205957511472E-2</v>
          </cell>
          <cell r="H618">
            <v>3.4154936043586021E-2</v>
          </cell>
          <cell r="J618" t="str">
            <v>2002IN</v>
          </cell>
          <cell r="K618">
            <v>0.78679070666887663</v>
          </cell>
          <cell r="L618">
            <v>7.9287205957511472E-2</v>
          </cell>
          <cell r="M618">
            <v>0.13392208737361183</v>
          </cell>
          <cell r="U618" t="str">
            <v>2002IN</v>
          </cell>
          <cell r="V618">
            <v>2.5489210000000002E-2</v>
          </cell>
          <cell r="W618">
            <v>4.5536079E-2</v>
          </cell>
          <cell r="X618">
            <v>0.27893099599999999</v>
          </cell>
          <cell r="Y618">
            <v>0.14781887399999999</v>
          </cell>
          <cell r="Z618">
            <v>0.50222484099999998</v>
          </cell>
          <cell r="AB618" t="str">
            <v>2002IN</v>
          </cell>
          <cell r="AC618">
            <v>0</v>
          </cell>
          <cell r="AD618">
            <v>0</v>
          </cell>
          <cell r="AE618">
            <v>0</v>
          </cell>
          <cell r="AF618">
            <v>1</v>
          </cell>
        </row>
        <row r="619">
          <cell r="B619" t="str">
            <v>2002IA</v>
          </cell>
          <cell r="C619">
            <v>0.13792614664225575</v>
          </cell>
          <cell r="D619">
            <v>0.25047757969635848</v>
          </cell>
          <cell r="E619">
            <v>0.10477197231415941</v>
          </cell>
          <cell r="F619">
            <v>0.40507493125352922</v>
          </cell>
          <cell r="G619">
            <v>6.2029177638731184E-2</v>
          </cell>
          <cell r="H619">
            <v>3.9720192454965969E-2</v>
          </cell>
          <cell r="J619" t="str">
            <v>2002IA</v>
          </cell>
          <cell r="K619">
            <v>0.83319885004710947</v>
          </cell>
          <cell r="L619">
            <v>6.2029177638731184E-2</v>
          </cell>
          <cell r="M619">
            <v>0.10477197231415941</v>
          </cell>
          <cell r="U619" t="str">
            <v>2002IA</v>
          </cell>
          <cell r="V619">
            <v>9.6502570000000006E-3</v>
          </cell>
          <cell r="W619">
            <v>3.8739974000000003E-2</v>
          </cell>
          <cell r="X619">
            <v>0.12067557499999999</v>
          </cell>
          <cell r="Y619">
            <v>0.47629315999999999</v>
          </cell>
          <cell r="Z619">
            <v>0.35464103499999999</v>
          </cell>
          <cell r="AB619" t="str">
            <v>2002IA</v>
          </cell>
          <cell r="AC619">
            <v>0</v>
          </cell>
          <cell r="AD619">
            <v>0</v>
          </cell>
          <cell r="AE619">
            <v>0</v>
          </cell>
          <cell r="AF619">
            <v>1</v>
          </cell>
        </row>
        <row r="620">
          <cell r="B620" t="str">
            <v>2002KS</v>
          </cell>
          <cell r="C620">
            <v>0.28758404285910905</v>
          </cell>
          <cell r="D620">
            <v>0.32607606753917184</v>
          </cell>
          <cell r="E620">
            <v>5.1050547933917619E-2</v>
          </cell>
          <cell r="F620">
            <v>0.27762124338847843</v>
          </cell>
          <cell r="G620">
            <v>3.0223956239483565E-2</v>
          </cell>
          <cell r="H620">
            <v>2.7444142039839463E-2</v>
          </cell>
          <cell r="J620" t="str">
            <v>2002KS</v>
          </cell>
          <cell r="K620">
            <v>0.91872549582659879</v>
          </cell>
          <cell r="L620">
            <v>3.0223956239483565E-2</v>
          </cell>
          <cell r="M620">
            <v>5.1050547933917619E-2</v>
          </cell>
          <cell r="U620" t="str">
            <v>2002KS</v>
          </cell>
          <cell r="V620">
            <v>2.3647662E-2</v>
          </cell>
          <cell r="W620">
            <v>4.6272377000000003E-2</v>
          </cell>
          <cell r="X620">
            <v>0.28189652199999998</v>
          </cell>
          <cell r="Y620">
            <v>0.13395533500000001</v>
          </cell>
          <cell r="Z620">
            <v>0.51422810299999999</v>
          </cell>
          <cell r="AB620" t="str">
            <v>2002KS</v>
          </cell>
          <cell r="AC620">
            <v>0</v>
          </cell>
          <cell r="AD620">
            <v>0</v>
          </cell>
          <cell r="AE620">
            <v>0.02</v>
          </cell>
          <cell r="AF620">
            <v>0.98</v>
          </cell>
        </row>
        <row r="621">
          <cell r="B621" t="str">
            <v>2002KY</v>
          </cell>
          <cell r="C621">
            <v>2.3305602928070858E-2</v>
          </cell>
          <cell r="D621">
            <v>6.2885861766289422E-2</v>
          </cell>
          <cell r="E621">
            <v>0.14165738300711325</v>
          </cell>
          <cell r="F621">
            <v>0.14315421990856123</v>
          </cell>
          <cell r="G621">
            <v>0.61397716539009373</v>
          </cell>
          <cell r="H621">
            <v>1.5019766999871505E-2</v>
          </cell>
          <cell r="J621" t="str">
            <v>2002KY</v>
          </cell>
          <cell r="K621">
            <v>0.24436545160279299</v>
          </cell>
          <cell r="L621">
            <v>0.61397716539009373</v>
          </cell>
          <cell r="M621">
            <v>0.14165738300711325</v>
          </cell>
          <cell r="U621" t="str">
            <v>2002KY</v>
          </cell>
          <cell r="V621">
            <v>4.9184704000000003E-2</v>
          </cell>
          <cell r="W621">
            <v>3.7321891000000003E-2</v>
          </cell>
          <cell r="X621">
            <v>0.11991215400000001</v>
          </cell>
          <cell r="Y621">
            <v>0.45018075899999999</v>
          </cell>
          <cell r="Z621">
            <v>0.34340049099999997</v>
          </cell>
          <cell r="AB621" t="str">
            <v>2002KY</v>
          </cell>
          <cell r="AC621">
            <v>0</v>
          </cell>
          <cell r="AD621">
            <v>0</v>
          </cell>
          <cell r="AE621">
            <v>0.05</v>
          </cell>
          <cell r="AF621">
            <v>0.95</v>
          </cell>
        </row>
        <row r="622">
          <cell r="B622" t="str">
            <v>2002LA</v>
          </cell>
          <cell r="C622">
            <v>8.7696493950327165E-2</v>
          </cell>
          <cell r="D622">
            <v>6.4637521135916851E-2</v>
          </cell>
          <cell r="E622">
            <v>0.14461730665558523</v>
          </cell>
          <cell r="F622">
            <v>0.10160244529023774</v>
          </cell>
          <cell r="G622">
            <v>0.59641803499629376</v>
          </cell>
          <cell r="H622">
            <v>5.0281979716392446E-3</v>
          </cell>
          <cell r="J622" t="str">
            <v>2002LA</v>
          </cell>
          <cell r="K622">
            <v>0.25896465834812099</v>
          </cell>
          <cell r="L622">
            <v>0.59641803499629376</v>
          </cell>
          <cell r="M622">
            <v>0.14461730665558523</v>
          </cell>
          <cell r="U622" t="str">
            <v>2002LA</v>
          </cell>
          <cell r="V622">
            <v>0.53551704700000002</v>
          </cell>
          <cell r="W622">
            <v>2.0437250000000001E-2</v>
          </cell>
          <cell r="X622">
            <v>0.12819729499999999</v>
          </cell>
          <cell r="Y622">
            <v>9.8005903000000005E-2</v>
          </cell>
          <cell r="Z622">
            <v>0.21784250499999999</v>
          </cell>
          <cell r="AB622" t="str">
            <v>2002LA</v>
          </cell>
          <cell r="AC622">
            <v>0</v>
          </cell>
          <cell r="AD622">
            <v>0</v>
          </cell>
          <cell r="AE622">
            <v>0.6</v>
          </cell>
          <cell r="AF622">
            <v>0.4</v>
          </cell>
        </row>
        <row r="623">
          <cell r="B623" t="str">
            <v>2002ME</v>
          </cell>
          <cell r="C623">
            <v>9.3713015315557757E-2</v>
          </cell>
          <cell r="D623">
            <v>0.17210096338216258</v>
          </cell>
          <cell r="E623">
            <v>0.44837154081607639</v>
          </cell>
          <cell r="F623">
            <v>0.19633313267932656</v>
          </cell>
          <cell r="G623">
            <v>7.0076626899074845E-2</v>
          </cell>
          <cell r="H623">
            <v>1.9404720907801824E-2</v>
          </cell>
          <cell r="J623" t="str">
            <v>2002ME</v>
          </cell>
          <cell r="K623">
            <v>0.48155183228484877</v>
          </cell>
          <cell r="L623">
            <v>7.0076626899074845E-2</v>
          </cell>
          <cell r="M623">
            <v>0.44837154081607639</v>
          </cell>
          <cell r="U623" t="str">
            <v>2002ME</v>
          </cell>
          <cell r="V623">
            <v>0.72920202000000001</v>
          </cell>
          <cell r="W623">
            <v>1.1915111000000001E-2</v>
          </cell>
          <cell r="X623">
            <v>7.4740241999999998E-2</v>
          </cell>
          <cell r="Y623">
            <v>5.7138373999999999E-2</v>
          </cell>
          <cell r="Z623">
            <v>0.12700425300000001</v>
          </cell>
          <cell r="AB623" t="str">
            <v>2002ME</v>
          </cell>
          <cell r="AC623">
            <v>0</v>
          </cell>
          <cell r="AD623">
            <v>0</v>
          </cell>
          <cell r="AE623">
            <v>0.05</v>
          </cell>
          <cell r="AF623">
            <v>0.95</v>
          </cell>
        </row>
        <row r="624">
          <cell r="B624" t="str">
            <v>2002MD</v>
          </cell>
          <cell r="C624">
            <v>7.6488535055593554E-2</v>
          </cell>
          <cell r="D624">
            <v>0.15472472257238745</v>
          </cell>
          <cell r="E624">
            <v>0.44380834258126728</v>
          </cell>
          <cell r="F624">
            <v>0.22861605738914034</v>
          </cell>
          <cell r="G624">
            <v>6.5960402236453913E-2</v>
          </cell>
          <cell r="H624">
            <v>3.0401940165157418E-2</v>
          </cell>
          <cell r="J624" t="str">
            <v>2002MD</v>
          </cell>
          <cell r="K624">
            <v>0.49023125518227884</v>
          </cell>
          <cell r="L624">
            <v>6.5960402236453913E-2</v>
          </cell>
          <cell r="M624">
            <v>0.44380834258126728</v>
          </cell>
          <cell r="U624" t="str">
            <v>2002MD</v>
          </cell>
          <cell r="V624">
            <v>0.21140679400000001</v>
          </cell>
          <cell r="W624">
            <v>3.7602905999999998E-2</v>
          </cell>
          <cell r="X624">
            <v>0.214504853</v>
          </cell>
          <cell r="Y624">
            <v>0.15671048400000001</v>
          </cell>
          <cell r="Z624">
            <v>0.37977496300000002</v>
          </cell>
          <cell r="AB624" t="str">
            <v>2002MD</v>
          </cell>
          <cell r="AC624">
            <v>0</v>
          </cell>
          <cell r="AD624">
            <v>0</v>
          </cell>
          <cell r="AE624">
            <v>0.05</v>
          </cell>
          <cell r="AF624">
            <v>0.95</v>
          </cell>
        </row>
        <row r="625">
          <cell r="B625" t="str">
            <v>2002MA</v>
          </cell>
          <cell r="C625">
            <v>6.1305440163427552E-2</v>
          </cell>
          <cell r="D625">
            <v>0.14874705508142777</v>
          </cell>
          <cell r="E625">
            <v>0.45216403673004657</v>
          </cell>
          <cell r="F625">
            <v>0.23617268276189021</v>
          </cell>
          <cell r="G625">
            <v>7.3497640935872632E-2</v>
          </cell>
          <cell r="H625">
            <v>2.8113144327335336E-2</v>
          </cell>
          <cell r="J625" t="str">
            <v>2002MA</v>
          </cell>
          <cell r="K625">
            <v>0.4743383223340808</v>
          </cell>
          <cell r="L625">
            <v>7.3497640935872632E-2</v>
          </cell>
          <cell r="M625">
            <v>0.45216403673004657</v>
          </cell>
          <cell r="U625" t="str">
            <v>2002MA</v>
          </cell>
          <cell r="V625">
            <v>0.31419575799999999</v>
          </cell>
          <cell r="W625">
            <v>3.0175387000000001E-2</v>
          </cell>
          <cell r="X625">
            <v>0.18928197099999999</v>
          </cell>
          <cell r="Y625">
            <v>0.14470469499999999</v>
          </cell>
          <cell r="Z625">
            <v>0.32164218900000002</v>
          </cell>
          <cell r="AB625" t="str">
            <v>2002MA</v>
          </cell>
          <cell r="AC625">
            <v>0</v>
          </cell>
          <cell r="AD625">
            <v>0</v>
          </cell>
          <cell r="AE625">
            <v>0.05</v>
          </cell>
          <cell r="AF625">
            <v>0.95</v>
          </cell>
        </row>
        <row r="626">
          <cell r="B626" t="str">
            <v>2002MI</v>
          </cell>
          <cell r="C626">
            <v>0.21592740095911189</v>
          </cell>
          <cell r="D626">
            <v>0.33044604004991018</v>
          </cell>
          <cell r="E626">
            <v>5.8998863632555826E-2</v>
          </cell>
          <cell r="F626">
            <v>0.32074430847532459</v>
          </cell>
          <cell r="G626">
            <v>3.4929675483950956E-2</v>
          </cell>
          <cell r="H626">
            <v>3.8953711399146676E-2</v>
          </cell>
          <cell r="J626" t="str">
            <v>2002MI</v>
          </cell>
          <cell r="K626">
            <v>0.90607146088349322</v>
          </cell>
          <cell r="L626">
            <v>3.4929675483950956E-2</v>
          </cell>
          <cell r="M626">
            <v>5.8998863632555826E-2</v>
          </cell>
          <cell r="U626" t="str">
            <v>2002MI</v>
          </cell>
          <cell r="V626">
            <v>4.5127237000000001E-2</v>
          </cell>
          <cell r="W626">
            <v>5.0500046999999999E-2</v>
          </cell>
          <cell r="X626">
            <v>0.254352099</v>
          </cell>
          <cell r="Y626">
            <v>0.17319266699999999</v>
          </cell>
          <cell r="Z626">
            <v>0.47682794899999997</v>
          </cell>
          <cell r="AB626" t="str">
            <v>2002MI</v>
          </cell>
          <cell r="AC626">
            <v>0</v>
          </cell>
          <cell r="AD626">
            <v>0</v>
          </cell>
          <cell r="AE626">
            <v>0.02</v>
          </cell>
          <cell r="AF626">
            <v>0.98</v>
          </cell>
        </row>
        <row r="627">
          <cell r="B627" t="str">
            <v>2002MN</v>
          </cell>
          <cell r="C627">
            <v>0.11559741536790068</v>
          </cell>
          <cell r="D627">
            <v>0.23915415867765383</v>
          </cell>
          <cell r="E627">
            <v>0.10052931481156221</v>
          </cell>
          <cell r="F627">
            <v>0.43822851849088174</v>
          </cell>
          <cell r="G627">
            <v>5.9517355535203494E-2</v>
          </cell>
          <cell r="H627">
            <v>4.697323711679801E-2</v>
          </cell>
          <cell r="J627" t="str">
            <v>2002MN</v>
          </cell>
          <cell r="K627">
            <v>0.83995332965323433</v>
          </cell>
          <cell r="L627">
            <v>5.9517355535203494E-2</v>
          </cell>
          <cell r="M627">
            <v>0.10052931481156221</v>
          </cell>
          <cell r="U627" t="str">
            <v>2002MN</v>
          </cell>
          <cell r="V627">
            <v>1.5145339000000001E-2</v>
          </cell>
          <cell r="W627">
            <v>5.1986831999999997E-2</v>
          </cell>
          <cell r="X627">
            <v>0.262445557</v>
          </cell>
          <cell r="Y627">
            <v>0.17896024199999999</v>
          </cell>
          <cell r="Z627">
            <v>0.49146202900000002</v>
          </cell>
          <cell r="AB627" t="str">
            <v>2002MN</v>
          </cell>
          <cell r="AC627">
            <v>0</v>
          </cell>
          <cell r="AD627">
            <v>0</v>
          </cell>
          <cell r="AE627">
            <v>0</v>
          </cell>
          <cell r="AF627">
            <v>1</v>
          </cell>
        </row>
        <row r="628">
          <cell r="B628" t="str">
            <v>2002MS</v>
          </cell>
          <cell r="C628">
            <v>0.10416334210611014</v>
          </cell>
          <cell r="D628">
            <v>7.2829933678422776E-2</v>
          </cell>
          <cell r="E628">
            <v>0.14929269604113307</v>
          </cell>
          <cell r="F628">
            <v>0.10019278631941281</v>
          </cell>
          <cell r="G628">
            <v>0.56868226150598644</v>
          </cell>
          <cell r="H628">
            <v>4.838980348934833E-3</v>
          </cell>
          <cell r="J628" t="str">
            <v>2002MS</v>
          </cell>
          <cell r="K628">
            <v>0.28202504245288051</v>
          </cell>
          <cell r="L628">
            <v>0.56868226150598644</v>
          </cell>
          <cell r="M628">
            <v>0.14929269604113307</v>
          </cell>
          <cell r="U628" t="str">
            <v>2002MS</v>
          </cell>
          <cell r="V628">
            <v>2.1100625000000001E-2</v>
          </cell>
          <cell r="W628">
            <v>3.6418512E-2</v>
          </cell>
          <cell r="X628">
            <v>6.0129593000000002E-2</v>
          </cell>
          <cell r="Y628">
            <v>0.574366987</v>
          </cell>
          <cell r="Z628">
            <v>0.30798428300000003</v>
          </cell>
          <cell r="AB628" t="str">
            <v>2002MS</v>
          </cell>
          <cell r="AC628">
            <v>0</v>
          </cell>
          <cell r="AD628">
            <v>0</v>
          </cell>
          <cell r="AE628">
            <v>0.6</v>
          </cell>
          <cell r="AF628">
            <v>0.4</v>
          </cell>
        </row>
        <row r="629">
          <cell r="B629" t="str">
            <v>2002MO</v>
          </cell>
          <cell r="C629">
            <v>6.4925479522277466E-2</v>
          </cell>
          <cell r="D629">
            <v>0.18170303563698134</v>
          </cell>
          <cell r="E629">
            <v>0.14337282997597614</v>
          </cell>
          <cell r="F629">
            <v>0.47880340852502545</v>
          </cell>
          <cell r="G629">
            <v>8.4882421727070459E-2</v>
          </cell>
          <cell r="H629">
            <v>4.6312824612669105E-2</v>
          </cell>
          <cell r="J629" t="str">
            <v>2002MO</v>
          </cell>
          <cell r="K629">
            <v>0.77174474829695339</v>
          </cell>
          <cell r="L629">
            <v>8.4882421727070459E-2</v>
          </cell>
          <cell r="M629">
            <v>0.14337282997597614</v>
          </cell>
          <cell r="U629" t="str">
            <v>2002MO</v>
          </cell>
          <cell r="V629">
            <v>2.998994E-2</v>
          </cell>
          <cell r="W629">
            <v>4.5757142000000001E-2</v>
          </cell>
          <cell r="X629">
            <v>0.27926039899999999</v>
          </cell>
          <cell r="Y629">
            <v>0.13775391300000001</v>
          </cell>
          <cell r="Z629">
            <v>0.50723860600000004</v>
          </cell>
          <cell r="AB629" t="str">
            <v>2002MO</v>
          </cell>
          <cell r="AC629">
            <v>0</v>
          </cell>
          <cell r="AD629">
            <v>0</v>
          </cell>
          <cell r="AE629">
            <v>0</v>
          </cell>
          <cell r="AF629">
            <v>1</v>
          </cell>
        </row>
        <row r="630">
          <cell r="B630" t="str">
            <v>2002MT</v>
          </cell>
          <cell r="C630">
            <v>0.35597781750083307</v>
          </cell>
          <cell r="D630">
            <v>0.25924389885240834</v>
          </cell>
          <cell r="E630">
            <v>4.3797789125912777E-2</v>
          </cell>
          <cell r="F630">
            <v>0.25058080537727367</v>
          </cell>
          <cell r="G630">
            <v>2.5930034358127463E-2</v>
          </cell>
          <cell r="H630">
            <v>6.4469654785444572E-2</v>
          </cell>
          <cell r="J630" t="str">
            <v>2002MT</v>
          </cell>
          <cell r="K630">
            <v>0.93027217651595973</v>
          </cell>
          <cell r="L630">
            <v>2.5930034358127463E-2</v>
          </cell>
          <cell r="M630">
            <v>4.3797789125912777E-2</v>
          </cell>
          <cell r="U630" t="str">
            <v>2002MT</v>
          </cell>
          <cell r="V630">
            <v>6.0520032000000001E-2</v>
          </cell>
          <cell r="W630">
            <v>5.1214043000000001E-2</v>
          </cell>
          <cell r="X630">
            <v>0.24859647000000001</v>
          </cell>
          <cell r="Y630">
            <v>0.16530719099999999</v>
          </cell>
          <cell r="Z630">
            <v>0.47436226399999998</v>
          </cell>
          <cell r="AB630" t="str">
            <v>2002MT</v>
          </cell>
          <cell r="AC630">
            <v>0</v>
          </cell>
          <cell r="AD630">
            <v>0</v>
          </cell>
          <cell r="AE630">
            <v>0.6</v>
          </cell>
          <cell r="AF630">
            <v>0.4</v>
          </cell>
        </row>
        <row r="631">
          <cell r="B631" t="str">
            <v>2002NE</v>
          </cell>
          <cell r="C631">
            <v>0.21260954807532403</v>
          </cell>
          <cell r="D631">
            <v>0.30324255962083846</v>
          </cell>
          <cell r="E631">
            <v>6.1277054134417128E-2</v>
          </cell>
          <cell r="F631">
            <v>0.34696077142199511</v>
          </cell>
          <cell r="G631">
            <v>3.6278454935301678E-2</v>
          </cell>
          <cell r="H631">
            <v>3.9631611812123581E-2</v>
          </cell>
          <cell r="J631" t="str">
            <v>2002NE</v>
          </cell>
          <cell r="K631">
            <v>0.90244449093028123</v>
          </cell>
          <cell r="L631">
            <v>3.6278454935301678E-2</v>
          </cell>
          <cell r="M631">
            <v>6.1277054134417128E-2</v>
          </cell>
          <cell r="U631" t="str">
            <v>2002NE</v>
          </cell>
          <cell r="V631">
            <v>3.0063880000000001E-2</v>
          </cell>
          <cell r="W631">
            <v>4.5295173000000001E-2</v>
          </cell>
          <cell r="X631">
            <v>0.27751980599999998</v>
          </cell>
          <cell r="Y631">
            <v>0.147715386</v>
          </cell>
          <cell r="Z631">
            <v>0.49940575500000001</v>
          </cell>
          <cell r="AB631" t="str">
            <v>2002NE</v>
          </cell>
          <cell r="AC631">
            <v>0</v>
          </cell>
          <cell r="AD631">
            <v>0</v>
          </cell>
          <cell r="AE631">
            <v>0.02</v>
          </cell>
          <cell r="AF631">
            <v>0.98</v>
          </cell>
        </row>
        <row r="632">
          <cell r="B632" t="str">
            <v>2002NV</v>
          </cell>
          <cell r="C632">
            <v>0.64210148526116029</v>
          </cell>
          <cell r="D632">
            <v>0.238399883587257</v>
          </cell>
          <cell r="E632">
            <v>4.1594375177217181E-3</v>
          </cell>
          <cell r="F632">
            <v>0.10819864870890922</v>
          </cell>
          <cell r="G632">
            <v>2.4625525602432058E-3</v>
          </cell>
          <cell r="H632">
            <v>4.677992364708553E-3</v>
          </cell>
          <cell r="J632" t="str">
            <v>2002NV</v>
          </cell>
          <cell r="K632">
            <v>0.99337800992203507</v>
          </cell>
          <cell r="L632">
            <v>2.4625525602432058E-3</v>
          </cell>
          <cell r="M632">
            <v>4.1594375177217181E-3</v>
          </cell>
          <cell r="U632" t="str">
            <v>2002NV</v>
          </cell>
          <cell r="V632">
            <v>0.35004114600000003</v>
          </cell>
          <cell r="W632">
            <v>2.4048478000000002E-2</v>
          </cell>
          <cell r="X632">
            <v>3.5747737000000002E-2</v>
          </cell>
          <cell r="Y632">
            <v>0.38867539400000001</v>
          </cell>
          <cell r="Z632">
            <v>0.20148724500000001</v>
          </cell>
          <cell r="AB632" t="str">
            <v>2002NV</v>
          </cell>
          <cell r="AC632">
            <v>0</v>
          </cell>
          <cell r="AD632">
            <v>0</v>
          </cell>
          <cell r="AE632">
            <v>0</v>
          </cell>
          <cell r="AF632">
            <v>1</v>
          </cell>
        </row>
        <row r="633">
          <cell r="B633" t="str">
            <v>2002NH</v>
          </cell>
          <cell r="C633">
            <v>9.4573445198850817E-2</v>
          </cell>
          <cell r="D633">
            <v>0.16340842518862655</v>
          </cell>
          <cell r="E633">
            <v>0.44298025846087286</v>
          </cell>
          <cell r="F633">
            <v>0.20852129702854144</v>
          </cell>
          <cell r="G633">
            <v>6.52134304627775E-2</v>
          </cell>
          <cell r="H633">
            <v>2.5303143660330828E-2</v>
          </cell>
          <cell r="J633" t="str">
            <v>2002NH</v>
          </cell>
          <cell r="K633">
            <v>0.49180631107634964</v>
          </cell>
          <cell r="L633">
            <v>6.52134304627775E-2</v>
          </cell>
          <cell r="M633">
            <v>0.44298025846087286</v>
          </cell>
          <cell r="U633" t="str">
            <v>2002NH</v>
          </cell>
          <cell r="V633">
            <v>0.56759962799999997</v>
          </cell>
          <cell r="W633">
            <v>1.9025615999999999E-2</v>
          </cell>
          <cell r="X633">
            <v>0.119342503</v>
          </cell>
          <cell r="Y633">
            <v>9.1236478999999995E-2</v>
          </cell>
          <cell r="Z633">
            <v>0.20279577500000001</v>
          </cell>
          <cell r="AB633" t="str">
            <v>2002NH</v>
          </cell>
          <cell r="AC633">
            <v>0</v>
          </cell>
          <cell r="AD633">
            <v>0</v>
          </cell>
          <cell r="AE633">
            <v>0.05</v>
          </cell>
          <cell r="AF633">
            <v>0.95</v>
          </cell>
        </row>
        <row r="634">
          <cell r="B634" t="str">
            <v>2002NJ</v>
          </cell>
          <cell r="C634">
            <v>5.8003576611346738E-2</v>
          </cell>
          <cell r="D634">
            <v>0.13897871355240557</v>
          </cell>
          <cell r="E634">
            <v>0.45397029129837874</v>
          </cell>
          <cell r="F634">
            <v>0.24471653627570109</v>
          </cell>
          <cell r="G634">
            <v>7.5126969581826603E-2</v>
          </cell>
          <cell r="H634">
            <v>2.9203912680341212E-2</v>
          </cell>
          <cell r="J634" t="str">
            <v>2002NJ</v>
          </cell>
          <cell r="K634">
            <v>0.47090273911979463</v>
          </cell>
          <cell r="L634">
            <v>7.5126969581826603E-2</v>
          </cell>
          <cell r="M634">
            <v>0.45397029129837874</v>
          </cell>
          <cell r="U634" t="str">
            <v>2002NJ</v>
          </cell>
          <cell r="V634">
            <v>0.30808167400000003</v>
          </cell>
          <cell r="W634">
            <v>3.3011736E-2</v>
          </cell>
          <cell r="X634">
            <v>0.18818818500000001</v>
          </cell>
          <cell r="Y634">
            <v>0.137437002</v>
          </cell>
          <cell r="Z634">
            <v>0.333281404</v>
          </cell>
          <cell r="AB634" t="str">
            <v>2002NJ</v>
          </cell>
          <cell r="AC634">
            <v>0</v>
          </cell>
          <cell r="AD634">
            <v>0</v>
          </cell>
          <cell r="AE634">
            <v>0.05</v>
          </cell>
          <cell r="AF634">
            <v>0.95</v>
          </cell>
        </row>
        <row r="635">
          <cell r="B635" t="str">
            <v>2002NM</v>
          </cell>
          <cell r="C635">
            <v>0.61184589317007076</v>
          </cell>
          <cell r="D635">
            <v>0.19452029294367307</v>
          </cell>
          <cell r="E635">
            <v>9.8952813124742175E-2</v>
          </cell>
          <cell r="F635">
            <v>9.4174237847419268E-2</v>
          </cell>
          <cell r="G635">
            <v>0</v>
          </cell>
          <cell r="H635">
            <v>5.0676291409465751E-4</v>
          </cell>
          <cell r="J635" t="str">
            <v>2002NM</v>
          </cell>
          <cell r="K635">
            <v>0.90104718687525787</v>
          </cell>
          <cell r="L635">
            <v>0</v>
          </cell>
          <cell r="M635">
            <v>9.8952813124742175E-2</v>
          </cell>
          <cell r="U635" t="str">
            <v>2002NM</v>
          </cell>
          <cell r="V635">
            <v>0.91655606099999998</v>
          </cell>
          <cell r="W635">
            <v>3.6715329999999998E-3</v>
          </cell>
          <cell r="X635">
            <v>2.3030526999999999E-2</v>
          </cell>
          <cell r="Y635">
            <v>1.7606671000000001E-2</v>
          </cell>
          <cell r="Z635">
            <v>3.9135206999999998E-2</v>
          </cell>
          <cell r="AB635" t="str">
            <v>2002NM</v>
          </cell>
          <cell r="AC635">
            <v>0</v>
          </cell>
          <cell r="AD635">
            <v>0</v>
          </cell>
          <cell r="AE635">
            <v>0.6</v>
          </cell>
          <cell r="AF635">
            <v>0.4</v>
          </cell>
        </row>
        <row r="636">
          <cell r="B636" t="str">
            <v>2002NY</v>
          </cell>
          <cell r="C636">
            <v>9.8408703041683282E-2</v>
          </cell>
          <cell r="D636">
            <v>0.15954377256245178</v>
          </cell>
          <cell r="E636">
            <v>0.44849165243165579</v>
          </cell>
          <cell r="F636">
            <v>0.20287733376538455</v>
          </cell>
          <cell r="G636">
            <v>7.0184973363303343E-2</v>
          </cell>
          <cell r="H636">
            <v>2.0493564835521279E-2</v>
          </cell>
          <cell r="J636" t="str">
            <v>2002NY</v>
          </cell>
          <cell r="K636">
            <v>0.4813233742050409</v>
          </cell>
          <cell r="L636">
            <v>7.0184973363303343E-2</v>
          </cell>
          <cell r="M636">
            <v>0.44849165243165579</v>
          </cell>
          <cell r="U636" t="str">
            <v>2002NY</v>
          </cell>
          <cell r="V636">
            <v>0.20441514899999999</v>
          </cell>
          <cell r="W636">
            <v>4.1815811000000001E-2</v>
          </cell>
          <cell r="X636">
            <v>0.21220383400000001</v>
          </cell>
          <cell r="Y636">
            <v>0.145168144</v>
          </cell>
          <cell r="Z636">
            <v>0.396397061</v>
          </cell>
          <cell r="AB636" t="str">
            <v>2002NY</v>
          </cell>
          <cell r="AC636">
            <v>0</v>
          </cell>
          <cell r="AD636">
            <v>0</v>
          </cell>
          <cell r="AE636">
            <v>0.05</v>
          </cell>
          <cell r="AF636">
            <v>0.95</v>
          </cell>
        </row>
        <row r="637">
          <cell r="B637" t="str">
            <v>2002NC</v>
          </cell>
          <cell r="C637">
            <v>6.168821577504751E-2</v>
          </cell>
          <cell r="D637">
            <v>0.11278426418396881</v>
          </cell>
          <cell r="E637">
            <v>0.15395779991170949</v>
          </cell>
          <cell r="F637">
            <v>0.11589101949636353</v>
          </cell>
          <cell r="G637">
            <v>0.54100750469043157</v>
          </cell>
          <cell r="H637">
            <v>1.4671195942479084E-2</v>
          </cell>
          <cell r="J637" t="str">
            <v>2002NC</v>
          </cell>
          <cell r="K637">
            <v>0.30503469539785888</v>
          </cell>
          <cell r="L637">
            <v>0.54100750469043157</v>
          </cell>
          <cell r="M637">
            <v>0.15395779991170949</v>
          </cell>
          <cell r="U637" t="str">
            <v>2002NC</v>
          </cell>
          <cell r="V637">
            <v>2.4742549999999999E-3</v>
          </cell>
          <cell r="W637">
            <v>3.7123251000000003E-2</v>
          </cell>
          <cell r="X637">
            <v>6.1645423999999997E-2</v>
          </cell>
          <cell r="Y637">
            <v>0.58464508599999998</v>
          </cell>
          <cell r="Z637">
            <v>0.31411198400000001</v>
          </cell>
          <cell r="AB637" t="str">
            <v>2002NC</v>
          </cell>
          <cell r="AC637">
            <v>0</v>
          </cell>
          <cell r="AD637">
            <v>0</v>
          </cell>
          <cell r="AE637">
            <v>0.41899999999999998</v>
          </cell>
          <cell r="AF637">
            <v>0.58099999999999996</v>
          </cell>
        </row>
        <row r="638">
          <cell r="B638" t="str">
            <v>2002ND</v>
          </cell>
          <cell r="C638">
            <v>0.1196932700797023</v>
          </cell>
          <cell r="D638">
            <v>0.21866711268457967</v>
          </cell>
          <cell r="E638">
            <v>0.10978970169096619</v>
          </cell>
          <cell r="F638">
            <v>0.448028418369537</v>
          </cell>
          <cell r="G638">
            <v>6.499987314042277E-2</v>
          </cell>
          <cell r="H638">
            <v>3.8821624034792085E-2</v>
          </cell>
          <cell r="J638" t="str">
            <v>2002ND</v>
          </cell>
          <cell r="K638">
            <v>0.82521042516861098</v>
          </cell>
          <cell r="L638">
            <v>6.499987314042277E-2</v>
          </cell>
          <cell r="M638">
            <v>0.10978970169096619</v>
          </cell>
          <cell r="U638" t="str">
            <v>2002ND</v>
          </cell>
          <cell r="V638">
            <v>8.8434773999999994E-2</v>
          </cell>
          <cell r="W638">
            <v>4.7868137999999998E-2</v>
          </cell>
          <cell r="X638">
            <v>0.243186129</v>
          </cell>
          <cell r="Y638">
            <v>0.16647603599999999</v>
          </cell>
          <cell r="Z638">
            <v>0.45403492299999998</v>
          </cell>
          <cell r="AB638" t="str">
            <v>2002ND</v>
          </cell>
          <cell r="AC638">
            <v>0</v>
          </cell>
          <cell r="AD638">
            <v>0</v>
          </cell>
          <cell r="AE638">
            <v>0.02</v>
          </cell>
          <cell r="AF638">
            <v>0.98</v>
          </cell>
        </row>
        <row r="639">
          <cell r="B639" t="str">
            <v>2002OH</v>
          </cell>
          <cell r="C639">
            <v>0.10753833947858983</v>
          </cell>
          <cell r="D639">
            <v>0.22522557822049544</v>
          </cell>
          <cell r="E639">
            <v>0.13589110116557596</v>
          </cell>
          <cell r="F639">
            <v>0.4097570212201273</v>
          </cell>
          <cell r="G639">
            <v>8.0452940491062386E-2</v>
          </cell>
          <cell r="H639">
            <v>4.1135019424149183E-2</v>
          </cell>
          <cell r="J639" t="str">
            <v>2002OH</v>
          </cell>
          <cell r="K639">
            <v>0.78365595834336166</v>
          </cell>
          <cell r="L639">
            <v>8.0452940491062386E-2</v>
          </cell>
          <cell r="M639">
            <v>0.13589110116557596</v>
          </cell>
          <cell r="U639" t="str">
            <v>2002OH</v>
          </cell>
          <cell r="V639">
            <v>6.6338901000000006E-2</v>
          </cell>
          <cell r="W639">
            <v>4.3119113000000001E-2</v>
          </cell>
          <cell r="X639">
            <v>0.26533305600000001</v>
          </cell>
          <cell r="Y639">
            <v>0.15267545299999999</v>
          </cell>
          <cell r="Z639">
            <v>0.47253347699999998</v>
          </cell>
          <cell r="AB639" t="str">
            <v>2002OH</v>
          </cell>
          <cell r="AC639">
            <v>0</v>
          </cell>
          <cell r="AD639">
            <v>0</v>
          </cell>
          <cell r="AE639">
            <v>0</v>
          </cell>
          <cell r="AF639">
            <v>1</v>
          </cell>
        </row>
        <row r="640">
          <cell r="B640" t="str">
            <v>2002OK</v>
          </cell>
          <cell r="C640">
            <v>0.40296958934788546</v>
          </cell>
          <cell r="D640">
            <v>0.22528492954061258</v>
          </cell>
          <cell r="E640">
            <v>6.4896255940651446E-2</v>
          </cell>
          <cell r="F640">
            <v>0.24738177570149189</v>
          </cell>
          <cell r="G640">
            <v>0</v>
          </cell>
          <cell r="H640">
            <v>5.9467449469358676E-2</v>
          </cell>
          <cell r="J640" t="str">
            <v>2002OK</v>
          </cell>
          <cell r="K640">
            <v>0.9351037440593486</v>
          </cell>
          <cell r="L640">
            <v>0</v>
          </cell>
          <cell r="M640">
            <v>6.4896255940651446E-2</v>
          </cell>
          <cell r="U640" t="str">
            <v>2002OK</v>
          </cell>
          <cell r="V640">
            <v>1.2831308E-2</v>
          </cell>
          <cell r="W640">
            <v>3.6793041999999998E-2</v>
          </cell>
          <cell r="X640">
            <v>6.2749109999999997E-2</v>
          </cell>
          <cell r="Y640">
            <v>0.57552135800000004</v>
          </cell>
          <cell r="Z640">
            <v>0.31210518199999998</v>
          </cell>
          <cell r="AB640" t="str">
            <v>2002OK</v>
          </cell>
          <cell r="AC640">
            <v>0</v>
          </cell>
          <cell r="AD640">
            <v>0</v>
          </cell>
          <cell r="AE640">
            <v>0.6</v>
          </cell>
          <cell r="AF640">
            <v>0.4</v>
          </cell>
        </row>
        <row r="641">
          <cell r="B641" t="str">
            <v>2002OR</v>
          </cell>
          <cell r="C641">
            <v>0.43856747008812064</v>
          </cell>
          <cell r="D641">
            <v>0.20958259090942544</v>
          </cell>
          <cell r="E641">
            <v>0</v>
          </cell>
          <cell r="F641">
            <v>0.12862948158709187</v>
          </cell>
          <cell r="G641">
            <v>0.2018533708975031</v>
          </cell>
          <cell r="H641">
            <v>2.1367086517858933E-2</v>
          </cell>
          <cell r="J641" t="str">
            <v>2002OR</v>
          </cell>
          <cell r="K641">
            <v>0.7981466291024969</v>
          </cell>
          <cell r="L641">
            <v>0.2018533708975031</v>
          </cell>
          <cell r="M641">
            <v>0</v>
          </cell>
          <cell r="U641" t="str">
            <v>2002OR</v>
          </cell>
          <cell r="V641">
            <v>0.57640796000000005</v>
          </cell>
          <cell r="W641">
            <v>1.863805E-2</v>
          </cell>
          <cell r="X641">
            <v>0.116911403</v>
          </cell>
          <cell r="Y641">
            <v>8.937792E-2</v>
          </cell>
          <cell r="Z641">
            <v>0.19866466699999999</v>
          </cell>
          <cell r="AB641" t="str">
            <v>2002OR</v>
          </cell>
          <cell r="AC641">
            <v>0</v>
          </cell>
          <cell r="AD641">
            <v>0</v>
          </cell>
          <cell r="AE641">
            <v>0.25</v>
          </cell>
          <cell r="AF641">
            <v>0.75</v>
          </cell>
        </row>
        <row r="642">
          <cell r="B642" t="str">
            <v>2002PA</v>
          </cell>
          <cell r="C642">
            <v>4.9624045569858895E-2</v>
          </cell>
          <cell r="D642">
            <v>0.11712497857538914</v>
          </cell>
          <cell r="E642">
            <v>0.46874549019831585</v>
          </cell>
          <cell r="F642">
            <v>0.25230966018477574</v>
          </cell>
          <cell r="G642">
            <v>8.8454910858433447E-2</v>
          </cell>
          <cell r="H642">
            <v>2.3740914613226898E-2</v>
          </cell>
          <cell r="J642" t="str">
            <v>2002PA</v>
          </cell>
          <cell r="K642">
            <v>0.44279959894325072</v>
          </cell>
          <cell r="L642">
            <v>8.8454910858433447E-2</v>
          </cell>
          <cell r="M642">
            <v>0.46874549019831585</v>
          </cell>
          <cell r="U642" t="str">
            <v>2002PA</v>
          </cell>
          <cell r="V642">
            <v>5.0102499000000002E-2</v>
          </cell>
          <cell r="W642">
            <v>4.9409870000000002E-2</v>
          </cell>
          <cell r="X642">
            <v>0.25392279899999998</v>
          </cell>
          <cell r="Y642">
            <v>0.17504710600000001</v>
          </cell>
          <cell r="Z642">
            <v>0.47151772600000003</v>
          </cell>
          <cell r="AB642" t="str">
            <v>2002PA</v>
          </cell>
          <cell r="AC642">
            <v>0</v>
          </cell>
          <cell r="AD642">
            <v>0</v>
          </cell>
          <cell r="AE642">
            <v>0</v>
          </cell>
          <cell r="AF642">
            <v>1</v>
          </cell>
        </row>
        <row r="643">
          <cell r="B643" t="str">
            <v>2002RI</v>
          </cell>
          <cell r="C643">
            <v>4.2447025005926793E-2</v>
          </cell>
          <cell r="D643">
            <v>0.1190174947032642</v>
          </cell>
          <cell r="E643">
            <v>0.46784468707451643</v>
          </cell>
          <cell r="F643">
            <v>0.25730854976835782</v>
          </cell>
          <cell r="G643">
            <v>8.7642343040085183E-2</v>
          </cell>
          <cell r="H643">
            <v>2.5739900407849584E-2</v>
          </cell>
          <cell r="J643" t="str">
            <v>2002RI</v>
          </cell>
          <cell r="K643">
            <v>0.44451296988539835</v>
          </cell>
          <cell r="L643">
            <v>8.7642343040085183E-2</v>
          </cell>
          <cell r="M643">
            <v>0.46784468707451643</v>
          </cell>
          <cell r="U643" t="str">
            <v>2002RI</v>
          </cell>
          <cell r="V643">
            <v>0.56026879500000004</v>
          </cell>
          <cell r="W643">
            <v>1.9348173E-2</v>
          </cell>
          <cell r="X643">
            <v>0.121365813</v>
          </cell>
          <cell r="Y643">
            <v>9.2783283999999994E-2</v>
          </cell>
          <cell r="Z643">
            <v>0.20623393500000001</v>
          </cell>
          <cell r="AB643" t="str">
            <v>2002RI</v>
          </cell>
          <cell r="AC643">
            <v>0</v>
          </cell>
          <cell r="AD643">
            <v>0</v>
          </cell>
          <cell r="AE643">
            <v>0.05</v>
          </cell>
          <cell r="AF643">
            <v>0.95</v>
          </cell>
        </row>
        <row r="644">
          <cell r="B644" t="str">
            <v>2002SC</v>
          </cell>
          <cell r="C644">
            <v>0.13346180610825578</v>
          </cell>
          <cell r="D644">
            <v>9.0019723091430845E-2</v>
          </cell>
          <cell r="E644">
            <v>0.15451296947775242</v>
          </cell>
          <cell r="F644">
            <v>8.0687406490411034E-2</v>
          </cell>
          <cell r="G644">
            <v>0.53771407690020812</v>
          </cell>
          <cell r="H644">
            <v>3.6040179319418398E-3</v>
          </cell>
          <cell r="J644" t="str">
            <v>2002SC</v>
          </cell>
          <cell r="K644">
            <v>0.30777295362203949</v>
          </cell>
          <cell r="L644">
            <v>0.53771407690020812</v>
          </cell>
          <cell r="M644">
            <v>0.15451296947775242</v>
          </cell>
          <cell r="U644" t="str">
            <v>2002SC</v>
          </cell>
          <cell r="V644">
            <v>6.1629585000000001E-2</v>
          </cell>
          <cell r="W644">
            <v>3.5823032999999997E-2</v>
          </cell>
          <cell r="X644">
            <v>8.6443989999999998E-2</v>
          </cell>
          <cell r="Y644">
            <v>0.50014727299999995</v>
          </cell>
          <cell r="Z644">
            <v>0.31595611899999998</v>
          </cell>
          <cell r="AB644" t="str">
            <v>2002SC</v>
          </cell>
          <cell r="AC644">
            <v>0</v>
          </cell>
          <cell r="AD644">
            <v>0</v>
          </cell>
          <cell r="AE644">
            <v>0.6</v>
          </cell>
          <cell r="AF644">
            <v>0.4</v>
          </cell>
        </row>
        <row r="645">
          <cell r="B645" t="str">
            <v>2002SD</v>
          </cell>
          <cell r="C645">
            <v>0.17608951911561277</v>
          </cell>
          <cell r="D645">
            <v>0.277831368160596</v>
          </cell>
          <cell r="E645">
            <v>7.9800561964795444E-2</v>
          </cell>
          <cell r="F645">
            <v>0.37802114842972712</v>
          </cell>
          <cell r="G645">
            <v>4.724510882492864E-2</v>
          </cell>
          <cell r="H645">
            <v>4.1012293504340026E-2</v>
          </cell>
          <cell r="J645" t="str">
            <v>2002SD</v>
          </cell>
          <cell r="K645">
            <v>0.87295432921027594</v>
          </cell>
          <cell r="L645">
            <v>4.724510882492864E-2</v>
          </cell>
          <cell r="M645">
            <v>7.9800561964795444E-2</v>
          </cell>
          <cell r="U645" t="str">
            <v>2002SD</v>
          </cell>
          <cell r="V645">
            <v>3.3046748000000001E-2</v>
          </cell>
          <cell r="W645">
            <v>5.1157264000000001E-2</v>
          </cell>
          <cell r="X645">
            <v>0.25755016600000002</v>
          </cell>
          <cell r="Y645">
            <v>0.17532273200000001</v>
          </cell>
          <cell r="Z645">
            <v>0.48292308900000003</v>
          </cell>
          <cell r="AB645" t="str">
            <v>2002SD</v>
          </cell>
          <cell r="AC645">
            <v>0</v>
          </cell>
          <cell r="AD645">
            <v>0</v>
          </cell>
          <cell r="AE645">
            <v>0.02</v>
          </cell>
          <cell r="AF645">
            <v>0.98</v>
          </cell>
        </row>
        <row r="646">
          <cell r="B646" t="str">
            <v>2002TN</v>
          </cell>
          <cell r="C646">
            <v>4.0519949592449485E-2</v>
          </cell>
          <cell r="D646">
            <v>8.9664149461423162E-2</v>
          </cell>
          <cell r="E646">
            <v>0.14551684926860037</v>
          </cell>
          <cell r="F646">
            <v>0.1170185785979804</v>
          </cell>
          <cell r="G646">
            <v>0.59108168584929244</v>
          </cell>
          <cell r="H646">
            <v>1.6198787230254148E-2</v>
          </cell>
          <cell r="J646" t="str">
            <v>2002TN</v>
          </cell>
          <cell r="K646">
            <v>0.26340146488210725</v>
          </cell>
          <cell r="L646">
            <v>0.59108168584929244</v>
          </cell>
          <cell r="M646">
            <v>0.14551684926860037</v>
          </cell>
          <cell r="U646" t="str">
            <v>2002TN</v>
          </cell>
          <cell r="V646">
            <v>0.102875089</v>
          </cell>
          <cell r="W646">
            <v>3.5402429999999999E-2</v>
          </cell>
          <cell r="X646">
            <v>0.119077104</v>
          </cell>
          <cell r="Y646">
            <v>0.41436515099999999</v>
          </cell>
          <cell r="Z646">
            <v>0.32828022600000001</v>
          </cell>
          <cell r="AB646" t="str">
            <v>2002TN</v>
          </cell>
          <cell r="AC646">
            <v>0</v>
          </cell>
          <cell r="AD646">
            <v>0</v>
          </cell>
          <cell r="AE646">
            <v>0.05</v>
          </cell>
          <cell r="AF646">
            <v>0.95</v>
          </cell>
        </row>
        <row r="647">
          <cell r="B647" t="str">
            <v>2002TX</v>
          </cell>
          <cell r="C647">
            <v>0.53305655520056971</v>
          </cell>
          <cell r="D647">
            <v>0.24233312613196878</v>
          </cell>
          <cell r="E647">
            <v>7.9791980793249173E-2</v>
          </cell>
          <cell r="F647">
            <v>0.1278405091499755</v>
          </cell>
          <cell r="G647">
            <v>0</v>
          </cell>
          <cell r="H647">
            <v>1.6977828724236681E-2</v>
          </cell>
          <cell r="J647" t="str">
            <v>2002TX</v>
          </cell>
          <cell r="K647">
            <v>0.92020801920675077</v>
          </cell>
          <cell r="L647">
            <v>0</v>
          </cell>
          <cell r="M647">
            <v>7.9791980793249173E-2</v>
          </cell>
          <cell r="U647" t="str">
            <v>2002TX</v>
          </cell>
          <cell r="V647">
            <v>6.9632535999999995E-2</v>
          </cell>
          <cell r="W647">
            <v>3.4700662E-2</v>
          </cell>
          <cell r="X647">
            <v>5.9917572000000002E-2</v>
          </cell>
          <cell r="Y647">
            <v>0.54104196599999999</v>
          </cell>
          <cell r="Z647">
            <v>0.29470726400000002</v>
          </cell>
          <cell r="AB647" t="str">
            <v>2002TX</v>
          </cell>
          <cell r="AC647">
            <v>0</v>
          </cell>
          <cell r="AD647">
            <v>0</v>
          </cell>
          <cell r="AE647">
            <v>0.12</v>
          </cell>
          <cell r="AF647">
            <v>0.88</v>
          </cell>
        </row>
        <row r="648">
          <cell r="B648" t="str">
            <v>2002UT</v>
          </cell>
          <cell r="C648">
            <v>0.51165623152884221</v>
          </cell>
          <cell r="D648">
            <v>0.26394677259150623</v>
          </cell>
          <cell r="E648">
            <v>1.3999177703951423E-2</v>
          </cell>
          <cell r="F648">
            <v>0.17036034814732054</v>
          </cell>
          <cell r="G648">
            <v>8.2880703819413898E-3</v>
          </cell>
          <cell r="H648">
            <v>3.1749399646438282E-2</v>
          </cell>
          <cell r="J648" t="str">
            <v>2002UT</v>
          </cell>
          <cell r="K648">
            <v>0.97771275191410723</v>
          </cell>
          <cell r="L648">
            <v>8.2880703819413898E-3</v>
          </cell>
          <cell r="M648">
            <v>1.3999177703951423E-2</v>
          </cell>
          <cell r="U648" t="str">
            <v>2002UT</v>
          </cell>
          <cell r="V648">
            <v>8.6456620000000001E-3</v>
          </cell>
          <cell r="W648">
            <v>5.5424775000000003E-2</v>
          </cell>
          <cell r="X648">
            <v>0.260824848</v>
          </cell>
          <cell r="Y648">
            <v>0.16982515300000001</v>
          </cell>
          <cell r="Z648">
            <v>0.50527956200000002</v>
          </cell>
          <cell r="AB648" t="str">
            <v>2002UT</v>
          </cell>
          <cell r="AC648">
            <v>0</v>
          </cell>
          <cell r="AD648">
            <v>0</v>
          </cell>
          <cell r="AE648">
            <v>0.6</v>
          </cell>
          <cell r="AF648">
            <v>0.4</v>
          </cell>
        </row>
        <row r="649">
          <cell r="B649" t="str">
            <v>2002VT</v>
          </cell>
          <cell r="C649">
            <v>9.9973781354903396E-2</v>
          </cell>
          <cell r="D649">
            <v>0.17387691112967565</v>
          </cell>
          <cell r="E649">
            <v>0.44423932842492886</v>
          </cell>
          <cell r="F649">
            <v>0.19448861844630186</v>
          </cell>
          <cell r="G649">
            <v>6.6349172232328182E-2</v>
          </cell>
          <cell r="H649">
            <v>2.1072188411862088E-2</v>
          </cell>
          <cell r="J649" t="str">
            <v>2002VT</v>
          </cell>
          <cell r="K649">
            <v>0.48941149934274297</v>
          </cell>
          <cell r="L649">
            <v>6.6349172232328182E-2</v>
          </cell>
          <cell r="M649">
            <v>0.44423932842492886</v>
          </cell>
          <cell r="U649" t="str">
            <v>2002VT</v>
          </cell>
          <cell r="V649">
            <v>0.86037974299999997</v>
          </cell>
          <cell r="W649">
            <v>6.1432910000000004E-3</v>
          </cell>
          <cell r="X649">
            <v>3.8535191000000003E-2</v>
          </cell>
          <cell r="Y649">
            <v>2.9459874E-2</v>
          </cell>
          <cell r="Z649">
            <v>6.5481899999999996E-2</v>
          </cell>
          <cell r="AB649" t="str">
            <v>2002VT</v>
          </cell>
          <cell r="AC649">
            <v>0</v>
          </cell>
          <cell r="AD649">
            <v>0</v>
          </cell>
          <cell r="AE649">
            <v>0.05</v>
          </cell>
          <cell r="AF649">
            <v>0.95</v>
          </cell>
        </row>
        <row r="650">
          <cell r="B650" t="str">
            <v>2002VA</v>
          </cell>
          <cell r="C650">
            <v>4.4953509549794296E-2</v>
          </cell>
          <cell r="D650">
            <v>9.339670802378576E-2</v>
          </cell>
          <cell r="E650">
            <v>0.14844092890155638</v>
          </cell>
          <cell r="F650">
            <v>0.12331550684410268</v>
          </cell>
          <cell r="G650">
            <v>0.5737351926100378</v>
          </cell>
          <cell r="H650">
            <v>1.6158154070723133E-2</v>
          </cell>
          <cell r="J650" t="str">
            <v>2002VA</v>
          </cell>
          <cell r="K650">
            <v>0.27782387848840584</v>
          </cell>
          <cell r="L650">
            <v>0.5737351926100378</v>
          </cell>
          <cell r="M650">
            <v>0.14844092890155638</v>
          </cell>
          <cell r="U650" t="str">
            <v>2002VA</v>
          </cell>
          <cell r="V650">
            <v>3.3934871999999998E-2</v>
          </cell>
          <cell r="W650">
            <v>3.6244844999999998E-2</v>
          </cell>
          <cell r="X650">
            <v>6.8933026999999994E-2</v>
          </cell>
          <cell r="Y650">
            <v>0.550040046</v>
          </cell>
          <cell r="Z650">
            <v>0.31084721100000001</v>
          </cell>
          <cell r="AB650" t="str">
            <v>2002VA</v>
          </cell>
          <cell r="AC650">
            <v>0</v>
          </cell>
          <cell r="AD650">
            <v>0</v>
          </cell>
          <cell r="AE650">
            <v>0.05</v>
          </cell>
          <cell r="AF650">
            <v>0.95</v>
          </cell>
        </row>
        <row r="651">
          <cell r="B651" t="str">
            <v>2002WA</v>
          </cell>
          <cell r="C651">
            <v>0.48742079910802349</v>
          </cell>
          <cell r="D651">
            <v>0.21961274491816118</v>
          </cell>
          <cell r="E651">
            <v>0</v>
          </cell>
          <cell r="F651">
            <v>0.11254281869932067</v>
          </cell>
          <cell r="G651">
            <v>0.16627589127589129</v>
          </cell>
          <cell r="H651">
            <v>1.4147745998603438E-2</v>
          </cell>
          <cell r="J651" t="str">
            <v>2002WA</v>
          </cell>
          <cell r="K651">
            <v>0.83372410872410874</v>
          </cell>
          <cell r="L651">
            <v>0.16627589127589129</v>
          </cell>
          <cell r="M651">
            <v>0</v>
          </cell>
          <cell r="U651" t="str">
            <v>2002WA</v>
          </cell>
          <cell r="V651">
            <v>0.37353494700000001</v>
          </cell>
          <cell r="W651">
            <v>3.1263627000000002E-2</v>
          </cell>
          <cell r="X651">
            <v>0.168896926</v>
          </cell>
          <cell r="Y651">
            <v>0.119853577</v>
          </cell>
          <cell r="Z651">
            <v>0.30645092299999999</v>
          </cell>
          <cell r="AB651" t="str">
            <v>2002WA</v>
          </cell>
          <cell r="AC651">
            <v>0</v>
          </cell>
          <cell r="AD651">
            <v>0</v>
          </cell>
          <cell r="AE651">
            <v>0.12</v>
          </cell>
          <cell r="AF651">
            <v>0.88</v>
          </cell>
        </row>
        <row r="652">
          <cell r="B652" t="str">
            <v>2002WV</v>
          </cell>
          <cell r="C652">
            <v>6.8751812683186322E-2</v>
          </cell>
          <cell r="D652">
            <v>0.15888641455628993</v>
          </cell>
          <cell r="E652">
            <v>0.44831485363191043</v>
          </cell>
          <cell r="F652">
            <v>0.22633984896592482</v>
          </cell>
          <cell r="G652">
            <v>7.0025492327769459E-2</v>
          </cell>
          <cell r="H652">
            <v>2.7681577834919095E-2</v>
          </cell>
          <cell r="J652" t="str">
            <v>2002WV</v>
          </cell>
          <cell r="K652">
            <v>0.48165965404032007</v>
          </cell>
          <cell r="L652">
            <v>7.0025492327769459E-2</v>
          </cell>
          <cell r="M652">
            <v>0.44831485363191043</v>
          </cell>
          <cell r="U652" t="str">
            <v>2002WV</v>
          </cell>
          <cell r="V652">
            <v>0.57920187499999998</v>
          </cell>
          <cell r="W652">
            <v>2.1256934000000002E-2</v>
          </cell>
          <cell r="X652">
            <v>0.113169981</v>
          </cell>
          <cell r="Y652">
            <v>7.9649016000000003E-2</v>
          </cell>
          <cell r="Z652">
            <v>0.206722194</v>
          </cell>
          <cell r="AB652" t="str">
            <v>2002WV</v>
          </cell>
          <cell r="AC652">
            <v>0</v>
          </cell>
          <cell r="AD652">
            <v>0</v>
          </cell>
          <cell r="AE652">
            <v>0.05</v>
          </cell>
          <cell r="AF652">
            <v>0.95</v>
          </cell>
        </row>
        <row r="653">
          <cell r="B653" t="str">
            <v>2002WI</v>
          </cell>
          <cell r="C653">
            <v>0.12203432597344931</v>
          </cell>
          <cell r="D653">
            <v>0.23555629715568294</v>
          </cell>
          <cell r="E653">
            <v>0.11540173598404266</v>
          </cell>
          <cell r="F653">
            <v>0.42032708364290838</v>
          </cell>
          <cell r="G653">
            <v>6.8322420806473022E-2</v>
          </cell>
          <cell r="H653">
            <v>3.8358136437443673E-2</v>
          </cell>
          <cell r="J653" t="str">
            <v>2002WI</v>
          </cell>
          <cell r="K653">
            <v>0.81627584320948432</v>
          </cell>
          <cell r="L653">
            <v>6.8322420806473022E-2</v>
          </cell>
          <cell r="M653">
            <v>0.11540173598404266</v>
          </cell>
          <cell r="U653" t="str">
            <v>2002WI</v>
          </cell>
          <cell r="V653">
            <v>0.12883246500000001</v>
          </cell>
          <cell r="W653">
            <v>4.2564396999999997E-2</v>
          </cell>
          <cell r="X653">
            <v>0.23585646199999999</v>
          </cell>
          <cell r="Y653">
            <v>0.16970626599999999</v>
          </cell>
          <cell r="Z653">
            <v>0.42304040999999998</v>
          </cell>
          <cell r="AB653" t="str">
            <v>2002WI</v>
          </cell>
          <cell r="AC653">
            <v>0</v>
          </cell>
          <cell r="AD653">
            <v>0</v>
          </cell>
          <cell r="AE653">
            <v>0.02</v>
          </cell>
          <cell r="AF653">
            <v>0.98</v>
          </cell>
        </row>
        <row r="654">
          <cell r="B654" t="str">
            <v>2002WY</v>
          </cell>
          <cell r="C654">
            <v>0.29508724522063295</v>
          </cell>
          <cell r="D654">
            <v>0.23251729773373622</v>
          </cell>
          <cell r="E654">
            <v>0.12161775942187937</v>
          </cell>
          <cell r="F654">
            <v>0.2207502472879718</v>
          </cell>
          <cell r="G654">
            <v>7.2002554085590281E-2</v>
          </cell>
          <cell r="H654">
            <v>5.8024896250189507E-2</v>
          </cell>
          <cell r="J654" t="str">
            <v>2002WY</v>
          </cell>
          <cell r="K654">
            <v>0.80637968649253033</v>
          </cell>
          <cell r="L654">
            <v>7.2002554085590281E-2</v>
          </cell>
          <cell r="M654">
            <v>0.12161775942187937</v>
          </cell>
          <cell r="U654" t="str">
            <v>2002WY</v>
          </cell>
          <cell r="V654">
            <v>3.2109568999999998E-2</v>
          </cell>
          <cell r="W654">
            <v>5.3596850000000001E-2</v>
          </cell>
          <cell r="X654">
            <v>0.25521061499999997</v>
          </cell>
          <cell r="Y654">
            <v>0.16752597599999999</v>
          </cell>
          <cell r="Z654">
            <v>0.49155699000000003</v>
          </cell>
          <cell r="AB654" t="str">
            <v>2002WY</v>
          </cell>
          <cell r="AC654">
            <v>0</v>
          </cell>
          <cell r="AD654">
            <v>0</v>
          </cell>
          <cell r="AE654">
            <v>0.6</v>
          </cell>
          <cell r="AF654">
            <v>0.4</v>
          </cell>
        </row>
        <row r="655">
          <cell r="B655" t="str">
            <v>2003AL</v>
          </cell>
          <cell r="C655">
            <v>0.17233560131521788</v>
          </cell>
          <cell r="D655">
            <v>9.7606154746872412E-2</v>
          </cell>
          <cell r="E655">
            <v>0.16919346457207346</v>
          </cell>
          <cell r="F655">
            <v>0.1056405325382436</v>
          </cell>
          <cell r="G655">
            <v>0.45062509818962659</v>
          </cell>
          <cell r="H655">
            <v>4.5991486379660445E-3</v>
          </cell>
          <cell r="J655" t="str">
            <v>2003AL</v>
          </cell>
          <cell r="K655">
            <v>0.38018143723829989</v>
          </cell>
          <cell r="L655">
            <v>0.45062509818962659</v>
          </cell>
          <cell r="M655">
            <v>0.16919346457207346</v>
          </cell>
          <cell r="U655" t="str">
            <v>2003AL</v>
          </cell>
          <cell r="V655">
            <v>5.3114938E-2</v>
          </cell>
          <cell r="W655">
            <v>3.6058960000000001E-2</v>
          </cell>
          <cell r="X655">
            <v>8.4414527000000003E-2</v>
          </cell>
          <cell r="Y655">
            <v>0.50961295299999998</v>
          </cell>
          <cell r="Z655">
            <v>0.316798623</v>
          </cell>
          <cell r="AB655" t="str">
            <v>2003AL</v>
          </cell>
          <cell r="AC655">
            <v>0</v>
          </cell>
          <cell r="AD655">
            <v>0</v>
          </cell>
          <cell r="AE655">
            <v>0.41899999999999998</v>
          </cell>
          <cell r="AF655">
            <v>0.58099999999999996</v>
          </cell>
        </row>
        <row r="656">
          <cell r="B656" t="str">
            <v>2003AK</v>
          </cell>
          <cell r="C656">
            <v>0.30334484066413492</v>
          </cell>
          <cell r="D656">
            <v>0.23769937716735701</v>
          </cell>
          <cell r="E656">
            <v>6.205843688929364E-2</v>
          </cell>
          <cell r="F656">
            <v>0.28363994741136878</v>
          </cell>
          <cell r="G656">
            <v>3.6741064625999714E-2</v>
          </cell>
          <cell r="H656">
            <v>7.6516333241846021E-2</v>
          </cell>
          <cell r="J656" t="str">
            <v>2003AK</v>
          </cell>
          <cell r="K656">
            <v>0.90120049848470662</v>
          </cell>
          <cell r="L656">
            <v>3.6741064625999714E-2</v>
          </cell>
          <cell r="M656">
            <v>6.205843688929364E-2</v>
          </cell>
          <cell r="U656" t="str">
            <v>2003AK</v>
          </cell>
          <cell r="V656">
            <v>0.52632575500000001</v>
          </cell>
          <cell r="W656">
            <v>2.0841667000000001E-2</v>
          </cell>
          <cell r="X656">
            <v>0.130734092</v>
          </cell>
          <cell r="Y656">
            <v>9.9945266000000005E-2</v>
          </cell>
          <cell r="Z656">
            <v>0.22215322100000001</v>
          </cell>
          <cell r="AB656" t="str">
            <v>2003AK</v>
          </cell>
          <cell r="AC656">
            <v>0</v>
          </cell>
          <cell r="AD656">
            <v>0</v>
          </cell>
          <cell r="AE656">
            <v>0.25</v>
          </cell>
          <cell r="AF656">
            <v>0.75</v>
          </cell>
        </row>
        <row r="657">
          <cell r="B657" t="str">
            <v>2003AZ</v>
          </cell>
          <cell r="C657">
            <v>0.611220636654217</v>
          </cell>
          <cell r="D657">
            <v>0.19572797693407004</v>
          </cell>
          <cell r="E657">
            <v>9.865488383487428E-2</v>
          </cell>
          <cell r="F657">
            <v>9.3890669243012675E-2</v>
          </cell>
          <cell r="G657">
            <v>0</v>
          </cell>
          <cell r="H657">
            <v>5.0583333382575558E-4</v>
          </cell>
          <cell r="J657" t="str">
            <v>2003AZ</v>
          </cell>
          <cell r="K657">
            <v>0.90134511616512569</v>
          </cell>
          <cell r="L657">
            <v>0</v>
          </cell>
          <cell r="M657">
            <v>9.865488383487428E-2</v>
          </cell>
          <cell r="U657" t="str">
            <v>2003AZ</v>
          </cell>
          <cell r="V657">
            <v>0.136592664</v>
          </cell>
          <cell r="W657">
            <v>3.2171241000000003E-2</v>
          </cell>
          <cell r="X657">
            <v>5.4596316999999998E-2</v>
          </cell>
          <cell r="Y657">
            <v>0.50386894699999996</v>
          </cell>
          <cell r="Z657">
            <v>0.27277083200000002</v>
          </cell>
          <cell r="AB657" t="str">
            <v>2003AZ</v>
          </cell>
          <cell r="AC657">
            <v>0</v>
          </cell>
          <cell r="AD657">
            <v>0</v>
          </cell>
          <cell r="AE657">
            <v>0.6</v>
          </cell>
          <cell r="AF657">
            <v>0.4</v>
          </cell>
        </row>
        <row r="658">
          <cell r="B658" t="str">
            <v>2003AR</v>
          </cell>
          <cell r="C658">
            <v>9.6391342329605903E-2</v>
          </cell>
          <cell r="D658">
            <v>6.6955456596874061E-2</v>
          </cell>
          <cell r="E658">
            <v>0.14888335780531528</v>
          </cell>
          <cell r="F658">
            <v>0.11118804006195876</v>
          </cell>
          <cell r="G658">
            <v>0.57111057531117648</v>
          </cell>
          <cell r="H658">
            <v>5.4712278950695761E-3</v>
          </cell>
          <cell r="J658" t="str">
            <v>2003AR</v>
          </cell>
          <cell r="K658">
            <v>0.28000606688350826</v>
          </cell>
          <cell r="L658">
            <v>0.57111057531117648</v>
          </cell>
          <cell r="M658">
            <v>0.14888335780531528</v>
          </cell>
          <cell r="U658" t="str">
            <v>2003AR</v>
          </cell>
          <cell r="V658">
            <v>3.9459004999999998E-2</v>
          </cell>
          <cell r="W658">
            <v>3.7640482000000003E-2</v>
          </cell>
          <cell r="X658">
            <v>0.11914443199999999</v>
          </cell>
          <cell r="Y658">
            <v>0.45827781299999998</v>
          </cell>
          <cell r="Z658">
            <v>0.34547826799999998</v>
          </cell>
          <cell r="AB658" t="str">
            <v>2003AR</v>
          </cell>
          <cell r="AC658">
            <v>0</v>
          </cell>
          <cell r="AD658">
            <v>0</v>
          </cell>
          <cell r="AE658">
            <v>0</v>
          </cell>
          <cell r="AF658">
            <v>1</v>
          </cell>
        </row>
        <row r="659">
          <cell r="B659" t="str">
            <v>2003CA</v>
          </cell>
          <cell r="C659">
            <v>0.58081862489107328</v>
          </cell>
          <cell r="D659">
            <v>0.20720345916912225</v>
          </cell>
          <cell r="E659">
            <v>0.10801924509893834</v>
          </cell>
          <cell r="F659">
            <v>9.2431120719429966E-2</v>
          </cell>
          <cell r="G659">
            <v>9.2523577326630076E-3</v>
          </cell>
          <cell r="H659">
            <v>2.2751923887731596E-3</v>
          </cell>
          <cell r="J659" t="str">
            <v>2003CA</v>
          </cell>
          <cell r="K659">
            <v>0.88272839716839868</v>
          </cell>
          <cell r="L659">
            <v>9.2523577326630076E-3</v>
          </cell>
          <cell r="M659">
            <v>0.10801924509893834</v>
          </cell>
          <cell r="U659" t="str">
            <v>2003CA</v>
          </cell>
          <cell r="V659">
            <v>0.133799526</v>
          </cell>
          <cell r="W659">
            <v>3.2941353E-2</v>
          </cell>
          <cell r="X659">
            <v>7.5800703999999997E-2</v>
          </cell>
          <cell r="Y659">
            <v>0.46867659099999998</v>
          </cell>
          <cell r="Z659">
            <v>0.28878182499999999</v>
          </cell>
          <cell r="AB659" t="str">
            <v>2003CA</v>
          </cell>
          <cell r="AC659">
            <v>0</v>
          </cell>
          <cell r="AD659">
            <v>0</v>
          </cell>
          <cell r="AE659">
            <v>0.12</v>
          </cell>
          <cell r="AF659">
            <v>0.88</v>
          </cell>
        </row>
        <row r="660">
          <cell r="B660" t="str">
            <v>2003CO</v>
          </cell>
          <cell r="C660">
            <v>0.61667904285785091</v>
          </cell>
          <cell r="D660">
            <v>0.24212893570430052</v>
          </cell>
          <cell r="E660">
            <v>1.1092391745361967E-2</v>
          </cell>
          <cell r="F660">
            <v>0.11516410971780773</v>
          </cell>
          <cell r="G660">
            <v>6.5671374014829543E-3</v>
          </cell>
          <cell r="H660">
            <v>8.3683825731959392E-3</v>
          </cell>
          <cell r="J660" t="str">
            <v>2003CO</v>
          </cell>
          <cell r="K660">
            <v>0.98234047085315512</v>
          </cell>
          <cell r="L660">
            <v>6.5671374014829543E-3</v>
          </cell>
          <cell r="M660">
            <v>1.1092391745361967E-2</v>
          </cell>
          <cell r="U660" t="str">
            <v>2003CO</v>
          </cell>
          <cell r="V660">
            <v>2.3378138E-2</v>
          </cell>
          <cell r="W660">
            <v>5.3880426000000002E-2</v>
          </cell>
          <cell r="X660">
            <v>0.25772948099999998</v>
          </cell>
          <cell r="Y660">
            <v>0.169703665</v>
          </cell>
          <cell r="Z660">
            <v>0.49530828999999998</v>
          </cell>
          <cell r="AB660" t="str">
            <v>2003CO</v>
          </cell>
          <cell r="AC660">
            <v>0</v>
          </cell>
          <cell r="AD660">
            <v>0</v>
          </cell>
          <cell r="AE660">
            <v>0.6</v>
          </cell>
          <cell r="AF660">
            <v>0.4</v>
          </cell>
        </row>
        <row r="661">
          <cell r="B661" t="str">
            <v>2003CT</v>
          </cell>
          <cell r="C661">
            <v>0.11572842393252261</v>
          </cell>
          <cell r="D661">
            <v>0.20119880615243968</v>
          </cell>
          <cell r="E661">
            <v>0.43233999756560143</v>
          </cell>
          <cell r="F661">
            <v>0.17234541515575838</v>
          </cell>
          <cell r="G661">
            <v>5.5615402487630847E-2</v>
          </cell>
          <cell r="H661">
            <v>2.2771954706046996E-2</v>
          </cell>
          <cell r="J661" t="str">
            <v>2003CT</v>
          </cell>
          <cell r="K661">
            <v>0.51204459994676776</v>
          </cell>
          <cell r="L661">
            <v>5.5615402487630847E-2</v>
          </cell>
          <cell r="M661">
            <v>0.43233999756560143</v>
          </cell>
          <cell r="U661" t="str">
            <v>2003CT</v>
          </cell>
          <cell r="V661">
            <v>0.57363861400000005</v>
          </cell>
          <cell r="W661">
            <v>1.8759900999999999E-2</v>
          </cell>
          <cell r="X661">
            <v>0.117675743</v>
          </cell>
          <cell r="Y661">
            <v>8.9962252000000006E-2</v>
          </cell>
          <cell r="Z661">
            <v>0.19996348999999999</v>
          </cell>
          <cell r="AB661" t="str">
            <v>2003CT</v>
          </cell>
          <cell r="AC661">
            <v>0</v>
          </cell>
          <cell r="AD661">
            <v>0</v>
          </cell>
          <cell r="AE661">
            <v>0.05</v>
          </cell>
          <cell r="AF661">
            <v>0.95</v>
          </cell>
        </row>
        <row r="662">
          <cell r="B662" t="str">
            <v>2003DE</v>
          </cell>
          <cell r="C662">
            <v>0.10201653895343663</v>
          </cell>
          <cell r="D662">
            <v>0.1910091905838856</v>
          </cell>
          <cell r="E662">
            <v>0.43707162937473454</v>
          </cell>
          <cell r="F662">
            <v>0.18637975788177577</v>
          </cell>
          <cell r="G662">
            <v>5.9883562349419175E-2</v>
          </cell>
          <cell r="H662">
            <v>2.3639320856748244E-2</v>
          </cell>
          <cell r="J662" t="str">
            <v>2003DE</v>
          </cell>
          <cell r="K662">
            <v>0.5030448082758463</v>
          </cell>
          <cell r="L662">
            <v>5.9883562349419175E-2</v>
          </cell>
          <cell r="M662">
            <v>0.43707162937473454</v>
          </cell>
          <cell r="U662" t="str">
            <v>2003DE</v>
          </cell>
          <cell r="V662">
            <v>0.120253529</v>
          </cell>
          <cell r="W662">
            <v>4.1631153999999997E-2</v>
          </cell>
          <cell r="X662">
            <v>0.23964419100000001</v>
          </cell>
          <cell r="Y662">
            <v>0.17588547500000001</v>
          </cell>
          <cell r="Z662">
            <v>0.42258565100000001</v>
          </cell>
          <cell r="AB662" t="str">
            <v>2003DE</v>
          </cell>
          <cell r="AC662">
            <v>0</v>
          </cell>
          <cell r="AD662">
            <v>0</v>
          </cell>
          <cell r="AE662">
            <v>0.05</v>
          </cell>
          <cell r="AF662">
            <v>0.95</v>
          </cell>
        </row>
        <row r="663">
          <cell r="B663" t="str">
            <v>2003FL</v>
          </cell>
          <cell r="C663">
            <v>0.38654865924430459</v>
          </cell>
          <cell r="D663">
            <v>0.14503983167997814</v>
          </cell>
          <cell r="E663">
            <v>0.21616400084919535</v>
          </cell>
          <cell r="F663">
            <v>7.8997496757044303E-2</v>
          </cell>
          <cell r="G663">
            <v>0.17198217725399226</v>
          </cell>
          <cell r="H663">
            <v>1.2678342154852779E-3</v>
          </cell>
          <cell r="J663" t="str">
            <v>2003FL</v>
          </cell>
          <cell r="K663">
            <v>0.61185382189681237</v>
          </cell>
          <cell r="L663">
            <v>0.17198217725399226</v>
          </cell>
          <cell r="M663">
            <v>0.21616400084919535</v>
          </cell>
          <cell r="U663" t="str">
            <v>2003FL</v>
          </cell>
          <cell r="V663">
            <v>0.71166924399999998</v>
          </cell>
          <cell r="W663">
            <v>1.2686553E-2</v>
          </cell>
          <cell r="X663">
            <v>7.9579288999999998E-2</v>
          </cell>
          <cell r="Y663">
            <v>6.0837789000000003E-2</v>
          </cell>
          <cell r="Z663">
            <v>0.135227124</v>
          </cell>
          <cell r="AB663" t="str">
            <v>2003FL</v>
          </cell>
          <cell r="AC663">
            <v>0</v>
          </cell>
          <cell r="AD663">
            <v>0</v>
          </cell>
          <cell r="AE663">
            <v>0.41899999999999998</v>
          </cell>
          <cell r="AF663">
            <v>0.58099999999999996</v>
          </cell>
        </row>
        <row r="664">
          <cell r="B664" t="str">
            <v>2003GA</v>
          </cell>
          <cell r="C664">
            <v>0.20823216155586291</v>
          </cell>
          <cell r="D664">
            <v>0.11033206176717186</v>
          </cell>
          <cell r="E664">
            <v>0.17733204084631207</v>
          </cell>
          <cell r="F664">
            <v>9.7862793659120595E-2</v>
          </cell>
          <cell r="G664">
            <v>0.40234468997942996</v>
          </cell>
          <cell r="H664">
            <v>3.8962521921025758E-3</v>
          </cell>
          <cell r="J664" t="str">
            <v>2003GA</v>
          </cell>
          <cell r="K664">
            <v>0.420323269174258</v>
          </cell>
          <cell r="L664">
            <v>0.40234468997942996</v>
          </cell>
          <cell r="M664">
            <v>0.17733204084631207</v>
          </cell>
          <cell r="U664" t="str">
            <v>2003GA</v>
          </cell>
          <cell r="V664">
            <v>7.8133266000000007E-2</v>
          </cell>
          <cell r="W664">
            <v>3.5587817000000001E-2</v>
          </cell>
          <cell r="X664">
            <v>9.7388838000000005E-2</v>
          </cell>
          <cell r="Y664">
            <v>0.46952270200000001</v>
          </cell>
          <cell r="Z664">
            <v>0.31936737799999998</v>
          </cell>
          <cell r="AB664" t="str">
            <v>2003GA</v>
          </cell>
          <cell r="AC664">
            <v>0</v>
          </cell>
          <cell r="AD664">
            <v>0</v>
          </cell>
          <cell r="AE664">
            <v>0.41899999999999998</v>
          </cell>
          <cell r="AF664">
            <v>0.58099999999999996</v>
          </cell>
        </row>
        <row r="665">
          <cell r="B665" t="str">
            <v>2003HI</v>
          </cell>
          <cell r="C665">
            <v>0.67137224197860923</v>
          </cell>
          <cell r="D665">
            <v>0.21100034068527662</v>
          </cell>
          <cell r="E665">
            <v>0</v>
          </cell>
          <cell r="F665">
            <v>0.10820426646618357</v>
          </cell>
          <cell r="G665">
            <v>7.5112148308577572E-3</v>
          </cell>
          <cell r="H665">
            <v>1.9119360390725836E-3</v>
          </cell>
          <cell r="J665" t="str">
            <v>2003HI</v>
          </cell>
          <cell r="K665">
            <v>0.9924887851691423</v>
          </cell>
          <cell r="L665">
            <v>7.5112148308577572E-3</v>
          </cell>
          <cell r="M665">
            <v>0</v>
          </cell>
          <cell r="U665" t="str">
            <v>2003HI</v>
          </cell>
          <cell r="V665">
            <v>0.23216878499999999</v>
          </cell>
          <cell r="W665">
            <v>3.2904865999999998E-2</v>
          </cell>
          <cell r="X665">
            <v>0.18414778700000001</v>
          </cell>
          <cell r="Y665">
            <v>0.21064765399999999</v>
          </cell>
          <cell r="Z665">
            <v>0.34013090899999998</v>
          </cell>
          <cell r="AB665" t="str">
            <v>2003HI</v>
          </cell>
          <cell r="AC665">
            <v>0</v>
          </cell>
          <cell r="AD665">
            <v>0</v>
          </cell>
          <cell r="AE665">
            <v>0.25</v>
          </cell>
          <cell r="AF665">
            <v>0.75</v>
          </cell>
        </row>
        <row r="666">
          <cell r="B666" t="str">
            <v>2003ID</v>
          </cell>
          <cell r="C666">
            <v>0.62850843440764703</v>
          </cell>
          <cell r="D666">
            <v>0.2329683972033782</v>
          </cell>
          <cell r="E666">
            <v>6.4436683947772669E-3</v>
          </cell>
          <cell r="F666">
            <v>0.11961222721284216</v>
          </cell>
          <cell r="G666">
            <v>3.8149081541218642E-3</v>
          </cell>
          <cell r="H666">
            <v>8.6523646272333287E-3</v>
          </cell>
          <cell r="J666" t="str">
            <v>2003ID</v>
          </cell>
          <cell r="K666">
            <v>0.98974142345110083</v>
          </cell>
          <cell r="L666">
            <v>3.8149081541218642E-3</v>
          </cell>
          <cell r="M666">
            <v>6.4436683947772669E-3</v>
          </cell>
          <cell r="U666" t="str">
            <v>2003ID</v>
          </cell>
          <cell r="V666">
            <v>0.460837895</v>
          </cell>
          <cell r="W666">
            <v>2.6974237000000002E-2</v>
          </cell>
          <cell r="X666">
            <v>0.14528671200000001</v>
          </cell>
          <cell r="Y666">
            <v>0.102926191</v>
          </cell>
          <cell r="Z666">
            <v>0.26397496599999998</v>
          </cell>
          <cell r="AB666" t="str">
            <v>2003ID</v>
          </cell>
          <cell r="AC666">
            <v>0</v>
          </cell>
          <cell r="AD666">
            <v>0</v>
          </cell>
          <cell r="AE666">
            <v>0.6</v>
          </cell>
          <cell r="AF666">
            <v>0.4</v>
          </cell>
        </row>
        <row r="667">
          <cell r="B667" t="str">
            <v>2003IL</v>
          </cell>
          <cell r="C667">
            <v>0.13175283144497188</v>
          </cell>
          <cell r="D667">
            <v>0.26046159534668961</v>
          </cell>
          <cell r="E667">
            <v>8.1383349234931596E-2</v>
          </cell>
          <cell r="F667">
            <v>0.43207247933210829</v>
          </cell>
          <cell r="G667">
            <v>4.8182181885357514E-2</v>
          </cell>
          <cell r="H667">
            <v>4.6147562755941125E-2</v>
          </cell>
          <cell r="J667" t="str">
            <v>2003IL</v>
          </cell>
          <cell r="K667">
            <v>0.87043446887971088</v>
          </cell>
          <cell r="L667">
            <v>4.8182181885357514E-2</v>
          </cell>
          <cell r="M667">
            <v>8.1383349234931596E-2</v>
          </cell>
          <cell r="U667" t="str">
            <v>2003IL</v>
          </cell>
          <cell r="V667">
            <v>2.0186552999999999E-2</v>
          </cell>
          <cell r="W667">
            <v>4.5739502000000001E-2</v>
          </cell>
          <cell r="X667">
            <v>0.28028242399999997</v>
          </cell>
          <cell r="Y667">
            <v>0.149587944</v>
          </cell>
          <cell r="Z667">
            <v>0.50420357699999996</v>
          </cell>
          <cell r="AB667" t="str">
            <v>2003IL</v>
          </cell>
          <cell r="AC667">
            <v>0</v>
          </cell>
          <cell r="AD667">
            <v>0</v>
          </cell>
          <cell r="AE667">
            <v>0.02</v>
          </cell>
          <cell r="AF667">
            <v>0.98</v>
          </cell>
        </row>
        <row r="668">
          <cell r="B668" t="str">
            <v>2003IN</v>
          </cell>
          <cell r="C668">
            <v>0.16189917384296076</v>
          </cell>
          <cell r="D668">
            <v>0.24163212738244233</v>
          </cell>
          <cell r="E668">
            <v>0.13392208737361183</v>
          </cell>
          <cell r="F668">
            <v>0.3491044693998876</v>
          </cell>
          <cell r="G668">
            <v>7.9287205957511472E-2</v>
          </cell>
          <cell r="H668">
            <v>3.4154936043586021E-2</v>
          </cell>
          <cell r="J668" t="str">
            <v>2003IN</v>
          </cell>
          <cell r="K668">
            <v>0.78679070666887663</v>
          </cell>
          <cell r="L668">
            <v>7.9287205957511472E-2</v>
          </cell>
          <cell r="M668">
            <v>0.13392208737361183</v>
          </cell>
          <cell r="U668" t="str">
            <v>2003IN</v>
          </cell>
          <cell r="V668">
            <v>2.5489210000000002E-2</v>
          </cell>
          <cell r="W668">
            <v>4.5536079E-2</v>
          </cell>
          <cell r="X668">
            <v>0.27893099599999999</v>
          </cell>
          <cell r="Y668">
            <v>0.14781887399999999</v>
          </cell>
          <cell r="Z668">
            <v>0.50222484099999998</v>
          </cell>
          <cell r="AB668" t="str">
            <v>2003IN</v>
          </cell>
          <cell r="AC668">
            <v>0</v>
          </cell>
          <cell r="AD668">
            <v>0</v>
          </cell>
          <cell r="AE668">
            <v>0</v>
          </cell>
          <cell r="AF668">
            <v>1</v>
          </cell>
        </row>
        <row r="669">
          <cell r="B669" t="str">
            <v>2003IA</v>
          </cell>
          <cell r="C669">
            <v>0.13792614664225575</v>
          </cell>
          <cell r="D669">
            <v>0.25047757969635848</v>
          </cell>
          <cell r="E669">
            <v>0.10477197231415941</v>
          </cell>
          <cell r="F669">
            <v>0.40507493125352922</v>
          </cell>
          <cell r="G669">
            <v>6.2029177638731184E-2</v>
          </cell>
          <cell r="H669">
            <v>3.9720192454965969E-2</v>
          </cell>
          <cell r="J669" t="str">
            <v>2003IA</v>
          </cell>
          <cell r="K669">
            <v>0.83319885004710947</v>
          </cell>
          <cell r="L669">
            <v>6.2029177638731184E-2</v>
          </cell>
          <cell r="M669">
            <v>0.10477197231415941</v>
          </cell>
          <cell r="U669" t="str">
            <v>2003IA</v>
          </cell>
          <cell r="V669">
            <v>9.6502570000000006E-3</v>
          </cell>
          <cell r="W669">
            <v>3.8739974000000003E-2</v>
          </cell>
          <cell r="X669">
            <v>0.12067557499999999</v>
          </cell>
          <cell r="Y669">
            <v>0.47629315999999999</v>
          </cell>
          <cell r="Z669">
            <v>0.35464103499999999</v>
          </cell>
          <cell r="AB669" t="str">
            <v>2003IA</v>
          </cell>
          <cell r="AC669">
            <v>0</v>
          </cell>
          <cell r="AD669">
            <v>0</v>
          </cell>
          <cell r="AE669">
            <v>0</v>
          </cell>
          <cell r="AF669">
            <v>1</v>
          </cell>
        </row>
        <row r="670">
          <cell r="B670" t="str">
            <v>2003KS</v>
          </cell>
          <cell r="C670">
            <v>0.28758404285910905</v>
          </cell>
          <cell r="D670">
            <v>0.32607606753917184</v>
          </cell>
          <cell r="E670">
            <v>5.1050547933917619E-2</v>
          </cell>
          <cell r="F670">
            <v>0.27762124338847843</v>
          </cell>
          <cell r="G670">
            <v>3.0223956239483565E-2</v>
          </cell>
          <cell r="H670">
            <v>2.7444142039839463E-2</v>
          </cell>
          <cell r="J670" t="str">
            <v>2003KS</v>
          </cell>
          <cell r="K670">
            <v>0.91872549582659879</v>
          </cell>
          <cell r="L670">
            <v>3.0223956239483565E-2</v>
          </cell>
          <cell r="M670">
            <v>5.1050547933917619E-2</v>
          </cell>
          <cell r="U670" t="str">
            <v>2003KS</v>
          </cell>
          <cell r="V670">
            <v>2.3647662E-2</v>
          </cell>
          <cell r="W670">
            <v>4.6272377000000003E-2</v>
          </cell>
          <cell r="X670">
            <v>0.28189652199999998</v>
          </cell>
          <cell r="Y670">
            <v>0.13395533500000001</v>
          </cell>
          <cell r="Z670">
            <v>0.51422810299999999</v>
          </cell>
          <cell r="AB670" t="str">
            <v>2003KS</v>
          </cell>
          <cell r="AC670">
            <v>0</v>
          </cell>
          <cell r="AD670">
            <v>0</v>
          </cell>
          <cell r="AE670">
            <v>0.02</v>
          </cell>
          <cell r="AF670">
            <v>0.98</v>
          </cell>
        </row>
        <row r="671">
          <cell r="B671" t="str">
            <v>2003KY</v>
          </cell>
          <cell r="C671">
            <v>2.3305602928070858E-2</v>
          </cell>
          <cell r="D671">
            <v>6.2885861766289422E-2</v>
          </cell>
          <cell r="E671">
            <v>0.14165738300711325</v>
          </cell>
          <cell r="F671">
            <v>0.14315421990856123</v>
          </cell>
          <cell r="G671">
            <v>0.61397716539009373</v>
          </cell>
          <cell r="H671">
            <v>1.5019766999871505E-2</v>
          </cell>
          <cell r="J671" t="str">
            <v>2003KY</v>
          </cell>
          <cell r="K671">
            <v>0.24436545160279299</v>
          </cell>
          <cell r="L671">
            <v>0.61397716539009373</v>
          </cell>
          <cell r="M671">
            <v>0.14165738300711325</v>
          </cell>
          <cell r="U671" t="str">
            <v>2003KY</v>
          </cell>
          <cell r="V671">
            <v>4.9184704000000003E-2</v>
          </cell>
          <cell r="W671">
            <v>3.7321891000000003E-2</v>
          </cell>
          <cell r="X671">
            <v>0.11991215400000001</v>
          </cell>
          <cell r="Y671">
            <v>0.45018075899999999</v>
          </cell>
          <cell r="Z671">
            <v>0.34340049099999997</v>
          </cell>
          <cell r="AB671" t="str">
            <v>2003KY</v>
          </cell>
          <cell r="AC671">
            <v>0</v>
          </cell>
          <cell r="AD671">
            <v>0</v>
          </cell>
          <cell r="AE671">
            <v>0.05</v>
          </cell>
          <cell r="AF671">
            <v>0.95</v>
          </cell>
        </row>
        <row r="672">
          <cell r="B672" t="str">
            <v>2003LA</v>
          </cell>
          <cell r="C672">
            <v>8.7696493950327165E-2</v>
          </cell>
          <cell r="D672">
            <v>6.4637521135916851E-2</v>
          </cell>
          <cell r="E672">
            <v>0.14461730665558523</v>
          </cell>
          <cell r="F672">
            <v>0.10160244529023774</v>
          </cell>
          <cell r="G672">
            <v>0.59641803499629376</v>
          </cell>
          <cell r="H672">
            <v>5.0281979716392446E-3</v>
          </cell>
          <cell r="J672" t="str">
            <v>2003LA</v>
          </cell>
          <cell r="K672">
            <v>0.25896465834812099</v>
          </cell>
          <cell r="L672">
            <v>0.59641803499629376</v>
          </cell>
          <cell r="M672">
            <v>0.14461730665558523</v>
          </cell>
          <cell r="U672" t="str">
            <v>2003LA</v>
          </cell>
          <cell r="V672">
            <v>0.53551704700000002</v>
          </cell>
          <cell r="W672">
            <v>2.0437250000000001E-2</v>
          </cell>
          <cell r="X672">
            <v>0.12819729499999999</v>
          </cell>
          <cell r="Y672">
            <v>9.8005903000000005E-2</v>
          </cell>
          <cell r="Z672">
            <v>0.21784250499999999</v>
          </cell>
          <cell r="AB672" t="str">
            <v>2003LA</v>
          </cell>
          <cell r="AC672">
            <v>0</v>
          </cell>
          <cell r="AD672">
            <v>0</v>
          </cell>
          <cell r="AE672">
            <v>0.6</v>
          </cell>
          <cell r="AF672">
            <v>0.4</v>
          </cell>
        </row>
        <row r="673">
          <cell r="B673" t="str">
            <v>2003ME</v>
          </cell>
          <cell r="C673">
            <v>9.3713015315557757E-2</v>
          </cell>
          <cell r="D673">
            <v>0.17210096338216258</v>
          </cell>
          <cell r="E673">
            <v>0.44837154081607639</v>
          </cell>
          <cell r="F673">
            <v>0.19633313267932656</v>
          </cell>
          <cell r="G673">
            <v>7.0076626899074845E-2</v>
          </cell>
          <cell r="H673">
            <v>1.9404720907801824E-2</v>
          </cell>
          <cell r="J673" t="str">
            <v>2003ME</v>
          </cell>
          <cell r="K673">
            <v>0.48155183228484877</v>
          </cell>
          <cell r="L673">
            <v>7.0076626899074845E-2</v>
          </cell>
          <cell r="M673">
            <v>0.44837154081607639</v>
          </cell>
          <cell r="U673" t="str">
            <v>2003ME</v>
          </cell>
          <cell r="V673">
            <v>0.72920202000000001</v>
          </cell>
          <cell r="W673">
            <v>1.1915111000000001E-2</v>
          </cell>
          <cell r="X673">
            <v>7.4740241999999998E-2</v>
          </cell>
          <cell r="Y673">
            <v>5.7138373999999999E-2</v>
          </cell>
          <cell r="Z673">
            <v>0.12700425300000001</v>
          </cell>
          <cell r="AB673" t="str">
            <v>2003ME</v>
          </cell>
          <cell r="AC673">
            <v>0</v>
          </cell>
          <cell r="AD673">
            <v>0</v>
          </cell>
          <cell r="AE673">
            <v>0.05</v>
          </cell>
          <cell r="AF673">
            <v>0.95</v>
          </cell>
        </row>
        <row r="674">
          <cell r="B674" t="str">
            <v>2003MD</v>
          </cell>
          <cell r="C674">
            <v>7.6488535055593554E-2</v>
          </cell>
          <cell r="D674">
            <v>0.15472472257238745</v>
          </cell>
          <cell r="E674">
            <v>0.44380834258126728</v>
          </cell>
          <cell r="F674">
            <v>0.22861605738914034</v>
          </cell>
          <cell r="G674">
            <v>6.5960402236453913E-2</v>
          </cell>
          <cell r="H674">
            <v>3.0401940165157418E-2</v>
          </cell>
          <cell r="J674" t="str">
            <v>2003MD</v>
          </cell>
          <cell r="K674">
            <v>0.49023125518227884</v>
          </cell>
          <cell r="L674">
            <v>6.5960402236453913E-2</v>
          </cell>
          <cell r="M674">
            <v>0.44380834258126728</v>
          </cell>
          <cell r="U674" t="str">
            <v>2003MD</v>
          </cell>
          <cell r="V674">
            <v>0.21140679400000001</v>
          </cell>
          <cell r="W674">
            <v>3.7602905999999998E-2</v>
          </cell>
          <cell r="X674">
            <v>0.214504853</v>
          </cell>
          <cell r="Y674">
            <v>0.15671048400000001</v>
          </cell>
          <cell r="Z674">
            <v>0.37977496300000002</v>
          </cell>
          <cell r="AB674" t="str">
            <v>2003MD</v>
          </cell>
          <cell r="AC674">
            <v>0</v>
          </cell>
          <cell r="AD674">
            <v>0</v>
          </cell>
          <cell r="AE674">
            <v>0.05</v>
          </cell>
          <cell r="AF674">
            <v>0.95</v>
          </cell>
        </row>
        <row r="675">
          <cell r="B675" t="str">
            <v>2003MA</v>
          </cell>
          <cell r="C675">
            <v>6.1305440163427552E-2</v>
          </cell>
          <cell r="D675">
            <v>0.14874705508142777</v>
          </cell>
          <cell r="E675">
            <v>0.45216403673004657</v>
          </cell>
          <cell r="F675">
            <v>0.23617268276189021</v>
          </cell>
          <cell r="G675">
            <v>7.3497640935872632E-2</v>
          </cell>
          <cell r="H675">
            <v>2.8113144327335336E-2</v>
          </cell>
          <cell r="J675" t="str">
            <v>2003MA</v>
          </cell>
          <cell r="K675">
            <v>0.4743383223340808</v>
          </cell>
          <cell r="L675">
            <v>7.3497640935872632E-2</v>
          </cell>
          <cell r="M675">
            <v>0.45216403673004657</v>
          </cell>
          <cell r="U675" t="str">
            <v>2003MA</v>
          </cell>
          <cell r="V675">
            <v>0.31419575799999999</v>
          </cell>
          <cell r="W675">
            <v>3.0175387000000001E-2</v>
          </cell>
          <cell r="X675">
            <v>0.18928197099999999</v>
          </cell>
          <cell r="Y675">
            <v>0.14470469499999999</v>
          </cell>
          <cell r="Z675">
            <v>0.32164218900000002</v>
          </cell>
          <cell r="AB675" t="str">
            <v>2003MA</v>
          </cell>
          <cell r="AC675">
            <v>0</v>
          </cell>
          <cell r="AD675">
            <v>0</v>
          </cell>
          <cell r="AE675">
            <v>0.05</v>
          </cell>
          <cell r="AF675">
            <v>0.95</v>
          </cell>
        </row>
        <row r="676">
          <cell r="B676" t="str">
            <v>2003MI</v>
          </cell>
          <cell r="C676">
            <v>0.21592740095911189</v>
          </cell>
          <cell r="D676">
            <v>0.33044604004991018</v>
          </cell>
          <cell r="E676">
            <v>5.8998863632555826E-2</v>
          </cell>
          <cell r="F676">
            <v>0.32074430847532459</v>
          </cell>
          <cell r="G676">
            <v>3.4929675483950956E-2</v>
          </cell>
          <cell r="H676">
            <v>3.8953711399146676E-2</v>
          </cell>
          <cell r="J676" t="str">
            <v>2003MI</v>
          </cell>
          <cell r="K676">
            <v>0.90607146088349322</v>
          </cell>
          <cell r="L676">
            <v>3.4929675483950956E-2</v>
          </cell>
          <cell r="M676">
            <v>5.8998863632555826E-2</v>
          </cell>
          <cell r="U676" t="str">
            <v>2003MI</v>
          </cell>
          <cell r="V676">
            <v>4.5127237000000001E-2</v>
          </cell>
          <cell r="W676">
            <v>5.0500046999999999E-2</v>
          </cell>
          <cell r="X676">
            <v>0.254352099</v>
          </cell>
          <cell r="Y676">
            <v>0.17319266699999999</v>
          </cell>
          <cell r="Z676">
            <v>0.47682794899999997</v>
          </cell>
          <cell r="AB676" t="str">
            <v>2003MI</v>
          </cell>
          <cell r="AC676">
            <v>0</v>
          </cell>
          <cell r="AD676">
            <v>0</v>
          </cell>
          <cell r="AE676">
            <v>0.02</v>
          </cell>
          <cell r="AF676">
            <v>0.98</v>
          </cell>
        </row>
        <row r="677">
          <cell r="B677" t="str">
            <v>2003MN</v>
          </cell>
          <cell r="C677">
            <v>0.11559741536790068</v>
          </cell>
          <cell r="D677">
            <v>0.23915415867765383</v>
          </cell>
          <cell r="E677">
            <v>0.10052931481156221</v>
          </cell>
          <cell r="F677">
            <v>0.43822851849088174</v>
          </cell>
          <cell r="G677">
            <v>5.9517355535203494E-2</v>
          </cell>
          <cell r="H677">
            <v>4.697323711679801E-2</v>
          </cell>
          <cell r="J677" t="str">
            <v>2003MN</v>
          </cell>
          <cell r="K677">
            <v>0.83995332965323433</v>
          </cell>
          <cell r="L677">
            <v>5.9517355535203494E-2</v>
          </cell>
          <cell r="M677">
            <v>0.10052931481156221</v>
          </cell>
          <cell r="U677" t="str">
            <v>2003MN</v>
          </cell>
          <cell r="V677">
            <v>1.5145339000000001E-2</v>
          </cell>
          <cell r="W677">
            <v>5.1986831999999997E-2</v>
          </cell>
          <cell r="X677">
            <v>0.262445557</v>
          </cell>
          <cell r="Y677">
            <v>0.17896024199999999</v>
          </cell>
          <cell r="Z677">
            <v>0.49146202900000002</v>
          </cell>
          <cell r="AB677" t="str">
            <v>2003MN</v>
          </cell>
          <cell r="AC677">
            <v>0</v>
          </cell>
          <cell r="AD677">
            <v>0</v>
          </cell>
          <cell r="AE677">
            <v>0</v>
          </cell>
          <cell r="AF677">
            <v>1</v>
          </cell>
        </row>
        <row r="678">
          <cell r="B678" t="str">
            <v>2003MS</v>
          </cell>
          <cell r="C678">
            <v>0.10416334210611014</v>
          </cell>
          <cell r="D678">
            <v>7.2829933678422776E-2</v>
          </cell>
          <cell r="E678">
            <v>0.14929269604113307</v>
          </cell>
          <cell r="F678">
            <v>0.10019278631941281</v>
          </cell>
          <cell r="G678">
            <v>0.56868226150598644</v>
          </cell>
          <cell r="H678">
            <v>4.838980348934833E-3</v>
          </cell>
          <cell r="J678" t="str">
            <v>2003MS</v>
          </cell>
          <cell r="K678">
            <v>0.28202504245288051</v>
          </cell>
          <cell r="L678">
            <v>0.56868226150598644</v>
          </cell>
          <cell r="M678">
            <v>0.14929269604113307</v>
          </cell>
          <cell r="U678" t="str">
            <v>2003MS</v>
          </cell>
          <cell r="V678">
            <v>2.1100625000000001E-2</v>
          </cell>
          <cell r="W678">
            <v>3.6418512E-2</v>
          </cell>
          <cell r="X678">
            <v>6.0129593000000002E-2</v>
          </cell>
          <cell r="Y678">
            <v>0.574366987</v>
          </cell>
          <cell r="Z678">
            <v>0.30798428300000003</v>
          </cell>
          <cell r="AB678" t="str">
            <v>2003MS</v>
          </cell>
          <cell r="AC678">
            <v>0</v>
          </cell>
          <cell r="AD678">
            <v>0</v>
          </cell>
          <cell r="AE678">
            <v>0.6</v>
          </cell>
          <cell r="AF678">
            <v>0.4</v>
          </cell>
        </row>
        <row r="679">
          <cell r="B679" t="str">
            <v>2003MO</v>
          </cell>
          <cell r="C679">
            <v>6.4925479522277466E-2</v>
          </cell>
          <cell r="D679">
            <v>0.18170303563698134</v>
          </cell>
          <cell r="E679">
            <v>0.14337282997597614</v>
          </cell>
          <cell r="F679">
            <v>0.47880340852502545</v>
          </cell>
          <cell r="G679">
            <v>8.4882421727070459E-2</v>
          </cell>
          <cell r="H679">
            <v>4.6312824612669105E-2</v>
          </cell>
          <cell r="J679" t="str">
            <v>2003MO</v>
          </cell>
          <cell r="K679">
            <v>0.77174474829695339</v>
          </cell>
          <cell r="L679">
            <v>8.4882421727070459E-2</v>
          </cell>
          <cell r="M679">
            <v>0.14337282997597614</v>
          </cell>
          <cell r="U679" t="str">
            <v>2003MO</v>
          </cell>
          <cell r="V679">
            <v>2.998994E-2</v>
          </cell>
          <cell r="W679">
            <v>4.5757142000000001E-2</v>
          </cell>
          <cell r="X679">
            <v>0.27926039899999999</v>
          </cell>
          <cell r="Y679">
            <v>0.13775391300000001</v>
          </cell>
          <cell r="Z679">
            <v>0.50723860600000004</v>
          </cell>
          <cell r="AB679" t="str">
            <v>2003MO</v>
          </cell>
          <cell r="AC679">
            <v>0</v>
          </cell>
          <cell r="AD679">
            <v>0</v>
          </cell>
          <cell r="AE679">
            <v>0</v>
          </cell>
          <cell r="AF679">
            <v>1</v>
          </cell>
        </row>
        <row r="680">
          <cell r="B680" t="str">
            <v>2003MT</v>
          </cell>
          <cell r="C680">
            <v>0.35597781750083307</v>
          </cell>
          <cell r="D680">
            <v>0.25924389885240834</v>
          </cell>
          <cell r="E680">
            <v>4.3797789125912777E-2</v>
          </cell>
          <cell r="F680">
            <v>0.25058080537727367</v>
          </cell>
          <cell r="G680">
            <v>2.5930034358127463E-2</v>
          </cell>
          <cell r="H680">
            <v>6.4469654785444572E-2</v>
          </cell>
          <cell r="J680" t="str">
            <v>2003MT</v>
          </cell>
          <cell r="K680">
            <v>0.93027217651595973</v>
          </cell>
          <cell r="L680">
            <v>2.5930034358127463E-2</v>
          </cell>
          <cell r="M680">
            <v>4.3797789125912777E-2</v>
          </cell>
          <cell r="U680" t="str">
            <v>2003MT</v>
          </cell>
          <cell r="V680">
            <v>6.0520032000000001E-2</v>
          </cell>
          <cell r="W680">
            <v>5.1214043000000001E-2</v>
          </cell>
          <cell r="X680">
            <v>0.24859647000000001</v>
          </cell>
          <cell r="Y680">
            <v>0.16530719099999999</v>
          </cell>
          <cell r="Z680">
            <v>0.47436226399999998</v>
          </cell>
          <cell r="AB680" t="str">
            <v>2003MT</v>
          </cell>
          <cell r="AC680">
            <v>0</v>
          </cell>
          <cell r="AD680">
            <v>0</v>
          </cell>
          <cell r="AE680">
            <v>0.6</v>
          </cell>
          <cell r="AF680">
            <v>0.4</v>
          </cell>
        </row>
        <row r="681">
          <cell r="B681" t="str">
            <v>2003NE</v>
          </cell>
          <cell r="C681">
            <v>0.21260954807532403</v>
          </cell>
          <cell r="D681">
            <v>0.30324255962083846</v>
          </cell>
          <cell r="E681">
            <v>6.1277054134417128E-2</v>
          </cell>
          <cell r="F681">
            <v>0.34696077142199511</v>
          </cell>
          <cell r="G681">
            <v>3.6278454935301678E-2</v>
          </cell>
          <cell r="H681">
            <v>3.9631611812123581E-2</v>
          </cell>
          <cell r="J681" t="str">
            <v>2003NE</v>
          </cell>
          <cell r="K681">
            <v>0.90244449093028123</v>
          </cell>
          <cell r="L681">
            <v>3.6278454935301678E-2</v>
          </cell>
          <cell r="M681">
            <v>6.1277054134417128E-2</v>
          </cell>
          <cell r="U681" t="str">
            <v>2003NE</v>
          </cell>
          <cell r="V681">
            <v>3.0063880000000001E-2</v>
          </cell>
          <cell r="W681">
            <v>4.5295173000000001E-2</v>
          </cell>
          <cell r="X681">
            <v>0.27751980599999998</v>
          </cell>
          <cell r="Y681">
            <v>0.147715386</v>
          </cell>
          <cell r="Z681">
            <v>0.49940575500000001</v>
          </cell>
          <cell r="AB681" t="str">
            <v>2003NE</v>
          </cell>
          <cell r="AC681">
            <v>0</v>
          </cell>
          <cell r="AD681">
            <v>0</v>
          </cell>
          <cell r="AE681">
            <v>0.02</v>
          </cell>
          <cell r="AF681">
            <v>0.98</v>
          </cell>
        </row>
        <row r="682">
          <cell r="B682" t="str">
            <v>2003NV</v>
          </cell>
          <cell r="C682">
            <v>0.64210148526116029</v>
          </cell>
          <cell r="D682">
            <v>0.238399883587257</v>
          </cell>
          <cell r="E682">
            <v>4.1594375177217181E-3</v>
          </cell>
          <cell r="F682">
            <v>0.10819864870890922</v>
          </cell>
          <cell r="G682">
            <v>2.4625525602432058E-3</v>
          </cell>
          <cell r="H682">
            <v>4.677992364708553E-3</v>
          </cell>
          <cell r="J682" t="str">
            <v>2003NV</v>
          </cell>
          <cell r="K682">
            <v>0.99337800992203507</v>
          </cell>
          <cell r="L682">
            <v>2.4625525602432058E-3</v>
          </cell>
          <cell r="M682">
            <v>4.1594375177217181E-3</v>
          </cell>
          <cell r="U682" t="str">
            <v>2003NV</v>
          </cell>
          <cell r="V682">
            <v>0.35004114600000003</v>
          </cell>
          <cell r="W682">
            <v>2.4048478000000002E-2</v>
          </cell>
          <cell r="X682">
            <v>3.5747737000000002E-2</v>
          </cell>
          <cell r="Y682">
            <v>0.38867539400000001</v>
          </cell>
          <cell r="Z682">
            <v>0.20148724500000001</v>
          </cell>
          <cell r="AB682" t="str">
            <v>2003NV</v>
          </cell>
          <cell r="AC682">
            <v>0</v>
          </cell>
          <cell r="AD682">
            <v>0</v>
          </cell>
          <cell r="AE682">
            <v>0</v>
          </cell>
          <cell r="AF682">
            <v>1</v>
          </cell>
        </row>
        <row r="683">
          <cell r="B683" t="str">
            <v>2003NH</v>
          </cell>
          <cell r="C683">
            <v>9.4573445198850817E-2</v>
          </cell>
          <cell r="D683">
            <v>0.16340842518862655</v>
          </cell>
          <cell r="E683">
            <v>0.44298025846087286</v>
          </cell>
          <cell r="F683">
            <v>0.20852129702854144</v>
          </cell>
          <cell r="G683">
            <v>6.52134304627775E-2</v>
          </cell>
          <cell r="H683">
            <v>2.5303143660330828E-2</v>
          </cell>
          <cell r="J683" t="str">
            <v>2003NH</v>
          </cell>
          <cell r="K683">
            <v>0.49180631107634964</v>
          </cell>
          <cell r="L683">
            <v>6.52134304627775E-2</v>
          </cell>
          <cell r="M683">
            <v>0.44298025846087286</v>
          </cell>
          <cell r="U683" t="str">
            <v>2003NH</v>
          </cell>
          <cell r="V683">
            <v>0.56759962799999997</v>
          </cell>
          <cell r="W683">
            <v>1.9025615999999999E-2</v>
          </cell>
          <cell r="X683">
            <v>0.119342503</v>
          </cell>
          <cell r="Y683">
            <v>9.1236478999999995E-2</v>
          </cell>
          <cell r="Z683">
            <v>0.20279577500000001</v>
          </cell>
          <cell r="AB683" t="str">
            <v>2003NH</v>
          </cell>
          <cell r="AC683">
            <v>0</v>
          </cell>
          <cell r="AD683">
            <v>0</v>
          </cell>
          <cell r="AE683">
            <v>0.05</v>
          </cell>
          <cell r="AF683">
            <v>0.95</v>
          </cell>
        </row>
        <row r="684">
          <cell r="B684" t="str">
            <v>2003NJ</v>
          </cell>
          <cell r="C684">
            <v>5.8003576611346738E-2</v>
          </cell>
          <cell r="D684">
            <v>0.13897871355240557</v>
          </cell>
          <cell r="E684">
            <v>0.45397029129837874</v>
          </cell>
          <cell r="F684">
            <v>0.24471653627570109</v>
          </cell>
          <cell r="G684">
            <v>7.5126969581826603E-2</v>
          </cell>
          <cell r="H684">
            <v>2.9203912680341212E-2</v>
          </cell>
          <cell r="J684" t="str">
            <v>2003NJ</v>
          </cell>
          <cell r="K684">
            <v>0.47090273911979463</v>
          </cell>
          <cell r="L684">
            <v>7.5126969581826603E-2</v>
          </cell>
          <cell r="M684">
            <v>0.45397029129837874</v>
          </cell>
          <cell r="U684" t="str">
            <v>2003NJ</v>
          </cell>
          <cell r="V684">
            <v>0.30808167400000003</v>
          </cell>
          <cell r="W684">
            <v>3.3011736E-2</v>
          </cell>
          <cell r="X684">
            <v>0.18818818500000001</v>
          </cell>
          <cell r="Y684">
            <v>0.137437002</v>
          </cell>
          <cell r="Z684">
            <v>0.333281404</v>
          </cell>
          <cell r="AB684" t="str">
            <v>2003NJ</v>
          </cell>
          <cell r="AC684">
            <v>0</v>
          </cell>
          <cell r="AD684">
            <v>0</v>
          </cell>
          <cell r="AE684">
            <v>0.05</v>
          </cell>
          <cell r="AF684">
            <v>0.95</v>
          </cell>
        </row>
        <row r="685">
          <cell r="B685" t="str">
            <v>2003NM</v>
          </cell>
          <cell r="C685">
            <v>0.61184589317007076</v>
          </cell>
          <cell r="D685">
            <v>0.19452029294367307</v>
          </cell>
          <cell r="E685">
            <v>9.8952813124742175E-2</v>
          </cell>
          <cell r="F685">
            <v>9.4174237847419268E-2</v>
          </cell>
          <cell r="G685">
            <v>0</v>
          </cell>
          <cell r="H685">
            <v>5.0676291409465751E-4</v>
          </cell>
          <cell r="J685" t="str">
            <v>2003NM</v>
          </cell>
          <cell r="K685">
            <v>0.90104718687525787</v>
          </cell>
          <cell r="L685">
            <v>0</v>
          </cell>
          <cell r="M685">
            <v>9.8952813124742175E-2</v>
          </cell>
          <cell r="U685" t="str">
            <v>2003NM</v>
          </cell>
          <cell r="V685">
            <v>0.91655606099999998</v>
          </cell>
          <cell r="W685">
            <v>3.6715329999999998E-3</v>
          </cell>
          <cell r="X685">
            <v>2.3030526999999999E-2</v>
          </cell>
          <cell r="Y685">
            <v>1.7606671000000001E-2</v>
          </cell>
          <cell r="Z685">
            <v>3.9135206999999998E-2</v>
          </cell>
          <cell r="AB685" t="str">
            <v>2003NM</v>
          </cell>
          <cell r="AC685">
            <v>0</v>
          </cell>
          <cell r="AD685">
            <v>0</v>
          </cell>
          <cell r="AE685">
            <v>0.6</v>
          </cell>
          <cell r="AF685">
            <v>0.4</v>
          </cell>
        </row>
        <row r="686">
          <cell r="B686" t="str">
            <v>2003NY</v>
          </cell>
          <cell r="C686">
            <v>9.8408703041683282E-2</v>
          </cell>
          <cell r="D686">
            <v>0.15954377256245178</v>
          </cell>
          <cell r="E686">
            <v>0.44849165243165579</v>
          </cell>
          <cell r="F686">
            <v>0.20287733376538455</v>
          </cell>
          <cell r="G686">
            <v>7.0184973363303343E-2</v>
          </cell>
          <cell r="H686">
            <v>2.0493564835521279E-2</v>
          </cell>
          <cell r="J686" t="str">
            <v>2003NY</v>
          </cell>
          <cell r="K686">
            <v>0.4813233742050409</v>
          </cell>
          <cell r="L686">
            <v>7.0184973363303343E-2</v>
          </cell>
          <cell r="M686">
            <v>0.44849165243165579</v>
          </cell>
          <cell r="U686" t="str">
            <v>2003NY</v>
          </cell>
          <cell r="V686">
            <v>0.20441514899999999</v>
          </cell>
          <cell r="W686">
            <v>4.1815811000000001E-2</v>
          </cell>
          <cell r="X686">
            <v>0.21220383400000001</v>
          </cell>
          <cell r="Y686">
            <v>0.145168144</v>
          </cell>
          <cell r="Z686">
            <v>0.396397061</v>
          </cell>
          <cell r="AB686" t="str">
            <v>2003NY</v>
          </cell>
          <cell r="AC686">
            <v>0</v>
          </cell>
          <cell r="AD686">
            <v>0</v>
          </cell>
          <cell r="AE686">
            <v>0.05</v>
          </cell>
          <cell r="AF686">
            <v>0.95</v>
          </cell>
        </row>
        <row r="687">
          <cell r="B687" t="str">
            <v>2003NC</v>
          </cell>
          <cell r="C687">
            <v>6.168821577504751E-2</v>
          </cell>
          <cell r="D687">
            <v>0.11278426418396881</v>
          </cell>
          <cell r="E687">
            <v>0.15395779991170949</v>
          </cell>
          <cell r="F687">
            <v>0.11589101949636353</v>
          </cell>
          <cell r="G687">
            <v>0.54100750469043157</v>
          </cell>
          <cell r="H687">
            <v>1.4671195942479084E-2</v>
          </cell>
          <cell r="J687" t="str">
            <v>2003NC</v>
          </cell>
          <cell r="K687">
            <v>0.30503469539785888</v>
          </cell>
          <cell r="L687">
            <v>0.54100750469043157</v>
          </cell>
          <cell r="M687">
            <v>0.15395779991170949</v>
          </cell>
          <cell r="U687" t="str">
            <v>2003NC</v>
          </cell>
          <cell r="V687">
            <v>2.4742549999999999E-3</v>
          </cell>
          <cell r="W687">
            <v>3.7123251000000003E-2</v>
          </cell>
          <cell r="X687">
            <v>6.1645423999999997E-2</v>
          </cell>
          <cell r="Y687">
            <v>0.58464508599999998</v>
          </cell>
          <cell r="Z687">
            <v>0.31411198400000001</v>
          </cell>
          <cell r="AB687" t="str">
            <v>2003NC</v>
          </cell>
          <cell r="AC687">
            <v>0</v>
          </cell>
          <cell r="AD687">
            <v>0</v>
          </cell>
          <cell r="AE687">
            <v>0.41899999999999998</v>
          </cell>
          <cell r="AF687">
            <v>0.58099999999999996</v>
          </cell>
        </row>
        <row r="688">
          <cell r="B688" t="str">
            <v>2003ND</v>
          </cell>
          <cell r="C688">
            <v>0.1196932700797023</v>
          </cell>
          <cell r="D688">
            <v>0.21866711268457967</v>
          </cell>
          <cell r="E688">
            <v>0.10978970169096619</v>
          </cell>
          <cell r="F688">
            <v>0.448028418369537</v>
          </cell>
          <cell r="G688">
            <v>6.499987314042277E-2</v>
          </cell>
          <cell r="H688">
            <v>3.8821624034792085E-2</v>
          </cell>
          <cell r="J688" t="str">
            <v>2003ND</v>
          </cell>
          <cell r="K688">
            <v>0.82521042516861098</v>
          </cell>
          <cell r="L688">
            <v>6.499987314042277E-2</v>
          </cell>
          <cell r="M688">
            <v>0.10978970169096619</v>
          </cell>
          <cell r="U688" t="str">
            <v>2003ND</v>
          </cell>
          <cell r="V688">
            <v>8.8434773999999994E-2</v>
          </cell>
          <cell r="W688">
            <v>4.7868137999999998E-2</v>
          </cell>
          <cell r="X688">
            <v>0.243186129</v>
          </cell>
          <cell r="Y688">
            <v>0.16647603599999999</v>
          </cell>
          <cell r="Z688">
            <v>0.45403492299999998</v>
          </cell>
          <cell r="AB688" t="str">
            <v>2003ND</v>
          </cell>
          <cell r="AC688">
            <v>0</v>
          </cell>
          <cell r="AD688">
            <v>0</v>
          </cell>
          <cell r="AE688">
            <v>0.02</v>
          </cell>
          <cell r="AF688">
            <v>0.98</v>
          </cell>
        </row>
        <row r="689">
          <cell r="B689" t="str">
            <v>2003OH</v>
          </cell>
          <cell r="C689">
            <v>0.10753833947858983</v>
          </cell>
          <cell r="D689">
            <v>0.22522557822049544</v>
          </cell>
          <cell r="E689">
            <v>0.13589110116557596</v>
          </cell>
          <cell r="F689">
            <v>0.4097570212201273</v>
          </cell>
          <cell r="G689">
            <v>8.0452940491062386E-2</v>
          </cell>
          <cell r="H689">
            <v>4.1135019424149183E-2</v>
          </cell>
          <cell r="J689" t="str">
            <v>2003OH</v>
          </cell>
          <cell r="K689">
            <v>0.78365595834336166</v>
          </cell>
          <cell r="L689">
            <v>8.0452940491062386E-2</v>
          </cell>
          <cell r="M689">
            <v>0.13589110116557596</v>
          </cell>
          <cell r="U689" t="str">
            <v>2003OH</v>
          </cell>
          <cell r="V689">
            <v>6.6338901000000006E-2</v>
          </cell>
          <cell r="W689">
            <v>4.3119113000000001E-2</v>
          </cell>
          <cell r="X689">
            <v>0.26533305600000001</v>
          </cell>
          <cell r="Y689">
            <v>0.15267545299999999</v>
          </cell>
          <cell r="Z689">
            <v>0.47253347699999998</v>
          </cell>
          <cell r="AB689" t="str">
            <v>2003OH</v>
          </cell>
          <cell r="AC689">
            <v>0</v>
          </cell>
          <cell r="AD689">
            <v>0</v>
          </cell>
          <cell r="AE689">
            <v>0</v>
          </cell>
          <cell r="AF689">
            <v>1</v>
          </cell>
        </row>
        <row r="690">
          <cell r="B690" t="str">
            <v>2003OK</v>
          </cell>
          <cell r="C690">
            <v>0.40296958934788546</v>
          </cell>
          <cell r="D690">
            <v>0.22528492954061258</v>
          </cell>
          <cell r="E690">
            <v>6.4896255940651446E-2</v>
          </cell>
          <cell r="F690">
            <v>0.24738177570149189</v>
          </cell>
          <cell r="G690">
            <v>0</v>
          </cell>
          <cell r="H690">
            <v>5.9467449469358676E-2</v>
          </cell>
          <cell r="J690" t="str">
            <v>2003OK</v>
          </cell>
          <cell r="K690">
            <v>0.9351037440593486</v>
          </cell>
          <cell r="L690">
            <v>0</v>
          </cell>
          <cell r="M690">
            <v>6.4896255940651446E-2</v>
          </cell>
          <cell r="U690" t="str">
            <v>2003OK</v>
          </cell>
          <cell r="V690">
            <v>1.2831308E-2</v>
          </cell>
          <cell r="W690">
            <v>3.6793041999999998E-2</v>
          </cell>
          <cell r="X690">
            <v>6.2749109999999997E-2</v>
          </cell>
          <cell r="Y690">
            <v>0.57552135800000004</v>
          </cell>
          <cell r="Z690">
            <v>0.31210518199999998</v>
          </cell>
          <cell r="AB690" t="str">
            <v>2003OK</v>
          </cell>
          <cell r="AC690">
            <v>0</v>
          </cell>
          <cell r="AD690">
            <v>0</v>
          </cell>
          <cell r="AE690">
            <v>0.6</v>
          </cell>
          <cell r="AF690">
            <v>0.4</v>
          </cell>
        </row>
        <row r="691">
          <cell r="B691" t="str">
            <v>2003OR</v>
          </cell>
          <cell r="C691">
            <v>0.43856747008812064</v>
          </cell>
          <cell r="D691">
            <v>0.20958259090942544</v>
          </cell>
          <cell r="E691">
            <v>0</v>
          </cell>
          <cell r="F691">
            <v>0.12862948158709187</v>
          </cell>
          <cell r="G691">
            <v>0.2018533708975031</v>
          </cell>
          <cell r="H691">
            <v>2.1367086517858933E-2</v>
          </cell>
          <cell r="J691" t="str">
            <v>2003OR</v>
          </cell>
          <cell r="K691">
            <v>0.7981466291024969</v>
          </cell>
          <cell r="L691">
            <v>0.2018533708975031</v>
          </cell>
          <cell r="M691">
            <v>0</v>
          </cell>
          <cell r="U691" t="str">
            <v>2003OR</v>
          </cell>
          <cell r="V691">
            <v>0.57640796000000005</v>
          </cell>
          <cell r="W691">
            <v>1.863805E-2</v>
          </cell>
          <cell r="X691">
            <v>0.116911403</v>
          </cell>
          <cell r="Y691">
            <v>8.937792E-2</v>
          </cell>
          <cell r="Z691">
            <v>0.19866466699999999</v>
          </cell>
          <cell r="AB691" t="str">
            <v>2003OR</v>
          </cell>
          <cell r="AC691">
            <v>0</v>
          </cell>
          <cell r="AD691">
            <v>0</v>
          </cell>
          <cell r="AE691">
            <v>0.25</v>
          </cell>
          <cell r="AF691">
            <v>0.75</v>
          </cell>
        </row>
        <row r="692">
          <cell r="B692" t="str">
            <v>2003PA</v>
          </cell>
          <cell r="C692">
            <v>4.9624045569858895E-2</v>
          </cell>
          <cell r="D692">
            <v>0.11712497857538914</v>
          </cell>
          <cell r="E692">
            <v>0.46874549019831585</v>
          </cell>
          <cell r="F692">
            <v>0.25230966018477574</v>
          </cell>
          <cell r="G692">
            <v>8.8454910858433447E-2</v>
          </cell>
          <cell r="H692">
            <v>2.3740914613226898E-2</v>
          </cell>
          <cell r="J692" t="str">
            <v>2003PA</v>
          </cell>
          <cell r="K692">
            <v>0.44279959894325072</v>
          </cell>
          <cell r="L692">
            <v>8.8454910858433447E-2</v>
          </cell>
          <cell r="M692">
            <v>0.46874549019831585</v>
          </cell>
          <cell r="U692" t="str">
            <v>2003PA</v>
          </cell>
          <cell r="V692">
            <v>5.0102499000000002E-2</v>
          </cell>
          <cell r="W692">
            <v>4.9409870000000002E-2</v>
          </cell>
          <cell r="X692">
            <v>0.25392279899999998</v>
          </cell>
          <cell r="Y692">
            <v>0.17504710600000001</v>
          </cell>
          <cell r="Z692">
            <v>0.47151772600000003</v>
          </cell>
          <cell r="AB692" t="str">
            <v>2003PA</v>
          </cell>
          <cell r="AC692">
            <v>0</v>
          </cell>
          <cell r="AD692">
            <v>0</v>
          </cell>
          <cell r="AE692">
            <v>0</v>
          </cell>
          <cell r="AF692">
            <v>1</v>
          </cell>
        </row>
        <row r="693">
          <cell r="B693" t="str">
            <v>2003RI</v>
          </cell>
          <cell r="C693">
            <v>4.2447025005926793E-2</v>
          </cell>
          <cell r="D693">
            <v>0.1190174947032642</v>
          </cell>
          <cell r="E693">
            <v>0.46784468707451643</v>
          </cell>
          <cell r="F693">
            <v>0.25730854976835782</v>
          </cell>
          <cell r="G693">
            <v>8.7642343040085183E-2</v>
          </cell>
          <cell r="H693">
            <v>2.5739900407849584E-2</v>
          </cell>
          <cell r="J693" t="str">
            <v>2003RI</v>
          </cell>
          <cell r="K693">
            <v>0.44451296988539835</v>
          </cell>
          <cell r="L693">
            <v>8.7642343040085183E-2</v>
          </cell>
          <cell r="M693">
            <v>0.46784468707451643</v>
          </cell>
          <cell r="U693" t="str">
            <v>2003RI</v>
          </cell>
          <cell r="V693">
            <v>0.56026879500000004</v>
          </cell>
          <cell r="W693">
            <v>1.9348173E-2</v>
          </cell>
          <cell r="X693">
            <v>0.121365813</v>
          </cell>
          <cell r="Y693">
            <v>9.2783283999999994E-2</v>
          </cell>
          <cell r="Z693">
            <v>0.20623393500000001</v>
          </cell>
          <cell r="AB693" t="str">
            <v>2003RI</v>
          </cell>
          <cell r="AC693">
            <v>0</v>
          </cell>
          <cell r="AD693">
            <v>0</v>
          </cell>
          <cell r="AE693">
            <v>0.05</v>
          </cell>
          <cell r="AF693">
            <v>0.95</v>
          </cell>
        </row>
        <row r="694">
          <cell r="B694" t="str">
            <v>2003SC</v>
          </cell>
          <cell r="C694">
            <v>0.13346180610825578</v>
          </cell>
          <cell r="D694">
            <v>9.0019723091430845E-2</v>
          </cell>
          <cell r="E694">
            <v>0.15451296947775242</v>
          </cell>
          <cell r="F694">
            <v>8.0687406490411034E-2</v>
          </cell>
          <cell r="G694">
            <v>0.53771407690020812</v>
          </cell>
          <cell r="H694">
            <v>3.6040179319418398E-3</v>
          </cell>
          <cell r="J694" t="str">
            <v>2003SC</v>
          </cell>
          <cell r="K694">
            <v>0.30777295362203949</v>
          </cell>
          <cell r="L694">
            <v>0.53771407690020812</v>
          </cell>
          <cell r="M694">
            <v>0.15451296947775242</v>
          </cell>
          <cell r="U694" t="str">
            <v>2003SC</v>
          </cell>
          <cell r="V694">
            <v>6.1629585000000001E-2</v>
          </cell>
          <cell r="W694">
            <v>3.5823032999999997E-2</v>
          </cell>
          <cell r="X694">
            <v>8.6443989999999998E-2</v>
          </cell>
          <cell r="Y694">
            <v>0.50014727299999995</v>
          </cell>
          <cell r="Z694">
            <v>0.31595611899999998</v>
          </cell>
          <cell r="AB694" t="str">
            <v>2003SC</v>
          </cell>
          <cell r="AC694">
            <v>0</v>
          </cell>
          <cell r="AD694">
            <v>0</v>
          </cell>
          <cell r="AE694">
            <v>0.6</v>
          </cell>
          <cell r="AF694">
            <v>0.4</v>
          </cell>
        </row>
        <row r="695">
          <cell r="B695" t="str">
            <v>2003SD</v>
          </cell>
          <cell r="C695">
            <v>0.17608951911561277</v>
          </cell>
          <cell r="D695">
            <v>0.277831368160596</v>
          </cell>
          <cell r="E695">
            <v>7.9800561964795444E-2</v>
          </cell>
          <cell r="F695">
            <v>0.37802114842972712</v>
          </cell>
          <cell r="G695">
            <v>4.724510882492864E-2</v>
          </cell>
          <cell r="H695">
            <v>4.1012293504340026E-2</v>
          </cell>
          <cell r="J695" t="str">
            <v>2003SD</v>
          </cell>
          <cell r="K695">
            <v>0.87295432921027594</v>
          </cell>
          <cell r="L695">
            <v>4.724510882492864E-2</v>
          </cell>
          <cell r="M695">
            <v>7.9800561964795444E-2</v>
          </cell>
          <cell r="U695" t="str">
            <v>2003SD</v>
          </cell>
          <cell r="V695">
            <v>3.3046748000000001E-2</v>
          </cell>
          <cell r="W695">
            <v>5.1157264000000001E-2</v>
          </cell>
          <cell r="X695">
            <v>0.25755016600000002</v>
          </cell>
          <cell r="Y695">
            <v>0.17532273200000001</v>
          </cell>
          <cell r="Z695">
            <v>0.48292308900000003</v>
          </cell>
          <cell r="AB695" t="str">
            <v>2003SD</v>
          </cell>
          <cell r="AC695">
            <v>0</v>
          </cell>
          <cell r="AD695">
            <v>0</v>
          </cell>
          <cell r="AE695">
            <v>0.02</v>
          </cell>
          <cell r="AF695">
            <v>0.98</v>
          </cell>
        </row>
        <row r="696">
          <cell r="B696" t="str">
            <v>2003TN</v>
          </cell>
          <cell r="C696">
            <v>4.0519949592449485E-2</v>
          </cell>
          <cell r="D696">
            <v>8.9664149461423162E-2</v>
          </cell>
          <cell r="E696">
            <v>0.14551684926860037</v>
          </cell>
          <cell r="F696">
            <v>0.1170185785979804</v>
          </cell>
          <cell r="G696">
            <v>0.59108168584929244</v>
          </cell>
          <cell r="H696">
            <v>1.6198787230254148E-2</v>
          </cell>
          <cell r="J696" t="str">
            <v>2003TN</v>
          </cell>
          <cell r="K696">
            <v>0.26340146488210725</v>
          </cell>
          <cell r="L696">
            <v>0.59108168584929244</v>
          </cell>
          <cell r="M696">
            <v>0.14551684926860037</v>
          </cell>
          <cell r="U696" t="str">
            <v>2003TN</v>
          </cell>
          <cell r="V696">
            <v>0.102875089</v>
          </cell>
          <cell r="W696">
            <v>3.5402429999999999E-2</v>
          </cell>
          <cell r="X696">
            <v>0.119077104</v>
          </cell>
          <cell r="Y696">
            <v>0.41436515099999999</v>
          </cell>
          <cell r="Z696">
            <v>0.32828022600000001</v>
          </cell>
          <cell r="AB696" t="str">
            <v>2003TN</v>
          </cell>
          <cell r="AC696">
            <v>0</v>
          </cell>
          <cell r="AD696">
            <v>0</v>
          </cell>
          <cell r="AE696">
            <v>0.05</v>
          </cell>
          <cell r="AF696">
            <v>0.95</v>
          </cell>
        </row>
        <row r="697">
          <cell r="B697" t="str">
            <v>2003TX</v>
          </cell>
          <cell r="C697">
            <v>0.53305655520056971</v>
          </cell>
          <cell r="D697">
            <v>0.24233312613196878</v>
          </cell>
          <cell r="E697">
            <v>7.9791980793249173E-2</v>
          </cell>
          <cell r="F697">
            <v>0.1278405091499755</v>
          </cell>
          <cell r="G697">
            <v>0</v>
          </cell>
          <cell r="H697">
            <v>1.6977828724236681E-2</v>
          </cell>
          <cell r="J697" t="str">
            <v>2003TX</v>
          </cell>
          <cell r="K697">
            <v>0.92020801920675077</v>
          </cell>
          <cell r="L697">
            <v>0</v>
          </cell>
          <cell r="M697">
            <v>7.9791980793249173E-2</v>
          </cell>
          <cell r="U697" t="str">
            <v>2003TX</v>
          </cell>
          <cell r="V697">
            <v>6.9632535999999995E-2</v>
          </cell>
          <cell r="W697">
            <v>3.4700662E-2</v>
          </cell>
          <cell r="X697">
            <v>5.9917572000000002E-2</v>
          </cell>
          <cell r="Y697">
            <v>0.54104196599999999</v>
          </cell>
          <cell r="Z697">
            <v>0.29470726400000002</v>
          </cell>
          <cell r="AB697" t="str">
            <v>2003TX</v>
          </cell>
          <cell r="AC697">
            <v>0</v>
          </cell>
          <cell r="AD697">
            <v>0</v>
          </cell>
          <cell r="AE697">
            <v>0.12</v>
          </cell>
          <cell r="AF697">
            <v>0.88</v>
          </cell>
        </row>
        <row r="698">
          <cell r="B698" t="str">
            <v>2003UT</v>
          </cell>
          <cell r="C698">
            <v>0.51165623152884221</v>
          </cell>
          <cell r="D698">
            <v>0.26394677259150623</v>
          </cell>
          <cell r="E698">
            <v>1.3999177703951423E-2</v>
          </cell>
          <cell r="F698">
            <v>0.17036034814732054</v>
          </cell>
          <cell r="G698">
            <v>8.2880703819413898E-3</v>
          </cell>
          <cell r="H698">
            <v>3.1749399646438282E-2</v>
          </cell>
          <cell r="J698" t="str">
            <v>2003UT</v>
          </cell>
          <cell r="K698">
            <v>0.97771275191410723</v>
          </cell>
          <cell r="L698">
            <v>8.2880703819413898E-3</v>
          </cell>
          <cell r="M698">
            <v>1.3999177703951423E-2</v>
          </cell>
          <cell r="U698" t="str">
            <v>2003UT</v>
          </cell>
          <cell r="V698">
            <v>8.6456620000000001E-3</v>
          </cell>
          <cell r="W698">
            <v>5.5424775000000003E-2</v>
          </cell>
          <cell r="X698">
            <v>0.260824848</v>
          </cell>
          <cell r="Y698">
            <v>0.16982515300000001</v>
          </cell>
          <cell r="Z698">
            <v>0.50527956200000002</v>
          </cell>
          <cell r="AB698" t="str">
            <v>2003UT</v>
          </cell>
          <cell r="AC698">
            <v>0</v>
          </cell>
          <cell r="AD698">
            <v>0</v>
          </cell>
          <cell r="AE698">
            <v>0.6</v>
          </cell>
          <cell r="AF698">
            <v>0.4</v>
          </cell>
        </row>
        <row r="699">
          <cell r="B699" t="str">
            <v>2003VT</v>
          </cell>
          <cell r="C699">
            <v>9.9973781354903396E-2</v>
          </cell>
          <cell r="D699">
            <v>0.17387691112967565</v>
          </cell>
          <cell r="E699">
            <v>0.44423932842492886</v>
          </cell>
          <cell r="F699">
            <v>0.19448861844630186</v>
          </cell>
          <cell r="G699">
            <v>6.6349172232328182E-2</v>
          </cell>
          <cell r="H699">
            <v>2.1072188411862088E-2</v>
          </cell>
          <cell r="J699" t="str">
            <v>2003VT</v>
          </cell>
          <cell r="K699">
            <v>0.48941149934274297</v>
          </cell>
          <cell r="L699">
            <v>6.6349172232328182E-2</v>
          </cell>
          <cell r="M699">
            <v>0.44423932842492886</v>
          </cell>
          <cell r="U699" t="str">
            <v>2003VT</v>
          </cell>
          <cell r="V699">
            <v>0.86037974299999997</v>
          </cell>
          <cell r="W699">
            <v>6.1432910000000004E-3</v>
          </cell>
          <cell r="X699">
            <v>3.8535191000000003E-2</v>
          </cell>
          <cell r="Y699">
            <v>2.9459874E-2</v>
          </cell>
          <cell r="Z699">
            <v>6.5481899999999996E-2</v>
          </cell>
          <cell r="AB699" t="str">
            <v>2003VT</v>
          </cell>
          <cell r="AC699">
            <v>0</v>
          </cell>
          <cell r="AD699">
            <v>0</v>
          </cell>
          <cell r="AE699">
            <v>0.05</v>
          </cell>
          <cell r="AF699">
            <v>0.95</v>
          </cell>
        </row>
        <row r="700">
          <cell r="B700" t="str">
            <v>2003VA</v>
          </cell>
          <cell r="C700">
            <v>4.4953509549794296E-2</v>
          </cell>
          <cell r="D700">
            <v>9.339670802378576E-2</v>
          </cell>
          <cell r="E700">
            <v>0.14844092890155638</v>
          </cell>
          <cell r="F700">
            <v>0.12331550684410268</v>
          </cell>
          <cell r="G700">
            <v>0.5737351926100378</v>
          </cell>
          <cell r="H700">
            <v>1.6158154070723133E-2</v>
          </cell>
          <cell r="J700" t="str">
            <v>2003VA</v>
          </cell>
          <cell r="K700">
            <v>0.27782387848840584</v>
          </cell>
          <cell r="L700">
            <v>0.5737351926100378</v>
          </cell>
          <cell r="M700">
            <v>0.14844092890155638</v>
          </cell>
          <cell r="U700" t="str">
            <v>2003VA</v>
          </cell>
          <cell r="V700">
            <v>3.3934871999999998E-2</v>
          </cell>
          <cell r="W700">
            <v>3.6244844999999998E-2</v>
          </cell>
          <cell r="X700">
            <v>6.8933026999999994E-2</v>
          </cell>
          <cell r="Y700">
            <v>0.550040046</v>
          </cell>
          <cell r="Z700">
            <v>0.31084721100000001</v>
          </cell>
          <cell r="AB700" t="str">
            <v>2003VA</v>
          </cell>
          <cell r="AC700">
            <v>0</v>
          </cell>
          <cell r="AD700">
            <v>0</v>
          </cell>
          <cell r="AE700">
            <v>0.05</v>
          </cell>
          <cell r="AF700">
            <v>0.95</v>
          </cell>
        </row>
        <row r="701">
          <cell r="B701" t="str">
            <v>2003WA</v>
          </cell>
          <cell r="C701">
            <v>0.48742079910802349</v>
          </cell>
          <cell r="D701">
            <v>0.21961274491816118</v>
          </cell>
          <cell r="E701">
            <v>0</v>
          </cell>
          <cell r="F701">
            <v>0.11254281869932067</v>
          </cell>
          <cell r="G701">
            <v>0.16627589127589129</v>
          </cell>
          <cell r="H701">
            <v>1.4147745998603438E-2</v>
          </cell>
          <cell r="J701" t="str">
            <v>2003WA</v>
          </cell>
          <cell r="K701">
            <v>0.83372410872410874</v>
          </cell>
          <cell r="L701">
            <v>0.16627589127589129</v>
          </cell>
          <cell r="M701">
            <v>0</v>
          </cell>
          <cell r="U701" t="str">
            <v>2003WA</v>
          </cell>
          <cell r="V701">
            <v>0.37353494700000001</v>
          </cell>
          <cell r="W701">
            <v>3.1263627000000002E-2</v>
          </cell>
          <cell r="X701">
            <v>0.168896926</v>
          </cell>
          <cell r="Y701">
            <v>0.119853577</v>
          </cell>
          <cell r="Z701">
            <v>0.30645092299999999</v>
          </cell>
          <cell r="AB701" t="str">
            <v>2003WA</v>
          </cell>
          <cell r="AC701">
            <v>0</v>
          </cell>
          <cell r="AD701">
            <v>0</v>
          </cell>
          <cell r="AE701">
            <v>0.12</v>
          </cell>
          <cell r="AF701">
            <v>0.88</v>
          </cell>
        </row>
        <row r="702">
          <cell r="B702" t="str">
            <v>2003WV</v>
          </cell>
          <cell r="C702">
            <v>6.8751812683186322E-2</v>
          </cell>
          <cell r="D702">
            <v>0.15888641455628993</v>
          </cell>
          <cell r="E702">
            <v>0.44831485363191043</v>
          </cell>
          <cell r="F702">
            <v>0.22633984896592482</v>
          </cell>
          <cell r="G702">
            <v>7.0025492327769459E-2</v>
          </cell>
          <cell r="H702">
            <v>2.7681577834919095E-2</v>
          </cell>
          <cell r="J702" t="str">
            <v>2003WV</v>
          </cell>
          <cell r="K702">
            <v>0.48165965404032007</v>
          </cell>
          <cell r="L702">
            <v>7.0025492327769459E-2</v>
          </cell>
          <cell r="M702">
            <v>0.44831485363191043</v>
          </cell>
          <cell r="U702" t="str">
            <v>2003WV</v>
          </cell>
          <cell r="V702">
            <v>0.57920187499999998</v>
          </cell>
          <cell r="W702">
            <v>2.1256934000000002E-2</v>
          </cell>
          <cell r="X702">
            <v>0.113169981</v>
          </cell>
          <cell r="Y702">
            <v>7.9649016000000003E-2</v>
          </cell>
          <cell r="Z702">
            <v>0.206722194</v>
          </cell>
          <cell r="AB702" t="str">
            <v>2003WV</v>
          </cell>
          <cell r="AC702">
            <v>0</v>
          </cell>
          <cell r="AD702">
            <v>0</v>
          </cell>
          <cell r="AE702">
            <v>0.05</v>
          </cell>
          <cell r="AF702">
            <v>0.95</v>
          </cell>
        </row>
        <row r="703">
          <cell r="B703" t="str">
            <v>2003WI</v>
          </cell>
          <cell r="C703">
            <v>0.12203432597344931</v>
          </cell>
          <cell r="D703">
            <v>0.23555629715568294</v>
          </cell>
          <cell r="E703">
            <v>0.11540173598404266</v>
          </cell>
          <cell r="F703">
            <v>0.42032708364290838</v>
          </cell>
          <cell r="G703">
            <v>6.8322420806473022E-2</v>
          </cell>
          <cell r="H703">
            <v>3.8358136437443673E-2</v>
          </cell>
          <cell r="J703" t="str">
            <v>2003WI</v>
          </cell>
          <cell r="K703">
            <v>0.81627584320948432</v>
          </cell>
          <cell r="L703">
            <v>6.8322420806473022E-2</v>
          </cell>
          <cell r="M703">
            <v>0.11540173598404266</v>
          </cell>
          <cell r="U703" t="str">
            <v>2003WI</v>
          </cell>
          <cell r="V703">
            <v>0.12883246500000001</v>
          </cell>
          <cell r="W703">
            <v>4.2564396999999997E-2</v>
          </cell>
          <cell r="X703">
            <v>0.23585646199999999</v>
          </cell>
          <cell r="Y703">
            <v>0.16970626599999999</v>
          </cell>
          <cell r="Z703">
            <v>0.42304040999999998</v>
          </cell>
          <cell r="AB703" t="str">
            <v>2003WI</v>
          </cell>
          <cell r="AC703">
            <v>0</v>
          </cell>
          <cell r="AD703">
            <v>0</v>
          </cell>
          <cell r="AE703">
            <v>0.02</v>
          </cell>
          <cell r="AF703">
            <v>0.98</v>
          </cell>
        </row>
        <row r="704">
          <cell r="B704" t="str">
            <v>2003WY</v>
          </cell>
          <cell r="C704">
            <v>0.29508724522063295</v>
          </cell>
          <cell r="D704">
            <v>0.23251729773373622</v>
          </cell>
          <cell r="E704">
            <v>0.12161775942187937</v>
          </cell>
          <cell r="F704">
            <v>0.2207502472879718</v>
          </cell>
          <cell r="G704">
            <v>7.2002554085590281E-2</v>
          </cell>
          <cell r="H704">
            <v>5.8024896250189507E-2</v>
          </cell>
          <cell r="J704" t="str">
            <v>2003WY</v>
          </cell>
          <cell r="K704">
            <v>0.80637968649253033</v>
          </cell>
          <cell r="L704">
            <v>7.2002554085590281E-2</v>
          </cell>
          <cell r="M704">
            <v>0.12161775942187937</v>
          </cell>
          <cell r="U704" t="str">
            <v>2003WY</v>
          </cell>
          <cell r="V704">
            <v>3.2109568999999998E-2</v>
          </cell>
          <cell r="W704">
            <v>5.3596850000000001E-2</v>
          </cell>
          <cell r="X704">
            <v>0.25521061499999997</v>
          </cell>
          <cell r="Y704">
            <v>0.16752597599999999</v>
          </cell>
          <cell r="Z704">
            <v>0.49155699000000003</v>
          </cell>
          <cell r="AB704" t="str">
            <v>2003WY</v>
          </cell>
          <cell r="AC704">
            <v>0</v>
          </cell>
          <cell r="AD704">
            <v>0</v>
          </cell>
          <cell r="AE704">
            <v>0.6</v>
          </cell>
          <cell r="AF704">
            <v>0.4</v>
          </cell>
        </row>
        <row r="705">
          <cell r="B705" t="str">
            <v>2004AL</v>
          </cell>
          <cell r="C705">
            <v>0.17233560131521788</v>
          </cell>
          <cell r="D705">
            <v>9.7606154746872412E-2</v>
          </cell>
          <cell r="E705">
            <v>0.16919346457207346</v>
          </cell>
          <cell r="F705">
            <v>0.1056405325382436</v>
          </cell>
          <cell r="G705">
            <v>0.45062509818962659</v>
          </cell>
          <cell r="H705">
            <v>4.5991486379660445E-3</v>
          </cell>
          <cell r="J705" t="str">
            <v>2004AL</v>
          </cell>
          <cell r="K705">
            <v>0.38018143723829989</v>
          </cell>
          <cell r="L705">
            <v>0.45062509818962659</v>
          </cell>
          <cell r="M705">
            <v>0.16919346457207346</v>
          </cell>
          <cell r="U705" t="str">
            <v>2004AL</v>
          </cell>
          <cell r="V705">
            <v>5.3114938E-2</v>
          </cell>
          <cell r="W705">
            <v>3.6058960000000001E-2</v>
          </cell>
          <cell r="X705">
            <v>8.4414527000000003E-2</v>
          </cell>
          <cell r="Y705">
            <v>0.50961295299999998</v>
          </cell>
          <cell r="Z705">
            <v>0.316798623</v>
          </cell>
          <cell r="AB705" t="str">
            <v>2004AL</v>
          </cell>
          <cell r="AC705">
            <v>0</v>
          </cell>
          <cell r="AD705">
            <v>0</v>
          </cell>
          <cell r="AE705">
            <v>0.41899999999999998</v>
          </cell>
          <cell r="AF705">
            <v>0.58099999999999996</v>
          </cell>
        </row>
        <row r="706">
          <cell r="B706" t="str">
            <v>2004AK</v>
          </cell>
          <cell r="C706">
            <v>0.30334484066413492</v>
          </cell>
          <cell r="D706">
            <v>0.23769937716735701</v>
          </cell>
          <cell r="E706">
            <v>6.205843688929364E-2</v>
          </cell>
          <cell r="F706">
            <v>0.28363994741136878</v>
          </cell>
          <cell r="G706">
            <v>3.6741064625999714E-2</v>
          </cell>
          <cell r="H706">
            <v>7.6516333241846021E-2</v>
          </cell>
          <cell r="J706" t="str">
            <v>2004AK</v>
          </cell>
          <cell r="K706">
            <v>0.90120049848470662</v>
          </cell>
          <cell r="L706">
            <v>3.6741064625999714E-2</v>
          </cell>
          <cell r="M706">
            <v>6.205843688929364E-2</v>
          </cell>
          <cell r="U706" t="str">
            <v>2004AK</v>
          </cell>
          <cell r="V706">
            <v>0.52632575500000001</v>
          </cell>
          <cell r="W706">
            <v>2.0841667000000001E-2</v>
          </cell>
          <cell r="X706">
            <v>0.130734092</v>
          </cell>
          <cell r="Y706">
            <v>9.9945266000000005E-2</v>
          </cell>
          <cell r="Z706">
            <v>0.22215322100000001</v>
          </cell>
          <cell r="AB706" t="str">
            <v>2004AK</v>
          </cell>
          <cell r="AC706">
            <v>0</v>
          </cell>
          <cell r="AD706">
            <v>0</v>
          </cell>
          <cell r="AE706">
            <v>0.25</v>
          </cell>
          <cell r="AF706">
            <v>0.75</v>
          </cell>
        </row>
        <row r="707">
          <cell r="B707" t="str">
            <v>2004AZ</v>
          </cell>
          <cell r="C707">
            <v>0.611220636654217</v>
          </cell>
          <cell r="D707">
            <v>0.19572797693407004</v>
          </cell>
          <cell r="E707">
            <v>9.865488383487428E-2</v>
          </cell>
          <cell r="F707">
            <v>9.3890669243012675E-2</v>
          </cell>
          <cell r="G707">
            <v>0</v>
          </cell>
          <cell r="H707">
            <v>5.0583333382575558E-4</v>
          </cell>
          <cell r="J707" t="str">
            <v>2004AZ</v>
          </cell>
          <cell r="K707">
            <v>0.90134511616512569</v>
          </cell>
          <cell r="L707">
            <v>0</v>
          </cell>
          <cell r="M707">
            <v>9.865488383487428E-2</v>
          </cell>
          <cell r="U707" t="str">
            <v>2004AZ</v>
          </cell>
          <cell r="V707">
            <v>0.136592664</v>
          </cell>
          <cell r="W707">
            <v>3.2171241000000003E-2</v>
          </cell>
          <cell r="X707">
            <v>5.4596316999999998E-2</v>
          </cell>
          <cell r="Y707">
            <v>0.50386894699999996</v>
          </cell>
          <cell r="Z707">
            <v>0.27277083200000002</v>
          </cell>
          <cell r="AB707" t="str">
            <v>2004AZ</v>
          </cell>
          <cell r="AC707">
            <v>0</v>
          </cell>
          <cell r="AD707">
            <v>0</v>
          </cell>
          <cell r="AE707">
            <v>0.6</v>
          </cell>
          <cell r="AF707">
            <v>0.4</v>
          </cell>
        </row>
        <row r="708">
          <cell r="B708" t="str">
            <v>2004AR</v>
          </cell>
          <cell r="C708">
            <v>9.6391342329605903E-2</v>
          </cell>
          <cell r="D708">
            <v>6.6955456596874061E-2</v>
          </cell>
          <cell r="E708">
            <v>0.14888335780531528</v>
          </cell>
          <cell r="F708">
            <v>0.11118804006195876</v>
          </cell>
          <cell r="G708">
            <v>0.57111057531117648</v>
          </cell>
          <cell r="H708">
            <v>5.4712278950695761E-3</v>
          </cell>
          <cell r="J708" t="str">
            <v>2004AR</v>
          </cell>
          <cell r="K708">
            <v>0.28000606688350826</v>
          </cell>
          <cell r="L708">
            <v>0.57111057531117648</v>
          </cell>
          <cell r="M708">
            <v>0.14888335780531528</v>
          </cell>
          <cell r="U708" t="str">
            <v>2004AR</v>
          </cell>
          <cell r="V708">
            <v>3.9459004999999998E-2</v>
          </cell>
          <cell r="W708">
            <v>3.7640482000000003E-2</v>
          </cell>
          <cell r="X708">
            <v>0.11914443199999999</v>
          </cell>
          <cell r="Y708">
            <v>0.45827781299999998</v>
          </cell>
          <cell r="Z708">
            <v>0.34547826799999998</v>
          </cell>
          <cell r="AB708" t="str">
            <v>2004AR</v>
          </cell>
          <cell r="AC708">
            <v>0</v>
          </cell>
          <cell r="AD708">
            <v>0</v>
          </cell>
          <cell r="AE708">
            <v>0</v>
          </cell>
          <cell r="AF708">
            <v>1</v>
          </cell>
        </row>
        <row r="709">
          <cell r="B709" t="str">
            <v>2004CA</v>
          </cell>
          <cell r="C709">
            <v>0.58081862489107328</v>
          </cell>
          <cell r="D709">
            <v>0.20720345916912225</v>
          </cell>
          <cell r="E709">
            <v>0.10801924509893834</v>
          </cell>
          <cell r="F709">
            <v>9.2431120719429966E-2</v>
          </cell>
          <cell r="G709">
            <v>9.2523577326630076E-3</v>
          </cell>
          <cell r="H709">
            <v>2.2751923887731596E-3</v>
          </cell>
          <cell r="J709" t="str">
            <v>2004CA</v>
          </cell>
          <cell r="K709">
            <v>0.88272839716839868</v>
          </cell>
          <cell r="L709">
            <v>9.2523577326630076E-3</v>
          </cell>
          <cell r="M709">
            <v>0.10801924509893834</v>
          </cell>
          <cell r="U709" t="str">
            <v>2004CA</v>
          </cell>
          <cell r="V709">
            <v>0.133799526</v>
          </cell>
          <cell r="W709">
            <v>3.2941353E-2</v>
          </cell>
          <cell r="X709">
            <v>7.5800703999999997E-2</v>
          </cell>
          <cell r="Y709">
            <v>0.46867659099999998</v>
          </cell>
          <cell r="Z709">
            <v>0.28878182499999999</v>
          </cell>
          <cell r="AB709" t="str">
            <v>2004CA</v>
          </cell>
          <cell r="AC709">
            <v>0</v>
          </cell>
          <cell r="AD709">
            <v>0</v>
          </cell>
          <cell r="AE709">
            <v>0.12</v>
          </cell>
          <cell r="AF709">
            <v>0.88</v>
          </cell>
        </row>
        <row r="710">
          <cell r="B710" t="str">
            <v>2004CO</v>
          </cell>
          <cell r="C710">
            <v>0.61667904285785091</v>
          </cell>
          <cell r="D710">
            <v>0.24212893570430052</v>
          </cell>
          <cell r="E710">
            <v>1.1092391745361967E-2</v>
          </cell>
          <cell r="F710">
            <v>0.11516410971780773</v>
          </cell>
          <cell r="G710">
            <v>6.5671374014829543E-3</v>
          </cell>
          <cell r="H710">
            <v>8.3683825731959392E-3</v>
          </cell>
          <cell r="J710" t="str">
            <v>2004CO</v>
          </cell>
          <cell r="K710">
            <v>0.98234047085315512</v>
          </cell>
          <cell r="L710">
            <v>6.5671374014829543E-3</v>
          </cell>
          <cell r="M710">
            <v>1.1092391745361967E-2</v>
          </cell>
          <cell r="U710" t="str">
            <v>2004CO</v>
          </cell>
          <cell r="V710">
            <v>2.3378138E-2</v>
          </cell>
          <cell r="W710">
            <v>5.3880426000000002E-2</v>
          </cell>
          <cell r="X710">
            <v>0.25772948099999998</v>
          </cell>
          <cell r="Y710">
            <v>0.169703665</v>
          </cell>
          <cell r="Z710">
            <v>0.49530828999999998</v>
          </cell>
          <cell r="AB710" t="str">
            <v>2004CO</v>
          </cell>
          <cell r="AC710">
            <v>0</v>
          </cell>
          <cell r="AD710">
            <v>0</v>
          </cell>
          <cell r="AE710">
            <v>0.6</v>
          </cell>
          <cell r="AF710">
            <v>0.4</v>
          </cell>
        </row>
        <row r="711">
          <cell r="B711" t="str">
            <v>2004CT</v>
          </cell>
          <cell r="C711">
            <v>0.11572842393252261</v>
          </cell>
          <cell r="D711">
            <v>0.20119880615243968</v>
          </cell>
          <cell r="E711">
            <v>0.43233999756560143</v>
          </cell>
          <cell r="F711">
            <v>0.17234541515575838</v>
          </cell>
          <cell r="G711">
            <v>5.5615402487630847E-2</v>
          </cell>
          <cell r="H711">
            <v>2.2771954706046996E-2</v>
          </cell>
          <cell r="J711" t="str">
            <v>2004CT</v>
          </cell>
          <cell r="K711">
            <v>0.51204459994676776</v>
          </cell>
          <cell r="L711">
            <v>5.5615402487630847E-2</v>
          </cell>
          <cell r="M711">
            <v>0.43233999756560143</v>
          </cell>
          <cell r="U711" t="str">
            <v>2004CT</v>
          </cell>
          <cell r="V711">
            <v>0.57363861400000005</v>
          </cell>
          <cell r="W711">
            <v>1.8759900999999999E-2</v>
          </cell>
          <cell r="X711">
            <v>0.117675743</v>
          </cell>
          <cell r="Y711">
            <v>8.9962252000000006E-2</v>
          </cell>
          <cell r="Z711">
            <v>0.19996348999999999</v>
          </cell>
          <cell r="AB711" t="str">
            <v>2004CT</v>
          </cell>
          <cell r="AC711">
            <v>0</v>
          </cell>
          <cell r="AD711">
            <v>0</v>
          </cell>
          <cell r="AE711">
            <v>0.05</v>
          </cell>
          <cell r="AF711">
            <v>0.95</v>
          </cell>
        </row>
        <row r="712">
          <cell r="B712" t="str">
            <v>2004DE</v>
          </cell>
          <cell r="C712">
            <v>0.10201653895343663</v>
          </cell>
          <cell r="D712">
            <v>0.1910091905838856</v>
          </cell>
          <cell r="E712">
            <v>0.43707162937473454</v>
          </cell>
          <cell r="F712">
            <v>0.18637975788177577</v>
          </cell>
          <cell r="G712">
            <v>5.9883562349419175E-2</v>
          </cell>
          <cell r="H712">
            <v>2.3639320856748244E-2</v>
          </cell>
          <cell r="J712" t="str">
            <v>2004DE</v>
          </cell>
          <cell r="K712">
            <v>0.5030448082758463</v>
          </cell>
          <cell r="L712">
            <v>5.9883562349419175E-2</v>
          </cell>
          <cell r="M712">
            <v>0.43707162937473454</v>
          </cell>
          <cell r="U712" t="str">
            <v>2004DE</v>
          </cell>
          <cell r="V712">
            <v>0.120253529</v>
          </cell>
          <cell r="W712">
            <v>4.1631153999999997E-2</v>
          </cell>
          <cell r="X712">
            <v>0.23964419100000001</v>
          </cell>
          <cell r="Y712">
            <v>0.17588547500000001</v>
          </cell>
          <cell r="Z712">
            <v>0.42258565100000001</v>
          </cell>
          <cell r="AB712" t="str">
            <v>2004DE</v>
          </cell>
          <cell r="AC712">
            <v>0</v>
          </cell>
          <cell r="AD712">
            <v>0</v>
          </cell>
          <cell r="AE712">
            <v>0.05</v>
          </cell>
          <cell r="AF712">
            <v>0.95</v>
          </cell>
        </row>
        <row r="713">
          <cell r="B713" t="str">
            <v>2004FL</v>
          </cell>
          <cell r="C713">
            <v>0.38654865924430459</v>
          </cell>
          <cell r="D713">
            <v>0.14503983167997814</v>
          </cell>
          <cell r="E713">
            <v>0.21616400084919535</v>
          </cell>
          <cell r="F713">
            <v>7.8997496757044303E-2</v>
          </cell>
          <cell r="G713">
            <v>0.17198217725399226</v>
          </cell>
          <cell r="H713">
            <v>1.2678342154852779E-3</v>
          </cell>
          <cell r="J713" t="str">
            <v>2004FL</v>
          </cell>
          <cell r="K713">
            <v>0.61185382189681237</v>
          </cell>
          <cell r="L713">
            <v>0.17198217725399226</v>
          </cell>
          <cell r="M713">
            <v>0.21616400084919535</v>
          </cell>
          <cell r="U713" t="str">
            <v>2004FL</v>
          </cell>
          <cell r="V713">
            <v>0.71166924399999998</v>
          </cell>
          <cell r="W713">
            <v>1.2686553E-2</v>
          </cell>
          <cell r="X713">
            <v>7.9579288999999998E-2</v>
          </cell>
          <cell r="Y713">
            <v>6.0837789000000003E-2</v>
          </cell>
          <cell r="Z713">
            <v>0.135227124</v>
          </cell>
          <cell r="AB713" t="str">
            <v>2004FL</v>
          </cell>
          <cell r="AC713">
            <v>0</v>
          </cell>
          <cell r="AD713">
            <v>0</v>
          </cell>
          <cell r="AE713">
            <v>0.41899999999999998</v>
          </cell>
          <cell r="AF713">
            <v>0.58099999999999996</v>
          </cell>
        </row>
        <row r="714">
          <cell r="B714" t="str">
            <v>2004GA</v>
          </cell>
          <cell r="C714">
            <v>0.20823216155586291</v>
          </cell>
          <cell r="D714">
            <v>0.11033206176717186</v>
          </cell>
          <cell r="E714">
            <v>0.17733204084631207</v>
          </cell>
          <cell r="F714">
            <v>9.7862793659120595E-2</v>
          </cell>
          <cell r="G714">
            <v>0.40234468997942996</v>
          </cell>
          <cell r="H714">
            <v>3.8962521921025758E-3</v>
          </cell>
          <cell r="J714" t="str">
            <v>2004GA</v>
          </cell>
          <cell r="K714">
            <v>0.420323269174258</v>
          </cell>
          <cell r="L714">
            <v>0.40234468997942996</v>
          </cell>
          <cell r="M714">
            <v>0.17733204084631207</v>
          </cell>
          <cell r="U714" t="str">
            <v>2004GA</v>
          </cell>
          <cell r="V714">
            <v>7.8133266000000007E-2</v>
          </cell>
          <cell r="W714">
            <v>3.5587817000000001E-2</v>
          </cell>
          <cell r="X714">
            <v>9.7388838000000005E-2</v>
          </cell>
          <cell r="Y714">
            <v>0.46952270200000001</v>
          </cell>
          <cell r="Z714">
            <v>0.31936737799999998</v>
          </cell>
          <cell r="AB714" t="str">
            <v>2004GA</v>
          </cell>
          <cell r="AC714">
            <v>0</v>
          </cell>
          <cell r="AD714">
            <v>0</v>
          </cell>
          <cell r="AE714">
            <v>0.41899999999999998</v>
          </cell>
          <cell r="AF714">
            <v>0.58099999999999996</v>
          </cell>
        </row>
        <row r="715">
          <cell r="B715" t="str">
            <v>2004HI</v>
          </cell>
          <cell r="C715">
            <v>0.67137224197860923</v>
          </cell>
          <cell r="D715">
            <v>0.21100034068527662</v>
          </cell>
          <cell r="E715">
            <v>0</v>
          </cell>
          <cell r="F715">
            <v>0.10820426646618357</v>
          </cell>
          <cell r="G715">
            <v>7.5112148308577572E-3</v>
          </cell>
          <cell r="H715">
            <v>1.9119360390725836E-3</v>
          </cell>
          <cell r="J715" t="str">
            <v>2004HI</v>
          </cell>
          <cell r="K715">
            <v>0.9924887851691423</v>
          </cell>
          <cell r="L715">
            <v>7.5112148308577572E-3</v>
          </cell>
          <cell r="M715">
            <v>0</v>
          </cell>
          <cell r="U715" t="str">
            <v>2004HI</v>
          </cell>
          <cell r="V715">
            <v>0.23216878499999999</v>
          </cell>
          <cell r="W715">
            <v>3.2904865999999998E-2</v>
          </cell>
          <cell r="X715">
            <v>0.18414778700000001</v>
          </cell>
          <cell r="Y715">
            <v>0.21064765399999999</v>
          </cell>
          <cell r="Z715">
            <v>0.34013090899999998</v>
          </cell>
          <cell r="AB715" t="str">
            <v>2004HI</v>
          </cell>
          <cell r="AC715">
            <v>0</v>
          </cell>
          <cell r="AD715">
            <v>0</v>
          </cell>
          <cell r="AE715">
            <v>0.25</v>
          </cell>
          <cell r="AF715">
            <v>0.75</v>
          </cell>
        </row>
        <row r="716">
          <cell r="B716" t="str">
            <v>2004ID</v>
          </cell>
          <cell r="C716">
            <v>0.62850843440764703</v>
          </cell>
          <cell r="D716">
            <v>0.2329683972033782</v>
          </cell>
          <cell r="E716">
            <v>6.4436683947772669E-3</v>
          </cell>
          <cell r="F716">
            <v>0.11961222721284216</v>
          </cell>
          <cell r="G716">
            <v>3.8149081541218642E-3</v>
          </cell>
          <cell r="H716">
            <v>8.6523646272333287E-3</v>
          </cell>
          <cell r="J716" t="str">
            <v>2004ID</v>
          </cell>
          <cell r="K716">
            <v>0.98974142345110083</v>
          </cell>
          <cell r="L716">
            <v>3.8149081541218642E-3</v>
          </cell>
          <cell r="M716">
            <v>6.4436683947772669E-3</v>
          </cell>
          <cell r="U716" t="str">
            <v>2004ID</v>
          </cell>
          <cell r="V716">
            <v>0.460837895</v>
          </cell>
          <cell r="W716">
            <v>2.6974237000000002E-2</v>
          </cell>
          <cell r="X716">
            <v>0.14528671200000001</v>
          </cell>
          <cell r="Y716">
            <v>0.102926191</v>
          </cell>
          <cell r="Z716">
            <v>0.26397496599999998</v>
          </cell>
          <cell r="AB716" t="str">
            <v>2004ID</v>
          </cell>
          <cell r="AC716">
            <v>0</v>
          </cell>
          <cell r="AD716">
            <v>0</v>
          </cell>
          <cell r="AE716">
            <v>0.6</v>
          </cell>
          <cell r="AF716">
            <v>0.4</v>
          </cell>
        </row>
        <row r="717">
          <cell r="B717" t="str">
            <v>2004IL</v>
          </cell>
          <cell r="C717">
            <v>0.13175283144497188</v>
          </cell>
          <cell r="D717">
            <v>0.26046159534668961</v>
          </cell>
          <cell r="E717">
            <v>8.1383349234931596E-2</v>
          </cell>
          <cell r="F717">
            <v>0.43207247933210829</v>
          </cell>
          <cell r="G717">
            <v>4.8182181885357514E-2</v>
          </cell>
          <cell r="H717">
            <v>4.6147562755941125E-2</v>
          </cell>
          <cell r="J717" t="str">
            <v>2004IL</v>
          </cell>
          <cell r="K717">
            <v>0.87043446887971088</v>
          </cell>
          <cell r="L717">
            <v>4.8182181885357514E-2</v>
          </cell>
          <cell r="M717">
            <v>8.1383349234931596E-2</v>
          </cell>
          <cell r="U717" t="str">
            <v>2004IL</v>
          </cell>
          <cell r="V717">
            <v>2.0186552999999999E-2</v>
          </cell>
          <cell r="W717">
            <v>4.5739502000000001E-2</v>
          </cell>
          <cell r="X717">
            <v>0.28028242399999997</v>
          </cell>
          <cell r="Y717">
            <v>0.149587944</v>
          </cell>
          <cell r="Z717">
            <v>0.50420357699999996</v>
          </cell>
          <cell r="AB717" t="str">
            <v>2004IL</v>
          </cell>
          <cell r="AC717">
            <v>0</v>
          </cell>
          <cell r="AD717">
            <v>0</v>
          </cell>
          <cell r="AE717">
            <v>0.02</v>
          </cell>
          <cell r="AF717">
            <v>0.98</v>
          </cell>
        </row>
        <row r="718">
          <cell r="B718" t="str">
            <v>2004IN</v>
          </cell>
          <cell r="C718">
            <v>0.16189917384296076</v>
          </cell>
          <cell r="D718">
            <v>0.24163212738244233</v>
          </cell>
          <cell r="E718">
            <v>0.13392208737361183</v>
          </cell>
          <cell r="F718">
            <v>0.3491044693998876</v>
          </cell>
          <cell r="G718">
            <v>7.9287205957511472E-2</v>
          </cell>
          <cell r="H718">
            <v>3.4154936043586021E-2</v>
          </cell>
          <cell r="J718" t="str">
            <v>2004IN</v>
          </cell>
          <cell r="K718">
            <v>0.78679070666887663</v>
          </cell>
          <cell r="L718">
            <v>7.9287205957511472E-2</v>
          </cell>
          <cell r="M718">
            <v>0.13392208737361183</v>
          </cell>
          <cell r="U718" t="str">
            <v>2004IN</v>
          </cell>
          <cell r="V718">
            <v>2.5489210000000002E-2</v>
          </cell>
          <cell r="W718">
            <v>4.5536079E-2</v>
          </cell>
          <cell r="X718">
            <v>0.27893099599999999</v>
          </cell>
          <cell r="Y718">
            <v>0.14781887399999999</v>
          </cell>
          <cell r="Z718">
            <v>0.50222484099999998</v>
          </cell>
          <cell r="AB718" t="str">
            <v>2004IN</v>
          </cell>
          <cell r="AC718">
            <v>0</v>
          </cell>
          <cell r="AD718">
            <v>0</v>
          </cell>
          <cell r="AE718">
            <v>0</v>
          </cell>
          <cell r="AF718">
            <v>1</v>
          </cell>
        </row>
        <row r="719">
          <cell r="B719" t="str">
            <v>2004IA</v>
          </cell>
          <cell r="C719">
            <v>0.13792614664225575</v>
          </cell>
          <cell r="D719">
            <v>0.25047757969635848</v>
          </cell>
          <cell r="E719">
            <v>0.10477197231415941</v>
          </cell>
          <cell r="F719">
            <v>0.40507493125352922</v>
          </cell>
          <cell r="G719">
            <v>6.2029177638731184E-2</v>
          </cell>
          <cell r="H719">
            <v>3.9720192454965969E-2</v>
          </cell>
          <cell r="J719" t="str">
            <v>2004IA</v>
          </cell>
          <cell r="K719">
            <v>0.83319885004710947</v>
          </cell>
          <cell r="L719">
            <v>6.2029177638731184E-2</v>
          </cell>
          <cell r="M719">
            <v>0.10477197231415941</v>
          </cell>
          <cell r="U719" t="str">
            <v>2004IA</v>
          </cell>
          <cell r="V719">
            <v>9.6502570000000006E-3</v>
          </cell>
          <cell r="W719">
            <v>3.8739974000000003E-2</v>
          </cell>
          <cell r="X719">
            <v>0.12067557499999999</v>
          </cell>
          <cell r="Y719">
            <v>0.47629315999999999</v>
          </cell>
          <cell r="Z719">
            <v>0.35464103499999999</v>
          </cell>
          <cell r="AB719" t="str">
            <v>2004IA</v>
          </cell>
          <cell r="AC719">
            <v>0</v>
          </cell>
          <cell r="AD719">
            <v>0</v>
          </cell>
          <cell r="AE719">
            <v>0</v>
          </cell>
          <cell r="AF719">
            <v>1</v>
          </cell>
        </row>
        <row r="720">
          <cell r="B720" t="str">
            <v>2004KS</v>
          </cell>
          <cell r="C720">
            <v>0.28758404285910905</v>
          </cell>
          <cell r="D720">
            <v>0.32607606753917184</v>
          </cell>
          <cell r="E720">
            <v>5.1050547933917619E-2</v>
          </cell>
          <cell r="F720">
            <v>0.27762124338847843</v>
          </cell>
          <cell r="G720">
            <v>3.0223956239483565E-2</v>
          </cell>
          <cell r="H720">
            <v>2.7444142039839463E-2</v>
          </cell>
          <cell r="J720" t="str">
            <v>2004KS</v>
          </cell>
          <cell r="K720">
            <v>0.91872549582659879</v>
          </cell>
          <cell r="L720">
            <v>3.0223956239483565E-2</v>
          </cell>
          <cell r="M720">
            <v>5.1050547933917619E-2</v>
          </cell>
          <cell r="U720" t="str">
            <v>2004KS</v>
          </cell>
          <cell r="V720">
            <v>2.3647662E-2</v>
          </cell>
          <cell r="W720">
            <v>4.6272377000000003E-2</v>
          </cell>
          <cell r="X720">
            <v>0.28189652199999998</v>
          </cell>
          <cell r="Y720">
            <v>0.13395533500000001</v>
          </cell>
          <cell r="Z720">
            <v>0.51422810299999999</v>
          </cell>
          <cell r="AB720" t="str">
            <v>2004KS</v>
          </cell>
          <cell r="AC720">
            <v>0</v>
          </cell>
          <cell r="AD720">
            <v>0</v>
          </cell>
          <cell r="AE720">
            <v>0.02</v>
          </cell>
          <cell r="AF720">
            <v>0.98</v>
          </cell>
        </row>
        <row r="721">
          <cell r="B721" t="str">
            <v>2004KY</v>
          </cell>
          <cell r="C721">
            <v>2.3305602928070858E-2</v>
          </cell>
          <cell r="D721">
            <v>6.2885861766289422E-2</v>
          </cell>
          <cell r="E721">
            <v>0.14165738300711325</v>
          </cell>
          <cell r="F721">
            <v>0.14315421990856123</v>
          </cell>
          <cell r="G721">
            <v>0.61397716539009373</v>
          </cell>
          <cell r="H721">
            <v>1.5019766999871505E-2</v>
          </cell>
          <cell r="J721" t="str">
            <v>2004KY</v>
          </cell>
          <cell r="K721">
            <v>0.24436545160279299</v>
          </cell>
          <cell r="L721">
            <v>0.61397716539009373</v>
          </cell>
          <cell r="M721">
            <v>0.14165738300711325</v>
          </cell>
          <cell r="U721" t="str">
            <v>2004KY</v>
          </cell>
          <cell r="V721">
            <v>4.9184704000000003E-2</v>
          </cell>
          <cell r="W721">
            <v>3.7321891000000003E-2</v>
          </cell>
          <cell r="X721">
            <v>0.11991215400000001</v>
          </cell>
          <cell r="Y721">
            <v>0.45018075899999999</v>
          </cell>
          <cell r="Z721">
            <v>0.34340049099999997</v>
          </cell>
          <cell r="AB721" t="str">
            <v>2004KY</v>
          </cell>
          <cell r="AC721">
            <v>0</v>
          </cell>
          <cell r="AD721">
            <v>0</v>
          </cell>
          <cell r="AE721">
            <v>0.05</v>
          </cell>
          <cell r="AF721">
            <v>0.95</v>
          </cell>
        </row>
        <row r="722">
          <cell r="B722" t="str">
            <v>2004LA</v>
          </cell>
          <cell r="C722">
            <v>8.7696493950327165E-2</v>
          </cell>
          <cell r="D722">
            <v>6.4637521135916851E-2</v>
          </cell>
          <cell r="E722">
            <v>0.14461730665558523</v>
          </cell>
          <cell r="F722">
            <v>0.10160244529023774</v>
          </cell>
          <cell r="G722">
            <v>0.59641803499629376</v>
          </cell>
          <cell r="H722">
            <v>5.0281979716392446E-3</v>
          </cell>
          <cell r="J722" t="str">
            <v>2004LA</v>
          </cell>
          <cell r="K722">
            <v>0.25896465834812099</v>
          </cell>
          <cell r="L722">
            <v>0.59641803499629376</v>
          </cell>
          <cell r="M722">
            <v>0.14461730665558523</v>
          </cell>
          <cell r="U722" t="str">
            <v>2004LA</v>
          </cell>
          <cell r="V722">
            <v>0.53551704700000002</v>
          </cell>
          <cell r="W722">
            <v>2.0437250000000001E-2</v>
          </cell>
          <cell r="X722">
            <v>0.12819729499999999</v>
          </cell>
          <cell r="Y722">
            <v>9.8005903000000005E-2</v>
          </cell>
          <cell r="Z722">
            <v>0.21784250499999999</v>
          </cell>
          <cell r="AB722" t="str">
            <v>2004LA</v>
          </cell>
          <cell r="AC722">
            <v>0</v>
          </cell>
          <cell r="AD722">
            <v>0</v>
          </cell>
          <cell r="AE722">
            <v>0.6</v>
          </cell>
          <cell r="AF722">
            <v>0.4</v>
          </cell>
        </row>
        <row r="723">
          <cell r="B723" t="str">
            <v>2004ME</v>
          </cell>
          <cell r="C723">
            <v>9.3713015315557757E-2</v>
          </cell>
          <cell r="D723">
            <v>0.17210096338216258</v>
          </cell>
          <cell r="E723">
            <v>0.44837154081607639</v>
          </cell>
          <cell r="F723">
            <v>0.19633313267932656</v>
          </cell>
          <cell r="G723">
            <v>7.0076626899074845E-2</v>
          </cell>
          <cell r="H723">
            <v>1.9404720907801824E-2</v>
          </cell>
          <cell r="J723" t="str">
            <v>2004ME</v>
          </cell>
          <cell r="K723">
            <v>0.48155183228484877</v>
          </cell>
          <cell r="L723">
            <v>7.0076626899074845E-2</v>
          </cell>
          <cell r="M723">
            <v>0.44837154081607639</v>
          </cell>
          <cell r="U723" t="str">
            <v>2004ME</v>
          </cell>
          <cell r="V723">
            <v>0.72920202000000001</v>
          </cell>
          <cell r="W723">
            <v>1.1915111000000001E-2</v>
          </cell>
          <cell r="X723">
            <v>7.4740241999999998E-2</v>
          </cell>
          <cell r="Y723">
            <v>5.7138373999999999E-2</v>
          </cell>
          <cell r="Z723">
            <v>0.12700425300000001</v>
          </cell>
          <cell r="AB723" t="str">
            <v>2004ME</v>
          </cell>
          <cell r="AC723">
            <v>0</v>
          </cell>
          <cell r="AD723">
            <v>0</v>
          </cell>
          <cell r="AE723">
            <v>0.05</v>
          </cell>
          <cell r="AF723">
            <v>0.95</v>
          </cell>
        </row>
        <row r="724">
          <cell r="B724" t="str">
            <v>2004MD</v>
          </cell>
          <cell r="C724">
            <v>7.6488535055593554E-2</v>
          </cell>
          <cell r="D724">
            <v>0.15472472257238745</v>
          </cell>
          <cell r="E724">
            <v>0.44380834258126728</v>
          </cell>
          <cell r="F724">
            <v>0.22861605738914034</v>
          </cell>
          <cell r="G724">
            <v>6.5960402236453913E-2</v>
          </cell>
          <cell r="H724">
            <v>3.0401940165157418E-2</v>
          </cell>
          <cell r="J724" t="str">
            <v>2004MD</v>
          </cell>
          <cell r="K724">
            <v>0.49023125518227884</v>
          </cell>
          <cell r="L724">
            <v>6.5960402236453913E-2</v>
          </cell>
          <cell r="M724">
            <v>0.44380834258126728</v>
          </cell>
          <cell r="U724" t="str">
            <v>2004MD</v>
          </cell>
          <cell r="V724">
            <v>0.21140679400000001</v>
          </cell>
          <cell r="W724">
            <v>3.7602905999999998E-2</v>
          </cell>
          <cell r="X724">
            <v>0.214504853</v>
          </cell>
          <cell r="Y724">
            <v>0.15671048400000001</v>
          </cell>
          <cell r="Z724">
            <v>0.37977496300000002</v>
          </cell>
          <cell r="AB724" t="str">
            <v>2004MD</v>
          </cell>
          <cell r="AC724">
            <v>0</v>
          </cell>
          <cell r="AD724">
            <v>0</v>
          </cell>
          <cell r="AE724">
            <v>0.05</v>
          </cell>
          <cell r="AF724">
            <v>0.95</v>
          </cell>
        </row>
        <row r="725">
          <cell r="B725" t="str">
            <v>2004MA</v>
          </cell>
          <cell r="C725">
            <v>6.1305440163427552E-2</v>
          </cell>
          <cell r="D725">
            <v>0.14874705508142777</v>
          </cell>
          <cell r="E725">
            <v>0.45216403673004657</v>
          </cell>
          <cell r="F725">
            <v>0.23617268276189021</v>
          </cell>
          <cell r="G725">
            <v>7.3497640935872632E-2</v>
          </cell>
          <cell r="H725">
            <v>2.8113144327335336E-2</v>
          </cell>
          <cell r="J725" t="str">
            <v>2004MA</v>
          </cell>
          <cell r="K725">
            <v>0.4743383223340808</v>
          </cell>
          <cell r="L725">
            <v>7.3497640935872632E-2</v>
          </cell>
          <cell r="M725">
            <v>0.45216403673004657</v>
          </cell>
          <cell r="U725" t="str">
            <v>2004MA</v>
          </cell>
          <cell r="V725">
            <v>0.31419575799999999</v>
          </cell>
          <cell r="W725">
            <v>3.0175387000000001E-2</v>
          </cell>
          <cell r="X725">
            <v>0.18928197099999999</v>
          </cell>
          <cell r="Y725">
            <v>0.14470469499999999</v>
          </cell>
          <cell r="Z725">
            <v>0.32164218900000002</v>
          </cell>
          <cell r="AB725" t="str">
            <v>2004MA</v>
          </cell>
          <cell r="AC725">
            <v>0</v>
          </cell>
          <cell r="AD725">
            <v>0</v>
          </cell>
          <cell r="AE725">
            <v>0.05</v>
          </cell>
          <cell r="AF725">
            <v>0.95</v>
          </cell>
        </row>
        <row r="726">
          <cell r="B726" t="str">
            <v>2004MI</v>
          </cell>
          <cell r="C726">
            <v>0.21592740095911189</v>
          </cell>
          <cell r="D726">
            <v>0.33044604004991018</v>
          </cell>
          <cell r="E726">
            <v>5.8998863632555826E-2</v>
          </cell>
          <cell r="F726">
            <v>0.32074430847532459</v>
          </cell>
          <cell r="G726">
            <v>3.4929675483950956E-2</v>
          </cell>
          <cell r="H726">
            <v>3.8953711399146676E-2</v>
          </cell>
          <cell r="J726" t="str">
            <v>2004MI</v>
          </cell>
          <cell r="K726">
            <v>0.90607146088349322</v>
          </cell>
          <cell r="L726">
            <v>3.4929675483950956E-2</v>
          </cell>
          <cell r="M726">
            <v>5.8998863632555826E-2</v>
          </cell>
          <cell r="U726" t="str">
            <v>2004MI</v>
          </cell>
          <cell r="V726">
            <v>4.5127237000000001E-2</v>
          </cell>
          <cell r="W726">
            <v>5.0500046999999999E-2</v>
          </cell>
          <cell r="X726">
            <v>0.254352099</v>
          </cell>
          <cell r="Y726">
            <v>0.17319266699999999</v>
          </cell>
          <cell r="Z726">
            <v>0.47682794899999997</v>
          </cell>
          <cell r="AB726" t="str">
            <v>2004MI</v>
          </cell>
          <cell r="AC726">
            <v>0</v>
          </cell>
          <cell r="AD726">
            <v>0</v>
          </cell>
          <cell r="AE726">
            <v>0.02</v>
          </cell>
          <cell r="AF726">
            <v>0.98</v>
          </cell>
        </row>
        <row r="727">
          <cell r="B727" t="str">
            <v>2004MN</v>
          </cell>
          <cell r="C727">
            <v>0.11559741536790068</v>
          </cell>
          <cell r="D727">
            <v>0.23915415867765383</v>
          </cell>
          <cell r="E727">
            <v>0.10052931481156221</v>
          </cell>
          <cell r="F727">
            <v>0.43822851849088174</v>
          </cell>
          <cell r="G727">
            <v>5.9517355535203494E-2</v>
          </cell>
          <cell r="H727">
            <v>4.697323711679801E-2</v>
          </cell>
          <cell r="J727" t="str">
            <v>2004MN</v>
          </cell>
          <cell r="K727">
            <v>0.83995332965323433</v>
          </cell>
          <cell r="L727">
            <v>5.9517355535203494E-2</v>
          </cell>
          <cell r="M727">
            <v>0.10052931481156221</v>
          </cell>
          <cell r="U727" t="str">
            <v>2004MN</v>
          </cell>
          <cell r="V727">
            <v>1.5145339000000001E-2</v>
          </cell>
          <cell r="W727">
            <v>5.1986831999999997E-2</v>
          </cell>
          <cell r="X727">
            <v>0.262445557</v>
          </cell>
          <cell r="Y727">
            <v>0.17896024199999999</v>
          </cell>
          <cell r="Z727">
            <v>0.49146202900000002</v>
          </cell>
          <cell r="AB727" t="str">
            <v>2004MN</v>
          </cell>
          <cell r="AC727">
            <v>0</v>
          </cell>
          <cell r="AD727">
            <v>0</v>
          </cell>
          <cell r="AE727">
            <v>0</v>
          </cell>
          <cell r="AF727">
            <v>1</v>
          </cell>
        </row>
        <row r="728">
          <cell r="B728" t="str">
            <v>2004MS</v>
          </cell>
          <cell r="C728">
            <v>0.10416334210611014</v>
          </cell>
          <cell r="D728">
            <v>7.2829933678422776E-2</v>
          </cell>
          <cell r="E728">
            <v>0.14929269604113307</v>
          </cell>
          <cell r="F728">
            <v>0.10019278631941281</v>
          </cell>
          <cell r="G728">
            <v>0.56868226150598644</v>
          </cell>
          <cell r="H728">
            <v>4.838980348934833E-3</v>
          </cell>
          <cell r="J728" t="str">
            <v>2004MS</v>
          </cell>
          <cell r="K728">
            <v>0.28202504245288051</v>
          </cell>
          <cell r="L728">
            <v>0.56868226150598644</v>
          </cell>
          <cell r="M728">
            <v>0.14929269604113307</v>
          </cell>
          <cell r="U728" t="str">
            <v>2004MS</v>
          </cell>
          <cell r="V728">
            <v>2.1100625000000001E-2</v>
          </cell>
          <cell r="W728">
            <v>3.6418512E-2</v>
          </cell>
          <cell r="X728">
            <v>6.0129593000000002E-2</v>
          </cell>
          <cell r="Y728">
            <v>0.574366987</v>
          </cell>
          <cell r="Z728">
            <v>0.30798428300000003</v>
          </cell>
          <cell r="AB728" t="str">
            <v>2004MS</v>
          </cell>
          <cell r="AC728">
            <v>0</v>
          </cell>
          <cell r="AD728">
            <v>0</v>
          </cell>
          <cell r="AE728">
            <v>0.6</v>
          </cell>
          <cell r="AF728">
            <v>0.4</v>
          </cell>
        </row>
        <row r="729">
          <cell r="B729" t="str">
            <v>2004MO</v>
          </cell>
          <cell r="C729">
            <v>6.4925479522277466E-2</v>
          </cell>
          <cell r="D729">
            <v>0.18170303563698134</v>
          </cell>
          <cell r="E729">
            <v>0.14337282997597614</v>
          </cell>
          <cell r="F729">
            <v>0.47880340852502545</v>
          </cell>
          <cell r="G729">
            <v>8.4882421727070459E-2</v>
          </cell>
          <cell r="H729">
            <v>4.6312824612669105E-2</v>
          </cell>
          <cell r="J729" t="str">
            <v>2004MO</v>
          </cell>
          <cell r="K729">
            <v>0.77174474829695339</v>
          </cell>
          <cell r="L729">
            <v>8.4882421727070459E-2</v>
          </cell>
          <cell r="M729">
            <v>0.14337282997597614</v>
          </cell>
          <cell r="U729" t="str">
            <v>2004MO</v>
          </cell>
          <cell r="V729">
            <v>2.998994E-2</v>
          </cell>
          <cell r="W729">
            <v>4.5757142000000001E-2</v>
          </cell>
          <cell r="X729">
            <v>0.27926039899999999</v>
          </cell>
          <cell r="Y729">
            <v>0.13775391300000001</v>
          </cell>
          <cell r="Z729">
            <v>0.50723860600000004</v>
          </cell>
          <cell r="AB729" t="str">
            <v>2004MO</v>
          </cell>
          <cell r="AC729">
            <v>0</v>
          </cell>
          <cell r="AD729">
            <v>0</v>
          </cell>
          <cell r="AE729">
            <v>0</v>
          </cell>
          <cell r="AF729">
            <v>1</v>
          </cell>
        </row>
        <row r="730">
          <cell r="B730" t="str">
            <v>2004MT</v>
          </cell>
          <cell r="C730">
            <v>0.35597781750083307</v>
          </cell>
          <cell r="D730">
            <v>0.25924389885240834</v>
          </cell>
          <cell r="E730">
            <v>4.3797789125912777E-2</v>
          </cell>
          <cell r="F730">
            <v>0.25058080537727367</v>
          </cell>
          <cell r="G730">
            <v>2.5930034358127463E-2</v>
          </cell>
          <cell r="H730">
            <v>6.4469654785444572E-2</v>
          </cell>
          <cell r="J730" t="str">
            <v>2004MT</v>
          </cell>
          <cell r="K730">
            <v>0.93027217651595973</v>
          </cell>
          <cell r="L730">
            <v>2.5930034358127463E-2</v>
          </cell>
          <cell r="M730">
            <v>4.3797789125912777E-2</v>
          </cell>
          <cell r="U730" t="str">
            <v>2004MT</v>
          </cell>
          <cell r="V730">
            <v>6.0520032000000001E-2</v>
          </cell>
          <cell r="W730">
            <v>5.1214043000000001E-2</v>
          </cell>
          <cell r="X730">
            <v>0.24859647000000001</v>
          </cell>
          <cell r="Y730">
            <v>0.16530719099999999</v>
          </cell>
          <cell r="Z730">
            <v>0.47436226399999998</v>
          </cell>
          <cell r="AB730" t="str">
            <v>2004MT</v>
          </cell>
          <cell r="AC730">
            <v>0</v>
          </cell>
          <cell r="AD730">
            <v>0</v>
          </cell>
          <cell r="AE730">
            <v>0.6</v>
          </cell>
          <cell r="AF730">
            <v>0.4</v>
          </cell>
        </row>
        <row r="731">
          <cell r="B731" t="str">
            <v>2004NE</v>
          </cell>
          <cell r="C731">
            <v>0.21260954807532403</v>
          </cell>
          <cell r="D731">
            <v>0.30324255962083846</v>
          </cell>
          <cell r="E731">
            <v>6.1277054134417128E-2</v>
          </cell>
          <cell r="F731">
            <v>0.34696077142199511</v>
          </cell>
          <cell r="G731">
            <v>3.6278454935301678E-2</v>
          </cell>
          <cell r="H731">
            <v>3.9631611812123581E-2</v>
          </cell>
          <cell r="J731" t="str">
            <v>2004NE</v>
          </cell>
          <cell r="K731">
            <v>0.90244449093028123</v>
          </cell>
          <cell r="L731">
            <v>3.6278454935301678E-2</v>
          </cell>
          <cell r="M731">
            <v>6.1277054134417128E-2</v>
          </cell>
          <cell r="U731" t="str">
            <v>2004NE</v>
          </cell>
          <cell r="V731">
            <v>3.0063880000000001E-2</v>
          </cell>
          <cell r="W731">
            <v>4.5295173000000001E-2</v>
          </cell>
          <cell r="X731">
            <v>0.27751980599999998</v>
          </cell>
          <cell r="Y731">
            <v>0.147715386</v>
          </cell>
          <cell r="Z731">
            <v>0.49940575500000001</v>
          </cell>
          <cell r="AB731" t="str">
            <v>2004NE</v>
          </cell>
          <cell r="AC731">
            <v>0</v>
          </cell>
          <cell r="AD731">
            <v>0</v>
          </cell>
          <cell r="AE731">
            <v>0.02</v>
          </cell>
          <cell r="AF731">
            <v>0.98</v>
          </cell>
        </row>
        <row r="732">
          <cell r="B732" t="str">
            <v>2004NV</v>
          </cell>
          <cell r="C732">
            <v>0.64210148526116029</v>
          </cell>
          <cell r="D732">
            <v>0.238399883587257</v>
          </cell>
          <cell r="E732">
            <v>4.1594375177217181E-3</v>
          </cell>
          <cell r="F732">
            <v>0.10819864870890922</v>
          </cell>
          <cell r="G732">
            <v>2.4625525602432058E-3</v>
          </cell>
          <cell r="H732">
            <v>4.677992364708553E-3</v>
          </cell>
          <cell r="J732" t="str">
            <v>2004NV</v>
          </cell>
          <cell r="K732">
            <v>0.99337800992203507</v>
          </cell>
          <cell r="L732">
            <v>2.4625525602432058E-3</v>
          </cell>
          <cell r="M732">
            <v>4.1594375177217181E-3</v>
          </cell>
          <cell r="U732" t="str">
            <v>2004NV</v>
          </cell>
          <cell r="V732">
            <v>0.35004114600000003</v>
          </cell>
          <cell r="W732">
            <v>2.4048478000000002E-2</v>
          </cell>
          <cell r="X732">
            <v>3.5747737000000002E-2</v>
          </cell>
          <cell r="Y732">
            <v>0.38867539400000001</v>
          </cell>
          <cell r="Z732">
            <v>0.20148724500000001</v>
          </cell>
          <cell r="AB732" t="str">
            <v>2004NV</v>
          </cell>
          <cell r="AC732">
            <v>0</v>
          </cell>
          <cell r="AD732">
            <v>0</v>
          </cell>
          <cell r="AE732">
            <v>0</v>
          </cell>
          <cell r="AF732">
            <v>1</v>
          </cell>
        </row>
        <row r="733">
          <cell r="B733" t="str">
            <v>2004NH</v>
          </cell>
          <cell r="C733">
            <v>9.4573445198850817E-2</v>
          </cell>
          <cell r="D733">
            <v>0.16340842518862655</v>
          </cell>
          <cell r="E733">
            <v>0.44298025846087286</v>
          </cell>
          <cell r="F733">
            <v>0.20852129702854144</v>
          </cell>
          <cell r="G733">
            <v>6.52134304627775E-2</v>
          </cell>
          <cell r="H733">
            <v>2.5303143660330828E-2</v>
          </cell>
          <cell r="J733" t="str">
            <v>2004NH</v>
          </cell>
          <cell r="K733">
            <v>0.49180631107634964</v>
          </cell>
          <cell r="L733">
            <v>6.52134304627775E-2</v>
          </cell>
          <cell r="M733">
            <v>0.44298025846087286</v>
          </cell>
          <cell r="U733" t="str">
            <v>2004NH</v>
          </cell>
          <cell r="V733">
            <v>0.56759962799999997</v>
          </cell>
          <cell r="W733">
            <v>1.9025615999999999E-2</v>
          </cell>
          <cell r="X733">
            <v>0.119342503</v>
          </cell>
          <cell r="Y733">
            <v>9.1236478999999995E-2</v>
          </cell>
          <cell r="Z733">
            <v>0.20279577500000001</v>
          </cell>
          <cell r="AB733" t="str">
            <v>2004NH</v>
          </cell>
          <cell r="AC733">
            <v>0</v>
          </cell>
          <cell r="AD733">
            <v>0</v>
          </cell>
          <cell r="AE733">
            <v>0.05</v>
          </cell>
          <cell r="AF733">
            <v>0.95</v>
          </cell>
        </row>
        <row r="734">
          <cell r="B734" t="str">
            <v>2004NJ</v>
          </cell>
          <cell r="C734">
            <v>5.8003576611346738E-2</v>
          </cell>
          <cell r="D734">
            <v>0.13897871355240557</v>
          </cell>
          <cell r="E734">
            <v>0.45397029129837874</v>
          </cell>
          <cell r="F734">
            <v>0.24471653627570109</v>
          </cell>
          <cell r="G734">
            <v>7.5126969581826603E-2</v>
          </cell>
          <cell r="H734">
            <v>2.9203912680341212E-2</v>
          </cell>
          <cell r="J734" t="str">
            <v>2004NJ</v>
          </cell>
          <cell r="K734">
            <v>0.47090273911979463</v>
          </cell>
          <cell r="L734">
            <v>7.5126969581826603E-2</v>
          </cell>
          <cell r="M734">
            <v>0.45397029129837874</v>
          </cell>
          <cell r="U734" t="str">
            <v>2004NJ</v>
          </cell>
          <cell r="V734">
            <v>0.30808167400000003</v>
          </cell>
          <cell r="W734">
            <v>3.3011736E-2</v>
          </cell>
          <cell r="X734">
            <v>0.18818818500000001</v>
          </cell>
          <cell r="Y734">
            <v>0.137437002</v>
          </cell>
          <cell r="Z734">
            <v>0.333281404</v>
          </cell>
          <cell r="AB734" t="str">
            <v>2004NJ</v>
          </cell>
          <cell r="AC734">
            <v>0</v>
          </cell>
          <cell r="AD734">
            <v>0</v>
          </cell>
          <cell r="AE734">
            <v>0.05</v>
          </cell>
          <cell r="AF734">
            <v>0.95</v>
          </cell>
        </row>
        <row r="735">
          <cell r="B735" t="str">
            <v>2004NM</v>
          </cell>
          <cell r="C735">
            <v>0.61184589317007076</v>
          </cell>
          <cell r="D735">
            <v>0.19452029294367307</v>
          </cell>
          <cell r="E735">
            <v>9.8952813124742175E-2</v>
          </cell>
          <cell r="F735">
            <v>9.4174237847419268E-2</v>
          </cell>
          <cell r="G735">
            <v>0</v>
          </cell>
          <cell r="H735">
            <v>5.0676291409465751E-4</v>
          </cell>
          <cell r="J735" t="str">
            <v>2004NM</v>
          </cell>
          <cell r="K735">
            <v>0.90104718687525787</v>
          </cell>
          <cell r="L735">
            <v>0</v>
          </cell>
          <cell r="M735">
            <v>9.8952813124742175E-2</v>
          </cell>
          <cell r="U735" t="str">
            <v>2004NM</v>
          </cell>
          <cell r="V735">
            <v>0.91655606099999998</v>
          </cell>
          <cell r="W735">
            <v>3.6715329999999998E-3</v>
          </cell>
          <cell r="X735">
            <v>2.3030526999999999E-2</v>
          </cell>
          <cell r="Y735">
            <v>1.7606671000000001E-2</v>
          </cell>
          <cell r="Z735">
            <v>3.9135206999999998E-2</v>
          </cell>
          <cell r="AB735" t="str">
            <v>2004NM</v>
          </cell>
          <cell r="AC735">
            <v>0</v>
          </cell>
          <cell r="AD735">
            <v>0</v>
          </cell>
          <cell r="AE735">
            <v>0.6</v>
          </cell>
          <cell r="AF735">
            <v>0.4</v>
          </cell>
        </row>
        <row r="736">
          <cell r="B736" t="str">
            <v>2004NY</v>
          </cell>
          <cell r="C736">
            <v>9.8408703041683282E-2</v>
          </cell>
          <cell r="D736">
            <v>0.15954377256245178</v>
          </cell>
          <cell r="E736">
            <v>0.44849165243165579</v>
          </cell>
          <cell r="F736">
            <v>0.20287733376538455</v>
          </cell>
          <cell r="G736">
            <v>7.0184973363303343E-2</v>
          </cell>
          <cell r="H736">
            <v>2.0493564835521279E-2</v>
          </cell>
          <cell r="J736" t="str">
            <v>2004NY</v>
          </cell>
          <cell r="K736">
            <v>0.4813233742050409</v>
          </cell>
          <cell r="L736">
            <v>7.0184973363303343E-2</v>
          </cell>
          <cell r="M736">
            <v>0.44849165243165579</v>
          </cell>
          <cell r="U736" t="str">
            <v>2004NY</v>
          </cell>
          <cell r="V736">
            <v>0.20441514899999999</v>
          </cell>
          <cell r="W736">
            <v>4.1815811000000001E-2</v>
          </cell>
          <cell r="X736">
            <v>0.21220383400000001</v>
          </cell>
          <cell r="Y736">
            <v>0.145168144</v>
          </cell>
          <cell r="Z736">
            <v>0.396397061</v>
          </cell>
          <cell r="AB736" t="str">
            <v>2004NY</v>
          </cell>
          <cell r="AC736">
            <v>0</v>
          </cell>
          <cell r="AD736">
            <v>0</v>
          </cell>
          <cell r="AE736">
            <v>0.05</v>
          </cell>
          <cell r="AF736">
            <v>0.95</v>
          </cell>
        </row>
        <row r="737">
          <cell r="B737" t="str">
            <v>2004NC</v>
          </cell>
          <cell r="C737">
            <v>6.168821577504751E-2</v>
          </cell>
          <cell r="D737">
            <v>0.11278426418396881</v>
          </cell>
          <cell r="E737">
            <v>0.15395779991170949</v>
          </cell>
          <cell r="F737">
            <v>0.11589101949636353</v>
          </cell>
          <cell r="G737">
            <v>0.54100750469043157</v>
          </cell>
          <cell r="H737">
            <v>1.4671195942479084E-2</v>
          </cell>
          <cell r="J737" t="str">
            <v>2004NC</v>
          </cell>
          <cell r="K737">
            <v>0.30503469539785888</v>
          </cell>
          <cell r="L737">
            <v>0.54100750469043157</v>
          </cell>
          <cell r="M737">
            <v>0.15395779991170949</v>
          </cell>
          <cell r="U737" t="str">
            <v>2004NC</v>
          </cell>
          <cell r="V737">
            <v>2.4742549999999999E-3</v>
          </cell>
          <cell r="W737">
            <v>3.7123251000000003E-2</v>
          </cell>
          <cell r="X737">
            <v>6.1645423999999997E-2</v>
          </cell>
          <cell r="Y737">
            <v>0.58464508599999998</v>
          </cell>
          <cell r="Z737">
            <v>0.31411198400000001</v>
          </cell>
          <cell r="AB737" t="str">
            <v>2004NC</v>
          </cell>
          <cell r="AC737">
            <v>0</v>
          </cell>
          <cell r="AD737">
            <v>0</v>
          </cell>
          <cell r="AE737">
            <v>0.41899999999999998</v>
          </cell>
          <cell r="AF737">
            <v>0.58099999999999996</v>
          </cell>
        </row>
        <row r="738">
          <cell r="B738" t="str">
            <v>2004ND</v>
          </cell>
          <cell r="C738">
            <v>0.1196932700797023</v>
          </cell>
          <cell r="D738">
            <v>0.21866711268457967</v>
          </cell>
          <cell r="E738">
            <v>0.10978970169096619</v>
          </cell>
          <cell r="F738">
            <v>0.448028418369537</v>
          </cell>
          <cell r="G738">
            <v>6.499987314042277E-2</v>
          </cell>
          <cell r="H738">
            <v>3.8821624034792085E-2</v>
          </cell>
          <cell r="J738" t="str">
            <v>2004ND</v>
          </cell>
          <cell r="K738">
            <v>0.82521042516861098</v>
          </cell>
          <cell r="L738">
            <v>6.499987314042277E-2</v>
          </cell>
          <cell r="M738">
            <v>0.10978970169096619</v>
          </cell>
          <cell r="U738" t="str">
            <v>2004ND</v>
          </cell>
          <cell r="V738">
            <v>8.8434773999999994E-2</v>
          </cell>
          <cell r="W738">
            <v>4.7868137999999998E-2</v>
          </cell>
          <cell r="X738">
            <v>0.243186129</v>
          </cell>
          <cell r="Y738">
            <v>0.16647603599999999</v>
          </cell>
          <cell r="Z738">
            <v>0.45403492299999998</v>
          </cell>
          <cell r="AB738" t="str">
            <v>2004ND</v>
          </cell>
          <cell r="AC738">
            <v>0</v>
          </cell>
          <cell r="AD738">
            <v>0</v>
          </cell>
          <cell r="AE738">
            <v>0.02</v>
          </cell>
          <cell r="AF738">
            <v>0.98</v>
          </cell>
        </row>
        <row r="739">
          <cell r="B739" t="str">
            <v>2004OH</v>
          </cell>
          <cell r="C739">
            <v>0.10753833947858983</v>
          </cell>
          <cell r="D739">
            <v>0.22522557822049544</v>
          </cell>
          <cell r="E739">
            <v>0.13589110116557596</v>
          </cell>
          <cell r="F739">
            <v>0.4097570212201273</v>
          </cell>
          <cell r="G739">
            <v>8.0452940491062386E-2</v>
          </cell>
          <cell r="H739">
            <v>4.1135019424149183E-2</v>
          </cell>
          <cell r="J739" t="str">
            <v>2004OH</v>
          </cell>
          <cell r="K739">
            <v>0.78365595834336166</v>
          </cell>
          <cell r="L739">
            <v>8.0452940491062386E-2</v>
          </cell>
          <cell r="M739">
            <v>0.13589110116557596</v>
          </cell>
          <cell r="U739" t="str">
            <v>2004OH</v>
          </cell>
          <cell r="V739">
            <v>6.6338901000000006E-2</v>
          </cell>
          <cell r="W739">
            <v>4.3119113000000001E-2</v>
          </cell>
          <cell r="X739">
            <v>0.26533305600000001</v>
          </cell>
          <cell r="Y739">
            <v>0.15267545299999999</v>
          </cell>
          <cell r="Z739">
            <v>0.47253347699999998</v>
          </cell>
          <cell r="AB739" t="str">
            <v>2004OH</v>
          </cell>
          <cell r="AC739">
            <v>0</v>
          </cell>
          <cell r="AD739">
            <v>0</v>
          </cell>
          <cell r="AE739">
            <v>0</v>
          </cell>
          <cell r="AF739">
            <v>1</v>
          </cell>
        </row>
        <row r="740">
          <cell r="B740" t="str">
            <v>2004OK</v>
          </cell>
          <cell r="C740">
            <v>0.40296958934788546</v>
          </cell>
          <cell r="D740">
            <v>0.22528492954061258</v>
          </cell>
          <cell r="E740">
            <v>6.4896255940651446E-2</v>
          </cell>
          <cell r="F740">
            <v>0.24738177570149189</v>
          </cell>
          <cell r="G740">
            <v>0</v>
          </cell>
          <cell r="H740">
            <v>5.9467449469358676E-2</v>
          </cell>
          <cell r="J740" t="str">
            <v>2004OK</v>
          </cell>
          <cell r="K740">
            <v>0.9351037440593486</v>
          </cell>
          <cell r="L740">
            <v>0</v>
          </cell>
          <cell r="M740">
            <v>6.4896255940651446E-2</v>
          </cell>
          <cell r="U740" t="str">
            <v>2004OK</v>
          </cell>
          <cell r="V740">
            <v>1.2831308E-2</v>
          </cell>
          <cell r="W740">
            <v>3.6793041999999998E-2</v>
          </cell>
          <cell r="X740">
            <v>6.2749109999999997E-2</v>
          </cell>
          <cell r="Y740">
            <v>0.57552135800000004</v>
          </cell>
          <cell r="Z740">
            <v>0.31210518199999998</v>
          </cell>
          <cell r="AB740" t="str">
            <v>2004OK</v>
          </cell>
          <cell r="AC740">
            <v>0</v>
          </cell>
          <cell r="AD740">
            <v>0</v>
          </cell>
          <cell r="AE740">
            <v>0.6</v>
          </cell>
          <cell r="AF740">
            <v>0.4</v>
          </cell>
        </row>
        <row r="741">
          <cell r="B741" t="str">
            <v>2004OR</v>
          </cell>
          <cell r="C741">
            <v>0.43856747008812064</v>
          </cell>
          <cell r="D741">
            <v>0.20958259090942544</v>
          </cell>
          <cell r="E741">
            <v>0</v>
          </cell>
          <cell r="F741">
            <v>0.12862948158709187</v>
          </cell>
          <cell r="G741">
            <v>0.2018533708975031</v>
          </cell>
          <cell r="H741">
            <v>2.1367086517858933E-2</v>
          </cell>
          <cell r="J741" t="str">
            <v>2004OR</v>
          </cell>
          <cell r="K741">
            <v>0.7981466291024969</v>
          </cell>
          <cell r="L741">
            <v>0.2018533708975031</v>
          </cell>
          <cell r="M741">
            <v>0</v>
          </cell>
          <cell r="U741" t="str">
            <v>2004OR</v>
          </cell>
          <cell r="V741">
            <v>0.57640796000000005</v>
          </cell>
          <cell r="W741">
            <v>1.863805E-2</v>
          </cell>
          <cell r="X741">
            <v>0.116911403</v>
          </cell>
          <cell r="Y741">
            <v>8.937792E-2</v>
          </cell>
          <cell r="Z741">
            <v>0.19866466699999999</v>
          </cell>
          <cell r="AB741" t="str">
            <v>2004OR</v>
          </cell>
          <cell r="AC741">
            <v>0</v>
          </cell>
          <cell r="AD741">
            <v>0</v>
          </cell>
          <cell r="AE741">
            <v>0.25</v>
          </cell>
          <cell r="AF741">
            <v>0.75</v>
          </cell>
        </row>
        <row r="742">
          <cell r="B742" t="str">
            <v>2004PA</v>
          </cell>
          <cell r="C742">
            <v>4.9624045569858895E-2</v>
          </cell>
          <cell r="D742">
            <v>0.11712497857538914</v>
          </cell>
          <cell r="E742">
            <v>0.46874549019831585</v>
          </cell>
          <cell r="F742">
            <v>0.25230966018477574</v>
          </cell>
          <cell r="G742">
            <v>8.8454910858433447E-2</v>
          </cell>
          <cell r="H742">
            <v>2.3740914613226898E-2</v>
          </cell>
          <cell r="J742" t="str">
            <v>2004PA</v>
          </cell>
          <cell r="K742">
            <v>0.44279959894325072</v>
          </cell>
          <cell r="L742">
            <v>8.8454910858433447E-2</v>
          </cell>
          <cell r="M742">
            <v>0.46874549019831585</v>
          </cell>
          <cell r="U742" t="str">
            <v>2004PA</v>
          </cell>
          <cell r="V742">
            <v>5.0102499000000002E-2</v>
          </cell>
          <cell r="W742">
            <v>4.9409870000000002E-2</v>
          </cell>
          <cell r="X742">
            <v>0.25392279899999998</v>
          </cell>
          <cell r="Y742">
            <v>0.17504710600000001</v>
          </cell>
          <cell r="Z742">
            <v>0.47151772600000003</v>
          </cell>
          <cell r="AB742" t="str">
            <v>2004PA</v>
          </cell>
          <cell r="AC742">
            <v>0</v>
          </cell>
          <cell r="AD742">
            <v>0</v>
          </cell>
          <cell r="AE742">
            <v>0</v>
          </cell>
          <cell r="AF742">
            <v>1</v>
          </cell>
        </row>
        <row r="743">
          <cell r="B743" t="str">
            <v>2004RI</v>
          </cell>
          <cell r="C743">
            <v>4.2447025005926793E-2</v>
          </cell>
          <cell r="D743">
            <v>0.1190174947032642</v>
          </cell>
          <cell r="E743">
            <v>0.46784468707451643</v>
          </cell>
          <cell r="F743">
            <v>0.25730854976835782</v>
          </cell>
          <cell r="G743">
            <v>8.7642343040085183E-2</v>
          </cell>
          <cell r="H743">
            <v>2.5739900407849584E-2</v>
          </cell>
          <cell r="J743" t="str">
            <v>2004RI</v>
          </cell>
          <cell r="K743">
            <v>0.44451296988539835</v>
          </cell>
          <cell r="L743">
            <v>8.7642343040085183E-2</v>
          </cell>
          <cell r="M743">
            <v>0.46784468707451643</v>
          </cell>
          <cell r="U743" t="str">
            <v>2004RI</v>
          </cell>
          <cell r="V743">
            <v>0.56026879500000004</v>
          </cell>
          <cell r="W743">
            <v>1.9348173E-2</v>
          </cell>
          <cell r="X743">
            <v>0.121365813</v>
          </cell>
          <cell r="Y743">
            <v>9.2783283999999994E-2</v>
          </cell>
          <cell r="Z743">
            <v>0.20623393500000001</v>
          </cell>
          <cell r="AB743" t="str">
            <v>2004RI</v>
          </cell>
          <cell r="AC743">
            <v>0</v>
          </cell>
          <cell r="AD743">
            <v>0</v>
          </cell>
          <cell r="AE743">
            <v>0.05</v>
          </cell>
          <cell r="AF743">
            <v>0.95</v>
          </cell>
        </row>
        <row r="744">
          <cell r="B744" t="str">
            <v>2004SC</v>
          </cell>
          <cell r="C744">
            <v>0.13346180610825578</v>
          </cell>
          <cell r="D744">
            <v>9.0019723091430845E-2</v>
          </cell>
          <cell r="E744">
            <v>0.15451296947775242</v>
          </cell>
          <cell r="F744">
            <v>8.0687406490411034E-2</v>
          </cell>
          <cell r="G744">
            <v>0.53771407690020812</v>
          </cell>
          <cell r="H744">
            <v>3.6040179319418398E-3</v>
          </cell>
          <cell r="J744" t="str">
            <v>2004SC</v>
          </cell>
          <cell r="K744">
            <v>0.30777295362203949</v>
          </cell>
          <cell r="L744">
            <v>0.53771407690020812</v>
          </cell>
          <cell r="M744">
            <v>0.15451296947775242</v>
          </cell>
          <cell r="U744" t="str">
            <v>2004SC</v>
          </cell>
          <cell r="V744">
            <v>6.1629585000000001E-2</v>
          </cell>
          <cell r="W744">
            <v>3.5823032999999997E-2</v>
          </cell>
          <cell r="X744">
            <v>8.6443989999999998E-2</v>
          </cell>
          <cell r="Y744">
            <v>0.50014727299999995</v>
          </cell>
          <cell r="Z744">
            <v>0.31595611899999998</v>
          </cell>
          <cell r="AB744" t="str">
            <v>2004SC</v>
          </cell>
          <cell r="AC744">
            <v>0</v>
          </cell>
          <cell r="AD744">
            <v>0</v>
          </cell>
          <cell r="AE744">
            <v>0.6</v>
          </cell>
          <cell r="AF744">
            <v>0.4</v>
          </cell>
        </row>
        <row r="745">
          <cell r="B745" t="str">
            <v>2004SD</v>
          </cell>
          <cell r="C745">
            <v>0.17608951911561277</v>
          </cell>
          <cell r="D745">
            <v>0.277831368160596</v>
          </cell>
          <cell r="E745">
            <v>7.9800561964795444E-2</v>
          </cell>
          <cell r="F745">
            <v>0.37802114842972712</v>
          </cell>
          <cell r="G745">
            <v>4.724510882492864E-2</v>
          </cell>
          <cell r="H745">
            <v>4.1012293504340026E-2</v>
          </cell>
          <cell r="J745" t="str">
            <v>2004SD</v>
          </cell>
          <cell r="K745">
            <v>0.87295432921027594</v>
          </cell>
          <cell r="L745">
            <v>4.724510882492864E-2</v>
          </cell>
          <cell r="M745">
            <v>7.9800561964795444E-2</v>
          </cell>
          <cell r="U745" t="str">
            <v>2004SD</v>
          </cell>
          <cell r="V745">
            <v>3.3046748000000001E-2</v>
          </cell>
          <cell r="W745">
            <v>5.1157264000000001E-2</v>
          </cell>
          <cell r="X745">
            <v>0.25755016600000002</v>
          </cell>
          <cell r="Y745">
            <v>0.17532273200000001</v>
          </cell>
          <cell r="Z745">
            <v>0.48292308900000003</v>
          </cell>
          <cell r="AB745" t="str">
            <v>2004SD</v>
          </cell>
          <cell r="AC745">
            <v>0</v>
          </cell>
          <cell r="AD745">
            <v>0</v>
          </cell>
          <cell r="AE745">
            <v>0.02</v>
          </cell>
          <cell r="AF745">
            <v>0.98</v>
          </cell>
        </row>
        <row r="746">
          <cell r="B746" t="str">
            <v>2004TN</v>
          </cell>
          <cell r="C746">
            <v>4.0519949592449485E-2</v>
          </cell>
          <cell r="D746">
            <v>8.9664149461423162E-2</v>
          </cell>
          <cell r="E746">
            <v>0.14551684926860037</v>
          </cell>
          <cell r="F746">
            <v>0.1170185785979804</v>
          </cell>
          <cell r="G746">
            <v>0.59108168584929244</v>
          </cell>
          <cell r="H746">
            <v>1.6198787230254148E-2</v>
          </cell>
          <cell r="J746" t="str">
            <v>2004TN</v>
          </cell>
          <cell r="K746">
            <v>0.26340146488210725</v>
          </cell>
          <cell r="L746">
            <v>0.59108168584929244</v>
          </cell>
          <cell r="M746">
            <v>0.14551684926860037</v>
          </cell>
          <cell r="U746" t="str">
            <v>2004TN</v>
          </cell>
          <cell r="V746">
            <v>0.102875089</v>
          </cell>
          <cell r="W746">
            <v>3.5402429999999999E-2</v>
          </cell>
          <cell r="X746">
            <v>0.119077104</v>
          </cell>
          <cell r="Y746">
            <v>0.41436515099999999</v>
          </cell>
          <cell r="Z746">
            <v>0.32828022600000001</v>
          </cell>
          <cell r="AB746" t="str">
            <v>2004TN</v>
          </cell>
          <cell r="AC746">
            <v>0</v>
          </cell>
          <cell r="AD746">
            <v>0</v>
          </cell>
          <cell r="AE746">
            <v>0.05</v>
          </cell>
          <cell r="AF746">
            <v>0.95</v>
          </cell>
        </row>
        <row r="747">
          <cell r="B747" t="str">
            <v>2004TX</v>
          </cell>
          <cell r="C747">
            <v>0.53305655520056971</v>
          </cell>
          <cell r="D747">
            <v>0.24233312613196878</v>
          </cell>
          <cell r="E747">
            <v>7.9791980793249173E-2</v>
          </cell>
          <cell r="F747">
            <v>0.1278405091499755</v>
          </cell>
          <cell r="G747">
            <v>0</v>
          </cell>
          <cell r="H747">
            <v>1.6977828724236681E-2</v>
          </cell>
          <cell r="J747" t="str">
            <v>2004TX</v>
          </cell>
          <cell r="K747">
            <v>0.92020801920675077</v>
          </cell>
          <cell r="L747">
            <v>0</v>
          </cell>
          <cell r="M747">
            <v>7.9791980793249173E-2</v>
          </cell>
          <cell r="U747" t="str">
            <v>2004TX</v>
          </cell>
          <cell r="V747">
            <v>6.9632535999999995E-2</v>
          </cell>
          <cell r="W747">
            <v>3.4700662E-2</v>
          </cell>
          <cell r="X747">
            <v>5.9917572000000002E-2</v>
          </cell>
          <cell r="Y747">
            <v>0.54104196599999999</v>
          </cell>
          <cell r="Z747">
            <v>0.29470726400000002</v>
          </cell>
          <cell r="AB747" t="str">
            <v>2004TX</v>
          </cell>
          <cell r="AC747">
            <v>0</v>
          </cell>
          <cell r="AD747">
            <v>0</v>
          </cell>
          <cell r="AE747">
            <v>0.12</v>
          </cell>
          <cell r="AF747">
            <v>0.88</v>
          </cell>
        </row>
        <row r="748">
          <cell r="B748" t="str">
            <v>2004UT</v>
          </cell>
          <cell r="C748">
            <v>0.51165623152884221</v>
          </cell>
          <cell r="D748">
            <v>0.26394677259150623</v>
          </cell>
          <cell r="E748">
            <v>1.3999177703951423E-2</v>
          </cell>
          <cell r="F748">
            <v>0.17036034814732054</v>
          </cell>
          <cell r="G748">
            <v>8.2880703819413898E-3</v>
          </cell>
          <cell r="H748">
            <v>3.1749399646438282E-2</v>
          </cell>
          <cell r="J748" t="str">
            <v>2004UT</v>
          </cell>
          <cell r="K748">
            <v>0.97771275191410723</v>
          </cell>
          <cell r="L748">
            <v>8.2880703819413898E-3</v>
          </cell>
          <cell r="M748">
            <v>1.3999177703951423E-2</v>
          </cell>
          <cell r="U748" t="str">
            <v>2004UT</v>
          </cell>
          <cell r="V748">
            <v>8.6456620000000001E-3</v>
          </cell>
          <cell r="W748">
            <v>5.5424775000000003E-2</v>
          </cell>
          <cell r="X748">
            <v>0.260824848</v>
          </cell>
          <cell r="Y748">
            <v>0.16982515300000001</v>
          </cell>
          <cell r="Z748">
            <v>0.50527956200000002</v>
          </cell>
          <cell r="AB748" t="str">
            <v>2004UT</v>
          </cell>
          <cell r="AC748">
            <v>0</v>
          </cell>
          <cell r="AD748">
            <v>0</v>
          </cell>
          <cell r="AE748">
            <v>0.6</v>
          </cell>
          <cell r="AF748">
            <v>0.4</v>
          </cell>
        </row>
        <row r="749">
          <cell r="B749" t="str">
            <v>2004VT</v>
          </cell>
          <cell r="C749">
            <v>9.9973781354903396E-2</v>
          </cell>
          <cell r="D749">
            <v>0.17387691112967565</v>
          </cell>
          <cell r="E749">
            <v>0.44423932842492886</v>
          </cell>
          <cell r="F749">
            <v>0.19448861844630186</v>
          </cell>
          <cell r="G749">
            <v>6.6349172232328182E-2</v>
          </cell>
          <cell r="H749">
            <v>2.1072188411862088E-2</v>
          </cell>
          <cell r="J749" t="str">
            <v>2004VT</v>
          </cell>
          <cell r="K749">
            <v>0.48941149934274297</v>
          </cell>
          <cell r="L749">
            <v>6.6349172232328182E-2</v>
          </cell>
          <cell r="M749">
            <v>0.44423932842492886</v>
          </cell>
          <cell r="U749" t="str">
            <v>2004VT</v>
          </cell>
          <cell r="V749">
            <v>0.86037974299999997</v>
          </cell>
          <cell r="W749">
            <v>6.1432910000000004E-3</v>
          </cell>
          <cell r="X749">
            <v>3.8535191000000003E-2</v>
          </cell>
          <cell r="Y749">
            <v>2.9459874E-2</v>
          </cell>
          <cell r="Z749">
            <v>6.5481899999999996E-2</v>
          </cell>
          <cell r="AB749" t="str">
            <v>2004VT</v>
          </cell>
          <cell r="AC749">
            <v>0</v>
          </cell>
          <cell r="AD749">
            <v>0</v>
          </cell>
          <cell r="AE749">
            <v>0.05</v>
          </cell>
          <cell r="AF749">
            <v>0.95</v>
          </cell>
        </row>
        <row r="750">
          <cell r="B750" t="str">
            <v>2004VA</v>
          </cell>
          <cell r="C750">
            <v>4.4953509549794296E-2</v>
          </cell>
          <cell r="D750">
            <v>9.339670802378576E-2</v>
          </cell>
          <cell r="E750">
            <v>0.14844092890155638</v>
          </cell>
          <cell r="F750">
            <v>0.12331550684410268</v>
          </cell>
          <cell r="G750">
            <v>0.5737351926100378</v>
          </cell>
          <cell r="H750">
            <v>1.6158154070723133E-2</v>
          </cell>
          <cell r="J750" t="str">
            <v>2004VA</v>
          </cell>
          <cell r="K750">
            <v>0.27782387848840584</v>
          </cell>
          <cell r="L750">
            <v>0.5737351926100378</v>
          </cell>
          <cell r="M750">
            <v>0.14844092890155638</v>
          </cell>
          <cell r="U750" t="str">
            <v>2004VA</v>
          </cell>
          <cell r="V750">
            <v>3.3934871999999998E-2</v>
          </cell>
          <cell r="W750">
            <v>3.6244844999999998E-2</v>
          </cell>
          <cell r="X750">
            <v>6.8933026999999994E-2</v>
          </cell>
          <cell r="Y750">
            <v>0.550040046</v>
          </cell>
          <cell r="Z750">
            <v>0.31084721100000001</v>
          </cell>
          <cell r="AB750" t="str">
            <v>2004VA</v>
          </cell>
          <cell r="AC750">
            <v>0</v>
          </cell>
          <cell r="AD750">
            <v>0</v>
          </cell>
          <cell r="AE750">
            <v>0.05</v>
          </cell>
          <cell r="AF750">
            <v>0.95</v>
          </cell>
        </row>
        <row r="751">
          <cell r="B751" t="str">
            <v>2004WA</v>
          </cell>
          <cell r="C751">
            <v>0.48742079910802349</v>
          </cell>
          <cell r="D751">
            <v>0.21961274491816118</v>
          </cell>
          <cell r="E751">
            <v>0</v>
          </cell>
          <cell r="F751">
            <v>0.11254281869932067</v>
          </cell>
          <cell r="G751">
            <v>0.16627589127589129</v>
          </cell>
          <cell r="H751">
            <v>1.4147745998603438E-2</v>
          </cell>
          <cell r="J751" t="str">
            <v>2004WA</v>
          </cell>
          <cell r="K751">
            <v>0.83372410872410874</v>
          </cell>
          <cell r="L751">
            <v>0.16627589127589129</v>
          </cell>
          <cell r="M751">
            <v>0</v>
          </cell>
          <cell r="U751" t="str">
            <v>2004WA</v>
          </cell>
          <cell r="V751">
            <v>0.37353494700000001</v>
          </cell>
          <cell r="W751">
            <v>3.1263627000000002E-2</v>
          </cell>
          <cell r="X751">
            <v>0.168896926</v>
          </cell>
          <cell r="Y751">
            <v>0.119853577</v>
          </cell>
          <cell r="Z751">
            <v>0.30645092299999999</v>
          </cell>
          <cell r="AB751" t="str">
            <v>2004WA</v>
          </cell>
          <cell r="AC751">
            <v>0</v>
          </cell>
          <cell r="AD751">
            <v>0</v>
          </cell>
          <cell r="AE751">
            <v>0.12</v>
          </cell>
          <cell r="AF751">
            <v>0.88</v>
          </cell>
        </row>
        <row r="752">
          <cell r="B752" t="str">
            <v>2004WV</v>
          </cell>
          <cell r="C752">
            <v>6.8751812683186322E-2</v>
          </cell>
          <cell r="D752">
            <v>0.15888641455628993</v>
          </cell>
          <cell r="E752">
            <v>0.44831485363191043</v>
          </cell>
          <cell r="F752">
            <v>0.22633984896592482</v>
          </cell>
          <cell r="G752">
            <v>7.0025492327769459E-2</v>
          </cell>
          <cell r="H752">
            <v>2.7681577834919095E-2</v>
          </cell>
          <cell r="J752" t="str">
            <v>2004WV</v>
          </cell>
          <cell r="K752">
            <v>0.48165965404032007</v>
          </cell>
          <cell r="L752">
            <v>7.0025492327769459E-2</v>
          </cell>
          <cell r="M752">
            <v>0.44831485363191043</v>
          </cell>
          <cell r="U752" t="str">
            <v>2004WV</v>
          </cell>
          <cell r="V752">
            <v>0.57920187499999998</v>
          </cell>
          <cell r="W752">
            <v>2.1256934000000002E-2</v>
          </cell>
          <cell r="X752">
            <v>0.113169981</v>
          </cell>
          <cell r="Y752">
            <v>7.9649016000000003E-2</v>
          </cell>
          <cell r="Z752">
            <v>0.206722194</v>
          </cell>
          <cell r="AB752" t="str">
            <v>2004WV</v>
          </cell>
          <cell r="AC752">
            <v>0</v>
          </cell>
          <cell r="AD752">
            <v>0</v>
          </cell>
          <cell r="AE752">
            <v>0.05</v>
          </cell>
          <cell r="AF752">
            <v>0.95</v>
          </cell>
        </row>
        <row r="753">
          <cell r="B753" t="str">
            <v>2004WI</v>
          </cell>
          <cell r="C753">
            <v>0.12203432597344931</v>
          </cell>
          <cell r="D753">
            <v>0.23555629715568294</v>
          </cell>
          <cell r="E753">
            <v>0.11540173598404266</v>
          </cell>
          <cell r="F753">
            <v>0.42032708364290838</v>
          </cell>
          <cell r="G753">
            <v>6.8322420806473022E-2</v>
          </cell>
          <cell r="H753">
            <v>3.8358136437443673E-2</v>
          </cell>
          <cell r="J753" t="str">
            <v>2004WI</v>
          </cell>
          <cell r="K753">
            <v>0.81627584320948432</v>
          </cell>
          <cell r="L753">
            <v>6.8322420806473022E-2</v>
          </cell>
          <cell r="M753">
            <v>0.11540173598404266</v>
          </cell>
          <cell r="U753" t="str">
            <v>2004WI</v>
          </cell>
          <cell r="V753">
            <v>0.12883246500000001</v>
          </cell>
          <cell r="W753">
            <v>4.2564396999999997E-2</v>
          </cell>
          <cell r="X753">
            <v>0.23585646199999999</v>
          </cell>
          <cell r="Y753">
            <v>0.16970626599999999</v>
          </cell>
          <cell r="Z753">
            <v>0.42304040999999998</v>
          </cell>
          <cell r="AB753" t="str">
            <v>2004WI</v>
          </cell>
          <cell r="AC753">
            <v>0</v>
          </cell>
          <cell r="AD753">
            <v>0</v>
          </cell>
          <cell r="AE753">
            <v>0.02</v>
          </cell>
          <cell r="AF753">
            <v>0.98</v>
          </cell>
        </row>
        <row r="754">
          <cell r="B754" t="str">
            <v>2004WY</v>
          </cell>
          <cell r="C754">
            <v>0.29508724522063295</v>
          </cell>
          <cell r="D754">
            <v>0.23251729773373622</v>
          </cell>
          <cell r="E754">
            <v>0.12161775942187937</v>
          </cell>
          <cell r="F754">
            <v>0.2207502472879718</v>
          </cell>
          <cell r="G754">
            <v>7.2002554085590281E-2</v>
          </cell>
          <cell r="H754">
            <v>5.8024896250189507E-2</v>
          </cell>
          <cell r="J754" t="str">
            <v>2004WY</v>
          </cell>
          <cell r="K754">
            <v>0.80637968649253033</v>
          </cell>
          <cell r="L754">
            <v>7.2002554085590281E-2</v>
          </cell>
          <cell r="M754">
            <v>0.12161775942187937</v>
          </cell>
          <cell r="U754" t="str">
            <v>2004WY</v>
          </cell>
          <cell r="V754">
            <v>3.2109568999999998E-2</v>
          </cell>
          <cell r="W754">
            <v>5.3596850000000001E-2</v>
          </cell>
          <cell r="X754">
            <v>0.25521061499999997</v>
          </cell>
          <cell r="Y754">
            <v>0.16752597599999999</v>
          </cell>
          <cell r="Z754">
            <v>0.49155699000000003</v>
          </cell>
          <cell r="AB754" t="str">
            <v>2004WY</v>
          </cell>
          <cell r="AC754">
            <v>0</v>
          </cell>
          <cell r="AD754">
            <v>0</v>
          </cell>
          <cell r="AE754">
            <v>0.6</v>
          </cell>
          <cell r="AF754">
            <v>0.4</v>
          </cell>
        </row>
        <row r="755">
          <cell r="B755" t="str">
            <v>2005AL</v>
          </cell>
          <cell r="C755">
            <v>0.17233560131521788</v>
          </cell>
          <cell r="D755">
            <v>9.7606154746872412E-2</v>
          </cell>
          <cell r="E755">
            <v>0.16919346457207346</v>
          </cell>
          <cell r="F755">
            <v>0.1056405325382436</v>
          </cell>
          <cell r="G755">
            <v>0.45062509818962659</v>
          </cell>
          <cell r="H755">
            <v>4.5991486379660445E-3</v>
          </cell>
          <cell r="J755" t="str">
            <v>2005AL</v>
          </cell>
          <cell r="K755">
            <v>0.38018143723829989</v>
          </cell>
          <cell r="L755">
            <v>0.45062509818962659</v>
          </cell>
          <cell r="M755">
            <v>0.16919346457207346</v>
          </cell>
          <cell r="U755" t="str">
            <v>2005AL</v>
          </cell>
          <cell r="V755">
            <v>5.3114938E-2</v>
          </cell>
          <cell r="W755">
            <v>3.6058960000000001E-2</v>
          </cell>
          <cell r="X755">
            <v>8.4414527000000003E-2</v>
          </cell>
          <cell r="Y755">
            <v>0.50961295299999998</v>
          </cell>
          <cell r="Z755">
            <v>0.316798623</v>
          </cell>
          <cell r="AB755" t="str">
            <v>2005AL</v>
          </cell>
          <cell r="AC755">
            <v>0</v>
          </cell>
          <cell r="AD755">
            <v>0</v>
          </cell>
          <cell r="AE755">
            <v>0.41899999999999998</v>
          </cell>
          <cell r="AF755">
            <v>0.58099999999999996</v>
          </cell>
        </row>
        <row r="756">
          <cell r="B756" t="str">
            <v>2005AK</v>
          </cell>
          <cell r="C756">
            <v>0.30334484066413492</v>
          </cell>
          <cell r="D756">
            <v>0.23769937716735701</v>
          </cell>
          <cell r="E756">
            <v>6.205843688929364E-2</v>
          </cell>
          <cell r="F756">
            <v>0.28363994741136878</v>
          </cell>
          <cell r="G756">
            <v>3.6741064625999714E-2</v>
          </cell>
          <cell r="H756">
            <v>7.6516333241846021E-2</v>
          </cell>
          <cell r="J756" t="str">
            <v>2005AK</v>
          </cell>
          <cell r="K756">
            <v>0.90120049848470662</v>
          </cell>
          <cell r="L756">
            <v>3.6741064625999714E-2</v>
          </cell>
          <cell r="M756">
            <v>6.205843688929364E-2</v>
          </cell>
          <cell r="U756" t="str">
            <v>2005AK</v>
          </cell>
          <cell r="V756">
            <v>0.52632575500000001</v>
          </cell>
          <cell r="W756">
            <v>2.0841667000000001E-2</v>
          </cell>
          <cell r="X756">
            <v>0.130734092</v>
          </cell>
          <cell r="Y756">
            <v>9.9945266000000005E-2</v>
          </cell>
          <cell r="Z756">
            <v>0.22215322100000001</v>
          </cell>
          <cell r="AB756" t="str">
            <v>2005AK</v>
          </cell>
          <cell r="AC756">
            <v>0</v>
          </cell>
          <cell r="AD756">
            <v>0</v>
          </cell>
          <cell r="AE756">
            <v>0.25</v>
          </cell>
          <cell r="AF756">
            <v>0.75</v>
          </cell>
        </row>
        <row r="757">
          <cell r="B757" t="str">
            <v>2005AZ</v>
          </cell>
          <cell r="C757">
            <v>0.611220636654217</v>
          </cell>
          <cell r="D757">
            <v>0.19572797693407004</v>
          </cell>
          <cell r="E757">
            <v>9.865488383487428E-2</v>
          </cell>
          <cell r="F757">
            <v>9.3890669243012675E-2</v>
          </cell>
          <cell r="G757">
            <v>0</v>
          </cell>
          <cell r="H757">
            <v>5.0583333382575558E-4</v>
          </cell>
          <cell r="J757" t="str">
            <v>2005AZ</v>
          </cell>
          <cell r="K757">
            <v>0.90134511616512569</v>
          </cell>
          <cell r="L757">
            <v>0</v>
          </cell>
          <cell r="M757">
            <v>9.865488383487428E-2</v>
          </cell>
          <cell r="U757" t="str">
            <v>2005AZ</v>
          </cell>
          <cell r="V757">
            <v>0.136592664</v>
          </cell>
          <cell r="W757">
            <v>3.2171241000000003E-2</v>
          </cell>
          <cell r="X757">
            <v>5.4596316999999998E-2</v>
          </cell>
          <cell r="Y757">
            <v>0.50386894699999996</v>
          </cell>
          <cell r="Z757">
            <v>0.27277083200000002</v>
          </cell>
          <cell r="AB757" t="str">
            <v>2005AZ</v>
          </cell>
          <cell r="AC757">
            <v>0</v>
          </cell>
          <cell r="AD757">
            <v>0</v>
          </cell>
          <cell r="AE757">
            <v>0.6</v>
          </cell>
          <cell r="AF757">
            <v>0.4</v>
          </cell>
        </row>
        <row r="758">
          <cell r="B758" t="str">
            <v>2005AR</v>
          </cell>
          <cell r="C758">
            <v>9.6391342329605903E-2</v>
          </cell>
          <cell r="D758">
            <v>6.6955456596874061E-2</v>
          </cell>
          <cell r="E758">
            <v>0.14888335780531528</v>
          </cell>
          <cell r="F758">
            <v>0.11118804006195876</v>
          </cell>
          <cell r="G758">
            <v>0.57111057531117648</v>
          </cell>
          <cell r="H758">
            <v>5.4712278950695761E-3</v>
          </cell>
          <cell r="J758" t="str">
            <v>2005AR</v>
          </cell>
          <cell r="K758">
            <v>0.28000606688350826</v>
          </cell>
          <cell r="L758">
            <v>0.57111057531117648</v>
          </cell>
          <cell r="M758">
            <v>0.14888335780531528</v>
          </cell>
          <cell r="U758" t="str">
            <v>2005AR</v>
          </cell>
          <cell r="V758">
            <v>3.9459004999999998E-2</v>
          </cell>
          <cell r="W758">
            <v>3.7640482000000003E-2</v>
          </cell>
          <cell r="X758">
            <v>0.11914443199999999</v>
          </cell>
          <cell r="Y758">
            <v>0.45827781299999998</v>
          </cell>
          <cell r="Z758">
            <v>0.34547826799999998</v>
          </cell>
          <cell r="AB758" t="str">
            <v>2005AR</v>
          </cell>
          <cell r="AC758">
            <v>0</v>
          </cell>
          <cell r="AD758">
            <v>0</v>
          </cell>
          <cell r="AE758">
            <v>0</v>
          </cell>
          <cell r="AF758">
            <v>1</v>
          </cell>
        </row>
        <row r="759">
          <cell r="B759" t="str">
            <v>2005CA</v>
          </cell>
          <cell r="C759">
            <v>0.58081862489107328</v>
          </cell>
          <cell r="D759">
            <v>0.20720345916912225</v>
          </cell>
          <cell r="E759">
            <v>0.10801924509893834</v>
          </cell>
          <cell r="F759">
            <v>9.2431120719429966E-2</v>
          </cell>
          <cell r="G759">
            <v>9.2523577326630076E-3</v>
          </cell>
          <cell r="H759">
            <v>2.2751923887731596E-3</v>
          </cell>
          <cell r="J759" t="str">
            <v>2005CA</v>
          </cell>
          <cell r="K759">
            <v>0.88272839716839868</v>
          </cell>
          <cell r="L759">
            <v>9.2523577326630076E-3</v>
          </cell>
          <cell r="M759">
            <v>0.10801924509893834</v>
          </cell>
          <cell r="U759" t="str">
            <v>2005CA</v>
          </cell>
          <cell r="V759">
            <v>0.133799526</v>
          </cell>
          <cell r="W759">
            <v>3.2941353E-2</v>
          </cell>
          <cell r="X759">
            <v>7.5800703999999997E-2</v>
          </cell>
          <cell r="Y759">
            <v>0.46867659099999998</v>
          </cell>
          <cell r="Z759">
            <v>0.28878182499999999</v>
          </cell>
          <cell r="AB759" t="str">
            <v>2005CA</v>
          </cell>
          <cell r="AC759">
            <v>0</v>
          </cell>
          <cell r="AD759">
            <v>0</v>
          </cell>
          <cell r="AE759">
            <v>0.12</v>
          </cell>
          <cell r="AF759">
            <v>0.88</v>
          </cell>
        </row>
        <row r="760">
          <cell r="B760" t="str">
            <v>2005CO</v>
          </cell>
          <cell r="C760">
            <v>0.61667904285785091</v>
          </cell>
          <cell r="D760">
            <v>0.24212893570430052</v>
          </cell>
          <cell r="E760">
            <v>1.1092391745361967E-2</v>
          </cell>
          <cell r="F760">
            <v>0.11516410971780773</v>
          </cell>
          <cell r="G760">
            <v>6.5671374014829543E-3</v>
          </cell>
          <cell r="H760">
            <v>8.3683825731959392E-3</v>
          </cell>
          <cell r="J760" t="str">
            <v>2005CO</v>
          </cell>
          <cell r="K760">
            <v>0.98234047085315512</v>
          </cell>
          <cell r="L760">
            <v>6.5671374014829543E-3</v>
          </cell>
          <cell r="M760">
            <v>1.1092391745361967E-2</v>
          </cell>
          <cell r="U760" t="str">
            <v>2005CO</v>
          </cell>
          <cell r="V760">
            <v>2.3378138E-2</v>
          </cell>
          <cell r="W760">
            <v>5.3880426000000002E-2</v>
          </cell>
          <cell r="X760">
            <v>0.25772948099999998</v>
          </cell>
          <cell r="Y760">
            <v>0.169703665</v>
          </cell>
          <cell r="Z760">
            <v>0.49530828999999998</v>
          </cell>
          <cell r="AB760" t="str">
            <v>2005CO</v>
          </cell>
          <cell r="AC760">
            <v>0</v>
          </cell>
          <cell r="AD760">
            <v>0</v>
          </cell>
          <cell r="AE760">
            <v>0.6</v>
          </cell>
          <cell r="AF760">
            <v>0.4</v>
          </cell>
        </row>
        <row r="761">
          <cell r="B761" t="str">
            <v>2005CT</v>
          </cell>
          <cell r="C761">
            <v>0.11572842393252261</v>
          </cell>
          <cell r="D761">
            <v>0.20119880615243968</v>
          </cell>
          <cell r="E761">
            <v>0.43233999756560143</v>
          </cell>
          <cell r="F761">
            <v>0.17234541515575838</v>
          </cell>
          <cell r="G761">
            <v>5.5615402487630847E-2</v>
          </cell>
          <cell r="H761">
            <v>2.2771954706046996E-2</v>
          </cell>
          <cell r="J761" t="str">
            <v>2005CT</v>
          </cell>
          <cell r="K761">
            <v>0.51204459994676776</v>
          </cell>
          <cell r="L761">
            <v>5.5615402487630847E-2</v>
          </cell>
          <cell r="M761">
            <v>0.43233999756560143</v>
          </cell>
          <cell r="U761" t="str">
            <v>2005CT</v>
          </cell>
          <cell r="V761">
            <v>0.57363861400000005</v>
          </cell>
          <cell r="W761">
            <v>1.8759900999999999E-2</v>
          </cell>
          <cell r="X761">
            <v>0.117675743</v>
          </cell>
          <cell r="Y761">
            <v>8.9962252000000006E-2</v>
          </cell>
          <cell r="Z761">
            <v>0.19996348999999999</v>
          </cell>
          <cell r="AB761" t="str">
            <v>2005CT</v>
          </cell>
          <cell r="AC761">
            <v>0</v>
          </cell>
          <cell r="AD761">
            <v>0</v>
          </cell>
          <cell r="AE761">
            <v>0.05</v>
          </cell>
          <cell r="AF761">
            <v>0.95</v>
          </cell>
        </row>
        <row r="762">
          <cell r="B762" t="str">
            <v>2005DE</v>
          </cell>
          <cell r="C762">
            <v>0.10201653895343663</v>
          </cell>
          <cell r="D762">
            <v>0.1910091905838856</v>
          </cell>
          <cell r="E762">
            <v>0.43707162937473454</v>
          </cell>
          <cell r="F762">
            <v>0.18637975788177577</v>
          </cell>
          <cell r="G762">
            <v>5.9883562349419175E-2</v>
          </cell>
          <cell r="H762">
            <v>2.3639320856748244E-2</v>
          </cell>
          <cell r="J762" t="str">
            <v>2005DE</v>
          </cell>
          <cell r="K762">
            <v>0.5030448082758463</v>
          </cell>
          <cell r="L762">
            <v>5.9883562349419175E-2</v>
          </cell>
          <cell r="M762">
            <v>0.43707162937473454</v>
          </cell>
          <cell r="U762" t="str">
            <v>2005DE</v>
          </cell>
          <cell r="V762">
            <v>0.120253529</v>
          </cell>
          <cell r="W762">
            <v>4.1631153999999997E-2</v>
          </cell>
          <cell r="X762">
            <v>0.23964419100000001</v>
          </cell>
          <cell r="Y762">
            <v>0.17588547500000001</v>
          </cell>
          <cell r="Z762">
            <v>0.42258565100000001</v>
          </cell>
          <cell r="AB762" t="str">
            <v>2005DE</v>
          </cell>
          <cell r="AC762">
            <v>0</v>
          </cell>
          <cell r="AD762">
            <v>0</v>
          </cell>
          <cell r="AE762">
            <v>0.05</v>
          </cell>
          <cell r="AF762">
            <v>0.95</v>
          </cell>
        </row>
        <row r="763">
          <cell r="B763" t="str">
            <v>2005FL</v>
          </cell>
          <cell r="C763">
            <v>0.38654865924430459</v>
          </cell>
          <cell r="D763">
            <v>0.14503983167997814</v>
          </cell>
          <cell r="E763">
            <v>0.21616400084919535</v>
          </cell>
          <cell r="F763">
            <v>7.8997496757044303E-2</v>
          </cell>
          <cell r="G763">
            <v>0.17198217725399226</v>
          </cell>
          <cell r="H763">
            <v>1.2678342154852779E-3</v>
          </cell>
          <cell r="J763" t="str">
            <v>2005FL</v>
          </cell>
          <cell r="K763">
            <v>0.61185382189681237</v>
          </cell>
          <cell r="L763">
            <v>0.17198217725399226</v>
          </cell>
          <cell r="M763">
            <v>0.21616400084919535</v>
          </cell>
          <cell r="U763" t="str">
            <v>2005FL</v>
          </cell>
          <cell r="V763">
            <v>0.71166924399999998</v>
          </cell>
          <cell r="W763">
            <v>1.2686553E-2</v>
          </cell>
          <cell r="X763">
            <v>7.9579288999999998E-2</v>
          </cell>
          <cell r="Y763">
            <v>6.0837789000000003E-2</v>
          </cell>
          <cell r="Z763">
            <v>0.135227124</v>
          </cell>
          <cell r="AB763" t="str">
            <v>2005FL</v>
          </cell>
          <cell r="AC763">
            <v>0</v>
          </cell>
          <cell r="AD763">
            <v>0</v>
          </cell>
          <cell r="AE763">
            <v>0.41899999999999998</v>
          </cell>
          <cell r="AF763">
            <v>0.58099999999999996</v>
          </cell>
        </row>
        <row r="764">
          <cell r="B764" t="str">
            <v>2005GA</v>
          </cell>
          <cell r="C764">
            <v>0.20823216155586291</v>
          </cell>
          <cell r="D764">
            <v>0.11033206176717186</v>
          </cell>
          <cell r="E764">
            <v>0.17733204084631207</v>
          </cell>
          <cell r="F764">
            <v>9.7862793659120595E-2</v>
          </cell>
          <cell r="G764">
            <v>0.40234468997942996</v>
          </cell>
          <cell r="H764">
            <v>3.8962521921025758E-3</v>
          </cell>
          <cell r="J764" t="str">
            <v>2005GA</v>
          </cell>
          <cell r="K764">
            <v>0.420323269174258</v>
          </cell>
          <cell r="L764">
            <v>0.40234468997942996</v>
          </cell>
          <cell r="M764">
            <v>0.17733204084631207</v>
          </cell>
          <cell r="U764" t="str">
            <v>2005GA</v>
          </cell>
          <cell r="V764">
            <v>7.8133266000000007E-2</v>
          </cell>
          <cell r="W764">
            <v>3.5587817000000001E-2</v>
          </cell>
          <cell r="X764">
            <v>9.7388838000000005E-2</v>
          </cell>
          <cell r="Y764">
            <v>0.46952270200000001</v>
          </cell>
          <cell r="Z764">
            <v>0.31936737799999998</v>
          </cell>
          <cell r="AB764" t="str">
            <v>2005GA</v>
          </cell>
          <cell r="AC764">
            <v>0</v>
          </cell>
          <cell r="AD764">
            <v>0</v>
          </cell>
          <cell r="AE764">
            <v>0.41899999999999998</v>
          </cell>
          <cell r="AF764">
            <v>0.58099999999999996</v>
          </cell>
        </row>
        <row r="765">
          <cell r="B765" t="str">
            <v>2005HI</v>
          </cell>
          <cell r="C765">
            <v>0.67137224197860923</v>
          </cell>
          <cell r="D765">
            <v>0.21100034068527662</v>
          </cell>
          <cell r="E765">
            <v>0</v>
          </cell>
          <cell r="F765">
            <v>0.10820426646618357</v>
          </cell>
          <cell r="G765">
            <v>7.5112148308577572E-3</v>
          </cell>
          <cell r="H765">
            <v>1.9119360390725836E-3</v>
          </cell>
          <cell r="J765" t="str">
            <v>2005HI</v>
          </cell>
          <cell r="K765">
            <v>0.9924887851691423</v>
          </cell>
          <cell r="L765">
            <v>7.5112148308577572E-3</v>
          </cell>
          <cell r="M765">
            <v>0</v>
          </cell>
          <cell r="U765" t="str">
            <v>2005HI</v>
          </cell>
          <cell r="V765">
            <v>0.23216878499999999</v>
          </cell>
          <cell r="W765">
            <v>3.2904865999999998E-2</v>
          </cell>
          <cell r="X765">
            <v>0.18414778700000001</v>
          </cell>
          <cell r="Y765">
            <v>0.21064765399999999</v>
          </cell>
          <cell r="Z765">
            <v>0.34013090899999998</v>
          </cell>
          <cell r="AB765" t="str">
            <v>2005HI</v>
          </cell>
          <cell r="AC765">
            <v>0</v>
          </cell>
          <cell r="AD765">
            <v>0</v>
          </cell>
          <cell r="AE765">
            <v>0.25</v>
          </cell>
          <cell r="AF765">
            <v>0.75</v>
          </cell>
        </row>
        <row r="766">
          <cell r="B766" t="str">
            <v>2005ID</v>
          </cell>
          <cell r="C766">
            <v>0.62850843440764703</v>
          </cell>
          <cell r="D766">
            <v>0.2329683972033782</v>
          </cell>
          <cell r="E766">
            <v>6.4436683947772669E-3</v>
          </cell>
          <cell r="F766">
            <v>0.11961222721284216</v>
          </cell>
          <cell r="G766">
            <v>3.8149081541218642E-3</v>
          </cell>
          <cell r="H766">
            <v>8.6523646272333287E-3</v>
          </cell>
          <cell r="J766" t="str">
            <v>2005ID</v>
          </cell>
          <cell r="K766">
            <v>0.98974142345110083</v>
          </cell>
          <cell r="L766">
            <v>3.8149081541218642E-3</v>
          </cell>
          <cell r="M766">
            <v>6.4436683947772669E-3</v>
          </cell>
          <cell r="U766" t="str">
            <v>2005ID</v>
          </cell>
          <cell r="V766">
            <v>0.460837895</v>
          </cell>
          <cell r="W766">
            <v>2.6974237000000002E-2</v>
          </cell>
          <cell r="X766">
            <v>0.14528671200000001</v>
          </cell>
          <cell r="Y766">
            <v>0.102926191</v>
          </cell>
          <cell r="Z766">
            <v>0.26397496599999998</v>
          </cell>
          <cell r="AB766" t="str">
            <v>2005ID</v>
          </cell>
          <cell r="AC766">
            <v>0</v>
          </cell>
          <cell r="AD766">
            <v>0</v>
          </cell>
          <cell r="AE766">
            <v>0.6</v>
          </cell>
          <cell r="AF766">
            <v>0.4</v>
          </cell>
        </row>
        <row r="767">
          <cell r="B767" t="str">
            <v>2005IL</v>
          </cell>
          <cell r="C767">
            <v>0.13175283144497188</v>
          </cell>
          <cell r="D767">
            <v>0.26046159534668961</v>
          </cell>
          <cell r="E767">
            <v>8.1383349234931596E-2</v>
          </cell>
          <cell r="F767">
            <v>0.43207247933210829</v>
          </cell>
          <cell r="G767">
            <v>4.8182181885357514E-2</v>
          </cell>
          <cell r="H767">
            <v>4.6147562755941125E-2</v>
          </cell>
          <cell r="J767" t="str">
            <v>2005IL</v>
          </cell>
          <cell r="K767">
            <v>0.87043446887971088</v>
          </cell>
          <cell r="L767">
            <v>4.8182181885357514E-2</v>
          </cell>
          <cell r="M767">
            <v>8.1383349234931596E-2</v>
          </cell>
          <cell r="U767" t="str">
            <v>2005IL</v>
          </cell>
          <cell r="V767">
            <v>2.0186552999999999E-2</v>
          </cell>
          <cell r="W767">
            <v>4.5739502000000001E-2</v>
          </cell>
          <cell r="X767">
            <v>0.28028242399999997</v>
          </cell>
          <cell r="Y767">
            <v>0.149587944</v>
          </cell>
          <cell r="Z767">
            <v>0.50420357699999996</v>
          </cell>
          <cell r="AB767" t="str">
            <v>2005IL</v>
          </cell>
          <cell r="AC767">
            <v>0</v>
          </cell>
          <cell r="AD767">
            <v>0</v>
          </cell>
          <cell r="AE767">
            <v>0.02</v>
          </cell>
          <cell r="AF767">
            <v>0.98</v>
          </cell>
        </row>
        <row r="768">
          <cell r="B768" t="str">
            <v>2005IN</v>
          </cell>
          <cell r="C768">
            <v>0.16189917384296076</v>
          </cell>
          <cell r="D768">
            <v>0.24163212738244233</v>
          </cell>
          <cell r="E768">
            <v>0.13392208737361183</v>
          </cell>
          <cell r="F768">
            <v>0.3491044693998876</v>
          </cell>
          <cell r="G768">
            <v>7.9287205957511472E-2</v>
          </cell>
          <cell r="H768">
            <v>3.4154936043586021E-2</v>
          </cell>
          <cell r="J768" t="str">
            <v>2005IN</v>
          </cell>
          <cell r="K768">
            <v>0.78679070666887663</v>
          </cell>
          <cell r="L768">
            <v>7.9287205957511472E-2</v>
          </cell>
          <cell r="M768">
            <v>0.13392208737361183</v>
          </cell>
          <cell r="U768" t="str">
            <v>2005IN</v>
          </cell>
          <cell r="V768">
            <v>2.5489210000000002E-2</v>
          </cell>
          <cell r="W768">
            <v>4.5536079E-2</v>
          </cell>
          <cell r="X768">
            <v>0.27893099599999999</v>
          </cell>
          <cell r="Y768">
            <v>0.14781887399999999</v>
          </cell>
          <cell r="Z768">
            <v>0.50222484099999998</v>
          </cell>
          <cell r="AB768" t="str">
            <v>2005IN</v>
          </cell>
          <cell r="AC768">
            <v>0</v>
          </cell>
          <cell r="AD768">
            <v>0</v>
          </cell>
          <cell r="AE768">
            <v>0</v>
          </cell>
          <cell r="AF768">
            <v>1</v>
          </cell>
        </row>
        <row r="769">
          <cell r="B769" t="str">
            <v>2005IA</v>
          </cell>
          <cell r="C769">
            <v>0.13792614664225575</v>
          </cell>
          <cell r="D769">
            <v>0.25047757969635848</v>
          </cell>
          <cell r="E769">
            <v>0.10477197231415941</v>
          </cell>
          <cell r="F769">
            <v>0.40507493125352922</v>
          </cell>
          <cell r="G769">
            <v>6.2029177638731184E-2</v>
          </cell>
          <cell r="H769">
            <v>3.9720192454965969E-2</v>
          </cell>
          <cell r="J769" t="str">
            <v>2005IA</v>
          </cell>
          <cell r="K769">
            <v>0.83319885004710947</v>
          </cell>
          <cell r="L769">
            <v>6.2029177638731184E-2</v>
          </cell>
          <cell r="M769">
            <v>0.10477197231415941</v>
          </cell>
          <cell r="U769" t="str">
            <v>2005IA</v>
          </cell>
          <cell r="V769">
            <v>9.6502570000000006E-3</v>
          </cell>
          <cell r="W769">
            <v>3.8739974000000003E-2</v>
          </cell>
          <cell r="X769">
            <v>0.12067557499999999</v>
          </cell>
          <cell r="Y769">
            <v>0.47629315999999999</v>
          </cell>
          <cell r="Z769">
            <v>0.35464103499999999</v>
          </cell>
          <cell r="AB769" t="str">
            <v>2005IA</v>
          </cell>
          <cell r="AC769">
            <v>0</v>
          </cell>
          <cell r="AD769">
            <v>0</v>
          </cell>
          <cell r="AE769">
            <v>0</v>
          </cell>
          <cell r="AF769">
            <v>1</v>
          </cell>
        </row>
        <row r="770">
          <cell r="B770" t="str">
            <v>2005KS</v>
          </cell>
          <cell r="C770">
            <v>0.28758404285910905</v>
          </cell>
          <cell r="D770">
            <v>0.32607606753917184</v>
          </cell>
          <cell r="E770">
            <v>5.1050547933917619E-2</v>
          </cell>
          <cell r="F770">
            <v>0.27762124338847843</v>
          </cell>
          <cell r="G770">
            <v>3.0223956239483565E-2</v>
          </cell>
          <cell r="H770">
            <v>2.7444142039839463E-2</v>
          </cell>
          <cell r="J770" t="str">
            <v>2005KS</v>
          </cell>
          <cell r="K770">
            <v>0.91872549582659879</v>
          </cell>
          <cell r="L770">
            <v>3.0223956239483565E-2</v>
          </cell>
          <cell r="M770">
            <v>5.1050547933917619E-2</v>
          </cell>
          <cell r="U770" t="str">
            <v>2005KS</v>
          </cell>
          <cell r="V770">
            <v>2.3647662E-2</v>
          </cell>
          <cell r="W770">
            <v>4.6272377000000003E-2</v>
          </cell>
          <cell r="X770">
            <v>0.28189652199999998</v>
          </cell>
          <cell r="Y770">
            <v>0.13395533500000001</v>
          </cell>
          <cell r="Z770">
            <v>0.51422810299999999</v>
          </cell>
          <cell r="AB770" t="str">
            <v>2005KS</v>
          </cell>
          <cell r="AC770">
            <v>0</v>
          </cell>
          <cell r="AD770">
            <v>0</v>
          </cell>
          <cell r="AE770">
            <v>0.02</v>
          </cell>
          <cell r="AF770">
            <v>0.98</v>
          </cell>
        </row>
        <row r="771">
          <cell r="B771" t="str">
            <v>2005KY</v>
          </cell>
          <cell r="C771">
            <v>2.3305602928070858E-2</v>
          </cell>
          <cell r="D771">
            <v>6.2885861766289422E-2</v>
          </cell>
          <cell r="E771">
            <v>0.14165738300711325</v>
          </cell>
          <cell r="F771">
            <v>0.14315421990856123</v>
          </cell>
          <cell r="G771">
            <v>0.61397716539009373</v>
          </cell>
          <cell r="H771">
            <v>1.5019766999871505E-2</v>
          </cell>
          <cell r="J771" t="str">
            <v>2005KY</v>
          </cell>
          <cell r="K771">
            <v>0.24436545160279299</v>
          </cell>
          <cell r="L771">
            <v>0.61397716539009373</v>
          </cell>
          <cell r="M771">
            <v>0.14165738300711325</v>
          </cell>
          <cell r="U771" t="str">
            <v>2005KY</v>
          </cell>
          <cell r="V771">
            <v>4.9184704000000003E-2</v>
          </cell>
          <cell r="W771">
            <v>3.7321891000000003E-2</v>
          </cell>
          <cell r="X771">
            <v>0.11991215400000001</v>
          </cell>
          <cell r="Y771">
            <v>0.45018075899999999</v>
          </cell>
          <cell r="Z771">
            <v>0.34340049099999997</v>
          </cell>
          <cell r="AB771" t="str">
            <v>2005KY</v>
          </cell>
          <cell r="AC771">
            <v>0</v>
          </cell>
          <cell r="AD771">
            <v>0</v>
          </cell>
          <cell r="AE771">
            <v>0.05</v>
          </cell>
          <cell r="AF771">
            <v>0.95</v>
          </cell>
        </row>
        <row r="772">
          <cell r="B772" t="str">
            <v>2005LA</v>
          </cell>
          <cell r="C772">
            <v>8.7696493950327165E-2</v>
          </cell>
          <cell r="D772">
            <v>6.4637521135916851E-2</v>
          </cell>
          <cell r="E772">
            <v>0.14461730665558523</v>
          </cell>
          <cell r="F772">
            <v>0.10160244529023774</v>
          </cell>
          <cell r="G772">
            <v>0.59641803499629376</v>
          </cell>
          <cell r="H772">
            <v>5.0281979716392446E-3</v>
          </cell>
          <cell r="J772" t="str">
            <v>2005LA</v>
          </cell>
          <cell r="K772">
            <v>0.25896465834812099</v>
          </cell>
          <cell r="L772">
            <v>0.59641803499629376</v>
          </cell>
          <cell r="M772">
            <v>0.14461730665558523</v>
          </cell>
          <cell r="U772" t="str">
            <v>2005LA</v>
          </cell>
          <cell r="V772">
            <v>0.53551704700000002</v>
          </cell>
          <cell r="W772">
            <v>2.0437250000000001E-2</v>
          </cell>
          <cell r="X772">
            <v>0.12819729499999999</v>
          </cell>
          <cell r="Y772">
            <v>9.8005903000000005E-2</v>
          </cell>
          <cell r="Z772">
            <v>0.21784250499999999</v>
          </cell>
          <cell r="AB772" t="str">
            <v>2005LA</v>
          </cell>
          <cell r="AC772">
            <v>0</v>
          </cell>
          <cell r="AD772">
            <v>0</v>
          </cell>
          <cell r="AE772">
            <v>0.6</v>
          </cell>
          <cell r="AF772">
            <v>0.4</v>
          </cell>
        </row>
        <row r="773">
          <cell r="B773" t="str">
            <v>2005ME</v>
          </cell>
          <cell r="C773">
            <v>9.3713015315557757E-2</v>
          </cell>
          <cell r="D773">
            <v>0.17210096338216258</v>
          </cell>
          <cell r="E773">
            <v>0.44837154081607639</v>
          </cell>
          <cell r="F773">
            <v>0.19633313267932656</v>
          </cell>
          <cell r="G773">
            <v>7.0076626899074845E-2</v>
          </cell>
          <cell r="H773">
            <v>1.9404720907801824E-2</v>
          </cell>
          <cell r="J773" t="str">
            <v>2005ME</v>
          </cell>
          <cell r="K773">
            <v>0.48155183228484877</v>
          </cell>
          <cell r="L773">
            <v>7.0076626899074845E-2</v>
          </cell>
          <cell r="M773">
            <v>0.44837154081607639</v>
          </cell>
          <cell r="U773" t="str">
            <v>2005ME</v>
          </cell>
          <cell r="V773">
            <v>0.72920202000000001</v>
          </cell>
          <cell r="W773">
            <v>1.1915111000000001E-2</v>
          </cell>
          <cell r="X773">
            <v>7.4740241999999998E-2</v>
          </cell>
          <cell r="Y773">
            <v>5.7138373999999999E-2</v>
          </cell>
          <cell r="Z773">
            <v>0.12700425300000001</v>
          </cell>
          <cell r="AB773" t="str">
            <v>2005ME</v>
          </cell>
          <cell r="AC773">
            <v>0</v>
          </cell>
          <cell r="AD773">
            <v>0</v>
          </cell>
          <cell r="AE773">
            <v>0.05</v>
          </cell>
          <cell r="AF773">
            <v>0.95</v>
          </cell>
        </row>
        <row r="774">
          <cell r="B774" t="str">
            <v>2005MD</v>
          </cell>
          <cell r="C774">
            <v>7.6488535055593554E-2</v>
          </cell>
          <cell r="D774">
            <v>0.15472472257238745</v>
          </cell>
          <cell r="E774">
            <v>0.44380834258126728</v>
          </cell>
          <cell r="F774">
            <v>0.22861605738914034</v>
          </cell>
          <cell r="G774">
            <v>6.5960402236453913E-2</v>
          </cell>
          <cell r="H774">
            <v>3.0401940165157418E-2</v>
          </cell>
          <cell r="J774" t="str">
            <v>2005MD</v>
          </cell>
          <cell r="K774">
            <v>0.49023125518227884</v>
          </cell>
          <cell r="L774">
            <v>6.5960402236453913E-2</v>
          </cell>
          <cell r="M774">
            <v>0.44380834258126728</v>
          </cell>
          <cell r="U774" t="str">
            <v>2005MD</v>
          </cell>
          <cell r="V774">
            <v>0.21140679400000001</v>
          </cell>
          <cell r="W774">
            <v>3.7602905999999998E-2</v>
          </cell>
          <cell r="X774">
            <v>0.214504853</v>
          </cell>
          <cell r="Y774">
            <v>0.15671048400000001</v>
          </cell>
          <cell r="Z774">
            <v>0.37977496300000002</v>
          </cell>
          <cell r="AB774" t="str">
            <v>2005MD</v>
          </cell>
          <cell r="AC774">
            <v>0</v>
          </cell>
          <cell r="AD774">
            <v>0</v>
          </cell>
          <cell r="AE774">
            <v>0.05</v>
          </cell>
          <cell r="AF774">
            <v>0.95</v>
          </cell>
        </row>
        <row r="775">
          <cell r="B775" t="str">
            <v>2005MA</v>
          </cell>
          <cell r="C775">
            <v>6.1305440163427552E-2</v>
          </cell>
          <cell r="D775">
            <v>0.14874705508142777</v>
          </cell>
          <cell r="E775">
            <v>0.45216403673004657</v>
          </cell>
          <cell r="F775">
            <v>0.23617268276189021</v>
          </cell>
          <cell r="G775">
            <v>7.3497640935872632E-2</v>
          </cell>
          <cell r="H775">
            <v>2.8113144327335336E-2</v>
          </cell>
          <cell r="J775" t="str">
            <v>2005MA</v>
          </cell>
          <cell r="K775">
            <v>0.4743383223340808</v>
          </cell>
          <cell r="L775">
            <v>7.3497640935872632E-2</v>
          </cell>
          <cell r="M775">
            <v>0.45216403673004657</v>
          </cell>
          <cell r="U775" t="str">
            <v>2005MA</v>
          </cell>
          <cell r="V775">
            <v>0.31419575799999999</v>
          </cell>
          <cell r="W775">
            <v>3.0175387000000001E-2</v>
          </cell>
          <cell r="X775">
            <v>0.18928197099999999</v>
          </cell>
          <cell r="Y775">
            <v>0.14470469499999999</v>
          </cell>
          <cell r="Z775">
            <v>0.32164218900000002</v>
          </cell>
          <cell r="AB775" t="str">
            <v>2005MA</v>
          </cell>
          <cell r="AC775">
            <v>0</v>
          </cell>
          <cell r="AD775">
            <v>0</v>
          </cell>
          <cell r="AE775">
            <v>0.05</v>
          </cell>
          <cell r="AF775">
            <v>0.95</v>
          </cell>
        </row>
        <row r="776">
          <cell r="B776" t="str">
            <v>2005MI</v>
          </cell>
          <cell r="C776">
            <v>0.21592740095911189</v>
          </cell>
          <cell r="D776">
            <v>0.33044604004991018</v>
          </cell>
          <cell r="E776">
            <v>5.8998863632555826E-2</v>
          </cell>
          <cell r="F776">
            <v>0.32074430847532459</v>
          </cell>
          <cell r="G776">
            <v>3.4929675483950956E-2</v>
          </cell>
          <cell r="H776">
            <v>3.8953711399146676E-2</v>
          </cell>
          <cell r="J776" t="str">
            <v>2005MI</v>
          </cell>
          <cell r="K776">
            <v>0.90607146088349322</v>
          </cell>
          <cell r="L776">
            <v>3.4929675483950956E-2</v>
          </cell>
          <cell r="M776">
            <v>5.8998863632555826E-2</v>
          </cell>
          <cell r="U776" t="str">
            <v>2005MI</v>
          </cell>
          <cell r="V776">
            <v>4.5127237000000001E-2</v>
          </cell>
          <cell r="W776">
            <v>5.0500046999999999E-2</v>
          </cell>
          <cell r="X776">
            <v>0.254352099</v>
          </cell>
          <cell r="Y776">
            <v>0.17319266699999999</v>
          </cell>
          <cell r="Z776">
            <v>0.47682794899999997</v>
          </cell>
          <cell r="AB776" t="str">
            <v>2005MI</v>
          </cell>
          <cell r="AC776">
            <v>0</v>
          </cell>
          <cell r="AD776">
            <v>0</v>
          </cell>
          <cell r="AE776">
            <v>0.02</v>
          </cell>
          <cell r="AF776">
            <v>0.98</v>
          </cell>
        </row>
        <row r="777">
          <cell r="B777" t="str">
            <v>2005MN</v>
          </cell>
          <cell r="C777">
            <v>0.11559741536790068</v>
          </cell>
          <cell r="D777">
            <v>0.23915415867765383</v>
          </cell>
          <cell r="E777">
            <v>0.10052931481156221</v>
          </cell>
          <cell r="F777">
            <v>0.43822851849088174</v>
          </cell>
          <cell r="G777">
            <v>5.9517355535203494E-2</v>
          </cell>
          <cell r="H777">
            <v>4.697323711679801E-2</v>
          </cell>
          <cell r="J777" t="str">
            <v>2005MN</v>
          </cell>
          <cell r="K777">
            <v>0.83995332965323433</v>
          </cell>
          <cell r="L777">
            <v>5.9517355535203494E-2</v>
          </cell>
          <cell r="M777">
            <v>0.10052931481156221</v>
          </cell>
          <cell r="U777" t="str">
            <v>2005MN</v>
          </cell>
          <cell r="V777">
            <v>1.5145339000000001E-2</v>
          </cell>
          <cell r="W777">
            <v>5.1986831999999997E-2</v>
          </cell>
          <cell r="X777">
            <v>0.262445557</v>
          </cell>
          <cell r="Y777">
            <v>0.17896024199999999</v>
          </cell>
          <cell r="Z777">
            <v>0.49146202900000002</v>
          </cell>
          <cell r="AB777" t="str">
            <v>2005MN</v>
          </cell>
          <cell r="AC777">
            <v>0</v>
          </cell>
          <cell r="AD777">
            <v>0</v>
          </cell>
          <cell r="AE777">
            <v>0</v>
          </cell>
          <cell r="AF777">
            <v>1</v>
          </cell>
        </row>
        <row r="778">
          <cell r="B778" t="str">
            <v>2005MS</v>
          </cell>
          <cell r="C778">
            <v>0.10416334210611014</v>
          </cell>
          <cell r="D778">
            <v>7.2829933678422776E-2</v>
          </cell>
          <cell r="E778">
            <v>0.14929269604113307</v>
          </cell>
          <cell r="F778">
            <v>0.10019278631941281</v>
          </cell>
          <cell r="G778">
            <v>0.56868226150598644</v>
          </cell>
          <cell r="H778">
            <v>4.838980348934833E-3</v>
          </cell>
          <cell r="J778" t="str">
            <v>2005MS</v>
          </cell>
          <cell r="K778">
            <v>0.28202504245288051</v>
          </cell>
          <cell r="L778">
            <v>0.56868226150598644</v>
          </cell>
          <cell r="M778">
            <v>0.14929269604113307</v>
          </cell>
          <cell r="U778" t="str">
            <v>2005MS</v>
          </cell>
          <cell r="V778">
            <v>2.1100625000000001E-2</v>
          </cell>
          <cell r="W778">
            <v>3.6418512E-2</v>
          </cell>
          <cell r="X778">
            <v>6.0129593000000002E-2</v>
          </cell>
          <cell r="Y778">
            <v>0.574366987</v>
          </cell>
          <cell r="Z778">
            <v>0.30798428300000003</v>
          </cell>
          <cell r="AB778" t="str">
            <v>2005MS</v>
          </cell>
          <cell r="AC778">
            <v>0</v>
          </cell>
          <cell r="AD778">
            <v>0</v>
          </cell>
          <cell r="AE778">
            <v>0.6</v>
          </cell>
          <cell r="AF778">
            <v>0.4</v>
          </cell>
        </row>
        <row r="779">
          <cell r="B779" t="str">
            <v>2005MO</v>
          </cell>
          <cell r="C779">
            <v>6.4925479522277466E-2</v>
          </cell>
          <cell r="D779">
            <v>0.18170303563698134</v>
          </cell>
          <cell r="E779">
            <v>0.14337282997597614</v>
          </cell>
          <cell r="F779">
            <v>0.47880340852502545</v>
          </cell>
          <cell r="G779">
            <v>8.4882421727070459E-2</v>
          </cell>
          <cell r="H779">
            <v>4.6312824612669105E-2</v>
          </cell>
          <cell r="J779" t="str">
            <v>2005MO</v>
          </cell>
          <cell r="K779">
            <v>0.77174474829695339</v>
          </cell>
          <cell r="L779">
            <v>8.4882421727070459E-2</v>
          </cell>
          <cell r="M779">
            <v>0.14337282997597614</v>
          </cell>
          <cell r="U779" t="str">
            <v>2005MO</v>
          </cell>
          <cell r="V779">
            <v>2.998994E-2</v>
          </cell>
          <cell r="W779">
            <v>4.5757142000000001E-2</v>
          </cell>
          <cell r="X779">
            <v>0.27926039899999999</v>
          </cell>
          <cell r="Y779">
            <v>0.13775391300000001</v>
          </cell>
          <cell r="Z779">
            <v>0.50723860600000004</v>
          </cell>
          <cell r="AB779" t="str">
            <v>2005MO</v>
          </cell>
          <cell r="AC779">
            <v>0</v>
          </cell>
          <cell r="AD779">
            <v>0</v>
          </cell>
          <cell r="AE779">
            <v>0</v>
          </cell>
          <cell r="AF779">
            <v>1</v>
          </cell>
        </row>
        <row r="780">
          <cell r="B780" t="str">
            <v>2005MT</v>
          </cell>
          <cell r="C780">
            <v>0.35597781750083307</v>
          </cell>
          <cell r="D780">
            <v>0.25924389885240834</v>
          </cell>
          <cell r="E780">
            <v>4.3797789125912777E-2</v>
          </cell>
          <cell r="F780">
            <v>0.25058080537727367</v>
          </cell>
          <cell r="G780">
            <v>2.5930034358127463E-2</v>
          </cell>
          <cell r="H780">
            <v>6.4469654785444572E-2</v>
          </cell>
          <cell r="J780" t="str">
            <v>2005MT</v>
          </cell>
          <cell r="K780">
            <v>0.93027217651595973</v>
          </cell>
          <cell r="L780">
            <v>2.5930034358127463E-2</v>
          </cell>
          <cell r="M780">
            <v>4.3797789125912777E-2</v>
          </cell>
          <cell r="U780" t="str">
            <v>2005MT</v>
          </cell>
          <cell r="V780">
            <v>6.0520032000000001E-2</v>
          </cell>
          <cell r="W780">
            <v>5.1214043000000001E-2</v>
          </cell>
          <cell r="X780">
            <v>0.24859647000000001</v>
          </cell>
          <cell r="Y780">
            <v>0.16530719099999999</v>
          </cell>
          <cell r="Z780">
            <v>0.47436226399999998</v>
          </cell>
          <cell r="AB780" t="str">
            <v>2005MT</v>
          </cell>
          <cell r="AC780">
            <v>0</v>
          </cell>
          <cell r="AD780">
            <v>0</v>
          </cell>
          <cell r="AE780">
            <v>0.6</v>
          </cell>
          <cell r="AF780">
            <v>0.4</v>
          </cell>
        </row>
        <row r="781">
          <cell r="B781" t="str">
            <v>2005NE</v>
          </cell>
          <cell r="C781">
            <v>0.21260954807532403</v>
          </cell>
          <cell r="D781">
            <v>0.30324255962083846</v>
          </cell>
          <cell r="E781">
            <v>6.1277054134417128E-2</v>
          </cell>
          <cell r="F781">
            <v>0.34696077142199511</v>
          </cell>
          <cell r="G781">
            <v>3.6278454935301678E-2</v>
          </cell>
          <cell r="H781">
            <v>3.9631611812123581E-2</v>
          </cell>
          <cell r="J781" t="str">
            <v>2005NE</v>
          </cell>
          <cell r="K781">
            <v>0.90244449093028123</v>
          </cell>
          <cell r="L781">
            <v>3.6278454935301678E-2</v>
          </cell>
          <cell r="M781">
            <v>6.1277054134417128E-2</v>
          </cell>
          <cell r="U781" t="str">
            <v>2005NE</v>
          </cell>
          <cell r="V781">
            <v>3.0063880000000001E-2</v>
          </cell>
          <cell r="W781">
            <v>4.5295173000000001E-2</v>
          </cell>
          <cell r="X781">
            <v>0.27751980599999998</v>
          </cell>
          <cell r="Y781">
            <v>0.147715386</v>
          </cell>
          <cell r="Z781">
            <v>0.49940575500000001</v>
          </cell>
          <cell r="AB781" t="str">
            <v>2005NE</v>
          </cell>
          <cell r="AC781">
            <v>0</v>
          </cell>
          <cell r="AD781">
            <v>0</v>
          </cell>
          <cell r="AE781">
            <v>0.02</v>
          </cell>
          <cell r="AF781">
            <v>0.98</v>
          </cell>
        </row>
        <row r="782">
          <cell r="B782" t="str">
            <v>2005NV</v>
          </cell>
          <cell r="C782">
            <v>0.64210148526116029</v>
          </cell>
          <cell r="D782">
            <v>0.238399883587257</v>
          </cell>
          <cell r="E782">
            <v>4.1594375177217181E-3</v>
          </cell>
          <cell r="F782">
            <v>0.10819864870890922</v>
          </cell>
          <cell r="G782">
            <v>2.4625525602432058E-3</v>
          </cell>
          <cell r="H782">
            <v>4.677992364708553E-3</v>
          </cell>
          <cell r="J782" t="str">
            <v>2005NV</v>
          </cell>
          <cell r="K782">
            <v>0.99337800992203507</v>
          </cell>
          <cell r="L782">
            <v>2.4625525602432058E-3</v>
          </cell>
          <cell r="M782">
            <v>4.1594375177217181E-3</v>
          </cell>
          <cell r="U782" t="str">
            <v>2005NV</v>
          </cell>
          <cell r="V782">
            <v>0.35004114600000003</v>
          </cell>
          <cell r="W782">
            <v>2.4048478000000002E-2</v>
          </cell>
          <cell r="X782">
            <v>3.5747737000000002E-2</v>
          </cell>
          <cell r="Y782">
            <v>0.38867539400000001</v>
          </cell>
          <cell r="Z782">
            <v>0.20148724500000001</v>
          </cell>
          <cell r="AB782" t="str">
            <v>2005NV</v>
          </cell>
          <cell r="AC782">
            <v>0</v>
          </cell>
          <cell r="AD782">
            <v>0</v>
          </cell>
          <cell r="AE782">
            <v>0</v>
          </cell>
          <cell r="AF782">
            <v>1</v>
          </cell>
        </row>
        <row r="783">
          <cell r="B783" t="str">
            <v>2005NH</v>
          </cell>
          <cell r="C783">
            <v>9.4573445198850817E-2</v>
          </cell>
          <cell r="D783">
            <v>0.16340842518862655</v>
          </cell>
          <cell r="E783">
            <v>0.44298025846087286</v>
          </cell>
          <cell r="F783">
            <v>0.20852129702854144</v>
          </cell>
          <cell r="G783">
            <v>6.52134304627775E-2</v>
          </cell>
          <cell r="H783">
            <v>2.5303143660330828E-2</v>
          </cell>
          <cell r="J783" t="str">
            <v>2005NH</v>
          </cell>
          <cell r="K783">
            <v>0.49180631107634964</v>
          </cell>
          <cell r="L783">
            <v>6.52134304627775E-2</v>
          </cell>
          <cell r="M783">
            <v>0.44298025846087286</v>
          </cell>
          <cell r="U783" t="str">
            <v>2005NH</v>
          </cell>
          <cell r="V783">
            <v>0.56759962799999997</v>
          </cell>
          <cell r="W783">
            <v>1.9025615999999999E-2</v>
          </cell>
          <cell r="X783">
            <v>0.119342503</v>
          </cell>
          <cell r="Y783">
            <v>9.1236478999999995E-2</v>
          </cell>
          <cell r="Z783">
            <v>0.20279577500000001</v>
          </cell>
          <cell r="AB783" t="str">
            <v>2005NH</v>
          </cell>
          <cell r="AC783">
            <v>0</v>
          </cell>
          <cell r="AD783">
            <v>0</v>
          </cell>
          <cell r="AE783">
            <v>0.05</v>
          </cell>
          <cell r="AF783">
            <v>0.95</v>
          </cell>
        </row>
        <row r="784">
          <cell r="B784" t="str">
            <v>2005NJ</v>
          </cell>
          <cell r="C784">
            <v>5.8003576611346738E-2</v>
          </cell>
          <cell r="D784">
            <v>0.13897871355240557</v>
          </cell>
          <cell r="E784">
            <v>0.45397029129837874</v>
          </cell>
          <cell r="F784">
            <v>0.24471653627570109</v>
          </cell>
          <cell r="G784">
            <v>7.5126969581826603E-2</v>
          </cell>
          <cell r="H784">
            <v>2.9203912680341212E-2</v>
          </cell>
          <cell r="J784" t="str">
            <v>2005NJ</v>
          </cell>
          <cell r="K784">
            <v>0.47090273911979463</v>
          </cell>
          <cell r="L784">
            <v>7.5126969581826603E-2</v>
          </cell>
          <cell r="M784">
            <v>0.45397029129837874</v>
          </cell>
          <cell r="U784" t="str">
            <v>2005NJ</v>
          </cell>
          <cell r="V784">
            <v>0.30808167400000003</v>
          </cell>
          <cell r="W784">
            <v>3.3011736E-2</v>
          </cell>
          <cell r="X784">
            <v>0.18818818500000001</v>
          </cell>
          <cell r="Y784">
            <v>0.137437002</v>
          </cell>
          <cell r="Z784">
            <v>0.333281404</v>
          </cell>
          <cell r="AB784" t="str">
            <v>2005NJ</v>
          </cell>
          <cell r="AC784">
            <v>0</v>
          </cell>
          <cell r="AD784">
            <v>0</v>
          </cell>
          <cell r="AE784">
            <v>0.05</v>
          </cell>
          <cell r="AF784">
            <v>0.95</v>
          </cell>
        </row>
        <row r="785">
          <cell r="B785" t="str">
            <v>2005NM</v>
          </cell>
          <cell r="C785">
            <v>0.61184589317007076</v>
          </cell>
          <cell r="D785">
            <v>0.19452029294367307</v>
          </cell>
          <cell r="E785">
            <v>9.8952813124742175E-2</v>
          </cell>
          <cell r="F785">
            <v>9.4174237847419268E-2</v>
          </cell>
          <cell r="G785">
            <v>0</v>
          </cell>
          <cell r="H785">
            <v>5.0676291409465751E-4</v>
          </cell>
          <cell r="J785" t="str">
            <v>2005NM</v>
          </cell>
          <cell r="K785">
            <v>0.90104718687525787</v>
          </cell>
          <cell r="L785">
            <v>0</v>
          </cell>
          <cell r="M785">
            <v>9.8952813124742175E-2</v>
          </cell>
          <cell r="U785" t="str">
            <v>2005NM</v>
          </cell>
          <cell r="V785">
            <v>0.91655606099999998</v>
          </cell>
          <cell r="W785">
            <v>3.6715329999999998E-3</v>
          </cell>
          <cell r="X785">
            <v>2.3030526999999999E-2</v>
          </cell>
          <cell r="Y785">
            <v>1.7606671000000001E-2</v>
          </cell>
          <cell r="Z785">
            <v>3.9135206999999998E-2</v>
          </cell>
          <cell r="AB785" t="str">
            <v>2005NM</v>
          </cell>
          <cell r="AC785">
            <v>0</v>
          </cell>
          <cell r="AD785">
            <v>0</v>
          </cell>
          <cell r="AE785">
            <v>0.6</v>
          </cell>
          <cell r="AF785">
            <v>0.4</v>
          </cell>
        </row>
        <row r="786">
          <cell r="B786" t="str">
            <v>2005NY</v>
          </cell>
          <cell r="C786">
            <v>9.8408703041683282E-2</v>
          </cell>
          <cell r="D786">
            <v>0.15954377256245178</v>
          </cell>
          <cell r="E786">
            <v>0.44849165243165579</v>
          </cell>
          <cell r="F786">
            <v>0.20287733376538455</v>
          </cell>
          <cell r="G786">
            <v>7.0184973363303343E-2</v>
          </cell>
          <cell r="H786">
            <v>2.0493564835521279E-2</v>
          </cell>
          <cell r="J786" t="str">
            <v>2005NY</v>
          </cell>
          <cell r="K786">
            <v>0.4813233742050409</v>
          </cell>
          <cell r="L786">
            <v>7.0184973363303343E-2</v>
          </cell>
          <cell r="M786">
            <v>0.44849165243165579</v>
          </cell>
          <cell r="U786" t="str">
            <v>2005NY</v>
          </cell>
          <cell r="V786">
            <v>0.20441514899999999</v>
          </cell>
          <cell r="W786">
            <v>4.1815811000000001E-2</v>
          </cell>
          <cell r="X786">
            <v>0.21220383400000001</v>
          </cell>
          <cell r="Y786">
            <v>0.145168144</v>
          </cell>
          <cell r="Z786">
            <v>0.396397061</v>
          </cell>
          <cell r="AB786" t="str">
            <v>2005NY</v>
          </cell>
          <cell r="AC786">
            <v>0</v>
          </cell>
          <cell r="AD786">
            <v>0</v>
          </cell>
          <cell r="AE786">
            <v>0.05</v>
          </cell>
          <cell r="AF786">
            <v>0.95</v>
          </cell>
        </row>
        <row r="787">
          <cell r="B787" t="str">
            <v>2005NC</v>
          </cell>
          <cell r="C787">
            <v>6.168821577504751E-2</v>
          </cell>
          <cell r="D787">
            <v>0.11278426418396881</v>
          </cell>
          <cell r="E787">
            <v>0.15395779991170949</v>
          </cell>
          <cell r="F787">
            <v>0.11589101949636353</v>
          </cell>
          <cell r="G787">
            <v>0.54100750469043157</v>
          </cell>
          <cell r="H787">
            <v>1.4671195942479084E-2</v>
          </cell>
          <cell r="J787" t="str">
            <v>2005NC</v>
          </cell>
          <cell r="K787">
            <v>0.30503469539785888</v>
          </cell>
          <cell r="L787">
            <v>0.54100750469043157</v>
          </cell>
          <cell r="M787">
            <v>0.15395779991170949</v>
          </cell>
          <cell r="U787" t="str">
            <v>2005NC</v>
          </cell>
          <cell r="V787">
            <v>2.4742549999999999E-3</v>
          </cell>
          <cell r="W787">
            <v>3.7123251000000003E-2</v>
          </cell>
          <cell r="X787">
            <v>6.1645423999999997E-2</v>
          </cell>
          <cell r="Y787">
            <v>0.58464508599999998</v>
          </cell>
          <cell r="Z787">
            <v>0.31411198400000001</v>
          </cell>
          <cell r="AB787" t="str">
            <v>2005NC</v>
          </cell>
          <cell r="AC787">
            <v>0</v>
          </cell>
          <cell r="AD787">
            <v>0</v>
          </cell>
          <cell r="AE787">
            <v>0.41899999999999998</v>
          </cell>
          <cell r="AF787">
            <v>0.58099999999999996</v>
          </cell>
        </row>
        <row r="788">
          <cell r="B788" t="str">
            <v>2005ND</v>
          </cell>
          <cell r="C788">
            <v>0.1196932700797023</v>
          </cell>
          <cell r="D788">
            <v>0.21866711268457967</v>
          </cell>
          <cell r="E788">
            <v>0.10978970169096619</v>
          </cell>
          <cell r="F788">
            <v>0.448028418369537</v>
          </cell>
          <cell r="G788">
            <v>6.499987314042277E-2</v>
          </cell>
          <cell r="H788">
            <v>3.8821624034792085E-2</v>
          </cell>
          <cell r="J788" t="str">
            <v>2005ND</v>
          </cell>
          <cell r="K788">
            <v>0.82521042516861098</v>
          </cell>
          <cell r="L788">
            <v>6.499987314042277E-2</v>
          </cell>
          <cell r="M788">
            <v>0.10978970169096619</v>
          </cell>
          <cell r="U788" t="str">
            <v>2005ND</v>
          </cell>
          <cell r="V788">
            <v>8.8434773999999994E-2</v>
          </cell>
          <cell r="W788">
            <v>4.7868137999999998E-2</v>
          </cell>
          <cell r="X788">
            <v>0.243186129</v>
          </cell>
          <cell r="Y788">
            <v>0.16647603599999999</v>
          </cell>
          <cell r="Z788">
            <v>0.45403492299999998</v>
          </cell>
          <cell r="AB788" t="str">
            <v>2005ND</v>
          </cell>
          <cell r="AC788">
            <v>0</v>
          </cell>
          <cell r="AD788">
            <v>0</v>
          </cell>
          <cell r="AE788">
            <v>0.02</v>
          </cell>
          <cell r="AF788">
            <v>0.98</v>
          </cell>
        </row>
        <row r="789">
          <cell r="B789" t="str">
            <v>2005OH</v>
          </cell>
          <cell r="C789">
            <v>0.10753833947858983</v>
          </cell>
          <cell r="D789">
            <v>0.22522557822049544</v>
          </cell>
          <cell r="E789">
            <v>0.13589110116557596</v>
          </cell>
          <cell r="F789">
            <v>0.4097570212201273</v>
          </cell>
          <cell r="G789">
            <v>8.0452940491062386E-2</v>
          </cell>
          <cell r="H789">
            <v>4.1135019424149183E-2</v>
          </cell>
          <cell r="J789" t="str">
            <v>2005OH</v>
          </cell>
          <cell r="K789">
            <v>0.78365595834336166</v>
          </cell>
          <cell r="L789">
            <v>8.0452940491062386E-2</v>
          </cell>
          <cell r="M789">
            <v>0.13589110116557596</v>
          </cell>
          <cell r="U789" t="str">
            <v>2005OH</v>
          </cell>
          <cell r="V789">
            <v>6.6338901000000006E-2</v>
          </cell>
          <cell r="W789">
            <v>4.3119113000000001E-2</v>
          </cell>
          <cell r="X789">
            <v>0.26533305600000001</v>
          </cell>
          <cell r="Y789">
            <v>0.15267545299999999</v>
          </cell>
          <cell r="Z789">
            <v>0.47253347699999998</v>
          </cell>
          <cell r="AB789" t="str">
            <v>2005OH</v>
          </cell>
          <cell r="AC789">
            <v>0</v>
          </cell>
          <cell r="AD789">
            <v>0</v>
          </cell>
          <cell r="AE789">
            <v>0</v>
          </cell>
          <cell r="AF789">
            <v>1</v>
          </cell>
        </row>
        <row r="790">
          <cell r="B790" t="str">
            <v>2005OK</v>
          </cell>
          <cell r="C790">
            <v>0.40296958934788546</v>
          </cell>
          <cell r="D790">
            <v>0.22528492954061258</v>
          </cell>
          <cell r="E790">
            <v>6.4896255940651446E-2</v>
          </cell>
          <cell r="F790">
            <v>0.24738177570149189</v>
          </cell>
          <cell r="G790">
            <v>0</v>
          </cell>
          <cell r="H790">
            <v>5.9467449469358676E-2</v>
          </cell>
          <cell r="J790" t="str">
            <v>2005OK</v>
          </cell>
          <cell r="K790">
            <v>0.9351037440593486</v>
          </cell>
          <cell r="L790">
            <v>0</v>
          </cell>
          <cell r="M790">
            <v>6.4896255940651446E-2</v>
          </cell>
          <cell r="U790" t="str">
            <v>2005OK</v>
          </cell>
          <cell r="V790">
            <v>1.2831308E-2</v>
          </cell>
          <cell r="W790">
            <v>3.6793041999999998E-2</v>
          </cell>
          <cell r="X790">
            <v>6.2749109999999997E-2</v>
          </cell>
          <cell r="Y790">
            <v>0.57552135800000004</v>
          </cell>
          <cell r="Z790">
            <v>0.31210518199999998</v>
          </cell>
          <cell r="AB790" t="str">
            <v>2005OK</v>
          </cell>
          <cell r="AC790">
            <v>0</v>
          </cell>
          <cell r="AD790">
            <v>0</v>
          </cell>
          <cell r="AE790">
            <v>0.6</v>
          </cell>
          <cell r="AF790">
            <v>0.4</v>
          </cell>
        </row>
        <row r="791">
          <cell r="B791" t="str">
            <v>2005OR</v>
          </cell>
          <cell r="C791">
            <v>0.43856747008812064</v>
          </cell>
          <cell r="D791">
            <v>0.20958259090942544</v>
          </cell>
          <cell r="E791">
            <v>0</v>
          </cell>
          <cell r="F791">
            <v>0.12862948158709187</v>
          </cell>
          <cell r="G791">
            <v>0.2018533708975031</v>
          </cell>
          <cell r="H791">
            <v>2.1367086517858933E-2</v>
          </cell>
          <cell r="J791" t="str">
            <v>2005OR</v>
          </cell>
          <cell r="K791">
            <v>0.7981466291024969</v>
          </cell>
          <cell r="L791">
            <v>0.2018533708975031</v>
          </cell>
          <cell r="M791">
            <v>0</v>
          </cell>
          <cell r="U791" t="str">
            <v>2005OR</v>
          </cell>
          <cell r="V791">
            <v>0.57640796000000005</v>
          </cell>
          <cell r="W791">
            <v>1.863805E-2</v>
          </cell>
          <cell r="X791">
            <v>0.116911403</v>
          </cell>
          <cell r="Y791">
            <v>8.937792E-2</v>
          </cell>
          <cell r="Z791">
            <v>0.19866466699999999</v>
          </cell>
          <cell r="AB791" t="str">
            <v>2005OR</v>
          </cell>
          <cell r="AC791">
            <v>0</v>
          </cell>
          <cell r="AD791">
            <v>0</v>
          </cell>
          <cell r="AE791">
            <v>0.25</v>
          </cell>
          <cell r="AF791">
            <v>0.75</v>
          </cell>
        </row>
        <row r="792">
          <cell r="B792" t="str">
            <v>2005PA</v>
          </cell>
          <cell r="C792">
            <v>4.9624045569858895E-2</v>
          </cell>
          <cell r="D792">
            <v>0.11712497857538914</v>
          </cell>
          <cell r="E792">
            <v>0.46874549019831585</v>
          </cell>
          <cell r="F792">
            <v>0.25230966018477574</v>
          </cell>
          <cell r="G792">
            <v>8.8454910858433447E-2</v>
          </cell>
          <cell r="H792">
            <v>2.3740914613226898E-2</v>
          </cell>
          <cell r="J792" t="str">
            <v>2005PA</v>
          </cell>
          <cell r="K792">
            <v>0.44279959894325072</v>
          </cell>
          <cell r="L792">
            <v>8.8454910858433447E-2</v>
          </cell>
          <cell r="M792">
            <v>0.46874549019831585</v>
          </cell>
          <cell r="U792" t="str">
            <v>2005PA</v>
          </cell>
          <cell r="V792">
            <v>5.0102499000000002E-2</v>
          </cell>
          <cell r="W792">
            <v>4.9409870000000002E-2</v>
          </cell>
          <cell r="X792">
            <v>0.25392279899999998</v>
          </cell>
          <cell r="Y792">
            <v>0.17504710600000001</v>
          </cell>
          <cell r="Z792">
            <v>0.47151772600000003</v>
          </cell>
          <cell r="AB792" t="str">
            <v>2005PA</v>
          </cell>
          <cell r="AC792">
            <v>0</v>
          </cell>
          <cell r="AD792">
            <v>0</v>
          </cell>
          <cell r="AE792">
            <v>0</v>
          </cell>
          <cell r="AF792">
            <v>1</v>
          </cell>
        </row>
        <row r="793">
          <cell r="B793" t="str">
            <v>2005RI</v>
          </cell>
          <cell r="C793">
            <v>4.2447025005926793E-2</v>
          </cell>
          <cell r="D793">
            <v>0.1190174947032642</v>
          </cell>
          <cell r="E793">
            <v>0.46784468707451643</v>
          </cell>
          <cell r="F793">
            <v>0.25730854976835782</v>
          </cell>
          <cell r="G793">
            <v>8.7642343040085183E-2</v>
          </cell>
          <cell r="H793">
            <v>2.5739900407849584E-2</v>
          </cell>
          <cell r="J793" t="str">
            <v>2005RI</v>
          </cell>
          <cell r="K793">
            <v>0.44451296988539835</v>
          </cell>
          <cell r="L793">
            <v>8.7642343040085183E-2</v>
          </cell>
          <cell r="M793">
            <v>0.46784468707451643</v>
          </cell>
          <cell r="U793" t="str">
            <v>2005RI</v>
          </cell>
          <cell r="V793">
            <v>0.56026879500000004</v>
          </cell>
          <cell r="W793">
            <v>1.9348173E-2</v>
          </cell>
          <cell r="X793">
            <v>0.121365813</v>
          </cell>
          <cell r="Y793">
            <v>9.2783283999999994E-2</v>
          </cell>
          <cell r="Z793">
            <v>0.20623393500000001</v>
          </cell>
          <cell r="AB793" t="str">
            <v>2005RI</v>
          </cell>
          <cell r="AC793">
            <v>0</v>
          </cell>
          <cell r="AD793">
            <v>0</v>
          </cell>
          <cell r="AE793">
            <v>0.05</v>
          </cell>
          <cell r="AF793">
            <v>0.95</v>
          </cell>
        </row>
        <row r="794">
          <cell r="B794" t="str">
            <v>2005SC</v>
          </cell>
          <cell r="C794">
            <v>0.13346180610825578</v>
          </cell>
          <cell r="D794">
            <v>9.0019723091430845E-2</v>
          </cell>
          <cell r="E794">
            <v>0.15451296947775242</v>
          </cell>
          <cell r="F794">
            <v>8.0687406490411034E-2</v>
          </cell>
          <cell r="G794">
            <v>0.53771407690020812</v>
          </cell>
          <cell r="H794">
            <v>3.6040179319418398E-3</v>
          </cell>
          <cell r="J794" t="str">
            <v>2005SC</v>
          </cell>
          <cell r="K794">
            <v>0.30777295362203949</v>
          </cell>
          <cell r="L794">
            <v>0.53771407690020812</v>
          </cell>
          <cell r="M794">
            <v>0.15451296947775242</v>
          </cell>
          <cell r="U794" t="str">
            <v>2005SC</v>
          </cell>
          <cell r="V794">
            <v>6.1629585000000001E-2</v>
          </cell>
          <cell r="W794">
            <v>3.5823032999999997E-2</v>
          </cell>
          <cell r="X794">
            <v>8.6443989999999998E-2</v>
          </cell>
          <cell r="Y794">
            <v>0.50014727299999995</v>
          </cell>
          <cell r="Z794">
            <v>0.31595611899999998</v>
          </cell>
          <cell r="AB794" t="str">
            <v>2005SC</v>
          </cell>
          <cell r="AC794">
            <v>0</v>
          </cell>
          <cell r="AD794">
            <v>0</v>
          </cell>
          <cell r="AE794">
            <v>0.6</v>
          </cell>
          <cell r="AF794">
            <v>0.4</v>
          </cell>
        </row>
        <row r="795">
          <cell r="B795" t="str">
            <v>2005SD</v>
          </cell>
          <cell r="C795">
            <v>0.17608951911561277</v>
          </cell>
          <cell r="D795">
            <v>0.277831368160596</v>
          </cell>
          <cell r="E795">
            <v>7.9800561964795444E-2</v>
          </cell>
          <cell r="F795">
            <v>0.37802114842972712</v>
          </cell>
          <cell r="G795">
            <v>4.724510882492864E-2</v>
          </cell>
          <cell r="H795">
            <v>4.1012293504340026E-2</v>
          </cell>
          <cell r="J795" t="str">
            <v>2005SD</v>
          </cell>
          <cell r="K795">
            <v>0.87295432921027594</v>
          </cell>
          <cell r="L795">
            <v>4.724510882492864E-2</v>
          </cell>
          <cell r="M795">
            <v>7.9800561964795444E-2</v>
          </cell>
          <cell r="U795" t="str">
            <v>2005SD</v>
          </cell>
          <cell r="V795">
            <v>3.3046748000000001E-2</v>
          </cell>
          <cell r="W795">
            <v>5.1157264000000001E-2</v>
          </cell>
          <cell r="X795">
            <v>0.25755016600000002</v>
          </cell>
          <cell r="Y795">
            <v>0.17532273200000001</v>
          </cell>
          <cell r="Z795">
            <v>0.48292308900000003</v>
          </cell>
          <cell r="AB795" t="str">
            <v>2005SD</v>
          </cell>
          <cell r="AC795">
            <v>0</v>
          </cell>
          <cell r="AD795">
            <v>0</v>
          </cell>
          <cell r="AE795">
            <v>0.02</v>
          </cell>
          <cell r="AF795">
            <v>0.98</v>
          </cell>
        </row>
        <row r="796">
          <cell r="B796" t="str">
            <v>2005TN</v>
          </cell>
          <cell r="C796">
            <v>4.0519949592449485E-2</v>
          </cell>
          <cell r="D796">
            <v>8.9664149461423162E-2</v>
          </cell>
          <cell r="E796">
            <v>0.14551684926860037</v>
          </cell>
          <cell r="F796">
            <v>0.1170185785979804</v>
          </cell>
          <cell r="G796">
            <v>0.59108168584929244</v>
          </cell>
          <cell r="H796">
            <v>1.6198787230254148E-2</v>
          </cell>
          <cell r="J796" t="str">
            <v>2005TN</v>
          </cell>
          <cell r="K796">
            <v>0.26340146488210725</v>
          </cell>
          <cell r="L796">
            <v>0.59108168584929244</v>
          </cell>
          <cell r="M796">
            <v>0.14551684926860037</v>
          </cell>
          <cell r="U796" t="str">
            <v>2005TN</v>
          </cell>
          <cell r="V796">
            <v>0.102875089</v>
          </cell>
          <cell r="W796">
            <v>3.5402429999999999E-2</v>
          </cell>
          <cell r="X796">
            <v>0.119077104</v>
          </cell>
          <cell r="Y796">
            <v>0.41436515099999999</v>
          </cell>
          <cell r="Z796">
            <v>0.32828022600000001</v>
          </cell>
          <cell r="AB796" t="str">
            <v>2005TN</v>
          </cell>
          <cell r="AC796">
            <v>0</v>
          </cell>
          <cell r="AD796">
            <v>0</v>
          </cell>
          <cell r="AE796">
            <v>0.05</v>
          </cell>
          <cell r="AF796">
            <v>0.95</v>
          </cell>
        </row>
        <row r="797">
          <cell r="B797" t="str">
            <v>2005TX</v>
          </cell>
          <cell r="C797">
            <v>0.53305655520056971</v>
          </cell>
          <cell r="D797">
            <v>0.24233312613196878</v>
          </cell>
          <cell r="E797">
            <v>7.9791980793249173E-2</v>
          </cell>
          <cell r="F797">
            <v>0.1278405091499755</v>
          </cell>
          <cell r="G797">
            <v>0</v>
          </cell>
          <cell r="H797">
            <v>1.6977828724236681E-2</v>
          </cell>
          <cell r="J797" t="str">
            <v>2005TX</v>
          </cell>
          <cell r="K797">
            <v>0.92020801920675077</v>
          </cell>
          <cell r="L797">
            <v>0</v>
          </cell>
          <cell r="M797">
            <v>7.9791980793249173E-2</v>
          </cell>
          <cell r="U797" t="str">
            <v>2005TX</v>
          </cell>
          <cell r="V797">
            <v>6.9632535999999995E-2</v>
          </cell>
          <cell r="W797">
            <v>3.4700662E-2</v>
          </cell>
          <cell r="X797">
            <v>5.9917572000000002E-2</v>
          </cell>
          <cell r="Y797">
            <v>0.54104196599999999</v>
          </cell>
          <cell r="Z797">
            <v>0.29470726400000002</v>
          </cell>
          <cell r="AB797" t="str">
            <v>2005TX</v>
          </cell>
          <cell r="AC797">
            <v>0</v>
          </cell>
          <cell r="AD797">
            <v>0</v>
          </cell>
          <cell r="AE797">
            <v>0.12</v>
          </cell>
          <cell r="AF797">
            <v>0.88</v>
          </cell>
        </row>
        <row r="798">
          <cell r="B798" t="str">
            <v>2005UT</v>
          </cell>
          <cell r="C798">
            <v>0.51165623152884221</v>
          </cell>
          <cell r="D798">
            <v>0.26394677259150623</v>
          </cell>
          <cell r="E798">
            <v>1.3999177703951423E-2</v>
          </cell>
          <cell r="F798">
            <v>0.17036034814732054</v>
          </cell>
          <cell r="G798">
            <v>8.2880703819413898E-3</v>
          </cell>
          <cell r="H798">
            <v>3.1749399646438282E-2</v>
          </cell>
          <cell r="J798" t="str">
            <v>2005UT</v>
          </cell>
          <cell r="K798">
            <v>0.97771275191410723</v>
          </cell>
          <cell r="L798">
            <v>8.2880703819413898E-3</v>
          </cell>
          <cell r="M798">
            <v>1.3999177703951423E-2</v>
          </cell>
          <cell r="U798" t="str">
            <v>2005UT</v>
          </cell>
          <cell r="V798">
            <v>8.6456620000000001E-3</v>
          </cell>
          <cell r="W798">
            <v>5.5424775000000003E-2</v>
          </cell>
          <cell r="X798">
            <v>0.260824848</v>
          </cell>
          <cell r="Y798">
            <v>0.16982515300000001</v>
          </cell>
          <cell r="Z798">
            <v>0.50527956200000002</v>
          </cell>
          <cell r="AB798" t="str">
            <v>2005UT</v>
          </cell>
          <cell r="AC798">
            <v>0</v>
          </cell>
          <cell r="AD798">
            <v>0</v>
          </cell>
          <cell r="AE798">
            <v>0.6</v>
          </cell>
          <cell r="AF798">
            <v>0.4</v>
          </cell>
        </row>
        <row r="799">
          <cell r="B799" t="str">
            <v>2005VT</v>
          </cell>
          <cell r="C799">
            <v>9.9973781354903396E-2</v>
          </cell>
          <cell r="D799">
            <v>0.17387691112967565</v>
          </cell>
          <cell r="E799">
            <v>0.44423932842492886</v>
          </cell>
          <cell r="F799">
            <v>0.19448861844630186</v>
          </cell>
          <cell r="G799">
            <v>6.6349172232328182E-2</v>
          </cell>
          <cell r="H799">
            <v>2.1072188411862088E-2</v>
          </cell>
          <cell r="J799" t="str">
            <v>2005VT</v>
          </cell>
          <cell r="K799">
            <v>0.48941149934274297</v>
          </cell>
          <cell r="L799">
            <v>6.6349172232328182E-2</v>
          </cell>
          <cell r="M799">
            <v>0.44423932842492886</v>
          </cell>
          <cell r="U799" t="str">
            <v>2005VT</v>
          </cell>
          <cell r="V799">
            <v>0.86037974299999997</v>
          </cell>
          <cell r="W799">
            <v>6.1432910000000004E-3</v>
          </cell>
          <cell r="X799">
            <v>3.8535191000000003E-2</v>
          </cell>
          <cell r="Y799">
            <v>2.9459874E-2</v>
          </cell>
          <cell r="Z799">
            <v>6.5481899999999996E-2</v>
          </cell>
          <cell r="AB799" t="str">
            <v>2005VT</v>
          </cell>
          <cell r="AC799">
            <v>0</v>
          </cell>
          <cell r="AD799">
            <v>0</v>
          </cell>
          <cell r="AE799">
            <v>0.05</v>
          </cell>
          <cell r="AF799">
            <v>0.95</v>
          </cell>
        </row>
        <row r="800">
          <cell r="B800" t="str">
            <v>2005VA</v>
          </cell>
          <cell r="C800">
            <v>4.4953509549794296E-2</v>
          </cell>
          <cell r="D800">
            <v>9.339670802378576E-2</v>
          </cell>
          <cell r="E800">
            <v>0.14844092890155638</v>
          </cell>
          <cell r="F800">
            <v>0.12331550684410268</v>
          </cell>
          <cell r="G800">
            <v>0.5737351926100378</v>
          </cell>
          <cell r="H800">
            <v>1.6158154070723133E-2</v>
          </cell>
          <cell r="J800" t="str">
            <v>2005VA</v>
          </cell>
          <cell r="K800">
            <v>0.27782387848840584</v>
          </cell>
          <cell r="L800">
            <v>0.5737351926100378</v>
          </cell>
          <cell r="M800">
            <v>0.14844092890155638</v>
          </cell>
          <cell r="U800" t="str">
            <v>2005VA</v>
          </cell>
          <cell r="V800">
            <v>3.3934871999999998E-2</v>
          </cell>
          <cell r="W800">
            <v>3.6244844999999998E-2</v>
          </cell>
          <cell r="X800">
            <v>6.8933026999999994E-2</v>
          </cell>
          <cell r="Y800">
            <v>0.550040046</v>
          </cell>
          <cell r="Z800">
            <v>0.31084721100000001</v>
          </cell>
          <cell r="AB800" t="str">
            <v>2005VA</v>
          </cell>
          <cell r="AC800">
            <v>0</v>
          </cell>
          <cell r="AD800">
            <v>0</v>
          </cell>
          <cell r="AE800">
            <v>0.05</v>
          </cell>
          <cell r="AF800">
            <v>0.95</v>
          </cell>
        </row>
        <row r="801">
          <cell r="B801" t="str">
            <v>2005WA</v>
          </cell>
          <cell r="C801">
            <v>0.48742079910802349</v>
          </cell>
          <cell r="D801">
            <v>0.21961274491816118</v>
          </cell>
          <cell r="E801">
            <v>0</v>
          </cell>
          <cell r="F801">
            <v>0.11254281869932067</v>
          </cell>
          <cell r="G801">
            <v>0.16627589127589129</v>
          </cell>
          <cell r="H801">
            <v>1.4147745998603438E-2</v>
          </cell>
          <cell r="J801" t="str">
            <v>2005WA</v>
          </cell>
          <cell r="K801">
            <v>0.83372410872410874</v>
          </cell>
          <cell r="L801">
            <v>0.16627589127589129</v>
          </cell>
          <cell r="M801">
            <v>0</v>
          </cell>
          <cell r="U801" t="str">
            <v>2005WA</v>
          </cell>
          <cell r="V801">
            <v>0.37353494700000001</v>
          </cell>
          <cell r="W801">
            <v>3.1263627000000002E-2</v>
          </cell>
          <cell r="X801">
            <v>0.168896926</v>
          </cell>
          <cell r="Y801">
            <v>0.119853577</v>
          </cell>
          <cell r="Z801">
            <v>0.30645092299999999</v>
          </cell>
          <cell r="AB801" t="str">
            <v>2005WA</v>
          </cell>
          <cell r="AC801">
            <v>0</v>
          </cell>
          <cell r="AD801">
            <v>0</v>
          </cell>
          <cell r="AE801">
            <v>0.12</v>
          </cell>
          <cell r="AF801">
            <v>0.88</v>
          </cell>
        </row>
        <row r="802">
          <cell r="B802" t="str">
            <v>2005WV</v>
          </cell>
          <cell r="C802">
            <v>6.8751812683186322E-2</v>
          </cell>
          <cell r="D802">
            <v>0.15888641455628993</v>
          </cell>
          <cell r="E802">
            <v>0.44831485363191043</v>
          </cell>
          <cell r="F802">
            <v>0.22633984896592482</v>
          </cell>
          <cell r="G802">
            <v>7.0025492327769459E-2</v>
          </cell>
          <cell r="H802">
            <v>2.7681577834919095E-2</v>
          </cell>
          <cell r="J802" t="str">
            <v>2005WV</v>
          </cell>
          <cell r="K802">
            <v>0.48165965404032007</v>
          </cell>
          <cell r="L802">
            <v>7.0025492327769459E-2</v>
          </cell>
          <cell r="M802">
            <v>0.44831485363191043</v>
          </cell>
          <cell r="U802" t="str">
            <v>2005WV</v>
          </cell>
          <cell r="V802">
            <v>0.57920187499999998</v>
          </cell>
          <cell r="W802">
            <v>2.1256934000000002E-2</v>
          </cell>
          <cell r="X802">
            <v>0.113169981</v>
          </cell>
          <cell r="Y802">
            <v>7.9649016000000003E-2</v>
          </cell>
          <cell r="Z802">
            <v>0.206722194</v>
          </cell>
          <cell r="AB802" t="str">
            <v>2005WV</v>
          </cell>
          <cell r="AC802">
            <v>0</v>
          </cell>
          <cell r="AD802">
            <v>0</v>
          </cell>
          <cell r="AE802">
            <v>0.05</v>
          </cell>
          <cell r="AF802">
            <v>0.95</v>
          </cell>
        </row>
        <row r="803">
          <cell r="B803" t="str">
            <v>2005WI</v>
          </cell>
          <cell r="C803">
            <v>0.12203432597344931</v>
          </cell>
          <cell r="D803">
            <v>0.23555629715568294</v>
          </cell>
          <cell r="E803">
            <v>0.11540173598404266</v>
          </cell>
          <cell r="F803">
            <v>0.42032708364290838</v>
          </cell>
          <cell r="G803">
            <v>6.8322420806473022E-2</v>
          </cell>
          <cell r="H803">
            <v>3.8358136437443673E-2</v>
          </cell>
          <cell r="J803" t="str">
            <v>2005WI</v>
          </cell>
          <cell r="K803">
            <v>0.81627584320948432</v>
          </cell>
          <cell r="L803">
            <v>6.8322420806473022E-2</v>
          </cell>
          <cell r="M803">
            <v>0.11540173598404266</v>
          </cell>
          <cell r="U803" t="str">
            <v>2005WI</v>
          </cell>
          <cell r="V803">
            <v>0.12883246500000001</v>
          </cell>
          <cell r="W803">
            <v>4.2564396999999997E-2</v>
          </cell>
          <cell r="X803">
            <v>0.23585646199999999</v>
          </cell>
          <cell r="Y803">
            <v>0.16970626599999999</v>
          </cell>
          <cell r="Z803">
            <v>0.42304040999999998</v>
          </cell>
          <cell r="AB803" t="str">
            <v>2005WI</v>
          </cell>
          <cell r="AC803">
            <v>0</v>
          </cell>
          <cell r="AD803">
            <v>0</v>
          </cell>
          <cell r="AE803">
            <v>0.02</v>
          </cell>
          <cell r="AF803">
            <v>0.98</v>
          </cell>
        </row>
        <row r="804">
          <cell r="B804" t="str">
            <v>2005WY</v>
          </cell>
          <cell r="C804">
            <v>0.29508724522063295</v>
          </cell>
          <cell r="D804">
            <v>0.23251729773373622</v>
          </cell>
          <cell r="E804">
            <v>0.12161775942187937</v>
          </cell>
          <cell r="F804">
            <v>0.2207502472879718</v>
          </cell>
          <cell r="G804">
            <v>7.2002554085590281E-2</v>
          </cell>
          <cell r="H804">
            <v>5.8024896250189507E-2</v>
          </cell>
          <cell r="J804" t="str">
            <v>2005WY</v>
          </cell>
          <cell r="K804">
            <v>0.80637968649253033</v>
          </cell>
          <cell r="L804">
            <v>7.2002554085590281E-2</v>
          </cell>
          <cell r="M804">
            <v>0.12161775942187937</v>
          </cell>
          <cell r="U804" t="str">
            <v>2005WY</v>
          </cell>
          <cell r="V804">
            <v>3.2109568999999998E-2</v>
          </cell>
          <cell r="W804">
            <v>5.3596850000000001E-2</v>
          </cell>
          <cell r="X804">
            <v>0.25521061499999997</v>
          </cell>
          <cell r="Y804">
            <v>0.16752597599999999</v>
          </cell>
          <cell r="Z804">
            <v>0.49155699000000003</v>
          </cell>
          <cell r="AB804" t="str">
            <v>2005WY</v>
          </cell>
          <cell r="AC804">
            <v>0</v>
          </cell>
          <cell r="AD804">
            <v>0</v>
          </cell>
          <cell r="AE804">
            <v>0.6</v>
          </cell>
          <cell r="AF804">
            <v>0.4</v>
          </cell>
        </row>
        <row r="805">
          <cell r="B805" t="str">
            <v>2006AL</v>
          </cell>
          <cell r="C805">
            <v>0.17233560131521788</v>
          </cell>
          <cell r="D805">
            <v>9.7606154746872412E-2</v>
          </cell>
          <cell r="E805">
            <v>0.16919346457207346</v>
          </cell>
          <cell r="F805">
            <v>0.1056405325382436</v>
          </cell>
          <cell r="G805">
            <v>0.45062509818962659</v>
          </cell>
          <cell r="H805">
            <v>4.5991486379660445E-3</v>
          </cell>
          <cell r="J805" t="str">
            <v>2006AL</v>
          </cell>
          <cell r="K805">
            <v>0.38018143723829989</v>
          </cell>
          <cell r="L805">
            <v>0.45062509818962659</v>
          </cell>
          <cell r="M805">
            <v>0.16919346457207346</v>
          </cell>
          <cell r="U805" t="str">
            <v>2006AL</v>
          </cell>
          <cell r="V805">
            <v>5.3114938E-2</v>
          </cell>
          <cell r="W805">
            <v>3.6058960000000001E-2</v>
          </cell>
          <cell r="X805">
            <v>8.4414527000000003E-2</v>
          </cell>
          <cell r="Y805">
            <v>0.50961295299999998</v>
          </cell>
          <cell r="Z805">
            <v>0.316798623</v>
          </cell>
          <cell r="AB805" t="str">
            <v>2006AL</v>
          </cell>
          <cell r="AC805">
            <v>0</v>
          </cell>
          <cell r="AD805">
            <v>0</v>
          </cell>
          <cell r="AE805">
            <v>0.41899999999999998</v>
          </cell>
          <cell r="AF805">
            <v>0.58099999999999996</v>
          </cell>
        </row>
        <row r="806">
          <cell r="B806" t="str">
            <v>2006AK</v>
          </cell>
          <cell r="C806">
            <v>0.30334484066413492</v>
          </cell>
          <cell r="D806">
            <v>0.23769937716735701</v>
          </cell>
          <cell r="E806">
            <v>6.205843688929364E-2</v>
          </cell>
          <cell r="F806">
            <v>0.28363994741136878</v>
          </cell>
          <cell r="G806">
            <v>3.6741064625999714E-2</v>
          </cell>
          <cell r="H806">
            <v>7.6516333241846021E-2</v>
          </cell>
          <cell r="J806" t="str">
            <v>2006AK</v>
          </cell>
          <cell r="K806">
            <v>0.90120049848470662</v>
          </cell>
          <cell r="L806">
            <v>3.6741064625999714E-2</v>
          </cell>
          <cell r="M806">
            <v>6.205843688929364E-2</v>
          </cell>
          <cell r="U806" t="str">
            <v>2006AK</v>
          </cell>
          <cell r="V806">
            <v>0.52632575500000001</v>
          </cell>
          <cell r="W806">
            <v>2.0841667000000001E-2</v>
          </cell>
          <cell r="X806">
            <v>0.130734092</v>
          </cell>
          <cell r="Y806">
            <v>9.9945266000000005E-2</v>
          </cell>
          <cell r="Z806">
            <v>0.22215322100000001</v>
          </cell>
          <cell r="AB806" t="str">
            <v>2006AK</v>
          </cell>
          <cell r="AC806">
            <v>0</v>
          </cell>
          <cell r="AD806">
            <v>0</v>
          </cell>
          <cell r="AE806">
            <v>0.25</v>
          </cell>
          <cell r="AF806">
            <v>0.75</v>
          </cell>
        </row>
        <row r="807">
          <cell r="B807" t="str">
            <v>2006AZ</v>
          </cell>
          <cell r="C807">
            <v>0.611220636654217</v>
          </cell>
          <cell r="D807">
            <v>0.19572797693407004</v>
          </cell>
          <cell r="E807">
            <v>9.865488383487428E-2</v>
          </cell>
          <cell r="F807">
            <v>9.3890669243012675E-2</v>
          </cell>
          <cell r="G807">
            <v>0</v>
          </cell>
          <cell r="H807">
            <v>5.0583333382575558E-4</v>
          </cell>
          <cell r="J807" t="str">
            <v>2006AZ</v>
          </cell>
          <cell r="K807">
            <v>0.90134511616512569</v>
          </cell>
          <cell r="L807">
            <v>0</v>
          </cell>
          <cell r="M807">
            <v>9.865488383487428E-2</v>
          </cell>
          <cell r="U807" t="str">
            <v>2006AZ</v>
          </cell>
          <cell r="V807">
            <v>0.136592664</v>
          </cell>
          <cell r="W807">
            <v>3.2171241000000003E-2</v>
          </cell>
          <cell r="X807">
            <v>5.4596316999999998E-2</v>
          </cell>
          <cell r="Y807">
            <v>0.50386894699999996</v>
          </cell>
          <cell r="Z807">
            <v>0.27277083200000002</v>
          </cell>
          <cell r="AB807" t="str">
            <v>2006AZ</v>
          </cell>
          <cell r="AC807">
            <v>0</v>
          </cell>
          <cell r="AD807">
            <v>0</v>
          </cell>
          <cell r="AE807">
            <v>0.6</v>
          </cell>
          <cell r="AF807">
            <v>0.4</v>
          </cell>
        </row>
        <row r="808">
          <cell r="B808" t="str">
            <v>2006AR</v>
          </cell>
          <cell r="C808">
            <v>9.6391342329605903E-2</v>
          </cell>
          <cell r="D808">
            <v>6.6955456596874061E-2</v>
          </cell>
          <cell r="E808">
            <v>0.14888335780531528</v>
          </cell>
          <cell r="F808">
            <v>0.11118804006195876</v>
          </cell>
          <cell r="G808">
            <v>0.57111057531117648</v>
          </cell>
          <cell r="H808">
            <v>5.4712278950695761E-3</v>
          </cell>
          <cell r="J808" t="str">
            <v>2006AR</v>
          </cell>
          <cell r="K808">
            <v>0.28000606688350826</v>
          </cell>
          <cell r="L808">
            <v>0.57111057531117648</v>
          </cell>
          <cell r="M808">
            <v>0.14888335780531528</v>
          </cell>
          <cell r="U808" t="str">
            <v>2006AR</v>
          </cell>
          <cell r="V808">
            <v>3.9459004999999998E-2</v>
          </cell>
          <cell r="W808">
            <v>3.7640482000000003E-2</v>
          </cell>
          <cell r="X808">
            <v>0.11914443199999999</v>
          </cell>
          <cell r="Y808">
            <v>0.45827781299999998</v>
          </cell>
          <cell r="Z808">
            <v>0.34547826799999998</v>
          </cell>
          <cell r="AB808" t="str">
            <v>2006AR</v>
          </cell>
          <cell r="AC808">
            <v>0</v>
          </cell>
          <cell r="AD808">
            <v>0</v>
          </cell>
          <cell r="AE808">
            <v>0</v>
          </cell>
          <cell r="AF808">
            <v>1</v>
          </cell>
        </row>
        <row r="809">
          <cell r="B809" t="str">
            <v>2006CA</v>
          </cell>
          <cell r="C809">
            <v>0.58081862489107328</v>
          </cell>
          <cell r="D809">
            <v>0.20720345916912225</v>
          </cell>
          <cell r="E809">
            <v>0.10801924509893834</v>
          </cell>
          <cell r="F809">
            <v>9.2431120719429966E-2</v>
          </cell>
          <cell r="G809">
            <v>9.2523577326630076E-3</v>
          </cell>
          <cell r="H809">
            <v>2.2751923887731596E-3</v>
          </cell>
          <cell r="J809" t="str">
            <v>2006CA</v>
          </cell>
          <cell r="K809">
            <v>0.88272839716839868</v>
          </cell>
          <cell r="L809">
            <v>9.2523577326630076E-3</v>
          </cell>
          <cell r="M809">
            <v>0.10801924509893834</v>
          </cell>
          <cell r="U809" t="str">
            <v>2006CA</v>
          </cell>
          <cell r="V809">
            <v>0.133799526</v>
          </cell>
          <cell r="W809">
            <v>3.2941353E-2</v>
          </cell>
          <cell r="X809">
            <v>7.5800703999999997E-2</v>
          </cell>
          <cell r="Y809">
            <v>0.46867659099999998</v>
          </cell>
          <cell r="Z809">
            <v>0.28878182499999999</v>
          </cell>
          <cell r="AB809" t="str">
            <v>2006CA</v>
          </cell>
          <cell r="AC809">
            <v>0</v>
          </cell>
          <cell r="AD809">
            <v>0</v>
          </cell>
          <cell r="AE809">
            <v>0.12</v>
          </cell>
          <cell r="AF809">
            <v>0.88</v>
          </cell>
        </row>
        <row r="810">
          <cell r="B810" t="str">
            <v>2006CO</v>
          </cell>
          <cell r="C810">
            <v>0.61667904285785091</v>
          </cell>
          <cell r="D810">
            <v>0.24212893570430052</v>
          </cell>
          <cell r="E810">
            <v>1.1092391745361967E-2</v>
          </cell>
          <cell r="F810">
            <v>0.11516410971780773</v>
          </cell>
          <cell r="G810">
            <v>6.5671374014829543E-3</v>
          </cell>
          <cell r="H810">
            <v>8.3683825731959392E-3</v>
          </cell>
          <cell r="J810" t="str">
            <v>2006CO</v>
          </cell>
          <cell r="K810">
            <v>0.98234047085315512</v>
          </cell>
          <cell r="L810">
            <v>6.5671374014829543E-3</v>
          </cell>
          <cell r="M810">
            <v>1.1092391745361967E-2</v>
          </cell>
          <cell r="U810" t="str">
            <v>2006CO</v>
          </cell>
          <cell r="V810">
            <v>2.3378138E-2</v>
          </cell>
          <cell r="W810">
            <v>5.3880426000000002E-2</v>
          </cell>
          <cell r="X810">
            <v>0.25772948099999998</v>
          </cell>
          <cell r="Y810">
            <v>0.169703665</v>
          </cell>
          <cell r="Z810">
            <v>0.49530828999999998</v>
          </cell>
          <cell r="AB810" t="str">
            <v>2006CO</v>
          </cell>
          <cell r="AC810">
            <v>0</v>
          </cell>
          <cell r="AD810">
            <v>0</v>
          </cell>
          <cell r="AE810">
            <v>0.6</v>
          </cell>
          <cell r="AF810">
            <v>0.4</v>
          </cell>
        </row>
        <row r="811">
          <cell r="B811" t="str">
            <v>2006CT</v>
          </cell>
          <cell r="C811">
            <v>0.11572842393252261</v>
          </cell>
          <cell r="D811">
            <v>0.20119880615243968</v>
          </cell>
          <cell r="E811">
            <v>0.43233999756560143</v>
          </cell>
          <cell r="F811">
            <v>0.17234541515575838</v>
          </cell>
          <cell r="G811">
            <v>5.5615402487630847E-2</v>
          </cell>
          <cell r="H811">
            <v>2.2771954706046996E-2</v>
          </cell>
          <cell r="J811" t="str">
            <v>2006CT</v>
          </cell>
          <cell r="K811">
            <v>0.51204459994676776</v>
          </cell>
          <cell r="L811">
            <v>5.5615402487630847E-2</v>
          </cell>
          <cell r="M811">
            <v>0.43233999756560143</v>
          </cell>
          <cell r="U811" t="str">
            <v>2006CT</v>
          </cell>
          <cell r="V811">
            <v>0.57363861400000005</v>
          </cell>
          <cell r="W811">
            <v>1.8759900999999999E-2</v>
          </cell>
          <cell r="X811">
            <v>0.117675743</v>
          </cell>
          <cell r="Y811">
            <v>8.9962252000000006E-2</v>
          </cell>
          <cell r="Z811">
            <v>0.19996348999999999</v>
          </cell>
          <cell r="AB811" t="str">
            <v>2006CT</v>
          </cell>
          <cell r="AC811">
            <v>0</v>
          </cell>
          <cell r="AD811">
            <v>0</v>
          </cell>
          <cell r="AE811">
            <v>0.05</v>
          </cell>
          <cell r="AF811">
            <v>0.95</v>
          </cell>
        </row>
        <row r="812">
          <cell r="B812" t="str">
            <v>2006DE</v>
          </cell>
          <cell r="C812">
            <v>0.10201653895343663</v>
          </cell>
          <cell r="D812">
            <v>0.1910091905838856</v>
          </cell>
          <cell r="E812">
            <v>0.43707162937473454</v>
          </cell>
          <cell r="F812">
            <v>0.18637975788177577</v>
          </cell>
          <cell r="G812">
            <v>5.9883562349419175E-2</v>
          </cell>
          <cell r="H812">
            <v>2.3639320856748244E-2</v>
          </cell>
          <cell r="J812" t="str">
            <v>2006DE</v>
          </cell>
          <cell r="K812">
            <v>0.5030448082758463</v>
          </cell>
          <cell r="L812">
            <v>5.9883562349419175E-2</v>
          </cell>
          <cell r="M812">
            <v>0.43707162937473454</v>
          </cell>
          <cell r="U812" t="str">
            <v>2006DE</v>
          </cell>
          <cell r="V812">
            <v>0.120253529</v>
          </cell>
          <cell r="W812">
            <v>4.1631153999999997E-2</v>
          </cell>
          <cell r="X812">
            <v>0.23964419100000001</v>
          </cell>
          <cell r="Y812">
            <v>0.17588547500000001</v>
          </cell>
          <cell r="Z812">
            <v>0.42258565100000001</v>
          </cell>
          <cell r="AB812" t="str">
            <v>2006DE</v>
          </cell>
          <cell r="AC812">
            <v>0</v>
          </cell>
          <cell r="AD812">
            <v>0</v>
          </cell>
          <cell r="AE812">
            <v>0.05</v>
          </cell>
          <cell r="AF812">
            <v>0.95</v>
          </cell>
        </row>
        <row r="813">
          <cell r="B813" t="str">
            <v>2006FL</v>
          </cell>
          <cell r="C813">
            <v>0.38654865924430459</v>
          </cell>
          <cell r="D813">
            <v>0.14503983167997814</v>
          </cell>
          <cell r="E813">
            <v>0.21616400084919535</v>
          </cell>
          <cell r="F813">
            <v>7.8997496757044303E-2</v>
          </cell>
          <cell r="G813">
            <v>0.17198217725399226</v>
          </cell>
          <cell r="H813">
            <v>1.2678342154852779E-3</v>
          </cell>
          <cell r="J813" t="str">
            <v>2006FL</v>
          </cell>
          <cell r="K813">
            <v>0.61185382189681237</v>
          </cell>
          <cell r="L813">
            <v>0.17198217725399226</v>
          </cell>
          <cell r="M813">
            <v>0.21616400084919535</v>
          </cell>
          <cell r="U813" t="str">
            <v>2006FL</v>
          </cell>
          <cell r="V813">
            <v>0.71166924399999998</v>
          </cell>
          <cell r="W813">
            <v>1.2686553E-2</v>
          </cell>
          <cell r="X813">
            <v>7.9579288999999998E-2</v>
          </cell>
          <cell r="Y813">
            <v>6.0837789000000003E-2</v>
          </cell>
          <cell r="Z813">
            <v>0.135227124</v>
          </cell>
          <cell r="AB813" t="str">
            <v>2006FL</v>
          </cell>
          <cell r="AC813">
            <v>0</v>
          </cell>
          <cell r="AD813">
            <v>0</v>
          </cell>
          <cell r="AE813">
            <v>0.41899999999999998</v>
          </cell>
          <cell r="AF813">
            <v>0.58099999999999996</v>
          </cell>
        </row>
        <row r="814">
          <cell r="B814" t="str">
            <v>2006GA</v>
          </cell>
          <cell r="C814">
            <v>0.20823216155586291</v>
          </cell>
          <cell r="D814">
            <v>0.11033206176717186</v>
          </cell>
          <cell r="E814">
            <v>0.17733204084631207</v>
          </cell>
          <cell r="F814">
            <v>9.7862793659120595E-2</v>
          </cell>
          <cell r="G814">
            <v>0.40234468997942996</v>
          </cell>
          <cell r="H814">
            <v>3.8962521921025758E-3</v>
          </cell>
          <cell r="J814" t="str">
            <v>2006GA</v>
          </cell>
          <cell r="K814">
            <v>0.420323269174258</v>
          </cell>
          <cell r="L814">
            <v>0.40234468997942996</v>
          </cell>
          <cell r="M814">
            <v>0.17733204084631207</v>
          </cell>
          <cell r="U814" t="str">
            <v>2006GA</v>
          </cell>
          <cell r="V814">
            <v>7.8133266000000007E-2</v>
          </cell>
          <cell r="W814">
            <v>3.5587817000000001E-2</v>
          </cell>
          <cell r="X814">
            <v>9.7388838000000005E-2</v>
          </cell>
          <cell r="Y814">
            <v>0.46952270200000001</v>
          </cell>
          <cell r="Z814">
            <v>0.31936737799999998</v>
          </cell>
          <cell r="AB814" t="str">
            <v>2006GA</v>
          </cell>
          <cell r="AC814">
            <v>0</v>
          </cell>
          <cell r="AD814">
            <v>0</v>
          </cell>
          <cell r="AE814">
            <v>0.41899999999999998</v>
          </cell>
          <cell r="AF814">
            <v>0.58099999999999996</v>
          </cell>
        </row>
        <row r="815">
          <cell r="B815" t="str">
            <v>2006HI</v>
          </cell>
          <cell r="C815">
            <v>0.67137224197860923</v>
          </cell>
          <cell r="D815">
            <v>0.21100034068527662</v>
          </cell>
          <cell r="E815">
            <v>0</v>
          </cell>
          <cell r="F815">
            <v>0.10820426646618357</v>
          </cell>
          <cell r="G815">
            <v>7.5112148308577572E-3</v>
          </cell>
          <cell r="H815">
            <v>1.9119360390725836E-3</v>
          </cell>
          <cell r="J815" t="str">
            <v>2006HI</v>
          </cell>
          <cell r="K815">
            <v>0.9924887851691423</v>
          </cell>
          <cell r="L815">
            <v>7.5112148308577572E-3</v>
          </cell>
          <cell r="M815">
            <v>0</v>
          </cell>
          <cell r="U815" t="str">
            <v>2006HI</v>
          </cell>
          <cell r="V815">
            <v>0.23216878499999999</v>
          </cell>
          <cell r="W815">
            <v>3.2904865999999998E-2</v>
          </cell>
          <cell r="X815">
            <v>0.18414778700000001</v>
          </cell>
          <cell r="Y815">
            <v>0.21064765399999999</v>
          </cell>
          <cell r="Z815">
            <v>0.34013090899999998</v>
          </cell>
          <cell r="AB815" t="str">
            <v>2006HI</v>
          </cell>
          <cell r="AC815">
            <v>0</v>
          </cell>
          <cell r="AD815">
            <v>0</v>
          </cell>
          <cell r="AE815">
            <v>0.25</v>
          </cell>
          <cell r="AF815">
            <v>0.75</v>
          </cell>
        </row>
        <row r="816">
          <cell r="B816" t="str">
            <v>2006ID</v>
          </cell>
          <cell r="C816">
            <v>0.62850843440764703</v>
          </cell>
          <cell r="D816">
            <v>0.2329683972033782</v>
          </cell>
          <cell r="E816">
            <v>6.4436683947772669E-3</v>
          </cell>
          <cell r="F816">
            <v>0.11961222721284216</v>
          </cell>
          <cell r="G816">
            <v>3.8149081541218642E-3</v>
          </cell>
          <cell r="H816">
            <v>8.6523646272333287E-3</v>
          </cell>
          <cell r="J816" t="str">
            <v>2006ID</v>
          </cell>
          <cell r="K816">
            <v>0.98974142345110083</v>
          </cell>
          <cell r="L816">
            <v>3.8149081541218642E-3</v>
          </cell>
          <cell r="M816">
            <v>6.4436683947772669E-3</v>
          </cell>
          <cell r="U816" t="str">
            <v>2006ID</v>
          </cell>
          <cell r="V816">
            <v>0.460837895</v>
          </cell>
          <cell r="W816">
            <v>2.6974237000000002E-2</v>
          </cell>
          <cell r="X816">
            <v>0.14528671200000001</v>
          </cell>
          <cell r="Y816">
            <v>0.102926191</v>
          </cell>
          <cell r="Z816">
            <v>0.26397496599999998</v>
          </cell>
          <cell r="AB816" t="str">
            <v>2006ID</v>
          </cell>
          <cell r="AC816">
            <v>0</v>
          </cell>
          <cell r="AD816">
            <v>0</v>
          </cell>
          <cell r="AE816">
            <v>0.6</v>
          </cell>
          <cell r="AF816">
            <v>0.4</v>
          </cell>
        </row>
        <row r="817">
          <cell r="B817" t="str">
            <v>2006IL</v>
          </cell>
          <cell r="C817">
            <v>0.13175283144497188</v>
          </cell>
          <cell r="D817">
            <v>0.26046159534668961</v>
          </cell>
          <cell r="E817">
            <v>8.1383349234931596E-2</v>
          </cell>
          <cell r="F817">
            <v>0.43207247933210829</v>
          </cell>
          <cell r="G817">
            <v>4.8182181885357514E-2</v>
          </cell>
          <cell r="H817">
            <v>4.6147562755941125E-2</v>
          </cell>
          <cell r="J817" t="str">
            <v>2006IL</v>
          </cell>
          <cell r="K817">
            <v>0.87043446887971088</v>
          </cell>
          <cell r="L817">
            <v>4.8182181885357514E-2</v>
          </cell>
          <cell r="M817">
            <v>8.1383349234931596E-2</v>
          </cell>
          <cell r="U817" t="str">
            <v>2006IL</v>
          </cell>
          <cell r="V817">
            <v>2.0186552999999999E-2</v>
          </cell>
          <cell r="W817">
            <v>4.5739502000000001E-2</v>
          </cell>
          <cell r="X817">
            <v>0.28028242399999997</v>
          </cell>
          <cell r="Y817">
            <v>0.149587944</v>
          </cell>
          <cell r="Z817">
            <v>0.50420357699999996</v>
          </cell>
          <cell r="AB817" t="str">
            <v>2006IL</v>
          </cell>
          <cell r="AC817">
            <v>0</v>
          </cell>
          <cell r="AD817">
            <v>0</v>
          </cell>
          <cell r="AE817">
            <v>0.02</v>
          </cell>
          <cell r="AF817">
            <v>0.98</v>
          </cell>
        </row>
        <row r="818">
          <cell r="B818" t="str">
            <v>2006IN</v>
          </cell>
          <cell r="C818">
            <v>0.16189917384296076</v>
          </cell>
          <cell r="D818">
            <v>0.24163212738244233</v>
          </cell>
          <cell r="E818">
            <v>0.13392208737361183</v>
          </cell>
          <cell r="F818">
            <v>0.3491044693998876</v>
          </cell>
          <cell r="G818">
            <v>7.9287205957511472E-2</v>
          </cell>
          <cell r="H818">
            <v>3.4154936043586021E-2</v>
          </cell>
          <cell r="J818" t="str">
            <v>2006IN</v>
          </cell>
          <cell r="K818">
            <v>0.78679070666887663</v>
          </cell>
          <cell r="L818">
            <v>7.9287205957511472E-2</v>
          </cell>
          <cell r="M818">
            <v>0.13392208737361183</v>
          </cell>
          <cell r="U818" t="str">
            <v>2006IN</v>
          </cell>
          <cell r="V818">
            <v>2.5489210000000002E-2</v>
          </cell>
          <cell r="W818">
            <v>4.5536079E-2</v>
          </cell>
          <cell r="X818">
            <v>0.27893099599999999</v>
          </cell>
          <cell r="Y818">
            <v>0.14781887399999999</v>
          </cell>
          <cell r="Z818">
            <v>0.50222484099999998</v>
          </cell>
          <cell r="AB818" t="str">
            <v>2006IN</v>
          </cell>
          <cell r="AC818">
            <v>0</v>
          </cell>
          <cell r="AD818">
            <v>0</v>
          </cell>
          <cell r="AE818">
            <v>0</v>
          </cell>
          <cell r="AF818">
            <v>1</v>
          </cell>
        </row>
        <row r="819">
          <cell r="B819" t="str">
            <v>2006IA</v>
          </cell>
          <cell r="C819">
            <v>0.13792614664225575</v>
          </cell>
          <cell r="D819">
            <v>0.25047757969635848</v>
          </cell>
          <cell r="E819">
            <v>0.10477197231415941</v>
          </cell>
          <cell r="F819">
            <v>0.40507493125352922</v>
          </cell>
          <cell r="G819">
            <v>6.2029177638731184E-2</v>
          </cell>
          <cell r="H819">
            <v>3.9720192454965969E-2</v>
          </cell>
          <cell r="J819" t="str">
            <v>2006IA</v>
          </cell>
          <cell r="K819">
            <v>0.83319885004710947</v>
          </cell>
          <cell r="L819">
            <v>6.2029177638731184E-2</v>
          </cell>
          <cell r="M819">
            <v>0.10477197231415941</v>
          </cell>
          <cell r="U819" t="str">
            <v>2006IA</v>
          </cell>
          <cell r="V819">
            <v>9.6502570000000006E-3</v>
          </cell>
          <cell r="W819">
            <v>3.8739974000000003E-2</v>
          </cell>
          <cell r="X819">
            <v>0.12067557499999999</v>
          </cell>
          <cell r="Y819">
            <v>0.47629315999999999</v>
          </cell>
          <cell r="Z819">
            <v>0.35464103499999999</v>
          </cell>
          <cell r="AB819" t="str">
            <v>2006IA</v>
          </cell>
          <cell r="AC819">
            <v>0</v>
          </cell>
          <cell r="AD819">
            <v>0</v>
          </cell>
          <cell r="AE819">
            <v>0</v>
          </cell>
          <cell r="AF819">
            <v>1</v>
          </cell>
        </row>
        <row r="820">
          <cell r="B820" t="str">
            <v>2006KS</v>
          </cell>
          <cell r="C820">
            <v>0.28758404285910905</v>
          </cell>
          <cell r="D820">
            <v>0.32607606753917184</v>
          </cell>
          <cell r="E820">
            <v>5.1050547933917619E-2</v>
          </cell>
          <cell r="F820">
            <v>0.27762124338847843</v>
          </cell>
          <cell r="G820">
            <v>3.0223956239483565E-2</v>
          </cell>
          <cell r="H820">
            <v>2.7444142039839463E-2</v>
          </cell>
          <cell r="J820" t="str">
            <v>2006KS</v>
          </cell>
          <cell r="K820">
            <v>0.91872549582659879</v>
          </cell>
          <cell r="L820">
            <v>3.0223956239483565E-2</v>
          </cell>
          <cell r="M820">
            <v>5.1050547933917619E-2</v>
          </cell>
          <cell r="U820" t="str">
            <v>2006KS</v>
          </cell>
          <cell r="V820">
            <v>2.3647662E-2</v>
          </cell>
          <cell r="W820">
            <v>4.6272377000000003E-2</v>
          </cell>
          <cell r="X820">
            <v>0.28189652199999998</v>
          </cell>
          <cell r="Y820">
            <v>0.13395533500000001</v>
          </cell>
          <cell r="Z820">
            <v>0.51422810299999999</v>
          </cell>
          <cell r="AB820" t="str">
            <v>2006KS</v>
          </cell>
          <cell r="AC820">
            <v>0</v>
          </cell>
          <cell r="AD820">
            <v>0</v>
          </cell>
          <cell r="AE820">
            <v>0.02</v>
          </cell>
          <cell r="AF820">
            <v>0.98</v>
          </cell>
        </row>
        <row r="821">
          <cell r="B821" t="str">
            <v>2006KY</v>
          </cell>
          <cell r="C821">
            <v>2.3305602928070858E-2</v>
          </cell>
          <cell r="D821">
            <v>6.2885861766289422E-2</v>
          </cell>
          <cell r="E821">
            <v>0.14165738300711325</v>
          </cell>
          <cell r="F821">
            <v>0.14315421990856123</v>
          </cell>
          <cell r="G821">
            <v>0.61397716539009373</v>
          </cell>
          <cell r="H821">
            <v>1.5019766999871505E-2</v>
          </cell>
          <cell r="J821" t="str">
            <v>2006KY</v>
          </cell>
          <cell r="K821">
            <v>0.24436545160279299</v>
          </cell>
          <cell r="L821">
            <v>0.61397716539009373</v>
          </cell>
          <cell r="M821">
            <v>0.14165738300711325</v>
          </cell>
          <cell r="U821" t="str">
            <v>2006KY</v>
          </cell>
          <cell r="V821">
            <v>4.9184704000000003E-2</v>
          </cell>
          <cell r="W821">
            <v>3.7321891000000003E-2</v>
          </cell>
          <cell r="X821">
            <v>0.11991215400000001</v>
          </cell>
          <cell r="Y821">
            <v>0.45018075899999999</v>
          </cell>
          <cell r="Z821">
            <v>0.34340049099999997</v>
          </cell>
          <cell r="AB821" t="str">
            <v>2006KY</v>
          </cell>
          <cell r="AC821">
            <v>0</v>
          </cell>
          <cell r="AD821">
            <v>0</v>
          </cell>
          <cell r="AE821">
            <v>0.05</v>
          </cell>
          <cell r="AF821">
            <v>0.95</v>
          </cell>
        </row>
        <row r="822">
          <cell r="B822" t="str">
            <v>2006LA</v>
          </cell>
          <cell r="C822">
            <v>8.7696493950327165E-2</v>
          </cell>
          <cell r="D822">
            <v>6.4637521135916851E-2</v>
          </cell>
          <cell r="E822">
            <v>0.14461730665558523</v>
          </cell>
          <cell r="F822">
            <v>0.10160244529023774</v>
          </cell>
          <cell r="G822">
            <v>0.59641803499629376</v>
          </cell>
          <cell r="H822">
            <v>5.0281979716392446E-3</v>
          </cell>
          <cell r="J822" t="str">
            <v>2006LA</v>
          </cell>
          <cell r="K822">
            <v>0.25896465834812099</v>
          </cell>
          <cell r="L822">
            <v>0.59641803499629376</v>
          </cell>
          <cell r="M822">
            <v>0.14461730665558523</v>
          </cell>
          <cell r="U822" t="str">
            <v>2006LA</v>
          </cell>
          <cell r="V822">
            <v>0.53551704700000002</v>
          </cell>
          <cell r="W822">
            <v>2.0437250000000001E-2</v>
          </cell>
          <cell r="X822">
            <v>0.12819729499999999</v>
          </cell>
          <cell r="Y822">
            <v>9.8005903000000005E-2</v>
          </cell>
          <cell r="Z822">
            <v>0.21784250499999999</v>
          </cell>
          <cell r="AB822" t="str">
            <v>2006LA</v>
          </cell>
          <cell r="AC822">
            <v>0</v>
          </cell>
          <cell r="AD822">
            <v>0</v>
          </cell>
          <cell r="AE822">
            <v>0.6</v>
          </cell>
          <cell r="AF822">
            <v>0.4</v>
          </cell>
        </row>
        <row r="823">
          <cell r="B823" t="str">
            <v>2006ME</v>
          </cell>
          <cell r="C823">
            <v>9.3713015315557757E-2</v>
          </cell>
          <cell r="D823">
            <v>0.17210096338216258</v>
          </cell>
          <cell r="E823">
            <v>0.44837154081607639</v>
          </cell>
          <cell r="F823">
            <v>0.19633313267932656</v>
          </cell>
          <cell r="G823">
            <v>7.0076626899074845E-2</v>
          </cell>
          <cell r="H823">
            <v>1.9404720907801824E-2</v>
          </cell>
          <cell r="J823" t="str">
            <v>2006ME</v>
          </cell>
          <cell r="K823">
            <v>0.48155183228484877</v>
          </cell>
          <cell r="L823">
            <v>7.0076626899074845E-2</v>
          </cell>
          <cell r="M823">
            <v>0.44837154081607639</v>
          </cell>
          <cell r="U823" t="str">
            <v>2006ME</v>
          </cell>
          <cell r="V823">
            <v>0.72920202000000001</v>
          </cell>
          <cell r="W823">
            <v>1.1915111000000001E-2</v>
          </cell>
          <cell r="X823">
            <v>7.4740241999999998E-2</v>
          </cell>
          <cell r="Y823">
            <v>5.7138373999999999E-2</v>
          </cell>
          <cell r="Z823">
            <v>0.12700425300000001</v>
          </cell>
          <cell r="AB823" t="str">
            <v>2006ME</v>
          </cell>
          <cell r="AC823">
            <v>0</v>
          </cell>
          <cell r="AD823">
            <v>0</v>
          </cell>
          <cell r="AE823">
            <v>0.05</v>
          </cell>
          <cell r="AF823">
            <v>0.95</v>
          </cell>
        </row>
        <row r="824">
          <cell r="B824" t="str">
            <v>2006MD</v>
          </cell>
          <cell r="C824">
            <v>7.6488535055593554E-2</v>
          </cell>
          <cell r="D824">
            <v>0.15472472257238745</v>
          </cell>
          <cell r="E824">
            <v>0.44380834258126728</v>
          </cell>
          <cell r="F824">
            <v>0.22861605738914034</v>
          </cell>
          <cell r="G824">
            <v>6.5960402236453913E-2</v>
          </cell>
          <cell r="H824">
            <v>3.0401940165157418E-2</v>
          </cell>
          <cell r="J824" t="str">
            <v>2006MD</v>
          </cell>
          <cell r="K824">
            <v>0.49023125518227884</v>
          </cell>
          <cell r="L824">
            <v>6.5960402236453913E-2</v>
          </cell>
          <cell r="M824">
            <v>0.44380834258126728</v>
          </cell>
          <cell r="U824" t="str">
            <v>2006MD</v>
          </cell>
          <cell r="V824">
            <v>0.21140679400000001</v>
          </cell>
          <cell r="W824">
            <v>3.7602905999999998E-2</v>
          </cell>
          <cell r="X824">
            <v>0.214504853</v>
          </cell>
          <cell r="Y824">
            <v>0.15671048400000001</v>
          </cell>
          <cell r="Z824">
            <v>0.37977496300000002</v>
          </cell>
          <cell r="AB824" t="str">
            <v>2006MD</v>
          </cell>
          <cell r="AC824">
            <v>0</v>
          </cell>
          <cell r="AD824">
            <v>0</v>
          </cell>
          <cell r="AE824">
            <v>0.05</v>
          </cell>
          <cell r="AF824">
            <v>0.95</v>
          </cell>
        </row>
        <row r="825">
          <cell r="B825" t="str">
            <v>2006MA</v>
          </cell>
          <cell r="C825">
            <v>6.1305440163427552E-2</v>
          </cell>
          <cell r="D825">
            <v>0.14874705508142777</v>
          </cell>
          <cell r="E825">
            <v>0.45216403673004657</v>
          </cell>
          <cell r="F825">
            <v>0.23617268276189021</v>
          </cell>
          <cell r="G825">
            <v>7.3497640935872632E-2</v>
          </cell>
          <cell r="H825">
            <v>2.8113144327335336E-2</v>
          </cell>
          <cell r="J825" t="str">
            <v>2006MA</v>
          </cell>
          <cell r="K825">
            <v>0.4743383223340808</v>
          </cell>
          <cell r="L825">
            <v>7.3497640935872632E-2</v>
          </cell>
          <cell r="M825">
            <v>0.45216403673004657</v>
          </cell>
          <cell r="U825" t="str">
            <v>2006MA</v>
          </cell>
          <cell r="V825">
            <v>0.31419575799999999</v>
          </cell>
          <cell r="W825">
            <v>3.0175387000000001E-2</v>
          </cell>
          <cell r="X825">
            <v>0.18928197099999999</v>
          </cell>
          <cell r="Y825">
            <v>0.14470469499999999</v>
          </cell>
          <cell r="Z825">
            <v>0.32164218900000002</v>
          </cell>
          <cell r="AB825" t="str">
            <v>2006MA</v>
          </cell>
          <cell r="AC825">
            <v>0</v>
          </cell>
          <cell r="AD825">
            <v>0</v>
          </cell>
          <cell r="AE825">
            <v>0.05</v>
          </cell>
          <cell r="AF825">
            <v>0.95</v>
          </cell>
        </row>
        <row r="826">
          <cell r="B826" t="str">
            <v>2006MI</v>
          </cell>
          <cell r="C826">
            <v>0.21592740095911189</v>
          </cell>
          <cell r="D826">
            <v>0.33044604004991018</v>
          </cell>
          <cell r="E826">
            <v>5.8998863632555826E-2</v>
          </cell>
          <cell r="F826">
            <v>0.32074430847532459</v>
          </cell>
          <cell r="G826">
            <v>3.4929675483950956E-2</v>
          </cell>
          <cell r="H826">
            <v>3.8953711399146676E-2</v>
          </cell>
          <cell r="J826" t="str">
            <v>2006MI</v>
          </cell>
          <cell r="K826">
            <v>0.90607146088349322</v>
          </cell>
          <cell r="L826">
            <v>3.4929675483950956E-2</v>
          </cell>
          <cell r="M826">
            <v>5.8998863632555826E-2</v>
          </cell>
          <cell r="U826" t="str">
            <v>2006MI</v>
          </cell>
          <cell r="V826">
            <v>4.5127237000000001E-2</v>
          </cell>
          <cell r="W826">
            <v>5.0500046999999999E-2</v>
          </cell>
          <cell r="X826">
            <v>0.254352099</v>
          </cell>
          <cell r="Y826">
            <v>0.17319266699999999</v>
          </cell>
          <cell r="Z826">
            <v>0.47682794899999997</v>
          </cell>
          <cell r="AB826" t="str">
            <v>2006MI</v>
          </cell>
          <cell r="AC826">
            <v>0</v>
          </cell>
          <cell r="AD826">
            <v>0</v>
          </cell>
          <cell r="AE826">
            <v>0.02</v>
          </cell>
          <cell r="AF826">
            <v>0.98</v>
          </cell>
        </row>
        <row r="827">
          <cell r="B827" t="str">
            <v>2006MN</v>
          </cell>
          <cell r="C827">
            <v>0.11559741536790068</v>
          </cell>
          <cell r="D827">
            <v>0.23915415867765383</v>
          </cell>
          <cell r="E827">
            <v>0.10052931481156221</v>
          </cell>
          <cell r="F827">
            <v>0.43822851849088174</v>
          </cell>
          <cell r="G827">
            <v>5.9517355535203494E-2</v>
          </cell>
          <cell r="H827">
            <v>4.697323711679801E-2</v>
          </cell>
          <cell r="J827" t="str">
            <v>2006MN</v>
          </cell>
          <cell r="K827">
            <v>0.83995332965323433</v>
          </cell>
          <cell r="L827">
            <v>5.9517355535203494E-2</v>
          </cell>
          <cell r="M827">
            <v>0.10052931481156221</v>
          </cell>
          <cell r="U827" t="str">
            <v>2006MN</v>
          </cell>
          <cell r="V827">
            <v>1.5145339000000001E-2</v>
          </cell>
          <cell r="W827">
            <v>5.1986831999999997E-2</v>
          </cell>
          <cell r="X827">
            <v>0.262445557</v>
          </cell>
          <cell r="Y827">
            <v>0.17896024199999999</v>
          </cell>
          <cell r="Z827">
            <v>0.49146202900000002</v>
          </cell>
          <cell r="AB827" t="str">
            <v>2006MN</v>
          </cell>
          <cell r="AC827">
            <v>0</v>
          </cell>
          <cell r="AD827">
            <v>0</v>
          </cell>
          <cell r="AE827">
            <v>0</v>
          </cell>
          <cell r="AF827">
            <v>1</v>
          </cell>
        </row>
        <row r="828">
          <cell r="B828" t="str">
            <v>2006MS</v>
          </cell>
          <cell r="C828">
            <v>0.10416334210611014</v>
          </cell>
          <cell r="D828">
            <v>7.2829933678422776E-2</v>
          </cell>
          <cell r="E828">
            <v>0.14929269604113307</v>
          </cell>
          <cell r="F828">
            <v>0.10019278631941281</v>
          </cell>
          <cell r="G828">
            <v>0.56868226150598644</v>
          </cell>
          <cell r="H828">
            <v>4.838980348934833E-3</v>
          </cell>
          <cell r="J828" t="str">
            <v>2006MS</v>
          </cell>
          <cell r="K828">
            <v>0.28202504245288051</v>
          </cell>
          <cell r="L828">
            <v>0.56868226150598644</v>
          </cell>
          <cell r="M828">
            <v>0.14929269604113307</v>
          </cell>
          <cell r="U828" t="str">
            <v>2006MS</v>
          </cell>
          <cell r="V828">
            <v>2.1100625000000001E-2</v>
          </cell>
          <cell r="W828">
            <v>3.6418512E-2</v>
          </cell>
          <cell r="X828">
            <v>6.0129593000000002E-2</v>
          </cell>
          <cell r="Y828">
            <v>0.574366987</v>
          </cell>
          <cell r="Z828">
            <v>0.30798428300000003</v>
          </cell>
          <cell r="AB828" t="str">
            <v>2006MS</v>
          </cell>
          <cell r="AC828">
            <v>0</v>
          </cell>
          <cell r="AD828">
            <v>0</v>
          </cell>
          <cell r="AE828">
            <v>0.6</v>
          </cell>
          <cell r="AF828">
            <v>0.4</v>
          </cell>
        </row>
        <row r="829">
          <cell r="B829" t="str">
            <v>2006MO</v>
          </cell>
          <cell r="C829">
            <v>6.4925479522277466E-2</v>
          </cell>
          <cell r="D829">
            <v>0.18170303563698134</v>
          </cell>
          <cell r="E829">
            <v>0.14337282997597614</v>
          </cell>
          <cell r="F829">
            <v>0.47880340852502545</v>
          </cell>
          <cell r="G829">
            <v>8.4882421727070459E-2</v>
          </cell>
          <cell r="H829">
            <v>4.6312824612669105E-2</v>
          </cell>
          <cell r="J829" t="str">
            <v>2006MO</v>
          </cell>
          <cell r="K829">
            <v>0.77174474829695339</v>
          </cell>
          <cell r="L829">
            <v>8.4882421727070459E-2</v>
          </cell>
          <cell r="M829">
            <v>0.14337282997597614</v>
          </cell>
          <cell r="U829" t="str">
            <v>2006MO</v>
          </cell>
          <cell r="V829">
            <v>2.998994E-2</v>
          </cell>
          <cell r="W829">
            <v>4.5757142000000001E-2</v>
          </cell>
          <cell r="X829">
            <v>0.27926039899999999</v>
          </cell>
          <cell r="Y829">
            <v>0.13775391300000001</v>
          </cell>
          <cell r="Z829">
            <v>0.50723860600000004</v>
          </cell>
          <cell r="AB829" t="str">
            <v>2006MO</v>
          </cell>
          <cell r="AC829">
            <v>0</v>
          </cell>
          <cell r="AD829">
            <v>0</v>
          </cell>
          <cell r="AE829">
            <v>0</v>
          </cell>
          <cell r="AF829">
            <v>1</v>
          </cell>
        </row>
        <row r="830">
          <cell r="B830" t="str">
            <v>2006MT</v>
          </cell>
          <cell r="C830">
            <v>0.35597781750083307</v>
          </cell>
          <cell r="D830">
            <v>0.25924389885240834</v>
          </cell>
          <cell r="E830">
            <v>4.3797789125912777E-2</v>
          </cell>
          <cell r="F830">
            <v>0.25058080537727367</v>
          </cell>
          <cell r="G830">
            <v>2.5930034358127463E-2</v>
          </cell>
          <cell r="H830">
            <v>6.4469654785444572E-2</v>
          </cell>
          <cell r="J830" t="str">
            <v>2006MT</v>
          </cell>
          <cell r="K830">
            <v>0.93027217651595973</v>
          </cell>
          <cell r="L830">
            <v>2.5930034358127463E-2</v>
          </cell>
          <cell r="M830">
            <v>4.3797789125912777E-2</v>
          </cell>
          <cell r="U830" t="str">
            <v>2006MT</v>
          </cell>
          <cell r="V830">
            <v>6.0520032000000001E-2</v>
          </cell>
          <cell r="W830">
            <v>5.1214043000000001E-2</v>
          </cell>
          <cell r="X830">
            <v>0.24859647000000001</v>
          </cell>
          <cell r="Y830">
            <v>0.16530719099999999</v>
          </cell>
          <cell r="Z830">
            <v>0.47436226399999998</v>
          </cell>
          <cell r="AB830" t="str">
            <v>2006MT</v>
          </cell>
          <cell r="AC830">
            <v>0</v>
          </cell>
          <cell r="AD830">
            <v>0</v>
          </cell>
          <cell r="AE830">
            <v>0.6</v>
          </cell>
          <cell r="AF830">
            <v>0.4</v>
          </cell>
        </row>
        <row r="831">
          <cell r="B831" t="str">
            <v>2006NE</v>
          </cell>
          <cell r="C831">
            <v>0.21260954807532403</v>
          </cell>
          <cell r="D831">
            <v>0.30324255962083846</v>
          </cell>
          <cell r="E831">
            <v>6.1277054134417128E-2</v>
          </cell>
          <cell r="F831">
            <v>0.34696077142199511</v>
          </cell>
          <cell r="G831">
            <v>3.6278454935301678E-2</v>
          </cell>
          <cell r="H831">
            <v>3.9631611812123581E-2</v>
          </cell>
          <cell r="J831" t="str">
            <v>2006NE</v>
          </cell>
          <cell r="K831">
            <v>0.90244449093028123</v>
          </cell>
          <cell r="L831">
            <v>3.6278454935301678E-2</v>
          </cell>
          <cell r="M831">
            <v>6.1277054134417128E-2</v>
          </cell>
          <cell r="U831" t="str">
            <v>2006NE</v>
          </cell>
          <cell r="V831">
            <v>3.0063880000000001E-2</v>
          </cell>
          <cell r="W831">
            <v>4.5295173000000001E-2</v>
          </cell>
          <cell r="X831">
            <v>0.27751980599999998</v>
          </cell>
          <cell r="Y831">
            <v>0.147715386</v>
          </cell>
          <cell r="Z831">
            <v>0.49940575500000001</v>
          </cell>
          <cell r="AB831" t="str">
            <v>2006NE</v>
          </cell>
          <cell r="AC831">
            <v>0</v>
          </cell>
          <cell r="AD831">
            <v>0</v>
          </cell>
          <cell r="AE831">
            <v>0.02</v>
          </cell>
          <cell r="AF831">
            <v>0.98</v>
          </cell>
        </row>
        <row r="832">
          <cell r="B832" t="str">
            <v>2006NV</v>
          </cell>
          <cell r="C832">
            <v>0.64210148526116029</v>
          </cell>
          <cell r="D832">
            <v>0.238399883587257</v>
          </cell>
          <cell r="E832">
            <v>4.1594375177217181E-3</v>
          </cell>
          <cell r="F832">
            <v>0.10819864870890922</v>
          </cell>
          <cell r="G832">
            <v>2.4625525602432058E-3</v>
          </cell>
          <cell r="H832">
            <v>4.677992364708553E-3</v>
          </cell>
          <cell r="J832" t="str">
            <v>2006NV</v>
          </cell>
          <cell r="K832">
            <v>0.99337800992203507</v>
          </cell>
          <cell r="L832">
            <v>2.4625525602432058E-3</v>
          </cell>
          <cell r="M832">
            <v>4.1594375177217181E-3</v>
          </cell>
          <cell r="U832" t="str">
            <v>2006NV</v>
          </cell>
          <cell r="V832">
            <v>0.35004114600000003</v>
          </cell>
          <cell r="W832">
            <v>2.4048478000000002E-2</v>
          </cell>
          <cell r="X832">
            <v>3.5747737000000002E-2</v>
          </cell>
          <cell r="Y832">
            <v>0.38867539400000001</v>
          </cell>
          <cell r="Z832">
            <v>0.20148724500000001</v>
          </cell>
          <cell r="AB832" t="str">
            <v>2006NV</v>
          </cell>
          <cell r="AC832">
            <v>0</v>
          </cell>
          <cell r="AD832">
            <v>0</v>
          </cell>
          <cell r="AE832">
            <v>0</v>
          </cell>
          <cell r="AF832">
            <v>1</v>
          </cell>
        </row>
        <row r="833">
          <cell r="B833" t="str">
            <v>2006NH</v>
          </cell>
          <cell r="C833">
            <v>9.4573445198850817E-2</v>
          </cell>
          <cell r="D833">
            <v>0.16340842518862655</v>
          </cell>
          <cell r="E833">
            <v>0.44298025846087286</v>
          </cell>
          <cell r="F833">
            <v>0.20852129702854144</v>
          </cell>
          <cell r="G833">
            <v>6.52134304627775E-2</v>
          </cell>
          <cell r="H833">
            <v>2.5303143660330828E-2</v>
          </cell>
          <cell r="J833" t="str">
            <v>2006NH</v>
          </cell>
          <cell r="K833">
            <v>0.49180631107634964</v>
          </cell>
          <cell r="L833">
            <v>6.52134304627775E-2</v>
          </cell>
          <cell r="M833">
            <v>0.44298025846087286</v>
          </cell>
          <cell r="U833" t="str">
            <v>2006NH</v>
          </cell>
          <cell r="V833">
            <v>0.56759962799999997</v>
          </cell>
          <cell r="W833">
            <v>1.9025615999999999E-2</v>
          </cell>
          <cell r="X833">
            <v>0.119342503</v>
          </cell>
          <cell r="Y833">
            <v>9.1236478999999995E-2</v>
          </cell>
          <cell r="Z833">
            <v>0.20279577500000001</v>
          </cell>
          <cell r="AB833" t="str">
            <v>2006NH</v>
          </cell>
          <cell r="AC833">
            <v>0</v>
          </cell>
          <cell r="AD833">
            <v>0</v>
          </cell>
          <cell r="AE833">
            <v>0.05</v>
          </cell>
          <cell r="AF833">
            <v>0.95</v>
          </cell>
        </row>
        <row r="834">
          <cell r="B834" t="str">
            <v>2006NJ</v>
          </cell>
          <cell r="C834">
            <v>5.8003576611346738E-2</v>
          </cell>
          <cell r="D834">
            <v>0.13897871355240557</v>
          </cell>
          <cell r="E834">
            <v>0.45397029129837874</v>
          </cell>
          <cell r="F834">
            <v>0.24471653627570109</v>
          </cell>
          <cell r="G834">
            <v>7.5126969581826603E-2</v>
          </cell>
          <cell r="H834">
            <v>2.9203912680341212E-2</v>
          </cell>
          <cell r="J834" t="str">
            <v>2006NJ</v>
          </cell>
          <cell r="K834">
            <v>0.47090273911979463</v>
          </cell>
          <cell r="L834">
            <v>7.5126969581826603E-2</v>
          </cell>
          <cell r="M834">
            <v>0.45397029129837874</v>
          </cell>
          <cell r="U834" t="str">
            <v>2006NJ</v>
          </cell>
          <cell r="V834">
            <v>0.30808167400000003</v>
          </cell>
          <cell r="W834">
            <v>3.3011736E-2</v>
          </cell>
          <cell r="X834">
            <v>0.18818818500000001</v>
          </cell>
          <cell r="Y834">
            <v>0.137437002</v>
          </cell>
          <cell r="Z834">
            <v>0.333281404</v>
          </cell>
          <cell r="AB834" t="str">
            <v>2006NJ</v>
          </cell>
          <cell r="AC834">
            <v>0</v>
          </cell>
          <cell r="AD834">
            <v>0</v>
          </cell>
          <cell r="AE834">
            <v>0.05</v>
          </cell>
          <cell r="AF834">
            <v>0.95</v>
          </cell>
        </row>
        <row r="835">
          <cell r="B835" t="str">
            <v>2006NM</v>
          </cell>
          <cell r="C835">
            <v>0.61184589317007076</v>
          </cell>
          <cell r="D835">
            <v>0.19452029294367307</v>
          </cell>
          <cell r="E835">
            <v>9.8952813124742175E-2</v>
          </cell>
          <cell r="F835">
            <v>9.4174237847419268E-2</v>
          </cell>
          <cell r="G835">
            <v>0</v>
          </cell>
          <cell r="H835">
            <v>5.0676291409465751E-4</v>
          </cell>
          <cell r="J835" t="str">
            <v>2006NM</v>
          </cell>
          <cell r="K835">
            <v>0.90104718687525787</v>
          </cell>
          <cell r="L835">
            <v>0</v>
          </cell>
          <cell r="M835">
            <v>9.8952813124742175E-2</v>
          </cell>
          <cell r="U835" t="str">
            <v>2006NM</v>
          </cell>
          <cell r="V835">
            <v>0.91655606099999998</v>
          </cell>
          <cell r="W835">
            <v>3.6715329999999998E-3</v>
          </cell>
          <cell r="X835">
            <v>2.3030526999999999E-2</v>
          </cell>
          <cell r="Y835">
            <v>1.7606671000000001E-2</v>
          </cell>
          <cell r="Z835">
            <v>3.9135206999999998E-2</v>
          </cell>
          <cell r="AB835" t="str">
            <v>2006NM</v>
          </cell>
          <cell r="AC835">
            <v>0</v>
          </cell>
          <cell r="AD835">
            <v>0</v>
          </cell>
          <cell r="AE835">
            <v>0.6</v>
          </cell>
          <cell r="AF835">
            <v>0.4</v>
          </cell>
        </row>
        <row r="836">
          <cell r="B836" t="str">
            <v>2006NY</v>
          </cell>
          <cell r="C836">
            <v>9.8408703041683282E-2</v>
          </cell>
          <cell r="D836">
            <v>0.15954377256245178</v>
          </cell>
          <cell r="E836">
            <v>0.44849165243165579</v>
          </cell>
          <cell r="F836">
            <v>0.20287733376538455</v>
          </cell>
          <cell r="G836">
            <v>7.0184973363303343E-2</v>
          </cell>
          <cell r="H836">
            <v>2.0493564835521279E-2</v>
          </cell>
          <cell r="J836" t="str">
            <v>2006NY</v>
          </cell>
          <cell r="K836">
            <v>0.4813233742050409</v>
          </cell>
          <cell r="L836">
            <v>7.0184973363303343E-2</v>
          </cell>
          <cell r="M836">
            <v>0.44849165243165579</v>
          </cell>
          <cell r="U836" t="str">
            <v>2006NY</v>
          </cell>
          <cell r="V836">
            <v>0.20441514899999999</v>
          </cell>
          <cell r="W836">
            <v>4.1815811000000001E-2</v>
          </cell>
          <cell r="X836">
            <v>0.21220383400000001</v>
          </cell>
          <cell r="Y836">
            <v>0.145168144</v>
          </cell>
          <cell r="Z836">
            <v>0.396397061</v>
          </cell>
          <cell r="AB836" t="str">
            <v>2006NY</v>
          </cell>
          <cell r="AC836">
            <v>0</v>
          </cell>
          <cell r="AD836">
            <v>0</v>
          </cell>
          <cell r="AE836">
            <v>0.05</v>
          </cell>
          <cell r="AF836">
            <v>0.95</v>
          </cell>
        </row>
        <row r="837">
          <cell r="B837" t="str">
            <v>2006NC</v>
          </cell>
          <cell r="C837">
            <v>6.168821577504751E-2</v>
          </cell>
          <cell r="D837">
            <v>0.11278426418396881</v>
          </cell>
          <cell r="E837">
            <v>0.15395779991170949</v>
          </cell>
          <cell r="F837">
            <v>0.11589101949636353</v>
          </cell>
          <cell r="G837">
            <v>0.54100750469043157</v>
          </cell>
          <cell r="H837">
            <v>1.4671195942479084E-2</v>
          </cell>
          <cell r="J837" t="str">
            <v>2006NC</v>
          </cell>
          <cell r="K837">
            <v>0.30503469539785888</v>
          </cell>
          <cell r="L837">
            <v>0.54100750469043157</v>
          </cell>
          <cell r="M837">
            <v>0.15395779991170949</v>
          </cell>
          <cell r="U837" t="str">
            <v>2006NC</v>
          </cell>
          <cell r="V837">
            <v>2.4742549999999999E-3</v>
          </cell>
          <cell r="W837">
            <v>3.7123251000000003E-2</v>
          </cell>
          <cell r="X837">
            <v>6.1645423999999997E-2</v>
          </cell>
          <cell r="Y837">
            <v>0.58464508599999998</v>
          </cell>
          <cell r="Z837">
            <v>0.31411198400000001</v>
          </cell>
          <cell r="AB837" t="str">
            <v>2006NC</v>
          </cell>
          <cell r="AC837">
            <v>0</v>
          </cell>
          <cell r="AD837">
            <v>0</v>
          </cell>
          <cell r="AE837">
            <v>0.41899999999999998</v>
          </cell>
          <cell r="AF837">
            <v>0.58099999999999996</v>
          </cell>
        </row>
        <row r="838">
          <cell r="B838" t="str">
            <v>2006ND</v>
          </cell>
          <cell r="C838">
            <v>0.1196932700797023</v>
          </cell>
          <cell r="D838">
            <v>0.21866711268457967</v>
          </cell>
          <cell r="E838">
            <v>0.10978970169096619</v>
          </cell>
          <cell r="F838">
            <v>0.448028418369537</v>
          </cell>
          <cell r="G838">
            <v>6.499987314042277E-2</v>
          </cell>
          <cell r="H838">
            <v>3.8821624034792085E-2</v>
          </cell>
          <cell r="J838" t="str">
            <v>2006ND</v>
          </cell>
          <cell r="K838">
            <v>0.82521042516861098</v>
          </cell>
          <cell r="L838">
            <v>6.499987314042277E-2</v>
          </cell>
          <cell r="M838">
            <v>0.10978970169096619</v>
          </cell>
          <cell r="U838" t="str">
            <v>2006ND</v>
          </cell>
          <cell r="V838">
            <v>8.8434773999999994E-2</v>
          </cell>
          <cell r="W838">
            <v>4.7868137999999998E-2</v>
          </cell>
          <cell r="X838">
            <v>0.243186129</v>
          </cell>
          <cell r="Y838">
            <v>0.16647603599999999</v>
          </cell>
          <cell r="Z838">
            <v>0.45403492299999998</v>
          </cell>
          <cell r="AB838" t="str">
            <v>2006ND</v>
          </cell>
          <cell r="AC838">
            <v>0</v>
          </cell>
          <cell r="AD838">
            <v>0</v>
          </cell>
          <cell r="AE838">
            <v>0.02</v>
          </cell>
          <cell r="AF838">
            <v>0.98</v>
          </cell>
        </row>
        <row r="839">
          <cell r="B839" t="str">
            <v>2006OH</v>
          </cell>
          <cell r="C839">
            <v>0.10753833947858983</v>
          </cell>
          <cell r="D839">
            <v>0.22522557822049544</v>
          </cell>
          <cell r="E839">
            <v>0.13589110116557596</v>
          </cell>
          <cell r="F839">
            <v>0.4097570212201273</v>
          </cell>
          <cell r="G839">
            <v>8.0452940491062386E-2</v>
          </cell>
          <cell r="H839">
            <v>4.1135019424149183E-2</v>
          </cell>
          <cell r="J839" t="str">
            <v>2006OH</v>
          </cell>
          <cell r="K839">
            <v>0.78365595834336166</v>
          </cell>
          <cell r="L839">
            <v>8.0452940491062386E-2</v>
          </cell>
          <cell r="M839">
            <v>0.13589110116557596</v>
          </cell>
          <cell r="U839" t="str">
            <v>2006OH</v>
          </cell>
          <cell r="V839">
            <v>6.6338901000000006E-2</v>
          </cell>
          <cell r="W839">
            <v>4.3119113000000001E-2</v>
          </cell>
          <cell r="X839">
            <v>0.26533305600000001</v>
          </cell>
          <cell r="Y839">
            <v>0.15267545299999999</v>
          </cell>
          <cell r="Z839">
            <v>0.47253347699999998</v>
          </cell>
          <cell r="AB839" t="str">
            <v>2006OH</v>
          </cell>
          <cell r="AC839">
            <v>0</v>
          </cell>
          <cell r="AD839">
            <v>0</v>
          </cell>
          <cell r="AE839">
            <v>0</v>
          </cell>
          <cell r="AF839">
            <v>1</v>
          </cell>
        </row>
        <row r="840">
          <cell r="B840" t="str">
            <v>2006OK</v>
          </cell>
          <cell r="C840">
            <v>0.40296958934788546</v>
          </cell>
          <cell r="D840">
            <v>0.22528492954061258</v>
          </cell>
          <cell r="E840">
            <v>6.4896255940651446E-2</v>
          </cell>
          <cell r="F840">
            <v>0.24738177570149189</v>
          </cell>
          <cell r="G840">
            <v>0</v>
          </cell>
          <cell r="H840">
            <v>5.9467449469358676E-2</v>
          </cell>
          <cell r="J840" t="str">
            <v>2006OK</v>
          </cell>
          <cell r="K840">
            <v>0.9351037440593486</v>
          </cell>
          <cell r="L840">
            <v>0</v>
          </cell>
          <cell r="M840">
            <v>6.4896255940651446E-2</v>
          </cell>
          <cell r="U840" t="str">
            <v>2006OK</v>
          </cell>
          <cell r="V840">
            <v>1.2831308E-2</v>
          </cell>
          <cell r="W840">
            <v>3.6793041999999998E-2</v>
          </cell>
          <cell r="X840">
            <v>6.2749109999999997E-2</v>
          </cell>
          <cell r="Y840">
            <v>0.57552135800000004</v>
          </cell>
          <cell r="Z840">
            <v>0.31210518199999998</v>
          </cell>
          <cell r="AB840" t="str">
            <v>2006OK</v>
          </cell>
          <cell r="AC840">
            <v>0</v>
          </cell>
          <cell r="AD840">
            <v>0</v>
          </cell>
          <cell r="AE840">
            <v>0.6</v>
          </cell>
          <cell r="AF840">
            <v>0.4</v>
          </cell>
        </row>
        <row r="841">
          <cell r="B841" t="str">
            <v>2006OR</v>
          </cell>
          <cell r="C841">
            <v>0.43856747008812064</v>
          </cell>
          <cell r="D841">
            <v>0.20958259090942544</v>
          </cell>
          <cell r="E841">
            <v>0</v>
          </cell>
          <cell r="F841">
            <v>0.12862948158709187</v>
          </cell>
          <cell r="G841">
            <v>0.2018533708975031</v>
          </cell>
          <cell r="H841">
            <v>2.1367086517858933E-2</v>
          </cell>
          <cell r="J841" t="str">
            <v>2006OR</v>
          </cell>
          <cell r="K841">
            <v>0.7981466291024969</v>
          </cell>
          <cell r="L841">
            <v>0.2018533708975031</v>
          </cell>
          <cell r="M841">
            <v>0</v>
          </cell>
          <cell r="U841" t="str">
            <v>2006OR</v>
          </cell>
          <cell r="V841">
            <v>0.57640796000000005</v>
          </cell>
          <cell r="W841">
            <v>1.863805E-2</v>
          </cell>
          <cell r="X841">
            <v>0.116911403</v>
          </cell>
          <cell r="Y841">
            <v>8.937792E-2</v>
          </cell>
          <cell r="Z841">
            <v>0.19866466699999999</v>
          </cell>
          <cell r="AB841" t="str">
            <v>2006OR</v>
          </cell>
          <cell r="AC841">
            <v>0</v>
          </cell>
          <cell r="AD841">
            <v>0</v>
          </cell>
          <cell r="AE841">
            <v>0.25</v>
          </cell>
          <cell r="AF841">
            <v>0.75</v>
          </cell>
        </row>
        <row r="842">
          <cell r="B842" t="str">
            <v>2006PA</v>
          </cell>
          <cell r="C842">
            <v>4.9624045569858895E-2</v>
          </cell>
          <cell r="D842">
            <v>0.11712497857538914</v>
          </cell>
          <cell r="E842">
            <v>0.46874549019831585</v>
          </cell>
          <cell r="F842">
            <v>0.25230966018477574</v>
          </cell>
          <cell r="G842">
            <v>8.8454910858433447E-2</v>
          </cell>
          <cell r="H842">
            <v>2.3740914613226898E-2</v>
          </cell>
          <cell r="J842" t="str">
            <v>2006PA</v>
          </cell>
          <cell r="K842">
            <v>0.44279959894325072</v>
          </cell>
          <cell r="L842">
            <v>8.8454910858433447E-2</v>
          </cell>
          <cell r="M842">
            <v>0.46874549019831585</v>
          </cell>
          <cell r="U842" t="str">
            <v>2006PA</v>
          </cell>
          <cell r="V842">
            <v>5.0102499000000002E-2</v>
          </cell>
          <cell r="W842">
            <v>4.9409870000000002E-2</v>
          </cell>
          <cell r="X842">
            <v>0.25392279899999998</v>
          </cell>
          <cell r="Y842">
            <v>0.17504710600000001</v>
          </cell>
          <cell r="Z842">
            <v>0.47151772600000003</v>
          </cell>
          <cell r="AB842" t="str">
            <v>2006PA</v>
          </cell>
          <cell r="AC842">
            <v>0</v>
          </cell>
          <cell r="AD842">
            <v>0</v>
          </cell>
          <cell r="AE842">
            <v>0</v>
          </cell>
          <cell r="AF842">
            <v>1</v>
          </cell>
        </row>
        <row r="843">
          <cell r="B843" t="str">
            <v>2006RI</v>
          </cell>
          <cell r="C843">
            <v>4.2447025005926793E-2</v>
          </cell>
          <cell r="D843">
            <v>0.1190174947032642</v>
          </cell>
          <cell r="E843">
            <v>0.46784468707451643</v>
          </cell>
          <cell r="F843">
            <v>0.25730854976835782</v>
          </cell>
          <cell r="G843">
            <v>8.7642343040085183E-2</v>
          </cell>
          <cell r="H843">
            <v>2.5739900407849584E-2</v>
          </cell>
          <cell r="J843" t="str">
            <v>2006RI</v>
          </cell>
          <cell r="K843">
            <v>0.44451296988539835</v>
          </cell>
          <cell r="L843">
            <v>8.7642343040085183E-2</v>
          </cell>
          <cell r="M843">
            <v>0.46784468707451643</v>
          </cell>
          <cell r="U843" t="str">
            <v>2006RI</v>
          </cell>
          <cell r="V843">
            <v>0.56026879500000004</v>
          </cell>
          <cell r="W843">
            <v>1.9348173E-2</v>
          </cell>
          <cell r="X843">
            <v>0.121365813</v>
          </cell>
          <cell r="Y843">
            <v>9.2783283999999994E-2</v>
          </cell>
          <cell r="Z843">
            <v>0.20623393500000001</v>
          </cell>
          <cell r="AB843" t="str">
            <v>2006RI</v>
          </cell>
          <cell r="AC843">
            <v>0</v>
          </cell>
          <cell r="AD843">
            <v>0</v>
          </cell>
          <cell r="AE843">
            <v>0.05</v>
          </cell>
          <cell r="AF843">
            <v>0.95</v>
          </cell>
        </row>
        <row r="844">
          <cell r="B844" t="str">
            <v>2006SC</v>
          </cell>
          <cell r="C844">
            <v>0.13346180610825578</v>
          </cell>
          <cell r="D844">
            <v>9.0019723091430845E-2</v>
          </cell>
          <cell r="E844">
            <v>0.15451296947775242</v>
          </cell>
          <cell r="F844">
            <v>8.0687406490411034E-2</v>
          </cell>
          <cell r="G844">
            <v>0.53771407690020812</v>
          </cell>
          <cell r="H844">
            <v>3.6040179319418398E-3</v>
          </cell>
          <cell r="J844" t="str">
            <v>2006SC</v>
          </cell>
          <cell r="K844">
            <v>0.30777295362203949</v>
          </cell>
          <cell r="L844">
            <v>0.53771407690020812</v>
          </cell>
          <cell r="M844">
            <v>0.15451296947775242</v>
          </cell>
          <cell r="U844" t="str">
            <v>2006SC</v>
          </cell>
          <cell r="V844">
            <v>6.1629585000000001E-2</v>
          </cell>
          <cell r="W844">
            <v>3.5823032999999997E-2</v>
          </cell>
          <cell r="X844">
            <v>8.6443989999999998E-2</v>
          </cell>
          <cell r="Y844">
            <v>0.50014727299999995</v>
          </cell>
          <cell r="Z844">
            <v>0.31595611899999998</v>
          </cell>
          <cell r="AB844" t="str">
            <v>2006SC</v>
          </cell>
          <cell r="AC844">
            <v>0</v>
          </cell>
          <cell r="AD844">
            <v>0</v>
          </cell>
          <cell r="AE844">
            <v>0.6</v>
          </cell>
          <cell r="AF844">
            <v>0.4</v>
          </cell>
        </row>
        <row r="845">
          <cell r="B845" t="str">
            <v>2006SD</v>
          </cell>
          <cell r="C845">
            <v>0.17608951911561277</v>
          </cell>
          <cell r="D845">
            <v>0.277831368160596</v>
          </cell>
          <cell r="E845">
            <v>7.9800561964795444E-2</v>
          </cell>
          <cell r="F845">
            <v>0.37802114842972712</v>
          </cell>
          <cell r="G845">
            <v>4.724510882492864E-2</v>
          </cell>
          <cell r="H845">
            <v>4.1012293504340026E-2</v>
          </cell>
          <cell r="J845" t="str">
            <v>2006SD</v>
          </cell>
          <cell r="K845">
            <v>0.87295432921027594</v>
          </cell>
          <cell r="L845">
            <v>4.724510882492864E-2</v>
          </cell>
          <cell r="M845">
            <v>7.9800561964795444E-2</v>
          </cell>
          <cell r="U845" t="str">
            <v>2006SD</v>
          </cell>
          <cell r="V845">
            <v>3.3046748000000001E-2</v>
          </cell>
          <cell r="W845">
            <v>5.1157264000000001E-2</v>
          </cell>
          <cell r="X845">
            <v>0.25755016600000002</v>
          </cell>
          <cell r="Y845">
            <v>0.17532273200000001</v>
          </cell>
          <cell r="Z845">
            <v>0.48292308900000003</v>
          </cell>
          <cell r="AB845" t="str">
            <v>2006SD</v>
          </cell>
          <cell r="AC845">
            <v>0</v>
          </cell>
          <cell r="AD845">
            <v>0</v>
          </cell>
          <cell r="AE845">
            <v>0.02</v>
          </cell>
          <cell r="AF845">
            <v>0.98</v>
          </cell>
        </row>
        <row r="846">
          <cell r="B846" t="str">
            <v>2006TN</v>
          </cell>
          <cell r="C846">
            <v>4.0519949592449485E-2</v>
          </cell>
          <cell r="D846">
            <v>8.9664149461423162E-2</v>
          </cell>
          <cell r="E846">
            <v>0.14551684926860037</v>
          </cell>
          <cell r="F846">
            <v>0.1170185785979804</v>
          </cell>
          <cell r="G846">
            <v>0.59108168584929244</v>
          </cell>
          <cell r="H846">
            <v>1.6198787230254148E-2</v>
          </cell>
          <cell r="J846" t="str">
            <v>2006TN</v>
          </cell>
          <cell r="K846">
            <v>0.26340146488210725</v>
          </cell>
          <cell r="L846">
            <v>0.59108168584929244</v>
          </cell>
          <cell r="M846">
            <v>0.14551684926860037</v>
          </cell>
          <cell r="U846" t="str">
            <v>2006TN</v>
          </cell>
          <cell r="V846">
            <v>0.102875089</v>
          </cell>
          <cell r="W846">
            <v>3.5402429999999999E-2</v>
          </cell>
          <cell r="X846">
            <v>0.119077104</v>
          </cell>
          <cell r="Y846">
            <v>0.41436515099999999</v>
          </cell>
          <cell r="Z846">
            <v>0.32828022600000001</v>
          </cell>
          <cell r="AB846" t="str">
            <v>2006TN</v>
          </cell>
          <cell r="AC846">
            <v>0</v>
          </cell>
          <cell r="AD846">
            <v>0</v>
          </cell>
          <cell r="AE846">
            <v>0.05</v>
          </cell>
          <cell r="AF846">
            <v>0.95</v>
          </cell>
        </row>
        <row r="847">
          <cell r="B847" t="str">
            <v>2006TX</v>
          </cell>
          <cell r="C847">
            <v>0.53305655520056971</v>
          </cell>
          <cell r="D847">
            <v>0.24233312613196878</v>
          </cell>
          <cell r="E847">
            <v>7.9791980793249173E-2</v>
          </cell>
          <cell r="F847">
            <v>0.1278405091499755</v>
          </cell>
          <cell r="G847">
            <v>0</v>
          </cell>
          <cell r="H847">
            <v>1.6977828724236681E-2</v>
          </cell>
          <cell r="J847" t="str">
            <v>2006TX</v>
          </cell>
          <cell r="K847">
            <v>0.92020801920675077</v>
          </cell>
          <cell r="L847">
            <v>0</v>
          </cell>
          <cell r="M847">
            <v>7.9791980793249173E-2</v>
          </cell>
          <cell r="U847" t="str">
            <v>2006TX</v>
          </cell>
          <cell r="V847">
            <v>6.9632535999999995E-2</v>
          </cell>
          <cell r="W847">
            <v>3.4700662E-2</v>
          </cell>
          <cell r="X847">
            <v>5.9917572000000002E-2</v>
          </cell>
          <cell r="Y847">
            <v>0.54104196599999999</v>
          </cell>
          <cell r="Z847">
            <v>0.29470726400000002</v>
          </cell>
          <cell r="AB847" t="str">
            <v>2006TX</v>
          </cell>
          <cell r="AC847">
            <v>0</v>
          </cell>
          <cell r="AD847">
            <v>0</v>
          </cell>
          <cell r="AE847">
            <v>0.12</v>
          </cell>
          <cell r="AF847">
            <v>0.88</v>
          </cell>
        </row>
        <row r="848">
          <cell r="B848" t="str">
            <v>2006UT</v>
          </cell>
          <cell r="C848">
            <v>0.51165623152884221</v>
          </cell>
          <cell r="D848">
            <v>0.26394677259150623</v>
          </cell>
          <cell r="E848">
            <v>1.3999177703951423E-2</v>
          </cell>
          <cell r="F848">
            <v>0.17036034814732054</v>
          </cell>
          <cell r="G848">
            <v>8.2880703819413898E-3</v>
          </cell>
          <cell r="H848">
            <v>3.1749399646438282E-2</v>
          </cell>
          <cell r="J848" t="str">
            <v>2006UT</v>
          </cell>
          <cell r="K848">
            <v>0.97771275191410723</v>
          </cell>
          <cell r="L848">
            <v>8.2880703819413898E-3</v>
          </cell>
          <cell r="M848">
            <v>1.3999177703951423E-2</v>
          </cell>
          <cell r="U848" t="str">
            <v>2006UT</v>
          </cell>
          <cell r="V848">
            <v>8.6456620000000001E-3</v>
          </cell>
          <cell r="W848">
            <v>5.5424775000000003E-2</v>
          </cell>
          <cell r="X848">
            <v>0.260824848</v>
          </cell>
          <cell r="Y848">
            <v>0.16982515300000001</v>
          </cell>
          <cell r="Z848">
            <v>0.50527956200000002</v>
          </cell>
          <cell r="AB848" t="str">
            <v>2006UT</v>
          </cell>
          <cell r="AC848">
            <v>0</v>
          </cell>
          <cell r="AD848">
            <v>0</v>
          </cell>
          <cell r="AE848">
            <v>0.6</v>
          </cell>
          <cell r="AF848">
            <v>0.4</v>
          </cell>
        </row>
        <row r="849">
          <cell r="B849" t="str">
            <v>2006VT</v>
          </cell>
          <cell r="C849">
            <v>9.9973781354903396E-2</v>
          </cell>
          <cell r="D849">
            <v>0.17387691112967565</v>
          </cell>
          <cell r="E849">
            <v>0.44423932842492886</v>
          </cell>
          <cell r="F849">
            <v>0.19448861844630186</v>
          </cell>
          <cell r="G849">
            <v>6.6349172232328182E-2</v>
          </cell>
          <cell r="H849">
            <v>2.1072188411862088E-2</v>
          </cell>
          <cell r="J849" t="str">
            <v>2006VT</v>
          </cell>
          <cell r="K849">
            <v>0.48941149934274297</v>
          </cell>
          <cell r="L849">
            <v>6.6349172232328182E-2</v>
          </cell>
          <cell r="M849">
            <v>0.44423932842492886</v>
          </cell>
          <cell r="U849" t="str">
            <v>2006VT</v>
          </cell>
          <cell r="V849">
            <v>0.86037974299999997</v>
          </cell>
          <cell r="W849">
            <v>6.1432910000000004E-3</v>
          </cell>
          <cell r="X849">
            <v>3.8535191000000003E-2</v>
          </cell>
          <cell r="Y849">
            <v>2.9459874E-2</v>
          </cell>
          <cell r="Z849">
            <v>6.5481899999999996E-2</v>
          </cell>
          <cell r="AB849" t="str">
            <v>2006VT</v>
          </cell>
          <cell r="AC849">
            <v>0</v>
          </cell>
          <cell r="AD849">
            <v>0</v>
          </cell>
          <cell r="AE849">
            <v>0.05</v>
          </cell>
          <cell r="AF849">
            <v>0.95</v>
          </cell>
        </row>
        <row r="850">
          <cell r="B850" t="str">
            <v>2006VA</v>
          </cell>
          <cell r="C850">
            <v>4.4953509549794296E-2</v>
          </cell>
          <cell r="D850">
            <v>9.339670802378576E-2</v>
          </cell>
          <cell r="E850">
            <v>0.14844092890155638</v>
          </cell>
          <cell r="F850">
            <v>0.12331550684410268</v>
          </cell>
          <cell r="G850">
            <v>0.5737351926100378</v>
          </cell>
          <cell r="H850">
            <v>1.6158154070723133E-2</v>
          </cell>
          <cell r="J850" t="str">
            <v>2006VA</v>
          </cell>
          <cell r="K850">
            <v>0.27782387848840584</v>
          </cell>
          <cell r="L850">
            <v>0.5737351926100378</v>
          </cell>
          <cell r="M850">
            <v>0.14844092890155638</v>
          </cell>
          <cell r="U850" t="str">
            <v>2006VA</v>
          </cell>
          <cell r="V850">
            <v>3.3934871999999998E-2</v>
          </cell>
          <cell r="W850">
            <v>3.6244844999999998E-2</v>
          </cell>
          <cell r="X850">
            <v>6.8933026999999994E-2</v>
          </cell>
          <cell r="Y850">
            <v>0.550040046</v>
          </cell>
          <cell r="Z850">
            <v>0.31084721100000001</v>
          </cell>
          <cell r="AB850" t="str">
            <v>2006VA</v>
          </cell>
          <cell r="AC850">
            <v>0</v>
          </cell>
          <cell r="AD850">
            <v>0</v>
          </cell>
          <cell r="AE850">
            <v>0.05</v>
          </cell>
          <cell r="AF850">
            <v>0.95</v>
          </cell>
        </row>
        <row r="851">
          <cell r="B851" t="str">
            <v>2006WA</v>
          </cell>
          <cell r="C851">
            <v>0.48742079910802349</v>
          </cell>
          <cell r="D851">
            <v>0.21961274491816118</v>
          </cell>
          <cell r="E851">
            <v>0</v>
          </cell>
          <cell r="F851">
            <v>0.11254281869932067</v>
          </cell>
          <cell r="G851">
            <v>0.16627589127589129</v>
          </cell>
          <cell r="H851">
            <v>1.4147745998603438E-2</v>
          </cell>
          <cell r="J851" t="str">
            <v>2006WA</v>
          </cell>
          <cell r="K851">
            <v>0.83372410872410874</v>
          </cell>
          <cell r="L851">
            <v>0.16627589127589129</v>
          </cell>
          <cell r="M851">
            <v>0</v>
          </cell>
          <cell r="U851" t="str">
            <v>2006WA</v>
          </cell>
          <cell r="V851">
            <v>0.37353494700000001</v>
          </cell>
          <cell r="W851">
            <v>3.1263627000000002E-2</v>
          </cell>
          <cell r="X851">
            <v>0.168896926</v>
          </cell>
          <cell r="Y851">
            <v>0.119853577</v>
          </cell>
          <cell r="Z851">
            <v>0.30645092299999999</v>
          </cell>
          <cell r="AB851" t="str">
            <v>2006WA</v>
          </cell>
          <cell r="AC851">
            <v>0</v>
          </cell>
          <cell r="AD851">
            <v>0</v>
          </cell>
          <cell r="AE851">
            <v>0.12</v>
          </cell>
          <cell r="AF851">
            <v>0.88</v>
          </cell>
        </row>
        <row r="852">
          <cell r="B852" t="str">
            <v>2006WV</v>
          </cell>
          <cell r="C852">
            <v>6.8751812683186322E-2</v>
          </cell>
          <cell r="D852">
            <v>0.15888641455628993</v>
          </cell>
          <cell r="E852">
            <v>0.44831485363191043</v>
          </cell>
          <cell r="F852">
            <v>0.22633984896592482</v>
          </cell>
          <cell r="G852">
            <v>7.0025492327769459E-2</v>
          </cell>
          <cell r="H852">
            <v>2.7681577834919095E-2</v>
          </cell>
          <cell r="J852" t="str">
            <v>2006WV</v>
          </cell>
          <cell r="K852">
            <v>0.48165965404032007</v>
          </cell>
          <cell r="L852">
            <v>7.0025492327769459E-2</v>
          </cell>
          <cell r="M852">
            <v>0.44831485363191043</v>
          </cell>
          <cell r="U852" t="str">
            <v>2006WV</v>
          </cell>
          <cell r="V852">
            <v>0.57920187499999998</v>
          </cell>
          <cell r="W852">
            <v>2.1256934000000002E-2</v>
          </cell>
          <cell r="X852">
            <v>0.113169981</v>
          </cell>
          <cell r="Y852">
            <v>7.9649016000000003E-2</v>
          </cell>
          <cell r="Z852">
            <v>0.206722194</v>
          </cell>
          <cell r="AB852" t="str">
            <v>2006WV</v>
          </cell>
          <cell r="AC852">
            <v>0</v>
          </cell>
          <cell r="AD852">
            <v>0</v>
          </cell>
          <cell r="AE852">
            <v>0.05</v>
          </cell>
          <cell r="AF852">
            <v>0.95</v>
          </cell>
        </row>
        <row r="853">
          <cell r="B853" t="str">
            <v>2006WI</v>
          </cell>
          <cell r="C853">
            <v>0.12203432597344931</v>
          </cell>
          <cell r="D853">
            <v>0.23555629715568294</v>
          </cell>
          <cell r="E853">
            <v>0.11540173598404266</v>
          </cell>
          <cell r="F853">
            <v>0.42032708364290838</v>
          </cell>
          <cell r="G853">
            <v>6.8322420806473022E-2</v>
          </cell>
          <cell r="H853">
            <v>3.8358136437443673E-2</v>
          </cell>
          <cell r="J853" t="str">
            <v>2006WI</v>
          </cell>
          <cell r="K853">
            <v>0.81627584320948432</v>
          </cell>
          <cell r="L853">
            <v>6.8322420806473022E-2</v>
          </cell>
          <cell r="M853">
            <v>0.11540173598404266</v>
          </cell>
          <cell r="U853" t="str">
            <v>2006WI</v>
          </cell>
          <cell r="V853">
            <v>0.12883246500000001</v>
          </cell>
          <cell r="W853">
            <v>4.2564396999999997E-2</v>
          </cell>
          <cell r="X853">
            <v>0.23585646199999999</v>
          </cell>
          <cell r="Y853">
            <v>0.16970626599999999</v>
          </cell>
          <cell r="Z853">
            <v>0.42304040999999998</v>
          </cell>
          <cell r="AB853" t="str">
            <v>2006WI</v>
          </cell>
          <cell r="AC853">
            <v>0</v>
          </cell>
          <cell r="AD853">
            <v>0</v>
          </cell>
          <cell r="AE853">
            <v>0.02</v>
          </cell>
          <cell r="AF853">
            <v>0.98</v>
          </cell>
        </row>
        <row r="854">
          <cell r="B854" t="str">
            <v>2006WY</v>
          </cell>
          <cell r="C854">
            <v>0.29508724522063295</v>
          </cell>
          <cell r="D854">
            <v>0.23251729773373622</v>
          </cell>
          <cell r="E854">
            <v>0.12161775942187937</v>
          </cell>
          <cell r="F854">
            <v>0.2207502472879718</v>
          </cell>
          <cell r="G854">
            <v>7.2002554085590281E-2</v>
          </cell>
          <cell r="H854">
            <v>5.8024896250189507E-2</v>
          </cell>
          <cell r="J854" t="str">
            <v>2006WY</v>
          </cell>
          <cell r="K854">
            <v>0.80637968649253033</v>
          </cell>
          <cell r="L854">
            <v>7.2002554085590281E-2</v>
          </cell>
          <cell r="M854">
            <v>0.12161775942187937</v>
          </cell>
          <cell r="U854" t="str">
            <v>2006WY</v>
          </cell>
          <cell r="V854">
            <v>3.2109568999999998E-2</v>
          </cell>
          <cell r="W854">
            <v>5.3596850000000001E-2</v>
          </cell>
          <cell r="X854">
            <v>0.25521061499999997</v>
          </cell>
          <cell r="Y854">
            <v>0.16752597599999999</v>
          </cell>
          <cell r="Z854">
            <v>0.49155699000000003</v>
          </cell>
          <cell r="AB854" t="str">
            <v>2006WY</v>
          </cell>
          <cell r="AC854">
            <v>0</v>
          </cell>
          <cell r="AD854">
            <v>0</v>
          </cell>
          <cell r="AE854">
            <v>0.6</v>
          </cell>
          <cell r="AF854">
            <v>0.4</v>
          </cell>
        </row>
        <row r="855">
          <cell r="B855" t="str">
            <v>2007AL</v>
          </cell>
          <cell r="C855">
            <v>0.17233560131521788</v>
          </cell>
          <cell r="D855">
            <v>9.7606154746872412E-2</v>
          </cell>
          <cell r="E855">
            <v>0.16919346457207346</v>
          </cell>
          <cell r="F855">
            <v>0.1056405325382436</v>
          </cell>
          <cell r="G855">
            <v>0.45062509818962659</v>
          </cell>
          <cell r="H855">
            <v>4.5991486379660445E-3</v>
          </cell>
          <cell r="J855" t="str">
            <v>2007AL</v>
          </cell>
          <cell r="K855">
            <v>0.38018143700000007</v>
          </cell>
          <cell r="L855">
            <v>0.450625098</v>
          </cell>
          <cell r="M855">
            <v>0.16919346499999999</v>
          </cell>
          <cell r="U855" t="str">
            <v>2007AL</v>
          </cell>
          <cell r="V855">
            <v>5.3114938E-2</v>
          </cell>
          <cell r="W855">
            <v>3.6058960000000001E-2</v>
          </cell>
          <cell r="X855">
            <v>8.4414527000000003E-2</v>
          </cell>
          <cell r="Y855">
            <v>0.50961295299999998</v>
          </cell>
          <cell r="Z855">
            <v>0.316798623</v>
          </cell>
          <cell r="AB855" t="str">
            <v>2007AL</v>
          </cell>
          <cell r="AC855">
            <v>0</v>
          </cell>
          <cell r="AD855">
            <v>0</v>
          </cell>
          <cell r="AE855">
            <v>0.41899999999999998</v>
          </cell>
          <cell r="AF855">
            <v>0.58099999999999996</v>
          </cell>
        </row>
        <row r="856">
          <cell r="B856" t="str">
            <v>2007AK</v>
          </cell>
          <cell r="C856">
            <v>0.30334484066413492</v>
          </cell>
          <cell r="D856">
            <v>0.23769937716735701</v>
          </cell>
          <cell r="E856">
            <v>6.205843688929364E-2</v>
          </cell>
          <cell r="F856">
            <v>0.28363994741136878</v>
          </cell>
          <cell r="G856">
            <v>3.6741064625999714E-2</v>
          </cell>
          <cell r="H856">
            <v>7.6516333241846021E-2</v>
          </cell>
          <cell r="J856" t="str">
            <v>2007AK</v>
          </cell>
          <cell r="K856">
            <v>0.90120049800000002</v>
          </cell>
          <cell r="L856">
            <v>3.6741065000000003E-2</v>
          </cell>
          <cell r="M856">
            <v>6.2058437000000001E-2</v>
          </cell>
          <cell r="U856" t="str">
            <v>2007AK</v>
          </cell>
          <cell r="V856">
            <v>0.52632575500000001</v>
          </cell>
          <cell r="W856">
            <v>2.0841667000000001E-2</v>
          </cell>
          <cell r="X856">
            <v>0.130734092</v>
          </cell>
          <cell r="Y856">
            <v>9.9945266000000005E-2</v>
          </cell>
          <cell r="Z856">
            <v>0.22215322100000001</v>
          </cell>
          <cell r="AB856" t="str">
            <v>2007AK</v>
          </cell>
          <cell r="AC856">
            <v>0</v>
          </cell>
          <cell r="AD856">
            <v>0</v>
          </cell>
          <cell r="AE856">
            <v>0.25</v>
          </cell>
          <cell r="AF856">
            <v>0.75</v>
          </cell>
        </row>
        <row r="857">
          <cell r="B857" t="str">
            <v>2007AZ</v>
          </cell>
          <cell r="C857">
            <v>0.611220636654217</v>
          </cell>
          <cell r="D857">
            <v>0.19572797693407004</v>
          </cell>
          <cell r="E857">
            <v>9.865488383487428E-2</v>
          </cell>
          <cell r="F857">
            <v>9.3890669243012675E-2</v>
          </cell>
          <cell r="G857">
            <v>0</v>
          </cell>
          <cell r="H857">
            <v>5.0583333382575558E-4</v>
          </cell>
          <cell r="J857" t="str">
            <v>2007AZ</v>
          </cell>
          <cell r="K857">
            <v>0.901345116</v>
          </cell>
          <cell r="L857">
            <v>0</v>
          </cell>
          <cell r="M857">
            <v>9.8654883999999998E-2</v>
          </cell>
          <cell r="U857" t="str">
            <v>2007AZ</v>
          </cell>
          <cell r="V857">
            <v>0.136592664</v>
          </cell>
          <cell r="W857">
            <v>3.2171241000000003E-2</v>
          </cell>
          <cell r="X857">
            <v>5.4596316999999998E-2</v>
          </cell>
          <cell r="Y857">
            <v>0.50386894699999996</v>
          </cell>
          <cell r="Z857">
            <v>0.27277083200000002</v>
          </cell>
          <cell r="AB857" t="str">
            <v>2007AZ</v>
          </cell>
          <cell r="AC857">
            <v>0</v>
          </cell>
          <cell r="AD857">
            <v>0</v>
          </cell>
          <cell r="AE857">
            <v>0.6</v>
          </cell>
          <cell r="AF857">
            <v>0.4</v>
          </cell>
        </row>
        <row r="858">
          <cell r="B858" t="str">
            <v>2007AR</v>
          </cell>
          <cell r="C858">
            <v>9.6391342329605903E-2</v>
          </cell>
          <cell r="D858">
            <v>6.6955456596874061E-2</v>
          </cell>
          <cell r="E858">
            <v>0.14888335780531528</v>
          </cell>
          <cell r="F858">
            <v>0.11118804006195876</v>
          </cell>
          <cell r="G858">
            <v>0.57111057531117648</v>
          </cell>
          <cell r="H858">
            <v>5.4712278950695761E-3</v>
          </cell>
          <cell r="J858" t="str">
            <v>2007AR</v>
          </cell>
          <cell r="K858">
            <v>0.28000606700000008</v>
          </cell>
          <cell r="L858">
            <v>0.57111057499999995</v>
          </cell>
          <cell r="M858">
            <v>0.14888335799999999</v>
          </cell>
          <cell r="U858" t="str">
            <v>2007AR</v>
          </cell>
          <cell r="V858">
            <v>3.9459004999999998E-2</v>
          </cell>
          <cell r="W858">
            <v>3.7640482000000003E-2</v>
          </cell>
          <cell r="X858">
            <v>0.11914443199999999</v>
          </cell>
          <cell r="Y858">
            <v>0.45827781299999998</v>
          </cell>
          <cell r="Z858">
            <v>0.34547826799999998</v>
          </cell>
          <cell r="AB858" t="str">
            <v>2007AR</v>
          </cell>
          <cell r="AC858">
            <v>0</v>
          </cell>
          <cell r="AD858">
            <v>0</v>
          </cell>
          <cell r="AE858">
            <v>0</v>
          </cell>
          <cell r="AF858">
            <v>1</v>
          </cell>
        </row>
        <row r="859">
          <cell r="B859" t="str">
            <v>2007CA</v>
          </cell>
          <cell r="C859">
            <v>0.58081862489107328</v>
          </cell>
          <cell r="D859">
            <v>0.20720345916912225</v>
          </cell>
          <cell r="E859">
            <v>0.10801924509893834</v>
          </cell>
          <cell r="F859">
            <v>9.2431120719429966E-2</v>
          </cell>
          <cell r="G859">
            <v>9.2523577326630076E-3</v>
          </cell>
          <cell r="H859">
            <v>2.2751923887731596E-3</v>
          </cell>
          <cell r="J859" t="str">
            <v>2007CA</v>
          </cell>
          <cell r="K859">
            <v>0.88272839699999994</v>
          </cell>
          <cell r="L859">
            <v>9.2523580000000005E-3</v>
          </cell>
          <cell r="M859">
            <v>0.108019245</v>
          </cell>
          <cell r="U859" t="str">
            <v>2007CA</v>
          </cell>
          <cell r="V859">
            <v>0.133799526</v>
          </cell>
          <cell r="W859">
            <v>3.2941353E-2</v>
          </cell>
          <cell r="X859">
            <v>7.5800703999999997E-2</v>
          </cell>
          <cell r="Y859">
            <v>0.46867659099999998</v>
          </cell>
          <cell r="Z859">
            <v>0.28878182499999999</v>
          </cell>
          <cell r="AB859" t="str">
            <v>2007CA</v>
          </cell>
          <cell r="AC859">
            <v>0</v>
          </cell>
          <cell r="AD859">
            <v>0</v>
          </cell>
          <cell r="AE859">
            <v>0.12</v>
          </cell>
          <cell r="AF859">
            <v>0.88</v>
          </cell>
        </row>
        <row r="860">
          <cell r="B860" t="str">
            <v>2007CO</v>
          </cell>
          <cell r="C860">
            <v>0.61667904285785091</v>
          </cell>
          <cell r="D860">
            <v>0.24212893570430052</v>
          </cell>
          <cell r="E860">
            <v>1.1092391745361967E-2</v>
          </cell>
          <cell r="F860">
            <v>0.11516410971780773</v>
          </cell>
          <cell r="G860">
            <v>6.5671374014829543E-3</v>
          </cell>
          <cell r="H860">
            <v>8.3683825731959392E-3</v>
          </cell>
          <cell r="J860" t="str">
            <v>2007CO</v>
          </cell>
          <cell r="K860">
            <v>0.98234047099999999</v>
          </cell>
          <cell r="L860">
            <v>6.5671369999999998E-3</v>
          </cell>
          <cell r="M860">
            <v>1.1092392E-2</v>
          </cell>
          <cell r="U860" t="str">
            <v>2007CO</v>
          </cell>
          <cell r="V860">
            <v>2.3378138E-2</v>
          </cell>
          <cell r="W860">
            <v>5.3880426000000002E-2</v>
          </cell>
          <cell r="X860">
            <v>0.25772948099999998</v>
          </cell>
          <cell r="Y860">
            <v>0.169703665</v>
          </cell>
          <cell r="Z860">
            <v>0.49530828999999998</v>
          </cell>
          <cell r="AB860" t="str">
            <v>2007CO</v>
          </cell>
          <cell r="AC860">
            <v>0</v>
          </cell>
          <cell r="AD860">
            <v>0</v>
          </cell>
          <cell r="AE860">
            <v>0.6</v>
          </cell>
          <cell r="AF860">
            <v>0.4</v>
          </cell>
        </row>
        <row r="861">
          <cell r="B861" t="str">
            <v>2007CT</v>
          </cell>
          <cell r="C861">
            <v>0.11572842393252261</v>
          </cell>
          <cell r="D861">
            <v>0.20119880615243968</v>
          </cell>
          <cell r="E861">
            <v>0.43233999756560143</v>
          </cell>
          <cell r="F861">
            <v>0.17234541515575838</v>
          </cell>
          <cell r="G861">
            <v>5.5615402487630847E-2</v>
          </cell>
          <cell r="H861">
            <v>2.2771954706046996E-2</v>
          </cell>
          <cell r="J861" t="str">
            <v>2007CT</v>
          </cell>
          <cell r="K861">
            <v>0.51204460000000007</v>
          </cell>
          <cell r="L861">
            <v>5.5615402000000001E-2</v>
          </cell>
          <cell r="M861">
            <v>0.432339998</v>
          </cell>
          <cell r="U861" t="str">
            <v>2007CT</v>
          </cell>
          <cell r="V861">
            <v>0.57363861400000005</v>
          </cell>
          <cell r="W861">
            <v>1.8759900999999999E-2</v>
          </cell>
          <cell r="X861">
            <v>0.117675743</v>
          </cell>
          <cell r="Y861">
            <v>8.9962252000000006E-2</v>
          </cell>
          <cell r="Z861">
            <v>0.19996348999999999</v>
          </cell>
          <cell r="AB861" t="str">
            <v>2007CT</v>
          </cell>
          <cell r="AC861">
            <v>0</v>
          </cell>
          <cell r="AD861">
            <v>0</v>
          </cell>
          <cell r="AE861">
            <v>0.05</v>
          </cell>
          <cell r="AF861">
            <v>0.95</v>
          </cell>
        </row>
        <row r="862">
          <cell r="B862" t="str">
            <v>2007DE</v>
          </cell>
          <cell r="C862">
            <v>0.10201653895343663</v>
          </cell>
          <cell r="D862">
            <v>0.1910091905838856</v>
          </cell>
          <cell r="E862">
            <v>0.43707162937473454</v>
          </cell>
          <cell r="F862">
            <v>0.18637975788177577</v>
          </cell>
          <cell r="G862">
            <v>5.9883562349419175E-2</v>
          </cell>
          <cell r="H862">
            <v>2.3639320856748244E-2</v>
          </cell>
          <cell r="J862" t="str">
            <v>2007DE</v>
          </cell>
          <cell r="K862">
            <v>0.50304480899999993</v>
          </cell>
          <cell r="L862">
            <v>5.9883562000000001E-2</v>
          </cell>
          <cell r="M862">
            <v>0.43707162900000002</v>
          </cell>
          <cell r="U862" t="str">
            <v>2007DE</v>
          </cell>
          <cell r="V862">
            <v>0.120253529</v>
          </cell>
          <cell r="W862">
            <v>4.1631153999999997E-2</v>
          </cell>
          <cell r="X862">
            <v>0.23964419100000001</v>
          </cell>
          <cell r="Y862">
            <v>0.17588547500000001</v>
          </cell>
          <cell r="Z862">
            <v>0.42258565100000001</v>
          </cell>
          <cell r="AB862" t="str">
            <v>2007DE</v>
          </cell>
          <cell r="AC862">
            <v>0</v>
          </cell>
          <cell r="AD862">
            <v>0</v>
          </cell>
          <cell r="AE862">
            <v>0.05</v>
          </cell>
          <cell r="AF862">
            <v>0.95</v>
          </cell>
        </row>
        <row r="863">
          <cell r="B863" t="str">
            <v>2007FL</v>
          </cell>
          <cell r="C863">
            <v>0.38654865924430459</v>
          </cell>
          <cell r="D863">
            <v>0.14503983167997814</v>
          </cell>
          <cell r="E863">
            <v>0.21616400084919535</v>
          </cell>
          <cell r="F863">
            <v>7.8997496757044303E-2</v>
          </cell>
          <cell r="G863">
            <v>0.17198217725399226</v>
          </cell>
          <cell r="H863">
            <v>1.2678342154852779E-3</v>
          </cell>
          <cell r="J863" t="str">
            <v>2007FL</v>
          </cell>
          <cell r="K863">
            <v>0.61185382200000005</v>
          </cell>
          <cell r="L863">
            <v>0.17198217700000001</v>
          </cell>
          <cell r="M863">
            <v>0.21616400099999999</v>
          </cell>
          <cell r="U863" t="str">
            <v>2007FL</v>
          </cell>
          <cell r="V863">
            <v>0.71166924399999998</v>
          </cell>
          <cell r="W863">
            <v>1.2686553E-2</v>
          </cell>
          <cell r="X863">
            <v>7.9579288999999998E-2</v>
          </cell>
          <cell r="Y863">
            <v>6.0837789000000003E-2</v>
          </cell>
          <cell r="Z863">
            <v>0.135227124</v>
          </cell>
          <cell r="AB863" t="str">
            <v>2007FL</v>
          </cell>
          <cell r="AC863">
            <v>0</v>
          </cell>
          <cell r="AD863">
            <v>0</v>
          </cell>
          <cell r="AE863">
            <v>0.41899999999999998</v>
          </cell>
          <cell r="AF863">
            <v>0.58099999999999996</v>
          </cell>
        </row>
        <row r="864">
          <cell r="B864" t="str">
            <v>2007GA</v>
          </cell>
          <cell r="C864">
            <v>0.20823216155586291</v>
          </cell>
          <cell r="D864">
            <v>0.11033206176717186</v>
          </cell>
          <cell r="E864">
            <v>0.17733204084631207</v>
          </cell>
          <cell r="F864">
            <v>9.7862793659120595E-2</v>
          </cell>
          <cell r="G864">
            <v>0.40234468997942996</v>
          </cell>
          <cell r="H864">
            <v>3.8962521921025758E-3</v>
          </cell>
          <cell r="J864" t="str">
            <v>2007GA</v>
          </cell>
          <cell r="K864">
            <v>0.42032326900000005</v>
          </cell>
          <cell r="L864">
            <v>0.40234469</v>
          </cell>
          <cell r="M864">
            <v>0.177332041</v>
          </cell>
          <cell r="U864" t="str">
            <v>2007GA</v>
          </cell>
          <cell r="V864">
            <v>7.8133266000000007E-2</v>
          </cell>
          <cell r="W864">
            <v>3.5587817000000001E-2</v>
          </cell>
          <cell r="X864">
            <v>9.7388838000000005E-2</v>
          </cell>
          <cell r="Y864">
            <v>0.46952270200000001</v>
          </cell>
          <cell r="Z864">
            <v>0.31936737799999998</v>
          </cell>
          <cell r="AB864" t="str">
            <v>2007GA</v>
          </cell>
          <cell r="AC864">
            <v>0</v>
          </cell>
          <cell r="AD864">
            <v>0</v>
          </cell>
          <cell r="AE864">
            <v>0.41899999999999998</v>
          </cell>
          <cell r="AF864">
            <v>0.58099999999999996</v>
          </cell>
        </row>
        <row r="865">
          <cell r="B865" t="str">
            <v>2007HI</v>
          </cell>
          <cell r="C865">
            <v>0.67137224197860923</v>
          </cell>
          <cell r="D865">
            <v>0.21100034068527662</v>
          </cell>
          <cell r="E865">
            <v>0</v>
          </cell>
          <cell r="F865">
            <v>0.10820426646618357</v>
          </cell>
          <cell r="G865">
            <v>7.5112148308577572E-3</v>
          </cell>
          <cell r="H865">
            <v>1.9119360390725836E-3</v>
          </cell>
          <cell r="J865" t="str">
            <v>2007HI</v>
          </cell>
          <cell r="K865">
            <v>0.99248878500000004</v>
          </cell>
          <cell r="L865">
            <v>7.5112149999999999E-3</v>
          </cell>
          <cell r="M865">
            <v>0</v>
          </cell>
          <cell r="U865" t="str">
            <v>2007HI</v>
          </cell>
          <cell r="V865">
            <v>0.23216878499999999</v>
          </cell>
          <cell r="W865">
            <v>3.2904865999999998E-2</v>
          </cell>
          <cell r="X865">
            <v>0.18414778700000001</v>
          </cell>
          <cell r="Y865">
            <v>0.21064765399999999</v>
          </cell>
          <cell r="Z865">
            <v>0.34013090899999998</v>
          </cell>
          <cell r="AB865" t="str">
            <v>2007HI</v>
          </cell>
          <cell r="AC865">
            <v>0</v>
          </cell>
          <cell r="AD865">
            <v>0</v>
          </cell>
          <cell r="AE865">
            <v>0.25</v>
          </cell>
          <cell r="AF865">
            <v>0.75</v>
          </cell>
        </row>
        <row r="866">
          <cell r="B866" t="str">
            <v>2007ID</v>
          </cell>
          <cell r="C866">
            <v>0.62850843440764703</v>
          </cell>
          <cell r="D866">
            <v>0.2329683972033782</v>
          </cell>
          <cell r="E866">
            <v>6.4436683947772669E-3</v>
          </cell>
          <cell r="F866">
            <v>0.11961222721284216</v>
          </cell>
          <cell r="G866">
            <v>3.8149081541218642E-3</v>
          </cell>
          <cell r="H866">
            <v>8.6523646272333287E-3</v>
          </cell>
          <cell r="J866" t="str">
            <v>2007ID</v>
          </cell>
          <cell r="K866">
            <v>0.98974142399999998</v>
          </cell>
          <cell r="L866">
            <v>3.8149080000000001E-3</v>
          </cell>
          <cell r="M866">
            <v>6.4436679999999996E-3</v>
          </cell>
          <cell r="U866" t="str">
            <v>2007ID</v>
          </cell>
          <cell r="V866">
            <v>0.460837895</v>
          </cell>
          <cell r="W866">
            <v>2.6974237000000002E-2</v>
          </cell>
          <cell r="X866">
            <v>0.14528671200000001</v>
          </cell>
          <cell r="Y866">
            <v>0.102926191</v>
          </cell>
          <cell r="Z866">
            <v>0.26397496599999998</v>
          </cell>
          <cell r="AB866" t="str">
            <v>2007ID</v>
          </cell>
          <cell r="AC866">
            <v>0</v>
          </cell>
          <cell r="AD866">
            <v>0</v>
          </cell>
          <cell r="AE866">
            <v>0.6</v>
          </cell>
          <cell r="AF866">
            <v>0.4</v>
          </cell>
        </row>
        <row r="867">
          <cell r="B867" t="str">
            <v>2007IL</v>
          </cell>
          <cell r="C867">
            <v>0.13175283144497188</v>
          </cell>
          <cell r="D867">
            <v>0.26046159534668961</v>
          </cell>
          <cell r="E867">
            <v>8.1383349234931596E-2</v>
          </cell>
          <cell r="F867">
            <v>0.43207247933210829</v>
          </cell>
          <cell r="G867">
            <v>4.8182181885357514E-2</v>
          </cell>
          <cell r="H867">
            <v>4.6147562755941125E-2</v>
          </cell>
          <cell r="J867" t="str">
            <v>2007IL</v>
          </cell>
          <cell r="K867">
            <v>0.87043446899999999</v>
          </cell>
          <cell r="L867">
            <v>4.8182181999999997E-2</v>
          </cell>
          <cell r="M867">
            <v>8.1383348999999994E-2</v>
          </cell>
          <cell r="U867" t="str">
            <v>2007IL</v>
          </cell>
          <cell r="V867">
            <v>2.0186552999999999E-2</v>
          </cell>
          <cell r="W867">
            <v>4.5739502000000001E-2</v>
          </cell>
          <cell r="X867">
            <v>0.28028242399999997</v>
          </cell>
          <cell r="Y867">
            <v>0.149587944</v>
          </cell>
          <cell r="Z867">
            <v>0.50420357699999996</v>
          </cell>
          <cell r="AB867" t="str">
            <v>2007IL</v>
          </cell>
          <cell r="AC867">
            <v>0</v>
          </cell>
          <cell r="AD867">
            <v>0</v>
          </cell>
          <cell r="AE867">
            <v>0.02</v>
          </cell>
          <cell r="AF867">
            <v>0.98</v>
          </cell>
        </row>
        <row r="868">
          <cell r="B868" t="str">
            <v>2007IN</v>
          </cell>
          <cell r="C868">
            <v>0.16189917384296076</v>
          </cell>
          <cell r="D868">
            <v>0.24163212738244233</v>
          </cell>
          <cell r="E868">
            <v>0.13392208737361183</v>
          </cell>
          <cell r="F868">
            <v>0.3491044693998876</v>
          </cell>
          <cell r="G868">
            <v>7.9287205957511472E-2</v>
          </cell>
          <cell r="H868">
            <v>3.4154936043586021E-2</v>
          </cell>
          <cell r="J868" t="str">
            <v>2007IN</v>
          </cell>
          <cell r="K868">
            <v>0.78679070699999998</v>
          </cell>
          <cell r="L868">
            <v>7.9287205999999999E-2</v>
          </cell>
          <cell r="M868">
            <v>0.133922087</v>
          </cell>
          <cell r="U868" t="str">
            <v>2007IN</v>
          </cell>
          <cell r="V868">
            <v>2.5489210000000002E-2</v>
          </cell>
          <cell r="W868">
            <v>4.5536079E-2</v>
          </cell>
          <cell r="X868">
            <v>0.27893099599999999</v>
          </cell>
          <cell r="Y868">
            <v>0.14781887399999999</v>
          </cell>
          <cell r="Z868">
            <v>0.50222484099999998</v>
          </cell>
          <cell r="AB868" t="str">
            <v>2007IN</v>
          </cell>
          <cell r="AC868">
            <v>0</v>
          </cell>
          <cell r="AD868">
            <v>0</v>
          </cell>
          <cell r="AE868">
            <v>0</v>
          </cell>
          <cell r="AF868">
            <v>1</v>
          </cell>
        </row>
        <row r="869">
          <cell r="B869" t="str">
            <v>2007IA</v>
          </cell>
          <cell r="C869">
            <v>0.13792614664225575</v>
          </cell>
          <cell r="D869">
            <v>0.25047757969635848</v>
          </cell>
          <cell r="E869">
            <v>0.10477197231415941</v>
          </cell>
          <cell r="F869">
            <v>0.40507493125352922</v>
          </cell>
          <cell r="G869">
            <v>6.2029177638731184E-2</v>
          </cell>
          <cell r="H869">
            <v>3.9720192454965969E-2</v>
          </cell>
          <cell r="J869" t="str">
            <v>2007IA</v>
          </cell>
          <cell r="K869">
            <v>0.83319885000000005</v>
          </cell>
          <cell r="L869">
            <v>6.2029177999999997E-2</v>
          </cell>
          <cell r="M869">
            <v>0.104771972</v>
          </cell>
          <cell r="U869" t="str">
            <v>2007IA</v>
          </cell>
          <cell r="V869">
            <v>9.6502570000000006E-3</v>
          </cell>
          <cell r="W869">
            <v>3.8739974000000003E-2</v>
          </cell>
          <cell r="X869">
            <v>0.12067557499999999</v>
          </cell>
          <cell r="Y869">
            <v>0.47629315999999999</v>
          </cell>
          <cell r="Z869">
            <v>0.35464103499999999</v>
          </cell>
          <cell r="AB869" t="str">
            <v>2007IA</v>
          </cell>
          <cell r="AC869">
            <v>0</v>
          </cell>
          <cell r="AD869">
            <v>0</v>
          </cell>
          <cell r="AE869">
            <v>0</v>
          </cell>
          <cell r="AF869">
            <v>1</v>
          </cell>
        </row>
        <row r="870">
          <cell r="B870" t="str">
            <v>2007KS</v>
          </cell>
          <cell r="C870">
            <v>0.28758404285910905</v>
          </cell>
          <cell r="D870">
            <v>0.32607606753917184</v>
          </cell>
          <cell r="E870">
            <v>5.1050547933917619E-2</v>
          </cell>
          <cell r="F870">
            <v>0.27762124338847843</v>
          </cell>
          <cell r="G870">
            <v>3.0223956239483565E-2</v>
          </cell>
          <cell r="H870">
            <v>2.7444142039839463E-2</v>
          </cell>
          <cell r="J870" t="str">
            <v>2007KS</v>
          </cell>
          <cell r="K870">
            <v>0.91872549599999997</v>
          </cell>
          <cell r="L870">
            <v>3.0223956E-2</v>
          </cell>
          <cell r="M870">
            <v>5.1050548000000001E-2</v>
          </cell>
          <cell r="U870" t="str">
            <v>2007KS</v>
          </cell>
          <cell r="V870">
            <v>2.3647662E-2</v>
          </cell>
          <cell r="W870">
            <v>4.6272377000000003E-2</v>
          </cell>
          <cell r="X870">
            <v>0.28189652199999998</v>
          </cell>
          <cell r="Y870">
            <v>0.13395533500000001</v>
          </cell>
          <cell r="Z870">
            <v>0.51422810299999999</v>
          </cell>
          <cell r="AB870" t="str">
            <v>2007KS</v>
          </cell>
          <cell r="AC870">
            <v>0</v>
          </cell>
          <cell r="AD870">
            <v>0</v>
          </cell>
          <cell r="AE870">
            <v>0.02</v>
          </cell>
          <cell r="AF870">
            <v>0.98</v>
          </cell>
        </row>
        <row r="871">
          <cell r="B871" t="str">
            <v>2007KY</v>
          </cell>
          <cell r="C871">
            <v>2.3305602928070858E-2</v>
          </cell>
          <cell r="D871">
            <v>6.2885861766289422E-2</v>
          </cell>
          <cell r="E871">
            <v>0.14165738300711325</v>
          </cell>
          <cell r="F871">
            <v>0.14315421990856123</v>
          </cell>
          <cell r="G871">
            <v>0.61397716539009373</v>
          </cell>
          <cell r="H871">
            <v>1.5019766999871505E-2</v>
          </cell>
          <cell r="J871" t="str">
            <v>2007KY</v>
          </cell>
          <cell r="K871">
            <v>0.24436545200000004</v>
          </cell>
          <cell r="L871">
            <v>0.61397716499999999</v>
          </cell>
          <cell r="M871">
            <v>0.141657383</v>
          </cell>
          <cell r="U871" t="str">
            <v>2007KY</v>
          </cell>
          <cell r="V871">
            <v>4.9184704000000003E-2</v>
          </cell>
          <cell r="W871">
            <v>3.7321891000000003E-2</v>
          </cell>
          <cell r="X871">
            <v>0.11991215400000001</v>
          </cell>
          <cell r="Y871">
            <v>0.45018075899999999</v>
          </cell>
          <cell r="Z871">
            <v>0.34340049099999997</v>
          </cell>
          <cell r="AB871" t="str">
            <v>2007KY</v>
          </cell>
          <cell r="AC871">
            <v>0</v>
          </cell>
          <cell r="AD871">
            <v>0</v>
          </cell>
          <cell r="AE871">
            <v>0.05</v>
          </cell>
          <cell r="AF871">
            <v>0.95</v>
          </cell>
        </row>
        <row r="872">
          <cell r="B872" t="str">
            <v>2007LA</v>
          </cell>
          <cell r="C872">
            <v>8.7696493950327165E-2</v>
          </cell>
          <cell r="D872">
            <v>6.4637521135916851E-2</v>
          </cell>
          <cell r="E872">
            <v>0.14461730665558523</v>
          </cell>
          <cell r="F872">
            <v>0.10160244529023774</v>
          </cell>
          <cell r="G872">
            <v>0.59641803499629376</v>
          </cell>
          <cell r="H872">
            <v>5.0281979716392446E-3</v>
          </cell>
          <cell r="J872" t="str">
            <v>2007LA</v>
          </cell>
          <cell r="K872">
            <v>0.25896465800000001</v>
          </cell>
          <cell r="L872">
            <v>0.59641803500000001</v>
          </cell>
          <cell r="M872">
            <v>0.144617307</v>
          </cell>
          <cell r="U872" t="str">
            <v>2007LA</v>
          </cell>
          <cell r="V872">
            <v>0.53551704700000002</v>
          </cell>
          <cell r="W872">
            <v>2.0437250000000001E-2</v>
          </cell>
          <cell r="X872">
            <v>0.12819729499999999</v>
          </cell>
          <cell r="Y872">
            <v>9.8005903000000005E-2</v>
          </cell>
          <cell r="Z872">
            <v>0.21784250499999999</v>
          </cell>
          <cell r="AB872" t="str">
            <v>2007LA</v>
          </cell>
          <cell r="AC872">
            <v>0</v>
          </cell>
          <cell r="AD872">
            <v>0</v>
          </cell>
          <cell r="AE872">
            <v>0.6</v>
          </cell>
          <cell r="AF872">
            <v>0.4</v>
          </cell>
        </row>
        <row r="873">
          <cell r="B873" t="str">
            <v>2007ME</v>
          </cell>
          <cell r="C873">
            <v>9.3713015315557757E-2</v>
          </cell>
          <cell r="D873">
            <v>0.17210096338216258</v>
          </cell>
          <cell r="E873">
            <v>0.44837154081607639</v>
          </cell>
          <cell r="F873">
            <v>0.19633313267932656</v>
          </cell>
          <cell r="G873">
            <v>7.0076626899074845E-2</v>
          </cell>
          <cell r="H873">
            <v>1.9404720907801824E-2</v>
          </cell>
          <cell r="J873" t="str">
            <v>2007ME</v>
          </cell>
          <cell r="K873">
            <v>0.48155183200000007</v>
          </cell>
          <cell r="L873">
            <v>7.0076627000000002E-2</v>
          </cell>
          <cell r="M873">
            <v>0.44837154099999998</v>
          </cell>
          <cell r="U873" t="str">
            <v>2007ME</v>
          </cell>
          <cell r="V873">
            <v>0.72920202000000001</v>
          </cell>
          <cell r="W873">
            <v>1.1915111000000001E-2</v>
          </cell>
          <cell r="X873">
            <v>7.4740241999999998E-2</v>
          </cell>
          <cell r="Y873">
            <v>5.7138373999999999E-2</v>
          </cell>
          <cell r="Z873">
            <v>0.12700425300000001</v>
          </cell>
          <cell r="AB873" t="str">
            <v>2007ME</v>
          </cell>
          <cell r="AC873">
            <v>0</v>
          </cell>
          <cell r="AD873">
            <v>0</v>
          </cell>
          <cell r="AE873">
            <v>0.05</v>
          </cell>
          <cell r="AF873">
            <v>0.95</v>
          </cell>
        </row>
        <row r="874">
          <cell r="B874" t="str">
            <v>2007MD</v>
          </cell>
          <cell r="C874">
            <v>7.6488535055593554E-2</v>
          </cell>
          <cell r="D874">
            <v>0.15472472257238745</v>
          </cell>
          <cell r="E874">
            <v>0.44380834258126728</v>
          </cell>
          <cell r="F874">
            <v>0.22861605738914034</v>
          </cell>
          <cell r="G874">
            <v>6.5960402236453913E-2</v>
          </cell>
          <cell r="H874">
            <v>3.0401940165157418E-2</v>
          </cell>
          <cell r="J874" t="str">
            <v>2007MD</v>
          </cell>
          <cell r="K874">
            <v>0.49023125499999998</v>
          </cell>
          <cell r="L874">
            <v>6.5960402000000001E-2</v>
          </cell>
          <cell r="M874">
            <v>0.44380834299999999</v>
          </cell>
          <cell r="U874" t="str">
            <v>2007MD</v>
          </cell>
          <cell r="V874">
            <v>0.21140679400000001</v>
          </cell>
          <cell r="W874">
            <v>3.7602905999999998E-2</v>
          </cell>
          <cell r="X874">
            <v>0.214504853</v>
          </cell>
          <cell r="Y874">
            <v>0.15671048400000001</v>
          </cell>
          <cell r="Z874">
            <v>0.37977496300000002</v>
          </cell>
          <cell r="AB874" t="str">
            <v>2007MD</v>
          </cell>
          <cell r="AC874">
            <v>0</v>
          </cell>
          <cell r="AD874">
            <v>0</v>
          </cell>
          <cell r="AE874">
            <v>0.05</v>
          </cell>
          <cell r="AF874">
            <v>0.95</v>
          </cell>
        </row>
        <row r="875">
          <cell r="B875" t="str">
            <v>2007MA</v>
          </cell>
          <cell r="C875">
            <v>6.1305440163427552E-2</v>
          </cell>
          <cell r="D875">
            <v>0.14874705508142777</v>
          </cell>
          <cell r="E875">
            <v>0.45216403673004657</v>
          </cell>
          <cell r="F875">
            <v>0.23617268276189021</v>
          </cell>
          <cell r="G875">
            <v>7.3497640935872632E-2</v>
          </cell>
          <cell r="H875">
            <v>2.8113144327335336E-2</v>
          </cell>
          <cell r="J875" t="str">
            <v>2007MA</v>
          </cell>
          <cell r="K875">
            <v>0.47433832199999992</v>
          </cell>
          <cell r="L875">
            <v>7.3497641000000002E-2</v>
          </cell>
          <cell r="M875">
            <v>0.45216403700000002</v>
          </cell>
          <cell r="U875" t="str">
            <v>2007MA</v>
          </cell>
          <cell r="V875">
            <v>0.31419575799999999</v>
          </cell>
          <cell r="W875">
            <v>3.0175387000000001E-2</v>
          </cell>
          <cell r="X875">
            <v>0.18928197099999999</v>
          </cell>
          <cell r="Y875">
            <v>0.14470469499999999</v>
          </cell>
          <cell r="Z875">
            <v>0.32164218900000002</v>
          </cell>
          <cell r="AB875" t="str">
            <v>2007MA</v>
          </cell>
          <cell r="AC875">
            <v>0</v>
          </cell>
          <cell r="AD875">
            <v>0</v>
          </cell>
          <cell r="AE875">
            <v>0.05</v>
          </cell>
          <cell r="AF875">
            <v>0.95</v>
          </cell>
        </row>
        <row r="876">
          <cell r="B876" t="str">
            <v>2007MI</v>
          </cell>
          <cell r="C876">
            <v>0.21592740095911189</v>
          </cell>
          <cell r="D876">
            <v>0.33044604004991018</v>
          </cell>
          <cell r="E876">
            <v>5.8998863632555826E-2</v>
          </cell>
          <cell r="F876">
            <v>0.32074430847532459</v>
          </cell>
          <cell r="G876">
            <v>3.4929675483950956E-2</v>
          </cell>
          <cell r="H876">
            <v>3.8953711399146676E-2</v>
          </cell>
          <cell r="J876" t="str">
            <v>2007MI</v>
          </cell>
          <cell r="K876">
            <v>0.90607146100000002</v>
          </cell>
          <cell r="L876">
            <v>3.4929675E-2</v>
          </cell>
          <cell r="M876">
            <v>5.8998863999999998E-2</v>
          </cell>
          <cell r="U876" t="str">
            <v>2007MI</v>
          </cell>
          <cell r="V876">
            <v>4.5127237000000001E-2</v>
          </cell>
          <cell r="W876">
            <v>5.0500046999999999E-2</v>
          </cell>
          <cell r="X876">
            <v>0.254352099</v>
          </cell>
          <cell r="Y876">
            <v>0.17319266699999999</v>
          </cell>
          <cell r="Z876">
            <v>0.47682794899999997</v>
          </cell>
          <cell r="AB876" t="str">
            <v>2007MI</v>
          </cell>
          <cell r="AC876">
            <v>0</v>
          </cell>
          <cell r="AD876">
            <v>0</v>
          </cell>
          <cell r="AE876">
            <v>0.02</v>
          </cell>
          <cell r="AF876">
            <v>0.98</v>
          </cell>
        </row>
        <row r="877">
          <cell r="B877" t="str">
            <v>2007MN</v>
          </cell>
          <cell r="C877">
            <v>0.11559741536790068</v>
          </cell>
          <cell r="D877">
            <v>0.23915415867765383</v>
          </cell>
          <cell r="E877">
            <v>0.10052931481156221</v>
          </cell>
          <cell r="F877">
            <v>0.43822851849088174</v>
          </cell>
          <cell r="G877">
            <v>5.9517355535203494E-2</v>
          </cell>
          <cell r="H877">
            <v>4.697323711679801E-2</v>
          </cell>
          <cell r="J877" t="str">
            <v>2007MN</v>
          </cell>
          <cell r="K877">
            <v>0.83995332899999997</v>
          </cell>
          <cell r="L877">
            <v>5.9517356E-2</v>
          </cell>
          <cell r="M877">
            <v>0.10052931499999999</v>
          </cell>
          <cell r="U877" t="str">
            <v>2007MN</v>
          </cell>
          <cell r="V877">
            <v>1.5145339000000001E-2</v>
          </cell>
          <cell r="W877">
            <v>5.1986831999999997E-2</v>
          </cell>
          <cell r="X877">
            <v>0.262445557</v>
          </cell>
          <cell r="Y877">
            <v>0.17896024199999999</v>
          </cell>
          <cell r="Z877">
            <v>0.49146202900000002</v>
          </cell>
          <cell r="AB877" t="str">
            <v>2007MN</v>
          </cell>
          <cell r="AC877">
            <v>0</v>
          </cell>
          <cell r="AD877">
            <v>0</v>
          </cell>
          <cell r="AE877">
            <v>0</v>
          </cell>
          <cell r="AF877">
            <v>1</v>
          </cell>
        </row>
        <row r="878">
          <cell r="B878" t="str">
            <v>2007MS</v>
          </cell>
          <cell r="C878">
            <v>0.10416334210611014</v>
          </cell>
          <cell r="D878">
            <v>7.2829933678422776E-2</v>
          </cell>
          <cell r="E878">
            <v>0.14929269604113307</v>
          </cell>
          <cell r="F878">
            <v>0.10019278631941281</v>
          </cell>
          <cell r="G878">
            <v>0.56868226150598644</v>
          </cell>
          <cell r="H878">
            <v>4.838980348934833E-3</v>
          </cell>
          <cell r="J878" t="str">
            <v>2007MS</v>
          </cell>
          <cell r="K878">
            <v>0.28202504199999989</v>
          </cell>
          <cell r="L878">
            <v>0.56868226200000005</v>
          </cell>
          <cell r="M878">
            <v>0.149292696</v>
          </cell>
          <cell r="U878" t="str">
            <v>2007MS</v>
          </cell>
          <cell r="V878">
            <v>2.1100625000000001E-2</v>
          </cell>
          <cell r="W878">
            <v>3.6418512E-2</v>
          </cell>
          <cell r="X878">
            <v>6.0129593000000002E-2</v>
          </cell>
          <cell r="Y878">
            <v>0.574366987</v>
          </cell>
          <cell r="Z878">
            <v>0.30798428300000003</v>
          </cell>
          <cell r="AB878" t="str">
            <v>2007MS</v>
          </cell>
          <cell r="AC878">
            <v>0</v>
          </cell>
          <cell r="AD878">
            <v>0</v>
          </cell>
          <cell r="AE878">
            <v>0.6</v>
          </cell>
          <cell r="AF878">
            <v>0.4</v>
          </cell>
        </row>
        <row r="879">
          <cell r="B879" t="str">
            <v>2007MO</v>
          </cell>
          <cell r="C879">
            <v>6.4925479522277466E-2</v>
          </cell>
          <cell r="D879">
            <v>0.18170303563698134</v>
          </cell>
          <cell r="E879">
            <v>0.14337282997597614</v>
          </cell>
          <cell r="F879">
            <v>0.47880340852502545</v>
          </cell>
          <cell r="G879">
            <v>8.4882421727070459E-2</v>
          </cell>
          <cell r="H879">
            <v>4.6312824612669105E-2</v>
          </cell>
          <cell r="J879" t="str">
            <v>2007MO</v>
          </cell>
          <cell r="K879">
            <v>0.77174474799999992</v>
          </cell>
          <cell r="L879">
            <v>8.4882421999999999E-2</v>
          </cell>
          <cell r="M879">
            <v>0.14337283000000001</v>
          </cell>
          <cell r="U879" t="str">
            <v>2007MO</v>
          </cell>
          <cell r="V879">
            <v>2.998994E-2</v>
          </cell>
          <cell r="W879">
            <v>4.5757142000000001E-2</v>
          </cell>
          <cell r="X879">
            <v>0.27926039899999999</v>
          </cell>
          <cell r="Y879">
            <v>0.13775391300000001</v>
          </cell>
          <cell r="Z879">
            <v>0.50723860600000004</v>
          </cell>
          <cell r="AB879" t="str">
            <v>2007MO</v>
          </cell>
          <cell r="AC879">
            <v>0</v>
          </cell>
          <cell r="AD879">
            <v>0</v>
          </cell>
          <cell r="AE879">
            <v>0</v>
          </cell>
          <cell r="AF879">
            <v>1</v>
          </cell>
        </row>
        <row r="880">
          <cell r="B880" t="str">
            <v>2007MT</v>
          </cell>
          <cell r="C880">
            <v>0.35597781750083307</v>
          </cell>
          <cell r="D880">
            <v>0.25924389885240834</v>
          </cell>
          <cell r="E880">
            <v>4.3797789125912777E-2</v>
          </cell>
          <cell r="F880">
            <v>0.25058080537727367</v>
          </cell>
          <cell r="G880">
            <v>2.5930034358127463E-2</v>
          </cell>
          <cell r="H880">
            <v>6.4469654785444572E-2</v>
          </cell>
          <cell r="J880" t="str">
            <v>2007MT</v>
          </cell>
          <cell r="K880">
            <v>0.93027217699999998</v>
          </cell>
          <cell r="L880">
            <v>2.5930034000000001E-2</v>
          </cell>
          <cell r="M880">
            <v>4.3797788999999997E-2</v>
          </cell>
          <cell r="U880" t="str">
            <v>2007MT</v>
          </cell>
          <cell r="V880">
            <v>6.0520032000000001E-2</v>
          </cell>
          <cell r="W880">
            <v>5.1214043000000001E-2</v>
          </cell>
          <cell r="X880">
            <v>0.24859647000000001</v>
          </cell>
          <cell r="Y880">
            <v>0.16530719099999999</v>
          </cell>
          <cell r="Z880">
            <v>0.47436226399999998</v>
          </cell>
          <cell r="AB880" t="str">
            <v>2007MT</v>
          </cell>
          <cell r="AC880">
            <v>0</v>
          </cell>
          <cell r="AD880">
            <v>0</v>
          </cell>
          <cell r="AE880">
            <v>0.6</v>
          </cell>
          <cell r="AF880">
            <v>0.4</v>
          </cell>
        </row>
        <row r="881">
          <cell r="B881" t="str">
            <v>2007NE</v>
          </cell>
          <cell r="C881">
            <v>0.21260954807532403</v>
          </cell>
          <cell r="D881">
            <v>0.30324255962083846</v>
          </cell>
          <cell r="E881">
            <v>6.1277054134417128E-2</v>
          </cell>
          <cell r="F881">
            <v>0.34696077142199511</v>
          </cell>
          <cell r="G881">
            <v>3.6278454935301678E-2</v>
          </cell>
          <cell r="H881">
            <v>3.9631611812123581E-2</v>
          </cell>
          <cell r="J881" t="str">
            <v>2007NE</v>
          </cell>
          <cell r="K881">
            <v>0.90244449100000002</v>
          </cell>
          <cell r="L881">
            <v>3.6278455000000001E-2</v>
          </cell>
          <cell r="M881">
            <v>6.1277053999999997E-2</v>
          </cell>
          <cell r="U881" t="str">
            <v>2007NE</v>
          </cell>
          <cell r="V881">
            <v>3.0063880000000001E-2</v>
          </cell>
          <cell r="W881">
            <v>4.5295173000000001E-2</v>
          </cell>
          <cell r="X881">
            <v>0.27751980599999998</v>
          </cell>
          <cell r="Y881">
            <v>0.147715386</v>
          </cell>
          <cell r="Z881">
            <v>0.49940575500000001</v>
          </cell>
          <cell r="AB881" t="str">
            <v>2007NE</v>
          </cell>
          <cell r="AC881">
            <v>0</v>
          </cell>
          <cell r="AD881">
            <v>0</v>
          </cell>
          <cell r="AE881">
            <v>0.02</v>
          </cell>
          <cell r="AF881">
            <v>0.98</v>
          </cell>
        </row>
        <row r="882">
          <cell r="B882" t="str">
            <v>2007NV</v>
          </cell>
          <cell r="C882">
            <v>0.64210148526116029</v>
          </cell>
          <cell r="D882">
            <v>0.238399883587257</v>
          </cell>
          <cell r="E882">
            <v>4.1594375177217181E-3</v>
          </cell>
          <cell r="F882">
            <v>0.10819864870890922</v>
          </cell>
          <cell r="G882">
            <v>2.4625525602432058E-3</v>
          </cell>
          <cell r="H882">
            <v>4.677992364708553E-3</v>
          </cell>
          <cell r="J882" t="str">
            <v>2007NV</v>
          </cell>
          <cell r="K882">
            <v>0.99337800899999995</v>
          </cell>
          <cell r="L882">
            <v>2.4625530000000001E-3</v>
          </cell>
          <cell r="M882">
            <v>4.1594379999999997E-3</v>
          </cell>
          <cell r="U882" t="str">
            <v>2007NV</v>
          </cell>
          <cell r="V882">
            <v>0.35004114600000003</v>
          </cell>
          <cell r="W882">
            <v>2.4048478000000002E-2</v>
          </cell>
          <cell r="X882">
            <v>3.5747737000000002E-2</v>
          </cell>
          <cell r="Y882">
            <v>0.38867539400000001</v>
          </cell>
          <cell r="Z882">
            <v>0.20148724500000001</v>
          </cell>
          <cell r="AB882" t="str">
            <v>2007NV</v>
          </cell>
          <cell r="AC882">
            <v>0</v>
          </cell>
          <cell r="AD882">
            <v>0</v>
          </cell>
          <cell r="AE882">
            <v>0</v>
          </cell>
          <cell r="AF882">
            <v>1</v>
          </cell>
        </row>
        <row r="883">
          <cell r="B883" t="str">
            <v>2007NH</v>
          </cell>
          <cell r="C883">
            <v>9.4573445198850817E-2</v>
          </cell>
          <cell r="D883">
            <v>0.16340842518862655</v>
          </cell>
          <cell r="E883">
            <v>0.44298025846087286</v>
          </cell>
          <cell r="F883">
            <v>0.20852129702854144</v>
          </cell>
          <cell r="G883">
            <v>6.52134304627775E-2</v>
          </cell>
          <cell r="H883">
            <v>2.5303143660330828E-2</v>
          </cell>
          <cell r="J883" t="str">
            <v>2007NH</v>
          </cell>
          <cell r="K883">
            <v>0.49180631200000002</v>
          </cell>
          <cell r="L883">
            <v>6.5213430000000003E-2</v>
          </cell>
          <cell r="M883">
            <v>0.44298025800000002</v>
          </cell>
          <cell r="U883" t="str">
            <v>2007NH</v>
          </cell>
          <cell r="V883">
            <v>0.56759962799999997</v>
          </cell>
          <cell r="W883">
            <v>1.9025615999999999E-2</v>
          </cell>
          <cell r="X883">
            <v>0.119342503</v>
          </cell>
          <cell r="Y883">
            <v>9.1236478999999995E-2</v>
          </cell>
          <cell r="Z883">
            <v>0.20279577500000001</v>
          </cell>
          <cell r="AB883" t="str">
            <v>2007NH</v>
          </cell>
          <cell r="AC883">
            <v>0</v>
          </cell>
          <cell r="AD883">
            <v>0</v>
          </cell>
          <cell r="AE883">
            <v>0.05</v>
          </cell>
          <cell r="AF883">
            <v>0.95</v>
          </cell>
        </row>
        <row r="884">
          <cell r="B884" t="str">
            <v>2007NJ</v>
          </cell>
          <cell r="C884">
            <v>5.8003576611346738E-2</v>
          </cell>
          <cell r="D884">
            <v>0.13897871355240557</v>
          </cell>
          <cell r="E884">
            <v>0.45397029129837874</v>
          </cell>
          <cell r="F884">
            <v>0.24471653627570109</v>
          </cell>
          <cell r="G884">
            <v>7.5126969581826603E-2</v>
          </cell>
          <cell r="H884">
            <v>2.9203912680341212E-2</v>
          </cell>
          <cell r="J884" t="str">
            <v>2007NJ</v>
          </cell>
          <cell r="K884">
            <v>0.47090273900000001</v>
          </cell>
          <cell r="L884">
            <v>7.5126970000000001E-2</v>
          </cell>
          <cell r="M884">
            <v>0.45397029100000003</v>
          </cell>
          <cell r="U884" t="str">
            <v>2007NJ</v>
          </cell>
          <cell r="V884">
            <v>0.30808167400000003</v>
          </cell>
          <cell r="W884">
            <v>3.3011736E-2</v>
          </cell>
          <cell r="X884">
            <v>0.18818818500000001</v>
          </cell>
          <cell r="Y884">
            <v>0.137437002</v>
          </cell>
          <cell r="Z884">
            <v>0.333281404</v>
          </cell>
          <cell r="AB884" t="str">
            <v>2007NJ</v>
          </cell>
          <cell r="AC884">
            <v>0</v>
          </cell>
          <cell r="AD884">
            <v>0</v>
          </cell>
          <cell r="AE884">
            <v>0.05</v>
          </cell>
          <cell r="AF884">
            <v>0.95</v>
          </cell>
        </row>
        <row r="885">
          <cell r="B885" t="str">
            <v>2007NM</v>
          </cell>
          <cell r="C885">
            <v>0.61184589317007076</v>
          </cell>
          <cell r="D885">
            <v>0.19452029294367307</v>
          </cell>
          <cell r="E885">
            <v>9.8952813124742175E-2</v>
          </cell>
          <cell r="F885">
            <v>9.4174237847419268E-2</v>
          </cell>
          <cell r="G885">
            <v>0</v>
          </cell>
          <cell r="H885">
            <v>5.0676291409465751E-4</v>
          </cell>
          <cell r="J885" t="str">
            <v>2007NM</v>
          </cell>
          <cell r="K885">
            <v>0.90104718699999997</v>
          </cell>
          <cell r="L885">
            <v>0</v>
          </cell>
          <cell r="M885">
            <v>9.8952813000000001E-2</v>
          </cell>
          <cell r="U885" t="str">
            <v>2007NM</v>
          </cell>
          <cell r="V885">
            <v>0.91655606099999998</v>
          </cell>
          <cell r="W885">
            <v>3.6715329999999998E-3</v>
          </cell>
          <cell r="X885">
            <v>2.3030526999999999E-2</v>
          </cell>
          <cell r="Y885">
            <v>1.7606671000000001E-2</v>
          </cell>
          <cell r="Z885">
            <v>3.9135206999999998E-2</v>
          </cell>
          <cell r="AB885" t="str">
            <v>2007NM</v>
          </cell>
          <cell r="AC885">
            <v>0</v>
          </cell>
          <cell r="AD885">
            <v>0</v>
          </cell>
          <cell r="AE885">
            <v>0.6</v>
          </cell>
          <cell r="AF885">
            <v>0.4</v>
          </cell>
        </row>
        <row r="886">
          <cell r="B886" t="str">
            <v>2007NY</v>
          </cell>
          <cell r="C886">
            <v>9.8408703041683282E-2</v>
          </cell>
          <cell r="D886">
            <v>0.15954377256245178</v>
          </cell>
          <cell r="E886">
            <v>0.44849165243165579</v>
          </cell>
          <cell r="F886">
            <v>0.20287733376538455</v>
          </cell>
          <cell r="G886">
            <v>7.0184973363303343E-2</v>
          </cell>
          <cell r="H886">
            <v>2.0493564835521279E-2</v>
          </cell>
          <cell r="J886" t="str">
            <v>2007NY</v>
          </cell>
          <cell r="K886">
            <v>0.481323375</v>
          </cell>
          <cell r="L886">
            <v>7.0184972999999998E-2</v>
          </cell>
          <cell r="M886">
            <v>0.44849165200000002</v>
          </cell>
          <cell r="U886" t="str">
            <v>2007NY</v>
          </cell>
          <cell r="V886">
            <v>0.20441514899999999</v>
          </cell>
          <cell r="W886">
            <v>4.1815811000000001E-2</v>
          </cell>
          <cell r="X886">
            <v>0.21220383400000001</v>
          </cell>
          <cell r="Y886">
            <v>0.145168144</v>
          </cell>
          <cell r="Z886">
            <v>0.396397061</v>
          </cell>
          <cell r="AB886" t="str">
            <v>2007NY</v>
          </cell>
          <cell r="AC886">
            <v>0</v>
          </cell>
          <cell r="AD886">
            <v>0</v>
          </cell>
          <cell r="AE886">
            <v>0.05</v>
          </cell>
          <cell r="AF886">
            <v>0.95</v>
          </cell>
        </row>
        <row r="887">
          <cell r="B887" t="str">
            <v>2007NC</v>
          </cell>
          <cell r="C887">
            <v>6.168821577504751E-2</v>
          </cell>
          <cell r="D887">
            <v>0.11278426418396881</v>
          </cell>
          <cell r="E887">
            <v>0.15395779991170949</v>
          </cell>
          <cell r="F887">
            <v>0.11589101949636353</v>
          </cell>
          <cell r="G887">
            <v>0.54100750469043157</v>
          </cell>
          <cell r="H887">
            <v>1.4671195942479084E-2</v>
          </cell>
          <cell r="J887" t="str">
            <v>2007NC</v>
          </cell>
          <cell r="K887">
            <v>0.30503469499999991</v>
          </cell>
          <cell r="L887">
            <v>0.54100750500000006</v>
          </cell>
          <cell r="M887">
            <v>0.15395780000000001</v>
          </cell>
          <cell r="U887" t="str">
            <v>2007NC</v>
          </cell>
          <cell r="V887">
            <v>2.4742549999999999E-3</v>
          </cell>
          <cell r="W887">
            <v>3.7123251000000003E-2</v>
          </cell>
          <cell r="X887">
            <v>6.1645423999999997E-2</v>
          </cell>
          <cell r="Y887">
            <v>0.58464508599999998</v>
          </cell>
          <cell r="Z887">
            <v>0.31411198400000001</v>
          </cell>
          <cell r="AB887" t="str">
            <v>2007NC</v>
          </cell>
          <cell r="AC887">
            <v>0</v>
          </cell>
          <cell r="AD887">
            <v>0</v>
          </cell>
          <cell r="AE887">
            <v>0.41899999999999998</v>
          </cell>
          <cell r="AF887">
            <v>0.58099999999999996</v>
          </cell>
        </row>
        <row r="888">
          <cell r="B888" t="str">
            <v>2007ND</v>
          </cell>
          <cell r="C888">
            <v>0.1196932700797023</v>
          </cell>
          <cell r="D888">
            <v>0.21866711268457967</v>
          </cell>
          <cell r="E888">
            <v>0.10978970169096619</v>
          </cell>
          <cell r="F888">
            <v>0.448028418369537</v>
          </cell>
          <cell r="G888">
            <v>6.499987314042277E-2</v>
          </cell>
          <cell r="H888">
            <v>3.8821624034792085E-2</v>
          </cell>
          <cell r="J888" t="str">
            <v>2007ND</v>
          </cell>
          <cell r="K888">
            <v>0.82521042499999997</v>
          </cell>
          <cell r="L888">
            <v>6.4999873E-2</v>
          </cell>
          <cell r="M888">
            <v>0.109789702</v>
          </cell>
          <cell r="U888" t="str">
            <v>2007ND</v>
          </cell>
          <cell r="V888">
            <v>8.8434773999999994E-2</v>
          </cell>
          <cell r="W888">
            <v>4.7868137999999998E-2</v>
          </cell>
          <cell r="X888">
            <v>0.243186129</v>
          </cell>
          <cell r="Y888">
            <v>0.16647603599999999</v>
          </cell>
          <cell r="Z888">
            <v>0.45403492299999998</v>
          </cell>
          <cell r="AB888" t="str">
            <v>2007ND</v>
          </cell>
          <cell r="AC888">
            <v>0</v>
          </cell>
          <cell r="AD888">
            <v>0</v>
          </cell>
          <cell r="AE888">
            <v>0.02</v>
          </cell>
          <cell r="AF888">
            <v>0.98</v>
          </cell>
        </row>
        <row r="889">
          <cell r="B889" t="str">
            <v>2007OH</v>
          </cell>
          <cell r="C889">
            <v>0.10753833947858983</v>
          </cell>
          <cell r="D889">
            <v>0.22522557822049544</v>
          </cell>
          <cell r="E889">
            <v>0.13589110116557596</v>
          </cell>
          <cell r="F889">
            <v>0.4097570212201273</v>
          </cell>
          <cell r="G889">
            <v>8.0452940491062386E-2</v>
          </cell>
          <cell r="H889">
            <v>4.1135019424149183E-2</v>
          </cell>
          <cell r="J889" t="str">
            <v>2007OH</v>
          </cell>
          <cell r="K889">
            <v>0.78365595900000007</v>
          </cell>
          <cell r="L889">
            <v>8.0452940000000001E-2</v>
          </cell>
          <cell r="M889">
            <v>0.13589110099999999</v>
          </cell>
          <cell r="U889" t="str">
            <v>2007OH</v>
          </cell>
          <cell r="V889">
            <v>6.6338901000000006E-2</v>
          </cell>
          <cell r="W889">
            <v>4.3119113000000001E-2</v>
          </cell>
          <cell r="X889">
            <v>0.26533305600000001</v>
          </cell>
          <cell r="Y889">
            <v>0.15267545299999999</v>
          </cell>
          <cell r="Z889">
            <v>0.47253347699999998</v>
          </cell>
          <cell r="AB889" t="str">
            <v>2007OH</v>
          </cell>
          <cell r="AC889">
            <v>0</v>
          </cell>
          <cell r="AD889">
            <v>0</v>
          </cell>
          <cell r="AE889">
            <v>0</v>
          </cell>
          <cell r="AF889">
            <v>1</v>
          </cell>
        </row>
        <row r="890">
          <cell r="B890" t="str">
            <v>2007OK</v>
          </cell>
          <cell r="C890">
            <v>0.40296958934788546</v>
          </cell>
          <cell r="D890">
            <v>0.22528492954061258</v>
          </cell>
          <cell r="E890">
            <v>6.4896255940651446E-2</v>
          </cell>
          <cell r="F890">
            <v>0.24738177570149189</v>
          </cell>
          <cell r="G890">
            <v>0</v>
          </cell>
          <cell r="H890">
            <v>5.9467449469358676E-2</v>
          </cell>
          <cell r="J890" t="str">
            <v>2007OK</v>
          </cell>
          <cell r="K890">
            <v>0.93510374399999996</v>
          </cell>
          <cell r="L890">
            <v>0</v>
          </cell>
          <cell r="M890">
            <v>6.4896255999999999E-2</v>
          </cell>
          <cell r="U890" t="str">
            <v>2007OK</v>
          </cell>
          <cell r="V890">
            <v>1.2831308E-2</v>
          </cell>
          <cell r="W890">
            <v>3.6793041999999998E-2</v>
          </cell>
          <cell r="X890">
            <v>6.2749109999999997E-2</v>
          </cell>
          <cell r="Y890">
            <v>0.57552135800000004</v>
          </cell>
          <cell r="Z890">
            <v>0.31210518199999998</v>
          </cell>
          <cell r="AB890" t="str">
            <v>2007OK</v>
          </cell>
          <cell r="AC890">
            <v>0</v>
          </cell>
          <cell r="AD890">
            <v>0</v>
          </cell>
          <cell r="AE890">
            <v>0.6</v>
          </cell>
          <cell r="AF890">
            <v>0.4</v>
          </cell>
        </row>
        <row r="891">
          <cell r="B891" t="str">
            <v>2007OR</v>
          </cell>
          <cell r="C891">
            <v>0.43856747008812064</v>
          </cell>
          <cell r="D891">
            <v>0.20958259090942544</v>
          </cell>
          <cell r="E891">
            <v>0</v>
          </cell>
          <cell r="F891">
            <v>0.12862948158709187</v>
          </cell>
          <cell r="G891">
            <v>0.2018533708975031</v>
          </cell>
          <cell r="H891">
            <v>2.1367086517858933E-2</v>
          </cell>
          <cell r="J891" t="str">
            <v>2007OR</v>
          </cell>
          <cell r="K891">
            <v>0.798146629</v>
          </cell>
          <cell r="L891">
            <v>0.201853371</v>
          </cell>
          <cell r="M891">
            <v>0</v>
          </cell>
          <cell r="U891" t="str">
            <v>2007OR</v>
          </cell>
          <cell r="V891">
            <v>0.57640796000000005</v>
          </cell>
          <cell r="W891">
            <v>1.863805E-2</v>
          </cell>
          <cell r="X891">
            <v>0.116911403</v>
          </cell>
          <cell r="Y891">
            <v>8.937792E-2</v>
          </cell>
          <cell r="Z891">
            <v>0.19866466699999999</v>
          </cell>
          <cell r="AB891" t="str">
            <v>2007OR</v>
          </cell>
          <cell r="AC891">
            <v>0</v>
          </cell>
          <cell r="AD891">
            <v>0</v>
          </cell>
          <cell r="AE891">
            <v>0.25</v>
          </cell>
          <cell r="AF891">
            <v>0.75</v>
          </cell>
        </row>
        <row r="892">
          <cell r="B892" t="str">
            <v>2007PA</v>
          </cell>
          <cell r="C892">
            <v>4.9624045569858895E-2</v>
          </cell>
          <cell r="D892">
            <v>0.11712497857538914</v>
          </cell>
          <cell r="E892">
            <v>0.46874549019831585</v>
          </cell>
          <cell r="F892">
            <v>0.25230966018477574</v>
          </cell>
          <cell r="G892">
            <v>8.8454910858433447E-2</v>
          </cell>
          <cell r="H892">
            <v>2.3740914613226898E-2</v>
          </cell>
          <cell r="J892" t="str">
            <v>2007PA</v>
          </cell>
          <cell r="K892">
            <v>0.44279959899999999</v>
          </cell>
          <cell r="L892">
            <v>8.8454910999999997E-2</v>
          </cell>
          <cell r="M892">
            <v>0.46874548999999999</v>
          </cell>
          <cell r="U892" t="str">
            <v>2007PA</v>
          </cell>
          <cell r="V892">
            <v>5.0102499000000002E-2</v>
          </cell>
          <cell r="W892">
            <v>4.9409870000000002E-2</v>
          </cell>
          <cell r="X892">
            <v>0.25392279899999998</v>
          </cell>
          <cell r="Y892">
            <v>0.17504710600000001</v>
          </cell>
          <cell r="Z892">
            <v>0.47151772600000003</v>
          </cell>
          <cell r="AB892" t="str">
            <v>2007PA</v>
          </cell>
          <cell r="AC892">
            <v>0</v>
          </cell>
          <cell r="AD892">
            <v>0</v>
          </cell>
          <cell r="AE892">
            <v>0</v>
          </cell>
          <cell r="AF892">
            <v>1</v>
          </cell>
        </row>
        <row r="893">
          <cell r="B893" t="str">
            <v>2007RI</v>
          </cell>
          <cell r="C893">
            <v>4.2447025005926793E-2</v>
          </cell>
          <cell r="D893">
            <v>0.1190174947032642</v>
          </cell>
          <cell r="E893">
            <v>0.46784468707451643</v>
          </cell>
          <cell r="F893">
            <v>0.25730854976835782</v>
          </cell>
          <cell r="G893">
            <v>8.7642343040085183E-2</v>
          </cell>
          <cell r="H893">
            <v>2.5739900407849584E-2</v>
          </cell>
          <cell r="J893" t="str">
            <v>2007RI</v>
          </cell>
          <cell r="K893">
            <v>0.44451297000000001</v>
          </cell>
          <cell r="L893">
            <v>8.7642342999999998E-2</v>
          </cell>
          <cell r="M893">
            <v>0.46784468699999998</v>
          </cell>
          <cell r="U893" t="str">
            <v>2007RI</v>
          </cell>
          <cell r="V893">
            <v>0.56026879500000004</v>
          </cell>
          <cell r="W893">
            <v>1.9348173E-2</v>
          </cell>
          <cell r="X893">
            <v>0.121365813</v>
          </cell>
          <cell r="Y893">
            <v>9.2783283999999994E-2</v>
          </cell>
          <cell r="Z893">
            <v>0.20623393500000001</v>
          </cell>
          <cell r="AB893" t="str">
            <v>2007RI</v>
          </cell>
          <cell r="AC893">
            <v>0</v>
          </cell>
          <cell r="AD893">
            <v>0</v>
          </cell>
          <cell r="AE893">
            <v>0.05</v>
          </cell>
          <cell r="AF893">
            <v>0.95</v>
          </cell>
        </row>
        <row r="894">
          <cell r="B894" t="str">
            <v>2007SC</v>
          </cell>
          <cell r="C894">
            <v>0.13346180610825578</v>
          </cell>
          <cell r="D894">
            <v>9.0019723091430845E-2</v>
          </cell>
          <cell r="E894">
            <v>0.15451296947775242</v>
          </cell>
          <cell r="F894">
            <v>8.0687406490411034E-2</v>
          </cell>
          <cell r="G894">
            <v>0.53771407690020812</v>
          </cell>
          <cell r="H894">
            <v>3.6040179319418398E-3</v>
          </cell>
          <cell r="J894" t="str">
            <v>2007SC</v>
          </cell>
          <cell r="K894">
            <v>0.30777295400000004</v>
          </cell>
          <cell r="L894">
            <v>0.53771407699999996</v>
          </cell>
          <cell r="M894">
            <v>0.154512969</v>
          </cell>
          <cell r="U894" t="str">
            <v>2007SC</v>
          </cell>
          <cell r="V894">
            <v>6.1629585000000001E-2</v>
          </cell>
          <cell r="W894">
            <v>3.5823032999999997E-2</v>
          </cell>
          <cell r="X894">
            <v>8.6443989999999998E-2</v>
          </cell>
          <cell r="Y894">
            <v>0.50014727299999995</v>
          </cell>
          <cell r="Z894">
            <v>0.31595611899999998</v>
          </cell>
          <cell r="AB894" t="str">
            <v>2007SC</v>
          </cell>
          <cell r="AC894">
            <v>0</v>
          </cell>
          <cell r="AD894">
            <v>0</v>
          </cell>
          <cell r="AE894">
            <v>0.6</v>
          </cell>
          <cell r="AF894">
            <v>0.4</v>
          </cell>
        </row>
        <row r="895">
          <cell r="B895" t="str">
            <v>2007SD</v>
          </cell>
          <cell r="C895">
            <v>0.17608951911561277</v>
          </cell>
          <cell r="D895">
            <v>0.277831368160596</v>
          </cell>
          <cell r="E895">
            <v>7.9800561964795444E-2</v>
          </cell>
          <cell r="F895">
            <v>0.37802114842972712</v>
          </cell>
          <cell r="G895">
            <v>4.724510882492864E-2</v>
          </cell>
          <cell r="H895">
            <v>4.1012293504340026E-2</v>
          </cell>
          <cell r="J895" t="str">
            <v>2007SD</v>
          </cell>
          <cell r="K895">
            <v>0.87295432900000003</v>
          </cell>
          <cell r="L895">
            <v>4.7245109E-2</v>
          </cell>
          <cell r="M895">
            <v>7.9800562000000005E-2</v>
          </cell>
          <cell r="U895" t="str">
            <v>2007SD</v>
          </cell>
          <cell r="V895">
            <v>3.3046748000000001E-2</v>
          </cell>
          <cell r="W895">
            <v>5.1157264000000001E-2</v>
          </cell>
          <cell r="X895">
            <v>0.25755016600000002</v>
          </cell>
          <cell r="Y895">
            <v>0.17532273200000001</v>
          </cell>
          <cell r="Z895">
            <v>0.48292308900000003</v>
          </cell>
          <cell r="AB895" t="str">
            <v>2007SD</v>
          </cell>
          <cell r="AC895">
            <v>0</v>
          </cell>
          <cell r="AD895">
            <v>0</v>
          </cell>
          <cell r="AE895">
            <v>0.02</v>
          </cell>
          <cell r="AF895">
            <v>0.98</v>
          </cell>
        </row>
        <row r="896">
          <cell r="B896" t="str">
            <v>2007TN</v>
          </cell>
          <cell r="C896">
            <v>4.0519949592449485E-2</v>
          </cell>
          <cell r="D896">
            <v>8.9664149461423162E-2</v>
          </cell>
          <cell r="E896">
            <v>0.14551684926860037</v>
          </cell>
          <cell r="F896">
            <v>0.1170185785979804</v>
          </cell>
          <cell r="G896">
            <v>0.59108168584929244</v>
          </cell>
          <cell r="H896">
            <v>1.6198787230254148E-2</v>
          </cell>
          <cell r="J896" t="str">
            <v>2007TN</v>
          </cell>
          <cell r="K896">
            <v>0.26340146500000006</v>
          </cell>
          <cell r="L896">
            <v>0.591081686</v>
          </cell>
          <cell r="M896">
            <v>0.145516849</v>
          </cell>
          <cell r="U896" t="str">
            <v>2007TN</v>
          </cell>
          <cell r="V896">
            <v>0.102875089</v>
          </cell>
          <cell r="W896">
            <v>3.5402429999999999E-2</v>
          </cell>
          <cell r="X896">
            <v>0.119077104</v>
          </cell>
          <cell r="Y896">
            <v>0.41436515099999999</v>
          </cell>
          <cell r="Z896">
            <v>0.32828022600000001</v>
          </cell>
          <cell r="AB896" t="str">
            <v>2007TN</v>
          </cell>
          <cell r="AC896">
            <v>0</v>
          </cell>
          <cell r="AD896">
            <v>0</v>
          </cell>
          <cell r="AE896">
            <v>0.05</v>
          </cell>
          <cell r="AF896">
            <v>0.95</v>
          </cell>
        </row>
        <row r="897">
          <cell r="B897" t="str">
            <v>2007TX</v>
          </cell>
          <cell r="C897">
            <v>0.53305655520056971</v>
          </cell>
          <cell r="D897">
            <v>0.24233312613196878</v>
          </cell>
          <cell r="E897">
            <v>7.9791980793249173E-2</v>
          </cell>
          <cell r="F897">
            <v>0.1278405091499755</v>
          </cell>
          <cell r="G897">
            <v>0</v>
          </cell>
          <cell r="H897">
            <v>1.6977828724236681E-2</v>
          </cell>
          <cell r="J897" t="str">
            <v>2007TX</v>
          </cell>
          <cell r="K897">
            <v>0.92020801900000004</v>
          </cell>
          <cell r="L897">
            <v>0</v>
          </cell>
          <cell r="M897">
            <v>7.9791980999999998E-2</v>
          </cell>
          <cell r="U897" t="str">
            <v>2007TX</v>
          </cell>
          <cell r="V897">
            <v>6.9632535999999995E-2</v>
          </cell>
          <cell r="W897">
            <v>3.4700662E-2</v>
          </cell>
          <cell r="X897">
            <v>5.9917572000000002E-2</v>
          </cell>
          <cell r="Y897">
            <v>0.54104196599999999</v>
          </cell>
          <cell r="Z897">
            <v>0.29470726400000002</v>
          </cell>
          <cell r="AB897" t="str">
            <v>2007TX</v>
          </cell>
          <cell r="AC897">
            <v>0</v>
          </cell>
          <cell r="AD897">
            <v>0</v>
          </cell>
          <cell r="AE897">
            <v>0.12</v>
          </cell>
          <cell r="AF897">
            <v>0.88</v>
          </cell>
        </row>
        <row r="898">
          <cell r="B898" t="str">
            <v>2007UT</v>
          </cell>
          <cell r="C898">
            <v>0.51165623152884221</v>
          </cell>
          <cell r="D898">
            <v>0.26394677259150623</v>
          </cell>
          <cell r="E898">
            <v>1.3999177703951423E-2</v>
          </cell>
          <cell r="F898">
            <v>0.17036034814732054</v>
          </cell>
          <cell r="G898">
            <v>8.2880703819413898E-3</v>
          </cell>
          <cell r="H898">
            <v>3.1749399646438282E-2</v>
          </cell>
          <cell r="J898" t="str">
            <v>2007UT</v>
          </cell>
          <cell r="K898">
            <v>0.97771275199999996</v>
          </cell>
          <cell r="L898">
            <v>8.2880699999999998E-3</v>
          </cell>
          <cell r="M898">
            <v>1.3999177999999999E-2</v>
          </cell>
          <cell r="U898" t="str">
            <v>2007UT</v>
          </cell>
          <cell r="V898">
            <v>8.6456620000000001E-3</v>
          </cell>
          <cell r="W898">
            <v>5.5424775000000003E-2</v>
          </cell>
          <cell r="X898">
            <v>0.260824848</v>
          </cell>
          <cell r="Y898">
            <v>0.16982515300000001</v>
          </cell>
          <cell r="Z898">
            <v>0.50527956200000002</v>
          </cell>
          <cell r="AB898" t="str">
            <v>2007UT</v>
          </cell>
          <cell r="AC898">
            <v>0</v>
          </cell>
          <cell r="AD898">
            <v>0</v>
          </cell>
          <cell r="AE898">
            <v>0.6</v>
          </cell>
          <cell r="AF898">
            <v>0.4</v>
          </cell>
        </row>
        <row r="899">
          <cell r="B899" t="str">
            <v>2007VT</v>
          </cell>
          <cell r="C899">
            <v>9.9973781354903396E-2</v>
          </cell>
          <cell r="D899">
            <v>0.17387691112967565</v>
          </cell>
          <cell r="E899">
            <v>0.44423932842492886</v>
          </cell>
          <cell r="F899">
            <v>0.19448861844630186</v>
          </cell>
          <cell r="G899">
            <v>6.6349172232328182E-2</v>
          </cell>
          <cell r="H899">
            <v>2.1072188411862088E-2</v>
          </cell>
          <cell r="J899" t="str">
            <v>2007VT</v>
          </cell>
          <cell r="K899">
            <v>0.4894115</v>
          </cell>
          <cell r="L899">
            <v>6.6349171999999998E-2</v>
          </cell>
          <cell r="M899">
            <v>0.44423932799999999</v>
          </cell>
          <cell r="U899" t="str">
            <v>2007VT</v>
          </cell>
          <cell r="V899">
            <v>0.86037974299999997</v>
          </cell>
          <cell r="W899">
            <v>6.1432910000000004E-3</v>
          </cell>
          <cell r="X899">
            <v>3.8535191000000003E-2</v>
          </cell>
          <cell r="Y899">
            <v>2.9459874E-2</v>
          </cell>
          <cell r="Z899">
            <v>6.5481899999999996E-2</v>
          </cell>
          <cell r="AB899" t="str">
            <v>2007VT</v>
          </cell>
          <cell r="AC899">
            <v>0</v>
          </cell>
          <cell r="AD899">
            <v>0</v>
          </cell>
          <cell r="AE899">
            <v>0.05</v>
          </cell>
          <cell r="AF899">
            <v>0.95</v>
          </cell>
        </row>
        <row r="900">
          <cell r="B900" t="str">
            <v>2007VA</v>
          </cell>
          <cell r="C900">
            <v>4.4953509549794296E-2</v>
          </cell>
          <cell r="D900">
            <v>9.339670802378576E-2</v>
          </cell>
          <cell r="E900">
            <v>0.14844092890155638</v>
          </cell>
          <cell r="F900">
            <v>0.12331550684410268</v>
          </cell>
          <cell r="G900">
            <v>0.5737351926100378</v>
          </cell>
          <cell r="H900">
            <v>1.6158154070723133E-2</v>
          </cell>
          <cell r="J900" t="str">
            <v>2007VA</v>
          </cell>
          <cell r="K900">
            <v>0.27782387799999997</v>
          </cell>
          <cell r="L900">
            <v>0.57373519299999998</v>
          </cell>
          <cell r="M900">
            <v>0.148440929</v>
          </cell>
          <cell r="U900" t="str">
            <v>2007VA</v>
          </cell>
          <cell r="V900">
            <v>3.3934871999999998E-2</v>
          </cell>
          <cell r="W900">
            <v>3.6244844999999998E-2</v>
          </cell>
          <cell r="X900">
            <v>6.8933026999999994E-2</v>
          </cell>
          <cell r="Y900">
            <v>0.550040046</v>
          </cell>
          <cell r="Z900">
            <v>0.31084721100000001</v>
          </cell>
          <cell r="AB900" t="str">
            <v>2007VA</v>
          </cell>
          <cell r="AC900">
            <v>0</v>
          </cell>
          <cell r="AD900">
            <v>0</v>
          </cell>
          <cell r="AE900">
            <v>0.05</v>
          </cell>
          <cell r="AF900">
            <v>0.95</v>
          </cell>
        </row>
        <row r="901">
          <cell r="B901" t="str">
            <v>2007WA</v>
          </cell>
          <cell r="C901">
            <v>0.48742079910802349</v>
          </cell>
          <cell r="D901">
            <v>0.21961274491816118</v>
          </cell>
          <cell r="E901">
            <v>0</v>
          </cell>
          <cell r="F901">
            <v>0.11254281869932067</v>
          </cell>
          <cell r="G901">
            <v>0.16627589127589129</v>
          </cell>
          <cell r="H901">
            <v>1.4147745998603438E-2</v>
          </cell>
          <cell r="J901" t="str">
            <v>2007WA</v>
          </cell>
          <cell r="K901">
            <v>0.83372410900000005</v>
          </cell>
          <cell r="L901">
            <v>0.16627589100000001</v>
          </cell>
          <cell r="M901">
            <v>0</v>
          </cell>
          <cell r="U901" t="str">
            <v>2007WA</v>
          </cell>
          <cell r="V901">
            <v>0.37353494700000001</v>
          </cell>
          <cell r="W901">
            <v>3.1263627000000002E-2</v>
          </cell>
          <cell r="X901">
            <v>0.168896926</v>
          </cell>
          <cell r="Y901">
            <v>0.119853577</v>
          </cell>
          <cell r="Z901">
            <v>0.30645092299999999</v>
          </cell>
          <cell r="AB901" t="str">
            <v>2007WA</v>
          </cell>
          <cell r="AC901">
            <v>0</v>
          </cell>
          <cell r="AD901">
            <v>0</v>
          </cell>
          <cell r="AE901">
            <v>0.12</v>
          </cell>
          <cell r="AF901">
            <v>0.88</v>
          </cell>
        </row>
        <row r="902">
          <cell r="B902" t="str">
            <v>2007WV</v>
          </cell>
          <cell r="C902">
            <v>6.8751812683186322E-2</v>
          </cell>
          <cell r="D902">
            <v>0.15888641455628993</v>
          </cell>
          <cell r="E902">
            <v>0.44831485363191043</v>
          </cell>
          <cell r="F902">
            <v>0.22633984896592482</v>
          </cell>
          <cell r="G902">
            <v>7.0025492327769459E-2</v>
          </cell>
          <cell r="H902">
            <v>2.7681577834919095E-2</v>
          </cell>
          <cell r="J902" t="str">
            <v>2007WV</v>
          </cell>
          <cell r="K902">
            <v>0.48165965399999999</v>
          </cell>
          <cell r="L902">
            <v>7.0025491999999995E-2</v>
          </cell>
          <cell r="M902">
            <v>0.44831485399999998</v>
          </cell>
          <cell r="U902" t="str">
            <v>2007WV</v>
          </cell>
          <cell r="V902">
            <v>0.57920187499999998</v>
          </cell>
          <cell r="W902">
            <v>2.1256934000000002E-2</v>
          </cell>
          <cell r="X902">
            <v>0.113169981</v>
          </cell>
          <cell r="Y902">
            <v>7.9649016000000003E-2</v>
          </cell>
          <cell r="Z902">
            <v>0.206722194</v>
          </cell>
          <cell r="AB902" t="str">
            <v>2007WV</v>
          </cell>
          <cell r="AC902">
            <v>0</v>
          </cell>
          <cell r="AD902">
            <v>0</v>
          </cell>
          <cell r="AE902">
            <v>0.05</v>
          </cell>
          <cell r="AF902">
            <v>0.95</v>
          </cell>
        </row>
        <row r="903">
          <cell r="B903" t="str">
            <v>2007WI</v>
          </cell>
          <cell r="C903">
            <v>0.12203432597344931</v>
          </cell>
          <cell r="D903">
            <v>0.23555629715568294</v>
          </cell>
          <cell r="E903">
            <v>0.11540173598404266</v>
          </cell>
          <cell r="F903">
            <v>0.42032708364290838</v>
          </cell>
          <cell r="G903">
            <v>6.8322420806473022E-2</v>
          </cell>
          <cell r="H903">
            <v>3.8358136437443673E-2</v>
          </cell>
          <cell r="J903" t="str">
            <v>2007WI</v>
          </cell>
          <cell r="K903">
            <v>0.816275843</v>
          </cell>
          <cell r="L903">
            <v>6.8322420999999994E-2</v>
          </cell>
          <cell r="M903">
            <v>0.115401736</v>
          </cell>
          <cell r="U903" t="str">
            <v>2007WI</v>
          </cell>
          <cell r="V903">
            <v>0.12883246500000001</v>
          </cell>
          <cell r="W903">
            <v>4.2564396999999997E-2</v>
          </cell>
          <cell r="X903">
            <v>0.23585646199999999</v>
          </cell>
          <cell r="Y903">
            <v>0.16970626599999999</v>
          </cell>
          <cell r="Z903">
            <v>0.42304040999999998</v>
          </cell>
          <cell r="AB903" t="str">
            <v>2007WI</v>
          </cell>
          <cell r="AC903">
            <v>0</v>
          </cell>
          <cell r="AD903">
            <v>0</v>
          </cell>
          <cell r="AE903">
            <v>0.02</v>
          </cell>
          <cell r="AF903">
            <v>0.98</v>
          </cell>
        </row>
        <row r="904">
          <cell r="B904" t="str">
            <v>2007WY</v>
          </cell>
          <cell r="C904">
            <v>0.29508724522063295</v>
          </cell>
          <cell r="D904">
            <v>0.23251729773373622</v>
          </cell>
          <cell r="E904">
            <v>0.12161775942187937</v>
          </cell>
          <cell r="F904">
            <v>0.2207502472879718</v>
          </cell>
          <cell r="G904">
            <v>7.2002554085590281E-2</v>
          </cell>
          <cell r="H904">
            <v>5.8024896250189507E-2</v>
          </cell>
          <cell r="J904" t="str">
            <v>2007WY</v>
          </cell>
          <cell r="K904">
            <v>0.80637968699999996</v>
          </cell>
          <cell r="L904">
            <v>7.2002553999999996E-2</v>
          </cell>
          <cell r="M904">
            <v>0.12161775900000001</v>
          </cell>
          <cell r="U904" t="str">
            <v>2007WY</v>
          </cell>
          <cell r="V904">
            <v>3.2109568999999998E-2</v>
          </cell>
          <cell r="W904">
            <v>5.3596850000000001E-2</v>
          </cell>
          <cell r="X904">
            <v>0.25521061499999997</v>
          </cell>
          <cell r="Y904">
            <v>0.16752597599999999</v>
          </cell>
          <cell r="Z904">
            <v>0.49155699000000003</v>
          </cell>
          <cell r="AB904" t="str">
            <v>2007WY</v>
          </cell>
          <cell r="AC904">
            <v>0</v>
          </cell>
          <cell r="AD904">
            <v>0</v>
          </cell>
          <cell r="AE904">
            <v>0.6</v>
          </cell>
          <cell r="AF904">
            <v>0.4</v>
          </cell>
        </row>
        <row r="905">
          <cell r="B905" t="str">
            <v>2008AL</v>
          </cell>
          <cell r="C905">
            <v>0.17233560131521788</v>
          </cell>
          <cell r="D905">
            <v>9.7606154746872412E-2</v>
          </cell>
          <cell r="E905">
            <v>0.16919346457207346</v>
          </cell>
          <cell r="F905">
            <v>0.1056405325382436</v>
          </cell>
          <cell r="G905">
            <v>0.45062509818962659</v>
          </cell>
          <cell r="H905">
            <v>4.5991486379660445E-3</v>
          </cell>
          <cell r="J905" t="str">
            <v>2008AL</v>
          </cell>
          <cell r="K905">
            <v>0.38018143700000007</v>
          </cell>
          <cell r="L905">
            <v>0.450625098</v>
          </cell>
          <cell r="M905">
            <v>0.16919346499999999</v>
          </cell>
          <cell r="U905" t="str">
            <v>2008AL</v>
          </cell>
          <cell r="V905">
            <v>5.3114938E-2</v>
          </cell>
          <cell r="W905">
            <v>3.6058960000000001E-2</v>
          </cell>
          <cell r="X905">
            <v>8.4414527000000003E-2</v>
          </cell>
          <cell r="Y905">
            <v>0.50961295299999998</v>
          </cell>
          <cell r="Z905">
            <v>0.316798623</v>
          </cell>
          <cell r="AB905" t="str">
            <v>2008AL</v>
          </cell>
          <cell r="AC905">
            <v>0</v>
          </cell>
          <cell r="AD905">
            <v>0</v>
          </cell>
          <cell r="AE905">
            <v>0.41899999999999998</v>
          </cell>
          <cell r="AF905">
            <v>0.58099999999999996</v>
          </cell>
        </row>
        <row r="906">
          <cell r="B906" t="str">
            <v>2008AK</v>
          </cell>
          <cell r="C906">
            <v>0.30334484066413492</v>
          </cell>
          <cell r="D906">
            <v>0.23769937716735701</v>
          </cell>
          <cell r="E906">
            <v>6.205843688929364E-2</v>
          </cell>
          <cell r="F906">
            <v>0.28363994741136878</v>
          </cell>
          <cell r="G906">
            <v>3.6741064625999714E-2</v>
          </cell>
          <cell r="H906">
            <v>7.6516333241846021E-2</v>
          </cell>
          <cell r="J906" t="str">
            <v>2008AK</v>
          </cell>
          <cell r="K906">
            <v>0.90120049800000002</v>
          </cell>
          <cell r="L906">
            <v>3.6741065000000003E-2</v>
          </cell>
          <cell r="M906">
            <v>6.2058437000000001E-2</v>
          </cell>
          <cell r="U906" t="str">
            <v>2008AK</v>
          </cell>
          <cell r="V906">
            <v>0.52632575500000001</v>
          </cell>
          <cell r="W906">
            <v>2.0841667000000001E-2</v>
          </cell>
          <cell r="X906">
            <v>0.130734092</v>
          </cell>
          <cell r="Y906">
            <v>9.9945266000000005E-2</v>
          </cell>
          <cell r="Z906">
            <v>0.22215322100000001</v>
          </cell>
          <cell r="AB906" t="str">
            <v>2008AK</v>
          </cell>
          <cell r="AC906">
            <v>0</v>
          </cell>
          <cell r="AD906">
            <v>0</v>
          </cell>
          <cell r="AE906">
            <v>0.25</v>
          </cell>
          <cell r="AF906">
            <v>0.75</v>
          </cell>
        </row>
        <row r="907">
          <cell r="B907" t="str">
            <v>2008AZ</v>
          </cell>
          <cell r="C907">
            <v>0.611220636654217</v>
          </cell>
          <cell r="D907">
            <v>0.19572797693407004</v>
          </cell>
          <cell r="E907">
            <v>9.865488383487428E-2</v>
          </cell>
          <cell r="F907">
            <v>9.3890669243012675E-2</v>
          </cell>
          <cell r="G907">
            <v>0</v>
          </cell>
          <cell r="H907">
            <v>5.0583333382575558E-4</v>
          </cell>
          <cell r="J907" t="str">
            <v>2008AZ</v>
          </cell>
          <cell r="K907">
            <v>0.901345116</v>
          </cell>
          <cell r="L907">
            <v>0</v>
          </cell>
          <cell r="M907">
            <v>9.8654883999999998E-2</v>
          </cell>
          <cell r="U907" t="str">
            <v>2008AZ</v>
          </cell>
          <cell r="V907">
            <v>0.136592664</v>
          </cell>
          <cell r="W907">
            <v>3.2171241000000003E-2</v>
          </cell>
          <cell r="X907">
            <v>5.4596316999999998E-2</v>
          </cell>
          <cell r="Y907">
            <v>0.50386894699999996</v>
          </cell>
          <cell r="Z907">
            <v>0.27277083200000002</v>
          </cell>
          <cell r="AB907" t="str">
            <v>2008AZ</v>
          </cell>
          <cell r="AC907">
            <v>0</v>
          </cell>
          <cell r="AD907">
            <v>0</v>
          </cell>
          <cell r="AE907">
            <v>0.6</v>
          </cell>
          <cell r="AF907">
            <v>0.4</v>
          </cell>
        </row>
        <row r="908">
          <cell r="B908" t="str">
            <v>2008AR</v>
          </cell>
          <cell r="C908">
            <v>9.6391342329605903E-2</v>
          </cell>
          <cell r="D908">
            <v>6.6955456596874061E-2</v>
          </cell>
          <cell r="E908">
            <v>0.14888335780531528</v>
          </cell>
          <cell r="F908">
            <v>0.11118804006195876</v>
          </cell>
          <cell r="G908">
            <v>0.57111057531117648</v>
          </cell>
          <cell r="H908">
            <v>5.4712278950695761E-3</v>
          </cell>
          <cell r="J908" t="str">
            <v>2008AR</v>
          </cell>
          <cell r="K908">
            <v>0.28000606700000008</v>
          </cell>
          <cell r="L908">
            <v>0.57111057499999995</v>
          </cell>
          <cell r="M908">
            <v>0.14888335799999999</v>
          </cell>
          <cell r="U908" t="str">
            <v>2008AR</v>
          </cell>
          <cell r="V908">
            <v>3.9459004999999998E-2</v>
          </cell>
          <cell r="W908">
            <v>3.7640482000000003E-2</v>
          </cell>
          <cell r="X908">
            <v>0.11914443199999999</v>
          </cell>
          <cell r="Y908">
            <v>0.45827781299999998</v>
          </cell>
          <cell r="Z908">
            <v>0.34547826799999998</v>
          </cell>
          <cell r="AB908" t="str">
            <v>2008AR</v>
          </cell>
          <cell r="AC908">
            <v>0</v>
          </cell>
          <cell r="AD908">
            <v>0</v>
          </cell>
          <cell r="AE908">
            <v>0</v>
          </cell>
          <cell r="AF908">
            <v>1</v>
          </cell>
        </row>
        <row r="909">
          <cell r="B909" t="str">
            <v>2008CA</v>
          </cell>
          <cell r="C909">
            <v>0.58081862489107328</v>
          </cell>
          <cell r="D909">
            <v>0.20720345916912225</v>
          </cell>
          <cell r="E909">
            <v>0.10801924509893834</v>
          </cell>
          <cell r="F909">
            <v>9.2431120719429966E-2</v>
          </cell>
          <cell r="G909">
            <v>9.2523577326630076E-3</v>
          </cell>
          <cell r="H909">
            <v>2.2751923887731596E-3</v>
          </cell>
          <cell r="J909" t="str">
            <v>2008CA</v>
          </cell>
          <cell r="K909">
            <v>0.88272839699999994</v>
          </cell>
          <cell r="L909">
            <v>9.2523580000000005E-3</v>
          </cell>
          <cell r="M909">
            <v>0.108019245</v>
          </cell>
          <cell r="U909" t="str">
            <v>2008CA</v>
          </cell>
          <cell r="V909">
            <v>0.133799526</v>
          </cell>
          <cell r="W909">
            <v>3.2941353E-2</v>
          </cell>
          <cell r="X909">
            <v>7.5800703999999997E-2</v>
          </cell>
          <cell r="Y909">
            <v>0.46867659099999998</v>
          </cell>
          <cell r="Z909">
            <v>0.28878182499999999</v>
          </cell>
          <cell r="AB909" t="str">
            <v>2008CA</v>
          </cell>
          <cell r="AC909">
            <v>0</v>
          </cell>
          <cell r="AD909">
            <v>0</v>
          </cell>
          <cell r="AE909">
            <v>0.12</v>
          </cell>
          <cell r="AF909">
            <v>0.88</v>
          </cell>
        </row>
        <row r="910">
          <cell r="B910" t="str">
            <v>2008CO</v>
          </cell>
          <cell r="C910">
            <v>0.61667904285785091</v>
          </cell>
          <cell r="D910">
            <v>0.24212893570430052</v>
          </cell>
          <cell r="E910">
            <v>1.1092391745361967E-2</v>
          </cell>
          <cell r="F910">
            <v>0.11516410971780773</v>
          </cell>
          <cell r="G910">
            <v>6.5671374014829543E-3</v>
          </cell>
          <cell r="H910">
            <v>8.3683825731959392E-3</v>
          </cell>
          <cell r="J910" t="str">
            <v>2008CO</v>
          </cell>
          <cell r="K910">
            <v>0.98234047099999999</v>
          </cell>
          <cell r="L910">
            <v>6.5671369999999998E-3</v>
          </cell>
          <cell r="M910">
            <v>1.1092392E-2</v>
          </cell>
          <cell r="U910" t="str">
            <v>2008CO</v>
          </cell>
          <cell r="V910">
            <v>2.3378138E-2</v>
          </cell>
          <cell r="W910">
            <v>5.3880426000000002E-2</v>
          </cell>
          <cell r="X910">
            <v>0.25772948099999998</v>
          </cell>
          <cell r="Y910">
            <v>0.169703665</v>
          </cell>
          <cell r="Z910">
            <v>0.49530828999999998</v>
          </cell>
          <cell r="AB910" t="str">
            <v>2008CO</v>
          </cell>
          <cell r="AC910">
            <v>0</v>
          </cell>
          <cell r="AD910">
            <v>0</v>
          </cell>
          <cell r="AE910">
            <v>0.6</v>
          </cell>
          <cell r="AF910">
            <v>0.4</v>
          </cell>
        </row>
        <row r="911">
          <cell r="B911" t="str">
            <v>2008CT</v>
          </cell>
          <cell r="C911">
            <v>0.11572842393252261</v>
          </cell>
          <cell r="D911">
            <v>0.20119880615243968</v>
          </cell>
          <cell r="E911">
            <v>0.43233999756560143</v>
          </cell>
          <cell r="F911">
            <v>0.17234541515575838</v>
          </cell>
          <cell r="G911">
            <v>5.5615402487630847E-2</v>
          </cell>
          <cell r="H911">
            <v>2.2771954706046996E-2</v>
          </cell>
          <cell r="J911" t="str">
            <v>2008CT</v>
          </cell>
          <cell r="K911">
            <v>0.51204460000000007</v>
          </cell>
          <cell r="L911">
            <v>5.5615402000000001E-2</v>
          </cell>
          <cell r="M911">
            <v>0.432339998</v>
          </cell>
          <cell r="U911" t="str">
            <v>2008CT</v>
          </cell>
          <cell r="V911">
            <v>0.57363861400000005</v>
          </cell>
          <cell r="W911">
            <v>1.8759900999999999E-2</v>
          </cell>
          <cell r="X911">
            <v>0.117675743</v>
          </cell>
          <cell r="Y911">
            <v>8.9962252000000006E-2</v>
          </cell>
          <cell r="Z911">
            <v>0.19996348999999999</v>
          </cell>
          <cell r="AB911" t="str">
            <v>2008CT</v>
          </cell>
          <cell r="AC911">
            <v>0</v>
          </cell>
          <cell r="AD911">
            <v>0</v>
          </cell>
          <cell r="AE911">
            <v>0.05</v>
          </cell>
          <cell r="AF911">
            <v>0.95</v>
          </cell>
        </row>
        <row r="912">
          <cell r="B912" t="str">
            <v>2008DE</v>
          </cell>
          <cell r="C912">
            <v>0.10201653895343663</v>
          </cell>
          <cell r="D912">
            <v>0.1910091905838856</v>
          </cell>
          <cell r="E912">
            <v>0.43707162937473454</v>
          </cell>
          <cell r="F912">
            <v>0.18637975788177577</v>
          </cell>
          <cell r="G912">
            <v>5.9883562349419175E-2</v>
          </cell>
          <cell r="H912">
            <v>2.3639320856748244E-2</v>
          </cell>
          <cell r="J912" t="str">
            <v>2008DE</v>
          </cell>
          <cell r="K912">
            <v>0.50304480899999993</v>
          </cell>
          <cell r="L912">
            <v>5.9883562000000001E-2</v>
          </cell>
          <cell r="M912">
            <v>0.43707162900000002</v>
          </cell>
          <cell r="U912" t="str">
            <v>2008DE</v>
          </cell>
          <cell r="V912">
            <v>0.120253529</v>
          </cell>
          <cell r="W912">
            <v>4.1631153999999997E-2</v>
          </cell>
          <cell r="X912">
            <v>0.23964419100000001</v>
          </cell>
          <cell r="Y912">
            <v>0.17588547500000001</v>
          </cell>
          <cell r="Z912">
            <v>0.42258565100000001</v>
          </cell>
          <cell r="AB912" t="str">
            <v>2008DE</v>
          </cell>
          <cell r="AC912">
            <v>0</v>
          </cell>
          <cell r="AD912">
            <v>0</v>
          </cell>
          <cell r="AE912">
            <v>0.05</v>
          </cell>
          <cell r="AF912">
            <v>0.95</v>
          </cell>
        </row>
        <row r="913">
          <cell r="B913" t="str">
            <v>2008FL</v>
          </cell>
          <cell r="C913">
            <v>0.38654865924430459</v>
          </cell>
          <cell r="D913">
            <v>0.14503983167997814</v>
          </cell>
          <cell r="E913">
            <v>0.21616400084919535</v>
          </cell>
          <cell r="F913">
            <v>7.8997496757044303E-2</v>
          </cell>
          <cell r="G913">
            <v>0.17198217725399226</v>
          </cell>
          <cell r="H913">
            <v>1.2678342154852779E-3</v>
          </cell>
          <cell r="J913" t="str">
            <v>2008FL</v>
          </cell>
          <cell r="K913">
            <v>0.61185382200000005</v>
          </cell>
          <cell r="L913">
            <v>0.17198217700000001</v>
          </cell>
          <cell r="M913">
            <v>0.21616400099999999</v>
          </cell>
          <cell r="U913" t="str">
            <v>2008FL</v>
          </cell>
          <cell r="V913">
            <v>0.71166924399999998</v>
          </cell>
          <cell r="W913">
            <v>1.2686553E-2</v>
          </cell>
          <cell r="X913">
            <v>7.9579288999999998E-2</v>
          </cell>
          <cell r="Y913">
            <v>6.0837789000000003E-2</v>
          </cell>
          <cell r="Z913">
            <v>0.135227124</v>
          </cell>
          <cell r="AB913" t="str">
            <v>2008FL</v>
          </cell>
          <cell r="AC913">
            <v>0</v>
          </cell>
          <cell r="AD913">
            <v>0</v>
          </cell>
          <cell r="AE913">
            <v>0.41899999999999998</v>
          </cell>
          <cell r="AF913">
            <v>0.58099999999999996</v>
          </cell>
        </row>
        <row r="914">
          <cell r="B914" t="str">
            <v>2008GA</v>
          </cell>
          <cell r="C914">
            <v>0.20823216155586291</v>
          </cell>
          <cell r="D914">
            <v>0.11033206176717186</v>
          </cell>
          <cell r="E914">
            <v>0.17733204084631207</v>
          </cell>
          <cell r="F914">
            <v>9.7862793659120595E-2</v>
          </cell>
          <cell r="G914">
            <v>0.40234468997942996</v>
          </cell>
          <cell r="H914">
            <v>3.8962521921025758E-3</v>
          </cell>
          <cell r="J914" t="str">
            <v>2008GA</v>
          </cell>
          <cell r="K914">
            <v>0.42032326900000005</v>
          </cell>
          <cell r="L914">
            <v>0.40234469</v>
          </cell>
          <cell r="M914">
            <v>0.177332041</v>
          </cell>
          <cell r="U914" t="str">
            <v>2008GA</v>
          </cell>
          <cell r="V914">
            <v>7.8133266000000007E-2</v>
          </cell>
          <cell r="W914">
            <v>3.5587817000000001E-2</v>
          </cell>
          <cell r="X914">
            <v>9.7388838000000005E-2</v>
          </cell>
          <cell r="Y914">
            <v>0.46952270200000001</v>
          </cell>
          <cell r="Z914">
            <v>0.31936737799999998</v>
          </cell>
          <cell r="AB914" t="str">
            <v>2008GA</v>
          </cell>
          <cell r="AC914">
            <v>0</v>
          </cell>
          <cell r="AD914">
            <v>0</v>
          </cell>
          <cell r="AE914">
            <v>0.41899999999999998</v>
          </cell>
          <cell r="AF914">
            <v>0.58099999999999996</v>
          </cell>
        </row>
        <row r="915">
          <cell r="B915" t="str">
            <v>2008HI</v>
          </cell>
          <cell r="C915">
            <v>0.67137224197860923</v>
          </cell>
          <cell r="D915">
            <v>0.21100034068527662</v>
          </cell>
          <cell r="E915">
            <v>0</v>
          </cell>
          <cell r="F915">
            <v>0.10820426646618357</v>
          </cell>
          <cell r="G915">
            <v>7.5112148308577572E-3</v>
          </cell>
          <cell r="H915">
            <v>1.9119360390725836E-3</v>
          </cell>
          <cell r="J915" t="str">
            <v>2008HI</v>
          </cell>
          <cell r="K915">
            <v>0.99248878500000004</v>
          </cell>
          <cell r="L915">
            <v>7.5112149999999999E-3</v>
          </cell>
          <cell r="M915">
            <v>0</v>
          </cell>
          <cell r="U915" t="str">
            <v>2008HI</v>
          </cell>
          <cell r="V915">
            <v>0.23216878499999999</v>
          </cell>
          <cell r="W915">
            <v>3.2904865999999998E-2</v>
          </cell>
          <cell r="X915">
            <v>0.18414778700000001</v>
          </cell>
          <cell r="Y915">
            <v>0.21064765399999999</v>
          </cell>
          <cell r="Z915">
            <v>0.34013090899999998</v>
          </cell>
          <cell r="AB915" t="str">
            <v>2008HI</v>
          </cell>
          <cell r="AC915">
            <v>0</v>
          </cell>
          <cell r="AD915">
            <v>0</v>
          </cell>
          <cell r="AE915">
            <v>0.25</v>
          </cell>
          <cell r="AF915">
            <v>0.75</v>
          </cell>
        </row>
        <row r="916">
          <cell r="B916" t="str">
            <v>2008ID</v>
          </cell>
          <cell r="C916">
            <v>0.62850843440764703</v>
          </cell>
          <cell r="D916">
            <v>0.2329683972033782</v>
          </cell>
          <cell r="E916">
            <v>6.4436683947772669E-3</v>
          </cell>
          <cell r="F916">
            <v>0.11961222721284216</v>
          </cell>
          <cell r="G916">
            <v>3.8149081541218642E-3</v>
          </cell>
          <cell r="H916">
            <v>8.6523646272333287E-3</v>
          </cell>
          <cell r="J916" t="str">
            <v>2008ID</v>
          </cell>
          <cell r="K916">
            <v>0.98974142399999998</v>
          </cell>
          <cell r="L916">
            <v>3.8149080000000001E-3</v>
          </cell>
          <cell r="M916">
            <v>6.4436679999999996E-3</v>
          </cell>
          <cell r="U916" t="str">
            <v>2008ID</v>
          </cell>
          <cell r="V916">
            <v>0.460837895</v>
          </cell>
          <cell r="W916">
            <v>2.6974237000000002E-2</v>
          </cell>
          <cell r="X916">
            <v>0.14528671200000001</v>
          </cell>
          <cell r="Y916">
            <v>0.102926191</v>
          </cell>
          <cell r="Z916">
            <v>0.26397496599999998</v>
          </cell>
          <cell r="AB916" t="str">
            <v>2008ID</v>
          </cell>
          <cell r="AC916">
            <v>0</v>
          </cell>
          <cell r="AD916">
            <v>0</v>
          </cell>
          <cell r="AE916">
            <v>0.6</v>
          </cell>
          <cell r="AF916">
            <v>0.4</v>
          </cell>
        </row>
        <row r="917">
          <cell r="B917" t="str">
            <v>2008IL</v>
          </cell>
          <cell r="C917">
            <v>0.13175283144497188</v>
          </cell>
          <cell r="D917">
            <v>0.26046159534668961</v>
          </cell>
          <cell r="E917">
            <v>8.1383349234931596E-2</v>
          </cell>
          <cell r="F917">
            <v>0.43207247933210829</v>
          </cell>
          <cell r="G917">
            <v>4.8182181885357514E-2</v>
          </cell>
          <cell r="H917">
            <v>4.6147562755941125E-2</v>
          </cell>
          <cell r="J917" t="str">
            <v>2008IL</v>
          </cell>
          <cell r="K917">
            <v>0.87043446899999999</v>
          </cell>
          <cell r="L917">
            <v>4.8182181999999997E-2</v>
          </cell>
          <cell r="M917">
            <v>8.1383348999999994E-2</v>
          </cell>
          <cell r="U917" t="str">
            <v>2008IL</v>
          </cell>
          <cell r="V917">
            <v>2.0186552999999999E-2</v>
          </cell>
          <cell r="W917">
            <v>4.5739502000000001E-2</v>
          </cell>
          <cell r="X917">
            <v>0.28028242399999997</v>
          </cell>
          <cell r="Y917">
            <v>0.149587944</v>
          </cell>
          <cell r="Z917">
            <v>0.50420357699999996</v>
          </cell>
          <cell r="AB917" t="str">
            <v>2008IL</v>
          </cell>
          <cell r="AC917">
            <v>0</v>
          </cell>
          <cell r="AD917">
            <v>0</v>
          </cell>
          <cell r="AE917">
            <v>0.02</v>
          </cell>
          <cell r="AF917">
            <v>0.98</v>
          </cell>
        </row>
        <row r="918">
          <cell r="B918" t="str">
            <v>2008IN</v>
          </cell>
          <cell r="C918">
            <v>0.16189917384296076</v>
          </cell>
          <cell r="D918">
            <v>0.24163212738244233</v>
          </cell>
          <cell r="E918">
            <v>0.13392208737361183</v>
          </cell>
          <cell r="F918">
            <v>0.3491044693998876</v>
          </cell>
          <cell r="G918">
            <v>7.9287205957511472E-2</v>
          </cell>
          <cell r="H918">
            <v>3.4154936043586021E-2</v>
          </cell>
          <cell r="J918" t="str">
            <v>2008IN</v>
          </cell>
          <cell r="K918">
            <v>0.78679070699999998</v>
          </cell>
          <cell r="L918">
            <v>7.9287205999999999E-2</v>
          </cell>
          <cell r="M918">
            <v>0.133922087</v>
          </cell>
          <cell r="U918" t="str">
            <v>2008IN</v>
          </cell>
          <cell r="V918">
            <v>2.5489210000000002E-2</v>
          </cell>
          <cell r="W918">
            <v>4.5536079E-2</v>
          </cell>
          <cell r="X918">
            <v>0.27893099599999999</v>
          </cell>
          <cell r="Y918">
            <v>0.14781887399999999</v>
          </cell>
          <cell r="Z918">
            <v>0.50222484099999998</v>
          </cell>
          <cell r="AB918" t="str">
            <v>2008IN</v>
          </cell>
          <cell r="AC918">
            <v>0</v>
          </cell>
          <cell r="AD918">
            <v>0</v>
          </cell>
          <cell r="AE918">
            <v>0</v>
          </cell>
          <cell r="AF918">
            <v>1</v>
          </cell>
        </row>
        <row r="919">
          <cell r="B919" t="str">
            <v>2008IA</v>
          </cell>
          <cell r="C919">
            <v>0.13792614664225575</v>
          </cell>
          <cell r="D919">
            <v>0.25047757969635848</v>
          </cell>
          <cell r="E919">
            <v>0.10477197231415941</v>
          </cell>
          <cell r="F919">
            <v>0.40507493125352922</v>
          </cell>
          <cell r="G919">
            <v>6.2029177638731184E-2</v>
          </cell>
          <cell r="H919">
            <v>3.9720192454965969E-2</v>
          </cell>
          <cell r="J919" t="str">
            <v>2008IA</v>
          </cell>
          <cell r="K919">
            <v>0.83319885000000005</v>
          </cell>
          <cell r="L919">
            <v>6.2029177999999997E-2</v>
          </cell>
          <cell r="M919">
            <v>0.104771972</v>
          </cell>
          <cell r="U919" t="str">
            <v>2008IA</v>
          </cell>
          <cell r="V919">
            <v>9.6502570000000006E-3</v>
          </cell>
          <cell r="W919">
            <v>3.8739974000000003E-2</v>
          </cell>
          <cell r="X919">
            <v>0.12067557499999999</v>
          </cell>
          <cell r="Y919">
            <v>0.47629315999999999</v>
          </cell>
          <cell r="Z919">
            <v>0.35464103499999999</v>
          </cell>
          <cell r="AB919" t="str">
            <v>2008IA</v>
          </cell>
          <cell r="AC919">
            <v>0</v>
          </cell>
          <cell r="AD919">
            <v>0</v>
          </cell>
          <cell r="AE919">
            <v>0</v>
          </cell>
          <cell r="AF919">
            <v>1</v>
          </cell>
        </row>
        <row r="920">
          <cell r="B920" t="str">
            <v>2008KS</v>
          </cell>
          <cell r="C920">
            <v>0.28758404285910905</v>
          </cell>
          <cell r="D920">
            <v>0.32607606753917184</v>
          </cell>
          <cell r="E920">
            <v>5.1050547933917619E-2</v>
          </cell>
          <cell r="F920">
            <v>0.27762124338847843</v>
          </cell>
          <cell r="G920">
            <v>3.0223956239483565E-2</v>
          </cell>
          <cell r="H920">
            <v>2.7444142039839463E-2</v>
          </cell>
          <cell r="J920" t="str">
            <v>2008KS</v>
          </cell>
          <cell r="K920">
            <v>0.91872549599999997</v>
          </cell>
          <cell r="L920">
            <v>3.0223956E-2</v>
          </cell>
          <cell r="M920">
            <v>5.1050548000000001E-2</v>
          </cell>
          <cell r="U920" t="str">
            <v>2008KS</v>
          </cell>
          <cell r="V920">
            <v>2.3647662E-2</v>
          </cell>
          <cell r="W920">
            <v>4.6272377000000003E-2</v>
          </cell>
          <cell r="X920">
            <v>0.28189652199999998</v>
          </cell>
          <cell r="Y920">
            <v>0.13395533500000001</v>
          </cell>
          <cell r="Z920">
            <v>0.51422810299999999</v>
          </cell>
          <cell r="AB920" t="str">
            <v>2008KS</v>
          </cell>
          <cell r="AC920">
            <v>0</v>
          </cell>
          <cell r="AD920">
            <v>0</v>
          </cell>
          <cell r="AE920">
            <v>0.02</v>
          </cell>
          <cell r="AF920">
            <v>0.98</v>
          </cell>
        </row>
        <row r="921">
          <cell r="B921" t="str">
            <v>2008KY</v>
          </cell>
          <cell r="C921">
            <v>2.3305602928070858E-2</v>
          </cell>
          <cell r="D921">
            <v>6.2885861766289422E-2</v>
          </cell>
          <cell r="E921">
            <v>0.14165738300711325</v>
          </cell>
          <cell r="F921">
            <v>0.14315421990856123</v>
          </cell>
          <cell r="G921">
            <v>0.61397716539009373</v>
          </cell>
          <cell r="H921">
            <v>1.5019766999871505E-2</v>
          </cell>
          <cell r="J921" t="str">
            <v>2008KY</v>
          </cell>
          <cell r="K921">
            <v>0.24436545200000004</v>
          </cell>
          <cell r="L921">
            <v>0.61397716499999999</v>
          </cell>
          <cell r="M921">
            <v>0.141657383</v>
          </cell>
          <cell r="U921" t="str">
            <v>2008KY</v>
          </cell>
          <cell r="V921">
            <v>4.9184704000000003E-2</v>
          </cell>
          <cell r="W921">
            <v>3.7321891000000003E-2</v>
          </cell>
          <cell r="X921">
            <v>0.11991215400000001</v>
          </cell>
          <cell r="Y921">
            <v>0.45018075899999999</v>
          </cell>
          <cell r="Z921">
            <v>0.34340049099999997</v>
          </cell>
          <cell r="AB921" t="str">
            <v>2008KY</v>
          </cell>
          <cell r="AC921">
            <v>0</v>
          </cell>
          <cell r="AD921">
            <v>0</v>
          </cell>
          <cell r="AE921">
            <v>0.05</v>
          </cell>
          <cell r="AF921">
            <v>0.95</v>
          </cell>
        </row>
        <row r="922">
          <cell r="B922" t="str">
            <v>2008LA</v>
          </cell>
          <cell r="C922">
            <v>8.7696493950327165E-2</v>
          </cell>
          <cell r="D922">
            <v>6.4637521135916851E-2</v>
          </cell>
          <cell r="E922">
            <v>0.14461730665558523</v>
          </cell>
          <cell r="F922">
            <v>0.10160244529023774</v>
          </cell>
          <cell r="G922">
            <v>0.59641803499629376</v>
          </cell>
          <cell r="H922">
            <v>5.0281979716392446E-3</v>
          </cell>
          <cell r="J922" t="str">
            <v>2008LA</v>
          </cell>
          <cell r="K922">
            <v>0.25896465800000001</v>
          </cell>
          <cell r="L922">
            <v>0.59641803500000001</v>
          </cell>
          <cell r="M922">
            <v>0.144617307</v>
          </cell>
          <cell r="U922" t="str">
            <v>2008LA</v>
          </cell>
          <cell r="V922">
            <v>0.53551704700000002</v>
          </cell>
          <cell r="W922">
            <v>2.0437250000000001E-2</v>
          </cell>
          <cell r="X922">
            <v>0.12819729499999999</v>
          </cell>
          <cell r="Y922">
            <v>9.8005903000000005E-2</v>
          </cell>
          <cell r="Z922">
            <v>0.21784250499999999</v>
          </cell>
          <cell r="AB922" t="str">
            <v>2008LA</v>
          </cell>
          <cell r="AC922">
            <v>0</v>
          </cell>
          <cell r="AD922">
            <v>0</v>
          </cell>
          <cell r="AE922">
            <v>0.6</v>
          </cell>
          <cell r="AF922">
            <v>0.4</v>
          </cell>
        </row>
        <row r="923">
          <cell r="B923" t="str">
            <v>2008ME</v>
          </cell>
          <cell r="C923">
            <v>9.3713015315557757E-2</v>
          </cell>
          <cell r="D923">
            <v>0.17210096338216258</v>
          </cell>
          <cell r="E923">
            <v>0.44837154081607639</v>
          </cell>
          <cell r="F923">
            <v>0.19633313267932656</v>
          </cell>
          <cell r="G923">
            <v>7.0076626899074845E-2</v>
          </cell>
          <cell r="H923">
            <v>1.9404720907801824E-2</v>
          </cell>
          <cell r="J923" t="str">
            <v>2008ME</v>
          </cell>
          <cell r="K923">
            <v>0.48155183200000007</v>
          </cell>
          <cell r="L923">
            <v>7.0076627000000002E-2</v>
          </cell>
          <cell r="M923">
            <v>0.44837154099999998</v>
          </cell>
          <cell r="U923" t="str">
            <v>2008ME</v>
          </cell>
          <cell r="V923">
            <v>0.72920202000000001</v>
          </cell>
          <cell r="W923">
            <v>1.1915111000000001E-2</v>
          </cell>
          <cell r="X923">
            <v>7.4740241999999998E-2</v>
          </cell>
          <cell r="Y923">
            <v>5.7138373999999999E-2</v>
          </cell>
          <cell r="Z923">
            <v>0.12700425300000001</v>
          </cell>
          <cell r="AB923" t="str">
            <v>2008ME</v>
          </cell>
          <cell r="AC923">
            <v>0</v>
          </cell>
          <cell r="AD923">
            <v>0</v>
          </cell>
          <cell r="AE923">
            <v>0.05</v>
          </cell>
          <cell r="AF923">
            <v>0.95</v>
          </cell>
        </row>
        <row r="924">
          <cell r="B924" t="str">
            <v>2008MD</v>
          </cell>
          <cell r="C924">
            <v>7.6488535055593554E-2</v>
          </cell>
          <cell r="D924">
            <v>0.15472472257238745</v>
          </cell>
          <cell r="E924">
            <v>0.44380834258126728</v>
          </cell>
          <cell r="F924">
            <v>0.22861605738914034</v>
          </cell>
          <cell r="G924">
            <v>6.5960402236453913E-2</v>
          </cell>
          <cell r="H924">
            <v>3.0401940165157418E-2</v>
          </cell>
          <cell r="J924" t="str">
            <v>2008MD</v>
          </cell>
          <cell r="K924">
            <v>0.49023125499999998</v>
          </cell>
          <cell r="L924">
            <v>6.5960402000000001E-2</v>
          </cell>
          <cell r="M924">
            <v>0.44380834299999999</v>
          </cell>
          <cell r="U924" t="str">
            <v>2008MD</v>
          </cell>
          <cell r="V924">
            <v>0.21140679400000001</v>
          </cell>
          <cell r="W924">
            <v>3.7602905999999998E-2</v>
          </cell>
          <cell r="X924">
            <v>0.214504853</v>
          </cell>
          <cell r="Y924">
            <v>0.15671048400000001</v>
          </cell>
          <cell r="Z924">
            <v>0.37977496300000002</v>
          </cell>
          <cell r="AB924" t="str">
            <v>2008MD</v>
          </cell>
          <cell r="AC924">
            <v>0</v>
          </cell>
          <cell r="AD924">
            <v>0</v>
          </cell>
          <cell r="AE924">
            <v>0.05</v>
          </cell>
          <cell r="AF924">
            <v>0.95</v>
          </cell>
        </row>
        <row r="925">
          <cell r="B925" t="str">
            <v>2008MA</v>
          </cell>
          <cell r="C925">
            <v>6.1305440163427552E-2</v>
          </cell>
          <cell r="D925">
            <v>0.14874705508142777</v>
          </cell>
          <cell r="E925">
            <v>0.45216403673004657</v>
          </cell>
          <cell r="F925">
            <v>0.23617268276189021</v>
          </cell>
          <cell r="G925">
            <v>7.3497640935872632E-2</v>
          </cell>
          <cell r="H925">
            <v>2.8113144327335336E-2</v>
          </cell>
          <cell r="J925" t="str">
            <v>2008MA</v>
          </cell>
          <cell r="K925">
            <v>0.47433832199999992</v>
          </cell>
          <cell r="L925">
            <v>7.3497641000000002E-2</v>
          </cell>
          <cell r="M925">
            <v>0.45216403700000002</v>
          </cell>
          <cell r="U925" t="str">
            <v>2008MA</v>
          </cell>
          <cell r="V925">
            <v>0.31419575799999999</v>
          </cell>
          <cell r="W925">
            <v>3.0175387000000001E-2</v>
          </cell>
          <cell r="X925">
            <v>0.18928197099999999</v>
          </cell>
          <cell r="Y925">
            <v>0.14470469499999999</v>
          </cell>
          <cell r="Z925">
            <v>0.32164218900000002</v>
          </cell>
          <cell r="AB925" t="str">
            <v>2008MA</v>
          </cell>
          <cell r="AC925">
            <v>0</v>
          </cell>
          <cell r="AD925">
            <v>0</v>
          </cell>
          <cell r="AE925">
            <v>0.05</v>
          </cell>
          <cell r="AF925">
            <v>0.95</v>
          </cell>
        </row>
        <row r="926">
          <cell r="B926" t="str">
            <v>2008MI</v>
          </cell>
          <cell r="C926">
            <v>0.21592740095911189</v>
          </cell>
          <cell r="D926">
            <v>0.33044604004991018</v>
          </cell>
          <cell r="E926">
            <v>5.8998863632555826E-2</v>
          </cell>
          <cell r="F926">
            <v>0.32074430847532459</v>
          </cell>
          <cell r="G926">
            <v>3.4929675483950956E-2</v>
          </cell>
          <cell r="H926">
            <v>3.8953711399146676E-2</v>
          </cell>
          <cell r="J926" t="str">
            <v>2008MI</v>
          </cell>
          <cell r="K926">
            <v>0.90607146100000002</v>
          </cell>
          <cell r="L926">
            <v>3.4929675E-2</v>
          </cell>
          <cell r="M926">
            <v>5.8998863999999998E-2</v>
          </cell>
          <cell r="U926" t="str">
            <v>2008MI</v>
          </cell>
          <cell r="V926">
            <v>4.5127237000000001E-2</v>
          </cell>
          <cell r="W926">
            <v>5.0500046999999999E-2</v>
          </cell>
          <cell r="X926">
            <v>0.254352099</v>
          </cell>
          <cell r="Y926">
            <v>0.17319266699999999</v>
          </cell>
          <cell r="Z926">
            <v>0.47682794899999997</v>
          </cell>
          <cell r="AB926" t="str">
            <v>2008MI</v>
          </cell>
          <cell r="AC926">
            <v>0</v>
          </cell>
          <cell r="AD926">
            <v>0</v>
          </cell>
          <cell r="AE926">
            <v>0.02</v>
          </cell>
          <cell r="AF926">
            <v>0.98</v>
          </cell>
        </row>
        <row r="927">
          <cell r="B927" t="str">
            <v>2008MN</v>
          </cell>
          <cell r="C927">
            <v>0.11559741536790068</v>
          </cell>
          <cell r="D927">
            <v>0.23915415867765383</v>
          </cell>
          <cell r="E927">
            <v>0.10052931481156221</v>
          </cell>
          <cell r="F927">
            <v>0.43822851849088174</v>
          </cell>
          <cell r="G927">
            <v>5.9517355535203494E-2</v>
          </cell>
          <cell r="H927">
            <v>4.697323711679801E-2</v>
          </cell>
          <cell r="J927" t="str">
            <v>2008MN</v>
          </cell>
          <cell r="K927">
            <v>0.83995332899999997</v>
          </cell>
          <cell r="L927">
            <v>5.9517356E-2</v>
          </cell>
          <cell r="M927">
            <v>0.10052931499999999</v>
          </cell>
          <cell r="U927" t="str">
            <v>2008MN</v>
          </cell>
          <cell r="V927">
            <v>1.5145339000000001E-2</v>
          </cell>
          <cell r="W927">
            <v>5.1986831999999997E-2</v>
          </cell>
          <cell r="X927">
            <v>0.262445557</v>
          </cell>
          <cell r="Y927">
            <v>0.17896024199999999</v>
          </cell>
          <cell r="Z927">
            <v>0.49146202900000002</v>
          </cell>
          <cell r="AB927" t="str">
            <v>2008MN</v>
          </cell>
          <cell r="AC927">
            <v>0</v>
          </cell>
          <cell r="AD927">
            <v>0</v>
          </cell>
          <cell r="AE927">
            <v>0</v>
          </cell>
          <cell r="AF927">
            <v>1</v>
          </cell>
        </row>
        <row r="928">
          <cell r="B928" t="str">
            <v>2008MS</v>
          </cell>
          <cell r="C928">
            <v>0.10416334210611014</v>
          </cell>
          <cell r="D928">
            <v>7.2829933678422776E-2</v>
          </cell>
          <cell r="E928">
            <v>0.14929269604113307</v>
          </cell>
          <cell r="F928">
            <v>0.10019278631941281</v>
          </cell>
          <cell r="G928">
            <v>0.56868226150598644</v>
          </cell>
          <cell r="H928">
            <v>4.838980348934833E-3</v>
          </cell>
          <cell r="J928" t="str">
            <v>2008MS</v>
          </cell>
          <cell r="K928">
            <v>0.28202504199999989</v>
          </cell>
          <cell r="L928">
            <v>0.56868226200000005</v>
          </cell>
          <cell r="M928">
            <v>0.149292696</v>
          </cell>
          <cell r="U928" t="str">
            <v>2008MS</v>
          </cell>
          <cell r="V928">
            <v>2.1100625000000001E-2</v>
          </cell>
          <cell r="W928">
            <v>3.6418512E-2</v>
          </cell>
          <cell r="X928">
            <v>6.0129593000000002E-2</v>
          </cell>
          <cell r="Y928">
            <v>0.574366987</v>
          </cell>
          <cell r="Z928">
            <v>0.30798428300000003</v>
          </cell>
          <cell r="AB928" t="str">
            <v>2008MS</v>
          </cell>
          <cell r="AC928">
            <v>0</v>
          </cell>
          <cell r="AD928">
            <v>0</v>
          </cell>
          <cell r="AE928">
            <v>0.6</v>
          </cell>
          <cell r="AF928">
            <v>0.4</v>
          </cell>
        </row>
        <row r="929">
          <cell r="B929" t="str">
            <v>2008MO</v>
          </cell>
          <cell r="C929">
            <v>6.4925479522277466E-2</v>
          </cell>
          <cell r="D929">
            <v>0.18170303563698134</v>
          </cell>
          <cell r="E929">
            <v>0.14337282997597614</v>
          </cell>
          <cell r="F929">
            <v>0.47880340852502545</v>
          </cell>
          <cell r="G929">
            <v>8.4882421727070459E-2</v>
          </cell>
          <cell r="H929">
            <v>4.6312824612669105E-2</v>
          </cell>
          <cell r="J929" t="str">
            <v>2008MO</v>
          </cell>
          <cell r="K929">
            <v>0.77174474799999992</v>
          </cell>
          <cell r="L929">
            <v>8.4882421999999999E-2</v>
          </cell>
          <cell r="M929">
            <v>0.14337283000000001</v>
          </cell>
          <cell r="U929" t="str">
            <v>2008MO</v>
          </cell>
          <cell r="V929">
            <v>2.998994E-2</v>
          </cell>
          <cell r="W929">
            <v>4.5757142000000001E-2</v>
          </cell>
          <cell r="X929">
            <v>0.27926039899999999</v>
          </cell>
          <cell r="Y929">
            <v>0.13775391300000001</v>
          </cell>
          <cell r="Z929">
            <v>0.50723860600000004</v>
          </cell>
          <cell r="AB929" t="str">
            <v>2008MO</v>
          </cell>
          <cell r="AC929">
            <v>0</v>
          </cell>
          <cell r="AD929">
            <v>0</v>
          </cell>
          <cell r="AE929">
            <v>0</v>
          </cell>
          <cell r="AF929">
            <v>1</v>
          </cell>
        </row>
        <row r="930">
          <cell r="B930" t="str">
            <v>2008MT</v>
          </cell>
          <cell r="C930">
            <v>0.35597781750083307</v>
          </cell>
          <cell r="D930">
            <v>0.25924389885240834</v>
          </cell>
          <cell r="E930">
            <v>4.3797789125912777E-2</v>
          </cell>
          <cell r="F930">
            <v>0.25058080537727367</v>
          </cell>
          <cell r="G930">
            <v>2.5930034358127463E-2</v>
          </cell>
          <cell r="H930">
            <v>6.4469654785444572E-2</v>
          </cell>
          <cell r="J930" t="str">
            <v>2008MT</v>
          </cell>
          <cell r="K930">
            <v>0.93027217699999998</v>
          </cell>
          <cell r="L930">
            <v>2.5930034000000001E-2</v>
          </cell>
          <cell r="M930">
            <v>4.3797788999999997E-2</v>
          </cell>
          <cell r="U930" t="str">
            <v>2008MT</v>
          </cell>
          <cell r="V930">
            <v>6.0520032000000001E-2</v>
          </cell>
          <cell r="W930">
            <v>5.1214043000000001E-2</v>
          </cell>
          <cell r="X930">
            <v>0.24859647000000001</v>
          </cell>
          <cell r="Y930">
            <v>0.16530719099999999</v>
          </cell>
          <cell r="Z930">
            <v>0.47436226399999998</v>
          </cell>
          <cell r="AB930" t="str">
            <v>2008MT</v>
          </cell>
          <cell r="AC930">
            <v>0</v>
          </cell>
          <cell r="AD930">
            <v>0</v>
          </cell>
          <cell r="AE930">
            <v>0.6</v>
          </cell>
          <cell r="AF930">
            <v>0.4</v>
          </cell>
        </row>
        <row r="931">
          <cell r="B931" t="str">
            <v>2008NE</v>
          </cell>
          <cell r="C931">
            <v>0.21260954807532403</v>
          </cell>
          <cell r="D931">
            <v>0.30324255962083846</v>
          </cell>
          <cell r="E931">
            <v>6.1277054134417128E-2</v>
          </cell>
          <cell r="F931">
            <v>0.34696077142199511</v>
          </cell>
          <cell r="G931">
            <v>3.6278454935301678E-2</v>
          </cell>
          <cell r="H931">
            <v>3.9631611812123581E-2</v>
          </cell>
          <cell r="J931" t="str">
            <v>2008NE</v>
          </cell>
          <cell r="K931">
            <v>0.90244449100000002</v>
          </cell>
          <cell r="L931">
            <v>3.6278455000000001E-2</v>
          </cell>
          <cell r="M931">
            <v>6.1277053999999997E-2</v>
          </cell>
          <cell r="U931" t="str">
            <v>2008NE</v>
          </cell>
          <cell r="V931">
            <v>3.0063880000000001E-2</v>
          </cell>
          <cell r="W931">
            <v>4.5295173000000001E-2</v>
          </cell>
          <cell r="X931">
            <v>0.27751980599999998</v>
          </cell>
          <cell r="Y931">
            <v>0.147715386</v>
          </cell>
          <cell r="Z931">
            <v>0.49940575500000001</v>
          </cell>
          <cell r="AB931" t="str">
            <v>2008NE</v>
          </cell>
          <cell r="AC931">
            <v>0</v>
          </cell>
          <cell r="AD931">
            <v>0</v>
          </cell>
          <cell r="AE931">
            <v>0.02</v>
          </cell>
          <cell r="AF931">
            <v>0.98</v>
          </cell>
        </row>
        <row r="932">
          <cell r="B932" t="str">
            <v>2008NV</v>
          </cell>
          <cell r="C932">
            <v>0.64210148526116029</v>
          </cell>
          <cell r="D932">
            <v>0.238399883587257</v>
          </cell>
          <cell r="E932">
            <v>4.1594375177217181E-3</v>
          </cell>
          <cell r="F932">
            <v>0.10819864870890922</v>
          </cell>
          <cell r="G932">
            <v>2.4625525602432058E-3</v>
          </cell>
          <cell r="H932">
            <v>4.677992364708553E-3</v>
          </cell>
          <cell r="J932" t="str">
            <v>2008NV</v>
          </cell>
          <cell r="K932">
            <v>0.99337800899999995</v>
          </cell>
          <cell r="L932">
            <v>2.4625530000000001E-3</v>
          </cell>
          <cell r="M932">
            <v>4.1594379999999997E-3</v>
          </cell>
          <cell r="U932" t="str">
            <v>2008NV</v>
          </cell>
          <cell r="V932">
            <v>0.35004114600000003</v>
          </cell>
          <cell r="W932">
            <v>2.4048478000000002E-2</v>
          </cell>
          <cell r="X932">
            <v>3.5747737000000002E-2</v>
          </cell>
          <cell r="Y932">
            <v>0.38867539400000001</v>
          </cell>
          <cell r="Z932">
            <v>0.20148724500000001</v>
          </cell>
          <cell r="AB932" t="str">
            <v>2008NV</v>
          </cell>
          <cell r="AC932">
            <v>0</v>
          </cell>
          <cell r="AD932">
            <v>0</v>
          </cell>
          <cell r="AE932">
            <v>0</v>
          </cell>
          <cell r="AF932">
            <v>1</v>
          </cell>
        </row>
        <row r="933">
          <cell r="B933" t="str">
            <v>2008NH</v>
          </cell>
          <cell r="C933">
            <v>9.4573445198850817E-2</v>
          </cell>
          <cell r="D933">
            <v>0.16340842518862655</v>
          </cell>
          <cell r="E933">
            <v>0.44298025846087286</v>
          </cell>
          <cell r="F933">
            <v>0.20852129702854144</v>
          </cell>
          <cell r="G933">
            <v>6.52134304627775E-2</v>
          </cell>
          <cell r="H933">
            <v>2.5303143660330828E-2</v>
          </cell>
          <cell r="J933" t="str">
            <v>2008NH</v>
          </cell>
          <cell r="K933">
            <v>0.49180631200000002</v>
          </cell>
          <cell r="L933">
            <v>6.5213430000000003E-2</v>
          </cell>
          <cell r="M933">
            <v>0.44298025800000002</v>
          </cell>
          <cell r="U933" t="str">
            <v>2008NH</v>
          </cell>
          <cell r="V933">
            <v>0.56759962799999997</v>
          </cell>
          <cell r="W933">
            <v>1.9025615999999999E-2</v>
          </cell>
          <cell r="X933">
            <v>0.119342503</v>
          </cell>
          <cell r="Y933">
            <v>9.1236478999999995E-2</v>
          </cell>
          <cell r="Z933">
            <v>0.20279577500000001</v>
          </cell>
          <cell r="AB933" t="str">
            <v>2008NH</v>
          </cell>
          <cell r="AC933">
            <v>0</v>
          </cell>
          <cell r="AD933">
            <v>0</v>
          </cell>
          <cell r="AE933">
            <v>0.05</v>
          </cell>
          <cell r="AF933">
            <v>0.95</v>
          </cell>
        </row>
        <row r="934">
          <cell r="B934" t="str">
            <v>2008NJ</v>
          </cell>
          <cell r="C934">
            <v>5.8003576611346738E-2</v>
          </cell>
          <cell r="D934">
            <v>0.13897871355240557</v>
          </cell>
          <cell r="E934">
            <v>0.45397029129837874</v>
          </cell>
          <cell r="F934">
            <v>0.24471653627570109</v>
          </cell>
          <cell r="G934">
            <v>7.5126969581826603E-2</v>
          </cell>
          <cell r="H934">
            <v>2.9203912680341212E-2</v>
          </cell>
          <cell r="J934" t="str">
            <v>2008NJ</v>
          </cell>
          <cell r="K934">
            <v>0.47090273900000001</v>
          </cell>
          <cell r="L934">
            <v>7.5126970000000001E-2</v>
          </cell>
          <cell r="M934">
            <v>0.45397029100000003</v>
          </cell>
          <cell r="U934" t="str">
            <v>2008NJ</v>
          </cell>
          <cell r="V934">
            <v>0.30808167400000003</v>
          </cell>
          <cell r="W934">
            <v>3.3011736E-2</v>
          </cell>
          <cell r="X934">
            <v>0.18818818500000001</v>
          </cell>
          <cell r="Y934">
            <v>0.137437002</v>
          </cell>
          <cell r="Z934">
            <v>0.333281404</v>
          </cell>
          <cell r="AB934" t="str">
            <v>2008NJ</v>
          </cell>
          <cell r="AC934">
            <v>0</v>
          </cell>
          <cell r="AD934">
            <v>0</v>
          </cell>
          <cell r="AE934">
            <v>0.05</v>
          </cell>
          <cell r="AF934">
            <v>0.95</v>
          </cell>
        </row>
        <row r="935">
          <cell r="B935" t="str">
            <v>2008NM</v>
          </cell>
          <cell r="C935">
            <v>0.61184589317007076</v>
          </cell>
          <cell r="D935">
            <v>0.19452029294367307</v>
          </cell>
          <cell r="E935">
            <v>9.8952813124742175E-2</v>
          </cell>
          <cell r="F935">
            <v>9.4174237847419268E-2</v>
          </cell>
          <cell r="G935">
            <v>0</v>
          </cell>
          <cell r="H935">
            <v>5.0676291409465751E-4</v>
          </cell>
          <cell r="J935" t="str">
            <v>2008NM</v>
          </cell>
          <cell r="K935">
            <v>0.90104718699999997</v>
          </cell>
          <cell r="L935">
            <v>0</v>
          </cell>
          <cell r="M935">
            <v>9.8952813000000001E-2</v>
          </cell>
          <cell r="U935" t="str">
            <v>2008NM</v>
          </cell>
          <cell r="V935">
            <v>0.91655606099999998</v>
          </cell>
          <cell r="W935">
            <v>3.6715329999999998E-3</v>
          </cell>
          <cell r="X935">
            <v>2.3030526999999999E-2</v>
          </cell>
          <cell r="Y935">
            <v>1.7606671000000001E-2</v>
          </cell>
          <cell r="Z935">
            <v>3.9135206999999998E-2</v>
          </cell>
          <cell r="AB935" t="str">
            <v>2008NM</v>
          </cell>
          <cell r="AC935">
            <v>0</v>
          </cell>
          <cell r="AD935">
            <v>0</v>
          </cell>
          <cell r="AE935">
            <v>0.6</v>
          </cell>
          <cell r="AF935">
            <v>0.4</v>
          </cell>
        </row>
        <row r="936">
          <cell r="B936" t="str">
            <v>2008NY</v>
          </cell>
          <cell r="C936">
            <v>9.8408703041683282E-2</v>
          </cell>
          <cell r="D936">
            <v>0.15954377256245178</v>
          </cell>
          <cell r="E936">
            <v>0.44849165243165579</v>
          </cell>
          <cell r="F936">
            <v>0.20287733376538455</v>
          </cell>
          <cell r="G936">
            <v>7.0184973363303343E-2</v>
          </cell>
          <cell r="H936">
            <v>2.0493564835521279E-2</v>
          </cell>
          <cell r="J936" t="str">
            <v>2008NY</v>
          </cell>
          <cell r="K936">
            <v>0.481323375</v>
          </cell>
          <cell r="L936">
            <v>7.0184972999999998E-2</v>
          </cell>
          <cell r="M936">
            <v>0.44849165200000002</v>
          </cell>
          <cell r="U936" t="str">
            <v>2008NY</v>
          </cell>
          <cell r="V936">
            <v>0.20441514899999999</v>
          </cell>
          <cell r="W936">
            <v>4.1815811000000001E-2</v>
          </cell>
          <cell r="X936">
            <v>0.21220383400000001</v>
          </cell>
          <cell r="Y936">
            <v>0.145168144</v>
          </cell>
          <cell r="Z936">
            <v>0.396397061</v>
          </cell>
          <cell r="AB936" t="str">
            <v>2008NY</v>
          </cell>
          <cell r="AC936">
            <v>0</v>
          </cell>
          <cell r="AD936">
            <v>0</v>
          </cell>
          <cell r="AE936">
            <v>0.05</v>
          </cell>
          <cell r="AF936">
            <v>0.95</v>
          </cell>
        </row>
        <row r="937">
          <cell r="B937" t="str">
            <v>2008NC</v>
          </cell>
          <cell r="C937">
            <v>6.168821577504751E-2</v>
          </cell>
          <cell r="D937">
            <v>0.11278426418396881</v>
          </cell>
          <cell r="E937">
            <v>0.15395779991170949</v>
          </cell>
          <cell r="F937">
            <v>0.11589101949636353</v>
          </cell>
          <cell r="G937">
            <v>0.54100750469043157</v>
          </cell>
          <cell r="H937">
            <v>1.4671195942479084E-2</v>
          </cell>
          <cell r="J937" t="str">
            <v>2008NC</v>
          </cell>
          <cell r="K937">
            <v>0.30503469499999991</v>
          </cell>
          <cell r="L937">
            <v>0.54100750500000006</v>
          </cell>
          <cell r="M937">
            <v>0.15395780000000001</v>
          </cell>
          <cell r="U937" t="str">
            <v>2008NC</v>
          </cell>
          <cell r="V937">
            <v>2.4742549999999999E-3</v>
          </cell>
          <cell r="W937">
            <v>3.7123251000000003E-2</v>
          </cell>
          <cell r="X937">
            <v>6.1645423999999997E-2</v>
          </cell>
          <cell r="Y937">
            <v>0.58464508599999998</v>
          </cell>
          <cell r="Z937">
            <v>0.31411198400000001</v>
          </cell>
          <cell r="AB937" t="str">
            <v>2008NC</v>
          </cell>
          <cell r="AC937">
            <v>0</v>
          </cell>
          <cell r="AD937">
            <v>0</v>
          </cell>
          <cell r="AE937">
            <v>0.41899999999999998</v>
          </cell>
          <cell r="AF937">
            <v>0.58099999999999996</v>
          </cell>
        </row>
        <row r="938">
          <cell r="B938" t="str">
            <v>2008ND</v>
          </cell>
          <cell r="C938">
            <v>0.1196932700797023</v>
          </cell>
          <cell r="D938">
            <v>0.21866711268457967</v>
          </cell>
          <cell r="E938">
            <v>0.10978970169096619</v>
          </cell>
          <cell r="F938">
            <v>0.448028418369537</v>
          </cell>
          <cell r="G938">
            <v>6.499987314042277E-2</v>
          </cell>
          <cell r="H938">
            <v>3.8821624034792085E-2</v>
          </cell>
          <cell r="J938" t="str">
            <v>2008ND</v>
          </cell>
          <cell r="K938">
            <v>0.82521042499999997</v>
          </cell>
          <cell r="L938">
            <v>6.4999873E-2</v>
          </cell>
          <cell r="M938">
            <v>0.109789702</v>
          </cell>
          <cell r="U938" t="str">
            <v>2008ND</v>
          </cell>
          <cell r="V938">
            <v>8.8434773999999994E-2</v>
          </cell>
          <cell r="W938">
            <v>4.7868137999999998E-2</v>
          </cell>
          <cell r="X938">
            <v>0.243186129</v>
          </cell>
          <cell r="Y938">
            <v>0.16647603599999999</v>
          </cell>
          <cell r="Z938">
            <v>0.45403492299999998</v>
          </cell>
          <cell r="AB938" t="str">
            <v>2008ND</v>
          </cell>
          <cell r="AC938">
            <v>0</v>
          </cell>
          <cell r="AD938">
            <v>0</v>
          </cell>
          <cell r="AE938">
            <v>0.02</v>
          </cell>
          <cell r="AF938">
            <v>0.98</v>
          </cell>
        </row>
        <row r="939">
          <cell r="B939" t="str">
            <v>2008OH</v>
          </cell>
          <cell r="C939">
            <v>0.10753833947858983</v>
          </cell>
          <cell r="D939">
            <v>0.22522557822049544</v>
          </cell>
          <cell r="E939">
            <v>0.13589110116557596</v>
          </cell>
          <cell r="F939">
            <v>0.4097570212201273</v>
          </cell>
          <cell r="G939">
            <v>8.0452940491062386E-2</v>
          </cell>
          <cell r="H939">
            <v>4.1135019424149183E-2</v>
          </cell>
          <cell r="J939" t="str">
            <v>2008OH</v>
          </cell>
          <cell r="K939">
            <v>0.78365595900000007</v>
          </cell>
          <cell r="L939">
            <v>8.0452940000000001E-2</v>
          </cell>
          <cell r="M939">
            <v>0.13589110099999999</v>
          </cell>
          <cell r="U939" t="str">
            <v>2008OH</v>
          </cell>
          <cell r="V939">
            <v>6.6338901000000006E-2</v>
          </cell>
          <cell r="W939">
            <v>4.3119113000000001E-2</v>
          </cell>
          <cell r="X939">
            <v>0.26533305600000001</v>
          </cell>
          <cell r="Y939">
            <v>0.15267545299999999</v>
          </cell>
          <cell r="Z939">
            <v>0.47253347699999998</v>
          </cell>
          <cell r="AB939" t="str">
            <v>2008OH</v>
          </cell>
          <cell r="AC939">
            <v>0</v>
          </cell>
          <cell r="AD939">
            <v>0</v>
          </cell>
          <cell r="AE939">
            <v>0</v>
          </cell>
          <cell r="AF939">
            <v>1</v>
          </cell>
        </row>
        <row r="940">
          <cell r="B940" t="str">
            <v>2008OK</v>
          </cell>
          <cell r="C940">
            <v>0.40296958934788546</v>
          </cell>
          <cell r="D940">
            <v>0.22528492954061258</v>
          </cell>
          <cell r="E940">
            <v>6.4896255940651446E-2</v>
          </cell>
          <cell r="F940">
            <v>0.24738177570149189</v>
          </cell>
          <cell r="G940">
            <v>0</v>
          </cell>
          <cell r="H940">
            <v>5.9467449469358676E-2</v>
          </cell>
          <cell r="J940" t="str">
            <v>2008OK</v>
          </cell>
          <cell r="K940">
            <v>0.93510374399999996</v>
          </cell>
          <cell r="L940">
            <v>0</v>
          </cell>
          <cell r="M940">
            <v>6.4896255999999999E-2</v>
          </cell>
          <cell r="U940" t="str">
            <v>2008OK</v>
          </cell>
          <cell r="V940">
            <v>1.2831308E-2</v>
          </cell>
          <cell r="W940">
            <v>3.6793041999999998E-2</v>
          </cell>
          <cell r="X940">
            <v>6.2749109999999997E-2</v>
          </cell>
          <cell r="Y940">
            <v>0.57552135800000004</v>
          </cell>
          <cell r="Z940">
            <v>0.31210518199999998</v>
          </cell>
          <cell r="AB940" t="str">
            <v>2008OK</v>
          </cell>
          <cell r="AC940">
            <v>0</v>
          </cell>
          <cell r="AD940">
            <v>0</v>
          </cell>
          <cell r="AE940">
            <v>0.6</v>
          </cell>
          <cell r="AF940">
            <v>0.4</v>
          </cell>
        </row>
        <row r="941">
          <cell r="B941" t="str">
            <v>2008OR</v>
          </cell>
          <cell r="C941">
            <v>0.43856747008812064</v>
          </cell>
          <cell r="D941">
            <v>0.20958259090942544</v>
          </cell>
          <cell r="E941">
            <v>0</v>
          </cell>
          <cell r="F941">
            <v>0.12862948158709187</v>
          </cell>
          <cell r="G941">
            <v>0.2018533708975031</v>
          </cell>
          <cell r="H941">
            <v>2.1367086517858933E-2</v>
          </cell>
          <cell r="J941" t="str">
            <v>2008OR</v>
          </cell>
          <cell r="K941">
            <v>0.798146629</v>
          </cell>
          <cell r="L941">
            <v>0.201853371</v>
          </cell>
          <cell r="M941">
            <v>0</v>
          </cell>
          <cell r="U941" t="str">
            <v>2008OR</v>
          </cell>
          <cell r="V941">
            <v>0.57640796000000005</v>
          </cell>
          <cell r="W941">
            <v>1.863805E-2</v>
          </cell>
          <cell r="X941">
            <v>0.116911403</v>
          </cell>
          <cell r="Y941">
            <v>8.937792E-2</v>
          </cell>
          <cell r="Z941">
            <v>0.19866466699999999</v>
          </cell>
          <cell r="AB941" t="str">
            <v>2008OR</v>
          </cell>
          <cell r="AC941">
            <v>0</v>
          </cell>
          <cell r="AD941">
            <v>0</v>
          </cell>
          <cell r="AE941">
            <v>0.25</v>
          </cell>
          <cell r="AF941">
            <v>0.75</v>
          </cell>
        </row>
        <row r="942">
          <cell r="B942" t="str">
            <v>2008PA</v>
          </cell>
          <cell r="C942">
            <v>4.9624045569858895E-2</v>
          </cell>
          <cell r="D942">
            <v>0.11712497857538914</v>
          </cell>
          <cell r="E942">
            <v>0.46874549019831585</v>
          </cell>
          <cell r="F942">
            <v>0.25230966018477574</v>
          </cell>
          <cell r="G942">
            <v>8.8454910858433447E-2</v>
          </cell>
          <cell r="H942">
            <v>2.3740914613226898E-2</v>
          </cell>
          <cell r="J942" t="str">
            <v>2008PA</v>
          </cell>
          <cell r="K942">
            <v>0.44279959899999999</v>
          </cell>
          <cell r="L942">
            <v>8.8454910999999997E-2</v>
          </cell>
          <cell r="M942">
            <v>0.46874548999999999</v>
          </cell>
          <cell r="U942" t="str">
            <v>2008PA</v>
          </cell>
          <cell r="V942">
            <v>5.0102499000000002E-2</v>
          </cell>
          <cell r="W942">
            <v>4.9409870000000002E-2</v>
          </cell>
          <cell r="X942">
            <v>0.25392279899999998</v>
          </cell>
          <cell r="Y942">
            <v>0.17504710600000001</v>
          </cell>
          <cell r="Z942">
            <v>0.47151772600000003</v>
          </cell>
          <cell r="AB942" t="str">
            <v>2008PA</v>
          </cell>
          <cell r="AC942">
            <v>0</v>
          </cell>
          <cell r="AD942">
            <v>0</v>
          </cell>
          <cell r="AE942">
            <v>0</v>
          </cell>
          <cell r="AF942">
            <v>1</v>
          </cell>
        </row>
        <row r="943">
          <cell r="B943" t="str">
            <v>2008RI</v>
          </cell>
          <cell r="C943">
            <v>4.2447025005926793E-2</v>
          </cell>
          <cell r="D943">
            <v>0.1190174947032642</v>
          </cell>
          <cell r="E943">
            <v>0.46784468707451643</v>
          </cell>
          <cell r="F943">
            <v>0.25730854976835782</v>
          </cell>
          <cell r="G943">
            <v>8.7642343040085183E-2</v>
          </cell>
          <cell r="H943">
            <v>2.5739900407849584E-2</v>
          </cell>
          <cell r="J943" t="str">
            <v>2008RI</v>
          </cell>
          <cell r="K943">
            <v>0.44451297000000001</v>
          </cell>
          <cell r="L943">
            <v>8.7642342999999998E-2</v>
          </cell>
          <cell r="M943">
            <v>0.46784468699999998</v>
          </cell>
          <cell r="U943" t="str">
            <v>2008RI</v>
          </cell>
          <cell r="V943">
            <v>0.56026879500000004</v>
          </cell>
          <cell r="W943">
            <v>1.9348173E-2</v>
          </cell>
          <cell r="X943">
            <v>0.121365813</v>
          </cell>
          <cell r="Y943">
            <v>9.2783283999999994E-2</v>
          </cell>
          <cell r="Z943">
            <v>0.20623393500000001</v>
          </cell>
          <cell r="AB943" t="str">
            <v>2008RI</v>
          </cell>
          <cell r="AC943">
            <v>0</v>
          </cell>
          <cell r="AD943">
            <v>0</v>
          </cell>
          <cell r="AE943">
            <v>0.05</v>
          </cell>
          <cell r="AF943">
            <v>0.95</v>
          </cell>
        </row>
        <row r="944">
          <cell r="B944" t="str">
            <v>2008SC</v>
          </cell>
          <cell r="C944">
            <v>0.13346180610825578</v>
          </cell>
          <cell r="D944">
            <v>9.0019723091430845E-2</v>
          </cell>
          <cell r="E944">
            <v>0.15451296947775242</v>
          </cell>
          <cell r="F944">
            <v>8.0687406490411034E-2</v>
          </cell>
          <cell r="G944">
            <v>0.53771407690020812</v>
          </cell>
          <cell r="H944">
            <v>3.6040179319418398E-3</v>
          </cell>
          <cell r="J944" t="str">
            <v>2008SC</v>
          </cell>
          <cell r="K944">
            <v>0.30777295400000004</v>
          </cell>
          <cell r="L944">
            <v>0.53771407699999996</v>
          </cell>
          <cell r="M944">
            <v>0.154512969</v>
          </cell>
          <cell r="U944" t="str">
            <v>2008SC</v>
          </cell>
          <cell r="V944">
            <v>6.1629585000000001E-2</v>
          </cell>
          <cell r="W944">
            <v>3.5823032999999997E-2</v>
          </cell>
          <cell r="X944">
            <v>8.6443989999999998E-2</v>
          </cell>
          <cell r="Y944">
            <v>0.50014727299999995</v>
          </cell>
          <cell r="Z944">
            <v>0.31595611899999998</v>
          </cell>
          <cell r="AB944" t="str">
            <v>2008SC</v>
          </cell>
          <cell r="AC944">
            <v>0</v>
          </cell>
          <cell r="AD944">
            <v>0</v>
          </cell>
          <cell r="AE944">
            <v>0.6</v>
          </cell>
          <cell r="AF944">
            <v>0.4</v>
          </cell>
        </row>
        <row r="945">
          <cell r="B945" t="str">
            <v>2008SD</v>
          </cell>
          <cell r="C945">
            <v>0.17608951911561277</v>
          </cell>
          <cell r="D945">
            <v>0.277831368160596</v>
          </cell>
          <cell r="E945">
            <v>7.9800561964795444E-2</v>
          </cell>
          <cell r="F945">
            <v>0.37802114842972712</v>
          </cell>
          <cell r="G945">
            <v>4.724510882492864E-2</v>
          </cell>
          <cell r="H945">
            <v>4.1012293504340026E-2</v>
          </cell>
          <cell r="J945" t="str">
            <v>2008SD</v>
          </cell>
          <cell r="K945">
            <v>0.87295432900000003</v>
          </cell>
          <cell r="L945">
            <v>4.7245109E-2</v>
          </cell>
          <cell r="M945">
            <v>7.9800562000000005E-2</v>
          </cell>
          <cell r="U945" t="str">
            <v>2008SD</v>
          </cell>
          <cell r="V945">
            <v>3.3046748000000001E-2</v>
          </cell>
          <cell r="W945">
            <v>5.1157264000000001E-2</v>
          </cell>
          <cell r="X945">
            <v>0.25755016600000002</v>
          </cell>
          <cell r="Y945">
            <v>0.17532273200000001</v>
          </cell>
          <cell r="Z945">
            <v>0.48292308900000003</v>
          </cell>
          <cell r="AB945" t="str">
            <v>2008SD</v>
          </cell>
          <cell r="AC945">
            <v>0</v>
          </cell>
          <cell r="AD945">
            <v>0</v>
          </cell>
          <cell r="AE945">
            <v>0.02</v>
          </cell>
          <cell r="AF945">
            <v>0.98</v>
          </cell>
        </row>
        <row r="946">
          <cell r="B946" t="str">
            <v>2008TN</v>
          </cell>
          <cell r="C946">
            <v>4.0519949592449485E-2</v>
          </cell>
          <cell r="D946">
            <v>8.9664149461423162E-2</v>
          </cell>
          <cell r="E946">
            <v>0.14551684926860037</v>
          </cell>
          <cell r="F946">
            <v>0.1170185785979804</v>
          </cell>
          <cell r="G946">
            <v>0.59108168584929244</v>
          </cell>
          <cell r="H946">
            <v>1.6198787230254148E-2</v>
          </cell>
          <cell r="J946" t="str">
            <v>2008TN</v>
          </cell>
          <cell r="K946">
            <v>0.26340146500000006</v>
          </cell>
          <cell r="L946">
            <v>0.591081686</v>
          </cell>
          <cell r="M946">
            <v>0.145516849</v>
          </cell>
          <cell r="U946" t="str">
            <v>2008TN</v>
          </cell>
          <cell r="V946">
            <v>0.102875089</v>
          </cell>
          <cell r="W946">
            <v>3.5402429999999999E-2</v>
          </cell>
          <cell r="X946">
            <v>0.119077104</v>
          </cell>
          <cell r="Y946">
            <v>0.41436515099999999</v>
          </cell>
          <cell r="Z946">
            <v>0.32828022600000001</v>
          </cell>
          <cell r="AB946" t="str">
            <v>2008TN</v>
          </cell>
          <cell r="AC946">
            <v>0</v>
          </cell>
          <cell r="AD946">
            <v>0</v>
          </cell>
          <cell r="AE946">
            <v>0.05</v>
          </cell>
          <cell r="AF946">
            <v>0.95</v>
          </cell>
        </row>
        <row r="947">
          <cell r="B947" t="str">
            <v>2008TX</v>
          </cell>
          <cell r="C947">
            <v>0.53305655520056971</v>
          </cell>
          <cell r="D947">
            <v>0.24233312613196878</v>
          </cell>
          <cell r="E947">
            <v>7.9791980793249173E-2</v>
          </cell>
          <cell r="F947">
            <v>0.1278405091499755</v>
          </cell>
          <cell r="G947">
            <v>0</v>
          </cell>
          <cell r="H947">
            <v>1.6977828724236681E-2</v>
          </cell>
          <cell r="J947" t="str">
            <v>2008TX</v>
          </cell>
          <cell r="K947">
            <v>0.92020801900000004</v>
          </cell>
          <cell r="L947">
            <v>0</v>
          </cell>
          <cell r="M947">
            <v>7.9791980999999998E-2</v>
          </cell>
          <cell r="U947" t="str">
            <v>2008TX</v>
          </cell>
          <cell r="V947">
            <v>6.9632535999999995E-2</v>
          </cell>
          <cell r="W947">
            <v>3.4700662E-2</v>
          </cell>
          <cell r="X947">
            <v>5.9917572000000002E-2</v>
          </cell>
          <cell r="Y947">
            <v>0.54104196599999999</v>
          </cell>
          <cell r="Z947">
            <v>0.29470726400000002</v>
          </cell>
          <cell r="AB947" t="str">
            <v>2008TX</v>
          </cell>
          <cell r="AC947">
            <v>0</v>
          </cell>
          <cell r="AD947">
            <v>0</v>
          </cell>
          <cell r="AE947">
            <v>0.12</v>
          </cell>
          <cell r="AF947">
            <v>0.88</v>
          </cell>
        </row>
        <row r="948">
          <cell r="B948" t="str">
            <v>2008UT</v>
          </cell>
          <cell r="C948">
            <v>0.51165623152884221</v>
          </cell>
          <cell r="D948">
            <v>0.26394677259150623</v>
          </cell>
          <cell r="E948">
            <v>1.3999177703951423E-2</v>
          </cell>
          <cell r="F948">
            <v>0.17036034814732054</v>
          </cell>
          <cell r="G948">
            <v>8.2880703819413898E-3</v>
          </cell>
          <cell r="H948">
            <v>3.1749399646438282E-2</v>
          </cell>
          <cell r="J948" t="str">
            <v>2008UT</v>
          </cell>
          <cell r="K948">
            <v>0.97771275199999996</v>
          </cell>
          <cell r="L948">
            <v>8.2880699999999998E-3</v>
          </cell>
          <cell r="M948">
            <v>1.3999177999999999E-2</v>
          </cell>
          <cell r="U948" t="str">
            <v>2008UT</v>
          </cell>
          <cell r="V948">
            <v>8.6456620000000001E-3</v>
          </cell>
          <cell r="W948">
            <v>5.5424775000000003E-2</v>
          </cell>
          <cell r="X948">
            <v>0.260824848</v>
          </cell>
          <cell r="Y948">
            <v>0.16982515300000001</v>
          </cell>
          <cell r="Z948">
            <v>0.50527956200000002</v>
          </cell>
          <cell r="AB948" t="str">
            <v>2008UT</v>
          </cell>
          <cell r="AC948">
            <v>0</v>
          </cell>
          <cell r="AD948">
            <v>0</v>
          </cell>
          <cell r="AE948">
            <v>0.6</v>
          </cell>
          <cell r="AF948">
            <v>0.4</v>
          </cell>
        </row>
        <row r="949">
          <cell r="B949" t="str">
            <v>2008VT</v>
          </cell>
          <cell r="C949">
            <v>9.9973781354903396E-2</v>
          </cell>
          <cell r="D949">
            <v>0.17387691112967565</v>
          </cell>
          <cell r="E949">
            <v>0.44423932842492886</v>
          </cell>
          <cell r="F949">
            <v>0.19448861844630186</v>
          </cell>
          <cell r="G949">
            <v>6.6349172232328182E-2</v>
          </cell>
          <cell r="H949">
            <v>2.1072188411862088E-2</v>
          </cell>
          <cell r="J949" t="str">
            <v>2008VT</v>
          </cell>
          <cell r="K949">
            <v>0.4894115</v>
          </cell>
          <cell r="L949">
            <v>6.6349171999999998E-2</v>
          </cell>
          <cell r="M949">
            <v>0.44423932799999999</v>
          </cell>
          <cell r="U949" t="str">
            <v>2008VT</v>
          </cell>
          <cell r="V949">
            <v>0.86037974299999997</v>
          </cell>
          <cell r="W949">
            <v>6.1432910000000004E-3</v>
          </cell>
          <cell r="X949">
            <v>3.8535191000000003E-2</v>
          </cell>
          <cell r="Y949">
            <v>2.9459874E-2</v>
          </cell>
          <cell r="Z949">
            <v>6.5481899999999996E-2</v>
          </cell>
          <cell r="AB949" t="str">
            <v>2008VT</v>
          </cell>
          <cell r="AC949">
            <v>0</v>
          </cell>
          <cell r="AD949">
            <v>0</v>
          </cell>
          <cell r="AE949">
            <v>0.05</v>
          </cell>
          <cell r="AF949">
            <v>0.95</v>
          </cell>
        </row>
        <row r="950">
          <cell r="B950" t="str">
            <v>2008VA</v>
          </cell>
          <cell r="C950">
            <v>4.4953509549794296E-2</v>
          </cell>
          <cell r="D950">
            <v>9.339670802378576E-2</v>
          </cell>
          <cell r="E950">
            <v>0.14844092890155638</v>
          </cell>
          <cell r="F950">
            <v>0.12331550684410268</v>
          </cell>
          <cell r="G950">
            <v>0.5737351926100378</v>
          </cell>
          <cell r="H950">
            <v>1.6158154070723133E-2</v>
          </cell>
          <cell r="J950" t="str">
            <v>2008VA</v>
          </cell>
          <cell r="K950">
            <v>0.27782387799999997</v>
          </cell>
          <cell r="L950">
            <v>0.57373519299999998</v>
          </cell>
          <cell r="M950">
            <v>0.148440929</v>
          </cell>
          <cell r="U950" t="str">
            <v>2008VA</v>
          </cell>
          <cell r="V950">
            <v>3.3934871999999998E-2</v>
          </cell>
          <cell r="W950">
            <v>3.6244844999999998E-2</v>
          </cell>
          <cell r="X950">
            <v>6.8933026999999994E-2</v>
          </cell>
          <cell r="Y950">
            <v>0.550040046</v>
          </cell>
          <cell r="Z950">
            <v>0.31084721100000001</v>
          </cell>
          <cell r="AB950" t="str">
            <v>2008VA</v>
          </cell>
          <cell r="AC950">
            <v>0</v>
          </cell>
          <cell r="AD950">
            <v>0</v>
          </cell>
          <cell r="AE950">
            <v>0.05</v>
          </cell>
          <cell r="AF950">
            <v>0.95</v>
          </cell>
        </row>
        <row r="951">
          <cell r="B951" t="str">
            <v>2008WA</v>
          </cell>
          <cell r="C951">
            <v>0.48742079910802349</v>
          </cell>
          <cell r="D951">
            <v>0.21961274491816118</v>
          </cell>
          <cell r="E951">
            <v>0</v>
          </cell>
          <cell r="F951">
            <v>0.11254281869932067</v>
          </cell>
          <cell r="G951">
            <v>0.16627589127589129</v>
          </cell>
          <cell r="H951">
            <v>1.4147745998603438E-2</v>
          </cell>
          <cell r="J951" t="str">
            <v>2008WA</v>
          </cell>
          <cell r="K951">
            <v>0.83372410900000005</v>
          </cell>
          <cell r="L951">
            <v>0.16627589100000001</v>
          </cell>
          <cell r="M951">
            <v>0</v>
          </cell>
          <cell r="U951" t="str">
            <v>2008WA</v>
          </cell>
          <cell r="V951">
            <v>0.37353494700000001</v>
          </cell>
          <cell r="W951">
            <v>3.1263627000000002E-2</v>
          </cell>
          <cell r="X951">
            <v>0.168896926</v>
          </cell>
          <cell r="Y951">
            <v>0.119853577</v>
          </cell>
          <cell r="Z951">
            <v>0.30645092299999999</v>
          </cell>
          <cell r="AB951" t="str">
            <v>2008WA</v>
          </cell>
          <cell r="AC951">
            <v>0</v>
          </cell>
          <cell r="AD951">
            <v>0</v>
          </cell>
          <cell r="AE951">
            <v>0.12</v>
          </cell>
          <cell r="AF951">
            <v>0.88</v>
          </cell>
        </row>
        <row r="952">
          <cell r="B952" t="str">
            <v>2008WV</v>
          </cell>
          <cell r="C952">
            <v>6.8751812683186322E-2</v>
          </cell>
          <cell r="D952">
            <v>0.15888641455628993</v>
          </cell>
          <cell r="E952">
            <v>0.44831485363191043</v>
          </cell>
          <cell r="F952">
            <v>0.22633984896592482</v>
          </cell>
          <cell r="G952">
            <v>7.0025492327769459E-2</v>
          </cell>
          <cell r="H952">
            <v>2.7681577834919095E-2</v>
          </cell>
          <cell r="J952" t="str">
            <v>2008WV</v>
          </cell>
          <cell r="K952">
            <v>0.48165965399999999</v>
          </cell>
          <cell r="L952">
            <v>7.0025491999999995E-2</v>
          </cell>
          <cell r="M952">
            <v>0.44831485399999998</v>
          </cell>
          <cell r="U952" t="str">
            <v>2008WV</v>
          </cell>
          <cell r="V952">
            <v>0.57920187499999998</v>
          </cell>
          <cell r="W952">
            <v>2.1256934000000002E-2</v>
          </cell>
          <cell r="X952">
            <v>0.113169981</v>
          </cell>
          <cell r="Y952">
            <v>7.9649016000000003E-2</v>
          </cell>
          <cell r="Z952">
            <v>0.206722194</v>
          </cell>
          <cell r="AB952" t="str">
            <v>2008WV</v>
          </cell>
          <cell r="AC952">
            <v>0</v>
          </cell>
          <cell r="AD952">
            <v>0</v>
          </cell>
          <cell r="AE952">
            <v>0.05</v>
          </cell>
          <cell r="AF952">
            <v>0.95</v>
          </cell>
        </row>
        <row r="953">
          <cell r="B953" t="str">
            <v>2008WI</v>
          </cell>
          <cell r="C953">
            <v>0.12203432597344931</v>
          </cell>
          <cell r="D953">
            <v>0.23555629715568294</v>
          </cell>
          <cell r="E953">
            <v>0.11540173598404266</v>
          </cell>
          <cell r="F953">
            <v>0.42032708364290838</v>
          </cell>
          <cell r="G953">
            <v>6.8322420806473022E-2</v>
          </cell>
          <cell r="H953">
            <v>3.8358136437443673E-2</v>
          </cell>
          <cell r="J953" t="str">
            <v>2008WI</v>
          </cell>
          <cell r="K953">
            <v>0.816275843</v>
          </cell>
          <cell r="L953">
            <v>6.8322420999999994E-2</v>
          </cell>
          <cell r="M953">
            <v>0.115401736</v>
          </cell>
          <cell r="U953" t="str">
            <v>2008WI</v>
          </cell>
          <cell r="V953">
            <v>0.12883246500000001</v>
          </cell>
          <cell r="W953">
            <v>4.2564396999999997E-2</v>
          </cell>
          <cell r="X953">
            <v>0.23585646199999999</v>
          </cell>
          <cell r="Y953">
            <v>0.16970626599999999</v>
          </cell>
          <cell r="Z953">
            <v>0.42304040999999998</v>
          </cell>
          <cell r="AB953" t="str">
            <v>2008WI</v>
          </cell>
          <cell r="AC953">
            <v>0</v>
          </cell>
          <cell r="AD953">
            <v>0</v>
          </cell>
          <cell r="AE953">
            <v>0.02</v>
          </cell>
          <cell r="AF953">
            <v>0.98</v>
          </cell>
        </row>
        <row r="954">
          <cell r="B954" t="str">
            <v>2008WY</v>
          </cell>
          <cell r="C954">
            <v>0.29508724522063295</v>
          </cell>
          <cell r="D954">
            <v>0.23251729773373622</v>
          </cell>
          <cell r="E954">
            <v>0.12161775942187937</v>
          </cell>
          <cell r="F954">
            <v>0.2207502472879718</v>
          </cell>
          <cell r="G954">
            <v>7.2002554085590281E-2</v>
          </cell>
          <cell r="H954">
            <v>5.8024896250189507E-2</v>
          </cell>
          <cell r="J954" t="str">
            <v>2008WY</v>
          </cell>
          <cell r="K954">
            <v>0.80637968699999996</v>
          </cell>
          <cell r="L954">
            <v>7.2002553999999996E-2</v>
          </cell>
          <cell r="M954">
            <v>0.12161775900000001</v>
          </cell>
          <cell r="U954" t="str">
            <v>2008WY</v>
          </cell>
          <cell r="V954">
            <v>3.2109568999999998E-2</v>
          </cell>
          <cell r="W954">
            <v>5.3596850000000001E-2</v>
          </cell>
          <cell r="X954">
            <v>0.25521061499999997</v>
          </cell>
          <cell r="Y954">
            <v>0.16752597599999999</v>
          </cell>
          <cell r="Z954">
            <v>0.49155699000000003</v>
          </cell>
          <cell r="AB954" t="str">
            <v>2008WY</v>
          </cell>
          <cell r="AC954">
            <v>0</v>
          </cell>
          <cell r="AD954">
            <v>0</v>
          </cell>
          <cell r="AE954">
            <v>0.6</v>
          </cell>
          <cell r="AF954">
            <v>0.4</v>
          </cell>
        </row>
        <row r="955">
          <cell r="B955" t="str">
            <v>2009AL</v>
          </cell>
          <cell r="C955">
            <v>0.17233560131521788</v>
          </cell>
          <cell r="D955">
            <v>9.7606154746872412E-2</v>
          </cell>
          <cell r="E955">
            <v>0.16919346457207346</v>
          </cell>
          <cell r="F955">
            <v>0.1056405325382436</v>
          </cell>
          <cell r="G955">
            <v>0.45062509818962659</v>
          </cell>
          <cell r="H955">
            <v>4.5991486379660445E-3</v>
          </cell>
          <cell r="J955" t="str">
            <v>2009AL</v>
          </cell>
          <cell r="K955">
            <v>0.38018143700000007</v>
          </cell>
          <cell r="L955">
            <v>0.450625098</v>
          </cell>
          <cell r="M955">
            <v>0.16919346499999999</v>
          </cell>
          <cell r="U955" t="str">
            <v>2009AL</v>
          </cell>
          <cell r="V955">
            <v>5.3114938E-2</v>
          </cell>
          <cell r="W955">
            <v>3.6058960000000001E-2</v>
          </cell>
          <cell r="X955">
            <v>8.4414527000000003E-2</v>
          </cell>
          <cell r="Y955">
            <v>0.50961295299999998</v>
          </cell>
          <cell r="Z955">
            <v>0.316798623</v>
          </cell>
          <cell r="AB955" t="str">
            <v>2009AL</v>
          </cell>
          <cell r="AC955">
            <v>0</v>
          </cell>
          <cell r="AD955">
            <v>0</v>
          </cell>
          <cell r="AE955">
            <v>0.41899999999999998</v>
          </cell>
          <cell r="AF955">
            <v>0.58099999999999996</v>
          </cell>
        </row>
        <row r="956">
          <cell r="B956" t="str">
            <v>2009AK</v>
          </cell>
          <cell r="C956">
            <v>0.30334484066413492</v>
          </cell>
          <cell r="D956">
            <v>0.23769937716735701</v>
          </cell>
          <cell r="E956">
            <v>6.205843688929364E-2</v>
          </cell>
          <cell r="F956">
            <v>0.28363994741136878</v>
          </cell>
          <cell r="G956">
            <v>3.6741064625999714E-2</v>
          </cell>
          <cell r="H956">
            <v>7.6516333241846021E-2</v>
          </cell>
          <cell r="J956" t="str">
            <v>2009AK</v>
          </cell>
          <cell r="K956">
            <v>0.90120049800000002</v>
          </cell>
          <cell r="L956">
            <v>3.6741065000000003E-2</v>
          </cell>
          <cell r="M956">
            <v>6.2058437000000001E-2</v>
          </cell>
          <cell r="U956" t="str">
            <v>2009AK</v>
          </cell>
          <cell r="V956">
            <v>0.52632575500000001</v>
          </cell>
          <cell r="W956">
            <v>2.0841667000000001E-2</v>
          </cell>
          <cell r="X956">
            <v>0.130734092</v>
          </cell>
          <cell r="Y956">
            <v>9.9945266000000005E-2</v>
          </cell>
          <cell r="Z956">
            <v>0.22215322100000001</v>
          </cell>
          <cell r="AB956" t="str">
            <v>2009AK</v>
          </cell>
          <cell r="AC956">
            <v>0</v>
          </cell>
          <cell r="AD956">
            <v>0</v>
          </cell>
          <cell r="AE956">
            <v>0.25</v>
          </cell>
          <cell r="AF956">
            <v>0.75</v>
          </cell>
        </row>
        <row r="957">
          <cell r="B957" t="str">
            <v>2009AZ</v>
          </cell>
          <cell r="C957">
            <v>0.611220636654217</v>
          </cell>
          <cell r="D957">
            <v>0.19572797693407004</v>
          </cell>
          <cell r="E957">
            <v>9.865488383487428E-2</v>
          </cell>
          <cell r="F957">
            <v>9.3890669243012675E-2</v>
          </cell>
          <cell r="G957">
            <v>0</v>
          </cell>
          <cell r="H957">
            <v>5.0583333382575558E-4</v>
          </cell>
          <cell r="J957" t="str">
            <v>2009AZ</v>
          </cell>
          <cell r="K957">
            <v>0.901345116</v>
          </cell>
          <cell r="L957">
            <v>0</v>
          </cell>
          <cell r="M957">
            <v>9.8654883999999998E-2</v>
          </cell>
          <cell r="U957" t="str">
            <v>2009AZ</v>
          </cell>
          <cell r="V957">
            <v>0.136592664</v>
          </cell>
          <cell r="W957">
            <v>3.2171241000000003E-2</v>
          </cell>
          <cell r="X957">
            <v>5.4596316999999998E-2</v>
          </cell>
          <cell r="Y957">
            <v>0.50386894699999996</v>
          </cell>
          <cell r="Z957">
            <v>0.27277083200000002</v>
          </cell>
          <cell r="AB957" t="str">
            <v>2009AZ</v>
          </cell>
          <cell r="AC957">
            <v>0</v>
          </cell>
          <cell r="AD957">
            <v>0</v>
          </cell>
          <cell r="AE957">
            <v>0.6</v>
          </cell>
          <cell r="AF957">
            <v>0.4</v>
          </cell>
        </row>
        <row r="958">
          <cell r="B958" t="str">
            <v>2009AR</v>
          </cell>
          <cell r="C958">
            <v>9.6391342329605903E-2</v>
          </cell>
          <cell r="D958">
            <v>6.6955456596874061E-2</v>
          </cell>
          <cell r="E958">
            <v>0.14888335780531528</v>
          </cell>
          <cell r="F958">
            <v>0.11118804006195876</v>
          </cell>
          <cell r="G958">
            <v>0.57111057531117648</v>
          </cell>
          <cell r="H958">
            <v>5.4712278950695761E-3</v>
          </cell>
          <cell r="J958" t="str">
            <v>2009AR</v>
          </cell>
          <cell r="K958">
            <v>0.28000606700000008</v>
          </cell>
          <cell r="L958">
            <v>0.57111057499999995</v>
          </cell>
          <cell r="M958">
            <v>0.14888335799999999</v>
          </cell>
          <cell r="U958" t="str">
            <v>2009AR</v>
          </cell>
          <cell r="V958">
            <v>3.9459004999999998E-2</v>
          </cell>
          <cell r="W958">
            <v>3.7640482000000003E-2</v>
          </cell>
          <cell r="X958">
            <v>0.11914443199999999</v>
          </cell>
          <cell r="Y958">
            <v>0.45827781299999998</v>
          </cell>
          <cell r="Z958">
            <v>0.34547826799999998</v>
          </cell>
          <cell r="AB958" t="str">
            <v>2009AR</v>
          </cell>
          <cell r="AC958">
            <v>0</v>
          </cell>
          <cell r="AD958">
            <v>0</v>
          </cell>
          <cell r="AE958">
            <v>0</v>
          </cell>
          <cell r="AF958">
            <v>1</v>
          </cell>
        </row>
        <row r="959">
          <cell r="B959" t="str">
            <v>2009CA</v>
          </cell>
          <cell r="C959">
            <v>0.58081862489107328</v>
          </cell>
          <cell r="D959">
            <v>0.20720345916912225</v>
          </cell>
          <cell r="E959">
            <v>0.10801924509893834</v>
          </cell>
          <cell r="F959">
            <v>9.2431120719429966E-2</v>
          </cell>
          <cell r="G959">
            <v>9.2523577326630076E-3</v>
          </cell>
          <cell r="H959">
            <v>2.2751923887731596E-3</v>
          </cell>
          <cell r="J959" t="str">
            <v>2009CA</v>
          </cell>
          <cell r="K959">
            <v>0.88272839699999994</v>
          </cell>
          <cell r="L959">
            <v>9.2523580000000005E-3</v>
          </cell>
          <cell r="M959">
            <v>0.108019245</v>
          </cell>
          <cell r="U959" t="str">
            <v>2009CA</v>
          </cell>
          <cell r="V959">
            <v>0.133799526</v>
          </cell>
          <cell r="W959">
            <v>3.2941353E-2</v>
          </cell>
          <cell r="X959">
            <v>7.5800703999999997E-2</v>
          </cell>
          <cell r="Y959">
            <v>0.46867659099999998</v>
          </cell>
          <cell r="Z959">
            <v>0.28878182499999999</v>
          </cell>
          <cell r="AB959" t="str">
            <v>2009CA</v>
          </cell>
          <cell r="AC959">
            <v>0</v>
          </cell>
          <cell r="AD959">
            <v>0</v>
          </cell>
          <cell r="AE959">
            <v>0.12</v>
          </cell>
          <cell r="AF959">
            <v>0.88</v>
          </cell>
        </row>
        <row r="960">
          <cell r="B960" t="str">
            <v>2009CO</v>
          </cell>
          <cell r="C960">
            <v>0.61667904285785091</v>
          </cell>
          <cell r="D960">
            <v>0.24212893570430052</v>
          </cell>
          <cell r="E960">
            <v>1.1092391745361967E-2</v>
          </cell>
          <cell r="F960">
            <v>0.11516410971780773</v>
          </cell>
          <cell r="G960">
            <v>6.5671374014829543E-3</v>
          </cell>
          <cell r="H960">
            <v>8.3683825731959392E-3</v>
          </cell>
          <cell r="J960" t="str">
            <v>2009CO</v>
          </cell>
          <cell r="K960">
            <v>0.98234047099999999</v>
          </cell>
          <cell r="L960">
            <v>6.5671369999999998E-3</v>
          </cell>
          <cell r="M960">
            <v>1.1092392E-2</v>
          </cell>
          <cell r="U960" t="str">
            <v>2009CO</v>
          </cell>
          <cell r="V960">
            <v>2.3378138E-2</v>
          </cell>
          <cell r="W960">
            <v>5.3880426000000002E-2</v>
          </cell>
          <cell r="X960">
            <v>0.25772948099999998</v>
          </cell>
          <cell r="Y960">
            <v>0.169703665</v>
          </cell>
          <cell r="Z960">
            <v>0.49530828999999998</v>
          </cell>
          <cell r="AB960" t="str">
            <v>2009CO</v>
          </cell>
          <cell r="AC960">
            <v>0</v>
          </cell>
          <cell r="AD960">
            <v>0</v>
          </cell>
          <cell r="AE960">
            <v>0.6</v>
          </cell>
          <cell r="AF960">
            <v>0.4</v>
          </cell>
        </row>
        <row r="961">
          <cell r="B961" t="str">
            <v>2009CT</v>
          </cell>
          <cell r="C961">
            <v>0.11572842393252261</v>
          </cell>
          <cell r="D961">
            <v>0.20119880615243968</v>
          </cell>
          <cell r="E961">
            <v>0.43233999756560143</v>
          </cell>
          <cell r="F961">
            <v>0.17234541515575838</v>
          </cell>
          <cell r="G961">
            <v>5.5615402487630847E-2</v>
          </cell>
          <cell r="H961">
            <v>2.2771954706046996E-2</v>
          </cell>
          <cell r="J961" t="str">
            <v>2009CT</v>
          </cell>
          <cell r="K961">
            <v>0.51204460000000007</v>
          </cell>
          <cell r="L961">
            <v>5.5615402000000001E-2</v>
          </cell>
          <cell r="M961">
            <v>0.432339998</v>
          </cell>
          <cell r="U961" t="str">
            <v>2009CT</v>
          </cell>
          <cell r="V961">
            <v>0.57363861400000005</v>
          </cell>
          <cell r="W961">
            <v>1.8759900999999999E-2</v>
          </cell>
          <cell r="X961">
            <v>0.117675743</v>
          </cell>
          <cell r="Y961">
            <v>8.9962252000000006E-2</v>
          </cell>
          <cell r="Z961">
            <v>0.19996348999999999</v>
          </cell>
          <cell r="AB961" t="str">
            <v>2009CT</v>
          </cell>
          <cell r="AC961">
            <v>0</v>
          </cell>
          <cell r="AD961">
            <v>0</v>
          </cell>
          <cell r="AE961">
            <v>0.05</v>
          </cell>
          <cell r="AF961">
            <v>0.95</v>
          </cell>
        </row>
        <row r="962">
          <cell r="B962" t="str">
            <v>2009DE</v>
          </cell>
          <cell r="C962">
            <v>0.10201653895343663</v>
          </cell>
          <cell r="D962">
            <v>0.1910091905838856</v>
          </cell>
          <cell r="E962">
            <v>0.43707162937473454</v>
          </cell>
          <cell r="F962">
            <v>0.18637975788177577</v>
          </cell>
          <cell r="G962">
            <v>5.9883562349419175E-2</v>
          </cell>
          <cell r="H962">
            <v>2.3639320856748244E-2</v>
          </cell>
          <cell r="J962" t="str">
            <v>2009DE</v>
          </cell>
          <cell r="K962">
            <v>0.50304480899999993</v>
          </cell>
          <cell r="L962">
            <v>5.9883562000000001E-2</v>
          </cell>
          <cell r="M962">
            <v>0.43707162900000002</v>
          </cell>
          <cell r="U962" t="str">
            <v>2009DE</v>
          </cell>
          <cell r="V962">
            <v>0.120253529</v>
          </cell>
          <cell r="W962">
            <v>4.1631153999999997E-2</v>
          </cell>
          <cell r="X962">
            <v>0.23964419100000001</v>
          </cell>
          <cell r="Y962">
            <v>0.17588547500000001</v>
          </cell>
          <cell r="Z962">
            <v>0.42258565100000001</v>
          </cell>
          <cell r="AB962" t="str">
            <v>2009DE</v>
          </cell>
          <cell r="AC962">
            <v>0</v>
          </cell>
          <cell r="AD962">
            <v>0</v>
          </cell>
          <cell r="AE962">
            <v>0.05</v>
          </cell>
          <cell r="AF962">
            <v>0.95</v>
          </cell>
        </row>
        <row r="963">
          <cell r="B963" t="str">
            <v>2009FL</v>
          </cell>
          <cell r="C963">
            <v>0.38654865924430459</v>
          </cell>
          <cell r="D963">
            <v>0.14503983167997814</v>
          </cell>
          <cell r="E963">
            <v>0.21616400084919535</v>
          </cell>
          <cell r="F963">
            <v>7.8997496757044303E-2</v>
          </cell>
          <cell r="G963">
            <v>0.17198217725399226</v>
          </cell>
          <cell r="H963">
            <v>1.2678342154852779E-3</v>
          </cell>
          <cell r="J963" t="str">
            <v>2009FL</v>
          </cell>
          <cell r="K963">
            <v>0.61185382200000005</v>
          </cell>
          <cell r="L963">
            <v>0.17198217700000001</v>
          </cell>
          <cell r="M963">
            <v>0.21616400099999999</v>
          </cell>
          <cell r="U963" t="str">
            <v>2009FL</v>
          </cell>
          <cell r="V963">
            <v>0.71166924399999998</v>
          </cell>
          <cell r="W963">
            <v>1.2686553E-2</v>
          </cell>
          <cell r="X963">
            <v>7.9579288999999998E-2</v>
          </cell>
          <cell r="Y963">
            <v>6.0837789000000003E-2</v>
          </cell>
          <cell r="Z963">
            <v>0.135227124</v>
          </cell>
          <cell r="AB963" t="str">
            <v>2009FL</v>
          </cell>
          <cell r="AC963">
            <v>0</v>
          </cell>
          <cell r="AD963">
            <v>0</v>
          </cell>
          <cell r="AE963">
            <v>0.41899999999999998</v>
          </cell>
          <cell r="AF963">
            <v>0.58099999999999996</v>
          </cell>
        </row>
        <row r="964">
          <cell r="B964" t="str">
            <v>2009GA</v>
          </cell>
          <cell r="C964">
            <v>0.20823216155586291</v>
          </cell>
          <cell r="D964">
            <v>0.11033206176717186</v>
          </cell>
          <cell r="E964">
            <v>0.17733204084631207</v>
          </cell>
          <cell r="F964">
            <v>9.7862793659120595E-2</v>
          </cell>
          <cell r="G964">
            <v>0.40234468997942996</v>
          </cell>
          <cell r="H964">
            <v>3.8962521921025758E-3</v>
          </cell>
          <cell r="J964" t="str">
            <v>2009GA</v>
          </cell>
          <cell r="K964">
            <v>0.42032326900000005</v>
          </cell>
          <cell r="L964">
            <v>0.40234469</v>
          </cell>
          <cell r="M964">
            <v>0.177332041</v>
          </cell>
          <cell r="U964" t="str">
            <v>2009GA</v>
          </cell>
          <cell r="V964">
            <v>7.8133266000000007E-2</v>
          </cell>
          <cell r="W964">
            <v>3.5587817000000001E-2</v>
          </cell>
          <cell r="X964">
            <v>9.7388838000000005E-2</v>
          </cell>
          <cell r="Y964">
            <v>0.46952270200000001</v>
          </cell>
          <cell r="Z964">
            <v>0.31936737799999998</v>
          </cell>
          <cell r="AB964" t="str">
            <v>2009GA</v>
          </cell>
          <cell r="AC964">
            <v>0</v>
          </cell>
          <cell r="AD964">
            <v>0</v>
          </cell>
          <cell r="AE964">
            <v>0.41899999999999998</v>
          </cell>
          <cell r="AF964">
            <v>0.58099999999999996</v>
          </cell>
        </row>
        <row r="965">
          <cell r="B965" t="str">
            <v>2009HI</v>
          </cell>
          <cell r="C965">
            <v>0.67137224197860923</v>
          </cell>
          <cell r="D965">
            <v>0.21100034068527662</v>
          </cell>
          <cell r="E965">
            <v>0</v>
          </cell>
          <cell r="F965">
            <v>0.10820426646618357</v>
          </cell>
          <cell r="G965">
            <v>7.5112148308577572E-3</v>
          </cell>
          <cell r="H965">
            <v>1.9119360390725836E-3</v>
          </cell>
          <cell r="J965" t="str">
            <v>2009HI</v>
          </cell>
          <cell r="K965">
            <v>0.99248878500000004</v>
          </cell>
          <cell r="L965">
            <v>7.5112149999999999E-3</v>
          </cell>
          <cell r="M965">
            <v>0</v>
          </cell>
          <cell r="U965" t="str">
            <v>2009HI</v>
          </cell>
          <cell r="V965">
            <v>0.23216878499999999</v>
          </cell>
          <cell r="W965">
            <v>3.2904865999999998E-2</v>
          </cell>
          <cell r="X965">
            <v>0.18414778700000001</v>
          </cell>
          <cell r="Y965">
            <v>0.21064765399999999</v>
          </cell>
          <cell r="Z965">
            <v>0.34013090899999998</v>
          </cell>
          <cell r="AB965" t="str">
            <v>2009HI</v>
          </cell>
          <cell r="AC965">
            <v>0</v>
          </cell>
          <cell r="AD965">
            <v>0</v>
          </cell>
          <cell r="AE965">
            <v>0.25</v>
          </cell>
          <cell r="AF965">
            <v>0.75</v>
          </cell>
        </row>
        <row r="966">
          <cell r="B966" t="str">
            <v>2009ID</v>
          </cell>
          <cell r="C966">
            <v>0.62850843440764703</v>
          </cell>
          <cell r="D966">
            <v>0.2329683972033782</v>
          </cell>
          <cell r="E966">
            <v>6.4436683947772669E-3</v>
          </cell>
          <cell r="F966">
            <v>0.11961222721284216</v>
          </cell>
          <cell r="G966">
            <v>3.8149081541218642E-3</v>
          </cell>
          <cell r="H966">
            <v>8.6523646272333287E-3</v>
          </cell>
          <cell r="J966" t="str">
            <v>2009ID</v>
          </cell>
          <cell r="K966">
            <v>0.98974142399999998</v>
          </cell>
          <cell r="L966">
            <v>3.8149080000000001E-3</v>
          </cell>
          <cell r="M966">
            <v>6.4436679999999996E-3</v>
          </cell>
          <cell r="U966" t="str">
            <v>2009ID</v>
          </cell>
          <cell r="V966">
            <v>0.460837895</v>
          </cell>
          <cell r="W966">
            <v>2.6974237000000002E-2</v>
          </cell>
          <cell r="X966">
            <v>0.14528671200000001</v>
          </cell>
          <cell r="Y966">
            <v>0.102926191</v>
          </cell>
          <cell r="Z966">
            <v>0.26397496599999998</v>
          </cell>
          <cell r="AB966" t="str">
            <v>2009ID</v>
          </cell>
          <cell r="AC966">
            <v>0</v>
          </cell>
          <cell r="AD966">
            <v>0</v>
          </cell>
          <cell r="AE966">
            <v>0.6</v>
          </cell>
          <cell r="AF966">
            <v>0.4</v>
          </cell>
        </row>
        <row r="967">
          <cell r="B967" t="str">
            <v>2009IL</v>
          </cell>
          <cell r="C967">
            <v>0.13175283144497188</v>
          </cell>
          <cell r="D967">
            <v>0.26046159534668961</v>
          </cell>
          <cell r="E967">
            <v>8.1383349234931596E-2</v>
          </cell>
          <cell r="F967">
            <v>0.43207247933210829</v>
          </cell>
          <cell r="G967">
            <v>4.8182181885357514E-2</v>
          </cell>
          <cell r="H967">
            <v>4.6147562755941125E-2</v>
          </cell>
          <cell r="J967" t="str">
            <v>2009IL</v>
          </cell>
          <cell r="K967">
            <v>0.87043446899999999</v>
          </cell>
          <cell r="L967">
            <v>4.8182181999999997E-2</v>
          </cell>
          <cell r="M967">
            <v>8.1383348999999994E-2</v>
          </cell>
          <cell r="U967" t="str">
            <v>2009IL</v>
          </cell>
          <cell r="V967">
            <v>2.0186552999999999E-2</v>
          </cell>
          <cell r="W967">
            <v>4.5739502000000001E-2</v>
          </cell>
          <cell r="X967">
            <v>0.28028242399999997</v>
          </cell>
          <cell r="Y967">
            <v>0.149587944</v>
          </cell>
          <cell r="Z967">
            <v>0.50420357699999996</v>
          </cell>
          <cell r="AB967" t="str">
            <v>2009IL</v>
          </cell>
          <cell r="AC967">
            <v>0</v>
          </cell>
          <cell r="AD967">
            <v>0</v>
          </cell>
          <cell r="AE967">
            <v>0.02</v>
          </cell>
          <cell r="AF967">
            <v>0.98</v>
          </cell>
        </row>
        <row r="968">
          <cell r="B968" t="str">
            <v>2009IN</v>
          </cell>
          <cell r="C968">
            <v>0.16189917384296076</v>
          </cell>
          <cell r="D968">
            <v>0.24163212738244233</v>
          </cell>
          <cell r="E968">
            <v>0.13392208737361183</v>
          </cell>
          <cell r="F968">
            <v>0.3491044693998876</v>
          </cell>
          <cell r="G968">
            <v>7.9287205957511472E-2</v>
          </cell>
          <cell r="H968">
            <v>3.4154936043586021E-2</v>
          </cell>
          <cell r="J968" t="str">
            <v>2009IN</v>
          </cell>
          <cell r="K968">
            <v>0.78679070699999998</v>
          </cell>
          <cell r="L968">
            <v>7.9287205999999999E-2</v>
          </cell>
          <cell r="M968">
            <v>0.133922087</v>
          </cell>
          <cell r="U968" t="str">
            <v>2009IN</v>
          </cell>
          <cell r="V968">
            <v>2.5489210000000002E-2</v>
          </cell>
          <cell r="W968">
            <v>4.5536079E-2</v>
          </cell>
          <cell r="X968">
            <v>0.27893099599999999</v>
          </cell>
          <cell r="Y968">
            <v>0.14781887399999999</v>
          </cell>
          <cell r="Z968">
            <v>0.50222484099999998</v>
          </cell>
          <cell r="AB968" t="str">
            <v>2009IN</v>
          </cell>
          <cell r="AC968">
            <v>0</v>
          </cell>
          <cell r="AD968">
            <v>0</v>
          </cell>
          <cell r="AE968">
            <v>0</v>
          </cell>
          <cell r="AF968">
            <v>1</v>
          </cell>
        </row>
        <row r="969">
          <cell r="B969" t="str">
            <v>2009IA</v>
          </cell>
          <cell r="C969">
            <v>0.13792614664225575</v>
          </cell>
          <cell r="D969">
            <v>0.25047757969635848</v>
          </cell>
          <cell r="E969">
            <v>0.10477197231415941</v>
          </cell>
          <cell r="F969">
            <v>0.40507493125352922</v>
          </cell>
          <cell r="G969">
            <v>6.2029177638731184E-2</v>
          </cell>
          <cell r="H969">
            <v>3.9720192454965969E-2</v>
          </cell>
          <cell r="J969" t="str">
            <v>2009IA</v>
          </cell>
          <cell r="K969">
            <v>0.83319885000000005</v>
          </cell>
          <cell r="L969">
            <v>6.2029177999999997E-2</v>
          </cell>
          <cell r="M969">
            <v>0.104771972</v>
          </cell>
          <cell r="U969" t="str">
            <v>2009IA</v>
          </cell>
          <cell r="V969">
            <v>9.6502570000000006E-3</v>
          </cell>
          <cell r="W969">
            <v>3.8739974000000003E-2</v>
          </cell>
          <cell r="X969">
            <v>0.12067557499999999</v>
          </cell>
          <cell r="Y969">
            <v>0.47629315999999999</v>
          </cell>
          <cell r="Z969">
            <v>0.35464103499999999</v>
          </cell>
          <cell r="AB969" t="str">
            <v>2009IA</v>
          </cell>
          <cell r="AC969">
            <v>0</v>
          </cell>
          <cell r="AD969">
            <v>0</v>
          </cell>
          <cell r="AE969">
            <v>0</v>
          </cell>
          <cell r="AF969">
            <v>1</v>
          </cell>
        </row>
        <row r="970">
          <cell r="B970" t="str">
            <v>2009KS</v>
          </cell>
          <cell r="C970">
            <v>0.28758404285910905</v>
          </cell>
          <cell r="D970">
            <v>0.32607606753917184</v>
          </cell>
          <cell r="E970">
            <v>5.1050547933917619E-2</v>
          </cell>
          <cell r="F970">
            <v>0.27762124338847843</v>
          </cell>
          <cell r="G970">
            <v>3.0223956239483565E-2</v>
          </cell>
          <cell r="H970">
            <v>2.7444142039839463E-2</v>
          </cell>
          <cell r="J970" t="str">
            <v>2009KS</v>
          </cell>
          <cell r="K970">
            <v>0.91872549599999997</v>
          </cell>
          <cell r="L970">
            <v>3.0223956E-2</v>
          </cell>
          <cell r="M970">
            <v>5.1050548000000001E-2</v>
          </cell>
          <cell r="U970" t="str">
            <v>2009KS</v>
          </cell>
          <cell r="V970">
            <v>2.3647662E-2</v>
          </cell>
          <cell r="W970">
            <v>4.6272377000000003E-2</v>
          </cell>
          <cell r="X970">
            <v>0.28189652199999998</v>
          </cell>
          <cell r="Y970">
            <v>0.13395533500000001</v>
          </cell>
          <cell r="Z970">
            <v>0.51422810299999999</v>
          </cell>
          <cell r="AB970" t="str">
            <v>2009KS</v>
          </cell>
          <cell r="AC970">
            <v>0</v>
          </cell>
          <cell r="AD970">
            <v>0</v>
          </cell>
          <cell r="AE970">
            <v>0.02</v>
          </cell>
          <cell r="AF970">
            <v>0.98</v>
          </cell>
        </row>
        <row r="971">
          <cell r="B971" t="str">
            <v>2009KY</v>
          </cell>
          <cell r="C971">
            <v>2.3305602928070858E-2</v>
          </cell>
          <cell r="D971">
            <v>6.2885861766289422E-2</v>
          </cell>
          <cell r="E971">
            <v>0.14165738300711325</v>
          </cell>
          <cell r="F971">
            <v>0.14315421990856123</v>
          </cell>
          <cell r="G971">
            <v>0.61397716539009373</v>
          </cell>
          <cell r="H971">
            <v>1.5019766999871505E-2</v>
          </cell>
          <cell r="J971" t="str">
            <v>2009KY</v>
          </cell>
          <cell r="K971">
            <v>0.24436545200000004</v>
          </cell>
          <cell r="L971">
            <v>0.61397716499999999</v>
          </cell>
          <cell r="M971">
            <v>0.141657383</v>
          </cell>
          <cell r="U971" t="str">
            <v>2009KY</v>
          </cell>
          <cell r="V971">
            <v>4.9184704000000003E-2</v>
          </cell>
          <cell r="W971">
            <v>3.7321891000000003E-2</v>
          </cell>
          <cell r="X971">
            <v>0.11991215400000001</v>
          </cell>
          <cell r="Y971">
            <v>0.45018075899999999</v>
          </cell>
          <cell r="Z971">
            <v>0.34340049099999997</v>
          </cell>
          <cell r="AB971" t="str">
            <v>2009KY</v>
          </cell>
          <cell r="AC971">
            <v>0</v>
          </cell>
          <cell r="AD971">
            <v>0</v>
          </cell>
          <cell r="AE971">
            <v>0.05</v>
          </cell>
          <cell r="AF971">
            <v>0.95</v>
          </cell>
        </row>
        <row r="972">
          <cell r="B972" t="str">
            <v>2009LA</v>
          </cell>
          <cell r="C972">
            <v>8.7696493950327165E-2</v>
          </cell>
          <cell r="D972">
            <v>6.4637521135916851E-2</v>
          </cell>
          <cell r="E972">
            <v>0.14461730665558523</v>
          </cell>
          <cell r="F972">
            <v>0.10160244529023774</v>
          </cell>
          <cell r="G972">
            <v>0.59641803499629376</v>
          </cell>
          <cell r="H972">
            <v>5.0281979716392446E-3</v>
          </cell>
          <cell r="J972" t="str">
            <v>2009LA</v>
          </cell>
          <cell r="K972">
            <v>0.25896465800000001</v>
          </cell>
          <cell r="L972">
            <v>0.59641803500000001</v>
          </cell>
          <cell r="M972">
            <v>0.144617307</v>
          </cell>
          <cell r="U972" t="str">
            <v>2009LA</v>
          </cell>
          <cell r="V972">
            <v>0.53551704700000002</v>
          </cell>
          <cell r="W972">
            <v>2.0437250000000001E-2</v>
          </cell>
          <cell r="X972">
            <v>0.12819729499999999</v>
          </cell>
          <cell r="Y972">
            <v>9.8005903000000005E-2</v>
          </cell>
          <cell r="Z972">
            <v>0.21784250499999999</v>
          </cell>
          <cell r="AB972" t="str">
            <v>2009LA</v>
          </cell>
          <cell r="AC972">
            <v>0</v>
          </cell>
          <cell r="AD972">
            <v>0</v>
          </cell>
          <cell r="AE972">
            <v>0.6</v>
          </cell>
          <cell r="AF972">
            <v>0.4</v>
          </cell>
        </row>
        <row r="973">
          <cell r="B973" t="str">
            <v>2009ME</v>
          </cell>
          <cell r="C973">
            <v>9.3713015315557757E-2</v>
          </cell>
          <cell r="D973">
            <v>0.17210096338216258</v>
          </cell>
          <cell r="E973">
            <v>0.44837154081607639</v>
          </cell>
          <cell r="F973">
            <v>0.19633313267932656</v>
          </cell>
          <cell r="G973">
            <v>7.0076626899074845E-2</v>
          </cell>
          <cell r="H973">
            <v>1.9404720907801824E-2</v>
          </cell>
          <cell r="J973" t="str">
            <v>2009ME</v>
          </cell>
          <cell r="K973">
            <v>0.48155183200000007</v>
          </cell>
          <cell r="L973">
            <v>7.0076627000000002E-2</v>
          </cell>
          <cell r="M973">
            <v>0.44837154099999998</v>
          </cell>
          <cell r="U973" t="str">
            <v>2009ME</v>
          </cell>
          <cell r="V973">
            <v>0.72920202000000001</v>
          </cell>
          <cell r="W973">
            <v>1.1915111000000001E-2</v>
          </cell>
          <cell r="X973">
            <v>7.4740241999999998E-2</v>
          </cell>
          <cell r="Y973">
            <v>5.7138373999999999E-2</v>
          </cell>
          <cell r="Z973">
            <v>0.12700425300000001</v>
          </cell>
          <cell r="AB973" t="str">
            <v>2009ME</v>
          </cell>
          <cell r="AC973">
            <v>0</v>
          </cell>
          <cell r="AD973">
            <v>0</v>
          </cell>
          <cell r="AE973">
            <v>0.05</v>
          </cell>
          <cell r="AF973">
            <v>0.95</v>
          </cell>
        </row>
        <row r="974">
          <cell r="B974" t="str">
            <v>2009MD</v>
          </cell>
          <cell r="C974">
            <v>7.6488535055593554E-2</v>
          </cell>
          <cell r="D974">
            <v>0.15472472257238745</v>
          </cell>
          <cell r="E974">
            <v>0.44380834258126728</v>
          </cell>
          <cell r="F974">
            <v>0.22861605738914034</v>
          </cell>
          <cell r="G974">
            <v>6.5960402236453913E-2</v>
          </cell>
          <cell r="H974">
            <v>3.0401940165157418E-2</v>
          </cell>
          <cell r="J974" t="str">
            <v>2009MD</v>
          </cell>
          <cell r="K974">
            <v>0.49023125499999998</v>
          </cell>
          <cell r="L974">
            <v>6.5960402000000001E-2</v>
          </cell>
          <cell r="M974">
            <v>0.44380834299999999</v>
          </cell>
          <cell r="U974" t="str">
            <v>2009MD</v>
          </cell>
          <cell r="V974">
            <v>0.21140679400000001</v>
          </cell>
          <cell r="W974">
            <v>3.7602905999999998E-2</v>
          </cell>
          <cell r="X974">
            <v>0.214504853</v>
          </cell>
          <cell r="Y974">
            <v>0.15671048400000001</v>
          </cell>
          <cell r="Z974">
            <v>0.37977496300000002</v>
          </cell>
          <cell r="AB974" t="str">
            <v>2009MD</v>
          </cell>
          <cell r="AC974">
            <v>0</v>
          </cell>
          <cell r="AD974">
            <v>0</v>
          </cell>
          <cell r="AE974">
            <v>0.05</v>
          </cell>
          <cell r="AF974">
            <v>0.95</v>
          </cell>
        </row>
        <row r="975">
          <cell r="B975" t="str">
            <v>2009MA</v>
          </cell>
          <cell r="C975">
            <v>6.1305440163427552E-2</v>
          </cell>
          <cell r="D975">
            <v>0.14874705508142777</v>
          </cell>
          <cell r="E975">
            <v>0.45216403673004657</v>
          </cell>
          <cell r="F975">
            <v>0.23617268276189021</v>
          </cell>
          <cell r="G975">
            <v>7.3497640935872632E-2</v>
          </cell>
          <cell r="H975">
            <v>2.8113144327335336E-2</v>
          </cell>
          <cell r="J975" t="str">
            <v>2009MA</v>
          </cell>
          <cell r="K975">
            <v>0.47433832199999992</v>
          </cell>
          <cell r="L975">
            <v>7.3497641000000002E-2</v>
          </cell>
          <cell r="M975">
            <v>0.45216403700000002</v>
          </cell>
          <cell r="U975" t="str">
            <v>2009MA</v>
          </cell>
          <cell r="V975">
            <v>0.31419575799999999</v>
          </cell>
          <cell r="W975">
            <v>3.0175387000000001E-2</v>
          </cell>
          <cell r="X975">
            <v>0.18928197099999999</v>
          </cell>
          <cell r="Y975">
            <v>0.14470469499999999</v>
          </cell>
          <cell r="Z975">
            <v>0.32164218900000002</v>
          </cell>
          <cell r="AB975" t="str">
            <v>2009MA</v>
          </cell>
          <cell r="AC975">
            <v>0</v>
          </cell>
          <cell r="AD975">
            <v>0</v>
          </cell>
          <cell r="AE975">
            <v>0.05</v>
          </cell>
          <cell r="AF975">
            <v>0.95</v>
          </cell>
        </row>
        <row r="976">
          <cell r="B976" t="str">
            <v>2009MI</v>
          </cell>
          <cell r="C976">
            <v>0.21592740095911189</v>
          </cell>
          <cell r="D976">
            <v>0.33044604004991018</v>
          </cell>
          <cell r="E976">
            <v>5.8998863632555826E-2</v>
          </cell>
          <cell r="F976">
            <v>0.32074430847532459</v>
          </cell>
          <cell r="G976">
            <v>3.4929675483950956E-2</v>
          </cell>
          <cell r="H976">
            <v>3.8953711399146676E-2</v>
          </cell>
          <cell r="J976" t="str">
            <v>2009MI</v>
          </cell>
          <cell r="K976">
            <v>0.90607146100000002</v>
          </cell>
          <cell r="L976">
            <v>3.4929675E-2</v>
          </cell>
          <cell r="M976">
            <v>5.8998863999999998E-2</v>
          </cell>
          <cell r="U976" t="str">
            <v>2009MI</v>
          </cell>
          <cell r="V976">
            <v>4.5127237000000001E-2</v>
          </cell>
          <cell r="W976">
            <v>5.0500046999999999E-2</v>
          </cell>
          <cell r="X976">
            <v>0.254352099</v>
          </cell>
          <cell r="Y976">
            <v>0.17319266699999999</v>
          </cell>
          <cell r="Z976">
            <v>0.47682794899999997</v>
          </cell>
          <cell r="AB976" t="str">
            <v>2009MI</v>
          </cell>
          <cell r="AC976">
            <v>0</v>
          </cell>
          <cell r="AD976">
            <v>0</v>
          </cell>
          <cell r="AE976">
            <v>0.02</v>
          </cell>
          <cell r="AF976">
            <v>0.98</v>
          </cell>
        </row>
        <row r="977">
          <cell r="B977" t="str">
            <v>2009MN</v>
          </cell>
          <cell r="C977">
            <v>0.11559741536790068</v>
          </cell>
          <cell r="D977">
            <v>0.23915415867765383</v>
          </cell>
          <cell r="E977">
            <v>0.10052931481156221</v>
          </cell>
          <cell r="F977">
            <v>0.43822851849088174</v>
          </cell>
          <cell r="G977">
            <v>5.9517355535203494E-2</v>
          </cell>
          <cell r="H977">
            <v>4.697323711679801E-2</v>
          </cell>
          <cell r="J977" t="str">
            <v>2009MN</v>
          </cell>
          <cell r="K977">
            <v>0.83995332899999997</v>
          </cell>
          <cell r="L977">
            <v>5.9517356E-2</v>
          </cell>
          <cell r="M977">
            <v>0.10052931499999999</v>
          </cell>
          <cell r="U977" t="str">
            <v>2009MN</v>
          </cell>
          <cell r="V977">
            <v>1.5145339000000001E-2</v>
          </cell>
          <cell r="W977">
            <v>5.1986831999999997E-2</v>
          </cell>
          <cell r="X977">
            <v>0.262445557</v>
          </cell>
          <cell r="Y977">
            <v>0.17896024199999999</v>
          </cell>
          <cell r="Z977">
            <v>0.49146202900000002</v>
          </cell>
          <cell r="AB977" t="str">
            <v>2009MN</v>
          </cell>
          <cell r="AC977">
            <v>0</v>
          </cell>
          <cell r="AD977">
            <v>0</v>
          </cell>
          <cell r="AE977">
            <v>0</v>
          </cell>
          <cell r="AF977">
            <v>1</v>
          </cell>
        </row>
        <row r="978">
          <cell r="B978" t="str">
            <v>2009MS</v>
          </cell>
          <cell r="C978">
            <v>0.10416334210611014</v>
          </cell>
          <cell r="D978">
            <v>7.2829933678422776E-2</v>
          </cell>
          <cell r="E978">
            <v>0.14929269604113307</v>
          </cell>
          <cell r="F978">
            <v>0.10019278631941281</v>
          </cell>
          <cell r="G978">
            <v>0.56868226150598644</v>
          </cell>
          <cell r="H978">
            <v>4.838980348934833E-3</v>
          </cell>
          <cell r="J978" t="str">
            <v>2009MS</v>
          </cell>
          <cell r="K978">
            <v>0.28202504199999989</v>
          </cell>
          <cell r="L978">
            <v>0.56868226200000005</v>
          </cell>
          <cell r="M978">
            <v>0.149292696</v>
          </cell>
          <cell r="U978" t="str">
            <v>2009MS</v>
          </cell>
          <cell r="V978">
            <v>2.1100625000000001E-2</v>
          </cell>
          <cell r="W978">
            <v>3.6418512E-2</v>
          </cell>
          <cell r="X978">
            <v>6.0129593000000002E-2</v>
          </cell>
          <cell r="Y978">
            <v>0.574366987</v>
          </cell>
          <cell r="Z978">
            <v>0.30798428300000003</v>
          </cell>
          <cell r="AB978" t="str">
            <v>2009MS</v>
          </cell>
          <cell r="AC978">
            <v>0</v>
          </cell>
          <cell r="AD978">
            <v>0</v>
          </cell>
          <cell r="AE978">
            <v>0.6</v>
          </cell>
          <cell r="AF978">
            <v>0.4</v>
          </cell>
        </row>
        <row r="979">
          <cell r="B979" t="str">
            <v>2009MO</v>
          </cell>
          <cell r="C979">
            <v>6.4925479522277466E-2</v>
          </cell>
          <cell r="D979">
            <v>0.18170303563698134</v>
          </cell>
          <cell r="E979">
            <v>0.14337282997597614</v>
          </cell>
          <cell r="F979">
            <v>0.47880340852502545</v>
          </cell>
          <cell r="G979">
            <v>8.4882421727070459E-2</v>
          </cell>
          <cell r="H979">
            <v>4.6312824612669105E-2</v>
          </cell>
          <cell r="J979" t="str">
            <v>2009MO</v>
          </cell>
          <cell r="K979">
            <v>0.77174474799999992</v>
          </cell>
          <cell r="L979">
            <v>8.4882421999999999E-2</v>
          </cell>
          <cell r="M979">
            <v>0.14337283000000001</v>
          </cell>
          <cell r="U979" t="str">
            <v>2009MO</v>
          </cell>
          <cell r="V979">
            <v>2.998994E-2</v>
          </cell>
          <cell r="W979">
            <v>4.5757142000000001E-2</v>
          </cell>
          <cell r="X979">
            <v>0.27926039899999999</v>
          </cell>
          <cell r="Y979">
            <v>0.13775391300000001</v>
          </cell>
          <cell r="Z979">
            <v>0.50723860600000004</v>
          </cell>
          <cell r="AB979" t="str">
            <v>2009MO</v>
          </cell>
          <cell r="AC979">
            <v>0</v>
          </cell>
          <cell r="AD979">
            <v>0</v>
          </cell>
          <cell r="AE979">
            <v>0</v>
          </cell>
          <cell r="AF979">
            <v>1</v>
          </cell>
        </row>
        <row r="980">
          <cell r="B980" t="str">
            <v>2009MT</v>
          </cell>
          <cell r="C980">
            <v>0.35597781750083307</v>
          </cell>
          <cell r="D980">
            <v>0.25924389885240834</v>
          </cell>
          <cell r="E980">
            <v>4.3797789125912777E-2</v>
          </cell>
          <cell r="F980">
            <v>0.25058080537727367</v>
          </cell>
          <cell r="G980">
            <v>2.5930034358127463E-2</v>
          </cell>
          <cell r="H980">
            <v>6.4469654785444572E-2</v>
          </cell>
          <cell r="J980" t="str">
            <v>2009MT</v>
          </cell>
          <cell r="K980">
            <v>0.93027217699999998</v>
          </cell>
          <cell r="L980">
            <v>2.5930034000000001E-2</v>
          </cell>
          <cell r="M980">
            <v>4.3797788999999997E-2</v>
          </cell>
          <cell r="U980" t="str">
            <v>2009MT</v>
          </cell>
          <cell r="V980">
            <v>6.0520032000000001E-2</v>
          </cell>
          <cell r="W980">
            <v>5.1214043000000001E-2</v>
          </cell>
          <cell r="X980">
            <v>0.24859647000000001</v>
          </cell>
          <cell r="Y980">
            <v>0.16530719099999999</v>
          </cell>
          <cell r="Z980">
            <v>0.47436226399999998</v>
          </cell>
          <cell r="AB980" t="str">
            <v>2009MT</v>
          </cell>
          <cell r="AC980">
            <v>0</v>
          </cell>
          <cell r="AD980">
            <v>0</v>
          </cell>
          <cell r="AE980">
            <v>0.6</v>
          </cell>
          <cell r="AF980">
            <v>0.4</v>
          </cell>
        </row>
        <row r="981">
          <cell r="B981" t="str">
            <v>2009NE</v>
          </cell>
          <cell r="C981">
            <v>0.21260954807532403</v>
          </cell>
          <cell r="D981">
            <v>0.30324255962083846</v>
          </cell>
          <cell r="E981">
            <v>6.1277054134417128E-2</v>
          </cell>
          <cell r="F981">
            <v>0.34696077142199511</v>
          </cell>
          <cell r="G981">
            <v>3.6278454935301678E-2</v>
          </cell>
          <cell r="H981">
            <v>3.9631611812123581E-2</v>
          </cell>
          <cell r="J981" t="str">
            <v>2009NE</v>
          </cell>
          <cell r="K981">
            <v>0.90244449100000002</v>
          </cell>
          <cell r="L981">
            <v>3.6278455000000001E-2</v>
          </cell>
          <cell r="M981">
            <v>6.1277053999999997E-2</v>
          </cell>
          <cell r="U981" t="str">
            <v>2009NE</v>
          </cell>
          <cell r="V981">
            <v>3.0063880000000001E-2</v>
          </cell>
          <cell r="W981">
            <v>4.5295173000000001E-2</v>
          </cell>
          <cell r="X981">
            <v>0.27751980599999998</v>
          </cell>
          <cell r="Y981">
            <v>0.147715386</v>
          </cell>
          <cell r="Z981">
            <v>0.49940575500000001</v>
          </cell>
          <cell r="AB981" t="str">
            <v>2009NE</v>
          </cell>
          <cell r="AC981">
            <v>0</v>
          </cell>
          <cell r="AD981">
            <v>0</v>
          </cell>
          <cell r="AE981">
            <v>0.02</v>
          </cell>
          <cell r="AF981">
            <v>0.98</v>
          </cell>
        </row>
        <row r="982">
          <cell r="B982" t="str">
            <v>2009NV</v>
          </cell>
          <cell r="C982">
            <v>0.64210148526116029</v>
          </cell>
          <cell r="D982">
            <v>0.238399883587257</v>
          </cell>
          <cell r="E982">
            <v>4.1594375177217181E-3</v>
          </cell>
          <cell r="F982">
            <v>0.10819864870890922</v>
          </cell>
          <cell r="G982">
            <v>2.4625525602432058E-3</v>
          </cell>
          <cell r="H982">
            <v>4.677992364708553E-3</v>
          </cell>
          <cell r="J982" t="str">
            <v>2009NV</v>
          </cell>
          <cell r="K982">
            <v>0.99337800899999995</v>
          </cell>
          <cell r="L982">
            <v>2.4625530000000001E-3</v>
          </cell>
          <cell r="M982">
            <v>4.1594379999999997E-3</v>
          </cell>
          <cell r="U982" t="str">
            <v>2009NV</v>
          </cell>
          <cell r="V982">
            <v>0.35004114600000003</v>
          </cell>
          <cell r="W982">
            <v>2.4048478000000002E-2</v>
          </cell>
          <cell r="X982">
            <v>3.5747737000000002E-2</v>
          </cell>
          <cell r="Y982">
            <v>0.38867539400000001</v>
          </cell>
          <cell r="Z982">
            <v>0.20148724500000001</v>
          </cell>
          <cell r="AB982" t="str">
            <v>2009NV</v>
          </cell>
          <cell r="AC982">
            <v>0</v>
          </cell>
          <cell r="AD982">
            <v>0</v>
          </cell>
          <cell r="AE982">
            <v>0</v>
          </cell>
          <cell r="AF982">
            <v>1</v>
          </cell>
        </row>
        <row r="983">
          <cell r="B983" t="str">
            <v>2009NH</v>
          </cell>
          <cell r="C983">
            <v>9.4573445198850817E-2</v>
          </cell>
          <cell r="D983">
            <v>0.16340842518862655</v>
          </cell>
          <cell r="E983">
            <v>0.44298025846087286</v>
          </cell>
          <cell r="F983">
            <v>0.20852129702854144</v>
          </cell>
          <cell r="G983">
            <v>6.52134304627775E-2</v>
          </cell>
          <cell r="H983">
            <v>2.5303143660330828E-2</v>
          </cell>
          <cell r="J983" t="str">
            <v>2009NH</v>
          </cell>
          <cell r="K983">
            <v>0.49180631200000002</v>
          </cell>
          <cell r="L983">
            <v>6.5213430000000003E-2</v>
          </cell>
          <cell r="M983">
            <v>0.44298025800000002</v>
          </cell>
          <cell r="U983" t="str">
            <v>2009NH</v>
          </cell>
          <cell r="V983">
            <v>0.56759962799999997</v>
          </cell>
          <cell r="W983">
            <v>1.9025615999999999E-2</v>
          </cell>
          <cell r="X983">
            <v>0.119342503</v>
          </cell>
          <cell r="Y983">
            <v>9.1236478999999995E-2</v>
          </cell>
          <cell r="Z983">
            <v>0.20279577500000001</v>
          </cell>
          <cell r="AB983" t="str">
            <v>2009NH</v>
          </cell>
          <cell r="AC983">
            <v>0</v>
          </cell>
          <cell r="AD983">
            <v>0</v>
          </cell>
          <cell r="AE983">
            <v>0.05</v>
          </cell>
          <cell r="AF983">
            <v>0.95</v>
          </cell>
        </row>
        <row r="984">
          <cell r="B984" t="str">
            <v>2009NJ</v>
          </cell>
          <cell r="C984">
            <v>5.8003576611346738E-2</v>
          </cell>
          <cell r="D984">
            <v>0.13897871355240557</v>
          </cell>
          <cell r="E984">
            <v>0.45397029129837874</v>
          </cell>
          <cell r="F984">
            <v>0.24471653627570109</v>
          </cell>
          <cell r="G984">
            <v>7.5126969581826603E-2</v>
          </cell>
          <cell r="H984">
            <v>2.9203912680341212E-2</v>
          </cell>
          <cell r="J984" t="str">
            <v>2009NJ</v>
          </cell>
          <cell r="K984">
            <v>0.47090273900000001</v>
          </cell>
          <cell r="L984">
            <v>7.5126970000000001E-2</v>
          </cell>
          <cell r="M984">
            <v>0.45397029100000003</v>
          </cell>
          <cell r="U984" t="str">
            <v>2009NJ</v>
          </cell>
          <cell r="V984">
            <v>0.30808167400000003</v>
          </cell>
          <cell r="W984">
            <v>3.3011736E-2</v>
          </cell>
          <cell r="X984">
            <v>0.18818818500000001</v>
          </cell>
          <cell r="Y984">
            <v>0.137437002</v>
          </cell>
          <cell r="Z984">
            <v>0.333281404</v>
          </cell>
          <cell r="AB984" t="str">
            <v>2009NJ</v>
          </cell>
          <cell r="AC984">
            <v>0</v>
          </cell>
          <cell r="AD984">
            <v>0</v>
          </cell>
          <cell r="AE984">
            <v>0.05</v>
          </cell>
          <cell r="AF984">
            <v>0.95</v>
          </cell>
        </row>
        <row r="985">
          <cell r="B985" t="str">
            <v>2009NM</v>
          </cell>
          <cell r="C985">
            <v>0.61184589317007076</v>
          </cell>
          <cell r="D985">
            <v>0.19452029294367307</v>
          </cell>
          <cell r="E985">
            <v>9.8952813124742175E-2</v>
          </cell>
          <cell r="F985">
            <v>9.4174237847419268E-2</v>
          </cell>
          <cell r="G985">
            <v>0</v>
          </cell>
          <cell r="H985">
            <v>5.0676291409465751E-4</v>
          </cell>
          <cell r="J985" t="str">
            <v>2009NM</v>
          </cell>
          <cell r="K985">
            <v>0.90104718699999997</v>
          </cell>
          <cell r="L985">
            <v>0</v>
          </cell>
          <cell r="M985">
            <v>9.8952813000000001E-2</v>
          </cell>
          <cell r="U985" t="str">
            <v>2009NM</v>
          </cell>
          <cell r="V985">
            <v>0.91655606099999998</v>
          </cell>
          <cell r="W985">
            <v>3.6715329999999998E-3</v>
          </cell>
          <cell r="X985">
            <v>2.3030526999999999E-2</v>
          </cell>
          <cell r="Y985">
            <v>1.7606671000000001E-2</v>
          </cell>
          <cell r="Z985">
            <v>3.9135206999999998E-2</v>
          </cell>
          <cell r="AB985" t="str">
            <v>2009NM</v>
          </cell>
          <cell r="AC985">
            <v>0</v>
          </cell>
          <cell r="AD985">
            <v>0</v>
          </cell>
          <cell r="AE985">
            <v>0.6</v>
          </cell>
          <cell r="AF985">
            <v>0.4</v>
          </cell>
        </row>
        <row r="986">
          <cell r="B986" t="str">
            <v>2009NY</v>
          </cell>
          <cell r="C986">
            <v>9.8408703041683282E-2</v>
          </cell>
          <cell r="D986">
            <v>0.15954377256245178</v>
          </cell>
          <cell r="E986">
            <v>0.44849165243165579</v>
          </cell>
          <cell r="F986">
            <v>0.20287733376538455</v>
          </cell>
          <cell r="G986">
            <v>7.0184973363303343E-2</v>
          </cell>
          <cell r="H986">
            <v>2.0493564835521279E-2</v>
          </cell>
          <cell r="J986" t="str">
            <v>2009NY</v>
          </cell>
          <cell r="K986">
            <v>0.481323375</v>
          </cell>
          <cell r="L986">
            <v>7.0184972999999998E-2</v>
          </cell>
          <cell r="M986">
            <v>0.44849165200000002</v>
          </cell>
          <cell r="U986" t="str">
            <v>2009NY</v>
          </cell>
          <cell r="V986">
            <v>0.20441514899999999</v>
          </cell>
          <cell r="W986">
            <v>4.1815811000000001E-2</v>
          </cell>
          <cell r="X986">
            <v>0.21220383400000001</v>
          </cell>
          <cell r="Y986">
            <v>0.145168144</v>
          </cell>
          <cell r="Z986">
            <v>0.396397061</v>
          </cell>
          <cell r="AB986" t="str">
            <v>2009NY</v>
          </cell>
          <cell r="AC986">
            <v>0</v>
          </cell>
          <cell r="AD986">
            <v>0</v>
          </cell>
          <cell r="AE986">
            <v>0.05</v>
          </cell>
          <cell r="AF986">
            <v>0.95</v>
          </cell>
        </row>
        <row r="987">
          <cell r="B987" t="str">
            <v>2009NC</v>
          </cell>
          <cell r="C987">
            <v>6.168821577504751E-2</v>
          </cell>
          <cell r="D987">
            <v>0.11278426418396881</v>
          </cell>
          <cell r="E987">
            <v>0.15395779991170949</v>
          </cell>
          <cell r="F987">
            <v>0.11589101949636353</v>
          </cell>
          <cell r="G987">
            <v>0.54100750469043157</v>
          </cell>
          <cell r="H987">
            <v>1.4671195942479084E-2</v>
          </cell>
          <cell r="J987" t="str">
            <v>2009NC</v>
          </cell>
          <cell r="K987">
            <v>0.30503469499999991</v>
          </cell>
          <cell r="L987">
            <v>0.54100750500000006</v>
          </cell>
          <cell r="M987">
            <v>0.15395780000000001</v>
          </cell>
          <cell r="U987" t="str">
            <v>2009NC</v>
          </cell>
          <cell r="V987">
            <v>2.4742549999999999E-3</v>
          </cell>
          <cell r="W987">
            <v>3.7123251000000003E-2</v>
          </cell>
          <cell r="X987">
            <v>6.1645423999999997E-2</v>
          </cell>
          <cell r="Y987">
            <v>0.58464508599999998</v>
          </cell>
          <cell r="Z987">
            <v>0.31411198400000001</v>
          </cell>
          <cell r="AB987" t="str">
            <v>2009NC</v>
          </cell>
          <cell r="AC987">
            <v>0</v>
          </cell>
          <cell r="AD987">
            <v>0</v>
          </cell>
          <cell r="AE987">
            <v>0.41899999999999998</v>
          </cell>
          <cell r="AF987">
            <v>0.58099999999999996</v>
          </cell>
        </row>
        <row r="988">
          <cell r="B988" t="str">
            <v>2009ND</v>
          </cell>
          <cell r="C988">
            <v>0.1196932700797023</v>
          </cell>
          <cell r="D988">
            <v>0.21866711268457967</v>
          </cell>
          <cell r="E988">
            <v>0.10978970169096619</v>
          </cell>
          <cell r="F988">
            <v>0.448028418369537</v>
          </cell>
          <cell r="G988">
            <v>6.499987314042277E-2</v>
          </cell>
          <cell r="H988">
            <v>3.8821624034792085E-2</v>
          </cell>
          <cell r="J988" t="str">
            <v>2009ND</v>
          </cell>
          <cell r="K988">
            <v>0.82521042499999997</v>
          </cell>
          <cell r="L988">
            <v>6.4999873E-2</v>
          </cell>
          <cell r="M988">
            <v>0.109789702</v>
          </cell>
          <cell r="U988" t="str">
            <v>2009ND</v>
          </cell>
          <cell r="V988">
            <v>8.8434773999999994E-2</v>
          </cell>
          <cell r="W988">
            <v>4.7868137999999998E-2</v>
          </cell>
          <cell r="X988">
            <v>0.243186129</v>
          </cell>
          <cell r="Y988">
            <v>0.16647603599999999</v>
          </cell>
          <cell r="Z988">
            <v>0.45403492299999998</v>
          </cell>
          <cell r="AB988" t="str">
            <v>2009ND</v>
          </cell>
          <cell r="AC988">
            <v>0</v>
          </cell>
          <cell r="AD988">
            <v>0</v>
          </cell>
          <cell r="AE988">
            <v>0.02</v>
          </cell>
          <cell r="AF988">
            <v>0.98</v>
          </cell>
        </row>
        <row r="989">
          <cell r="B989" t="str">
            <v>2009OH</v>
          </cell>
          <cell r="C989">
            <v>0.10753833947858983</v>
          </cell>
          <cell r="D989">
            <v>0.22522557822049544</v>
          </cell>
          <cell r="E989">
            <v>0.13589110116557596</v>
          </cell>
          <cell r="F989">
            <v>0.4097570212201273</v>
          </cell>
          <cell r="G989">
            <v>8.0452940491062386E-2</v>
          </cell>
          <cell r="H989">
            <v>4.1135019424149183E-2</v>
          </cell>
          <cell r="J989" t="str">
            <v>2009OH</v>
          </cell>
          <cell r="K989">
            <v>0.78365595900000007</v>
          </cell>
          <cell r="L989">
            <v>8.0452940000000001E-2</v>
          </cell>
          <cell r="M989">
            <v>0.13589110099999999</v>
          </cell>
          <cell r="U989" t="str">
            <v>2009OH</v>
          </cell>
          <cell r="V989">
            <v>6.6338901000000006E-2</v>
          </cell>
          <cell r="W989">
            <v>4.3119113000000001E-2</v>
          </cell>
          <cell r="X989">
            <v>0.26533305600000001</v>
          </cell>
          <cell r="Y989">
            <v>0.15267545299999999</v>
          </cell>
          <cell r="Z989">
            <v>0.47253347699999998</v>
          </cell>
          <cell r="AB989" t="str">
            <v>2009OH</v>
          </cell>
          <cell r="AC989">
            <v>0</v>
          </cell>
          <cell r="AD989">
            <v>0</v>
          </cell>
          <cell r="AE989">
            <v>0</v>
          </cell>
          <cell r="AF989">
            <v>1</v>
          </cell>
        </row>
        <row r="990">
          <cell r="B990" t="str">
            <v>2009OK</v>
          </cell>
          <cell r="C990">
            <v>0.40296958934788546</v>
          </cell>
          <cell r="D990">
            <v>0.22528492954061258</v>
          </cell>
          <cell r="E990">
            <v>6.4896255940651446E-2</v>
          </cell>
          <cell r="F990">
            <v>0.24738177570149189</v>
          </cell>
          <cell r="G990">
            <v>0</v>
          </cell>
          <cell r="H990">
            <v>5.9467449469358676E-2</v>
          </cell>
          <cell r="J990" t="str">
            <v>2009OK</v>
          </cell>
          <cell r="K990">
            <v>0.93510374399999996</v>
          </cell>
          <cell r="L990">
            <v>0</v>
          </cell>
          <cell r="M990">
            <v>6.4896255999999999E-2</v>
          </cell>
          <cell r="U990" t="str">
            <v>2009OK</v>
          </cell>
          <cell r="V990">
            <v>1.2831308E-2</v>
          </cell>
          <cell r="W990">
            <v>3.6793041999999998E-2</v>
          </cell>
          <cell r="X990">
            <v>6.2749109999999997E-2</v>
          </cell>
          <cell r="Y990">
            <v>0.57552135800000004</v>
          </cell>
          <cell r="Z990">
            <v>0.31210518199999998</v>
          </cell>
          <cell r="AB990" t="str">
            <v>2009OK</v>
          </cell>
          <cell r="AC990">
            <v>0</v>
          </cell>
          <cell r="AD990">
            <v>0</v>
          </cell>
          <cell r="AE990">
            <v>0.6</v>
          </cell>
          <cell r="AF990">
            <v>0.4</v>
          </cell>
        </row>
        <row r="991">
          <cell r="B991" t="str">
            <v>2009OR</v>
          </cell>
          <cell r="C991">
            <v>0.43856747008812064</v>
          </cell>
          <cell r="D991">
            <v>0.20958259090942544</v>
          </cell>
          <cell r="E991">
            <v>0</v>
          </cell>
          <cell r="F991">
            <v>0.12862948158709187</v>
          </cell>
          <cell r="G991">
            <v>0.2018533708975031</v>
          </cell>
          <cell r="H991">
            <v>2.1367086517858933E-2</v>
          </cell>
          <cell r="J991" t="str">
            <v>2009OR</v>
          </cell>
          <cell r="K991">
            <v>0.798146629</v>
          </cell>
          <cell r="L991">
            <v>0.201853371</v>
          </cell>
          <cell r="M991">
            <v>0</v>
          </cell>
          <cell r="U991" t="str">
            <v>2009OR</v>
          </cell>
          <cell r="V991">
            <v>0.57640796000000005</v>
          </cell>
          <cell r="W991">
            <v>1.863805E-2</v>
          </cell>
          <cell r="X991">
            <v>0.116911403</v>
          </cell>
          <cell r="Y991">
            <v>8.937792E-2</v>
          </cell>
          <cell r="Z991">
            <v>0.19866466699999999</v>
          </cell>
          <cell r="AB991" t="str">
            <v>2009OR</v>
          </cell>
          <cell r="AC991">
            <v>0</v>
          </cell>
          <cell r="AD991">
            <v>0</v>
          </cell>
          <cell r="AE991">
            <v>0.25</v>
          </cell>
          <cell r="AF991">
            <v>0.75</v>
          </cell>
        </row>
        <row r="992">
          <cell r="B992" t="str">
            <v>2009PA</v>
          </cell>
          <cell r="C992">
            <v>4.9624045569858895E-2</v>
          </cell>
          <cell r="D992">
            <v>0.11712497857538914</v>
          </cell>
          <cell r="E992">
            <v>0.46874549019831585</v>
          </cell>
          <cell r="F992">
            <v>0.25230966018477574</v>
          </cell>
          <cell r="G992">
            <v>8.8454910858433447E-2</v>
          </cell>
          <cell r="H992">
            <v>2.3740914613226898E-2</v>
          </cell>
          <cell r="J992" t="str">
            <v>2009PA</v>
          </cell>
          <cell r="K992">
            <v>0.44279959899999999</v>
          </cell>
          <cell r="L992">
            <v>8.8454910999999997E-2</v>
          </cell>
          <cell r="M992">
            <v>0.46874548999999999</v>
          </cell>
          <cell r="U992" t="str">
            <v>2009PA</v>
          </cell>
          <cell r="V992">
            <v>5.0102499000000002E-2</v>
          </cell>
          <cell r="W992">
            <v>4.9409870000000002E-2</v>
          </cell>
          <cell r="X992">
            <v>0.25392279899999998</v>
          </cell>
          <cell r="Y992">
            <v>0.17504710600000001</v>
          </cell>
          <cell r="Z992">
            <v>0.47151772600000003</v>
          </cell>
          <cell r="AB992" t="str">
            <v>2009PA</v>
          </cell>
          <cell r="AC992">
            <v>0</v>
          </cell>
          <cell r="AD992">
            <v>0</v>
          </cell>
          <cell r="AE992">
            <v>0</v>
          </cell>
          <cell r="AF992">
            <v>1</v>
          </cell>
        </row>
        <row r="993">
          <cell r="B993" t="str">
            <v>2009RI</v>
          </cell>
          <cell r="C993">
            <v>4.2447025005926793E-2</v>
          </cell>
          <cell r="D993">
            <v>0.1190174947032642</v>
          </cell>
          <cell r="E993">
            <v>0.46784468707451643</v>
          </cell>
          <cell r="F993">
            <v>0.25730854976835782</v>
          </cell>
          <cell r="G993">
            <v>8.7642343040085183E-2</v>
          </cell>
          <cell r="H993">
            <v>2.5739900407849584E-2</v>
          </cell>
          <cell r="J993" t="str">
            <v>2009RI</v>
          </cell>
          <cell r="K993">
            <v>0.44451297000000001</v>
          </cell>
          <cell r="L993">
            <v>8.7642342999999998E-2</v>
          </cell>
          <cell r="M993">
            <v>0.46784468699999998</v>
          </cell>
          <cell r="U993" t="str">
            <v>2009RI</v>
          </cell>
          <cell r="V993">
            <v>0.56026879500000004</v>
          </cell>
          <cell r="W993">
            <v>1.9348173E-2</v>
          </cell>
          <cell r="X993">
            <v>0.121365813</v>
          </cell>
          <cell r="Y993">
            <v>9.2783283999999994E-2</v>
          </cell>
          <cell r="Z993">
            <v>0.20623393500000001</v>
          </cell>
          <cell r="AB993" t="str">
            <v>2009RI</v>
          </cell>
          <cell r="AC993">
            <v>0</v>
          </cell>
          <cell r="AD993">
            <v>0</v>
          </cell>
          <cell r="AE993">
            <v>0.05</v>
          </cell>
          <cell r="AF993">
            <v>0.95</v>
          </cell>
        </row>
        <row r="994">
          <cell r="B994" t="str">
            <v>2009SC</v>
          </cell>
          <cell r="C994">
            <v>0.13346180610825578</v>
          </cell>
          <cell r="D994">
            <v>9.0019723091430845E-2</v>
          </cell>
          <cell r="E994">
            <v>0.15451296947775242</v>
          </cell>
          <cell r="F994">
            <v>8.0687406490411034E-2</v>
          </cell>
          <cell r="G994">
            <v>0.53771407690020812</v>
          </cell>
          <cell r="H994">
            <v>3.6040179319418398E-3</v>
          </cell>
          <cell r="J994" t="str">
            <v>2009SC</v>
          </cell>
          <cell r="K994">
            <v>0.30777295400000004</v>
          </cell>
          <cell r="L994">
            <v>0.53771407699999996</v>
          </cell>
          <cell r="M994">
            <v>0.154512969</v>
          </cell>
          <cell r="U994" t="str">
            <v>2009SC</v>
          </cell>
          <cell r="V994">
            <v>6.1629585000000001E-2</v>
          </cell>
          <cell r="W994">
            <v>3.5823032999999997E-2</v>
          </cell>
          <cell r="X994">
            <v>8.6443989999999998E-2</v>
          </cell>
          <cell r="Y994">
            <v>0.50014727299999995</v>
          </cell>
          <cell r="Z994">
            <v>0.31595611899999998</v>
          </cell>
          <cell r="AB994" t="str">
            <v>2009SC</v>
          </cell>
          <cell r="AC994">
            <v>0</v>
          </cell>
          <cell r="AD994">
            <v>0</v>
          </cell>
          <cell r="AE994">
            <v>0.6</v>
          </cell>
          <cell r="AF994">
            <v>0.4</v>
          </cell>
        </row>
        <row r="995">
          <cell r="B995" t="str">
            <v>2009SD</v>
          </cell>
          <cell r="C995">
            <v>0.17608951911561277</v>
          </cell>
          <cell r="D995">
            <v>0.277831368160596</v>
          </cell>
          <cell r="E995">
            <v>7.9800561964795444E-2</v>
          </cell>
          <cell r="F995">
            <v>0.37802114842972712</v>
          </cell>
          <cell r="G995">
            <v>4.724510882492864E-2</v>
          </cell>
          <cell r="H995">
            <v>4.1012293504340026E-2</v>
          </cell>
          <cell r="J995" t="str">
            <v>2009SD</v>
          </cell>
          <cell r="K995">
            <v>0.87295432900000003</v>
          </cell>
          <cell r="L995">
            <v>4.7245109E-2</v>
          </cell>
          <cell r="M995">
            <v>7.9800562000000005E-2</v>
          </cell>
          <cell r="U995" t="str">
            <v>2009SD</v>
          </cell>
          <cell r="V995">
            <v>3.3046748000000001E-2</v>
          </cell>
          <cell r="W995">
            <v>5.1157264000000001E-2</v>
          </cell>
          <cell r="X995">
            <v>0.25755016600000002</v>
          </cell>
          <cell r="Y995">
            <v>0.17532273200000001</v>
          </cell>
          <cell r="Z995">
            <v>0.48292308900000003</v>
          </cell>
          <cell r="AB995" t="str">
            <v>2009SD</v>
          </cell>
          <cell r="AC995">
            <v>0</v>
          </cell>
          <cell r="AD995">
            <v>0</v>
          </cell>
          <cell r="AE995">
            <v>0.02</v>
          </cell>
          <cell r="AF995">
            <v>0.98</v>
          </cell>
        </row>
        <row r="996">
          <cell r="B996" t="str">
            <v>2009TN</v>
          </cell>
          <cell r="C996">
            <v>4.0519949592449485E-2</v>
          </cell>
          <cell r="D996">
            <v>8.9664149461423162E-2</v>
          </cell>
          <cell r="E996">
            <v>0.14551684926860037</v>
          </cell>
          <cell r="F996">
            <v>0.1170185785979804</v>
          </cell>
          <cell r="G996">
            <v>0.59108168584929244</v>
          </cell>
          <cell r="H996">
            <v>1.6198787230254148E-2</v>
          </cell>
          <cell r="J996" t="str">
            <v>2009TN</v>
          </cell>
          <cell r="K996">
            <v>0.26340146500000006</v>
          </cell>
          <cell r="L996">
            <v>0.591081686</v>
          </cell>
          <cell r="M996">
            <v>0.145516849</v>
          </cell>
          <cell r="U996" t="str">
            <v>2009TN</v>
          </cell>
          <cell r="V996">
            <v>0.102875089</v>
          </cell>
          <cell r="W996">
            <v>3.5402429999999999E-2</v>
          </cell>
          <cell r="X996">
            <v>0.119077104</v>
          </cell>
          <cell r="Y996">
            <v>0.41436515099999999</v>
          </cell>
          <cell r="Z996">
            <v>0.32828022600000001</v>
          </cell>
          <cell r="AB996" t="str">
            <v>2009TN</v>
          </cell>
          <cell r="AC996">
            <v>0</v>
          </cell>
          <cell r="AD996">
            <v>0</v>
          </cell>
          <cell r="AE996">
            <v>0.05</v>
          </cell>
          <cell r="AF996">
            <v>0.95</v>
          </cell>
        </row>
        <row r="997">
          <cell r="B997" t="str">
            <v>2009TX</v>
          </cell>
          <cell r="C997">
            <v>0.53305655520056971</v>
          </cell>
          <cell r="D997">
            <v>0.24233312613196878</v>
          </cell>
          <cell r="E997">
            <v>7.9791980793249173E-2</v>
          </cell>
          <cell r="F997">
            <v>0.1278405091499755</v>
          </cell>
          <cell r="G997">
            <v>0</v>
          </cell>
          <cell r="H997">
            <v>1.6977828724236681E-2</v>
          </cell>
          <cell r="J997" t="str">
            <v>2009TX</v>
          </cell>
          <cell r="K997">
            <v>0.92020801900000004</v>
          </cell>
          <cell r="L997">
            <v>0</v>
          </cell>
          <cell r="M997">
            <v>7.9791980999999998E-2</v>
          </cell>
          <cell r="U997" t="str">
            <v>2009TX</v>
          </cell>
          <cell r="V997">
            <v>6.9632535999999995E-2</v>
          </cell>
          <cell r="W997">
            <v>3.4700662E-2</v>
          </cell>
          <cell r="X997">
            <v>5.9917572000000002E-2</v>
          </cell>
          <cell r="Y997">
            <v>0.54104196599999999</v>
          </cell>
          <cell r="Z997">
            <v>0.29470726400000002</v>
          </cell>
          <cell r="AB997" t="str">
            <v>2009TX</v>
          </cell>
          <cell r="AC997">
            <v>0</v>
          </cell>
          <cell r="AD997">
            <v>0</v>
          </cell>
          <cell r="AE997">
            <v>0.12</v>
          </cell>
          <cell r="AF997">
            <v>0.88</v>
          </cell>
        </row>
        <row r="998">
          <cell r="B998" t="str">
            <v>2009UT</v>
          </cell>
          <cell r="C998">
            <v>0.51165623152884221</v>
          </cell>
          <cell r="D998">
            <v>0.26394677259150623</v>
          </cell>
          <cell r="E998">
            <v>1.3999177703951423E-2</v>
          </cell>
          <cell r="F998">
            <v>0.17036034814732054</v>
          </cell>
          <cell r="G998">
            <v>8.2880703819413898E-3</v>
          </cell>
          <cell r="H998">
            <v>3.1749399646438282E-2</v>
          </cell>
          <cell r="J998" t="str">
            <v>2009UT</v>
          </cell>
          <cell r="K998">
            <v>0.97771275199999996</v>
          </cell>
          <cell r="L998">
            <v>8.2880699999999998E-3</v>
          </cell>
          <cell r="M998">
            <v>1.3999177999999999E-2</v>
          </cell>
          <cell r="U998" t="str">
            <v>2009UT</v>
          </cell>
          <cell r="V998">
            <v>8.6456620000000001E-3</v>
          </cell>
          <cell r="W998">
            <v>5.5424775000000003E-2</v>
          </cell>
          <cell r="X998">
            <v>0.260824848</v>
          </cell>
          <cell r="Y998">
            <v>0.16982515300000001</v>
          </cell>
          <cell r="Z998">
            <v>0.50527956200000002</v>
          </cell>
          <cell r="AB998" t="str">
            <v>2009UT</v>
          </cell>
          <cell r="AC998">
            <v>0</v>
          </cell>
          <cell r="AD998">
            <v>0</v>
          </cell>
          <cell r="AE998">
            <v>0.6</v>
          </cell>
          <cell r="AF998">
            <v>0.4</v>
          </cell>
        </row>
        <row r="999">
          <cell r="B999" t="str">
            <v>2009VT</v>
          </cell>
          <cell r="C999">
            <v>9.9973781354903396E-2</v>
          </cell>
          <cell r="D999">
            <v>0.17387691112967565</v>
          </cell>
          <cell r="E999">
            <v>0.44423932842492886</v>
          </cell>
          <cell r="F999">
            <v>0.19448861844630186</v>
          </cell>
          <cell r="G999">
            <v>6.6349172232328182E-2</v>
          </cell>
          <cell r="H999">
            <v>2.1072188411862088E-2</v>
          </cell>
          <cell r="J999" t="str">
            <v>2009VT</v>
          </cell>
          <cell r="K999">
            <v>0.4894115</v>
          </cell>
          <cell r="L999">
            <v>6.6349171999999998E-2</v>
          </cell>
          <cell r="M999">
            <v>0.44423932799999999</v>
          </cell>
          <cell r="U999" t="str">
            <v>2009VT</v>
          </cell>
          <cell r="V999">
            <v>0.86037974299999997</v>
          </cell>
          <cell r="W999">
            <v>6.1432910000000004E-3</v>
          </cell>
          <cell r="X999">
            <v>3.8535191000000003E-2</v>
          </cell>
          <cell r="Y999">
            <v>2.9459874E-2</v>
          </cell>
          <cell r="Z999">
            <v>6.5481899999999996E-2</v>
          </cell>
          <cell r="AB999" t="str">
            <v>2009VT</v>
          </cell>
          <cell r="AC999">
            <v>0</v>
          </cell>
          <cell r="AD999">
            <v>0</v>
          </cell>
          <cell r="AE999">
            <v>0.05</v>
          </cell>
          <cell r="AF999">
            <v>0.95</v>
          </cell>
        </row>
        <row r="1000">
          <cell r="B1000" t="str">
            <v>2009VA</v>
          </cell>
          <cell r="C1000">
            <v>4.4953509549794296E-2</v>
          </cell>
          <cell r="D1000">
            <v>9.339670802378576E-2</v>
          </cell>
          <cell r="E1000">
            <v>0.14844092890155638</v>
          </cell>
          <cell r="F1000">
            <v>0.12331550684410268</v>
          </cell>
          <cell r="G1000">
            <v>0.5737351926100378</v>
          </cell>
          <cell r="H1000">
            <v>1.6158154070723133E-2</v>
          </cell>
          <cell r="J1000" t="str">
            <v>2009VA</v>
          </cell>
          <cell r="K1000">
            <v>0.27782387799999997</v>
          </cell>
          <cell r="L1000">
            <v>0.57373519299999998</v>
          </cell>
          <cell r="M1000">
            <v>0.148440929</v>
          </cell>
          <cell r="U1000" t="str">
            <v>2009VA</v>
          </cell>
          <cell r="V1000">
            <v>3.3934871999999998E-2</v>
          </cell>
          <cell r="W1000">
            <v>3.6244844999999998E-2</v>
          </cell>
          <cell r="X1000">
            <v>6.8933026999999994E-2</v>
          </cell>
          <cell r="Y1000">
            <v>0.550040046</v>
          </cell>
          <cell r="Z1000">
            <v>0.31084721100000001</v>
          </cell>
          <cell r="AB1000" t="str">
            <v>2009VA</v>
          </cell>
          <cell r="AC1000">
            <v>0</v>
          </cell>
          <cell r="AD1000">
            <v>0</v>
          </cell>
          <cell r="AE1000">
            <v>0.05</v>
          </cell>
          <cell r="AF1000">
            <v>0.95</v>
          </cell>
        </row>
        <row r="1001">
          <cell r="B1001" t="str">
            <v>2009WA</v>
          </cell>
          <cell r="C1001">
            <v>0.48742079910802349</v>
          </cell>
          <cell r="D1001">
            <v>0.21961274491816118</v>
          </cell>
          <cell r="E1001">
            <v>0</v>
          </cell>
          <cell r="F1001">
            <v>0.11254281869932067</v>
          </cell>
          <cell r="G1001">
            <v>0.16627589127589129</v>
          </cell>
          <cell r="H1001">
            <v>1.4147745998603438E-2</v>
          </cell>
          <cell r="J1001" t="str">
            <v>2009WA</v>
          </cell>
          <cell r="K1001">
            <v>0.83372410900000005</v>
          </cell>
          <cell r="L1001">
            <v>0.16627589100000001</v>
          </cell>
          <cell r="M1001">
            <v>0</v>
          </cell>
          <cell r="U1001" t="str">
            <v>2009WA</v>
          </cell>
          <cell r="V1001">
            <v>0.37353494700000001</v>
          </cell>
          <cell r="W1001">
            <v>3.1263627000000002E-2</v>
          </cell>
          <cell r="X1001">
            <v>0.168896926</v>
          </cell>
          <cell r="Y1001">
            <v>0.119853577</v>
          </cell>
          <cell r="Z1001">
            <v>0.30645092299999999</v>
          </cell>
          <cell r="AB1001" t="str">
            <v>2009WA</v>
          </cell>
          <cell r="AC1001">
            <v>0</v>
          </cell>
          <cell r="AD1001">
            <v>0</v>
          </cell>
          <cell r="AE1001">
            <v>0.12</v>
          </cell>
          <cell r="AF1001">
            <v>0.88</v>
          </cell>
        </row>
        <row r="1002">
          <cell r="B1002" t="str">
            <v>2009WV</v>
          </cell>
          <cell r="C1002">
            <v>6.8751812683186322E-2</v>
          </cell>
          <cell r="D1002">
            <v>0.15888641455628993</v>
          </cell>
          <cell r="E1002">
            <v>0.44831485363191043</v>
          </cell>
          <cell r="F1002">
            <v>0.22633984896592482</v>
          </cell>
          <cell r="G1002">
            <v>7.0025492327769459E-2</v>
          </cell>
          <cell r="H1002">
            <v>2.7681577834919095E-2</v>
          </cell>
          <cell r="J1002" t="str">
            <v>2009WV</v>
          </cell>
          <cell r="K1002">
            <v>0.48165965399999999</v>
          </cell>
          <cell r="L1002">
            <v>7.0025491999999995E-2</v>
          </cell>
          <cell r="M1002">
            <v>0.44831485399999998</v>
          </cell>
          <cell r="U1002" t="str">
            <v>2009WV</v>
          </cell>
          <cell r="V1002">
            <v>0.57920187499999998</v>
          </cell>
          <cell r="W1002">
            <v>2.1256934000000002E-2</v>
          </cell>
          <cell r="X1002">
            <v>0.113169981</v>
          </cell>
          <cell r="Y1002">
            <v>7.9649016000000003E-2</v>
          </cell>
          <cell r="Z1002">
            <v>0.206722194</v>
          </cell>
          <cell r="AB1002" t="str">
            <v>2009WV</v>
          </cell>
          <cell r="AC1002">
            <v>0</v>
          </cell>
          <cell r="AD1002">
            <v>0</v>
          </cell>
          <cell r="AE1002">
            <v>0.05</v>
          </cell>
          <cell r="AF1002">
            <v>0.95</v>
          </cell>
        </row>
        <row r="1003">
          <cell r="B1003" t="str">
            <v>2009WI</v>
          </cell>
          <cell r="C1003">
            <v>0.12203432597344931</v>
          </cell>
          <cell r="D1003">
            <v>0.23555629715568294</v>
          </cell>
          <cell r="E1003">
            <v>0.11540173598404266</v>
          </cell>
          <cell r="F1003">
            <v>0.42032708364290838</v>
          </cell>
          <cell r="G1003">
            <v>6.8322420806473022E-2</v>
          </cell>
          <cell r="H1003">
            <v>3.8358136437443673E-2</v>
          </cell>
          <cell r="J1003" t="str">
            <v>2009WI</v>
          </cell>
          <cell r="K1003">
            <v>0.816275843</v>
          </cell>
          <cell r="L1003">
            <v>6.8322420999999994E-2</v>
          </cell>
          <cell r="M1003">
            <v>0.115401736</v>
          </cell>
          <cell r="U1003" t="str">
            <v>2009WI</v>
          </cell>
          <cell r="V1003">
            <v>0.12883246500000001</v>
          </cell>
          <cell r="W1003">
            <v>4.2564396999999997E-2</v>
          </cell>
          <cell r="X1003">
            <v>0.23585646199999999</v>
          </cell>
          <cell r="Y1003">
            <v>0.16970626599999999</v>
          </cell>
          <cell r="Z1003">
            <v>0.42304040999999998</v>
          </cell>
          <cell r="AB1003" t="str">
            <v>2009WI</v>
          </cell>
          <cell r="AC1003">
            <v>0</v>
          </cell>
          <cell r="AD1003">
            <v>0</v>
          </cell>
          <cell r="AE1003">
            <v>0.02</v>
          </cell>
          <cell r="AF1003">
            <v>0.98</v>
          </cell>
        </row>
        <row r="1004">
          <cell r="B1004" t="str">
            <v>2009WY</v>
          </cell>
          <cell r="C1004">
            <v>0.29508724522063295</v>
          </cell>
          <cell r="D1004">
            <v>0.23251729773373622</v>
          </cell>
          <cell r="E1004">
            <v>0.12161775942187937</v>
          </cell>
          <cell r="F1004">
            <v>0.2207502472879718</v>
          </cell>
          <cell r="G1004">
            <v>7.2002554085590281E-2</v>
          </cell>
          <cell r="H1004">
            <v>5.8024896250189507E-2</v>
          </cell>
          <cell r="J1004" t="str">
            <v>2009WY</v>
          </cell>
          <cell r="K1004">
            <v>0.80637968699999996</v>
          </cell>
          <cell r="L1004">
            <v>7.2002553999999996E-2</v>
          </cell>
          <cell r="M1004">
            <v>0.12161775900000001</v>
          </cell>
          <cell r="U1004" t="str">
            <v>2009WY</v>
          </cell>
          <cell r="V1004">
            <v>3.2109568999999998E-2</v>
          </cell>
          <cell r="W1004">
            <v>5.3596850000000001E-2</v>
          </cell>
          <cell r="X1004">
            <v>0.25521061499999997</v>
          </cell>
          <cell r="Y1004">
            <v>0.16752597599999999</v>
          </cell>
          <cell r="Z1004">
            <v>0.49155699000000003</v>
          </cell>
          <cell r="AB1004" t="str">
            <v>2009WY</v>
          </cell>
          <cell r="AC1004">
            <v>0</v>
          </cell>
          <cell r="AD1004">
            <v>0</v>
          </cell>
          <cell r="AE1004">
            <v>0.6</v>
          </cell>
          <cell r="AF1004">
            <v>0.4</v>
          </cell>
        </row>
        <row r="1005">
          <cell r="B1005" t="str">
            <v>2010AL</v>
          </cell>
          <cell r="C1005">
            <v>0.17233560131521788</v>
          </cell>
          <cell r="D1005">
            <v>9.7606154746872412E-2</v>
          </cell>
          <cell r="E1005">
            <v>0.16919346457207346</v>
          </cell>
          <cell r="F1005">
            <v>0.1056405325382436</v>
          </cell>
          <cell r="G1005">
            <v>0.45062509818962659</v>
          </cell>
          <cell r="H1005">
            <v>4.5991486379660445E-3</v>
          </cell>
          <cell r="J1005" t="str">
            <v>2010AL</v>
          </cell>
          <cell r="K1005">
            <v>0.38018143700000007</v>
          </cell>
          <cell r="L1005">
            <v>0.450625098</v>
          </cell>
          <cell r="M1005">
            <v>0.16919346499999999</v>
          </cell>
          <cell r="U1005" t="str">
            <v>2010AL</v>
          </cell>
          <cell r="V1005">
            <v>5.3114938E-2</v>
          </cell>
          <cell r="W1005">
            <v>3.6058960000000001E-2</v>
          </cell>
          <cell r="X1005">
            <v>8.4414527000000003E-2</v>
          </cell>
          <cell r="Y1005">
            <v>0.50961295299999998</v>
          </cell>
          <cell r="Z1005">
            <v>0.316798623</v>
          </cell>
          <cell r="AB1005" t="str">
            <v>2010AL</v>
          </cell>
          <cell r="AC1005">
            <v>0</v>
          </cell>
          <cell r="AD1005">
            <v>0</v>
          </cell>
          <cell r="AE1005">
            <v>0.41899999999999998</v>
          </cell>
          <cell r="AF1005">
            <v>0.58099999999999996</v>
          </cell>
        </row>
        <row r="1006">
          <cell r="B1006" t="str">
            <v>2010AK</v>
          </cell>
          <cell r="C1006">
            <v>0.30334484066413492</v>
          </cell>
          <cell r="D1006">
            <v>0.23769937716735701</v>
          </cell>
          <cell r="E1006">
            <v>6.205843688929364E-2</v>
          </cell>
          <cell r="F1006">
            <v>0.28363994741136878</v>
          </cell>
          <cell r="G1006">
            <v>3.6741064625999714E-2</v>
          </cell>
          <cell r="H1006">
            <v>7.6516333241846021E-2</v>
          </cell>
          <cell r="J1006" t="str">
            <v>2010AK</v>
          </cell>
          <cell r="K1006">
            <v>0.90120049800000002</v>
          </cell>
          <cell r="L1006">
            <v>3.6741065000000003E-2</v>
          </cell>
          <cell r="M1006">
            <v>6.2058437000000001E-2</v>
          </cell>
          <cell r="U1006" t="str">
            <v>2010AK</v>
          </cell>
          <cell r="V1006">
            <v>0.52632575500000001</v>
          </cell>
          <cell r="W1006">
            <v>2.0841667000000001E-2</v>
          </cell>
          <cell r="X1006">
            <v>0.130734092</v>
          </cell>
          <cell r="Y1006">
            <v>9.9945266000000005E-2</v>
          </cell>
          <cell r="Z1006">
            <v>0.22215322100000001</v>
          </cell>
          <cell r="AB1006" t="str">
            <v>2010AK</v>
          </cell>
          <cell r="AC1006">
            <v>0</v>
          </cell>
          <cell r="AD1006">
            <v>0</v>
          </cell>
          <cell r="AE1006">
            <v>0.25</v>
          </cell>
          <cell r="AF1006">
            <v>0.75</v>
          </cell>
        </row>
        <row r="1007">
          <cell r="B1007" t="str">
            <v>2010AZ</v>
          </cell>
          <cell r="C1007">
            <v>0.611220636654217</v>
          </cell>
          <cell r="D1007">
            <v>0.19572797693407004</v>
          </cell>
          <cell r="E1007">
            <v>9.865488383487428E-2</v>
          </cell>
          <cell r="F1007">
            <v>9.3890669243012675E-2</v>
          </cell>
          <cell r="G1007">
            <v>0</v>
          </cell>
          <cell r="H1007">
            <v>5.0583333382575558E-4</v>
          </cell>
          <cell r="J1007" t="str">
            <v>2010AZ</v>
          </cell>
          <cell r="K1007">
            <v>0.901345116</v>
          </cell>
          <cell r="L1007">
            <v>0</v>
          </cell>
          <cell r="M1007">
            <v>9.8654883999999998E-2</v>
          </cell>
          <cell r="U1007" t="str">
            <v>2010AZ</v>
          </cell>
          <cell r="V1007">
            <v>0.136592664</v>
          </cell>
          <cell r="W1007">
            <v>3.2171241000000003E-2</v>
          </cell>
          <cell r="X1007">
            <v>5.4596316999999998E-2</v>
          </cell>
          <cell r="Y1007">
            <v>0.50386894699999996</v>
          </cell>
          <cell r="Z1007">
            <v>0.27277083200000002</v>
          </cell>
          <cell r="AB1007" t="str">
            <v>2010AZ</v>
          </cell>
          <cell r="AC1007">
            <v>0</v>
          </cell>
          <cell r="AD1007">
            <v>0</v>
          </cell>
          <cell r="AE1007">
            <v>0.6</v>
          </cell>
          <cell r="AF1007">
            <v>0.4</v>
          </cell>
        </row>
        <row r="1008">
          <cell r="B1008" t="str">
            <v>2010AR</v>
          </cell>
          <cell r="C1008">
            <v>9.6391342329605903E-2</v>
          </cell>
          <cell r="D1008">
            <v>6.6955456596874061E-2</v>
          </cell>
          <cell r="E1008">
            <v>0.14888335780531528</v>
          </cell>
          <cell r="F1008">
            <v>0.11118804006195876</v>
          </cell>
          <cell r="G1008">
            <v>0.57111057531117648</v>
          </cell>
          <cell r="H1008">
            <v>5.4712278950695761E-3</v>
          </cell>
          <cell r="J1008" t="str">
            <v>2010AR</v>
          </cell>
          <cell r="K1008">
            <v>0.28000606700000008</v>
          </cell>
          <cell r="L1008">
            <v>0.57111057499999995</v>
          </cell>
          <cell r="M1008">
            <v>0.14888335799999999</v>
          </cell>
          <cell r="U1008" t="str">
            <v>2010AR</v>
          </cell>
          <cell r="V1008">
            <v>3.9459004999999998E-2</v>
          </cell>
          <cell r="W1008">
            <v>3.7640482000000003E-2</v>
          </cell>
          <cell r="X1008">
            <v>0.11914443199999999</v>
          </cell>
          <cell r="Y1008">
            <v>0.45827781299999998</v>
          </cell>
          <cell r="Z1008">
            <v>0.34547826799999998</v>
          </cell>
          <cell r="AB1008" t="str">
            <v>2010AR</v>
          </cell>
          <cell r="AC1008">
            <v>0</v>
          </cell>
          <cell r="AD1008">
            <v>0</v>
          </cell>
          <cell r="AE1008">
            <v>0</v>
          </cell>
          <cell r="AF1008">
            <v>1</v>
          </cell>
        </row>
        <row r="1009">
          <cell r="B1009" t="str">
            <v>2010CA</v>
          </cell>
          <cell r="C1009">
            <v>0.58081862489107328</v>
          </cell>
          <cell r="D1009">
            <v>0.20720345916912225</v>
          </cell>
          <cell r="E1009">
            <v>0.10801924509893834</v>
          </cell>
          <cell r="F1009">
            <v>9.2431120719429966E-2</v>
          </cell>
          <cell r="G1009">
            <v>9.2523577326630076E-3</v>
          </cell>
          <cell r="H1009">
            <v>2.2751923887731596E-3</v>
          </cell>
          <cell r="J1009" t="str">
            <v>2010CA</v>
          </cell>
          <cell r="K1009">
            <v>0.88272839699999994</v>
          </cell>
          <cell r="L1009">
            <v>9.2523580000000005E-3</v>
          </cell>
          <cell r="M1009">
            <v>0.108019245</v>
          </cell>
          <cell r="U1009" t="str">
            <v>2010CA</v>
          </cell>
          <cell r="V1009">
            <v>0.133799526</v>
          </cell>
          <cell r="W1009">
            <v>3.2941353E-2</v>
          </cell>
          <cell r="X1009">
            <v>7.5800703999999997E-2</v>
          </cell>
          <cell r="Y1009">
            <v>0.46867659099999998</v>
          </cell>
          <cell r="Z1009">
            <v>0.28878182499999999</v>
          </cell>
          <cell r="AB1009" t="str">
            <v>2010CA</v>
          </cell>
          <cell r="AC1009">
            <v>0</v>
          </cell>
          <cell r="AD1009">
            <v>0</v>
          </cell>
          <cell r="AE1009">
            <v>0.12</v>
          </cell>
          <cell r="AF1009">
            <v>0.88</v>
          </cell>
        </row>
        <row r="1010">
          <cell r="B1010" t="str">
            <v>2010CO</v>
          </cell>
          <cell r="C1010">
            <v>0.61667904285785091</v>
          </cell>
          <cell r="D1010">
            <v>0.24212893570430052</v>
          </cell>
          <cell r="E1010">
            <v>1.1092391745361967E-2</v>
          </cell>
          <cell r="F1010">
            <v>0.11516410971780773</v>
          </cell>
          <cell r="G1010">
            <v>6.5671374014829543E-3</v>
          </cell>
          <cell r="H1010">
            <v>8.3683825731959392E-3</v>
          </cell>
          <cell r="J1010" t="str">
            <v>2010CO</v>
          </cell>
          <cell r="K1010">
            <v>0.98234047099999999</v>
          </cell>
          <cell r="L1010">
            <v>6.5671369999999998E-3</v>
          </cell>
          <cell r="M1010">
            <v>1.1092392E-2</v>
          </cell>
          <cell r="U1010" t="str">
            <v>2010CO</v>
          </cell>
          <cell r="V1010">
            <v>2.3378138E-2</v>
          </cell>
          <cell r="W1010">
            <v>5.3880426000000002E-2</v>
          </cell>
          <cell r="X1010">
            <v>0.25772948099999998</v>
          </cell>
          <cell r="Y1010">
            <v>0.169703665</v>
          </cell>
          <cell r="Z1010">
            <v>0.49530828999999998</v>
          </cell>
          <cell r="AB1010" t="str">
            <v>2010CO</v>
          </cell>
          <cell r="AC1010">
            <v>0</v>
          </cell>
          <cell r="AD1010">
            <v>0</v>
          </cell>
          <cell r="AE1010">
            <v>0.6</v>
          </cell>
          <cell r="AF1010">
            <v>0.4</v>
          </cell>
        </row>
        <row r="1011">
          <cell r="B1011" t="str">
            <v>2010CT</v>
          </cell>
          <cell r="C1011">
            <v>0.11572842393252261</v>
          </cell>
          <cell r="D1011">
            <v>0.20119880615243968</v>
          </cell>
          <cell r="E1011">
            <v>0.43233999756560143</v>
          </cell>
          <cell r="F1011">
            <v>0.17234541515575838</v>
          </cell>
          <cell r="G1011">
            <v>5.5615402487630847E-2</v>
          </cell>
          <cell r="H1011">
            <v>2.2771954706046996E-2</v>
          </cell>
          <cell r="J1011" t="str">
            <v>2010CT</v>
          </cell>
          <cell r="K1011">
            <v>0.51204460000000007</v>
          </cell>
          <cell r="L1011">
            <v>5.5615402000000001E-2</v>
          </cell>
          <cell r="M1011">
            <v>0.432339998</v>
          </cell>
          <cell r="U1011" t="str">
            <v>2010CT</v>
          </cell>
          <cell r="V1011">
            <v>0.57363861400000005</v>
          </cell>
          <cell r="W1011">
            <v>1.8759900999999999E-2</v>
          </cell>
          <cell r="X1011">
            <v>0.117675743</v>
          </cell>
          <cell r="Y1011">
            <v>8.9962252000000006E-2</v>
          </cell>
          <cell r="Z1011">
            <v>0.19996348999999999</v>
          </cell>
          <cell r="AB1011" t="str">
            <v>2010CT</v>
          </cell>
          <cell r="AC1011">
            <v>0</v>
          </cell>
          <cell r="AD1011">
            <v>0</v>
          </cell>
          <cell r="AE1011">
            <v>0.05</v>
          </cell>
          <cell r="AF1011">
            <v>0.95</v>
          </cell>
        </row>
        <row r="1012">
          <cell r="B1012" t="str">
            <v>2010DE</v>
          </cell>
          <cell r="C1012">
            <v>0.10201653895343663</v>
          </cell>
          <cell r="D1012">
            <v>0.1910091905838856</v>
          </cell>
          <cell r="E1012">
            <v>0.43707162937473454</v>
          </cell>
          <cell r="F1012">
            <v>0.18637975788177577</v>
          </cell>
          <cell r="G1012">
            <v>5.9883562349419175E-2</v>
          </cell>
          <cell r="H1012">
            <v>2.3639320856748244E-2</v>
          </cell>
          <cell r="J1012" t="str">
            <v>2010DE</v>
          </cell>
          <cell r="K1012">
            <v>0.50304480899999993</v>
          </cell>
          <cell r="L1012">
            <v>5.9883562000000001E-2</v>
          </cell>
          <cell r="M1012">
            <v>0.43707162900000002</v>
          </cell>
          <cell r="U1012" t="str">
            <v>2010DE</v>
          </cell>
          <cell r="V1012">
            <v>0.120253529</v>
          </cell>
          <cell r="W1012">
            <v>4.1631153999999997E-2</v>
          </cell>
          <cell r="X1012">
            <v>0.23964419100000001</v>
          </cell>
          <cell r="Y1012">
            <v>0.17588547500000001</v>
          </cell>
          <cell r="Z1012">
            <v>0.42258565100000001</v>
          </cell>
          <cell r="AB1012" t="str">
            <v>2010DE</v>
          </cell>
          <cell r="AC1012">
            <v>0</v>
          </cell>
          <cell r="AD1012">
            <v>0</v>
          </cell>
          <cell r="AE1012">
            <v>0.05</v>
          </cell>
          <cell r="AF1012">
            <v>0.95</v>
          </cell>
        </row>
        <row r="1013">
          <cell r="B1013" t="str">
            <v>2010FL</v>
          </cell>
          <cell r="C1013">
            <v>0.38654865924430459</v>
          </cell>
          <cell r="D1013">
            <v>0.14503983167997814</v>
          </cell>
          <cell r="E1013">
            <v>0.21616400084919535</v>
          </cell>
          <cell r="F1013">
            <v>7.8997496757044303E-2</v>
          </cell>
          <cell r="G1013">
            <v>0.17198217725399226</v>
          </cell>
          <cell r="H1013">
            <v>1.2678342154852779E-3</v>
          </cell>
          <cell r="J1013" t="str">
            <v>2010FL</v>
          </cell>
          <cell r="K1013">
            <v>0.61185382200000005</v>
          </cell>
          <cell r="L1013">
            <v>0.17198217700000001</v>
          </cell>
          <cell r="M1013">
            <v>0.21616400099999999</v>
          </cell>
          <cell r="U1013" t="str">
            <v>2010FL</v>
          </cell>
          <cell r="V1013">
            <v>0.71166924399999998</v>
          </cell>
          <cell r="W1013">
            <v>1.2686553E-2</v>
          </cell>
          <cell r="X1013">
            <v>7.9579288999999998E-2</v>
          </cell>
          <cell r="Y1013">
            <v>6.0837789000000003E-2</v>
          </cell>
          <cell r="Z1013">
            <v>0.135227124</v>
          </cell>
          <cell r="AB1013" t="str">
            <v>2010FL</v>
          </cell>
          <cell r="AC1013">
            <v>0</v>
          </cell>
          <cell r="AD1013">
            <v>0</v>
          </cell>
          <cell r="AE1013">
            <v>0.41899999999999998</v>
          </cell>
          <cell r="AF1013">
            <v>0.58099999999999996</v>
          </cell>
        </row>
        <row r="1014">
          <cell r="B1014" t="str">
            <v>2010GA</v>
          </cell>
          <cell r="C1014">
            <v>0.20823216155586291</v>
          </cell>
          <cell r="D1014">
            <v>0.11033206176717186</v>
          </cell>
          <cell r="E1014">
            <v>0.17733204084631207</v>
          </cell>
          <cell r="F1014">
            <v>9.7862793659120595E-2</v>
          </cell>
          <cell r="G1014">
            <v>0.40234468997942996</v>
          </cell>
          <cell r="H1014">
            <v>3.8962521921025758E-3</v>
          </cell>
          <cell r="J1014" t="str">
            <v>2010GA</v>
          </cell>
          <cell r="K1014">
            <v>0.42032326900000005</v>
          </cell>
          <cell r="L1014">
            <v>0.40234469</v>
          </cell>
          <cell r="M1014">
            <v>0.177332041</v>
          </cell>
          <cell r="U1014" t="str">
            <v>2010GA</v>
          </cell>
          <cell r="V1014">
            <v>7.8133266000000007E-2</v>
          </cell>
          <cell r="W1014">
            <v>3.5587817000000001E-2</v>
          </cell>
          <cell r="X1014">
            <v>9.7388838000000005E-2</v>
          </cell>
          <cell r="Y1014">
            <v>0.46952270200000001</v>
          </cell>
          <cell r="Z1014">
            <v>0.31936737799999998</v>
          </cell>
          <cell r="AB1014" t="str">
            <v>2010GA</v>
          </cell>
          <cell r="AC1014">
            <v>0</v>
          </cell>
          <cell r="AD1014">
            <v>0</v>
          </cell>
          <cell r="AE1014">
            <v>0.41899999999999998</v>
          </cell>
          <cell r="AF1014">
            <v>0.58099999999999996</v>
          </cell>
        </row>
        <row r="1015">
          <cell r="B1015" t="str">
            <v>2010HI</v>
          </cell>
          <cell r="C1015">
            <v>0.67137224197860923</v>
          </cell>
          <cell r="D1015">
            <v>0.21100034068527662</v>
          </cell>
          <cell r="E1015">
            <v>0</v>
          </cell>
          <cell r="F1015">
            <v>0.10820426646618357</v>
          </cell>
          <cell r="G1015">
            <v>7.5112148308577572E-3</v>
          </cell>
          <cell r="H1015">
            <v>1.9119360390725836E-3</v>
          </cell>
          <cell r="J1015" t="str">
            <v>2010HI</v>
          </cell>
          <cell r="K1015">
            <v>0.99248878500000004</v>
          </cell>
          <cell r="L1015">
            <v>7.5112149999999999E-3</v>
          </cell>
          <cell r="M1015">
            <v>0</v>
          </cell>
          <cell r="U1015" t="str">
            <v>2010HI</v>
          </cell>
          <cell r="V1015">
            <v>0.23216878499999999</v>
          </cell>
          <cell r="W1015">
            <v>3.2904865999999998E-2</v>
          </cell>
          <cell r="X1015">
            <v>0.18414778700000001</v>
          </cell>
          <cell r="Y1015">
            <v>0.21064765399999999</v>
          </cell>
          <cell r="Z1015">
            <v>0.34013090899999998</v>
          </cell>
          <cell r="AB1015" t="str">
            <v>2010HI</v>
          </cell>
          <cell r="AC1015">
            <v>0</v>
          </cell>
          <cell r="AD1015">
            <v>0</v>
          </cell>
          <cell r="AE1015">
            <v>0.25</v>
          </cell>
          <cell r="AF1015">
            <v>0.75</v>
          </cell>
        </row>
        <row r="1016">
          <cell r="B1016" t="str">
            <v>2010ID</v>
          </cell>
          <cell r="C1016">
            <v>0.62850843440764703</v>
          </cell>
          <cell r="D1016">
            <v>0.2329683972033782</v>
          </cell>
          <cell r="E1016">
            <v>6.4436683947772669E-3</v>
          </cell>
          <cell r="F1016">
            <v>0.11961222721284216</v>
          </cell>
          <cell r="G1016">
            <v>3.8149081541218642E-3</v>
          </cell>
          <cell r="H1016">
            <v>8.6523646272333287E-3</v>
          </cell>
          <cell r="J1016" t="str">
            <v>2010ID</v>
          </cell>
          <cell r="K1016">
            <v>0.98974142399999998</v>
          </cell>
          <cell r="L1016">
            <v>3.8149080000000001E-3</v>
          </cell>
          <cell r="M1016">
            <v>6.4436679999999996E-3</v>
          </cell>
          <cell r="U1016" t="str">
            <v>2010ID</v>
          </cell>
          <cell r="V1016">
            <v>0.460837895</v>
          </cell>
          <cell r="W1016">
            <v>2.6974237000000002E-2</v>
          </cell>
          <cell r="X1016">
            <v>0.14528671200000001</v>
          </cell>
          <cell r="Y1016">
            <v>0.102926191</v>
          </cell>
          <cell r="Z1016">
            <v>0.26397496599999998</v>
          </cell>
          <cell r="AB1016" t="str">
            <v>2010ID</v>
          </cell>
          <cell r="AC1016">
            <v>0</v>
          </cell>
          <cell r="AD1016">
            <v>0</v>
          </cell>
          <cell r="AE1016">
            <v>0.6</v>
          </cell>
          <cell r="AF1016">
            <v>0.4</v>
          </cell>
        </row>
        <row r="1017">
          <cell r="B1017" t="str">
            <v>2010IL</v>
          </cell>
          <cell r="C1017">
            <v>0.13175283144497188</v>
          </cell>
          <cell r="D1017">
            <v>0.26046159534668961</v>
          </cell>
          <cell r="E1017">
            <v>8.1383349234931596E-2</v>
          </cell>
          <cell r="F1017">
            <v>0.43207247933210829</v>
          </cell>
          <cell r="G1017">
            <v>4.8182181885357514E-2</v>
          </cell>
          <cell r="H1017">
            <v>4.6147562755941125E-2</v>
          </cell>
          <cell r="J1017" t="str">
            <v>2010IL</v>
          </cell>
          <cell r="K1017">
            <v>0.87043446899999999</v>
          </cell>
          <cell r="L1017">
            <v>4.8182181999999997E-2</v>
          </cell>
          <cell r="M1017">
            <v>8.1383348999999994E-2</v>
          </cell>
          <cell r="U1017" t="str">
            <v>2010IL</v>
          </cell>
          <cell r="V1017">
            <v>2.0186552999999999E-2</v>
          </cell>
          <cell r="W1017">
            <v>4.5739502000000001E-2</v>
          </cell>
          <cell r="X1017">
            <v>0.28028242399999997</v>
          </cell>
          <cell r="Y1017">
            <v>0.149587944</v>
          </cell>
          <cell r="Z1017">
            <v>0.50420357699999996</v>
          </cell>
          <cell r="AB1017" t="str">
            <v>2010IL</v>
          </cell>
          <cell r="AC1017">
            <v>0</v>
          </cell>
          <cell r="AD1017">
            <v>0</v>
          </cell>
          <cell r="AE1017">
            <v>0.02</v>
          </cell>
          <cell r="AF1017">
            <v>0.98</v>
          </cell>
        </row>
        <row r="1018">
          <cell r="B1018" t="str">
            <v>2010IN</v>
          </cell>
          <cell r="C1018">
            <v>0.16189917384296076</v>
          </cell>
          <cell r="D1018">
            <v>0.24163212738244233</v>
          </cell>
          <cell r="E1018">
            <v>0.13392208737361183</v>
          </cell>
          <cell r="F1018">
            <v>0.3491044693998876</v>
          </cell>
          <cell r="G1018">
            <v>7.9287205957511472E-2</v>
          </cell>
          <cell r="H1018">
            <v>3.4154936043586021E-2</v>
          </cell>
          <cell r="J1018" t="str">
            <v>2010IN</v>
          </cell>
          <cell r="K1018">
            <v>0.78679070699999998</v>
          </cell>
          <cell r="L1018">
            <v>7.9287205999999999E-2</v>
          </cell>
          <cell r="M1018">
            <v>0.133922087</v>
          </cell>
          <cell r="U1018" t="str">
            <v>2010IN</v>
          </cell>
          <cell r="V1018">
            <v>2.5489210000000002E-2</v>
          </cell>
          <cell r="W1018">
            <v>4.5536079E-2</v>
          </cell>
          <cell r="X1018">
            <v>0.27893099599999999</v>
          </cell>
          <cell r="Y1018">
            <v>0.14781887399999999</v>
          </cell>
          <cell r="Z1018">
            <v>0.50222484099999998</v>
          </cell>
          <cell r="AB1018" t="str">
            <v>2010IN</v>
          </cell>
          <cell r="AC1018">
            <v>0</v>
          </cell>
          <cell r="AD1018">
            <v>0</v>
          </cell>
          <cell r="AE1018">
            <v>0</v>
          </cell>
          <cell r="AF1018">
            <v>1</v>
          </cell>
        </row>
        <row r="1019">
          <cell r="B1019" t="str">
            <v>2010IA</v>
          </cell>
          <cell r="C1019">
            <v>0.13792614664225575</v>
          </cell>
          <cell r="D1019">
            <v>0.25047757969635848</v>
          </cell>
          <cell r="E1019">
            <v>0.10477197231415941</v>
          </cell>
          <cell r="F1019">
            <v>0.40507493125352922</v>
          </cell>
          <cell r="G1019">
            <v>6.2029177638731184E-2</v>
          </cell>
          <cell r="H1019">
            <v>3.9720192454965969E-2</v>
          </cell>
          <cell r="J1019" t="str">
            <v>2010IA</v>
          </cell>
          <cell r="K1019">
            <v>0.83319885000000005</v>
          </cell>
          <cell r="L1019">
            <v>6.2029177999999997E-2</v>
          </cell>
          <cell r="M1019">
            <v>0.104771972</v>
          </cell>
          <cell r="U1019" t="str">
            <v>2010IA</v>
          </cell>
          <cell r="V1019">
            <v>9.6502570000000006E-3</v>
          </cell>
          <cell r="W1019">
            <v>3.8739974000000003E-2</v>
          </cell>
          <cell r="X1019">
            <v>0.12067557499999999</v>
          </cell>
          <cell r="Y1019">
            <v>0.47629315999999999</v>
          </cell>
          <cell r="Z1019">
            <v>0.35464103499999999</v>
          </cell>
          <cell r="AB1019" t="str">
            <v>2010IA</v>
          </cell>
          <cell r="AC1019">
            <v>0</v>
          </cell>
          <cell r="AD1019">
            <v>0</v>
          </cell>
          <cell r="AE1019">
            <v>0</v>
          </cell>
          <cell r="AF1019">
            <v>1</v>
          </cell>
        </row>
        <row r="1020">
          <cell r="B1020" t="str">
            <v>2010KS</v>
          </cell>
          <cell r="C1020">
            <v>0.28758404285910905</v>
          </cell>
          <cell r="D1020">
            <v>0.32607606753917184</v>
          </cell>
          <cell r="E1020">
            <v>5.1050547933917619E-2</v>
          </cell>
          <cell r="F1020">
            <v>0.27762124338847843</v>
          </cell>
          <cell r="G1020">
            <v>3.0223956239483565E-2</v>
          </cell>
          <cell r="H1020">
            <v>2.7444142039839463E-2</v>
          </cell>
          <cell r="J1020" t="str">
            <v>2010KS</v>
          </cell>
          <cell r="K1020">
            <v>0.91872549599999997</v>
          </cell>
          <cell r="L1020">
            <v>3.0223956E-2</v>
          </cell>
          <cell r="M1020">
            <v>5.1050548000000001E-2</v>
          </cell>
          <cell r="U1020" t="str">
            <v>2010KS</v>
          </cell>
          <cell r="V1020">
            <v>2.3647662E-2</v>
          </cell>
          <cell r="W1020">
            <v>4.6272377000000003E-2</v>
          </cell>
          <cell r="X1020">
            <v>0.28189652199999998</v>
          </cell>
          <cell r="Y1020">
            <v>0.13395533500000001</v>
          </cell>
          <cell r="Z1020">
            <v>0.51422810299999999</v>
          </cell>
          <cell r="AB1020" t="str">
            <v>2010KS</v>
          </cell>
          <cell r="AC1020">
            <v>0</v>
          </cell>
          <cell r="AD1020">
            <v>0</v>
          </cell>
          <cell r="AE1020">
            <v>0.02</v>
          </cell>
          <cell r="AF1020">
            <v>0.98</v>
          </cell>
        </row>
        <row r="1021">
          <cell r="B1021" t="str">
            <v>2010KY</v>
          </cell>
          <cell r="C1021">
            <v>2.3305602928070858E-2</v>
          </cell>
          <cell r="D1021">
            <v>6.2885861766289422E-2</v>
          </cell>
          <cell r="E1021">
            <v>0.14165738300711325</v>
          </cell>
          <cell r="F1021">
            <v>0.14315421990856123</v>
          </cell>
          <cell r="G1021">
            <v>0.61397716539009373</v>
          </cell>
          <cell r="H1021">
            <v>1.5019766999871505E-2</v>
          </cell>
          <cell r="J1021" t="str">
            <v>2010KY</v>
          </cell>
          <cell r="K1021">
            <v>0.24436545200000004</v>
          </cell>
          <cell r="L1021">
            <v>0.61397716499999999</v>
          </cell>
          <cell r="M1021">
            <v>0.141657383</v>
          </cell>
          <cell r="U1021" t="str">
            <v>2010KY</v>
          </cell>
          <cell r="V1021">
            <v>4.9184704000000003E-2</v>
          </cell>
          <cell r="W1021">
            <v>3.7321891000000003E-2</v>
          </cell>
          <cell r="X1021">
            <v>0.11991215400000001</v>
          </cell>
          <cell r="Y1021">
            <v>0.45018075899999999</v>
          </cell>
          <cell r="Z1021">
            <v>0.34340049099999997</v>
          </cell>
          <cell r="AB1021" t="str">
            <v>2010KY</v>
          </cell>
          <cell r="AC1021">
            <v>0</v>
          </cell>
          <cell r="AD1021">
            <v>0</v>
          </cell>
          <cell r="AE1021">
            <v>0.05</v>
          </cell>
          <cell r="AF1021">
            <v>0.95</v>
          </cell>
        </row>
        <row r="1022">
          <cell r="B1022" t="str">
            <v>2010LA</v>
          </cell>
          <cell r="C1022">
            <v>8.7696493950327165E-2</v>
          </cell>
          <cell r="D1022">
            <v>6.4637521135916851E-2</v>
          </cell>
          <cell r="E1022">
            <v>0.14461730665558523</v>
          </cell>
          <cell r="F1022">
            <v>0.10160244529023774</v>
          </cell>
          <cell r="G1022">
            <v>0.59641803499629376</v>
          </cell>
          <cell r="H1022">
            <v>5.0281979716392446E-3</v>
          </cell>
          <cell r="J1022" t="str">
            <v>2010LA</v>
          </cell>
          <cell r="K1022">
            <v>0.25896465800000001</v>
          </cell>
          <cell r="L1022">
            <v>0.59641803500000001</v>
          </cell>
          <cell r="M1022">
            <v>0.144617307</v>
          </cell>
          <cell r="U1022" t="str">
            <v>2010LA</v>
          </cell>
          <cell r="V1022">
            <v>0.53551704700000002</v>
          </cell>
          <cell r="W1022">
            <v>2.0437250000000001E-2</v>
          </cell>
          <cell r="X1022">
            <v>0.12819729499999999</v>
          </cell>
          <cell r="Y1022">
            <v>9.8005903000000005E-2</v>
          </cell>
          <cell r="Z1022">
            <v>0.21784250499999999</v>
          </cell>
          <cell r="AB1022" t="str">
            <v>2010LA</v>
          </cell>
          <cell r="AC1022">
            <v>0</v>
          </cell>
          <cell r="AD1022">
            <v>0</v>
          </cell>
          <cell r="AE1022">
            <v>0.6</v>
          </cell>
          <cell r="AF1022">
            <v>0.4</v>
          </cell>
        </row>
        <row r="1023">
          <cell r="B1023" t="str">
            <v>2010ME</v>
          </cell>
          <cell r="C1023">
            <v>9.3713015315557757E-2</v>
          </cell>
          <cell r="D1023">
            <v>0.17210096338216258</v>
          </cell>
          <cell r="E1023">
            <v>0.44837154081607639</v>
          </cell>
          <cell r="F1023">
            <v>0.19633313267932656</v>
          </cell>
          <cell r="G1023">
            <v>7.0076626899074845E-2</v>
          </cell>
          <cell r="H1023">
            <v>1.9404720907801824E-2</v>
          </cell>
          <cell r="J1023" t="str">
            <v>2010ME</v>
          </cell>
          <cell r="K1023">
            <v>0.48155183200000007</v>
          </cell>
          <cell r="L1023">
            <v>7.0076627000000002E-2</v>
          </cell>
          <cell r="M1023">
            <v>0.44837154099999998</v>
          </cell>
          <cell r="U1023" t="str">
            <v>2010ME</v>
          </cell>
          <cell r="V1023">
            <v>0.72920202000000001</v>
          </cell>
          <cell r="W1023">
            <v>1.1915111000000001E-2</v>
          </cell>
          <cell r="X1023">
            <v>7.4740241999999998E-2</v>
          </cell>
          <cell r="Y1023">
            <v>5.7138373999999999E-2</v>
          </cell>
          <cell r="Z1023">
            <v>0.12700425300000001</v>
          </cell>
          <cell r="AB1023" t="str">
            <v>2010ME</v>
          </cell>
          <cell r="AC1023">
            <v>0</v>
          </cell>
          <cell r="AD1023">
            <v>0</v>
          </cell>
          <cell r="AE1023">
            <v>0.05</v>
          </cell>
          <cell r="AF1023">
            <v>0.95</v>
          </cell>
        </row>
        <row r="1024">
          <cell r="B1024" t="str">
            <v>2010MD</v>
          </cell>
          <cell r="C1024">
            <v>7.6488535055593554E-2</v>
          </cell>
          <cell r="D1024">
            <v>0.15472472257238745</v>
          </cell>
          <cell r="E1024">
            <v>0.44380834258126728</v>
          </cell>
          <cell r="F1024">
            <v>0.22861605738914034</v>
          </cell>
          <cell r="G1024">
            <v>6.5960402236453913E-2</v>
          </cell>
          <cell r="H1024">
            <v>3.0401940165157418E-2</v>
          </cell>
          <cell r="J1024" t="str">
            <v>2010MD</v>
          </cell>
          <cell r="K1024">
            <v>0.49023125499999998</v>
          </cell>
          <cell r="L1024">
            <v>6.5960402000000001E-2</v>
          </cell>
          <cell r="M1024">
            <v>0.44380834299999999</v>
          </cell>
          <cell r="U1024" t="str">
            <v>2010MD</v>
          </cell>
          <cell r="V1024">
            <v>0.21140679400000001</v>
          </cell>
          <cell r="W1024">
            <v>3.7602905999999998E-2</v>
          </cell>
          <cell r="X1024">
            <v>0.214504853</v>
          </cell>
          <cell r="Y1024">
            <v>0.15671048400000001</v>
          </cell>
          <cell r="Z1024">
            <v>0.37977496300000002</v>
          </cell>
          <cell r="AB1024" t="str">
            <v>2010MD</v>
          </cell>
          <cell r="AC1024">
            <v>0</v>
          </cell>
          <cell r="AD1024">
            <v>0</v>
          </cell>
          <cell r="AE1024">
            <v>0.05</v>
          </cell>
          <cell r="AF1024">
            <v>0.95</v>
          </cell>
        </row>
        <row r="1025">
          <cell r="B1025" t="str">
            <v>2010MA</v>
          </cell>
          <cell r="C1025">
            <v>6.1305440163427552E-2</v>
          </cell>
          <cell r="D1025">
            <v>0.14874705508142777</v>
          </cell>
          <cell r="E1025">
            <v>0.45216403673004657</v>
          </cell>
          <cell r="F1025">
            <v>0.23617268276189021</v>
          </cell>
          <cell r="G1025">
            <v>7.3497640935872632E-2</v>
          </cell>
          <cell r="H1025">
            <v>2.8113144327335336E-2</v>
          </cell>
          <cell r="J1025" t="str">
            <v>2010MA</v>
          </cell>
          <cell r="K1025">
            <v>0.47433832199999992</v>
          </cell>
          <cell r="L1025">
            <v>7.3497641000000002E-2</v>
          </cell>
          <cell r="M1025">
            <v>0.45216403700000002</v>
          </cell>
          <cell r="U1025" t="str">
            <v>2010MA</v>
          </cell>
          <cell r="V1025">
            <v>0.31419575799999999</v>
          </cell>
          <cell r="W1025">
            <v>3.0175387000000001E-2</v>
          </cell>
          <cell r="X1025">
            <v>0.18928197099999999</v>
          </cell>
          <cell r="Y1025">
            <v>0.14470469499999999</v>
          </cell>
          <cell r="Z1025">
            <v>0.32164218900000002</v>
          </cell>
          <cell r="AB1025" t="str">
            <v>2010MA</v>
          </cell>
          <cell r="AC1025">
            <v>0</v>
          </cell>
          <cell r="AD1025">
            <v>0</v>
          </cell>
          <cell r="AE1025">
            <v>0.05</v>
          </cell>
          <cell r="AF1025">
            <v>0.95</v>
          </cell>
        </row>
        <row r="1026">
          <cell r="B1026" t="str">
            <v>2010MI</v>
          </cell>
          <cell r="C1026">
            <v>0.21592740095911189</v>
          </cell>
          <cell r="D1026">
            <v>0.33044604004991018</v>
          </cell>
          <cell r="E1026">
            <v>5.8998863632555826E-2</v>
          </cell>
          <cell r="F1026">
            <v>0.32074430847532459</v>
          </cell>
          <cell r="G1026">
            <v>3.4929675483950956E-2</v>
          </cell>
          <cell r="H1026">
            <v>3.8953711399146676E-2</v>
          </cell>
          <cell r="J1026" t="str">
            <v>2010MI</v>
          </cell>
          <cell r="K1026">
            <v>0.90607146100000002</v>
          </cell>
          <cell r="L1026">
            <v>3.4929675E-2</v>
          </cell>
          <cell r="M1026">
            <v>5.8998863999999998E-2</v>
          </cell>
          <cell r="U1026" t="str">
            <v>2010MI</v>
          </cell>
          <cell r="V1026">
            <v>4.5127237000000001E-2</v>
          </cell>
          <cell r="W1026">
            <v>5.0500046999999999E-2</v>
          </cell>
          <cell r="X1026">
            <v>0.254352099</v>
          </cell>
          <cell r="Y1026">
            <v>0.17319266699999999</v>
          </cell>
          <cell r="Z1026">
            <v>0.47682794899999997</v>
          </cell>
          <cell r="AB1026" t="str">
            <v>2010MI</v>
          </cell>
          <cell r="AC1026">
            <v>0</v>
          </cell>
          <cell r="AD1026">
            <v>0</v>
          </cell>
          <cell r="AE1026">
            <v>0.02</v>
          </cell>
          <cell r="AF1026">
            <v>0.98</v>
          </cell>
        </row>
        <row r="1027">
          <cell r="B1027" t="str">
            <v>2010MN</v>
          </cell>
          <cell r="C1027">
            <v>0.11559741536790068</v>
          </cell>
          <cell r="D1027">
            <v>0.23915415867765383</v>
          </cell>
          <cell r="E1027">
            <v>0.10052931481156221</v>
          </cell>
          <cell r="F1027">
            <v>0.43822851849088174</v>
          </cell>
          <cell r="G1027">
            <v>5.9517355535203494E-2</v>
          </cell>
          <cell r="H1027">
            <v>4.697323711679801E-2</v>
          </cell>
          <cell r="J1027" t="str">
            <v>2010MN</v>
          </cell>
          <cell r="K1027">
            <v>0.83995332899999997</v>
          </cell>
          <cell r="L1027">
            <v>5.9517356E-2</v>
          </cell>
          <cell r="M1027">
            <v>0.10052931499999999</v>
          </cell>
          <cell r="U1027" t="str">
            <v>2010MN</v>
          </cell>
          <cell r="V1027">
            <v>1.5145339000000001E-2</v>
          </cell>
          <cell r="W1027">
            <v>5.1986831999999997E-2</v>
          </cell>
          <cell r="X1027">
            <v>0.262445557</v>
          </cell>
          <cell r="Y1027">
            <v>0.17896024199999999</v>
          </cell>
          <cell r="Z1027">
            <v>0.49146202900000002</v>
          </cell>
          <cell r="AB1027" t="str">
            <v>2010MN</v>
          </cell>
          <cell r="AC1027">
            <v>0</v>
          </cell>
          <cell r="AD1027">
            <v>0</v>
          </cell>
          <cell r="AE1027">
            <v>0</v>
          </cell>
          <cell r="AF1027">
            <v>1</v>
          </cell>
        </row>
        <row r="1028">
          <cell r="B1028" t="str">
            <v>2010MS</v>
          </cell>
          <cell r="C1028">
            <v>0.10416334210611014</v>
          </cell>
          <cell r="D1028">
            <v>7.2829933678422776E-2</v>
          </cell>
          <cell r="E1028">
            <v>0.14929269604113307</v>
          </cell>
          <cell r="F1028">
            <v>0.10019278631941281</v>
          </cell>
          <cell r="G1028">
            <v>0.56868226150598644</v>
          </cell>
          <cell r="H1028">
            <v>4.838980348934833E-3</v>
          </cell>
          <cell r="J1028" t="str">
            <v>2010MS</v>
          </cell>
          <cell r="K1028">
            <v>0.28202504199999989</v>
          </cell>
          <cell r="L1028">
            <v>0.56868226200000005</v>
          </cell>
          <cell r="M1028">
            <v>0.149292696</v>
          </cell>
          <cell r="U1028" t="str">
            <v>2010MS</v>
          </cell>
          <cell r="V1028">
            <v>2.1100625000000001E-2</v>
          </cell>
          <cell r="W1028">
            <v>3.6418512E-2</v>
          </cell>
          <cell r="X1028">
            <v>6.0129593000000002E-2</v>
          </cell>
          <cell r="Y1028">
            <v>0.574366987</v>
          </cell>
          <cell r="Z1028">
            <v>0.30798428300000003</v>
          </cell>
          <cell r="AB1028" t="str">
            <v>2010MS</v>
          </cell>
          <cell r="AC1028">
            <v>0</v>
          </cell>
          <cell r="AD1028">
            <v>0</v>
          </cell>
          <cell r="AE1028">
            <v>0.6</v>
          </cell>
          <cell r="AF1028">
            <v>0.4</v>
          </cell>
        </row>
        <row r="1029">
          <cell r="B1029" t="str">
            <v>2010MO</v>
          </cell>
          <cell r="C1029">
            <v>6.4925479522277466E-2</v>
          </cell>
          <cell r="D1029">
            <v>0.18170303563698134</v>
          </cell>
          <cell r="E1029">
            <v>0.14337282997597614</v>
          </cell>
          <cell r="F1029">
            <v>0.47880340852502545</v>
          </cell>
          <cell r="G1029">
            <v>8.4882421727070459E-2</v>
          </cell>
          <cell r="H1029">
            <v>4.6312824612669105E-2</v>
          </cell>
          <cell r="J1029" t="str">
            <v>2010MO</v>
          </cell>
          <cell r="K1029">
            <v>0.77174474799999992</v>
          </cell>
          <cell r="L1029">
            <v>8.4882421999999999E-2</v>
          </cell>
          <cell r="M1029">
            <v>0.14337283000000001</v>
          </cell>
          <cell r="U1029" t="str">
            <v>2010MO</v>
          </cell>
          <cell r="V1029">
            <v>2.998994E-2</v>
          </cell>
          <cell r="W1029">
            <v>4.5757142000000001E-2</v>
          </cell>
          <cell r="X1029">
            <v>0.27926039899999999</v>
          </cell>
          <cell r="Y1029">
            <v>0.13775391300000001</v>
          </cell>
          <cell r="Z1029">
            <v>0.50723860600000004</v>
          </cell>
          <cell r="AB1029" t="str">
            <v>2010MO</v>
          </cell>
          <cell r="AC1029">
            <v>0</v>
          </cell>
          <cell r="AD1029">
            <v>0</v>
          </cell>
          <cell r="AE1029">
            <v>0</v>
          </cell>
          <cell r="AF1029">
            <v>1</v>
          </cell>
        </row>
        <row r="1030">
          <cell r="B1030" t="str">
            <v>2010MT</v>
          </cell>
          <cell r="C1030">
            <v>0.35597781750083307</v>
          </cell>
          <cell r="D1030">
            <v>0.25924389885240834</v>
          </cell>
          <cell r="E1030">
            <v>4.3797789125912777E-2</v>
          </cell>
          <cell r="F1030">
            <v>0.25058080537727367</v>
          </cell>
          <cell r="G1030">
            <v>2.5930034358127463E-2</v>
          </cell>
          <cell r="H1030">
            <v>6.4469654785444572E-2</v>
          </cell>
          <cell r="J1030" t="str">
            <v>2010MT</v>
          </cell>
          <cell r="K1030">
            <v>0.93027217699999998</v>
          </cell>
          <cell r="L1030">
            <v>2.5930034000000001E-2</v>
          </cell>
          <cell r="M1030">
            <v>4.3797788999999997E-2</v>
          </cell>
          <cell r="U1030" t="str">
            <v>2010MT</v>
          </cell>
          <cell r="V1030">
            <v>6.0520032000000001E-2</v>
          </cell>
          <cell r="W1030">
            <v>5.1214043000000001E-2</v>
          </cell>
          <cell r="X1030">
            <v>0.24859647000000001</v>
          </cell>
          <cell r="Y1030">
            <v>0.16530719099999999</v>
          </cell>
          <cell r="Z1030">
            <v>0.47436226399999998</v>
          </cell>
          <cell r="AB1030" t="str">
            <v>2010MT</v>
          </cell>
          <cell r="AC1030">
            <v>0</v>
          </cell>
          <cell r="AD1030">
            <v>0</v>
          </cell>
          <cell r="AE1030">
            <v>0.6</v>
          </cell>
          <cell r="AF1030">
            <v>0.4</v>
          </cell>
        </row>
        <row r="1031">
          <cell r="B1031" t="str">
            <v>2010NE</v>
          </cell>
          <cell r="C1031">
            <v>0.21260954807532403</v>
          </cell>
          <cell r="D1031">
            <v>0.30324255962083846</v>
          </cell>
          <cell r="E1031">
            <v>6.1277054134417128E-2</v>
          </cell>
          <cell r="F1031">
            <v>0.34696077142199511</v>
          </cell>
          <cell r="G1031">
            <v>3.6278454935301678E-2</v>
          </cell>
          <cell r="H1031">
            <v>3.9631611812123581E-2</v>
          </cell>
          <cell r="J1031" t="str">
            <v>2010NE</v>
          </cell>
          <cell r="K1031">
            <v>0.90244449100000002</v>
          </cell>
          <cell r="L1031">
            <v>3.6278455000000001E-2</v>
          </cell>
          <cell r="M1031">
            <v>6.1277053999999997E-2</v>
          </cell>
          <cell r="U1031" t="str">
            <v>2010NE</v>
          </cell>
          <cell r="V1031">
            <v>3.0063880000000001E-2</v>
          </cell>
          <cell r="W1031">
            <v>4.5295173000000001E-2</v>
          </cell>
          <cell r="X1031">
            <v>0.27751980599999998</v>
          </cell>
          <cell r="Y1031">
            <v>0.147715386</v>
          </cell>
          <cell r="Z1031">
            <v>0.49940575500000001</v>
          </cell>
          <cell r="AB1031" t="str">
            <v>2010NE</v>
          </cell>
          <cell r="AC1031">
            <v>0</v>
          </cell>
          <cell r="AD1031">
            <v>0</v>
          </cell>
          <cell r="AE1031">
            <v>0.02</v>
          </cell>
          <cell r="AF1031">
            <v>0.98</v>
          </cell>
        </row>
        <row r="1032">
          <cell r="B1032" t="str">
            <v>2010NV</v>
          </cell>
          <cell r="C1032">
            <v>0.64210148526116029</v>
          </cell>
          <cell r="D1032">
            <v>0.238399883587257</v>
          </cell>
          <cell r="E1032">
            <v>4.1594375177217181E-3</v>
          </cell>
          <cell r="F1032">
            <v>0.10819864870890922</v>
          </cell>
          <cell r="G1032">
            <v>2.4625525602432058E-3</v>
          </cell>
          <cell r="H1032">
            <v>4.677992364708553E-3</v>
          </cell>
          <cell r="J1032" t="str">
            <v>2010NV</v>
          </cell>
          <cell r="K1032">
            <v>0.99337800899999995</v>
          </cell>
          <cell r="L1032">
            <v>2.4625530000000001E-3</v>
          </cell>
          <cell r="M1032">
            <v>4.1594379999999997E-3</v>
          </cell>
          <cell r="U1032" t="str">
            <v>2010NV</v>
          </cell>
          <cell r="V1032">
            <v>0.35004114600000003</v>
          </cell>
          <cell r="W1032">
            <v>2.4048478000000002E-2</v>
          </cell>
          <cell r="X1032">
            <v>3.5747737000000002E-2</v>
          </cell>
          <cell r="Y1032">
            <v>0.38867539400000001</v>
          </cell>
          <cell r="Z1032">
            <v>0.20148724500000001</v>
          </cell>
          <cell r="AB1032" t="str">
            <v>2010NV</v>
          </cell>
          <cell r="AC1032">
            <v>0</v>
          </cell>
          <cell r="AD1032">
            <v>0</v>
          </cell>
          <cell r="AE1032">
            <v>0</v>
          </cell>
          <cell r="AF1032">
            <v>1</v>
          </cell>
        </row>
        <row r="1033">
          <cell r="B1033" t="str">
            <v>2010NH</v>
          </cell>
          <cell r="C1033">
            <v>9.4573445198850817E-2</v>
          </cell>
          <cell r="D1033">
            <v>0.16340842518862655</v>
          </cell>
          <cell r="E1033">
            <v>0.44298025846087286</v>
          </cell>
          <cell r="F1033">
            <v>0.20852129702854144</v>
          </cell>
          <cell r="G1033">
            <v>6.52134304627775E-2</v>
          </cell>
          <cell r="H1033">
            <v>2.5303143660330828E-2</v>
          </cell>
          <cell r="J1033" t="str">
            <v>2010NH</v>
          </cell>
          <cell r="K1033">
            <v>0.49180631200000002</v>
          </cell>
          <cell r="L1033">
            <v>6.5213430000000003E-2</v>
          </cell>
          <cell r="M1033">
            <v>0.44298025800000002</v>
          </cell>
          <cell r="U1033" t="str">
            <v>2010NH</v>
          </cell>
          <cell r="V1033">
            <v>0.56759962799999997</v>
          </cell>
          <cell r="W1033">
            <v>1.9025615999999999E-2</v>
          </cell>
          <cell r="X1033">
            <v>0.119342503</v>
          </cell>
          <cell r="Y1033">
            <v>9.1236478999999995E-2</v>
          </cell>
          <cell r="Z1033">
            <v>0.20279577500000001</v>
          </cell>
          <cell r="AB1033" t="str">
            <v>2010NH</v>
          </cell>
          <cell r="AC1033">
            <v>0</v>
          </cell>
          <cell r="AD1033">
            <v>0</v>
          </cell>
          <cell r="AE1033">
            <v>0.05</v>
          </cell>
          <cell r="AF1033">
            <v>0.95</v>
          </cell>
        </row>
        <row r="1034">
          <cell r="B1034" t="str">
            <v>2010NJ</v>
          </cell>
          <cell r="C1034">
            <v>5.8003576611346738E-2</v>
          </cell>
          <cell r="D1034">
            <v>0.13897871355240557</v>
          </cell>
          <cell r="E1034">
            <v>0.45397029129837874</v>
          </cell>
          <cell r="F1034">
            <v>0.24471653627570109</v>
          </cell>
          <cell r="G1034">
            <v>7.5126969581826603E-2</v>
          </cell>
          <cell r="H1034">
            <v>2.9203912680341212E-2</v>
          </cell>
          <cell r="J1034" t="str">
            <v>2010NJ</v>
          </cell>
          <cell r="K1034">
            <v>0.47090273900000001</v>
          </cell>
          <cell r="L1034">
            <v>7.5126970000000001E-2</v>
          </cell>
          <cell r="M1034">
            <v>0.45397029100000003</v>
          </cell>
          <cell r="U1034" t="str">
            <v>2010NJ</v>
          </cell>
          <cell r="V1034">
            <v>0.30808167400000003</v>
          </cell>
          <cell r="W1034">
            <v>3.3011736E-2</v>
          </cell>
          <cell r="X1034">
            <v>0.18818818500000001</v>
          </cell>
          <cell r="Y1034">
            <v>0.137437002</v>
          </cell>
          <cell r="Z1034">
            <v>0.333281404</v>
          </cell>
          <cell r="AB1034" t="str">
            <v>2010NJ</v>
          </cell>
          <cell r="AC1034">
            <v>0</v>
          </cell>
          <cell r="AD1034">
            <v>0</v>
          </cell>
          <cell r="AE1034">
            <v>0.05</v>
          </cell>
          <cell r="AF1034">
            <v>0.95</v>
          </cell>
        </row>
        <row r="1035">
          <cell r="B1035" t="str">
            <v>2010NM</v>
          </cell>
          <cell r="C1035">
            <v>0.61184589317007076</v>
          </cell>
          <cell r="D1035">
            <v>0.19452029294367307</v>
          </cell>
          <cell r="E1035">
            <v>9.8952813124742175E-2</v>
          </cell>
          <cell r="F1035">
            <v>9.4174237847419268E-2</v>
          </cell>
          <cell r="G1035">
            <v>0</v>
          </cell>
          <cell r="H1035">
            <v>5.0676291409465751E-4</v>
          </cell>
          <cell r="J1035" t="str">
            <v>2010NM</v>
          </cell>
          <cell r="K1035">
            <v>0.90104718699999997</v>
          </cell>
          <cell r="L1035">
            <v>0</v>
          </cell>
          <cell r="M1035">
            <v>9.8952813000000001E-2</v>
          </cell>
          <cell r="U1035" t="str">
            <v>2010NM</v>
          </cell>
          <cell r="V1035">
            <v>0.91655606099999998</v>
          </cell>
          <cell r="W1035">
            <v>3.6715329999999998E-3</v>
          </cell>
          <cell r="X1035">
            <v>2.3030526999999999E-2</v>
          </cell>
          <cell r="Y1035">
            <v>1.7606671000000001E-2</v>
          </cell>
          <cell r="Z1035">
            <v>3.9135206999999998E-2</v>
          </cell>
          <cell r="AB1035" t="str">
            <v>2010NM</v>
          </cell>
          <cell r="AC1035">
            <v>0</v>
          </cell>
          <cell r="AD1035">
            <v>0</v>
          </cell>
          <cell r="AE1035">
            <v>0.6</v>
          </cell>
          <cell r="AF1035">
            <v>0.4</v>
          </cell>
        </row>
        <row r="1036">
          <cell r="B1036" t="str">
            <v>2010NY</v>
          </cell>
          <cell r="C1036">
            <v>9.8408703041683282E-2</v>
          </cell>
          <cell r="D1036">
            <v>0.15954377256245178</v>
          </cell>
          <cell r="E1036">
            <v>0.44849165243165579</v>
          </cell>
          <cell r="F1036">
            <v>0.20287733376538455</v>
          </cell>
          <cell r="G1036">
            <v>7.0184973363303343E-2</v>
          </cell>
          <cell r="H1036">
            <v>2.0493564835521279E-2</v>
          </cell>
          <cell r="J1036" t="str">
            <v>2010NY</v>
          </cell>
          <cell r="K1036">
            <v>0.481323375</v>
          </cell>
          <cell r="L1036">
            <v>7.0184972999999998E-2</v>
          </cell>
          <cell r="M1036">
            <v>0.44849165200000002</v>
          </cell>
          <cell r="U1036" t="str">
            <v>2010NY</v>
          </cell>
          <cell r="V1036">
            <v>0.20441514899999999</v>
          </cell>
          <cell r="W1036">
            <v>4.1815811000000001E-2</v>
          </cell>
          <cell r="X1036">
            <v>0.21220383400000001</v>
          </cell>
          <cell r="Y1036">
            <v>0.145168144</v>
          </cell>
          <cell r="Z1036">
            <v>0.396397061</v>
          </cell>
          <cell r="AB1036" t="str">
            <v>2010NY</v>
          </cell>
          <cell r="AC1036">
            <v>0</v>
          </cell>
          <cell r="AD1036">
            <v>0</v>
          </cell>
          <cell r="AE1036">
            <v>0.05</v>
          </cell>
          <cell r="AF1036">
            <v>0.95</v>
          </cell>
        </row>
        <row r="1037">
          <cell r="B1037" t="str">
            <v>2010NC</v>
          </cell>
          <cell r="C1037">
            <v>6.168821577504751E-2</v>
          </cell>
          <cell r="D1037">
            <v>0.11278426418396881</v>
          </cell>
          <cell r="E1037">
            <v>0.15395779991170949</v>
          </cell>
          <cell r="F1037">
            <v>0.11589101949636353</v>
          </cell>
          <cell r="G1037">
            <v>0.54100750469043157</v>
          </cell>
          <cell r="H1037">
            <v>1.4671195942479084E-2</v>
          </cell>
          <cell r="J1037" t="str">
            <v>2010NC</v>
          </cell>
          <cell r="K1037">
            <v>0.30503469499999991</v>
          </cell>
          <cell r="L1037">
            <v>0.54100750500000006</v>
          </cell>
          <cell r="M1037">
            <v>0.15395780000000001</v>
          </cell>
          <cell r="U1037" t="str">
            <v>2010NC</v>
          </cell>
          <cell r="V1037">
            <v>2.4742549999999999E-3</v>
          </cell>
          <cell r="W1037">
            <v>3.7123251000000003E-2</v>
          </cell>
          <cell r="X1037">
            <v>6.1645423999999997E-2</v>
          </cell>
          <cell r="Y1037">
            <v>0.58464508599999998</v>
          </cell>
          <cell r="Z1037">
            <v>0.31411198400000001</v>
          </cell>
          <cell r="AB1037" t="str">
            <v>2010NC</v>
          </cell>
          <cell r="AC1037">
            <v>0</v>
          </cell>
          <cell r="AD1037">
            <v>0</v>
          </cell>
          <cell r="AE1037">
            <v>0.41899999999999998</v>
          </cell>
          <cell r="AF1037">
            <v>0.58099999999999996</v>
          </cell>
        </row>
        <row r="1038">
          <cell r="B1038" t="str">
            <v>2010ND</v>
          </cell>
          <cell r="C1038">
            <v>0.1196932700797023</v>
          </cell>
          <cell r="D1038">
            <v>0.21866711268457967</v>
          </cell>
          <cell r="E1038">
            <v>0.10978970169096619</v>
          </cell>
          <cell r="F1038">
            <v>0.448028418369537</v>
          </cell>
          <cell r="G1038">
            <v>6.499987314042277E-2</v>
          </cell>
          <cell r="H1038">
            <v>3.8821624034792085E-2</v>
          </cell>
          <cell r="J1038" t="str">
            <v>2010ND</v>
          </cell>
          <cell r="K1038">
            <v>0.82521042499999997</v>
          </cell>
          <cell r="L1038">
            <v>6.4999873E-2</v>
          </cell>
          <cell r="M1038">
            <v>0.109789702</v>
          </cell>
          <cell r="U1038" t="str">
            <v>2010ND</v>
          </cell>
          <cell r="V1038">
            <v>8.8434773999999994E-2</v>
          </cell>
          <cell r="W1038">
            <v>4.7868137999999998E-2</v>
          </cell>
          <cell r="X1038">
            <v>0.243186129</v>
          </cell>
          <cell r="Y1038">
            <v>0.16647603599999999</v>
          </cell>
          <cell r="Z1038">
            <v>0.45403492299999998</v>
          </cell>
          <cell r="AB1038" t="str">
            <v>2010ND</v>
          </cell>
          <cell r="AC1038">
            <v>0</v>
          </cell>
          <cell r="AD1038">
            <v>0</v>
          </cell>
          <cell r="AE1038">
            <v>0.02</v>
          </cell>
          <cell r="AF1038">
            <v>0.98</v>
          </cell>
        </row>
        <row r="1039">
          <cell r="B1039" t="str">
            <v>2010OH</v>
          </cell>
          <cell r="C1039">
            <v>0.10753833947858983</v>
          </cell>
          <cell r="D1039">
            <v>0.22522557822049544</v>
          </cell>
          <cell r="E1039">
            <v>0.13589110116557596</v>
          </cell>
          <cell r="F1039">
            <v>0.4097570212201273</v>
          </cell>
          <cell r="G1039">
            <v>8.0452940491062386E-2</v>
          </cell>
          <cell r="H1039">
            <v>4.1135019424149183E-2</v>
          </cell>
          <cell r="J1039" t="str">
            <v>2010OH</v>
          </cell>
          <cell r="K1039">
            <v>0.78365595900000007</v>
          </cell>
          <cell r="L1039">
            <v>8.0452940000000001E-2</v>
          </cell>
          <cell r="M1039">
            <v>0.13589110099999999</v>
          </cell>
          <cell r="U1039" t="str">
            <v>2010OH</v>
          </cell>
          <cell r="V1039">
            <v>6.6338901000000006E-2</v>
          </cell>
          <cell r="W1039">
            <v>4.3119113000000001E-2</v>
          </cell>
          <cell r="X1039">
            <v>0.26533305600000001</v>
          </cell>
          <cell r="Y1039">
            <v>0.15267545299999999</v>
          </cell>
          <cell r="Z1039">
            <v>0.47253347699999998</v>
          </cell>
          <cell r="AB1039" t="str">
            <v>2010OH</v>
          </cell>
          <cell r="AC1039">
            <v>0</v>
          </cell>
          <cell r="AD1039">
            <v>0</v>
          </cell>
          <cell r="AE1039">
            <v>0</v>
          </cell>
          <cell r="AF1039">
            <v>1</v>
          </cell>
        </row>
        <row r="1040">
          <cell r="B1040" t="str">
            <v>2010OK</v>
          </cell>
          <cell r="C1040">
            <v>0.40296958934788546</v>
          </cell>
          <cell r="D1040">
            <v>0.22528492954061258</v>
          </cell>
          <cell r="E1040">
            <v>6.4896255940651446E-2</v>
          </cell>
          <cell r="F1040">
            <v>0.24738177570149189</v>
          </cell>
          <cell r="G1040">
            <v>0</v>
          </cell>
          <cell r="H1040">
            <v>5.9467449469358676E-2</v>
          </cell>
          <cell r="J1040" t="str">
            <v>2010OK</v>
          </cell>
          <cell r="K1040">
            <v>0.93510374399999996</v>
          </cell>
          <cell r="L1040">
            <v>0</v>
          </cell>
          <cell r="M1040">
            <v>6.4896255999999999E-2</v>
          </cell>
          <cell r="U1040" t="str">
            <v>2010OK</v>
          </cell>
          <cell r="V1040">
            <v>1.2831308E-2</v>
          </cell>
          <cell r="W1040">
            <v>3.6793041999999998E-2</v>
          </cell>
          <cell r="X1040">
            <v>6.2749109999999997E-2</v>
          </cell>
          <cell r="Y1040">
            <v>0.57552135800000004</v>
          </cell>
          <cell r="Z1040">
            <v>0.31210518199999998</v>
          </cell>
          <cell r="AB1040" t="str">
            <v>2010OK</v>
          </cell>
          <cell r="AC1040">
            <v>0</v>
          </cell>
          <cell r="AD1040">
            <v>0</v>
          </cell>
          <cell r="AE1040">
            <v>0.6</v>
          </cell>
          <cell r="AF1040">
            <v>0.4</v>
          </cell>
        </row>
        <row r="1041">
          <cell r="B1041" t="str">
            <v>2010OR</v>
          </cell>
          <cell r="C1041">
            <v>0.43856747008812064</v>
          </cell>
          <cell r="D1041">
            <v>0.20958259090942544</v>
          </cell>
          <cell r="E1041">
            <v>0</v>
          </cell>
          <cell r="F1041">
            <v>0.12862948158709187</v>
          </cell>
          <cell r="G1041">
            <v>0.2018533708975031</v>
          </cell>
          <cell r="H1041">
            <v>2.1367086517858933E-2</v>
          </cell>
          <cell r="J1041" t="str">
            <v>2010OR</v>
          </cell>
          <cell r="K1041">
            <v>0.798146629</v>
          </cell>
          <cell r="L1041">
            <v>0.201853371</v>
          </cell>
          <cell r="M1041">
            <v>0</v>
          </cell>
          <cell r="U1041" t="str">
            <v>2010OR</v>
          </cell>
          <cell r="V1041">
            <v>0.57640796000000005</v>
          </cell>
          <cell r="W1041">
            <v>1.863805E-2</v>
          </cell>
          <cell r="X1041">
            <v>0.116911403</v>
          </cell>
          <cell r="Y1041">
            <v>8.937792E-2</v>
          </cell>
          <cell r="Z1041">
            <v>0.19866466699999999</v>
          </cell>
          <cell r="AB1041" t="str">
            <v>2010OR</v>
          </cell>
          <cell r="AC1041">
            <v>0</v>
          </cell>
          <cell r="AD1041">
            <v>0</v>
          </cell>
          <cell r="AE1041">
            <v>0.25</v>
          </cell>
          <cell r="AF1041">
            <v>0.75</v>
          </cell>
        </row>
        <row r="1042">
          <cell r="B1042" t="str">
            <v>2010PA</v>
          </cell>
          <cell r="C1042">
            <v>4.9624045569858895E-2</v>
          </cell>
          <cell r="D1042">
            <v>0.11712497857538914</v>
          </cell>
          <cell r="E1042">
            <v>0.46874549019831585</v>
          </cell>
          <cell r="F1042">
            <v>0.25230966018477574</v>
          </cell>
          <cell r="G1042">
            <v>8.8454910858433447E-2</v>
          </cell>
          <cell r="H1042">
            <v>2.3740914613226898E-2</v>
          </cell>
          <cell r="J1042" t="str">
            <v>2010PA</v>
          </cell>
          <cell r="K1042">
            <v>0.44279959899999999</v>
          </cell>
          <cell r="L1042">
            <v>8.8454910999999997E-2</v>
          </cell>
          <cell r="M1042">
            <v>0.46874548999999999</v>
          </cell>
          <cell r="U1042" t="str">
            <v>2010PA</v>
          </cell>
          <cell r="V1042">
            <v>5.0102499000000002E-2</v>
          </cell>
          <cell r="W1042">
            <v>4.9409870000000002E-2</v>
          </cell>
          <cell r="X1042">
            <v>0.25392279899999998</v>
          </cell>
          <cell r="Y1042">
            <v>0.17504710600000001</v>
          </cell>
          <cell r="Z1042">
            <v>0.47151772600000003</v>
          </cell>
          <cell r="AB1042" t="str">
            <v>2010PA</v>
          </cell>
          <cell r="AC1042">
            <v>0</v>
          </cell>
          <cell r="AD1042">
            <v>0</v>
          </cell>
          <cell r="AE1042">
            <v>0</v>
          </cell>
          <cell r="AF1042">
            <v>1</v>
          </cell>
        </row>
        <row r="1043">
          <cell r="B1043" t="str">
            <v>2010RI</v>
          </cell>
          <cell r="C1043">
            <v>4.2447025005926793E-2</v>
          </cell>
          <cell r="D1043">
            <v>0.1190174947032642</v>
          </cell>
          <cell r="E1043">
            <v>0.46784468707451643</v>
          </cell>
          <cell r="F1043">
            <v>0.25730854976835782</v>
          </cell>
          <cell r="G1043">
            <v>8.7642343040085183E-2</v>
          </cell>
          <cell r="H1043">
            <v>2.5739900407849584E-2</v>
          </cell>
          <cell r="J1043" t="str">
            <v>2010RI</v>
          </cell>
          <cell r="K1043">
            <v>0.44451297000000001</v>
          </cell>
          <cell r="L1043">
            <v>8.7642342999999998E-2</v>
          </cell>
          <cell r="M1043">
            <v>0.46784468699999998</v>
          </cell>
          <cell r="U1043" t="str">
            <v>2010RI</v>
          </cell>
          <cell r="V1043">
            <v>0.56026879500000004</v>
          </cell>
          <cell r="W1043">
            <v>1.9348173E-2</v>
          </cell>
          <cell r="X1043">
            <v>0.121365813</v>
          </cell>
          <cell r="Y1043">
            <v>9.2783283999999994E-2</v>
          </cell>
          <cell r="Z1043">
            <v>0.20623393500000001</v>
          </cell>
          <cell r="AB1043" t="str">
            <v>2010RI</v>
          </cell>
          <cell r="AC1043">
            <v>0</v>
          </cell>
          <cell r="AD1043">
            <v>0</v>
          </cell>
          <cell r="AE1043">
            <v>0.05</v>
          </cell>
          <cell r="AF1043">
            <v>0.95</v>
          </cell>
        </row>
        <row r="1044">
          <cell r="B1044" t="str">
            <v>2010SC</v>
          </cell>
          <cell r="C1044">
            <v>0.13346180610825578</v>
          </cell>
          <cell r="D1044">
            <v>9.0019723091430845E-2</v>
          </cell>
          <cell r="E1044">
            <v>0.15451296947775242</v>
          </cell>
          <cell r="F1044">
            <v>8.0687406490411034E-2</v>
          </cell>
          <cell r="G1044">
            <v>0.53771407690020812</v>
          </cell>
          <cell r="H1044">
            <v>3.6040179319418398E-3</v>
          </cell>
          <cell r="J1044" t="str">
            <v>2010SC</v>
          </cell>
          <cell r="K1044">
            <v>0.30777295400000004</v>
          </cell>
          <cell r="L1044">
            <v>0.53771407699999996</v>
          </cell>
          <cell r="M1044">
            <v>0.154512969</v>
          </cell>
          <cell r="U1044" t="str">
            <v>2010SC</v>
          </cell>
          <cell r="V1044">
            <v>6.1629585000000001E-2</v>
          </cell>
          <cell r="W1044">
            <v>3.5823032999999997E-2</v>
          </cell>
          <cell r="X1044">
            <v>8.6443989999999998E-2</v>
          </cell>
          <cell r="Y1044">
            <v>0.50014727299999995</v>
          </cell>
          <cell r="Z1044">
            <v>0.31595611899999998</v>
          </cell>
          <cell r="AB1044" t="str">
            <v>2010SC</v>
          </cell>
          <cell r="AC1044">
            <v>0</v>
          </cell>
          <cell r="AD1044">
            <v>0</v>
          </cell>
          <cell r="AE1044">
            <v>0.6</v>
          </cell>
          <cell r="AF1044">
            <v>0.4</v>
          </cell>
        </row>
        <row r="1045">
          <cell r="B1045" t="str">
            <v>2010SD</v>
          </cell>
          <cell r="C1045">
            <v>0.17608951911561277</v>
          </cell>
          <cell r="D1045">
            <v>0.277831368160596</v>
          </cell>
          <cell r="E1045">
            <v>7.9800561964795444E-2</v>
          </cell>
          <cell r="F1045">
            <v>0.37802114842972712</v>
          </cell>
          <cell r="G1045">
            <v>4.724510882492864E-2</v>
          </cell>
          <cell r="H1045">
            <v>4.1012293504340026E-2</v>
          </cell>
          <cell r="J1045" t="str">
            <v>2010SD</v>
          </cell>
          <cell r="K1045">
            <v>0.87295432900000003</v>
          </cell>
          <cell r="L1045">
            <v>4.7245109E-2</v>
          </cell>
          <cell r="M1045">
            <v>7.9800562000000005E-2</v>
          </cell>
          <cell r="U1045" t="str">
            <v>2010SD</v>
          </cell>
          <cell r="V1045">
            <v>3.3046748000000001E-2</v>
          </cell>
          <cell r="W1045">
            <v>5.1157264000000001E-2</v>
          </cell>
          <cell r="X1045">
            <v>0.25755016600000002</v>
          </cell>
          <cell r="Y1045">
            <v>0.17532273200000001</v>
          </cell>
          <cell r="Z1045">
            <v>0.48292308900000003</v>
          </cell>
          <cell r="AB1045" t="str">
            <v>2010SD</v>
          </cell>
          <cell r="AC1045">
            <v>0</v>
          </cell>
          <cell r="AD1045">
            <v>0</v>
          </cell>
          <cell r="AE1045">
            <v>0.02</v>
          </cell>
          <cell r="AF1045">
            <v>0.98</v>
          </cell>
        </row>
        <row r="1046">
          <cell r="B1046" t="str">
            <v>2010TN</v>
          </cell>
          <cell r="C1046">
            <v>4.0519949592449485E-2</v>
          </cell>
          <cell r="D1046">
            <v>8.9664149461423162E-2</v>
          </cell>
          <cell r="E1046">
            <v>0.14551684926860037</v>
          </cell>
          <cell r="F1046">
            <v>0.1170185785979804</v>
          </cell>
          <cell r="G1046">
            <v>0.59108168584929244</v>
          </cell>
          <cell r="H1046">
            <v>1.6198787230254148E-2</v>
          </cell>
          <cell r="J1046" t="str">
            <v>2010TN</v>
          </cell>
          <cell r="K1046">
            <v>0.26340146500000006</v>
          </cell>
          <cell r="L1046">
            <v>0.591081686</v>
          </cell>
          <cell r="M1046">
            <v>0.145516849</v>
          </cell>
          <cell r="U1046" t="str">
            <v>2010TN</v>
          </cell>
          <cell r="V1046">
            <v>0.102875089</v>
          </cell>
          <cell r="W1046">
            <v>3.5402429999999999E-2</v>
          </cell>
          <cell r="X1046">
            <v>0.119077104</v>
          </cell>
          <cell r="Y1046">
            <v>0.41436515099999999</v>
          </cell>
          <cell r="Z1046">
            <v>0.32828022600000001</v>
          </cell>
          <cell r="AB1046" t="str">
            <v>2010TN</v>
          </cell>
          <cell r="AC1046">
            <v>0</v>
          </cell>
          <cell r="AD1046">
            <v>0</v>
          </cell>
          <cell r="AE1046">
            <v>0.05</v>
          </cell>
          <cell r="AF1046">
            <v>0.95</v>
          </cell>
        </row>
        <row r="1047">
          <cell r="B1047" t="str">
            <v>2010TX</v>
          </cell>
          <cell r="C1047">
            <v>0.53305655520056971</v>
          </cell>
          <cell r="D1047">
            <v>0.24233312613196878</v>
          </cell>
          <cell r="E1047">
            <v>7.9791980793249173E-2</v>
          </cell>
          <cell r="F1047">
            <v>0.1278405091499755</v>
          </cell>
          <cell r="G1047">
            <v>0</v>
          </cell>
          <cell r="H1047">
            <v>1.6977828724236681E-2</v>
          </cell>
          <cell r="J1047" t="str">
            <v>2010TX</v>
          </cell>
          <cell r="K1047">
            <v>0.92020801900000004</v>
          </cell>
          <cell r="L1047">
            <v>0</v>
          </cell>
          <cell r="M1047">
            <v>7.9791980999999998E-2</v>
          </cell>
          <cell r="U1047" t="str">
            <v>2010TX</v>
          </cell>
          <cell r="V1047">
            <v>6.9632535999999995E-2</v>
          </cell>
          <cell r="W1047">
            <v>3.4700662E-2</v>
          </cell>
          <cell r="X1047">
            <v>5.9917572000000002E-2</v>
          </cell>
          <cell r="Y1047">
            <v>0.54104196599999999</v>
          </cell>
          <cell r="Z1047">
            <v>0.29470726400000002</v>
          </cell>
          <cell r="AB1047" t="str">
            <v>2010TX</v>
          </cell>
          <cell r="AC1047">
            <v>0</v>
          </cell>
          <cell r="AD1047">
            <v>0</v>
          </cell>
          <cell r="AE1047">
            <v>0.12</v>
          </cell>
          <cell r="AF1047">
            <v>0.88</v>
          </cell>
        </row>
        <row r="1048">
          <cell r="B1048" t="str">
            <v>2010UT</v>
          </cell>
          <cell r="C1048">
            <v>0.51165623152884221</v>
          </cell>
          <cell r="D1048">
            <v>0.26394677259150623</v>
          </cell>
          <cell r="E1048">
            <v>1.3999177703951423E-2</v>
          </cell>
          <cell r="F1048">
            <v>0.17036034814732054</v>
          </cell>
          <cell r="G1048">
            <v>8.2880703819413898E-3</v>
          </cell>
          <cell r="H1048">
            <v>3.1749399646438282E-2</v>
          </cell>
          <cell r="J1048" t="str">
            <v>2010UT</v>
          </cell>
          <cell r="K1048">
            <v>0.97771275199999996</v>
          </cell>
          <cell r="L1048">
            <v>8.2880699999999998E-3</v>
          </cell>
          <cell r="M1048">
            <v>1.3999177999999999E-2</v>
          </cell>
          <cell r="U1048" t="str">
            <v>2010UT</v>
          </cell>
          <cell r="V1048">
            <v>8.6456620000000001E-3</v>
          </cell>
          <cell r="W1048">
            <v>5.5424775000000003E-2</v>
          </cell>
          <cell r="X1048">
            <v>0.260824848</v>
          </cell>
          <cell r="Y1048">
            <v>0.16982515300000001</v>
          </cell>
          <cell r="Z1048">
            <v>0.50527956200000002</v>
          </cell>
          <cell r="AB1048" t="str">
            <v>2010UT</v>
          </cell>
          <cell r="AC1048">
            <v>0</v>
          </cell>
          <cell r="AD1048">
            <v>0</v>
          </cell>
          <cell r="AE1048">
            <v>0.6</v>
          </cell>
          <cell r="AF1048">
            <v>0.4</v>
          </cell>
        </row>
        <row r="1049">
          <cell r="B1049" t="str">
            <v>2010VT</v>
          </cell>
          <cell r="C1049">
            <v>9.9973781354903396E-2</v>
          </cell>
          <cell r="D1049">
            <v>0.17387691112967565</v>
          </cell>
          <cell r="E1049">
            <v>0.44423932842492886</v>
          </cell>
          <cell r="F1049">
            <v>0.19448861844630186</v>
          </cell>
          <cell r="G1049">
            <v>6.6349172232328182E-2</v>
          </cell>
          <cell r="H1049">
            <v>2.1072188411862088E-2</v>
          </cell>
          <cell r="J1049" t="str">
            <v>2010VT</v>
          </cell>
          <cell r="K1049">
            <v>0.4894115</v>
          </cell>
          <cell r="L1049">
            <v>6.6349171999999998E-2</v>
          </cell>
          <cell r="M1049">
            <v>0.44423932799999999</v>
          </cell>
          <cell r="U1049" t="str">
            <v>2010VT</v>
          </cell>
          <cell r="V1049">
            <v>0.86037974299999997</v>
          </cell>
          <cell r="W1049">
            <v>6.1432910000000004E-3</v>
          </cell>
          <cell r="X1049">
            <v>3.8535191000000003E-2</v>
          </cell>
          <cell r="Y1049">
            <v>2.9459874E-2</v>
          </cell>
          <cell r="Z1049">
            <v>6.5481899999999996E-2</v>
          </cell>
          <cell r="AB1049" t="str">
            <v>2010VT</v>
          </cell>
          <cell r="AC1049">
            <v>0</v>
          </cell>
          <cell r="AD1049">
            <v>0</v>
          </cell>
          <cell r="AE1049">
            <v>0.05</v>
          </cell>
          <cell r="AF1049">
            <v>0.95</v>
          </cell>
        </row>
        <row r="1050">
          <cell r="B1050" t="str">
            <v>2010VA</v>
          </cell>
          <cell r="C1050">
            <v>4.4953509549794296E-2</v>
          </cell>
          <cell r="D1050">
            <v>9.339670802378576E-2</v>
          </cell>
          <cell r="E1050">
            <v>0.14844092890155638</v>
          </cell>
          <cell r="F1050">
            <v>0.12331550684410268</v>
          </cell>
          <cell r="G1050">
            <v>0.5737351926100378</v>
          </cell>
          <cell r="H1050">
            <v>1.6158154070723133E-2</v>
          </cell>
          <cell r="J1050" t="str">
            <v>2010VA</v>
          </cell>
          <cell r="K1050">
            <v>0.27782387799999997</v>
          </cell>
          <cell r="L1050">
            <v>0.57373519299999998</v>
          </cell>
          <cell r="M1050">
            <v>0.148440929</v>
          </cell>
          <cell r="U1050" t="str">
            <v>2010VA</v>
          </cell>
          <cell r="V1050">
            <v>3.3934871999999998E-2</v>
          </cell>
          <cell r="W1050">
            <v>3.6244844999999998E-2</v>
          </cell>
          <cell r="X1050">
            <v>6.8933026999999994E-2</v>
          </cell>
          <cell r="Y1050">
            <v>0.550040046</v>
          </cell>
          <cell r="Z1050">
            <v>0.31084721100000001</v>
          </cell>
          <cell r="AB1050" t="str">
            <v>2010VA</v>
          </cell>
          <cell r="AC1050">
            <v>0</v>
          </cell>
          <cell r="AD1050">
            <v>0</v>
          </cell>
          <cell r="AE1050">
            <v>0.05</v>
          </cell>
          <cell r="AF1050">
            <v>0.95</v>
          </cell>
        </row>
        <row r="1051">
          <cell r="B1051" t="str">
            <v>2010WA</v>
          </cell>
          <cell r="C1051">
            <v>0.48742079910802349</v>
          </cell>
          <cell r="D1051">
            <v>0.21961274491816118</v>
          </cell>
          <cell r="E1051">
            <v>0</v>
          </cell>
          <cell r="F1051">
            <v>0.11254281869932067</v>
          </cell>
          <cell r="G1051">
            <v>0.16627589127589129</v>
          </cell>
          <cell r="H1051">
            <v>1.4147745998603438E-2</v>
          </cell>
          <cell r="J1051" t="str">
            <v>2010WA</v>
          </cell>
          <cell r="K1051">
            <v>0.83372410900000005</v>
          </cell>
          <cell r="L1051">
            <v>0.16627589100000001</v>
          </cell>
          <cell r="M1051">
            <v>0</v>
          </cell>
          <cell r="U1051" t="str">
            <v>2010WA</v>
          </cell>
          <cell r="V1051">
            <v>0.37353494700000001</v>
          </cell>
          <cell r="W1051">
            <v>3.1263627000000002E-2</v>
          </cell>
          <cell r="X1051">
            <v>0.168896926</v>
          </cell>
          <cell r="Y1051">
            <v>0.119853577</v>
          </cell>
          <cell r="Z1051">
            <v>0.30645092299999999</v>
          </cell>
          <cell r="AB1051" t="str">
            <v>2010WA</v>
          </cell>
          <cell r="AC1051">
            <v>0</v>
          </cell>
          <cell r="AD1051">
            <v>0</v>
          </cell>
          <cell r="AE1051">
            <v>0.12</v>
          </cell>
          <cell r="AF1051">
            <v>0.88</v>
          </cell>
        </row>
        <row r="1052">
          <cell r="B1052" t="str">
            <v>2010WV</v>
          </cell>
          <cell r="C1052">
            <v>6.8751812683186322E-2</v>
          </cell>
          <cell r="D1052">
            <v>0.15888641455628993</v>
          </cell>
          <cell r="E1052">
            <v>0.44831485363191043</v>
          </cell>
          <cell r="F1052">
            <v>0.22633984896592482</v>
          </cell>
          <cell r="G1052">
            <v>7.0025492327769459E-2</v>
          </cell>
          <cell r="H1052">
            <v>2.7681577834919095E-2</v>
          </cell>
          <cell r="J1052" t="str">
            <v>2010WV</v>
          </cell>
          <cell r="K1052">
            <v>0.48165965399999999</v>
          </cell>
          <cell r="L1052">
            <v>7.0025491999999995E-2</v>
          </cell>
          <cell r="M1052">
            <v>0.44831485399999998</v>
          </cell>
          <cell r="U1052" t="str">
            <v>2010WV</v>
          </cell>
          <cell r="V1052">
            <v>0.57920187499999998</v>
          </cell>
          <cell r="W1052">
            <v>2.1256934000000002E-2</v>
          </cell>
          <cell r="X1052">
            <v>0.113169981</v>
          </cell>
          <cell r="Y1052">
            <v>7.9649016000000003E-2</v>
          </cell>
          <cell r="Z1052">
            <v>0.206722194</v>
          </cell>
          <cell r="AB1052" t="str">
            <v>2010WV</v>
          </cell>
          <cell r="AC1052">
            <v>0</v>
          </cell>
          <cell r="AD1052">
            <v>0</v>
          </cell>
          <cell r="AE1052">
            <v>0.05</v>
          </cell>
          <cell r="AF1052">
            <v>0.95</v>
          </cell>
        </row>
        <row r="1053">
          <cell r="B1053" t="str">
            <v>2010WI</v>
          </cell>
          <cell r="C1053">
            <v>0.12203432597344931</v>
          </cell>
          <cell r="D1053">
            <v>0.23555629715568294</v>
          </cell>
          <cell r="E1053">
            <v>0.11540173598404266</v>
          </cell>
          <cell r="F1053">
            <v>0.42032708364290838</v>
          </cell>
          <cell r="G1053">
            <v>6.8322420806473022E-2</v>
          </cell>
          <cell r="H1053">
            <v>3.8358136437443673E-2</v>
          </cell>
          <cell r="J1053" t="str">
            <v>2010WI</v>
          </cell>
          <cell r="K1053">
            <v>0.816275843</v>
          </cell>
          <cell r="L1053">
            <v>6.8322420999999994E-2</v>
          </cell>
          <cell r="M1053">
            <v>0.115401736</v>
          </cell>
          <cell r="U1053" t="str">
            <v>2010WI</v>
          </cell>
          <cell r="V1053">
            <v>0.12883246500000001</v>
          </cell>
          <cell r="W1053">
            <v>4.2564396999999997E-2</v>
          </cell>
          <cell r="X1053">
            <v>0.23585646199999999</v>
          </cell>
          <cell r="Y1053">
            <v>0.16970626599999999</v>
          </cell>
          <cell r="Z1053">
            <v>0.42304040999999998</v>
          </cell>
          <cell r="AB1053" t="str">
            <v>2010WI</v>
          </cell>
          <cell r="AC1053">
            <v>0</v>
          </cell>
          <cell r="AD1053">
            <v>0</v>
          </cell>
          <cell r="AE1053">
            <v>0.02</v>
          </cell>
          <cell r="AF1053">
            <v>0.98</v>
          </cell>
        </row>
        <row r="1054">
          <cell r="B1054" t="str">
            <v>2010WY</v>
          </cell>
          <cell r="C1054">
            <v>0.29508724522063295</v>
          </cell>
          <cell r="D1054">
            <v>0.23251729773373622</v>
          </cell>
          <cell r="E1054">
            <v>0.12161775942187937</v>
          </cell>
          <cell r="F1054">
            <v>0.2207502472879718</v>
          </cell>
          <cell r="G1054">
            <v>7.2002554085590281E-2</v>
          </cell>
          <cell r="H1054">
            <v>5.8024896250189507E-2</v>
          </cell>
          <cell r="J1054" t="str">
            <v>2010WY</v>
          </cell>
          <cell r="K1054">
            <v>0.80637968699999996</v>
          </cell>
          <cell r="L1054">
            <v>7.2002553999999996E-2</v>
          </cell>
          <cell r="M1054">
            <v>0.12161775900000001</v>
          </cell>
          <cell r="U1054" t="str">
            <v>2010WY</v>
          </cell>
          <cell r="V1054">
            <v>3.2109568999999998E-2</v>
          </cell>
          <cell r="W1054">
            <v>5.3596850000000001E-2</v>
          </cell>
          <cell r="X1054">
            <v>0.25521061499999997</v>
          </cell>
          <cell r="Y1054">
            <v>0.16752597599999999</v>
          </cell>
          <cell r="Z1054">
            <v>0.49155699000000003</v>
          </cell>
          <cell r="AB1054" t="str">
            <v>2010WY</v>
          </cell>
          <cell r="AC1054">
            <v>0</v>
          </cell>
          <cell r="AD1054">
            <v>0</v>
          </cell>
          <cell r="AE1054">
            <v>0.6</v>
          </cell>
          <cell r="AF1054">
            <v>0.4</v>
          </cell>
        </row>
        <row r="1055">
          <cell r="B1055" t="str">
            <v>2011AL</v>
          </cell>
          <cell r="C1055">
            <v>0.17233560131521788</v>
          </cell>
          <cell r="D1055">
            <v>9.7606154746872412E-2</v>
          </cell>
          <cell r="E1055">
            <v>0.16919346457207346</v>
          </cell>
          <cell r="F1055">
            <v>0.1056405325382436</v>
          </cell>
          <cell r="G1055">
            <v>0.45062509818962659</v>
          </cell>
          <cell r="H1055">
            <v>4.5991486379660445E-3</v>
          </cell>
          <cell r="J1055" t="str">
            <v>2011AL</v>
          </cell>
          <cell r="K1055">
            <v>0.38018143700000007</v>
          </cell>
          <cell r="L1055">
            <v>0.450625098</v>
          </cell>
          <cell r="M1055">
            <v>0.16919346499999999</v>
          </cell>
          <cell r="U1055" t="str">
            <v>2011AL</v>
          </cell>
          <cell r="V1055">
            <v>5.3114938E-2</v>
          </cell>
          <cell r="W1055">
            <v>3.6058960000000001E-2</v>
          </cell>
          <cell r="X1055">
            <v>8.4414527000000003E-2</v>
          </cell>
          <cell r="Y1055">
            <v>0.50961295299999998</v>
          </cell>
          <cell r="Z1055">
            <v>0.316798623</v>
          </cell>
          <cell r="AB1055" t="str">
            <v>2011AL</v>
          </cell>
          <cell r="AC1055">
            <v>0</v>
          </cell>
          <cell r="AD1055">
            <v>0</v>
          </cell>
          <cell r="AE1055">
            <v>0.41899999999999998</v>
          </cell>
          <cell r="AF1055">
            <v>0.58099999999999996</v>
          </cell>
        </row>
        <row r="1056">
          <cell r="B1056" t="str">
            <v>2011AK</v>
          </cell>
          <cell r="C1056">
            <v>0.30334484066413492</v>
          </cell>
          <cell r="D1056">
            <v>0.23769937716735701</v>
          </cell>
          <cell r="E1056">
            <v>6.205843688929364E-2</v>
          </cell>
          <cell r="F1056">
            <v>0.28363994741136878</v>
          </cell>
          <cell r="G1056">
            <v>3.6741064625999714E-2</v>
          </cell>
          <cell r="H1056">
            <v>7.6516333241846021E-2</v>
          </cell>
          <cell r="J1056" t="str">
            <v>2011AK</v>
          </cell>
          <cell r="K1056">
            <v>0.90120049800000002</v>
          </cell>
          <cell r="L1056">
            <v>3.6741065000000003E-2</v>
          </cell>
          <cell r="M1056">
            <v>6.2058437000000001E-2</v>
          </cell>
          <cell r="U1056" t="str">
            <v>2011AK</v>
          </cell>
          <cell r="V1056">
            <v>0.52632575500000001</v>
          </cell>
          <cell r="W1056">
            <v>2.0841667000000001E-2</v>
          </cell>
          <cell r="X1056">
            <v>0.130734092</v>
          </cell>
          <cell r="Y1056">
            <v>9.9945266000000005E-2</v>
          </cell>
          <cell r="Z1056">
            <v>0.22215322100000001</v>
          </cell>
          <cell r="AB1056" t="str">
            <v>2011AK</v>
          </cell>
          <cell r="AC1056">
            <v>0</v>
          </cell>
          <cell r="AD1056">
            <v>0</v>
          </cell>
          <cell r="AE1056">
            <v>0.25</v>
          </cell>
          <cell r="AF1056">
            <v>0.75</v>
          </cell>
        </row>
        <row r="1057">
          <cell r="B1057" t="str">
            <v>2011AZ</v>
          </cell>
          <cell r="C1057">
            <v>0.611220636654217</v>
          </cell>
          <cell r="D1057">
            <v>0.19572797693407004</v>
          </cell>
          <cell r="E1057">
            <v>9.865488383487428E-2</v>
          </cell>
          <cell r="F1057">
            <v>9.3890669243012675E-2</v>
          </cell>
          <cell r="G1057">
            <v>0</v>
          </cell>
          <cell r="H1057">
            <v>5.0583333382575558E-4</v>
          </cell>
          <cell r="J1057" t="str">
            <v>2011AZ</v>
          </cell>
          <cell r="K1057">
            <v>0.901345116</v>
          </cell>
          <cell r="L1057">
            <v>0</v>
          </cell>
          <cell r="M1057">
            <v>9.8654883999999998E-2</v>
          </cell>
          <cell r="U1057" t="str">
            <v>2011AZ</v>
          </cell>
          <cell r="V1057">
            <v>0.136592664</v>
          </cell>
          <cell r="W1057">
            <v>3.2171241000000003E-2</v>
          </cell>
          <cell r="X1057">
            <v>5.4596316999999998E-2</v>
          </cell>
          <cell r="Y1057">
            <v>0.50386894699999996</v>
          </cell>
          <cell r="Z1057">
            <v>0.27277083200000002</v>
          </cell>
          <cell r="AB1057" t="str">
            <v>2011AZ</v>
          </cell>
          <cell r="AC1057">
            <v>0</v>
          </cell>
          <cell r="AD1057">
            <v>0</v>
          </cell>
          <cell r="AE1057">
            <v>0.6</v>
          </cell>
          <cell r="AF1057">
            <v>0.4</v>
          </cell>
        </row>
        <row r="1058">
          <cell r="B1058" t="str">
            <v>2011AR</v>
          </cell>
          <cell r="C1058">
            <v>9.6391342329605903E-2</v>
          </cell>
          <cell r="D1058">
            <v>6.6955456596874061E-2</v>
          </cell>
          <cell r="E1058">
            <v>0.14888335780531528</v>
          </cell>
          <cell r="F1058">
            <v>0.11118804006195876</v>
          </cell>
          <cell r="G1058">
            <v>0.57111057531117648</v>
          </cell>
          <cell r="H1058">
            <v>5.4712278950695761E-3</v>
          </cell>
          <cell r="J1058" t="str">
            <v>2011AR</v>
          </cell>
          <cell r="K1058">
            <v>0.28000606700000008</v>
          </cell>
          <cell r="L1058">
            <v>0.57111057499999995</v>
          </cell>
          <cell r="M1058">
            <v>0.14888335799999999</v>
          </cell>
          <cell r="U1058" t="str">
            <v>2011AR</v>
          </cell>
          <cell r="V1058">
            <v>3.9459004999999998E-2</v>
          </cell>
          <cell r="W1058">
            <v>3.7640482000000003E-2</v>
          </cell>
          <cell r="X1058">
            <v>0.11914443199999999</v>
          </cell>
          <cell r="Y1058">
            <v>0.45827781299999998</v>
          </cell>
          <cell r="Z1058">
            <v>0.34547826799999998</v>
          </cell>
          <cell r="AB1058" t="str">
            <v>2011AR</v>
          </cell>
          <cell r="AC1058">
            <v>0</v>
          </cell>
          <cell r="AD1058">
            <v>0</v>
          </cell>
          <cell r="AE1058">
            <v>0</v>
          </cell>
          <cell r="AF1058">
            <v>1</v>
          </cell>
        </row>
        <row r="1059">
          <cell r="B1059" t="str">
            <v>2011CA</v>
          </cell>
          <cell r="C1059">
            <v>0.58081862489107328</v>
          </cell>
          <cell r="D1059">
            <v>0.20720345916912225</v>
          </cell>
          <cell r="E1059">
            <v>0.10801924509893834</v>
          </cell>
          <cell r="F1059">
            <v>9.2431120719429966E-2</v>
          </cell>
          <cell r="G1059">
            <v>9.2523577326630076E-3</v>
          </cell>
          <cell r="H1059">
            <v>2.2751923887731596E-3</v>
          </cell>
          <cell r="J1059" t="str">
            <v>2011CA</v>
          </cell>
          <cell r="K1059">
            <v>0.88272839699999994</v>
          </cell>
          <cell r="L1059">
            <v>9.2523580000000005E-3</v>
          </cell>
          <cell r="M1059">
            <v>0.108019245</v>
          </cell>
          <cell r="U1059" t="str">
            <v>2011CA</v>
          </cell>
          <cell r="V1059">
            <v>0.133799526</v>
          </cell>
          <cell r="W1059">
            <v>3.2941353E-2</v>
          </cell>
          <cell r="X1059">
            <v>7.5800703999999997E-2</v>
          </cell>
          <cell r="Y1059">
            <v>0.46867659099999998</v>
          </cell>
          <cell r="Z1059">
            <v>0.28878182499999999</v>
          </cell>
          <cell r="AB1059" t="str">
            <v>2011CA</v>
          </cell>
          <cell r="AC1059">
            <v>0</v>
          </cell>
          <cell r="AD1059">
            <v>0</v>
          </cell>
          <cell r="AE1059">
            <v>0.12</v>
          </cell>
          <cell r="AF1059">
            <v>0.88</v>
          </cell>
        </row>
        <row r="1060">
          <cell r="B1060" t="str">
            <v>2011CO</v>
          </cell>
          <cell r="C1060">
            <v>0.61667904285785091</v>
          </cell>
          <cell r="D1060">
            <v>0.24212893570430052</v>
          </cell>
          <cell r="E1060">
            <v>1.1092391745361967E-2</v>
          </cell>
          <cell r="F1060">
            <v>0.11516410971780773</v>
          </cell>
          <cell r="G1060">
            <v>6.5671374014829543E-3</v>
          </cell>
          <cell r="H1060">
            <v>8.3683825731959392E-3</v>
          </cell>
          <cell r="J1060" t="str">
            <v>2011CO</v>
          </cell>
          <cell r="K1060">
            <v>0.98234047099999999</v>
          </cell>
          <cell r="L1060">
            <v>6.5671369999999998E-3</v>
          </cell>
          <cell r="M1060">
            <v>1.1092392E-2</v>
          </cell>
          <cell r="U1060" t="str">
            <v>2011CO</v>
          </cell>
          <cell r="V1060">
            <v>2.3378138E-2</v>
          </cell>
          <cell r="W1060">
            <v>5.3880426000000002E-2</v>
          </cell>
          <cell r="X1060">
            <v>0.25772948099999998</v>
          </cell>
          <cell r="Y1060">
            <v>0.169703665</v>
          </cell>
          <cell r="Z1060">
            <v>0.49530828999999998</v>
          </cell>
          <cell r="AB1060" t="str">
            <v>2011CO</v>
          </cell>
          <cell r="AC1060">
            <v>0</v>
          </cell>
          <cell r="AD1060">
            <v>0</v>
          </cell>
          <cell r="AE1060">
            <v>0.6</v>
          </cell>
          <cell r="AF1060">
            <v>0.4</v>
          </cell>
        </row>
        <row r="1061">
          <cell r="B1061" t="str">
            <v>2011CT</v>
          </cell>
          <cell r="C1061">
            <v>0.11572842393252261</v>
          </cell>
          <cell r="D1061">
            <v>0.20119880615243968</v>
          </cell>
          <cell r="E1061">
            <v>0.43233999756560143</v>
          </cell>
          <cell r="F1061">
            <v>0.17234541515575838</v>
          </cell>
          <cell r="G1061">
            <v>5.5615402487630847E-2</v>
          </cell>
          <cell r="H1061">
            <v>2.2771954706046996E-2</v>
          </cell>
          <cell r="J1061" t="str">
            <v>2011CT</v>
          </cell>
          <cell r="K1061">
            <v>0.51204460000000007</v>
          </cell>
          <cell r="L1061">
            <v>5.5615402000000001E-2</v>
          </cell>
          <cell r="M1061">
            <v>0.432339998</v>
          </cell>
          <cell r="U1061" t="str">
            <v>2011CT</v>
          </cell>
          <cell r="V1061">
            <v>0.57363861400000005</v>
          </cell>
          <cell r="W1061">
            <v>1.8759900999999999E-2</v>
          </cell>
          <cell r="X1061">
            <v>0.117675743</v>
          </cell>
          <cell r="Y1061">
            <v>8.9962252000000006E-2</v>
          </cell>
          <cell r="Z1061">
            <v>0.19996348999999999</v>
          </cell>
          <cell r="AB1061" t="str">
            <v>2011CT</v>
          </cell>
          <cell r="AC1061">
            <v>0</v>
          </cell>
          <cell r="AD1061">
            <v>0</v>
          </cell>
          <cell r="AE1061">
            <v>0.05</v>
          </cell>
          <cell r="AF1061">
            <v>0.95</v>
          </cell>
        </row>
        <row r="1062">
          <cell r="B1062" t="str">
            <v>2011DE</v>
          </cell>
          <cell r="C1062">
            <v>0.10201653895343663</v>
          </cell>
          <cell r="D1062">
            <v>0.1910091905838856</v>
          </cell>
          <cell r="E1062">
            <v>0.43707162937473454</v>
          </cell>
          <cell r="F1062">
            <v>0.18637975788177577</v>
          </cell>
          <cell r="G1062">
            <v>5.9883562349419175E-2</v>
          </cell>
          <cell r="H1062">
            <v>2.3639320856748244E-2</v>
          </cell>
          <cell r="J1062" t="str">
            <v>2011DE</v>
          </cell>
          <cell r="K1062">
            <v>0.50304480899999993</v>
          </cell>
          <cell r="L1062">
            <v>5.9883562000000001E-2</v>
          </cell>
          <cell r="M1062">
            <v>0.43707162900000002</v>
          </cell>
          <cell r="U1062" t="str">
            <v>2011DE</v>
          </cell>
          <cell r="V1062">
            <v>0.120253529</v>
          </cell>
          <cell r="W1062">
            <v>4.1631153999999997E-2</v>
          </cell>
          <cell r="X1062">
            <v>0.23964419100000001</v>
          </cell>
          <cell r="Y1062">
            <v>0.17588547500000001</v>
          </cell>
          <cell r="Z1062">
            <v>0.42258565100000001</v>
          </cell>
          <cell r="AB1062" t="str">
            <v>2011DE</v>
          </cell>
          <cell r="AC1062">
            <v>0</v>
          </cell>
          <cell r="AD1062">
            <v>0</v>
          </cell>
          <cell r="AE1062">
            <v>0.05</v>
          </cell>
          <cell r="AF1062">
            <v>0.95</v>
          </cell>
        </row>
        <row r="1063">
          <cell r="B1063" t="str">
            <v>2011FL</v>
          </cell>
          <cell r="C1063">
            <v>0.38654865924430459</v>
          </cell>
          <cell r="D1063">
            <v>0.14503983167997814</v>
          </cell>
          <cell r="E1063">
            <v>0.21616400084919535</v>
          </cell>
          <cell r="F1063">
            <v>7.8997496757044303E-2</v>
          </cell>
          <cell r="G1063">
            <v>0.17198217725399226</v>
          </cell>
          <cell r="H1063">
            <v>1.2678342154852779E-3</v>
          </cell>
          <cell r="J1063" t="str">
            <v>2011FL</v>
          </cell>
          <cell r="K1063">
            <v>0.61185382200000005</v>
          </cell>
          <cell r="L1063">
            <v>0.17198217700000001</v>
          </cell>
          <cell r="M1063">
            <v>0.21616400099999999</v>
          </cell>
          <cell r="U1063" t="str">
            <v>2011FL</v>
          </cell>
          <cell r="V1063">
            <v>0.71166924399999998</v>
          </cell>
          <cell r="W1063">
            <v>1.2686553E-2</v>
          </cell>
          <cell r="X1063">
            <v>7.9579288999999998E-2</v>
          </cell>
          <cell r="Y1063">
            <v>6.0837789000000003E-2</v>
          </cell>
          <cell r="Z1063">
            <v>0.135227124</v>
          </cell>
          <cell r="AB1063" t="str">
            <v>2011FL</v>
          </cell>
          <cell r="AC1063">
            <v>0</v>
          </cell>
          <cell r="AD1063">
            <v>0</v>
          </cell>
          <cell r="AE1063">
            <v>0.41899999999999998</v>
          </cell>
          <cell r="AF1063">
            <v>0.58099999999999996</v>
          </cell>
        </row>
        <row r="1064">
          <cell r="B1064" t="str">
            <v>2011GA</v>
          </cell>
          <cell r="C1064">
            <v>0.20823216155586291</v>
          </cell>
          <cell r="D1064">
            <v>0.11033206176717186</v>
          </cell>
          <cell r="E1064">
            <v>0.17733204084631207</v>
          </cell>
          <cell r="F1064">
            <v>9.7862793659120595E-2</v>
          </cell>
          <cell r="G1064">
            <v>0.40234468997942996</v>
          </cell>
          <cell r="H1064">
            <v>3.8962521921025758E-3</v>
          </cell>
          <cell r="J1064" t="str">
            <v>2011GA</v>
          </cell>
          <cell r="K1064">
            <v>0.42032326900000005</v>
          </cell>
          <cell r="L1064">
            <v>0.40234469</v>
          </cell>
          <cell r="M1064">
            <v>0.177332041</v>
          </cell>
          <cell r="U1064" t="str">
            <v>2011GA</v>
          </cell>
          <cell r="V1064">
            <v>7.8133266000000007E-2</v>
          </cell>
          <cell r="W1064">
            <v>3.5587817000000001E-2</v>
          </cell>
          <cell r="X1064">
            <v>9.7388838000000005E-2</v>
          </cell>
          <cell r="Y1064">
            <v>0.46952270200000001</v>
          </cell>
          <cell r="Z1064">
            <v>0.31936737799999998</v>
          </cell>
          <cell r="AB1064" t="str">
            <v>2011GA</v>
          </cell>
          <cell r="AC1064">
            <v>0</v>
          </cell>
          <cell r="AD1064">
            <v>0</v>
          </cell>
          <cell r="AE1064">
            <v>0.41899999999999998</v>
          </cell>
          <cell r="AF1064">
            <v>0.58099999999999996</v>
          </cell>
        </row>
        <row r="1065">
          <cell r="B1065" t="str">
            <v>2011HI</v>
          </cell>
          <cell r="C1065">
            <v>0.67137224197860923</v>
          </cell>
          <cell r="D1065">
            <v>0.21100034068527662</v>
          </cell>
          <cell r="E1065">
            <v>0</v>
          </cell>
          <cell r="F1065">
            <v>0.10820426646618357</v>
          </cell>
          <cell r="G1065">
            <v>7.5112148308577572E-3</v>
          </cell>
          <cell r="H1065">
            <v>1.9119360390725836E-3</v>
          </cell>
          <cell r="J1065" t="str">
            <v>2011HI</v>
          </cell>
          <cell r="K1065">
            <v>0.99248878500000004</v>
          </cell>
          <cell r="L1065">
            <v>7.5112149999999999E-3</v>
          </cell>
          <cell r="M1065">
            <v>0</v>
          </cell>
          <cell r="U1065" t="str">
            <v>2011HI</v>
          </cell>
          <cell r="V1065">
            <v>0.23216878499999999</v>
          </cell>
          <cell r="W1065">
            <v>3.2904865999999998E-2</v>
          </cell>
          <cell r="X1065">
            <v>0.18414778700000001</v>
          </cell>
          <cell r="Y1065">
            <v>0.21064765399999999</v>
          </cell>
          <cell r="Z1065">
            <v>0.34013090899999998</v>
          </cell>
          <cell r="AB1065" t="str">
            <v>2011HI</v>
          </cell>
          <cell r="AC1065">
            <v>0</v>
          </cell>
          <cell r="AD1065">
            <v>0</v>
          </cell>
          <cell r="AE1065">
            <v>0.25</v>
          </cell>
          <cell r="AF1065">
            <v>0.75</v>
          </cell>
        </row>
        <row r="1066">
          <cell r="B1066" t="str">
            <v>2011ID</v>
          </cell>
          <cell r="C1066">
            <v>0.62850843440764703</v>
          </cell>
          <cell r="D1066">
            <v>0.2329683972033782</v>
          </cell>
          <cell r="E1066">
            <v>6.4436683947772669E-3</v>
          </cell>
          <cell r="F1066">
            <v>0.11961222721284216</v>
          </cell>
          <cell r="G1066">
            <v>3.8149081541218642E-3</v>
          </cell>
          <cell r="H1066">
            <v>8.6523646272333287E-3</v>
          </cell>
          <cell r="J1066" t="str">
            <v>2011ID</v>
          </cell>
          <cell r="K1066">
            <v>0.98974142399999998</v>
          </cell>
          <cell r="L1066">
            <v>3.8149080000000001E-3</v>
          </cell>
          <cell r="M1066">
            <v>6.4436679999999996E-3</v>
          </cell>
          <cell r="U1066" t="str">
            <v>2011ID</v>
          </cell>
          <cell r="V1066">
            <v>0.460837895</v>
          </cell>
          <cell r="W1066">
            <v>2.6974237000000002E-2</v>
          </cell>
          <cell r="X1066">
            <v>0.14528671200000001</v>
          </cell>
          <cell r="Y1066">
            <v>0.102926191</v>
          </cell>
          <cell r="Z1066">
            <v>0.26397496599999998</v>
          </cell>
          <cell r="AB1066" t="str">
            <v>2011ID</v>
          </cell>
          <cell r="AC1066">
            <v>0</v>
          </cell>
          <cell r="AD1066">
            <v>0</v>
          </cell>
          <cell r="AE1066">
            <v>0.6</v>
          </cell>
          <cell r="AF1066">
            <v>0.4</v>
          </cell>
        </row>
        <row r="1067">
          <cell r="B1067" t="str">
            <v>2011IL</v>
          </cell>
          <cell r="C1067">
            <v>0.13175283144497188</v>
          </cell>
          <cell r="D1067">
            <v>0.26046159534668961</v>
          </cell>
          <cell r="E1067">
            <v>8.1383349234931596E-2</v>
          </cell>
          <cell r="F1067">
            <v>0.43207247933210829</v>
          </cell>
          <cell r="G1067">
            <v>4.8182181885357514E-2</v>
          </cell>
          <cell r="H1067">
            <v>4.6147562755941125E-2</v>
          </cell>
          <cell r="J1067" t="str">
            <v>2011IL</v>
          </cell>
          <cell r="K1067">
            <v>0.87043446899999999</v>
          </cell>
          <cell r="L1067">
            <v>4.8182181999999997E-2</v>
          </cell>
          <cell r="M1067">
            <v>8.1383348999999994E-2</v>
          </cell>
          <cell r="U1067" t="str">
            <v>2011IL</v>
          </cell>
          <cell r="V1067">
            <v>2.0186552999999999E-2</v>
          </cell>
          <cell r="W1067">
            <v>4.5739502000000001E-2</v>
          </cell>
          <cell r="X1067">
            <v>0.28028242399999997</v>
          </cell>
          <cell r="Y1067">
            <v>0.149587944</v>
          </cell>
          <cell r="Z1067">
            <v>0.50420357699999996</v>
          </cell>
          <cell r="AB1067" t="str">
            <v>2011IL</v>
          </cell>
          <cell r="AC1067">
            <v>0</v>
          </cell>
          <cell r="AD1067">
            <v>0</v>
          </cell>
          <cell r="AE1067">
            <v>0.02</v>
          </cell>
          <cell r="AF1067">
            <v>0.98</v>
          </cell>
        </row>
        <row r="1068">
          <cell r="B1068" t="str">
            <v>2011IN</v>
          </cell>
          <cell r="C1068">
            <v>0.16189917384296076</v>
          </cell>
          <cell r="D1068">
            <v>0.24163212738244233</v>
          </cell>
          <cell r="E1068">
            <v>0.13392208737361183</v>
          </cell>
          <cell r="F1068">
            <v>0.3491044693998876</v>
          </cell>
          <cell r="G1068">
            <v>7.9287205957511472E-2</v>
          </cell>
          <cell r="H1068">
            <v>3.4154936043586021E-2</v>
          </cell>
          <cell r="J1068" t="str">
            <v>2011IN</v>
          </cell>
          <cell r="K1068">
            <v>0.78679070699999998</v>
          </cell>
          <cell r="L1068">
            <v>7.9287205999999999E-2</v>
          </cell>
          <cell r="M1068">
            <v>0.133922087</v>
          </cell>
          <cell r="U1068" t="str">
            <v>2011IN</v>
          </cell>
          <cell r="V1068">
            <v>2.5489210000000002E-2</v>
          </cell>
          <cell r="W1068">
            <v>4.5536079E-2</v>
          </cell>
          <cell r="X1068">
            <v>0.27893099599999999</v>
          </cell>
          <cell r="Y1068">
            <v>0.14781887399999999</v>
          </cell>
          <cell r="Z1068">
            <v>0.50222484099999998</v>
          </cell>
          <cell r="AB1068" t="str">
            <v>2011IN</v>
          </cell>
          <cell r="AC1068">
            <v>0</v>
          </cell>
          <cell r="AD1068">
            <v>0</v>
          </cell>
          <cell r="AE1068">
            <v>0</v>
          </cell>
          <cell r="AF1068">
            <v>1</v>
          </cell>
        </row>
        <row r="1069">
          <cell r="B1069" t="str">
            <v>2011IA</v>
          </cell>
          <cell r="C1069">
            <v>0.13792614664225575</v>
          </cell>
          <cell r="D1069">
            <v>0.25047757969635848</v>
          </cell>
          <cell r="E1069">
            <v>0.10477197231415941</v>
          </cell>
          <cell r="F1069">
            <v>0.40507493125352922</v>
          </cell>
          <cell r="G1069">
            <v>6.2029177638731184E-2</v>
          </cell>
          <cell r="H1069">
            <v>3.9720192454965969E-2</v>
          </cell>
          <cell r="J1069" t="str">
            <v>2011IA</v>
          </cell>
          <cell r="K1069">
            <v>0.83319885000000005</v>
          </cell>
          <cell r="L1069">
            <v>6.2029177999999997E-2</v>
          </cell>
          <cell r="M1069">
            <v>0.104771972</v>
          </cell>
          <cell r="U1069" t="str">
            <v>2011IA</v>
          </cell>
          <cell r="V1069">
            <v>9.6502570000000006E-3</v>
          </cell>
          <cell r="W1069">
            <v>3.8739974000000003E-2</v>
          </cell>
          <cell r="X1069">
            <v>0.12067557499999999</v>
          </cell>
          <cell r="Y1069">
            <v>0.47629315999999999</v>
          </cell>
          <cell r="Z1069">
            <v>0.35464103499999999</v>
          </cell>
          <cell r="AB1069" t="str">
            <v>2011IA</v>
          </cell>
          <cell r="AC1069">
            <v>0</v>
          </cell>
          <cell r="AD1069">
            <v>0</v>
          </cell>
          <cell r="AE1069">
            <v>0</v>
          </cell>
          <cell r="AF1069">
            <v>1</v>
          </cell>
        </row>
        <row r="1070">
          <cell r="B1070" t="str">
            <v>2011KS</v>
          </cell>
          <cell r="C1070">
            <v>0.28758404285910905</v>
          </cell>
          <cell r="D1070">
            <v>0.32607606753917184</v>
          </cell>
          <cell r="E1070">
            <v>5.1050547933917619E-2</v>
          </cell>
          <cell r="F1070">
            <v>0.27762124338847843</v>
          </cell>
          <cell r="G1070">
            <v>3.0223956239483565E-2</v>
          </cell>
          <cell r="H1070">
            <v>2.7444142039839463E-2</v>
          </cell>
          <cell r="J1070" t="str">
            <v>2011KS</v>
          </cell>
          <cell r="K1070">
            <v>0.91872549599999997</v>
          </cell>
          <cell r="L1070">
            <v>3.0223956E-2</v>
          </cell>
          <cell r="M1070">
            <v>5.1050548000000001E-2</v>
          </cell>
          <cell r="U1070" t="str">
            <v>2011KS</v>
          </cell>
          <cell r="V1070">
            <v>2.3647662E-2</v>
          </cell>
          <cell r="W1070">
            <v>4.6272377000000003E-2</v>
          </cell>
          <cell r="X1070">
            <v>0.28189652199999998</v>
          </cell>
          <cell r="Y1070">
            <v>0.13395533500000001</v>
          </cell>
          <cell r="Z1070">
            <v>0.51422810299999999</v>
          </cell>
          <cell r="AB1070" t="str">
            <v>2011KS</v>
          </cell>
          <cell r="AC1070">
            <v>0</v>
          </cell>
          <cell r="AD1070">
            <v>0</v>
          </cell>
          <cell r="AE1070">
            <v>0.02</v>
          </cell>
          <cell r="AF1070">
            <v>0.98</v>
          </cell>
        </row>
        <row r="1071">
          <cell r="B1071" t="str">
            <v>2011KY</v>
          </cell>
          <cell r="C1071">
            <v>2.3305602928070858E-2</v>
          </cell>
          <cell r="D1071">
            <v>6.2885861766289422E-2</v>
          </cell>
          <cell r="E1071">
            <v>0.14165738300711325</v>
          </cell>
          <cell r="F1071">
            <v>0.14315421990856123</v>
          </cell>
          <cell r="G1071">
            <v>0.61397716539009373</v>
          </cell>
          <cell r="H1071">
            <v>1.5019766999871505E-2</v>
          </cell>
          <cell r="J1071" t="str">
            <v>2011KY</v>
          </cell>
          <cell r="K1071">
            <v>0.24436545200000004</v>
          </cell>
          <cell r="L1071">
            <v>0.61397716499999999</v>
          </cell>
          <cell r="M1071">
            <v>0.141657383</v>
          </cell>
          <cell r="U1071" t="str">
            <v>2011KY</v>
          </cell>
          <cell r="V1071">
            <v>4.9184704000000003E-2</v>
          </cell>
          <cell r="W1071">
            <v>3.7321891000000003E-2</v>
          </cell>
          <cell r="X1071">
            <v>0.11991215400000001</v>
          </cell>
          <cell r="Y1071">
            <v>0.45018075899999999</v>
          </cell>
          <cell r="Z1071">
            <v>0.34340049099999997</v>
          </cell>
          <cell r="AB1071" t="str">
            <v>2011KY</v>
          </cell>
          <cell r="AC1071">
            <v>0</v>
          </cell>
          <cell r="AD1071">
            <v>0</v>
          </cell>
          <cell r="AE1071">
            <v>0.05</v>
          </cell>
          <cell r="AF1071">
            <v>0.95</v>
          </cell>
        </row>
        <row r="1072">
          <cell r="B1072" t="str">
            <v>2011LA</v>
          </cell>
          <cell r="C1072">
            <v>8.7696493950327165E-2</v>
          </cell>
          <cell r="D1072">
            <v>6.4637521135916851E-2</v>
          </cell>
          <cell r="E1072">
            <v>0.14461730665558523</v>
          </cell>
          <cell r="F1072">
            <v>0.10160244529023774</v>
          </cell>
          <cell r="G1072">
            <v>0.59641803499629376</v>
          </cell>
          <cell r="H1072">
            <v>5.0281979716392446E-3</v>
          </cell>
          <cell r="J1072" t="str">
            <v>2011LA</v>
          </cell>
          <cell r="K1072">
            <v>0.25896465800000001</v>
          </cell>
          <cell r="L1072">
            <v>0.59641803500000001</v>
          </cell>
          <cell r="M1072">
            <v>0.144617307</v>
          </cell>
          <cell r="U1072" t="str">
            <v>2011LA</v>
          </cell>
          <cell r="V1072">
            <v>0.53551704700000002</v>
          </cell>
          <cell r="W1072">
            <v>2.0437250000000001E-2</v>
          </cell>
          <cell r="X1072">
            <v>0.12819729499999999</v>
          </cell>
          <cell r="Y1072">
            <v>9.8005903000000005E-2</v>
          </cell>
          <cell r="Z1072">
            <v>0.21784250499999999</v>
          </cell>
          <cell r="AB1072" t="str">
            <v>2011LA</v>
          </cell>
          <cell r="AC1072">
            <v>0</v>
          </cell>
          <cell r="AD1072">
            <v>0</v>
          </cell>
          <cell r="AE1072">
            <v>0.6</v>
          </cell>
          <cell r="AF1072">
            <v>0.4</v>
          </cell>
        </row>
        <row r="1073">
          <cell r="B1073" t="str">
            <v>2011ME</v>
          </cell>
          <cell r="C1073">
            <v>9.3713015315557757E-2</v>
          </cell>
          <cell r="D1073">
            <v>0.17210096338216258</v>
          </cell>
          <cell r="E1073">
            <v>0.44837154081607639</v>
          </cell>
          <cell r="F1073">
            <v>0.19633313267932656</v>
          </cell>
          <cell r="G1073">
            <v>7.0076626899074845E-2</v>
          </cell>
          <cell r="H1073">
            <v>1.9404720907801824E-2</v>
          </cell>
          <cell r="J1073" t="str">
            <v>2011ME</v>
          </cell>
          <cell r="K1073">
            <v>0.48155183200000007</v>
          </cell>
          <cell r="L1073">
            <v>7.0076627000000002E-2</v>
          </cell>
          <cell r="M1073">
            <v>0.44837154099999998</v>
          </cell>
          <cell r="U1073" t="str">
            <v>2011ME</v>
          </cell>
          <cell r="V1073">
            <v>0.72920202000000001</v>
          </cell>
          <cell r="W1073">
            <v>1.1915111000000001E-2</v>
          </cell>
          <cell r="X1073">
            <v>7.4740241999999998E-2</v>
          </cell>
          <cell r="Y1073">
            <v>5.7138373999999999E-2</v>
          </cell>
          <cell r="Z1073">
            <v>0.12700425300000001</v>
          </cell>
          <cell r="AB1073" t="str">
            <v>2011ME</v>
          </cell>
          <cell r="AC1073">
            <v>0</v>
          </cell>
          <cell r="AD1073">
            <v>0</v>
          </cell>
          <cell r="AE1073">
            <v>0.05</v>
          </cell>
          <cell r="AF1073">
            <v>0.95</v>
          </cell>
        </row>
        <row r="1074">
          <cell r="B1074" t="str">
            <v>2011MD</v>
          </cell>
          <cell r="C1074">
            <v>7.6488535055593554E-2</v>
          </cell>
          <cell r="D1074">
            <v>0.15472472257238745</v>
          </cell>
          <cell r="E1074">
            <v>0.44380834258126728</v>
          </cell>
          <cell r="F1074">
            <v>0.22861605738914034</v>
          </cell>
          <cell r="G1074">
            <v>6.5960402236453913E-2</v>
          </cell>
          <cell r="H1074">
            <v>3.0401940165157418E-2</v>
          </cell>
          <cell r="J1074" t="str">
            <v>2011MD</v>
          </cell>
          <cell r="K1074">
            <v>0.49023125499999998</v>
          </cell>
          <cell r="L1074">
            <v>6.5960402000000001E-2</v>
          </cell>
          <cell r="M1074">
            <v>0.44380834299999999</v>
          </cell>
          <cell r="U1074" t="str">
            <v>2011MD</v>
          </cell>
          <cell r="V1074">
            <v>0.21140679400000001</v>
          </cell>
          <cell r="W1074">
            <v>3.7602905999999998E-2</v>
          </cell>
          <cell r="X1074">
            <v>0.214504853</v>
          </cell>
          <cell r="Y1074">
            <v>0.15671048400000001</v>
          </cell>
          <cell r="Z1074">
            <v>0.37977496300000002</v>
          </cell>
          <cell r="AB1074" t="str">
            <v>2011MD</v>
          </cell>
          <cell r="AC1074">
            <v>0</v>
          </cell>
          <cell r="AD1074">
            <v>0</v>
          </cell>
          <cell r="AE1074">
            <v>0.05</v>
          </cell>
          <cell r="AF1074">
            <v>0.95</v>
          </cell>
        </row>
        <row r="1075">
          <cell r="B1075" t="str">
            <v>2011MA</v>
          </cell>
          <cell r="C1075">
            <v>6.1305440163427552E-2</v>
          </cell>
          <cell r="D1075">
            <v>0.14874705508142777</v>
          </cell>
          <cell r="E1075">
            <v>0.45216403673004657</v>
          </cell>
          <cell r="F1075">
            <v>0.23617268276189021</v>
          </cell>
          <cell r="G1075">
            <v>7.3497640935872632E-2</v>
          </cell>
          <cell r="H1075">
            <v>2.8113144327335336E-2</v>
          </cell>
          <cell r="J1075" t="str">
            <v>2011MA</v>
          </cell>
          <cell r="K1075">
            <v>0.47433832199999992</v>
          </cell>
          <cell r="L1075">
            <v>7.3497641000000002E-2</v>
          </cell>
          <cell r="M1075">
            <v>0.45216403700000002</v>
          </cell>
          <cell r="U1075" t="str">
            <v>2011MA</v>
          </cell>
          <cell r="V1075">
            <v>0.31419575799999999</v>
          </cell>
          <cell r="W1075">
            <v>3.0175387000000001E-2</v>
          </cell>
          <cell r="X1075">
            <v>0.18928197099999999</v>
          </cell>
          <cell r="Y1075">
            <v>0.14470469499999999</v>
          </cell>
          <cell r="Z1075">
            <v>0.32164218900000002</v>
          </cell>
          <cell r="AB1075" t="str">
            <v>2011MA</v>
          </cell>
          <cell r="AC1075">
            <v>0</v>
          </cell>
          <cell r="AD1075">
            <v>0</v>
          </cell>
          <cell r="AE1075">
            <v>0.05</v>
          </cell>
          <cell r="AF1075">
            <v>0.95</v>
          </cell>
        </row>
        <row r="1076">
          <cell r="B1076" t="str">
            <v>2011MI</v>
          </cell>
          <cell r="C1076">
            <v>0.21592740095911189</v>
          </cell>
          <cell r="D1076">
            <v>0.33044604004991018</v>
          </cell>
          <cell r="E1076">
            <v>5.8998863632555826E-2</v>
          </cell>
          <cell r="F1076">
            <v>0.32074430847532459</v>
          </cell>
          <cell r="G1076">
            <v>3.4929675483950956E-2</v>
          </cell>
          <cell r="H1076">
            <v>3.8953711399146676E-2</v>
          </cell>
          <cell r="J1076" t="str">
            <v>2011MI</v>
          </cell>
          <cell r="K1076">
            <v>0.90607146100000002</v>
          </cell>
          <cell r="L1076">
            <v>3.4929675E-2</v>
          </cell>
          <cell r="M1076">
            <v>5.8998863999999998E-2</v>
          </cell>
          <cell r="U1076" t="str">
            <v>2011MI</v>
          </cell>
          <cell r="V1076">
            <v>4.5127237000000001E-2</v>
          </cell>
          <cell r="W1076">
            <v>5.0500046999999999E-2</v>
          </cell>
          <cell r="X1076">
            <v>0.254352099</v>
          </cell>
          <cell r="Y1076">
            <v>0.17319266699999999</v>
          </cell>
          <cell r="Z1076">
            <v>0.47682794899999997</v>
          </cell>
          <cell r="AB1076" t="str">
            <v>2011MI</v>
          </cell>
          <cell r="AC1076">
            <v>0</v>
          </cell>
          <cell r="AD1076">
            <v>0</v>
          </cell>
          <cell r="AE1076">
            <v>0.02</v>
          </cell>
          <cell r="AF1076">
            <v>0.98</v>
          </cell>
        </row>
        <row r="1077">
          <cell r="B1077" t="str">
            <v>2011MN</v>
          </cell>
          <cell r="C1077">
            <v>0.11559741536790068</v>
          </cell>
          <cell r="D1077">
            <v>0.23915415867765383</v>
          </cell>
          <cell r="E1077">
            <v>0.10052931481156221</v>
          </cell>
          <cell r="F1077">
            <v>0.43822851849088174</v>
          </cell>
          <cell r="G1077">
            <v>5.9517355535203494E-2</v>
          </cell>
          <cell r="H1077">
            <v>4.697323711679801E-2</v>
          </cell>
          <cell r="J1077" t="str">
            <v>2011MN</v>
          </cell>
          <cell r="K1077">
            <v>0.83995332899999997</v>
          </cell>
          <cell r="L1077">
            <v>5.9517356E-2</v>
          </cell>
          <cell r="M1077">
            <v>0.10052931499999999</v>
          </cell>
          <cell r="U1077" t="str">
            <v>2011MN</v>
          </cell>
          <cell r="V1077">
            <v>1.5145339000000001E-2</v>
          </cell>
          <cell r="W1077">
            <v>5.1986831999999997E-2</v>
          </cell>
          <cell r="X1077">
            <v>0.262445557</v>
          </cell>
          <cell r="Y1077">
            <v>0.17896024199999999</v>
          </cell>
          <cell r="Z1077">
            <v>0.49146202900000002</v>
          </cell>
          <cell r="AB1077" t="str">
            <v>2011MN</v>
          </cell>
          <cell r="AC1077">
            <v>0</v>
          </cell>
          <cell r="AD1077">
            <v>0</v>
          </cell>
          <cell r="AE1077">
            <v>0</v>
          </cell>
          <cell r="AF1077">
            <v>1</v>
          </cell>
        </row>
        <row r="1078">
          <cell r="B1078" t="str">
            <v>2011MS</v>
          </cell>
          <cell r="C1078">
            <v>0.10416334210611014</v>
          </cell>
          <cell r="D1078">
            <v>7.2829933678422776E-2</v>
          </cell>
          <cell r="E1078">
            <v>0.14929269604113307</v>
          </cell>
          <cell r="F1078">
            <v>0.10019278631941281</v>
          </cell>
          <cell r="G1078">
            <v>0.56868226150598644</v>
          </cell>
          <cell r="H1078">
            <v>4.838980348934833E-3</v>
          </cell>
          <cell r="J1078" t="str">
            <v>2011MS</v>
          </cell>
          <cell r="K1078">
            <v>0.28202504199999989</v>
          </cell>
          <cell r="L1078">
            <v>0.56868226200000005</v>
          </cell>
          <cell r="M1078">
            <v>0.149292696</v>
          </cell>
          <cell r="U1078" t="str">
            <v>2011MS</v>
          </cell>
          <cell r="V1078">
            <v>2.1100625000000001E-2</v>
          </cell>
          <cell r="W1078">
            <v>3.6418512E-2</v>
          </cell>
          <cell r="X1078">
            <v>6.0129593000000002E-2</v>
          </cell>
          <cell r="Y1078">
            <v>0.574366987</v>
          </cell>
          <cell r="Z1078">
            <v>0.30798428300000003</v>
          </cell>
          <cell r="AB1078" t="str">
            <v>2011MS</v>
          </cell>
          <cell r="AC1078">
            <v>0</v>
          </cell>
          <cell r="AD1078">
            <v>0</v>
          </cell>
          <cell r="AE1078">
            <v>0.6</v>
          </cell>
          <cell r="AF1078">
            <v>0.4</v>
          </cell>
        </row>
        <row r="1079">
          <cell r="B1079" t="str">
            <v>2011MO</v>
          </cell>
          <cell r="C1079">
            <v>6.4925479522277466E-2</v>
          </cell>
          <cell r="D1079">
            <v>0.18170303563698134</v>
          </cell>
          <cell r="E1079">
            <v>0.14337282997597614</v>
          </cell>
          <cell r="F1079">
            <v>0.47880340852502545</v>
          </cell>
          <cell r="G1079">
            <v>8.4882421727070459E-2</v>
          </cell>
          <cell r="H1079">
            <v>4.6312824612669105E-2</v>
          </cell>
          <cell r="J1079" t="str">
            <v>2011MO</v>
          </cell>
          <cell r="K1079">
            <v>0.77174474799999992</v>
          </cell>
          <cell r="L1079">
            <v>8.4882421999999999E-2</v>
          </cell>
          <cell r="M1079">
            <v>0.14337283000000001</v>
          </cell>
          <cell r="U1079" t="str">
            <v>2011MO</v>
          </cell>
          <cell r="V1079">
            <v>2.998994E-2</v>
          </cell>
          <cell r="W1079">
            <v>4.5757142000000001E-2</v>
          </cell>
          <cell r="X1079">
            <v>0.27926039899999999</v>
          </cell>
          <cell r="Y1079">
            <v>0.13775391300000001</v>
          </cell>
          <cell r="Z1079">
            <v>0.50723860600000004</v>
          </cell>
          <cell r="AB1079" t="str">
            <v>2011MO</v>
          </cell>
          <cell r="AC1079">
            <v>0</v>
          </cell>
          <cell r="AD1079">
            <v>0</v>
          </cell>
          <cell r="AE1079">
            <v>0</v>
          </cell>
          <cell r="AF1079">
            <v>1</v>
          </cell>
        </row>
        <row r="1080">
          <cell r="B1080" t="str">
            <v>2011MT</v>
          </cell>
          <cell r="C1080">
            <v>0.35597781750083307</v>
          </cell>
          <cell r="D1080">
            <v>0.25924389885240834</v>
          </cell>
          <cell r="E1080">
            <v>4.3797789125912777E-2</v>
          </cell>
          <cell r="F1080">
            <v>0.25058080537727367</v>
          </cell>
          <cell r="G1080">
            <v>2.5930034358127463E-2</v>
          </cell>
          <cell r="H1080">
            <v>6.4469654785444572E-2</v>
          </cell>
          <cell r="J1080" t="str">
            <v>2011MT</v>
          </cell>
          <cell r="K1080">
            <v>0.93027217699999998</v>
          </cell>
          <cell r="L1080">
            <v>2.5930034000000001E-2</v>
          </cell>
          <cell r="M1080">
            <v>4.3797788999999997E-2</v>
          </cell>
          <cell r="U1080" t="str">
            <v>2011MT</v>
          </cell>
          <cell r="V1080">
            <v>6.0520032000000001E-2</v>
          </cell>
          <cell r="W1080">
            <v>5.1214043000000001E-2</v>
          </cell>
          <cell r="X1080">
            <v>0.24859647000000001</v>
          </cell>
          <cell r="Y1080">
            <v>0.16530719099999999</v>
          </cell>
          <cell r="Z1080">
            <v>0.47436226399999998</v>
          </cell>
          <cell r="AB1080" t="str">
            <v>2011MT</v>
          </cell>
          <cell r="AC1080">
            <v>0</v>
          </cell>
          <cell r="AD1080">
            <v>0</v>
          </cell>
          <cell r="AE1080">
            <v>0.6</v>
          </cell>
          <cell r="AF1080">
            <v>0.4</v>
          </cell>
        </row>
        <row r="1081">
          <cell r="B1081" t="str">
            <v>2011NE</v>
          </cell>
          <cell r="C1081">
            <v>0.21260954807532403</v>
          </cell>
          <cell r="D1081">
            <v>0.30324255962083846</v>
          </cell>
          <cell r="E1081">
            <v>6.1277054134417128E-2</v>
          </cell>
          <cell r="F1081">
            <v>0.34696077142199511</v>
          </cell>
          <cell r="G1081">
            <v>3.6278454935301678E-2</v>
          </cell>
          <cell r="H1081">
            <v>3.9631611812123581E-2</v>
          </cell>
          <cell r="J1081" t="str">
            <v>2011NE</v>
          </cell>
          <cell r="K1081">
            <v>0.90244449100000002</v>
          </cell>
          <cell r="L1081">
            <v>3.6278455000000001E-2</v>
          </cell>
          <cell r="M1081">
            <v>6.1277053999999997E-2</v>
          </cell>
          <cell r="U1081" t="str">
            <v>2011NE</v>
          </cell>
          <cell r="V1081">
            <v>3.0063880000000001E-2</v>
          </cell>
          <cell r="W1081">
            <v>4.5295173000000001E-2</v>
          </cell>
          <cell r="X1081">
            <v>0.27751980599999998</v>
          </cell>
          <cell r="Y1081">
            <v>0.147715386</v>
          </cell>
          <cell r="Z1081">
            <v>0.49940575500000001</v>
          </cell>
          <cell r="AB1081" t="str">
            <v>2011NE</v>
          </cell>
          <cell r="AC1081">
            <v>0</v>
          </cell>
          <cell r="AD1081">
            <v>0</v>
          </cell>
          <cell r="AE1081">
            <v>0.02</v>
          </cell>
          <cell r="AF1081">
            <v>0.98</v>
          </cell>
        </row>
        <row r="1082">
          <cell r="B1082" t="str">
            <v>2011NV</v>
          </cell>
          <cell r="C1082">
            <v>0.64210148526116029</v>
          </cell>
          <cell r="D1082">
            <v>0.238399883587257</v>
          </cell>
          <cell r="E1082">
            <v>4.1594375177217181E-3</v>
          </cell>
          <cell r="F1082">
            <v>0.10819864870890922</v>
          </cell>
          <cell r="G1082">
            <v>2.4625525602432058E-3</v>
          </cell>
          <cell r="H1082">
            <v>4.677992364708553E-3</v>
          </cell>
          <cell r="J1082" t="str">
            <v>2011NV</v>
          </cell>
          <cell r="K1082">
            <v>0.99337800899999995</v>
          </cell>
          <cell r="L1082">
            <v>2.4625530000000001E-3</v>
          </cell>
          <cell r="M1082">
            <v>4.1594379999999997E-3</v>
          </cell>
          <cell r="U1082" t="str">
            <v>2011NV</v>
          </cell>
          <cell r="V1082">
            <v>0.35004114600000003</v>
          </cell>
          <cell r="W1082">
            <v>2.4048478000000002E-2</v>
          </cell>
          <cell r="X1082">
            <v>3.5747737000000002E-2</v>
          </cell>
          <cell r="Y1082">
            <v>0.38867539400000001</v>
          </cell>
          <cell r="Z1082">
            <v>0.20148724500000001</v>
          </cell>
          <cell r="AB1082" t="str">
            <v>2011NV</v>
          </cell>
          <cell r="AC1082">
            <v>0</v>
          </cell>
          <cell r="AD1082">
            <v>0</v>
          </cell>
          <cell r="AE1082">
            <v>0</v>
          </cell>
          <cell r="AF1082">
            <v>1</v>
          </cell>
        </row>
        <row r="1083">
          <cell r="B1083" t="str">
            <v>2011NH</v>
          </cell>
          <cell r="C1083">
            <v>9.4573445198850817E-2</v>
          </cell>
          <cell r="D1083">
            <v>0.16340842518862655</v>
          </cell>
          <cell r="E1083">
            <v>0.44298025846087286</v>
          </cell>
          <cell r="F1083">
            <v>0.20852129702854144</v>
          </cell>
          <cell r="G1083">
            <v>6.52134304627775E-2</v>
          </cell>
          <cell r="H1083">
            <v>2.5303143660330828E-2</v>
          </cell>
          <cell r="J1083" t="str">
            <v>2011NH</v>
          </cell>
          <cell r="K1083">
            <v>0.49180631200000002</v>
          </cell>
          <cell r="L1083">
            <v>6.5213430000000003E-2</v>
          </cell>
          <cell r="M1083">
            <v>0.44298025800000002</v>
          </cell>
          <cell r="U1083" t="str">
            <v>2011NH</v>
          </cell>
          <cell r="V1083">
            <v>0.56759962799999997</v>
          </cell>
          <cell r="W1083">
            <v>1.9025615999999999E-2</v>
          </cell>
          <cell r="X1083">
            <v>0.119342503</v>
          </cell>
          <cell r="Y1083">
            <v>9.1236478999999995E-2</v>
          </cell>
          <cell r="Z1083">
            <v>0.20279577500000001</v>
          </cell>
          <cell r="AB1083" t="str">
            <v>2011NH</v>
          </cell>
          <cell r="AC1083">
            <v>0</v>
          </cell>
          <cell r="AD1083">
            <v>0</v>
          </cell>
          <cell r="AE1083">
            <v>0.05</v>
          </cell>
          <cell r="AF1083">
            <v>0.95</v>
          </cell>
        </row>
        <row r="1084">
          <cell r="B1084" t="str">
            <v>2011NJ</v>
          </cell>
          <cell r="C1084">
            <v>5.8003576611346738E-2</v>
          </cell>
          <cell r="D1084">
            <v>0.13897871355240557</v>
          </cell>
          <cell r="E1084">
            <v>0.45397029129837874</v>
          </cell>
          <cell r="F1084">
            <v>0.24471653627570109</v>
          </cell>
          <cell r="G1084">
            <v>7.5126969581826603E-2</v>
          </cell>
          <cell r="H1084">
            <v>2.9203912680341212E-2</v>
          </cell>
          <cell r="J1084" t="str">
            <v>2011NJ</v>
          </cell>
          <cell r="K1084">
            <v>0.47090273900000001</v>
          </cell>
          <cell r="L1084">
            <v>7.5126970000000001E-2</v>
          </cell>
          <cell r="M1084">
            <v>0.45397029100000003</v>
          </cell>
          <cell r="U1084" t="str">
            <v>2011NJ</v>
          </cell>
          <cell r="V1084">
            <v>0.30808167400000003</v>
          </cell>
          <cell r="W1084">
            <v>3.3011736E-2</v>
          </cell>
          <cell r="X1084">
            <v>0.18818818500000001</v>
          </cell>
          <cell r="Y1084">
            <v>0.137437002</v>
          </cell>
          <cell r="Z1084">
            <v>0.333281404</v>
          </cell>
          <cell r="AB1084" t="str">
            <v>2011NJ</v>
          </cell>
          <cell r="AC1084">
            <v>0</v>
          </cell>
          <cell r="AD1084">
            <v>0</v>
          </cell>
          <cell r="AE1084">
            <v>0.05</v>
          </cell>
          <cell r="AF1084">
            <v>0.95</v>
          </cell>
        </row>
        <row r="1085">
          <cell r="B1085" t="str">
            <v>2011NM</v>
          </cell>
          <cell r="C1085">
            <v>0.61184589317007076</v>
          </cell>
          <cell r="D1085">
            <v>0.19452029294367307</v>
          </cell>
          <cell r="E1085">
            <v>9.8952813124742175E-2</v>
          </cell>
          <cell r="F1085">
            <v>9.4174237847419268E-2</v>
          </cell>
          <cell r="G1085">
            <v>0</v>
          </cell>
          <cell r="H1085">
            <v>5.0676291409465751E-4</v>
          </cell>
          <cell r="J1085" t="str">
            <v>2011NM</v>
          </cell>
          <cell r="K1085">
            <v>0.90104718699999997</v>
          </cell>
          <cell r="L1085">
            <v>0</v>
          </cell>
          <cell r="M1085">
            <v>9.8952813000000001E-2</v>
          </cell>
          <cell r="U1085" t="str">
            <v>2011NM</v>
          </cell>
          <cell r="V1085">
            <v>0.91655606099999998</v>
          </cell>
          <cell r="W1085">
            <v>3.6715329999999998E-3</v>
          </cell>
          <cell r="X1085">
            <v>2.3030526999999999E-2</v>
          </cell>
          <cell r="Y1085">
            <v>1.7606671000000001E-2</v>
          </cell>
          <cell r="Z1085">
            <v>3.9135206999999998E-2</v>
          </cell>
          <cell r="AB1085" t="str">
            <v>2011NM</v>
          </cell>
          <cell r="AC1085">
            <v>0</v>
          </cell>
          <cell r="AD1085">
            <v>0</v>
          </cell>
          <cell r="AE1085">
            <v>0.6</v>
          </cell>
          <cell r="AF1085">
            <v>0.4</v>
          </cell>
        </row>
        <row r="1086">
          <cell r="B1086" t="str">
            <v>2011NY</v>
          </cell>
          <cell r="C1086">
            <v>9.8408703041683282E-2</v>
          </cell>
          <cell r="D1086">
            <v>0.15954377256245178</v>
          </cell>
          <cell r="E1086">
            <v>0.44849165243165579</v>
          </cell>
          <cell r="F1086">
            <v>0.20287733376538455</v>
          </cell>
          <cell r="G1086">
            <v>7.0184973363303343E-2</v>
          </cell>
          <cell r="H1086">
            <v>2.0493564835521279E-2</v>
          </cell>
          <cell r="J1086" t="str">
            <v>2011NY</v>
          </cell>
          <cell r="K1086">
            <v>0.481323375</v>
          </cell>
          <cell r="L1086">
            <v>7.0184972999999998E-2</v>
          </cell>
          <cell r="M1086">
            <v>0.44849165200000002</v>
          </cell>
          <cell r="U1086" t="str">
            <v>2011NY</v>
          </cell>
          <cell r="V1086">
            <v>0.20441514899999999</v>
          </cell>
          <cell r="W1086">
            <v>4.1815811000000001E-2</v>
          </cell>
          <cell r="X1086">
            <v>0.21220383400000001</v>
          </cell>
          <cell r="Y1086">
            <v>0.145168144</v>
          </cell>
          <cell r="Z1086">
            <v>0.396397061</v>
          </cell>
          <cell r="AB1086" t="str">
            <v>2011NY</v>
          </cell>
          <cell r="AC1086">
            <v>0</v>
          </cell>
          <cell r="AD1086">
            <v>0</v>
          </cell>
          <cell r="AE1086">
            <v>0.05</v>
          </cell>
          <cell r="AF1086">
            <v>0.95</v>
          </cell>
        </row>
        <row r="1087">
          <cell r="B1087" t="str">
            <v>2011NC</v>
          </cell>
          <cell r="C1087">
            <v>6.168821577504751E-2</v>
          </cell>
          <cell r="D1087">
            <v>0.11278426418396881</v>
          </cell>
          <cell r="E1087">
            <v>0.15395779991170949</v>
          </cell>
          <cell r="F1087">
            <v>0.11589101949636353</v>
          </cell>
          <cell r="G1087">
            <v>0.54100750469043157</v>
          </cell>
          <cell r="H1087">
            <v>1.4671195942479084E-2</v>
          </cell>
          <cell r="J1087" t="str">
            <v>2011NC</v>
          </cell>
          <cell r="K1087">
            <v>0.30503469499999991</v>
          </cell>
          <cell r="L1087">
            <v>0.54100750500000006</v>
          </cell>
          <cell r="M1087">
            <v>0.15395780000000001</v>
          </cell>
          <cell r="U1087" t="str">
            <v>2011NC</v>
          </cell>
          <cell r="V1087">
            <v>2.4742549999999999E-3</v>
          </cell>
          <cell r="W1087">
            <v>3.7123251000000003E-2</v>
          </cell>
          <cell r="X1087">
            <v>6.1645423999999997E-2</v>
          </cell>
          <cell r="Y1087">
            <v>0.58464508599999998</v>
          </cell>
          <cell r="Z1087">
            <v>0.31411198400000001</v>
          </cell>
          <cell r="AB1087" t="str">
            <v>2011NC</v>
          </cell>
          <cell r="AC1087">
            <v>0</v>
          </cell>
          <cell r="AD1087">
            <v>0</v>
          </cell>
          <cell r="AE1087">
            <v>0.41899999999999998</v>
          </cell>
          <cell r="AF1087">
            <v>0.58099999999999996</v>
          </cell>
        </row>
        <row r="1088">
          <cell r="B1088" t="str">
            <v>2011ND</v>
          </cell>
          <cell r="C1088">
            <v>0.1196932700797023</v>
          </cell>
          <cell r="D1088">
            <v>0.21866711268457967</v>
          </cell>
          <cell r="E1088">
            <v>0.10978970169096619</v>
          </cell>
          <cell r="F1088">
            <v>0.448028418369537</v>
          </cell>
          <cell r="G1088">
            <v>6.499987314042277E-2</v>
          </cell>
          <cell r="H1088">
            <v>3.8821624034792085E-2</v>
          </cell>
          <cell r="J1088" t="str">
            <v>2011ND</v>
          </cell>
          <cell r="K1088">
            <v>0.82521042499999997</v>
          </cell>
          <cell r="L1088">
            <v>6.4999873E-2</v>
          </cell>
          <cell r="M1088">
            <v>0.109789702</v>
          </cell>
          <cell r="U1088" t="str">
            <v>2011ND</v>
          </cell>
          <cell r="V1088">
            <v>8.8434773999999994E-2</v>
          </cell>
          <cell r="W1088">
            <v>4.7868137999999998E-2</v>
          </cell>
          <cell r="X1088">
            <v>0.243186129</v>
          </cell>
          <cell r="Y1088">
            <v>0.16647603599999999</v>
          </cell>
          <cell r="Z1088">
            <v>0.45403492299999998</v>
          </cell>
          <cell r="AB1088" t="str">
            <v>2011ND</v>
          </cell>
          <cell r="AC1088">
            <v>0</v>
          </cell>
          <cell r="AD1088">
            <v>0</v>
          </cell>
          <cell r="AE1088">
            <v>0.02</v>
          </cell>
          <cell r="AF1088">
            <v>0.98</v>
          </cell>
        </row>
        <row r="1089">
          <cell r="B1089" t="str">
            <v>2011OH</v>
          </cell>
          <cell r="C1089">
            <v>0.10753833947858983</v>
          </cell>
          <cell r="D1089">
            <v>0.22522557822049544</v>
          </cell>
          <cell r="E1089">
            <v>0.13589110116557596</v>
          </cell>
          <cell r="F1089">
            <v>0.4097570212201273</v>
          </cell>
          <cell r="G1089">
            <v>8.0452940491062386E-2</v>
          </cell>
          <cell r="H1089">
            <v>4.1135019424149183E-2</v>
          </cell>
          <cell r="J1089" t="str">
            <v>2011OH</v>
          </cell>
          <cell r="K1089">
            <v>0.78365595900000007</v>
          </cell>
          <cell r="L1089">
            <v>8.0452940000000001E-2</v>
          </cell>
          <cell r="M1089">
            <v>0.13589110099999999</v>
          </cell>
          <cell r="U1089" t="str">
            <v>2011OH</v>
          </cell>
          <cell r="V1089">
            <v>6.6338901000000006E-2</v>
          </cell>
          <cell r="W1089">
            <v>4.3119113000000001E-2</v>
          </cell>
          <cell r="X1089">
            <v>0.26533305600000001</v>
          </cell>
          <cell r="Y1089">
            <v>0.15267545299999999</v>
          </cell>
          <cell r="Z1089">
            <v>0.47253347699999998</v>
          </cell>
          <cell r="AB1089" t="str">
            <v>2011OH</v>
          </cell>
          <cell r="AC1089">
            <v>0</v>
          </cell>
          <cell r="AD1089">
            <v>0</v>
          </cell>
          <cell r="AE1089">
            <v>0</v>
          </cell>
          <cell r="AF1089">
            <v>1</v>
          </cell>
        </row>
        <row r="1090">
          <cell r="B1090" t="str">
            <v>2011OK</v>
          </cell>
          <cell r="C1090">
            <v>0.40296958934788546</v>
          </cell>
          <cell r="D1090">
            <v>0.22528492954061258</v>
          </cell>
          <cell r="E1090">
            <v>6.4896255940651446E-2</v>
          </cell>
          <cell r="F1090">
            <v>0.24738177570149189</v>
          </cell>
          <cell r="G1090">
            <v>0</v>
          </cell>
          <cell r="H1090">
            <v>5.9467449469358676E-2</v>
          </cell>
          <cell r="J1090" t="str">
            <v>2011OK</v>
          </cell>
          <cell r="K1090">
            <v>0.93510374399999996</v>
          </cell>
          <cell r="L1090">
            <v>0</v>
          </cell>
          <cell r="M1090">
            <v>6.4896255999999999E-2</v>
          </cell>
          <cell r="U1090" t="str">
            <v>2011OK</v>
          </cell>
          <cell r="V1090">
            <v>1.2831308E-2</v>
          </cell>
          <cell r="W1090">
            <v>3.6793041999999998E-2</v>
          </cell>
          <cell r="X1090">
            <v>6.2749109999999997E-2</v>
          </cell>
          <cell r="Y1090">
            <v>0.57552135800000004</v>
          </cell>
          <cell r="Z1090">
            <v>0.31210518199999998</v>
          </cell>
          <cell r="AB1090" t="str">
            <v>2011OK</v>
          </cell>
          <cell r="AC1090">
            <v>0</v>
          </cell>
          <cell r="AD1090">
            <v>0</v>
          </cell>
          <cell r="AE1090">
            <v>0.6</v>
          </cell>
          <cell r="AF1090">
            <v>0.4</v>
          </cell>
        </row>
        <row r="1091">
          <cell r="B1091" t="str">
            <v>2011OR</v>
          </cell>
          <cell r="C1091">
            <v>0.43856747008812064</v>
          </cell>
          <cell r="D1091">
            <v>0.20958259090942544</v>
          </cell>
          <cell r="E1091">
            <v>0</v>
          </cell>
          <cell r="F1091">
            <v>0.12862948158709187</v>
          </cell>
          <cell r="G1091">
            <v>0.2018533708975031</v>
          </cell>
          <cell r="H1091">
            <v>2.1367086517858933E-2</v>
          </cell>
          <cell r="J1091" t="str">
            <v>2011OR</v>
          </cell>
          <cell r="K1091">
            <v>0.798146629</v>
          </cell>
          <cell r="L1091">
            <v>0.201853371</v>
          </cell>
          <cell r="M1091">
            <v>0</v>
          </cell>
          <cell r="U1091" t="str">
            <v>2011OR</v>
          </cell>
          <cell r="V1091">
            <v>0.57640796000000005</v>
          </cell>
          <cell r="W1091">
            <v>1.863805E-2</v>
          </cell>
          <cell r="X1091">
            <v>0.116911403</v>
          </cell>
          <cell r="Y1091">
            <v>8.937792E-2</v>
          </cell>
          <cell r="Z1091">
            <v>0.19866466699999999</v>
          </cell>
          <cell r="AB1091" t="str">
            <v>2011OR</v>
          </cell>
          <cell r="AC1091">
            <v>0</v>
          </cell>
          <cell r="AD1091">
            <v>0</v>
          </cell>
          <cell r="AE1091">
            <v>0.25</v>
          </cell>
          <cell r="AF1091">
            <v>0.75</v>
          </cell>
        </row>
        <row r="1092">
          <cell r="B1092" t="str">
            <v>2011PA</v>
          </cell>
          <cell r="C1092">
            <v>4.9624045569858895E-2</v>
          </cell>
          <cell r="D1092">
            <v>0.11712497857538914</v>
          </cell>
          <cell r="E1092">
            <v>0.46874549019831585</v>
          </cell>
          <cell r="F1092">
            <v>0.25230966018477574</v>
          </cell>
          <cell r="G1092">
            <v>8.8454910858433447E-2</v>
          </cell>
          <cell r="H1092">
            <v>2.3740914613226898E-2</v>
          </cell>
          <cell r="J1092" t="str">
            <v>2011PA</v>
          </cell>
          <cell r="K1092">
            <v>0.44279959899999999</v>
          </cell>
          <cell r="L1092">
            <v>8.8454910999999997E-2</v>
          </cell>
          <cell r="M1092">
            <v>0.46874548999999999</v>
          </cell>
          <cell r="U1092" t="str">
            <v>2011PA</v>
          </cell>
          <cell r="V1092">
            <v>5.0102499000000002E-2</v>
          </cell>
          <cell r="W1092">
            <v>4.9409870000000002E-2</v>
          </cell>
          <cell r="X1092">
            <v>0.25392279899999998</v>
          </cell>
          <cell r="Y1092">
            <v>0.17504710600000001</v>
          </cell>
          <cell r="Z1092">
            <v>0.47151772600000003</v>
          </cell>
          <cell r="AB1092" t="str">
            <v>2011PA</v>
          </cell>
          <cell r="AC1092">
            <v>0</v>
          </cell>
          <cell r="AD1092">
            <v>0</v>
          </cell>
          <cell r="AE1092">
            <v>0</v>
          </cell>
          <cell r="AF1092">
            <v>1</v>
          </cell>
        </row>
        <row r="1093">
          <cell r="B1093" t="str">
            <v>2011RI</v>
          </cell>
          <cell r="C1093">
            <v>4.2447025005926793E-2</v>
          </cell>
          <cell r="D1093">
            <v>0.1190174947032642</v>
          </cell>
          <cell r="E1093">
            <v>0.46784468707451643</v>
          </cell>
          <cell r="F1093">
            <v>0.25730854976835782</v>
          </cell>
          <cell r="G1093">
            <v>8.7642343040085183E-2</v>
          </cell>
          <cell r="H1093">
            <v>2.5739900407849584E-2</v>
          </cell>
          <cell r="J1093" t="str">
            <v>2011RI</v>
          </cell>
          <cell r="K1093">
            <v>0.44451297000000001</v>
          </cell>
          <cell r="L1093">
            <v>8.7642342999999998E-2</v>
          </cell>
          <cell r="M1093">
            <v>0.46784468699999998</v>
          </cell>
          <cell r="U1093" t="str">
            <v>2011RI</v>
          </cell>
          <cell r="V1093">
            <v>0.56026879500000004</v>
          </cell>
          <cell r="W1093">
            <v>1.9348173E-2</v>
          </cell>
          <cell r="X1093">
            <v>0.121365813</v>
          </cell>
          <cell r="Y1093">
            <v>9.2783283999999994E-2</v>
          </cell>
          <cell r="Z1093">
            <v>0.20623393500000001</v>
          </cell>
          <cell r="AB1093" t="str">
            <v>2011RI</v>
          </cell>
          <cell r="AC1093">
            <v>0</v>
          </cell>
          <cell r="AD1093">
            <v>0</v>
          </cell>
          <cell r="AE1093">
            <v>0.05</v>
          </cell>
          <cell r="AF1093">
            <v>0.95</v>
          </cell>
        </row>
        <row r="1094">
          <cell r="B1094" t="str">
            <v>2011SC</v>
          </cell>
          <cell r="C1094">
            <v>0.13346180610825578</v>
          </cell>
          <cell r="D1094">
            <v>9.0019723091430845E-2</v>
          </cell>
          <cell r="E1094">
            <v>0.15451296947775242</v>
          </cell>
          <cell r="F1094">
            <v>8.0687406490411034E-2</v>
          </cell>
          <cell r="G1094">
            <v>0.53771407690020812</v>
          </cell>
          <cell r="H1094">
            <v>3.6040179319418398E-3</v>
          </cell>
          <cell r="J1094" t="str">
            <v>2011SC</v>
          </cell>
          <cell r="K1094">
            <v>0.30777295400000004</v>
          </cell>
          <cell r="L1094">
            <v>0.53771407699999996</v>
          </cell>
          <cell r="M1094">
            <v>0.154512969</v>
          </cell>
          <cell r="U1094" t="str">
            <v>2011SC</v>
          </cell>
          <cell r="V1094">
            <v>6.1629585000000001E-2</v>
          </cell>
          <cell r="W1094">
            <v>3.5823032999999997E-2</v>
          </cell>
          <cell r="X1094">
            <v>8.6443989999999998E-2</v>
          </cell>
          <cell r="Y1094">
            <v>0.50014727299999995</v>
          </cell>
          <cell r="Z1094">
            <v>0.31595611899999998</v>
          </cell>
          <cell r="AB1094" t="str">
            <v>2011SC</v>
          </cell>
          <cell r="AC1094">
            <v>0</v>
          </cell>
          <cell r="AD1094">
            <v>0</v>
          </cell>
          <cell r="AE1094">
            <v>0.6</v>
          </cell>
          <cell r="AF1094">
            <v>0.4</v>
          </cell>
        </row>
        <row r="1095">
          <cell r="B1095" t="str">
            <v>2011SD</v>
          </cell>
          <cell r="C1095">
            <v>0.17608951911561277</v>
          </cell>
          <cell r="D1095">
            <v>0.277831368160596</v>
          </cell>
          <cell r="E1095">
            <v>7.9800561964795444E-2</v>
          </cell>
          <cell r="F1095">
            <v>0.37802114842972712</v>
          </cell>
          <cell r="G1095">
            <v>4.724510882492864E-2</v>
          </cell>
          <cell r="H1095">
            <v>4.1012293504340026E-2</v>
          </cell>
          <cell r="J1095" t="str">
            <v>2011SD</v>
          </cell>
          <cell r="K1095">
            <v>0.87295432900000003</v>
          </cell>
          <cell r="L1095">
            <v>4.7245109E-2</v>
          </cell>
          <cell r="M1095">
            <v>7.9800562000000005E-2</v>
          </cell>
          <cell r="U1095" t="str">
            <v>2011SD</v>
          </cell>
          <cell r="V1095">
            <v>3.3046748000000001E-2</v>
          </cell>
          <cell r="W1095">
            <v>5.1157264000000001E-2</v>
          </cell>
          <cell r="X1095">
            <v>0.25755016600000002</v>
          </cell>
          <cell r="Y1095">
            <v>0.17532273200000001</v>
          </cell>
          <cell r="Z1095">
            <v>0.48292308900000003</v>
          </cell>
          <cell r="AB1095" t="str">
            <v>2011SD</v>
          </cell>
          <cell r="AC1095">
            <v>0</v>
          </cell>
          <cell r="AD1095">
            <v>0</v>
          </cell>
          <cell r="AE1095">
            <v>0.02</v>
          </cell>
          <cell r="AF1095">
            <v>0.98</v>
          </cell>
        </row>
        <row r="1096">
          <cell r="B1096" t="str">
            <v>2011TN</v>
          </cell>
          <cell r="C1096">
            <v>4.0519949592449485E-2</v>
          </cell>
          <cell r="D1096">
            <v>8.9664149461423162E-2</v>
          </cell>
          <cell r="E1096">
            <v>0.14551684926860037</v>
          </cell>
          <cell r="F1096">
            <v>0.1170185785979804</v>
          </cell>
          <cell r="G1096">
            <v>0.59108168584929244</v>
          </cell>
          <cell r="H1096">
            <v>1.6198787230254148E-2</v>
          </cell>
          <cell r="J1096" t="str">
            <v>2011TN</v>
          </cell>
          <cell r="K1096">
            <v>0.26340146500000006</v>
          </cell>
          <cell r="L1096">
            <v>0.591081686</v>
          </cell>
          <cell r="M1096">
            <v>0.145516849</v>
          </cell>
          <cell r="U1096" t="str">
            <v>2011TN</v>
          </cell>
          <cell r="V1096">
            <v>0.102875089</v>
          </cell>
          <cell r="W1096">
            <v>3.5402429999999999E-2</v>
          </cell>
          <cell r="X1096">
            <v>0.119077104</v>
          </cell>
          <cell r="Y1096">
            <v>0.41436515099999999</v>
          </cell>
          <cell r="Z1096">
            <v>0.32828022600000001</v>
          </cell>
          <cell r="AB1096" t="str">
            <v>2011TN</v>
          </cell>
          <cell r="AC1096">
            <v>0</v>
          </cell>
          <cell r="AD1096">
            <v>0</v>
          </cell>
          <cell r="AE1096">
            <v>0.05</v>
          </cell>
          <cell r="AF1096">
            <v>0.95</v>
          </cell>
        </row>
        <row r="1097">
          <cell r="B1097" t="str">
            <v>2011TX</v>
          </cell>
          <cell r="C1097">
            <v>0.53305655520056971</v>
          </cell>
          <cell r="D1097">
            <v>0.24233312613196878</v>
          </cell>
          <cell r="E1097">
            <v>7.9791980793249173E-2</v>
          </cell>
          <cell r="F1097">
            <v>0.1278405091499755</v>
          </cell>
          <cell r="G1097">
            <v>0</v>
          </cell>
          <cell r="H1097">
            <v>1.6977828724236681E-2</v>
          </cell>
          <cell r="J1097" t="str">
            <v>2011TX</v>
          </cell>
          <cell r="K1097">
            <v>0.92020801900000004</v>
          </cell>
          <cell r="L1097">
            <v>0</v>
          </cell>
          <cell r="M1097">
            <v>7.9791980999999998E-2</v>
          </cell>
          <cell r="U1097" t="str">
            <v>2011TX</v>
          </cell>
          <cell r="V1097">
            <v>6.9632535999999995E-2</v>
          </cell>
          <cell r="W1097">
            <v>3.4700662E-2</v>
          </cell>
          <cell r="X1097">
            <v>5.9917572000000002E-2</v>
          </cell>
          <cell r="Y1097">
            <v>0.54104196599999999</v>
          </cell>
          <cell r="Z1097">
            <v>0.29470726400000002</v>
          </cell>
          <cell r="AB1097" t="str">
            <v>2011TX</v>
          </cell>
          <cell r="AC1097">
            <v>0</v>
          </cell>
          <cell r="AD1097">
            <v>0</v>
          </cell>
          <cell r="AE1097">
            <v>0.12</v>
          </cell>
          <cell r="AF1097">
            <v>0.88</v>
          </cell>
        </row>
        <row r="1098">
          <cell r="B1098" t="str">
            <v>2011UT</v>
          </cell>
          <cell r="C1098">
            <v>0.51165623152884221</v>
          </cell>
          <cell r="D1098">
            <v>0.26394677259150623</v>
          </cell>
          <cell r="E1098">
            <v>1.3999177703951423E-2</v>
          </cell>
          <cell r="F1098">
            <v>0.17036034814732054</v>
          </cell>
          <cell r="G1098">
            <v>8.2880703819413898E-3</v>
          </cell>
          <cell r="H1098">
            <v>3.1749399646438282E-2</v>
          </cell>
          <cell r="J1098" t="str">
            <v>2011UT</v>
          </cell>
          <cell r="K1098">
            <v>0.97771275199999996</v>
          </cell>
          <cell r="L1098">
            <v>8.2880699999999998E-3</v>
          </cell>
          <cell r="M1098">
            <v>1.3999177999999999E-2</v>
          </cell>
          <cell r="U1098" t="str">
            <v>2011UT</v>
          </cell>
          <cell r="V1098">
            <v>8.6456620000000001E-3</v>
          </cell>
          <cell r="W1098">
            <v>5.5424775000000003E-2</v>
          </cell>
          <cell r="X1098">
            <v>0.260824848</v>
          </cell>
          <cell r="Y1098">
            <v>0.16982515300000001</v>
          </cell>
          <cell r="Z1098">
            <v>0.50527956200000002</v>
          </cell>
          <cell r="AB1098" t="str">
            <v>2011UT</v>
          </cell>
          <cell r="AC1098">
            <v>0</v>
          </cell>
          <cell r="AD1098">
            <v>0</v>
          </cell>
          <cell r="AE1098">
            <v>0.6</v>
          </cell>
          <cell r="AF1098">
            <v>0.4</v>
          </cell>
        </row>
        <row r="1099">
          <cell r="B1099" t="str">
            <v>2011VT</v>
          </cell>
          <cell r="C1099">
            <v>9.9973781354903396E-2</v>
          </cell>
          <cell r="D1099">
            <v>0.17387691112967565</v>
          </cell>
          <cell r="E1099">
            <v>0.44423932842492886</v>
          </cell>
          <cell r="F1099">
            <v>0.19448861844630186</v>
          </cell>
          <cell r="G1099">
            <v>6.6349172232328182E-2</v>
          </cell>
          <cell r="H1099">
            <v>2.1072188411862088E-2</v>
          </cell>
          <cell r="J1099" t="str">
            <v>2011VT</v>
          </cell>
          <cell r="K1099">
            <v>0.4894115</v>
          </cell>
          <cell r="L1099">
            <v>6.6349171999999998E-2</v>
          </cell>
          <cell r="M1099">
            <v>0.44423932799999999</v>
          </cell>
          <cell r="U1099" t="str">
            <v>2011VT</v>
          </cell>
          <cell r="V1099">
            <v>0.86037974299999997</v>
          </cell>
          <cell r="W1099">
            <v>6.1432910000000004E-3</v>
          </cell>
          <cell r="X1099">
            <v>3.8535191000000003E-2</v>
          </cell>
          <cell r="Y1099">
            <v>2.9459874E-2</v>
          </cell>
          <cell r="Z1099">
            <v>6.5481899999999996E-2</v>
          </cell>
          <cell r="AB1099" t="str">
            <v>2011VT</v>
          </cell>
          <cell r="AC1099">
            <v>0</v>
          </cell>
          <cell r="AD1099">
            <v>0</v>
          </cell>
          <cell r="AE1099">
            <v>0.05</v>
          </cell>
          <cell r="AF1099">
            <v>0.95</v>
          </cell>
        </row>
        <row r="1100">
          <cell r="B1100" t="str">
            <v>2011VA</v>
          </cell>
          <cell r="C1100">
            <v>4.4953509549794296E-2</v>
          </cell>
          <cell r="D1100">
            <v>9.339670802378576E-2</v>
          </cell>
          <cell r="E1100">
            <v>0.14844092890155638</v>
          </cell>
          <cell r="F1100">
            <v>0.12331550684410268</v>
          </cell>
          <cell r="G1100">
            <v>0.5737351926100378</v>
          </cell>
          <cell r="H1100">
            <v>1.6158154070723133E-2</v>
          </cell>
          <cell r="J1100" t="str">
            <v>2011VA</v>
          </cell>
          <cell r="K1100">
            <v>0.27782387799999997</v>
          </cell>
          <cell r="L1100">
            <v>0.57373519299999998</v>
          </cell>
          <cell r="M1100">
            <v>0.148440929</v>
          </cell>
          <cell r="U1100" t="str">
            <v>2011VA</v>
          </cell>
          <cell r="V1100">
            <v>3.3934871999999998E-2</v>
          </cell>
          <cell r="W1100">
            <v>3.6244844999999998E-2</v>
          </cell>
          <cell r="X1100">
            <v>6.8933026999999994E-2</v>
          </cell>
          <cell r="Y1100">
            <v>0.550040046</v>
          </cell>
          <cell r="Z1100">
            <v>0.31084721100000001</v>
          </cell>
          <cell r="AB1100" t="str">
            <v>2011VA</v>
          </cell>
          <cell r="AC1100">
            <v>0</v>
          </cell>
          <cell r="AD1100">
            <v>0</v>
          </cell>
          <cell r="AE1100">
            <v>0.05</v>
          </cell>
          <cell r="AF1100">
            <v>0.95</v>
          </cell>
        </row>
        <row r="1101">
          <cell r="B1101" t="str">
            <v>2011WA</v>
          </cell>
          <cell r="C1101">
            <v>0.48742079910802349</v>
          </cell>
          <cell r="D1101">
            <v>0.21961274491816118</v>
          </cell>
          <cell r="E1101">
            <v>0</v>
          </cell>
          <cell r="F1101">
            <v>0.11254281869932067</v>
          </cell>
          <cell r="G1101">
            <v>0.16627589127589129</v>
          </cell>
          <cell r="H1101">
            <v>1.4147745998603438E-2</v>
          </cell>
          <cell r="J1101" t="str">
            <v>2011WA</v>
          </cell>
          <cell r="K1101">
            <v>0.83372410900000005</v>
          </cell>
          <cell r="L1101">
            <v>0.16627589100000001</v>
          </cell>
          <cell r="M1101">
            <v>0</v>
          </cell>
          <cell r="U1101" t="str">
            <v>2011WA</v>
          </cell>
          <cell r="V1101">
            <v>0.37353494700000001</v>
          </cell>
          <cell r="W1101">
            <v>3.1263627000000002E-2</v>
          </cell>
          <cell r="X1101">
            <v>0.168896926</v>
          </cell>
          <cell r="Y1101">
            <v>0.119853577</v>
          </cell>
          <cell r="Z1101">
            <v>0.30645092299999999</v>
          </cell>
          <cell r="AB1101" t="str">
            <v>2011WA</v>
          </cell>
          <cell r="AC1101">
            <v>0</v>
          </cell>
          <cell r="AD1101">
            <v>0</v>
          </cell>
          <cell r="AE1101">
            <v>0.12</v>
          </cell>
          <cell r="AF1101">
            <v>0.88</v>
          </cell>
        </row>
        <row r="1102">
          <cell r="B1102" t="str">
            <v>2011WV</v>
          </cell>
          <cell r="C1102">
            <v>6.8751812683186322E-2</v>
          </cell>
          <cell r="D1102">
            <v>0.15888641455628993</v>
          </cell>
          <cell r="E1102">
            <v>0.44831485363191043</v>
          </cell>
          <cell r="F1102">
            <v>0.22633984896592482</v>
          </cell>
          <cell r="G1102">
            <v>7.0025492327769459E-2</v>
          </cell>
          <cell r="H1102">
            <v>2.7681577834919095E-2</v>
          </cell>
          <cell r="J1102" t="str">
            <v>2011WV</v>
          </cell>
          <cell r="K1102">
            <v>0.48165965399999999</v>
          </cell>
          <cell r="L1102">
            <v>7.0025491999999995E-2</v>
          </cell>
          <cell r="M1102">
            <v>0.44831485399999998</v>
          </cell>
          <cell r="U1102" t="str">
            <v>2011WV</v>
          </cell>
          <cell r="V1102">
            <v>0.57920187499999998</v>
          </cell>
          <cell r="W1102">
            <v>2.1256934000000002E-2</v>
          </cell>
          <cell r="X1102">
            <v>0.113169981</v>
          </cell>
          <cell r="Y1102">
            <v>7.9649016000000003E-2</v>
          </cell>
          <cell r="Z1102">
            <v>0.206722194</v>
          </cell>
          <cell r="AB1102" t="str">
            <v>2011WV</v>
          </cell>
          <cell r="AC1102">
            <v>0</v>
          </cell>
          <cell r="AD1102">
            <v>0</v>
          </cell>
          <cell r="AE1102">
            <v>0.05</v>
          </cell>
          <cell r="AF1102">
            <v>0.95</v>
          </cell>
        </row>
        <row r="1103">
          <cell r="B1103" t="str">
            <v>2011WI</v>
          </cell>
          <cell r="C1103">
            <v>0.12203432597344931</v>
          </cell>
          <cell r="D1103">
            <v>0.23555629715568294</v>
          </cell>
          <cell r="E1103">
            <v>0.11540173598404266</v>
          </cell>
          <cell r="F1103">
            <v>0.42032708364290838</v>
          </cell>
          <cell r="G1103">
            <v>6.8322420806473022E-2</v>
          </cell>
          <cell r="H1103">
            <v>3.8358136437443673E-2</v>
          </cell>
          <cell r="J1103" t="str">
            <v>2011WI</v>
          </cell>
          <cell r="K1103">
            <v>0.816275843</v>
          </cell>
          <cell r="L1103">
            <v>6.8322420999999994E-2</v>
          </cell>
          <cell r="M1103">
            <v>0.115401736</v>
          </cell>
          <cell r="U1103" t="str">
            <v>2011WI</v>
          </cell>
          <cell r="V1103">
            <v>0.12883246500000001</v>
          </cell>
          <cell r="W1103">
            <v>4.2564396999999997E-2</v>
          </cell>
          <cell r="X1103">
            <v>0.23585646199999999</v>
          </cell>
          <cell r="Y1103">
            <v>0.16970626599999999</v>
          </cell>
          <cell r="Z1103">
            <v>0.42304040999999998</v>
          </cell>
          <cell r="AB1103" t="str">
            <v>2011WI</v>
          </cell>
          <cell r="AC1103">
            <v>0</v>
          </cell>
          <cell r="AD1103">
            <v>0</v>
          </cell>
          <cell r="AE1103">
            <v>0.02</v>
          </cell>
          <cell r="AF1103">
            <v>0.98</v>
          </cell>
        </row>
        <row r="1104">
          <cell r="B1104" t="str">
            <v>2011WY</v>
          </cell>
          <cell r="C1104">
            <v>0.29508724522063295</v>
          </cell>
          <cell r="D1104">
            <v>0.23251729773373622</v>
          </cell>
          <cell r="E1104">
            <v>0.12161775942187937</v>
          </cell>
          <cell r="F1104">
            <v>0.2207502472879718</v>
          </cell>
          <cell r="G1104">
            <v>7.2002554085590281E-2</v>
          </cell>
          <cell r="H1104">
            <v>5.8024896250189507E-2</v>
          </cell>
          <cell r="J1104" t="str">
            <v>2011WY</v>
          </cell>
          <cell r="K1104">
            <v>0.80637968699999996</v>
          </cell>
          <cell r="L1104">
            <v>7.2002553999999996E-2</v>
          </cell>
          <cell r="M1104">
            <v>0.12161775900000001</v>
          </cell>
          <cell r="U1104" t="str">
            <v>2011WY</v>
          </cell>
          <cell r="V1104">
            <v>3.2109568999999998E-2</v>
          </cell>
          <cell r="W1104">
            <v>5.3596850000000001E-2</v>
          </cell>
          <cell r="X1104">
            <v>0.25521061499999997</v>
          </cell>
          <cell r="Y1104">
            <v>0.16752597599999999</v>
          </cell>
          <cell r="Z1104">
            <v>0.49155699000000003</v>
          </cell>
          <cell r="AB1104" t="str">
            <v>2011WY</v>
          </cell>
          <cell r="AC1104">
            <v>0</v>
          </cell>
          <cell r="AD1104">
            <v>0</v>
          </cell>
          <cell r="AE1104">
            <v>0.6</v>
          </cell>
          <cell r="AF1104">
            <v>0.4</v>
          </cell>
        </row>
        <row r="1105">
          <cell r="B1105" t="str">
            <v>2012AL</v>
          </cell>
          <cell r="C1105">
            <v>0.17233560131521788</v>
          </cell>
          <cell r="D1105">
            <v>9.7606154746872412E-2</v>
          </cell>
          <cell r="E1105">
            <v>0.16919346457207346</v>
          </cell>
          <cell r="F1105">
            <v>0.1056405325382436</v>
          </cell>
          <cell r="G1105">
            <v>0.45062509818962659</v>
          </cell>
          <cell r="H1105">
            <v>4.5991486379660445E-3</v>
          </cell>
          <cell r="J1105" t="str">
            <v>2012AL</v>
          </cell>
          <cell r="K1105">
            <v>0.38018143700000007</v>
          </cell>
          <cell r="L1105">
            <v>0.450625098</v>
          </cell>
          <cell r="M1105">
            <v>0.16919346499999999</v>
          </cell>
          <cell r="U1105" t="str">
            <v>2012AL</v>
          </cell>
          <cell r="V1105">
            <v>5.3114938E-2</v>
          </cell>
          <cell r="W1105">
            <v>3.6058960000000001E-2</v>
          </cell>
          <cell r="X1105">
            <v>8.4414527000000003E-2</v>
          </cell>
          <cell r="Y1105">
            <v>0.50961295299999998</v>
          </cell>
          <cell r="Z1105">
            <v>0.316798623</v>
          </cell>
          <cell r="AB1105" t="str">
            <v>2012AL</v>
          </cell>
          <cell r="AC1105">
            <v>0</v>
          </cell>
          <cell r="AD1105">
            <v>0</v>
          </cell>
          <cell r="AE1105">
            <v>0.41899999999999998</v>
          </cell>
          <cell r="AF1105">
            <v>0.58099999999999996</v>
          </cell>
        </row>
        <row r="1106">
          <cell r="B1106" t="str">
            <v>2012AK</v>
          </cell>
          <cell r="C1106">
            <v>0.30334484066413492</v>
          </cell>
          <cell r="D1106">
            <v>0.23769937716735701</v>
          </cell>
          <cell r="E1106">
            <v>6.205843688929364E-2</v>
          </cell>
          <cell r="F1106">
            <v>0.28363994741136878</v>
          </cell>
          <cell r="G1106">
            <v>3.6741064625999714E-2</v>
          </cell>
          <cell r="H1106">
            <v>7.6516333241846021E-2</v>
          </cell>
          <cell r="J1106" t="str">
            <v>2012AK</v>
          </cell>
          <cell r="K1106">
            <v>0.90120049800000002</v>
          </cell>
          <cell r="L1106">
            <v>3.6741065000000003E-2</v>
          </cell>
          <cell r="M1106">
            <v>6.2058437000000001E-2</v>
          </cell>
          <cell r="U1106" t="str">
            <v>2012AK</v>
          </cell>
          <cell r="V1106">
            <v>0.52632575500000001</v>
          </cell>
          <cell r="W1106">
            <v>2.0841667000000001E-2</v>
          </cell>
          <cell r="X1106">
            <v>0.130734092</v>
          </cell>
          <cell r="Y1106">
            <v>9.9945266000000005E-2</v>
          </cell>
          <cell r="Z1106">
            <v>0.22215322100000001</v>
          </cell>
          <cell r="AB1106" t="str">
            <v>2012AK</v>
          </cell>
          <cell r="AC1106">
            <v>0</v>
          </cell>
          <cell r="AD1106">
            <v>0</v>
          </cell>
          <cell r="AE1106">
            <v>0.25</v>
          </cell>
          <cell r="AF1106">
            <v>0.75</v>
          </cell>
        </row>
        <row r="1107">
          <cell r="B1107" t="str">
            <v>2012AZ</v>
          </cell>
          <cell r="C1107">
            <v>0.611220636654217</v>
          </cell>
          <cell r="D1107">
            <v>0.19572797693407004</v>
          </cell>
          <cell r="E1107">
            <v>9.865488383487428E-2</v>
          </cell>
          <cell r="F1107">
            <v>9.3890669243012675E-2</v>
          </cell>
          <cell r="G1107">
            <v>0</v>
          </cell>
          <cell r="H1107">
            <v>5.0583333382575558E-4</v>
          </cell>
          <cell r="J1107" t="str">
            <v>2012AZ</v>
          </cell>
          <cell r="K1107">
            <v>0.901345116</v>
          </cell>
          <cell r="L1107">
            <v>0</v>
          </cell>
          <cell r="M1107">
            <v>9.8654883999999998E-2</v>
          </cell>
          <cell r="U1107" t="str">
            <v>2012AZ</v>
          </cell>
          <cell r="V1107">
            <v>0.136592664</v>
          </cell>
          <cell r="W1107">
            <v>3.2171241000000003E-2</v>
          </cell>
          <cell r="X1107">
            <v>5.4596316999999998E-2</v>
          </cell>
          <cell r="Y1107">
            <v>0.50386894699999996</v>
          </cell>
          <cell r="Z1107">
            <v>0.27277083200000002</v>
          </cell>
          <cell r="AB1107" t="str">
            <v>2012AZ</v>
          </cell>
          <cell r="AC1107">
            <v>0</v>
          </cell>
          <cell r="AD1107">
            <v>0</v>
          </cell>
          <cell r="AE1107">
            <v>0.6</v>
          </cell>
          <cell r="AF1107">
            <v>0.4</v>
          </cell>
        </row>
        <row r="1108">
          <cell r="B1108" t="str">
            <v>2012AR</v>
          </cell>
          <cell r="C1108">
            <v>9.6391342329605903E-2</v>
          </cell>
          <cell r="D1108">
            <v>6.6955456596874061E-2</v>
          </cell>
          <cell r="E1108">
            <v>0.14888335780531528</v>
          </cell>
          <cell r="F1108">
            <v>0.11118804006195876</v>
          </cell>
          <cell r="G1108">
            <v>0.57111057531117648</v>
          </cell>
          <cell r="H1108">
            <v>5.4712278950695761E-3</v>
          </cell>
          <cell r="J1108" t="str">
            <v>2012AR</v>
          </cell>
          <cell r="K1108">
            <v>0.28000606700000008</v>
          </cell>
          <cell r="L1108">
            <v>0.57111057499999995</v>
          </cell>
          <cell r="M1108">
            <v>0.14888335799999999</v>
          </cell>
          <cell r="U1108" t="str">
            <v>2012AR</v>
          </cell>
          <cell r="V1108">
            <v>3.9459004999999998E-2</v>
          </cell>
          <cell r="W1108">
            <v>3.7640482000000003E-2</v>
          </cell>
          <cell r="X1108">
            <v>0.11914443199999999</v>
          </cell>
          <cell r="Y1108">
            <v>0.45827781299999998</v>
          </cell>
          <cell r="Z1108">
            <v>0.34547826799999998</v>
          </cell>
          <cell r="AB1108" t="str">
            <v>2012AR</v>
          </cell>
          <cell r="AC1108">
            <v>0</v>
          </cell>
          <cell r="AD1108">
            <v>0</v>
          </cell>
          <cell r="AE1108">
            <v>0</v>
          </cell>
          <cell r="AF1108">
            <v>1</v>
          </cell>
        </row>
        <row r="1109">
          <cell r="B1109" t="str">
            <v>2012CA</v>
          </cell>
          <cell r="C1109">
            <v>0.58081862489107328</v>
          </cell>
          <cell r="D1109">
            <v>0.20720345916912225</v>
          </cell>
          <cell r="E1109">
            <v>0.10801924509893834</v>
          </cell>
          <cell r="F1109">
            <v>9.2431120719429966E-2</v>
          </cell>
          <cell r="G1109">
            <v>9.2523577326630076E-3</v>
          </cell>
          <cell r="H1109">
            <v>2.2751923887731596E-3</v>
          </cell>
          <cell r="J1109" t="str">
            <v>2012CA</v>
          </cell>
          <cell r="K1109">
            <v>0.88272839699999994</v>
          </cell>
          <cell r="L1109">
            <v>9.2523580000000005E-3</v>
          </cell>
          <cell r="M1109">
            <v>0.108019245</v>
          </cell>
          <cell r="U1109" t="str">
            <v>2012CA</v>
          </cell>
          <cell r="V1109">
            <v>0.133799526</v>
          </cell>
          <cell r="W1109">
            <v>3.2941353E-2</v>
          </cell>
          <cell r="X1109">
            <v>7.5800703999999997E-2</v>
          </cell>
          <cell r="Y1109">
            <v>0.46867659099999998</v>
          </cell>
          <cell r="Z1109">
            <v>0.28878182499999999</v>
          </cell>
          <cell r="AB1109" t="str">
            <v>2012CA</v>
          </cell>
          <cell r="AC1109">
            <v>0</v>
          </cell>
          <cell r="AD1109">
            <v>0</v>
          </cell>
          <cell r="AE1109">
            <v>0.12</v>
          </cell>
          <cell r="AF1109">
            <v>0.88</v>
          </cell>
        </row>
        <row r="1110">
          <cell r="B1110" t="str">
            <v>2012CO</v>
          </cell>
          <cell r="C1110">
            <v>0.61667904285785091</v>
          </cell>
          <cell r="D1110">
            <v>0.24212893570430052</v>
          </cell>
          <cell r="E1110">
            <v>1.1092391745361967E-2</v>
          </cell>
          <cell r="F1110">
            <v>0.11516410971780773</v>
          </cell>
          <cell r="G1110">
            <v>6.5671374014829543E-3</v>
          </cell>
          <cell r="H1110">
            <v>8.3683825731959392E-3</v>
          </cell>
          <cell r="J1110" t="str">
            <v>2012CO</v>
          </cell>
          <cell r="K1110">
            <v>0.98234047099999999</v>
          </cell>
          <cell r="L1110">
            <v>6.5671369999999998E-3</v>
          </cell>
          <cell r="M1110">
            <v>1.1092392E-2</v>
          </cell>
          <cell r="U1110" t="str">
            <v>2012CO</v>
          </cell>
          <cell r="V1110">
            <v>2.3378138E-2</v>
          </cell>
          <cell r="W1110">
            <v>5.3880426000000002E-2</v>
          </cell>
          <cell r="X1110">
            <v>0.25772948099999998</v>
          </cell>
          <cell r="Y1110">
            <v>0.169703665</v>
          </cell>
          <cell r="Z1110">
            <v>0.49530828999999998</v>
          </cell>
          <cell r="AB1110" t="str">
            <v>2012CO</v>
          </cell>
          <cell r="AC1110">
            <v>0</v>
          </cell>
          <cell r="AD1110">
            <v>0</v>
          </cell>
          <cell r="AE1110">
            <v>0.6</v>
          </cell>
          <cell r="AF1110">
            <v>0.4</v>
          </cell>
        </row>
        <row r="1111">
          <cell r="B1111" t="str">
            <v>2012CT</v>
          </cell>
          <cell r="C1111">
            <v>0.11572842393252261</v>
          </cell>
          <cell r="D1111">
            <v>0.20119880615243968</v>
          </cell>
          <cell r="E1111">
            <v>0.43233999756560143</v>
          </cell>
          <cell r="F1111">
            <v>0.17234541515575838</v>
          </cell>
          <cell r="G1111">
            <v>5.5615402487630847E-2</v>
          </cell>
          <cell r="H1111">
            <v>2.2771954706046996E-2</v>
          </cell>
          <cell r="J1111" t="str">
            <v>2012CT</v>
          </cell>
          <cell r="K1111">
            <v>0.51204460000000007</v>
          </cell>
          <cell r="L1111">
            <v>5.5615402000000001E-2</v>
          </cell>
          <cell r="M1111">
            <v>0.432339998</v>
          </cell>
          <cell r="U1111" t="str">
            <v>2012CT</v>
          </cell>
          <cell r="V1111">
            <v>0.57363861400000005</v>
          </cell>
          <cell r="W1111">
            <v>1.8759900999999999E-2</v>
          </cell>
          <cell r="X1111">
            <v>0.117675743</v>
          </cell>
          <cell r="Y1111">
            <v>8.9962252000000006E-2</v>
          </cell>
          <cell r="Z1111">
            <v>0.19996348999999999</v>
          </cell>
          <cell r="AB1111" t="str">
            <v>2012CT</v>
          </cell>
          <cell r="AC1111">
            <v>0</v>
          </cell>
          <cell r="AD1111">
            <v>0</v>
          </cell>
          <cell r="AE1111">
            <v>0.05</v>
          </cell>
          <cell r="AF1111">
            <v>0.95</v>
          </cell>
        </row>
        <row r="1112">
          <cell r="B1112" t="str">
            <v>2012DE</v>
          </cell>
          <cell r="C1112">
            <v>0.10201653895343663</v>
          </cell>
          <cell r="D1112">
            <v>0.1910091905838856</v>
          </cell>
          <cell r="E1112">
            <v>0.43707162937473454</v>
          </cell>
          <cell r="F1112">
            <v>0.18637975788177577</v>
          </cell>
          <cell r="G1112">
            <v>5.9883562349419175E-2</v>
          </cell>
          <cell r="H1112">
            <v>2.3639320856748244E-2</v>
          </cell>
          <cell r="J1112" t="str">
            <v>2012DE</v>
          </cell>
          <cell r="K1112">
            <v>0.50304480899999993</v>
          </cell>
          <cell r="L1112">
            <v>5.9883562000000001E-2</v>
          </cell>
          <cell r="M1112">
            <v>0.43707162900000002</v>
          </cell>
          <cell r="U1112" t="str">
            <v>2012DE</v>
          </cell>
          <cell r="V1112">
            <v>0.120253529</v>
          </cell>
          <cell r="W1112">
            <v>4.1631153999999997E-2</v>
          </cell>
          <cell r="X1112">
            <v>0.23964419100000001</v>
          </cell>
          <cell r="Y1112">
            <v>0.17588547500000001</v>
          </cell>
          <cell r="Z1112">
            <v>0.42258565100000001</v>
          </cell>
          <cell r="AB1112" t="str">
            <v>2012DE</v>
          </cell>
          <cell r="AC1112">
            <v>0</v>
          </cell>
          <cell r="AD1112">
            <v>0</v>
          </cell>
          <cell r="AE1112">
            <v>0.05</v>
          </cell>
          <cell r="AF1112">
            <v>0.95</v>
          </cell>
        </row>
        <row r="1113">
          <cell r="B1113" t="str">
            <v>2012FL</v>
          </cell>
          <cell r="C1113">
            <v>0.38654865924430459</v>
          </cell>
          <cell r="D1113">
            <v>0.14503983167997814</v>
          </cell>
          <cell r="E1113">
            <v>0.21616400084919535</v>
          </cell>
          <cell r="F1113">
            <v>7.8997496757044303E-2</v>
          </cell>
          <cell r="G1113">
            <v>0.17198217725399226</v>
          </cell>
          <cell r="H1113">
            <v>1.2678342154852779E-3</v>
          </cell>
          <cell r="J1113" t="str">
            <v>2012FL</v>
          </cell>
          <cell r="K1113">
            <v>0.61185382200000005</v>
          </cell>
          <cell r="L1113">
            <v>0.17198217700000001</v>
          </cell>
          <cell r="M1113">
            <v>0.21616400099999999</v>
          </cell>
          <cell r="U1113" t="str">
            <v>2012FL</v>
          </cell>
          <cell r="V1113">
            <v>0.71166924399999998</v>
          </cell>
          <cell r="W1113">
            <v>1.2686553E-2</v>
          </cell>
          <cell r="X1113">
            <v>7.9579288999999998E-2</v>
          </cell>
          <cell r="Y1113">
            <v>6.0837789000000003E-2</v>
          </cell>
          <cell r="Z1113">
            <v>0.135227124</v>
          </cell>
          <cell r="AB1113" t="str">
            <v>2012FL</v>
          </cell>
          <cell r="AC1113">
            <v>0</v>
          </cell>
          <cell r="AD1113">
            <v>0</v>
          </cell>
          <cell r="AE1113">
            <v>0.41899999999999998</v>
          </cell>
          <cell r="AF1113">
            <v>0.58099999999999996</v>
          </cell>
        </row>
        <row r="1114">
          <cell r="B1114" t="str">
            <v>2012GA</v>
          </cell>
          <cell r="C1114">
            <v>0.20823216155586291</v>
          </cell>
          <cell r="D1114">
            <v>0.11033206176717186</v>
          </cell>
          <cell r="E1114">
            <v>0.17733204084631207</v>
          </cell>
          <cell r="F1114">
            <v>9.7862793659120595E-2</v>
          </cell>
          <cell r="G1114">
            <v>0.40234468997942996</v>
          </cell>
          <cell r="H1114">
            <v>3.8962521921025758E-3</v>
          </cell>
          <cell r="J1114" t="str">
            <v>2012GA</v>
          </cell>
          <cell r="K1114">
            <v>0.42032326900000005</v>
          </cell>
          <cell r="L1114">
            <v>0.40234469</v>
          </cell>
          <cell r="M1114">
            <v>0.177332041</v>
          </cell>
          <cell r="U1114" t="str">
            <v>2012GA</v>
          </cell>
          <cell r="V1114">
            <v>7.8133266000000007E-2</v>
          </cell>
          <cell r="W1114">
            <v>3.5587817000000001E-2</v>
          </cell>
          <cell r="X1114">
            <v>9.7388838000000005E-2</v>
          </cell>
          <cell r="Y1114">
            <v>0.46952270200000001</v>
          </cell>
          <cell r="Z1114">
            <v>0.31936737799999998</v>
          </cell>
          <cell r="AB1114" t="str">
            <v>2012GA</v>
          </cell>
          <cell r="AC1114">
            <v>0</v>
          </cell>
          <cell r="AD1114">
            <v>0</v>
          </cell>
          <cell r="AE1114">
            <v>0.41899999999999998</v>
          </cell>
          <cell r="AF1114">
            <v>0.58099999999999996</v>
          </cell>
        </row>
        <row r="1115">
          <cell r="B1115" t="str">
            <v>2012HI</v>
          </cell>
          <cell r="C1115">
            <v>0.67137224197860923</v>
          </cell>
          <cell r="D1115">
            <v>0.21100034068527662</v>
          </cell>
          <cell r="E1115">
            <v>0</v>
          </cell>
          <cell r="F1115">
            <v>0.10820426646618357</v>
          </cell>
          <cell r="G1115">
            <v>7.5112148308577572E-3</v>
          </cell>
          <cell r="H1115">
            <v>1.9119360390725836E-3</v>
          </cell>
          <cell r="J1115" t="str">
            <v>2012HI</v>
          </cell>
          <cell r="K1115">
            <v>0.99248878500000004</v>
          </cell>
          <cell r="L1115">
            <v>7.5112149999999999E-3</v>
          </cell>
          <cell r="M1115">
            <v>0</v>
          </cell>
          <cell r="U1115" t="str">
            <v>2012HI</v>
          </cell>
          <cell r="V1115">
            <v>0.23216878499999999</v>
          </cell>
          <cell r="W1115">
            <v>3.2904865999999998E-2</v>
          </cell>
          <cell r="X1115">
            <v>0.18414778700000001</v>
          </cell>
          <cell r="Y1115">
            <v>0.21064765399999999</v>
          </cell>
          <cell r="Z1115">
            <v>0.34013090899999998</v>
          </cell>
          <cell r="AB1115" t="str">
            <v>2012HI</v>
          </cell>
          <cell r="AC1115">
            <v>0</v>
          </cell>
          <cell r="AD1115">
            <v>0</v>
          </cell>
          <cell r="AE1115">
            <v>0.25</v>
          </cell>
          <cell r="AF1115">
            <v>0.75</v>
          </cell>
        </row>
        <row r="1116">
          <cell r="B1116" t="str">
            <v>2012ID</v>
          </cell>
          <cell r="C1116">
            <v>0.62850843440764703</v>
          </cell>
          <cell r="D1116">
            <v>0.2329683972033782</v>
          </cell>
          <cell r="E1116">
            <v>6.4436683947772669E-3</v>
          </cell>
          <cell r="F1116">
            <v>0.11961222721284216</v>
          </cell>
          <cell r="G1116">
            <v>3.8149081541218642E-3</v>
          </cell>
          <cell r="H1116">
            <v>8.6523646272333287E-3</v>
          </cell>
          <cell r="J1116" t="str">
            <v>2012ID</v>
          </cell>
          <cell r="K1116">
            <v>0.98974142399999998</v>
          </cell>
          <cell r="L1116">
            <v>3.8149080000000001E-3</v>
          </cell>
          <cell r="M1116">
            <v>6.4436679999999996E-3</v>
          </cell>
          <cell r="U1116" t="str">
            <v>2012ID</v>
          </cell>
          <cell r="V1116">
            <v>0.460837895</v>
          </cell>
          <cell r="W1116">
            <v>2.6974237000000002E-2</v>
          </cell>
          <cell r="X1116">
            <v>0.14528671200000001</v>
          </cell>
          <cell r="Y1116">
            <v>0.102926191</v>
          </cell>
          <cell r="Z1116">
            <v>0.26397496599999998</v>
          </cell>
          <cell r="AB1116" t="str">
            <v>2012ID</v>
          </cell>
          <cell r="AC1116">
            <v>0</v>
          </cell>
          <cell r="AD1116">
            <v>0</v>
          </cell>
          <cell r="AE1116">
            <v>0.6</v>
          </cell>
          <cell r="AF1116">
            <v>0.4</v>
          </cell>
        </row>
        <row r="1117">
          <cell r="B1117" t="str">
            <v>2012IL</v>
          </cell>
          <cell r="C1117">
            <v>0.13175283144497188</v>
          </cell>
          <cell r="D1117">
            <v>0.26046159534668961</v>
          </cell>
          <cell r="E1117">
            <v>8.1383349234931596E-2</v>
          </cell>
          <cell r="F1117">
            <v>0.43207247933210829</v>
          </cell>
          <cell r="G1117">
            <v>4.8182181885357514E-2</v>
          </cell>
          <cell r="H1117">
            <v>4.6147562755941125E-2</v>
          </cell>
          <cell r="J1117" t="str">
            <v>2012IL</v>
          </cell>
          <cell r="K1117">
            <v>0.87043446899999999</v>
          </cell>
          <cell r="L1117">
            <v>4.8182181999999997E-2</v>
          </cell>
          <cell r="M1117">
            <v>8.1383348999999994E-2</v>
          </cell>
          <cell r="U1117" t="str">
            <v>2012IL</v>
          </cell>
          <cell r="V1117">
            <v>2.0186552999999999E-2</v>
          </cell>
          <cell r="W1117">
            <v>4.5739502000000001E-2</v>
          </cell>
          <cell r="X1117">
            <v>0.28028242399999997</v>
          </cell>
          <cell r="Y1117">
            <v>0.149587944</v>
          </cell>
          <cell r="Z1117">
            <v>0.50420357699999996</v>
          </cell>
          <cell r="AB1117" t="str">
            <v>2012IL</v>
          </cell>
          <cell r="AC1117">
            <v>0</v>
          </cell>
          <cell r="AD1117">
            <v>0</v>
          </cell>
          <cell r="AE1117">
            <v>0.02</v>
          </cell>
          <cell r="AF1117">
            <v>0.98</v>
          </cell>
        </row>
        <row r="1118">
          <cell r="B1118" t="str">
            <v>2012IN</v>
          </cell>
          <cell r="C1118">
            <v>0.16189917384296076</v>
          </cell>
          <cell r="D1118">
            <v>0.24163212738244233</v>
          </cell>
          <cell r="E1118">
            <v>0.13392208737361183</v>
          </cell>
          <cell r="F1118">
            <v>0.3491044693998876</v>
          </cell>
          <cell r="G1118">
            <v>7.9287205957511472E-2</v>
          </cell>
          <cell r="H1118">
            <v>3.4154936043586021E-2</v>
          </cell>
          <cell r="J1118" t="str">
            <v>2012IN</v>
          </cell>
          <cell r="K1118">
            <v>0.78679070699999998</v>
          </cell>
          <cell r="L1118">
            <v>7.9287205999999999E-2</v>
          </cell>
          <cell r="M1118">
            <v>0.133922087</v>
          </cell>
          <cell r="U1118" t="str">
            <v>2012IN</v>
          </cell>
          <cell r="V1118">
            <v>2.5489210000000002E-2</v>
          </cell>
          <cell r="W1118">
            <v>4.5536079E-2</v>
          </cell>
          <cell r="X1118">
            <v>0.27893099599999999</v>
          </cell>
          <cell r="Y1118">
            <v>0.14781887399999999</v>
          </cell>
          <cell r="Z1118">
            <v>0.50222484099999998</v>
          </cell>
          <cell r="AB1118" t="str">
            <v>2012IN</v>
          </cell>
          <cell r="AC1118">
            <v>0</v>
          </cell>
          <cell r="AD1118">
            <v>0</v>
          </cell>
          <cell r="AE1118">
            <v>0</v>
          </cell>
          <cell r="AF1118">
            <v>1</v>
          </cell>
        </row>
        <row r="1119">
          <cell r="B1119" t="str">
            <v>2012IA</v>
          </cell>
          <cell r="C1119">
            <v>0.13792614664225575</v>
          </cell>
          <cell r="D1119">
            <v>0.25047757969635848</v>
          </cell>
          <cell r="E1119">
            <v>0.10477197231415941</v>
          </cell>
          <cell r="F1119">
            <v>0.40507493125352922</v>
          </cell>
          <cell r="G1119">
            <v>6.2029177638731184E-2</v>
          </cell>
          <cell r="H1119">
            <v>3.9720192454965969E-2</v>
          </cell>
          <cell r="J1119" t="str">
            <v>2012IA</v>
          </cell>
          <cell r="K1119">
            <v>0.83319885000000005</v>
          </cell>
          <cell r="L1119">
            <v>6.2029177999999997E-2</v>
          </cell>
          <cell r="M1119">
            <v>0.104771972</v>
          </cell>
          <cell r="U1119" t="str">
            <v>2012IA</v>
          </cell>
          <cell r="V1119">
            <v>9.6502570000000006E-3</v>
          </cell>
          <cell r="W1119">
            <v>3.8739974000000003E-2</v>
          </cell>
          <cell r="X1119">
            <v>0.12067557499999999</v>
          </cell>
          <cell r="Y1119">
            <v>0.47629315999999999</v>
          </cell>
          <cell r="Z1119">
            <v>0.35464103499999999</v>
          </cell>
          <cell r="AB1119" t="str">
            <v>2012IA</v>
          </cell>
          <cell r="AC1119">
            <v>0</v>
          </cell>
          <cell r="AD1119">
            <v>0</v>
          </cell>
          <cell r="AE1119">
            <v>0</v>
          </cell>
          <cell r="AF1119">
            <v>1</v>
          </cell>
        </row>
        <row r="1120">
          <cell r="B1120" t="str">
            <v>2012KS</v>
          </cell>
          <cell r="C1120">
            <v>0.28758404285910905</v>
          </cell>
          <cell r="D1120">
            <v>0.32607606753917184</v>
          </cell>
          <cell r="E1120">
            <v>5.1050547933917619E-2</v>
          </cell>
          <cell r="F1120">
            <v>0.27762124338847843</v>
          </cell>
          <cell r="G1120">
            <v>3.0223956239483565E-2</v>
          </cell>
          <cell r="H1120">
            <v>2.7444142039839463E-2</v>
          </cell>
          <cell r="J1120" t="str">
            <v>2012KS</v>
          </cell>
          <cell r="K1120">
            <v>0.91872549599999997</v>
          </cell>
          <cell r="L1120">
            <v>3.0223956E-2</v>
          </cell>
          <cell r="M1120">
            <v>5.1050548000000001E-2</v>
          </cell>
          <cell r="U1120" t="str">
            <v>2012KS</v>
          </cell>
          <cell r="V1120">
            <v>2.3647662E-2</v>
          </cell>
          <cell r="W1120">
            <v>4.6272377000000003E-2</v>
          </cell>
          <cell r="X1120">
            <v>0.28189652199999998</v>
          </cell>
          <cell r="Y1120">
            <v>0.13395533500000001</v>
          </cell>
          <cell r="Z1120">
            <v>0.51422810299999999</v>
          </cell>
          <cell r="AB1120" t="str">
            <v>2012KS</v>
          </cell>
          <cell r="AC1120">
            <v>0</v>
          </cell>
          <cell r="AD1120">
            <v>0</v>
          </cell>
          <cell r="AE1120">
            <v>0.02</v>
          </cell>
          <cell r="AF1120">
            <v>0.98</v>
          </cell>
        </row>
        <row r="1121">
          <cell r="B1121" t="str">
            <v>2012KY</v>
          </cell>
          <cell r="C1121">
            <v>2.3305602928070858E-2</v>
          </cell>
          <cell r="D1121">
            <v>6.2885861766289422E-2</v>
          </cell>
          <cell r="E1121">
            <v>0.14165738300711325</v>
          </cell>
          <cell r="F1121">
            <v>0.14315421990856123</v>
          </cell>
          <cell r="G1121">
            <v>0.61397716539009373</v>
          </cell>
          <cell r="H1121">
            <v>1.5019766999871505E-2</v>
          </cell>
          <cell r="J1121" t="str">
            <v>2012KY</v>
          </cell>
          <cell r="K1121">
            <v>0.24436545200000004</v>
          </cell>
          <cell r="L1121">
            <v>0.61397716499999999</v>
          </cell>
          <cell r="M1121">
            <v>0.141657383</v>
          </cell>
          <cell r="U1121" t="str">
            <v>2012KY</v>
          </cell>
          <cell r="V1121">
            <v>4.9184704000000003E-2</v>
          </cell>
          <cell r="W1121">
            <v>3.7321891000000003E-2</v>
          </cell>
          <cell r="X1121">
            <v>0.11991215400000001</v>
          </cell>
          <cell r="Y1121">
            <v>0.45018075899999999</v>
          </cell>
          <cell r="Z1121">
            <v>0.34340049099999997</v>
          </cell>
          <cell r="AB1121" t="str">
            <v>2012KY</v>
          </cell>
          <cell r="AC1121">
            <v>0</v>
          </cell>
          <cell r="AD1121">
            <v>0</v>
          </cell>
          <cell r="AE1121">
            <v>0.05</v>
          </cell>
          <cell r="AF1121">
            <v>0.95</v>
          </cell>
        </row>
        <row r="1122">
          <cell r="B1122" t="str">
            <v>2012LA</v>
          </cell>
          <cell r="C1122">
            <v>8.7696493950327165E-2</v>
          </cell>
          <cell r="D1122">
            <v>6.4637521135916851E-2</v>
          </cell>
          <cell r="E1122">
            <v>0.14461730665558523</v>
          </cell>
          <cell r="F1122">
            <v>0.10160244529023774</v>
          </cell>
          <cell r="G1122">
            <v>0.59641803499629376</v>
          </cell>
          <cell r="H1122">
            <v>5.0281979716392446E-3</v>
          </cell>
          <cell r="J1122" t="str">
            <v>2012LA</v>
          </cell>
          <cell r="K1122">
            <v>0.25896465800000001</v>
          </cell>
          <cell r="L1122">
            <v>0.59641803500000001</v>
          </cell>
          <cell r="M1122">
            <v>0.144617307</v>
          </cell>
          <cell r="U1122" t="str">
            <v>2012LA</v>
          </cell>
          <cell r="V1122">
            <v>0.53551704700000002</v>
          </cell>
          <cell r="W1122">
            <v>2.0437250000000001E-2</v>
          </cell>
          <cell r="X1122">
            <v>0.12819729499999999</v>
          </cell>
          <cell r="Y1122">
            <v>9.8005903000000005E-2</v>
          </cell>
          <cell r="Z1122">
            <v>0.21784250499999999</v>
          </cell>
          <cell r="AB1122" t="str">
            <v>2012LA</v>
          </cell>
          <cell r="AC1122">
            <v>0</v>
          </cell>
          <cell r="AD1122">
            <v>0</v>
          </cell>
          <cell r="AE1122">
            <v>0.6</v>
          </cell>
          <cell r="AF1122">
            <v>0.4</v>
          </cell>
        </row>
        <row r="1123">
          <cell r="B1123" t="str">
            <v>2012ME</v>
          </cell>
          <cell r="C1123">
            <v>9.3713015315557757E-2</v>
          </cell>
          <cell r="D1123">
            <v>0.17210096338216258</v>
          </cell>
          <cell r="E1123">
            <v>0.44837154081607639</v>
          </cell>
          <cell r="F1123">
            <v>0.19633313267932656</v>
          </cell>
          <cell r="G1123">
            <v>7.0076626899074845E-2</v>
          </cell>
          <cell r="H1123">
            <v>1.9404720907801824E-2</v>
          </cell>
          <cell r="J1123" t="str">
            <v>2012ME</v>
          </cell>
          <cell r="K1123">
            <v>0.48155183200000007</v>
          </cell>
          <cell r="L1123">
            <v>7.0076627000000002E-2</v>
          </cell>
          <cell r="M1123">
            <v>0.44837154099999998</v>
          </cell>
          <cell r="U1123" t="str">
            <v>2012ME</v>
          </cell>
          <cell r="V1123">
            <v>0.72920202000000001</v>
          </cell>
          <cell r="W1123">
            <v>1.1915111000000001E-2</v>
          </cell>
          <cell r="X1123">
            <v>7.4740241999999998E-2</v>
          </cell>
          <cell r="Y1123">
            <v>5.7138373999999999E-2</v>
          </cell>
          <cell r="Z1123">
            <v>0.12700425300000001</v>
          </cell>
          <cell r="AB1123" t="str">
            <v>2012ME</v>
          </cell>
          <cell r="AC1123">
            <v>0</v>
          </cell>
          <cell r="AD1123">
            <v>0</v>
          </cell>
          <cell r="AE1123">
            <v>0.05</v>
          </cell>
          <cell r="AF1123">
            <v>0.95</v>
          </cell>
        </row>
        <row r="1124">
          <cell r="B1124" t="str">
            <v>2012MD</v>
          </cell>
          <cell r="C1124">
            <v>7.6488535055593554E-2</v>
          </cell>
          <cell r="D1124">
            <v>0.15472472257238745</v>
          </cell>
          <cell r="E1124">
            <v>0.44380834258126728</v>
          </cell>
          <cell r="F1124">
            <v>0.22861605738914034</v>
          </cell>
          <cell r="G1124">
            <v>6.5960402236453913E-2</v>
          </cell>
          <cell r="H1124">
            <v>3.0401940165157418E-2</v>
          </cell>
          <cell r="J1124" t="str">
            <v>2012MD</v>
          </cell>
          <cell r="K1124">
            <v>0.49023125499999998</v>
          </cell>
          <cell r="L1124">
            <v>6.5960402000000001E-2</v>
          </cell>
          <cell r="M1124">
            <v>0.44380834299999999</v>
          </cell>
          <cell r="U1124" t="str">
            <v>2012MD</v>
          </cell>
          <cell r="V1124">
            <v>0.21140679400000001</v>
          </cell>
          <cell r="W1124">
            <v>3.7602905999999998E-2</v>
          </cell>
          <cell r="X1124">
            <v>0.214504853</v>
          </cell>
          <cell r="Y1124">
            <v>0.15671048400000001</v>
          </cell>
          <cell r="Z1124">
            <v>0.37977496300000002</v>
          </cell>
          <cell r="AB1124" t="str">
            <v>2012MD</v>
          </cell>
          <cell r="AC1124">
            <v>0</v>
          </cell>
          <cell r="AD1124">
            <v>0</v>
          </cell>
          <cell r="AE1124">
            <v>0.05</v>
          </cell>
          <cell r="AF1124">
            <v>0.95</v>
          </cell>
        </row>
        <row r="1125">
          <cell r="B1125" t="str">
            <v>2012MA</v>
          </cell>
          <cell r="C1125">
            <v>6.1305440163427552E-2</v>
          </cell>
          <cell r="D1125">
            <v>0.14874705508142777</v>
          </cell>
          <cell r="E1125">
            <v>0.45216403673004657</v>
          </cell>
          <cell r="F1125">
            <v>0.23617268276189021</v>
          </cell>
          <cell r="G1125">
            <v>7.3497640935872632E-2</v>
          </cell>
          <cell r="H1125">
            <v>2.8113144327335336E-2</v>
          </cell>
          <cell r="J1125" t="str">
            <v>2012MA</v>
          </cell>
          <cell r="K1125">
            <v>0.47433832199999992</v>
          </cell>
          <cell r="L1125">
            <v>7.3497641000000002E-2</v>
          </cell>
          <cell r="M1125">
            <v>0.45216403700000002</v>
          </cell>
          <cell r="U1125" t="str">
            <v>2012MA</v>
          </cell>
          <cell r="V1125">
            <v>0.31419575799999999</v>
          </cell>
          <cell r="W1125">
            <v>3.0175387000000001E-2</v>
          </cell>
          <cell r="X1125">
            <v>0.18928197099999999</v>
          </cell>
          <cell r="Y1125">
            <v>0.14470469499999999</v>
          </cell>
          <cell r="Z1125">
            <v>0.32164218900000002</v>
          </cell>
          <cell r="AB1125" t="str">
            <v>2012MA</v>
          </cell>
          <cell r="AC1125">
            <v>0</v>
          </cell>
          <cell r="AD1125">
            <v>0</v>
          </cell>
          <cell r="AE1125">
            <v>0.05</v>
          </cell>
          <cell r="AF1125">
            <v>0.95</v>
          </cell>
        </row>
        <row r="1126">
          <cell r="B1126" t="str">
            <v>2012MI</v>
          </cell>
          <cell r="C1126">
            <v>0.21592740095911189</v>
          </cell>
          <cell r="D1126">
            <v>0.33044604004991018</v>
          </cell>
          <cell r="E1126">
            <v>5.8998863632555826E-2</v>
          </cell>
          <cell r="F1126">
            <v>0.32074430847532459</v>
          </cell>
          <cell r="G1126">
            <v>3.4929675483950956E-2</v>
          </cell>
          <cell r="H1126">
            <v>3.8953711399146676E-2</v>
          </cell>
          <cell r="J1126" t="str">
            <v>2012MI</v>
          </cell>
          <cell r="K1126">
            <v>0.90607146100000002</v>
          </cell>
          <cell r="L1126">
            <v>3.4929675E-2</v>
          </cell>
          <cell r="M1126">
            <v>5.8998863999999998E-2</v>
          </cell>
          <cell r="U1126" t="str">
            <v>2012MI</v>
          </cell>
          <cell r="V1126">
            <v>4.5127237000000001E-2</v>
          </cell>
          <cell r="W1126">
            <v>5.0500046999999999E-2</v>
          </cell>
          <cell r="X1126">
            <v>0.254352099</v>
          </cell>
          <cell r="Y1126">
            <v>0.17319266699999999</v>
          </cell>
          <cell r="Z1126">
            <v>0.47682794899999997</v>
          </cell>
          <cell r="AB1126" t="str">
            <v>2012MI</v>
          </cell>
          <cell r="AC1126">
            <v>0</v>
          </cell>
          <cell r="AD1126">
            <v>0</v>
          </cell>
          <cell r="AE1126">
            <v>0.02</v>
          </cell>
          <cell r="AF1126">
            <v>0.98</v>
          </cell>
        </row>
        <row r="1127">
          <cell r="B1127" t="str">
            <v>2012MN</v>
          </cell>
          <cell r="C1127">
            <v>0.11559741536790068</v>
          </cell>
          <cell r="D1127">
            <v>0.23915415867765383</v>
          </cell>
          <cell r="E1127">
            <v>0.10052931481156221</v>
          </cell>
          <cell r="F1127">
            <v>0.43822851849088174</v>
          </cell>
          <cell r="G1127">
            <v>5.9517355535203494E-2</v>
          </cell>
          <cell r="H1127">
            <v>4.697323711679801E-2</v>
          </cell>
          <cell r="J1127" t="str">
            <v>2012MN</v>
          </cell>
          <cell r="K1127">
            <v>0.83995332899999997</v>
          </cell>
          <cell r="L1127">
            <v>5.9517356E-2</v>
          </cell>
          <cell r="M1127">
            <v>0.10052931499999999</v>
          </cell>
          <cell r="U1127" t="str">
            <v>2012MN</v>
          </cell>
          <cell r="V1127">
            <v>1.5145339000000001E-2</v>
          </cell>
          <cell r="W1127">
            <v>5.1986831999999997E-2</v>
          </cell>
          <cell r="X1127">
            <v>0.262445557</v>
          </cell>
          <cell r="Y1127">
            <v>0.17896024199999999</v>
          </cell>
          <cell r="Z1127">
            <v>0.49146202900000002</v>
          </cell>
          <cell r="AB1127" t="str">
            <v>2012MN</v>
          </cell>
          <cell r="AC1127">
            <v>0</v>
          </cell>
          <cell r="AD1127">
            <v>0</v>
          </cell>
          <cell r="AE1127">
            <v>0</v>
          </cell>
          <cell r="AF1127">
            <v>1</v>
          </cell>
        </row>
        <row r="1128">
          <cell r="B1128" t="str">
            <v>2012MS</v>
          </cell>
          <cell r="C1128">
            <v>0.10416334210611014</v>
          </cell>
          <cell r="D1128">
            <v>7.2829933678422776E-2</v>
          </cell>
          <cell r="E1128">
            <v>0.14929269604113307</v>
          </cell>
          <cell r="F1128">
            <v>0.10019278631941281</v>
          </cell>
          <cell r="G1128">
            <v>0.56868226150598644</v>
          </cell>
          <cell r="H1128">
            <v>4.838980348934833E-3</v>
          </cell>
          <cell r="J1128" t="str">
            <v>2012MS</v>
          </cell>
          <cell r="K1128">
            <v>0.28202504199999989</v>
          </cell>
          <cell r="L1128">
            <v>0.56868226200000005</v>
          </cell>
          <cell r="M1128">
            <v>0.149292696</v>
          </cell>
          <cell r="U1128" t="str">
            <v>2012MS</v>
          </cell>
          <cell r="V1128">
            <v>2.1100625000000001E-2</v>
          </cell>
          <cell r="W1128">
            <v>3.6418512E-2</v>
          </cell>
          <cell r="X1128">
            <v>6.0129593000000002E-2</v>
          </cell>
          <cell r="Y1128">
            <v>0.574366987</v>
          </cell>
          <cell r="Z1128">
            <v>0.30798428300000003</v>
          </cell>
          <cell r="AB1128" t="str">
            <v>2012MS</v>
          </cell>
          <cell r="AC1128">
            <v>0</v>
          </cell>
          <cell r="AD1128">
            <v>0</v>
          </cell>
          <cell r="AE1128">
            <v>0.6</v>
          </cell>
          <cell r="AF1128">
            <v>0.4</v>
          </cell>
        </row>
        <row r="1129">
          <cell r="B1129" t="str">
            <v>2012MO</v>
          </cell>
          <cell r="C1129">
            <v>6.4925479522277466E-2</v>
          </cell>
          <cell r="D1129">
            <v>0.18170303563698134</v>
          </cell>
          <cell r="E1129">
            <v>0.14337282997597614</v>
          </cell>
          <cell r="F1129">
            <v>0.47880340852502545</v>
          </cell>
          <cell r="G1129">
            <v>8.4882421727070459E-2</v>
          </cell>
          <cell r="H1129">
            <v>4.6312824612669105E-2</v>
          </cell>
          <cell r="J1129" t="str">
            <v>2012MO</v>
          </cell>
          <cell r="K1129">
            <v>0.77174474799999992</v>
          </cell>
          <cell r="L1129">
            <v>8.4882421999999999E-2</v>
          </cell>
          <cell r="M1129">
            <v>0.14337283000000001</v>
          </cell>
          <cell r="U1129" t="str">
            <v>2012MO</v>
          </cell>
          <cell r="V1129">
            <v>2.998994E-2</v>
          </cell>
          <cell r="W1129">
            <v>4.5757142000000001E-2</v>
          </cell>
          <cell r="X1129">
            <v>0.27926039899999999</v>
          </cell>
          <cell r="Y1129">
            <v>0.13775391300000001</v>
          </cell>
          <cell r="Z1129">
            <v>0.50723860600000004</v>
          </cell>
          <cell r="AB1129" t="str">
            <v>2012MO</v>
          </cell>
          <cell r="AC1129">
            <v>0</v>
          </cell>
          <cell r="AD1129">
            <v>0</v>
          </cell>
          <cell r="AE1129">
            <v>0</v>
          </cell>
          <cell r="AF1129">
            <v>1</v>
          </cell>
        </row>
        <row r="1130">
          <cell r="B1130" t="str">
            <v>2012MT</v>
          </cell>
          <cell r="C1130">
            <v>0.35597781750083307</v>
          </cell>
          <cell r="D1130">
            <v>0.25924389885240834</v>
          </cell>
          <cell r="E1130">
            <v>4.3797789125912777E-2</v>
          </cell>
          <cell r="F1130">
            <v>0.25058080537727367</v>
          </cell>
          <cell r="G1130">
            <v>2.5930034358127463E-2</v>
          </cell>
          <cell r="H1130">
            <v>6.4469654785444572E-2</v>
          </cell>
          <cell r="J1130" t="str">
            <v>2012MT</v>
          </cell>
          <cell r="K1130">
            <v>0.93027217699999998</v>
          </cell>
          <cell r="L1130">
            <v>2.5930034000000001E-2</v>
          </cell>
          <cell r="M1130">
            <v>4.3797788999999997E-2</v>
          </cell>
          <cell r="U1130" t="str">
            <v>2012MT</v>
          </cell>
          <cell r="V1130">
            <v>6.0520032000000001E-2</v>
          </cell>
          <cell r="W1130">
            <v>5.1214043000000001E-2</v>
          </cell>
          <cell r="X1130">
            <v>0.24859647000000001</v>
          </cell>
          <cell r="Y1130">
            <v>0.16530719099999999</v>
          </cell>
          <cell r="Z1130">
            <v>0.47436226399999998</v>
          </cell>
          <cell r="AB1130" t="str">
            <v>2012MT</v>
          </cell>
          <cell r="AC1130">
            <v>0</v>
          </cell>
          <cell r="AD1130">
            <v>0</v>
          </cell>
          <cell r="AE1130">
            <v>0.6</v>
          </cell>
          <cell r="AF1130">
            <v>0.4</v>
          </cell>
        </row>
        <row r="1131">
          <cell r="B1131" t="str">
            <v>2012NE</v>
          </cell>
          <cell r="C1131">
            <v>0.21260954807532403</v>
          </cell>
          <cell r="D1131">
            <v>0.30324255962083846</v>
          </cell>
          <cell r="E1131">
            <v>6.1277054134417128E-2</v>
          </cell>
          <cell r="F1131">
            <v>0.34696077142199511</v>
          </cell>
          <cell r="G1131">
            <v>3.6278454935301678E-2</v>
          </cell>
          <cell r="H1131">
            <v>3.9631611812123581E-2</v>
          </cell>
          <cell r="J1131" t="str">
            <v>2012NE</v>
          </cell>
          <cell r="K1131">
            <v>0.90244449100000002</v>
          </cell>
          <cell r="L1131">
            <v>3.6278455000000001E-2</v>
          </cell>
          <cell r="M1131">
            <v>6.1277053999999997E-2</v>
          </cell>
          <cell r="U1131" t="str">
            <v>2012NE</v>
          </cell>
          <cell r="V1131">
            <v>3.0063880000000001E-2</v>
          </cell>
          <cell r="W1131">
            <v>4.5295173000000001E-2</v>
          </cell>
          <cell r="X1131">
            <v>0.27751980599999998</v>
          </cell>
          <cell r="Y1131">
            <v>0.147715386</v>
          </cell>
          <cell r="Z1131">
            <v>0.49940575500000001</v>
          </cell>
          <cell r="AB1131" t="str">
            <v>2012NE</v>
          </cell>
          <cell r="AC1131">
            <v>0</v>
          </cell>
          <cell r="AD1131">
            <v>0</v>
          </cell>
          <cell r="AE1131">
            <v>0.02</v>
          </cell>
          <cell r="AF1131">
            <v>0.98</v>
          </cell>
        </row>
        <row r="1132">
          <cell r="B1132" t="str">
            <v>2012NV</v>
          </cell>
          <cell r="C1132">
            <v>0.64210148526116029</v>
          </cell>
          <cell r="D1132">
            <v>0.238399883587257</v>
          </cell>
          <cell r="E1132">
            <v>4.1594375177217181E-3</v>
          </cell>
          <cell r="F1132">
            <v>0.10819864870890922</v>
          </cell>
          <cell r="G1132">
            <v>2.4625525602432058E-3</v>
          </cell>
          <cell r="H1132">
            <v>4.677992364708553E-3</v>
          </cell>
          <cell r="J1132" t="str">
            <v>2012NV</v>
          </cell>
          <cell r="K1132">
            <v>0.99337800899999995</v>
          </cell>
          <cell r="L1132">
            <v>2.4625530000000001E-3</v>
          </cell>
          <cell r="M1132">
            <v>4.1594379999999997E-3</v>
          </cell>
          <cell r="U1132" t="str">
            <v>2012NV</v>
          </cell>
          <cell r="V1132">
            <v>0.35004114600000003</v>
          </cell>
          <cell r="W1132">
            <v>2.4048478000000002E-2</v>
          </cell>
          <cell r="X1132">
            <v>3.5747737000000002E-2</v>
          </cell>
          <cell r="Y1132">
            <v>0.38867539400000001</v>
          </cell>
          <cell r="Z1132">
            <v>0.20148724500000001</v>
          </cell>
          <cell r="AB1132" t="str">
            <v>2012NV</v>
          </cell>
          <cell r="AC1132">
            <v>0</v>
          </cell>
          <cell r="AD1132">
            <v>0</v>
          </cell>
          <cell r="AE1132">
            <v>0</v>
          </cell>
          <cell r="AF1132">
            <v>1</v>
          </cell>
        </row>
        <row r="1133">
          <cell r="B1133" t="str">
            <v>2012NH</v>
          </cell>
          <cell r="C1133">
            <v>9.4573445198850817E-2</v>
          </cell>
          <cell r="D1133">
            <v>0.16340842518862655</v>
          </cell>
          <cell r="E1133">
            <v>0.44298025846087286</v>
          </cell>
          <cell r="F1133">
            <v>0.20852129702854144</v>
          </cell>
          <cell r="G1133">
            <v>6.52134304627775E-2</v>
          </cell>
          <cell r="H1133">
            <v>2.5303143660330828E-2</v>
          </cell>
          <cell r="J1133" t="str">
            <v>2012NH</v>
          </cell>
          <cell r="K1133">
            <v>0.49180631200000002</v>
          </cell>
          <cell r="L1133">
            <v>6.5213430000000003E-2</v>
          </cell>
          <cell r="M1133">
            <v>0.44298025800000002</v>
          </cell>
          <cell r="U1133" t="str">
            <v>2012NH</v>
          </cell>
          <cell r="V1133">
            <v>0.56759962799999997</v>
          </cell>
          <cell r="W1133">
            <v>1.9025615999999999E-2</v>
          </cell>
          <cell r="X1133">
            <v>0.119342503</v>
          </cell>
          <cell r="Y1133">
            <v>9.1236478999999995E-2</v>
          </cell>
          <cell r="Z1133">
            <v>0.20279577500000001</v>
          </cell>
          <cell r="AB1133" t="str">
            <v>2012NH</v>
          </cell>
          <cell r="AC1133">
            <v>0</v>
          </cell>
          <cell r="AD1133">
            <v>0</v>
          </cell>
          <cell r="AE1133">
            <v>0.05</v>
          </cell>
          <cell r="AF1133">
            <v>0.95</v>
          </cell>
        </row>
        <row r="1134">
          <cell r="B1134" t="str">
            <v>2012NJ</v>
          </cell>
          <cell r="C1134">
            <v>5.8003576611346738E-2</v>
          </cell>
          <cell r="D1134">
            <v>0.13897871355240557</v>
          </cell>
          <cell r="E1134">
            <v>0.45397029129837874</v>
          </cell>
          <cell r="F1134">
            <v>0.24471653627570109</v>
          </cell>
          <cell r="G1134">
            <v>7.5126969581826603E-2</v>
          </cell>
          <cell r="H1134">
            <v>2.9203912680341212E-2</v>
          </cell>
          <cell r="J1134" t="str">
            <v>2012NJ</v>
          </cell>
          <cell r="K1134">
            <v>0.47090273900000001</v>
          </cell>
          <cell r="L1134">
            <v>7.5126970000000001E-2</v>
          </cell>
          <cell r="M1134">
            <v>0.45397029100000003</v>
          </cell>
          <cell r="U1134" t="str">
            <v>2012NJ</v>
          </cell>
          <cell r="V1134">
            <v>0.30808167400000003</v>
          </cell>
          <cell r="W1134">
            <v>3.3011736E-2</v>
          </cell>
          <cell r="X1134">
            <v>0.18818818500000001</v>
          </cell>
          <cell r="Y1134">
            <v>0.137437002</v>
          </cell>
          <cell r="Z1134">
            <v>0.333281404</v>
          </cell>
          <cell r="AB1134" t="str">
            <v>2012NJ</v>
          </cell>
          <cell r="AC1134">
            <v>0</v>
          </cell>
          <cell r="AD1134">
            <v>0</v>
          </cell>
          <cell r="AE1134">
            <v>0.05</v>
          </cell>
          <cell r="AF1134">
            <v>0.95</v>
          </cell>
        </row>
        <row r="1135">
          <cell r="B1135" t="str">
            <v>2012NM</v>
          </cell>
          <cell r="C1135">
            <v>0.61184589317007076</v>
          </cell>
          <cell r="D1135">
            <v>0.19452029294367307</v>
          </cell>
          <cell r="E1135">
            <v>9.8952813124742175E-2</v>
          </cell>
          <cell r="F1135">
            <v>9.4174237847419268E-2</v>
          </cell>
          <cell r="G1135">
            <v>0</v>
          </cell>
          <cell r="H1135">
            <v>5.0676291409465751E-4</v>
          </cell>
          <cell r="J1135" t="str">
            <v>2012NM</v>
          </cell>
          <cell r="K1135">
            <v>0.90104718699999997</v>
          </cell>
          <cell r="L1135">
            <v>0</v>
          </cell>
          <cell r="M1135">
            <v>9.8952813000000001E-2</v>
          </cell>
          <cell r="U1135" t="str">
            <v>2012NM</v>
          </cell>
          <cell r="V1135">
            <v>0.91655606099999998</v>
          </cell>
          <cell r="W1135">
            <v>3.6715329999999998E-3</v>
          </cell>
          <cell r="X1135">
            <v>2.3030526999999999E-2</v>
          </cell>
          <cell r="Y1135">
            <v>1.7606671000000001E-2</v>
          </cell>
          <cell r="Z1135">
            <v>3.9135206999999998E-2</v>
          </cell>
          <cell r="AB1135" t="str">
            <v>2012NM</v>
          </cell>
          <cell r="AC1135">
            <v>0</v>
          </cell>
          <cell r="AD1135">
            <v>0</v>
          </cell>
          <cell r="AE1135">
            <v>0.6</v>
          </cell>
          <cell r="AF1135">
            <v>0.4</v>
          </cell>
        </row>
        <row r="1136">
          <cell r="B1136" t="str">
            <v>2012NY</v>
          </cell>
          <cell r="C1136">
            <v>9.8408703041683282E-2</v>
          </cell>
          <cell r="D1136">
            <v>0.15954377256245178</v>
          </cell>
          <cell r="E1136">
            <v>0.44849165243165579</v>
          </cell>
          <cell r="F1136">
            <v>0.20287733376538455</v>
          </cell>
          <cell r="G1136">
            <v>7.0184973363303343E-2</v>
          </cell>
          <cell r="H1136">
            <v>2.0493564835521279E-2</v>
          </cell>
          <cell r="J1136" t="str">
            <v>2012NY</v>
          </cell>
          <cell r="K1136">
            <v>0.481323375</v>
          </cell>
          <cell r="L1136">
            <v>7.0184972999999998E-2</v>
          </cell>
          <cell r="M1136">
            <v>0.44849165200000002</v>
          </cell>
          <cell r="U1136" t="str">
            <v>2012NY</v>
          </cell>
          <cell r="V1136">
            <v>0.20441514899999999</v>
          </cell>
          <cell r="W1136">
            <v>4.1815811000000001E-2</v>
          </cell>
          <cell r="X1136">
            <v>0.21220383400000001</v>
          </cell>
          <cell r="Y1136">
            <v>0.145168144</v>
          </cell>
          <cell r="Z1136">
            <v>0.396397061</v>
          </cell>
          <cell r="AB1136" t="str">
            <v>2012NY</v>
          </cell>
          <cell r="AC1136">
            <v>0</v>
          </cell>
          <cell r="AD1136">
            <v>0</v>
          </cell>
          <cell r="AE1136">
            <v>0.05</v>
          </cell>
          <cell r="AF1136">
            <v>0.95</v>
          </cell>
        </row>
        <row r="1137">
          <cell r="B1137" t="str">
            <v>2012NC</v>
          </cell>
          <cell r="C1137">
            <v>6.168821577504751E-2</v>
          </cell>
          <cell r="D1137">
            <v>0.11278426418396881</v>
          </cell>
          <cell r="E1137">
            <v>0.15395779991170949</v>
          </cell>
          <cell r="F1137">
            <v>0.11589101949636353</v>
          </cell>
          <cell r="G1137">
            <v>0.54100750469043157</v>
          </cell>
          <cell r="H1137">
            <v>1.4671195942479084E-2</v>
          </cell>
          <cell r="J1137" t="str">
            <v>2012NC</v>
          </cell>
          <cell r="K1137">
            <v>0.30503469499999991</v>
          </cell>
          <cell r="L1137">
            <v>0.54100750500000006</v>
          </cell>
          <cell r="M1137">
            <v>0.15395780000000001</v>
          </cell>
          <cell r="U1137" t="str">
            <v>2012NC</v>
          </cell>
          <cell r="V1137">
            <v>2.4742549999999999E-3</v>
          </cell>
          <cell r="W1137">
            <v>3.7123251000000003E-2</v>
          </cell>
          <cell r="X1137">
            <v>6.1645423999999997E-2</v>
          </cell>
          <cell r="Y1137">
            <v>0.58464508599999998</v>
          </cell>
          <cell r="Z1137">
            <v>0.31411198400000001</v>
          </cell>
          <cell r="AB1137" t="str">
            <v>2012NC</v>
          </cell>
          <cell r="AC1137">
            <v>0</v>
          </cell>
          <cell r="AD1137">
            <v>0</v>
          </cell>
          <cell r="AE1137">
            <v>0.41899999999999998</v>
          </cell>
          <cell r="AF1137">
            <v>0.58099999999999996</v>
          </cell>
        </row>
        <row r="1138">
          <cell r="B1138" t="str">
            <v>2012ND</v>
          </cell>
          <cell r="C1138">
            <v>0.1196932700797023</v>
          </cell>
          <cell r="D1138">
            <v>0.21866711268457967</v>
          </cell>
          <cell r="E1138">
            <v>0.10978970169096619</v>
          </cell>
          <cell r="F1138">
            <v>0.448028418369537</v>
          </cell>
          <cell r="G1138">
            <v>6.499987314042277E-2</v>
          </cell>
          <cell r="H1138">
            <v>3.8821624034792085E-2</v>
          </cell>
          <cell r="J1138" t="str">
            <v>2012ND</v>
          </cell>
          <cell r="K1138">
            <v>0.82521042499999997</v>
          </cell>
          <cell r="L1138">
            <v>6.4999873E-2</v>
          </cell>
          <cell r="M1138">
            <v>0.109789702</v>
          </cell>
          <cell r="U1138" t="str">
            <v>2012ND</v>
          </cell>
          <cell r="V1138">
            <v>8.8434773999999994E-2</v>
          </cell>
          <cell r="W1138">
            <v>4.7868137999999998E-2</v>
          </cell>
          <cell r="X1138">
            <v>0.243186129</v>
          </cell>
          <cell r="Y1138">
            <v>0.16647603599999999</v>
          </cell>
          <cell r="Z1138">
            <v>0.45403492299999998</v>
          </cell>
          <cell r="AB1138" t="str">
            <v>2012ND</v>
          </cell>
          <cell r="AC1138">
            <v>0</v>
          </cell>
          <cell r="AD1138">
            <v>0</v>
          </cell>
          <cell r="AE1138">
            <v>0.02</v>
          </cell>
          <cell r="AF1138">
            <v>0.98</v>
          </cell>
        </row>
        <row r="1139">
          <cell r="B1139" t="str">
            <v>2012OH</v>
          </cell>
          <cell r="C1139">
            <v>0.10753833947858983</v>
          </cell>
          <cell r="D1139">
            <v>0.22522557822049544</v>
          </cell>
          <cell r="E1139">
            <v>0.13589110116557596</v>
          </cell>
          <cell r="F1139">
            <v>0.4097570212201273</v>
          </cell>
          <cell r="G1139">
            <v>8.0452940491062386E-2</v>
          </cell>
          <cell r="H1139">
            <v>4.1135019424149183E-2</v>
          </cell>
          <cell r="J1139" t="str">
            <v>2012OH</v>
          </cell>
          <cell r="K1139">
            <v>0.78365595900000007</v>
          </cell>
          <cell r="L1139">
            <v>8.0452940000000001E-2</v>
          </cell>
          <cell r="M1139">
            <v>0.13589110099999999</v>
          </cell>
          <cell r="U1139" t="str">
            <v>2012OH</v>
          </cell>
          <cell r="V1139">
            <v>6.6338901000000006E-2</v>
          </cell>
          <cell r="W1139">
            <v>4.3119113000000001E-2</v>
          </cell>
          <cell r="X1139">
            <v>0.26533305600000001</v>
          </cell>
          <cell r="Y1139">
            <v>0.15267545299999999</v>
          </cell>
          <cell r="Z1139">
            <v>0.47253347699999998</v>
          </cell>
          <cell r="AB1139" t="str">
            <v>2012OH</v>
          </cell>
          <cell r="AC1139">
            <v>0</v>
          </cell>
          <cell r="AD1139">
            <v>0</v>
          </cell>
          <cell r="AE1139">
            <v>0</v>
          </cell>
          <cell r="AF1139">
            <v>1</v>
          </cell>
        </row>
        <row r="1140">
          <cell r="B1140" t="str">
            <v>2012OK</v>
          </cell>
          <cell r="C1140">
            <v>0.40296958934788546</v>
          </cell>
          <cell r="D1140">
            <v>0.22528492954061258</v>
          </cell>
          <cell r="E1140">
            <v>6.4896255940651446E-2</v>
          </cell>
          <cell r="F1140">
            <v>0.24738177570149189</v>
          </cell>
          <cell r="G1140">
            <v>0</v>
          </cell>
          <cell r="H1140">
            <v>5.9467449469358676E-2</v>
          </cell>
          <cell r="J1140" t="str">
            <v>2012OK</v>
          </cell>
          <cell r="K1140">
            <v>0.93510374399999996</v>
          </cell>
          <cell r="L1140">
            <v>0</v>
          </cell>
          <cell r="M1140">
            <v>6.4896255999999999E-2</v>
          </cell>
          <cell r="U1140" t="str">
            <v>2012OK</v>
          </cell>
          <cell r="V1140">
            <v>1.2831308E-2</v>
          </cell>
          <cell r="W1140">
            <v>3.6793041999999998E-2</v>
          </cell>
          <cell r="X1140">
            <v>6.2749109999999997E-2</v>
          </cell>
          <cell r="Y1140">
            <v>0.57552135800000004</v>
          </cell>
          <cell r="Z1140">
            <v>0.31210518199999998</v>
          </cell>
          <cell r="AB1140" t="str">
            <v>2012OK</v>
          </cell>
          <cell r="AC1140">
            <v>0</v>
          </cell>
          <cell r="AD1140">
            <v>0</v>
          </cell>
          <cell r="AE1140">
            <v>0.6</v>
          </cell>
          <cell r="AF1140">
            <v>0.4</v>
          </cell>
        </row>
        <row r="1141">
          <cell r="B1141" t="str">
            <v>2012OR</v>
          </cell>
          <cell r="C1141">
            <v>0.43856747008812064</v>
          </cell>
          <cell r="D1141">
            <v>0.20958259090942544</v>
          </cell>
          <cell r="E1141">
            <v>0</v>
          </cell>
          <cell r="F1141">
            <v>0.12862948158709187</v>
          </cell>
          <cell r="G1141">
            <v>0.2018533708975031</v>
          </cell>
          <cell r="H1141">
            <v>2.1367086517858933E-2</v>
          </cell>
          <cell r="J1141" t="str">
            <v>2012OR</v>
          </cell>
          <cell r="K1141">
            <v>0.798146629</v>
          </cell>
          <cell r="L1141">
            <v>0.201853371</v>
          </cell>
          <cell r="M1141">
            <v>0</v>
          </cell>
          <cell r="U1141" t="str">
            <v>2012OR</v>
          </cell>
          <cell r="V1141">
            <v>0.57640796000000005</v>
          </cell>
          <cell r="W1141">
            <v>1.863805E-2</v>
          </cell>
          <cell r="X1141">
            <v>0.116911403</v>
          </cell>
          <cell r="Y1141">
            <v>8.937792E-2</v>
          </cell>
          <cell r="Z1141">
            <v>0.19866466699999999</v>
          </cell>
          <cell r="AB1141" t="str">
            <v>2012OR</v>
          </cell>
          <cell r="AC1141">
            <v>0</v>
          </cell>
          <cell r="AD1141">
            <v>0</v>
          </cell>
          <cell r="AE1141">
            <v>0.25</v>
          </cell>
          <cell r="AF1141">
            <v>0.75</v>
          </cell>
        </row>
        <row r="1142">
          <cell r="B1142" t="str">
            <v>2012PA</v>
          </cell>
          <cell r="C1142">
            <v>4.9624045569858895E-2</v>
          </cell>
          <cell r="D1142">
            <v>0.11712497857538914</v>
          </cell>
          <cell r="E1142">
            <v>0.46874549019831585</v>
          </cell>
          <cell r="F1142">
            <v>0.25230966018477574</v>
          </cell>
          <cell r="G1142">
            <v>8.8454910858433447E-2</v>
          </cell>
          <cell r="H1142">
            <v>2.3740914613226898E-2</v>
          </cell>
          <cell r="J1142" t="str">
            <v>2012PA</v>
          </cell>
          <cell r="K1142">
            <v>0.44279959899999999</v>
          </cell>
          <cell r="L1142">
            <v>8.8454910999999997E-2</v>
          </cell>
          <cell r="M1142">
            <v>0.46874548999999999</v>
          </cell>
          <cell r="U1142" t="str">
            <v>2012PA</v>
          </cell>
          <cell r="V1142">
            <v>5.0102499000000002E-2</v>
          </cell>
          <cell r="W1142">
            <v>4.9409870000000002E-2</v>
          </cell>
          <cell r="X1142">
            <v>0.25392279899999998</v>
          </cell>
          <cell r="Y1142">
            <v>0.17504710600000001</v>
          </cell>
          <cell r="Z1142">
            <v>0.47151772600000003</v>
          </cell>
          <cell r="AB1142" t="str">
            <v>2012PA</v>
          </cell>
          <cell r="AC1142">
            <v>0</v>
          </cell>
          <cell r="AD1142">
            <v>0</v>
          </cell>
          <cell r="AE1142">
            <v>0</v>
          </cell>
          <cell r="AF1142">
            <v>1</v>
          </cell>
        </row>
        <row r="1143">
          <cell r="B1143" t="str">
            <v>2012RI</v>
          </cell>
          <cell r="C1143">
            <v>4.2447025005926793E-2</v>
          </cell>
          <cell r="D1143">
            <v>0.1190174947032642</v>
          </cell>
          <cell r="E1143">
            <v>0.46784468707451643</v>
          </cell>
          <cell r="F1143">
            <v>0.25730854976835782</v>
          </cell>
          <cell r="G1143">
            <v>8.7642343040085183E-2</v>
          </cell>
          <cell r="H1143">
            <v>2.5739900407849584E-2</v>
          </cell>
          <cell r="J1143" t="str">
            <v>2012RI</v>
          </cell>
          <cell r="K1143">
            <v>0.44451297000000001</v>
          </cell>
          <cell r="L1143">
            <v>8.7642342999999998E-2</v>
          </cell>
          <cell r="M1143">
            <v>0.46784468699999998</v>
          </cell>
          <cell r="U1143" t="str">
            <v>2012RI</v>
          </cell>
          <cell r="V1143">
            <v>0.56026879500000004</v>
          </cell>
          <cell r="W1143">
            <v>1.9348173E-2</v>
          </cell>
          <cell r="X1143">
            <v>0.121365813</v>
          </cell>
          <cell r="Y1143">
            <v>9.2783283999999994E-2</v>
          </cell>
          <cell r="Z1143">
            <v>0.20623393500000001</v>
          </cell>
          <cell r="AB1143" t="str">
            <v>2012RI</v>
          </cell>
          <cell r="AC1143">
            <v>0</v>
          </cell>
          <cell r="AD1143">
            <v>0</v>
          </cell>
          <cell r="AE1143">
            <v>0.05</v>
          </cell>
          <cell r="AF1143">
            <v>0.95</v>
          </cell>
        </row>
        <row r="1144">
          <cell r="B1144" t="str">
            <v>2012SC</v>
          </cell>
          <cell r="C1144">
            <v>0.13346180610825578</v>
          </cell>
          <cell r="D1144">
            <v>9.0019723091430845E-2</v>
          </cell>
          <cell r="E1144">
            <v>0.15451296947775242</v>
          </cell>
          <cell r="F1144">
            <v>8.0687406490411034E-2</v>
          </cell>
          <cell r="G1144">
            <v>0.53771407690020812</v>
          </cell>
          <cell r="H1144">
            <v>3.6040179319418398E-3</v>
          </cell>
          <cell r="J1144" t="str">
            <v>2012SC</v>
          </cell>
          <cell r="K1144">
            <v>0.30777295400000004</v>
          </cell>
          <cell r="L1144">
            <v>0.53771407699999996</v>
          </cell>
          <cell r="M1144">
            <v>0.154512969</v>
          </cell>
          <cell r="U1144" t="str">
            <v>2012SC</v>
          </cell>
          <cell r="V1144">
            <v>6.1629585000000001E-2</v>
          </cell>
          <cell r="W1144">
            <v>3.5823032999999997E-2</v>
          </cell>
          <cell r="X1144">
            <v>8.6443989999999998E-2</v>
          </cell>
          <cell r="Y1144">
            <v>0.50014727299999995</v>
          </cell>
          <cell r="Z1144">
            <v>0.31595611899999998</v>
          </cell>
          <cell r="AB1144" t="str">
            <v>2012SC</v>
          </cell>
          <cell r="AC1144">
            <v>0</v>
          </cell>
          <cell r="AD1144">
            <v>0</v>
          </cell>
          <cell r="AE1144">
            <v>0.6</v>
          </cell>
          <cell r="AF1144">
            <v>0.4</v>
          </cell>
        </row>
        <row r="1145">
          <cell r="B1145" t="str">
            <v>2012SD</v>
          </cell>
          <cell r="C1145">
            <v>0.17608951911561277</v>
          </cell>
          <cell r="D1145">
            <v>0.277831368160596</v>
          </cell>
          <cell r="E1145">
            <v>7.9800561964795444E-2</v>
          </cell>
          <cell r="F1145">
            <v>0.37802114842972712</v>
          </cell>
          <cell r="G1145">
            <v>4.724510882492864E-2</v>
          </cell>
          <cell r="H1145">
            <v>4.1012293504340026E-2</v>
          </cell>
          <cell r="J1145" t="str">
            <v>2012SD</v>
          </cell>
          <cell r="K1145">
            <v>0.87295432900000003</v>
          </cell>
          <cell r="L1145">
            <v>4.7245109E-2</v>
          </cell>
          <cell r="M1145">
            <v>7.9800562000000005E-2</v>
          </cell>
          <cell r="U1145" t="str">
            <v>2012SD</v>
          </cell>
          <cell r="V1145">
            <v>3.3046748000000001E-2</v>
          </cell>
          <cell r="W1145">
            <v>5.1157264000000001E-2</v>
          </cell>
          <cell r="X1145">
            <v>0.25755016600000002</v>
          </cell>
          <cell r="Y1145">
            <v>0.17532273200000001</v>
          </cell>
          <cell r="Z1145">
            <v>0.48292308900000003</v>
          </cell>
          <cell r="AB1145" t="str">
            <v>2012SD</v>
          </cell>
          <cell r="AC1145">
            <v>0</v>
          </cell>
          <cell r="AD1145">
            <v>0</v>
          </cell>
          <cell r="AE1145">
            <v>0.02</v>
          </cell>
          <cell r="AF1145">
            <v>0.98</v>
          </cell>
        </row>
        <row r="1146">
          <cell r="B1146" t="str">
            <v>2012TN</v>
          </cell>
          <cell r="C1146">
            <v>4.0519949592449485E-2</v>
          </cell>
          <cell r="D1146">
            <v>8.9664149461423162E-2</v>
          </cell>
          <cell r="E1146">
            <v>0.14551684926860037</v>
          </cell>
          <cell r="F1146">
            <v>0.1170185785979804</v>
          </cell>
          <cell r="G1146">
            <v>0.59108168584929244</v>
          </cell>
          <cell r="H1146">
            <v>1.6198787230254148E-2</v>
          </cell>
          <cell r="J1146" t="str">
            <v>2012TN</v>
          </cell>
          <cell r="K1146">
            <v>0.26340146500000006</v>
          </cell>
          <cell r="L1146">
            <v>0.591081686</v>
          </cell>
          <cell r="M1146">
            <v>0.145516849</v>
          </cell>
          <cell r="U1146" t="str">
            <v>2012TN</v>
          </cell>
          <cell r="V1146">
            <v>0.102875089</v>
          </cell>
          <cell r="W1146">
            <v>3.5402429999999999E-2</v>
          </cell>
          <cell r="X1146">
            <v>0.119077104</v>
          </cell>
          <cell r="Y1146">
            <v>0.41436515099999999</v>
          </cell>
          <cell r="Z1146">
            <v>0.32828022600000001</v>
          </cell>
          <cell r="AB1146" t="str">
            <v>2012TN</v>
          </cell>
          <cell r="AC1146">
            <v>0</v>
          </cell>
          <cell r="AD1146">
            <v>0</v>
          </cell>
          <cell r="AE1146">
            <v>0.05</v>
          </cell>
          <cell r="AF1146">
            <v>0.95</v>
          </cell>
        </row>
        <row r="1147">
          <cell r="B1147" t="str">
            <v>2012TX</v>
          </cell>
          <cell r="C1147">
            <v>0.53305655520056971</v>
          </cell>
          <cell r="D1147">
            <v>0.24233312613196878</v>
          </cell>
          <cell r="E1147">
            <v>7.9791980793249173E-2</v>
          </cell>
          <cell r="F1147">
            <v>0.1278405091499755</v>
          </cell>
          <cell r="G1147">
            <v>0</v>
          </cell>
          <cell r="H1147">
            <v>1.6977828724236681E-2</v>
          </cell>
          <cell r="J1147" t="str">
            <v>2012TX</v>
          </cell>
          <cell r="K1147">
            <v>0.92020801900000004</v>
          </cell>
          <cell r="L1147">
            <v>0</v>
          </cell>
          <cell r="M1147">
            <v>7.9791980999999998E-2</v>
          </cell>
          <cell r="U1147" t="str">
            <v>2012TX</v>
          </cell>
          <cell r="V1147">
            <v>6.9632535999999995E-2</v>
          </cell>
          <cell r="W1147">
            <v>3.4700662E-2</v>
          </cell>
          <cell r="X1147">
            <v>5.9917572000000002E-2</v>
          </cell>
          <cell r="Y1147">
            <v>0.54104196599999999</v>
          </cell>
          <cell r="Z1147">
            <v>0.29470726400000002</v>
          </cell>
          <cell r="AB1147" t="str">
            <v>2012TX</v>
          </cell>
          <cell r="AC1147">
            <v>0</v>
          </cell>
          <cell r="AD1147">
            <v>0</v>
          </cell>
          <cell r="AE1147">
            <v>0.12</v>
          </cell>
          <cell r="AF1147">
            <v>0.88</v>
          </cell>
        </row>
        <row r="1148">
          <cell r="B1148" t="str">
            <v>2012UT</v>
          </cell>
          <cell r="C1148">
            <v>0.51165623152884221</v>
          </cell>
          <cell r="D1148">
            <v>0.26394677259150623</v>
          </cell>
          <cell r="E1148">
            <v>1.3999177703951423E-2</v>
          </cell>
          <cell r="F1148">
            <v>0.17036034814732054</v>
          </cell>
          <cell r="G1148">
            <v>8.2880703819413898E-3</v>
          </cell>
          <cell r="H1148">
            <v>3.1749399646438282E-2</v>
          </cell>
          <cell r="J1148" t="str">
            <v>2012UT</v>
          </cell>
          <cell r="K1148">
            <v>0.97771275199999996</v>
          </cell>
          <cell r="L1148">
            <v>8.2880699999999998E-3</v>
          </cell>
          <cell r="M1148">
            <v>1.3999177999999999E-2</v>
          </cell>
          <cell r="U1148" t="str">
            <v>2012UT</v>
          </cell>
          <cell r="V1148">
            <v>8.6456620000000001E-3</v>
          </cell>
          <cell r="W1148">
            <v>5.5424775000000003E-2</v>
          </cell>
          <cell r="X1148">
            <v>0.260824848</v>
          </cell>
          <cell r="Y1148">
            <v>0.16982515300000001</v>
          </cell>
          <cell r="Z1148">
            <v>0.50527956200000002</v>
          </cell>
          <cell r="AB1148" t="str">
            <v>2012UT</v>
          </cell>
          <cell r="AC1148">
            <v>0</v>
          </cell>
          <cell r="AD1148">
            <v>0</v>
          </cell>
          <cell r="AE1148">
            <v>0.6</v>
          </cell>
          <cell r="AF1148">
            <v>0.4</v>
          </cell>
        </row>
        <row r="1149">
          <cell r="B1149" t="str">
            <v>2012VT</v>
          </cell>
          <cell r="C1149">
            <v>9.9973781354903396E-2</v>
          </cell>
          <cell r="D1149">
            <v>0.17387691112967565</v>
          </cell>
          <cell r="E1149">
            <v>0.44423932842492886</v>
          </cell>
          <cell r="F1149">
            <v>0.19448861844630186</v>
          </cell>
          <cell r="G1149">
            <v>6.6349172232328182E-2</v>
          </cell>
          <cell r="H1149">
            <v>2.1072188411862088E-2</v>
          </cell>
          <cell r="J1149" t="str">
            <v>2012VT</v>
          </cell>
          <cell r="K1149">
            <v>0.4894115</v>
          </cell>
          <cell r="L1149">
            <v>6.6349171999999998E-2</v>
          </cell>
          <cell r="M1149">
            <v>0.44423932799999999</v>
          </cell>
          <cell r="U1149" t="str">
            <v>2012VT</v>
          </cell>
          <cell r="V1149">
            <v>0.86037974299999997</v>
          </cell>
          <cell r="W1149">
            <v>6.1432910000000004E-3</v>
          </cell>
          <cell r="X1149">
            <v>3.8535191000000003E-2</v>
          </cell>
          <cell r="Y1149">
            <v>2.9459874E-2</v>
          </cell>
          <cell r="Z1149">
            <v>6.5481899999999996E-2</v>
          </cell>
          <cell r="AB1149" t="str">
            <v>2012VT</v>
          </cell>
          <cell r="AC1149">
            <v>0</v>
          </cell>
          <cell r="AD1149">
            <v>0</v>
          </cell>
          <cell r="AE1149">
            <v>0.05</v>
          </cell>
          <cell r="AF1149">
            <v>0.95</v>
          </cell>
        </row>
        <row r="1150">
          <cell r="B1150" t="str">
            <v>2012VA</v>
          </cell>
          <cell r="C1150">
            <v>4.4953509549794296E-2</v>
          </cell>
          <cell r="D1150">
            <v>9.339670802378576E-2</v>
          </cell>
          <cell r="E1150">
            <v>0.14844092890155638</v>
          </cell>
          <cell r="F1150">
            <v>0.12331550684410268</v>
          </cell>
          <cell r="G1150">
            <v>0.5737351926100378</v>
          </cell>
          <cell r="H1150">
            <v>1.6158154070723133E-2</v>
          </cell>
          <cell r="J1150" t="str">
            <v>2012VA</v>
          </cell>
          <cell r="K1150">
            <v>0.27782387799999997</v>
          </cell>
          <cell r="L1150">
            <v>0.57373519299999998</v>
          </cell>
          <cell r="M1150">
            <v>0.148440929</v>
          </cell>
          <cell r="U1150" t="str">
            <v>2012VA</v>
          </cell>
          <cell r="V1150">
            <v>3.3934871999999998E-2</v>
          </cell>
          <cell r="W1150">
            <v>3.6244844999999998E-2</v>
          </cell>
          <cell r="X1150">
            <v>6.8933026999999994E-2</v>
          </cell>
          <cell r="Y1150">
            <v>0.550040046</v>
          </cell>
          <cell r="Z1150">
            <v>0.31084721100000001</v>
          </cell>
          <cell r="AB1150" t="str">
            <v>2012VA</v>
          </cell>
          <cell r="AC1150">
            <v>0</v>
          </cell>
          <cell r="AD1150">
            <v>0</v>
          </cell>
          <cell r="AE1150">
            <v>0.05</v>
          </cell>
          <cell r="AF1150">
            <v>0.95</v>
          </cell>
        </row>
        <row r="1151">
          <cell r="B1151" t="str">
            <v>2012WA</v>
          </cell>
          <cell r="C1151">
            <v>0.48742079910802349</v>
          </cell>
          <cell r="D1151">
            <v>0.21961274491816118</v>
          </cell>
          <cell r="E1151">
            <v>0</v>
          </cell>
          <cell r="F1151">
            <v>0.11254281869932067</v>
          </cell>
          <cell r="G1151">
            <v>0.16627589127589129</v>
          </cell>
          <cell r="H1151">
            <v>1.4147745998603438E-2</v>
          </cell>
          <cell r="J1151" t="str">
            <v>2012WA</v>
          </cell>
          <cell r="K1151">
            <v>0.83372410900000005</v>
          </cell>
          <cell r="L1151">
            <v>0.16627589100000001</v>
          </cell>
          <cell r="M1151">
            <v>0</v>
          </cell>
          <cell r="U1151" t="str">
            <v>2012WA</v>
          </cell>
          <cell r="V1151">
            <v>0.37353494700000001</v>
          </cell>
          <cell r="W1151">
            <v>3.1263627000000002E-2</v>
          </cell>
          <cell r="X1151">
            <v>0.168896926</v>
          </cell>
          <cell r="Y1151">
            <v>0.119853577</v>
          </cell>
          <cell r="Z1151">
            <v>0.30645092299999999</v>
          </cell>
          <cell r="AB1151" t="str">
            <v>2012WA</v>
          </cell>
          <cell r="AC1151">
            <v>0</v>
          </cell>
          <cell r="AD1151">
            <v>0</v>
          </cell>
          <cell r="AE1151">
            <v>0.12</v>
          </cell>
          <cell r="AF1151">
            <v>0.88</v>
          </cell>
        </row>
        <row r="1152">
          <cell r="B1152" t="str">
            <v>2012WV</v>
          </cell>
          <cell r="C1152">
            <v>6.8751812683186322E-2</v>
          </cell>
          <cell r="D1152">
            <v>0.15888641455628993</v>
          </cell>
          <cell r="E1152">
            <v>0.44831485363191043</v>
          </cell>
          <cell r="F1152">
            <v>0.22633984896592482</v>
          </cell>
          <cell r="G1152">
            <v>7.0025492327769459E-2</v>
          </cell>
          <cell r="H1152">
            <v>2.7681577834919095E-2</v>
          </cell>
          <cell r="J1152" t="str">
            <v>2012WV</v>
          </cell>
          <cell r="K1152">
            <v>0.48165965399999999</v>
          </cell>
          <cell r="L1152">
            <v>7.0025491999999995E-2</v>
          </cell>
          <cell r="M1152">
            <v>0.44831485399999998</v>
          </cell>
          <cell r="U1152" t="str">
            <v>2012WV</v>
          </cell>
          <cell r="V1152">
            <v>0.57920187499999998</v>
          </cell>
          <cell r="W1152">
            <v>2.1256934000000002E-2</v>
          </cell>
          <cell r="X1152">
            <v>0.113169981</v>
          </cell>
          <cell r="Y1152">
            <v>7.9649016000000003E-2</v>
          </cell>
          <cell r="Z1152">
            <v>0.206722194</v>
          </cell>
          <cell r="AB1152" t="str">
            <v>2012WV</v>
          </cell>
          <cell r="AC1152">
            <v>0</v>
          </cell>
          <cell r="AD1152">
            <v>0</v>
          </cell>
          <cell r="AE1152">
            <v>0.05</v>
          </cell>
          <cell r="AF1152">
            <v>0.95</v>
          </cell>
        </row>
        <row r="1153">
          <cell r="B1153" t="str">
            <v>2012WI</v>
          </cell>
          <cell r="C1153">
            <v>0.12203432597344931</v>
          </cell>
          <cell r="D1153">
            <v>0.23555629715568294</v>
          </cell>
          <cell r="E1153">
            <v>0.11540173598404266</v>
          </cell>
          <cell r="F1153">
            <v>0.42032708364290838</v>
          </cell>
          <cell r="G1153">
            <v>6.8322420806473022E-2</v>
          </cell>
          <cell r="H1153">
            <v>3.8358136437443673E-2</v>
          </cell>
          <cell r="J1153" t="str">
            <v>2012WI</v>
          </cell>
          <cell r="K1153">
            <v>0.816275843</v>
          </cell>
          <cell r="L1153">
            <v>6.8322420999999994E-2</v>
          </cell>
          <cell r="M1153">
            <v>0.115401736</v>
          </cell>
          <cell r="U1153" t="str">
            <v>2012WI</v>
          </cell>
          <cell r="V1153">
            <v>0.12883246500000001</v>
          </cell>
          <cell r="W1153">
            <v>4.2564396999999997E-2</v>
          </cell>
          <cell r="X1153">
            <v>0.23585646199999999</v>
          </cell>
          <cell r="Y1153">
            <v>0.16970626599999999</v>
          </cell>
          <cell r="Z1153">
            <v>0.42304040999999998</v>
          </cell>
          <cell r="AB1153" t="str">
            <v>2012WI</v>
          </cell>
          <cell r="AC1153">
            <v>0</v>
          </cell>
          <cell r="AD1153">
            <v>0</v>
          </cell>
          <cell r="AE1153">
            <v>0.02</v>
          </cell>
          <cell r="AF1153">
            <v>0.98</v>
          </cell>
        </row>
        <row r="1154">
          <cell r="B1154" t="str">
            <v>2012WY</v>
          </cell>
          <cell r="C1154">
            <v>0.29508724522063295</v>
          </cell>
          <cell r="D1154">
            <v>0.23251729773373622</v>
          </cell>
          <cell r="E1154">
            <v>0.12161775942187937</v>
          </cell>
          <cell r="F1154">
            <v>0.2207502472879718</v>
          </cell>
          <cell r="G1154">
            <v>7.2002554085590281E-2</v>
          </cell>
          <cell r="H1154">
            <v>5.8024896250189507E-2</v>
          </cell>
          <cell r="J1154" t="str">
            <v>2012WY</v>
          </cell>
          <cell r="K1154">
            <v>0.80637968699999996</v>
          </cell>
          <cell r="L1154">
            <v>7.2002553999999996E-2</v>
          </cell>
          <cell r="M1154">
            <v>0.12161775900000001</v>
          </cell>
          <cell r="U1154" t="str">
            <v>2012WY</v>
          </cell>
          <cell r="V1154">
            <v>3.2109568999999998E-2</v>
          </cell>
          <cell r="W1154">
            <v>5.3596850000000001E-2</v>
          </cell>
          <cell r="X1154">
            <v>0.25521061499999997</v>
          </cell>
          <cell r="Y1154">
            <v>0.16752597599999999</v>
          </cell>
          <cell r="Z1154">
            <v>0.49155699000000003</v>
          </cell>
          <cell r="AB1154" t="str">
            <v>2012WY</v>
          </cell>
          <cell r="AC1154">
            <v>0</v>
          </cell>
          <cell r="AD1154">
            <v>0</v>
          </cell>
          <cell r="AE1154">
            <v>0.6</v>
          </cell>
          <cell r="AF1154">
            <v>0.4</v>
          </cell>
        </row>
        <row r="1155">
          <cell r="B1155" t="str">
            <v>2013AL</v>
          </cell>
          <cell r="C1155">
            <v>0.17233560131521788</v>
          </cell>
          <cell r="D1155">
            <v>9.7606154746872412E-2</v>
          </cell>
          <cell r="E1155">
            <v>0.16919346457207346</v>
          </cell>
          <cell r="F1155">
            <v>0.1056405325382436</v>
          </cell>
          <cell r="G1155">
            <v>0.45062509818962659</v>
          </cell>
          <cell r="H1155">
            <v>4.5991486379660445E-3</v>
          </cell>
          <cell r="J1155" t="str">
            <v>2013AL</v>
          </cell>
          <cell r="K1155">
            <v>0.38018143700000007</v>
          </cell>
          <cell r="L1155">
            <v>0.450625098</v>
          </cell>
          <cell r="M1155">
            <v>0.16919346499999999</v>
          </cell>
          <cell r="U1155" t="str">
            <v>2013AL</v>
          </cell>
          <cell r="V1155">
            <v>5.3114938E-2</v>
          </cell>
          <cell r="W1155">
            <v>3.6058960000000001E-2</v>
          </cell>
          <cell r="X1155">
            <v>8.4414527000000003E-2</v>
          </cell>
          <cell r="Y1155">
            <v>0.50961295299999998</v>
          </cell>
          <cell r="Z1155">
            <v>0.316798623</v>
          </cell>
          <cell r="AB1155" t="str">
            <v>2013AL</v>
          </cell>
          <cell r="AC1155">
            <v>0</v>
          </cell>
          <cell r="AD1155">
            <v>0</v>
          </cell>
          <cell r="AE1155">
            <v>0.41899999999999998</v>
          </cell>
          <cell r="AF1155">
            <v>0.58099999999999996</v>
          </cell>
        </row>
        <row r="1156">
          <cell r="B1156" t="str">
            <v>2013AK</v>
          </cell>
          <cell r="C1156">
            <v>0.30334484066413492</v>
          </cell>
          <cell r="D1156">
            <v>0.23769937716735701</v>
          </cell>
          <cell r="E1156">
            <v>6.205843688929364E-2</v>
          </cell>
          <cell r="F1156">
            <v>0.28363994741136878</v>
          </cell>
          <cell r="G1156">
            <v>3.6741064625999714E-2</v>
          </cell>
          <cell r="H1156">
            <v>7.6516333241846021E-2</v>
          </cell>
          <cell r="J1156" t="str">
            <v>2013AK</v>
          </cell>
          <cell r="K1156">
            <v>0.90120049800000002</v>
          </cell>
          <cell r="L1156">
            <v>3.6741065000000003E-2</v>
          </cell>
          <cell r="M1156">
            <v>6.2058437000000001E-2</v>
          </cell>
          <cell r="U1156" t="str">
            <v>2013AK</v>
          </cell>
          <cell r="V1156">
            <v>0.52632575500000001</v>
          </cell>
          <cell r="W1156">
            <v>2.0841667000000001E-2</v>
          </cell>
          <cell r="X1156">
            <v>0.130734092</v>
          </cell>
          <cell r="Y1156">
            <v>9.9945266000000005E-2</v>
          </cell>
          <cell r="Z1156">
            <v>0.22215322100000001</v>
          </cell>
          <cell r="AB1156" t="str">
            <v>2013AK</v>
          </cell>
          <cell r="AC1156">
            <v>0</v>
          </cell>
          <cell r="AD1156">
            <v>0</v>
          </cell>
          <cell r="AE1156">
            <v>0.25</v>
          </cell>
          <cell r="AF1156">
            <v>0.75</v>
          </cell>
        </row>
        <row r="1157">
          <cell r="B1157" t="str">
            <v>2013AZ</v>
          </cell>
          <cell r="C1157">
            <v>0.611220636654217</v>
          </cell>
          <cell r="D1157">
            <v>0.19572797693407004</v>
          </cell>
          <cell r="E1157">
            <v>9.865488383487428E-2</v>
          </cell>
          <cell r="F1157">
            <v>9.3890669243012675E-2</v>
          </cell>
          <cell r="G1157">
            <v>0</v>
          </cell>
          <cell r="H1157">
            <v>5.0583333382575558E-4</v>
          </cell>
          <cell r="J1157" t="str">
            <v>2013AZ</v>
          </cell>
          <cell r="K1157">
            <v>0.901345116</v>
          </cell>
          <cell r="L1157">
            <v>0</v>
          </cell>
          <cell r="M1157">
            <v>9.8654883999999998E-2</v>
          </cell>
          <cell r="U1157" t="str">
            <v>2013AZ</v>
          </cell>
          <cell r="V1157">
            <v>0.136592664</v>
          </cell>
          <cell r="W1157">
            <v>3.2171241000000003E-2</v>
          </cell>
          <cell r="X1157">
            <v>5.4596316999999998E-2</v>
          </cell>
          <cell r="Y1157">
            <v>0.50386894699999996</v>
          </cell>
          <cell r="Z1157">
            <v>0.27277083200000002</v>
          </cell>
          <cell r="AB1157" t="str">
            <v>2013AZ</v>
          </cell>
          <cell r="AC1157">
            <v>0</v>
          </cell>
          <cell r="AD1157">
            <v>0</v>
          </cell>
          <cell r="AE1157">
            <v>0.6</v>
          </cell>
          <cell r="AF1157">
            <v>0.4</v>
          </cell>
        </row>
        <row r="1158">
          <cell r="B1158" t="str">
            <v>2013AR</v>
          </cell>
          <cell r="C1158">
            <v>9.6391342329605903E-2</v>
          </cell>
          <cell r="D1158">
            <v>6.6955456596874061E-2</v>
          </cell>
          <cell r="E1158">
            <v>0.14888335780531528</v>
          </cell>
          <cell r="F1158">
            <v>0.11118804006195876</v>
          </cell>
          <cell r="G1158">
            <v>0.57111057531117648</v>
          </cell>
          <cell r="H1158">
            <v>5.4712278950695761E-3</v>
          </cell>
          <cell r="J1158" t="str">
            <v>2013AR</v>
          </cell>
          <cell r="K1158">
            <v>0.28000606700000008</v>
          </cell>
          <cell r="L1158">
            <v>0.57111057499999995</v>
          </cell>
          <cell r="M1158">
            <v>0.14888335799999999</v>
          </cell>
          <cell r="U1158" t="str">
            <v>2013AR</v>
          </cell>
          <cell r="V1158">
            <v>3.9459004999999998E-2</v>
          </cell>
          <cell r="W1158">
            <v>3.7640482000000003E-2</v>
          </cell>
          <cell r="X1158">
            <v>0.11914443199999999</v>
          </cell>
          <cell r="Y1158">
            <v>0.45827781299999998</v>
          </cell>
          <cell r="Z1158">
            <v>0.34547826799999998</v>
          </cell>
          <cell r="AB1158" t="str">
            <v>2013AR</v>
          </cell>
          <cell r="AC1158">
            <v>0</v>
          </cell>
          <cell r="AD1158">
            <v>0</v>
          </cell>
          <cell r="AE1158">
            <v>0</v>
          </cell>
          <cell r="AF1158">
            <v>1</v>
          </cell>
        </row>
        <row r="1159">
          <cell r="B1159" t="str">
            <v>2013CA</v>
          </cell>
          <cell r="C1159">
            <v>0.58081862489107328</v>
          </cell>
          <cell r="D1159">
            <v>0.20720345916912225</v>
          </cell>
          <cell r="E1159">
            <v>0.10801924509893834</v>
          </cell>
          <cell r="F1159">
            <v>9.2431120719429966E-2</v>
          </cell>
          <cell r="G1159">
            <v>9.2523577326630076E-3</v>
          </cell>
          <cell r="H1159">
            <v>2.2751923887731596E-3</v>
          </cell>
          <cell r="J1159" t="str">
            <v>2013CA</v>
          </cell>
          <cell r="K1159">
            <v>0.88272839699999994</v>
          </cell>
          <cell r="L1159">
            <v>9.2523580000000005E-3</v>
          </cell>
          <cell r="M1159">
            <v>0.108019245</v>
          </cell>
          <cell r="U1159" t="str">
            <v>2013CA</v>
          </cell>
          <cell r="V1159">
            <v>0.133799526</v>
          </cell>
          <cell r="W1159">
            <v>3.2941353E-2</v>
          </cell>
          <cell r="X1159">
            <v>7.5800703999999997E-2</v>
          </cell>
          <cell r="Y1159">
            <v>0.46867659099999998</v>
          </cell>
          <cell r="Z1159">
            <v>0.28878182499999999</v>
          </cell>
          <cell r="AB1159" t="str">
            <v>2013CA</v>
          </cell>
          <cell r="AC1159">
            <v>0</v>
          </cell>
          <cell r="AD1159">
            <v>0</v>
          </cell>
          <cell r="AE1159">
            <v>0.12</v>
          </cell>
          <cell r="AF1159">
            <v>0.88</v>
          </cell>
        </row>
        <row r="1160">
          <cell r="B1160" t="str">
            <v>2013CO</v>
          </cell>
          <cell r="C1160">
            <v>0.61667904285785091</v>
          </cell>
          <cell r="D1160">
            <v>0.24212893570430052</v>
          </cell>
          <cell r="E1160">
            <v>1.1092391745361967E-2</v>
          </cell>
          <cell r="F1160">
            <v>0.11516410971780773</v>
          </cell>
          <cell r="G1160">
            <v>6.5671374014829543E-3</v>
          </cell>
          <cell r="H1160">
            <v>8.3683825731959392E-3</v>
          </cell>
          <cell r="J1160" t="str">
            <v>2013CO</v>
          </cell>
          <cell r="K1160">
            <v>0.98234047099999999</v>
          </cell>
          <cell r="L1160">
            <v>6.5671369999999998E-3</v>
          </cell>
          <cell r="M1160">
            <v>1.1092392E-2</v>
          </cell>
          <cell r="U1160" t="str">
            <v>2013CO</v>
          </cell>
          <cell r="V1160">
            <v>2.3378138E-2</v>
          </cell>
          <cell r="W1160">
            <v>5.3880426000000002E-2</v>
          </cell>
          <cell r="X1160">
            <v>0.25772948099999998</v>
          </cell>
          <cell r="Y1160">
            <v>0.169703665</v>
          </cell>
          <cell r="Z1160">
            <v>0.49530828999999998</v>
          </cell>
          <cell r="AB1160" t="str">
            <v>2013CO</v>
          </cell>
          <cell r="AC1160">
            <v>0</v>
          </cell>
          <cell r="AD1160">
            <v>0</v>
          </cell>
          <cell r="AE1160">
            <v>0.6</v>
          </cell>
          <cell r="AF1160">
            <v>0.4</v>
          </cell>
        </row>
        <row r="1161">
          <cell r="B1161" t="str">
            <v>2013CT</v>
          </cell>
          <cell r="C1161">
            <v>0.11572842393252261</v>
          </cell>
          <cell r="D1161">
            <v>0.20119880615243968</v>
          </cell>
          <cell r="E1161">
            <v>0.43233999756560143</v>
          </cell>
          <cell r="F1161">
            <v>0.17234541515575838</v>
          </cell>
          <cell r="G1161">
            <v>5.5615402487630847E-2</v>
          </cell>
          <cell r="H1161">
            <v>2.2771954706046996E-2</v>
          </cell>
          <cell r="J1161" t="str">
            <v>2013CT</v>
          </cell>
          <cell r="K1161">
            <v>0.51204460000000007</v>
          </cell>
          <cell r="L1161">
            <v>5.5615402000000001E-2</v>
          </cell>
          <cell r="M1161">
            <v>0.432339998</v>
          </cell>
          <cell r="U1161" t="str">
            <v>2013CT</v>
          </cell>
          <cell r="V1161">
            <v>0.57363861400000005</v>
          </cell>
          <cell r="W1161">
            <v>1.8759900999999999E-2</v>
          </cell>
          <cell r="X1161">
            <v>0.117675743</v>
          </cell>
          <cell r="Y1161">
            <v>8.9962252000000006E-2</v>
          </cell>
          <cell r="Z1161">
            <v>0.19996348999999999</v>
          </cell>
          <cell r="AB1161" t="str">
            <v>2013CT</v>
          </cell>
          <cell r="AC1161">
            <v>0</v>
          </cell>
          <cell r="AD1161">
            <v>0</v>
          </cell>
          <cell r="AE1161">
            <v>0.05</v>
          </cell>
          <cell r="AF1161">
            <v>0.95</v>
          </cell>
        </row>
        <row r="1162">
          <cell r="B1162" t="str">
            <v>2013DE</v>
          </cell>
          <cell r="C1162">
            <v>0.10201653895343663</v>
          </cell>
          <cell r="D1162">
            <v>0.1910091905838856</v>
          </cell>
          <cell r="E1162">
            <v>0.43707162937473454</v>
          </cell>
          <cell r="F1162">
            <v>0.18637975788177577</v>
          </cell>
          <cell r="G1162">
            <v>5.9883562349419175E-2</v>
          </cell>
          <cell r="H1162">
            <v>2.3639320856748244E-2</v>
          </cell>
          <cell r="J1162" t="str">
            <v>2013DE</v>
          </cell>
          <cell r="K1162">
            <v>0.50304480899999993</v>
          </cell>
          <cell r="L1162">
            <v>5.9883562000000001E-2</v>
          </cell>
          <cell r="M1162">
            <v>0.43707162900000002</v>
          </cell>
          <cell r="U1162" t="str">
            <v>2013DE</v>
          </cell>
          <cell r="V1162">
            <v>0.120253529</v>
          </cell>
          <cell r="W1162">
            <v>4.1631153999999997E-2</v>
          </cell>
          <cell r="X1162">
            <v>0.23964419100000001</v>
          </cell>
          <cell r="Y1162">
            <v>0.17588547500000001</v>
          </cell>
          <cell r="Z1162">
            <v>0.42258565100000001</v>
          </cell>
          <cell r="AB1162" t="str">
            <v>2013DE</v>
          </cell>
          <cell r="AC1162">
            <v>0</v>
          </cell>
          <cell r="AD1162">
            <v>0</v>
          </cell>
          <cell r="AE1162">
            <v>0.05</v>
          </cell>
          <cell r="AF1162">
            <v>0.95</v>
          </cell>
        </row>
        <row r="1163">
          <cell r="B1163" t="str">
            <v>2013FL</v>
          </cell>
          <cell r="C1163">
            <v>0.38654865924430459</v>
          </cell>
          <cell r="D1163">
            <v>0.14503983167997814</v>
          </cell>
          <cell r="E1163">
            <v>0.21616400084919535</v>
          </cell>
          <cell r="F1163">
            <v>7.8997496757044303E-2</v>
          </cell>
          <cell r="G1163">
            <v>0.17198217725399226</v>
          </cell>
          <cell r="H1163">
            <v>1.2678342154852779E-3</v>
          </cell>
          <cell r="J1163" t="str">
            <v>2013FL</v>
          </cell>
          <cell r="K1163">
            <v>0.61185382200000005</v>
          </cell>
          <cell r="L1163">
            <v>0.17198217700000001</v>
          </cell>
          <cell r="M1163">
            <v>0.21616400099999999</v>
          </cell>
          <cell r="U1163" t="str">
            <v>2013FL</v>
          </cell>
          <cell r="V1163">
            <v>0.71166924399999998</v>
          </cell>
          <cell r="W1163">
            <v>1.2686553E-2</v>
          </cell>
          <cell r="X1163">
            <v>7.9579288999999998E-2</v>
          </cell>
          <cell r="Y1163">
            <v>6.0837789000000003E-2</v>
          </cell>
          <cell r="Z1163">
            <v>0.135227124</v>
          </cell>
          <cell r="AB1163" t="str">
            <v>2013FL</v>
          </cell>
          <cell r="AC1163">
            <v>0</v>
          </cell>
          <cell r="AD1163">
            <v>0</v>
          </cell>
          <cell r="AE1163">
            <v>0.41899999999999998</v>
          </cell>
          <cell r="AF1163">
            <v>0.58099999999999996</v>
          </cell>
        </row>
        <row r="1164">
          <cell r="B1164" t="str">
            <v>2013GA</v>
          </cell>
          <cell r="C1164">
            <v>0.20823216155586291</v>
          </cell>
          <cell r="D1164">
            <v>0.11033206176717186</v>
          </cell>
          <cell r="E1164">
            <v>0.17733204084631207</v>
          </cell>
          <cell r="F1164">
            <v>9.7862793659120595E-2</v>
          </cell>
          <cell r="G1164">
            <v>0.40234468997942996</v>
          </cell>
          <cell r="H1164">
            <v>3.8962521921025758E-3</v>
          </cell>
          <cell r="J1164" t="str">
            <v>2013GA</v>
          </cell>
          <cell r="K1164">
            <v>0.42032326900000005</v>
          </cell>
          <cell r="L1164">
            <v>0.40234469</v>
          </cell>
          <cell r="M1164">
            <v>0.177332041</v>
          </cell>
          <cell r="U1164" t="str">
            <v>2013GA</v>
          </cell>
          <cell r="V1164">
            <v>7.8133266000000007E-2</v>
          </cell>
          <cell r="W1164">
            <v>3.5587817000000001E-2</v>
          </cell>
          <cell r="X1164">
            <v>9.7388838000000005E-2</v>
          </cell>
          <cell r="Y1164">
            <v>0.46952270200000001</v>
          </cell>
          <cell r="Z1164">
            <v>0.31936737799999998</v>
          </cell>
          <cell r="AB1164" t="str">
            <v>2013GA</v>
          </cell>
          <cell r="AC1164">
            <v>0</v>
          </cell>
          <cell r="AD1164">
            <v>0</v>
          </cell>
          <cell r="AE1164">
            <v>0.41899999999999998</v>
          </cell>
          <cell r="AF1164">
            <v>0.58099999999999996</v>
          </cell>
        </row>
        <row r="1165">
          <cell r="B1165" t="str">
            <v>2013HI</v>
          </cell>
          <cell r="C1165">
            <v>0.67137224197860923</v>
          </cell>
          <cell r="D1165">
            <v>0.21100034068527662</v>
          </cell>
          <cell r="E1165">
            <v>0</v>
          </cell>
          <cell r="F1165">
            <v>0.10820426646618357</v>
          </cell>
          <cell r="G1165">
            <v>7.5112148308577572E-3</v>
          </cell>
          <cell r="H1165">
            <v>1.9119360390725836E-3</v>
          </cell>
          <cell r="J1165" t="str">
            <v>2013HI</v>
          </cell>
          <cell r="K1165">
            <v>0.99248878500000004</v>
          </cell>
          <cell r="L1165">
            <v>7.5112149999999999E-3</v>
          </cell>
          <cell r="M1165">
            <v>0</v>
          </cell>
          <cell r="U1165" t="str">
            <v>2013HI</v>
          </cell>
          <cell r="V1165">
            <v>0.23216878499999999</v>
          </cell>
          <cell r="W1165">
            <v>3.2904865999999998E-2</v>
          </cell>
          <cell r="X1165">
            <v>0.18414778700000001</v>
          </cell>
          <cell r="Y1165">
            <v>0.21064765399999999</v>
          </cell>
          <cell r="Z1165">
            <v>0.34013090899999998</v>
          </cell>
          <cell r="AB1165" t="str">
            <v>2013HI</v>
          </cell>
          <cell r="AC1165">
            <v>0</v>
          </cell>
          <cell r="AD1165">
            <v>0</v>
          </cell>
          <cell r="AE1165">
            <v>0.25</v>
          </cell>
          <cell r="AF1165">
            <v>0.75</v>
          </cell>
        </row>
        <row r="1166">
          <cell r="B1166" t="str">
            <v>2013ID</v>
          </cell>
          <cell r="C1166">
            <v>0.62850843440764703</v>
          </cell>
          <cell r="D1166">
            <v>0.2329683972033782</v>
          </cell>
          <cell r="E1166">
            <v>6.4436683947772669E-3</v>
          </cell>
          <cell r="F1166">
            <v>0.11961222721284216</v>
          </cell>
          <cell r="G1166">
            <v>3.8149081541218642E-3</v>
          </cell>
          <cell r="H1166">
            <v>8.6523646272333287E-3</v>
          </cell>
          <cell r="J1166" t="str">
            <v>2013ID</v>
          </cell>
          <cell r="K1166">
            <v>0.98974142399999998</v>
          </cell>
          <cell r="L1166">
            <v>3.8149080000000001E-3</v>
          </cell>
          <cell r="M1166">
            <v>6.4436679999999996E-3</v>
          </cell>
          <cell r="U1166" t="str">
            <v>2013ID</v>
          </cell>
          <cell r="V1166">
            <v>0.460837895</v>
          </cell>
          <cell r="W1166">
            <v>2.6974237000000002E-2</v>
          </cell>
          <cell r="X1166">
            <v>0.14528671200000001</v>
          </cell>
          <cell r="Y1166">
            <v>0.102926191</v>
          </cell>
          <cell r="Z1166">
            <v>0.26397496599999998</v>
          </cell>
          <cell r="AB1166" t="str">
            <v>2013ID</v>
          </cell>
          <cell r="AC1166">
            <v>0</v>
          </cell>
          <cell r="AD1166">
            <v>0</v>
          </cell>
          <cell r="AE1166">
            <v>0.6</v>
          </cell>
          <cell r="AF1166">
            <v>0.4</v>
          </cell>
        </row>
        <row r="1167">
          <cell r="B1167" t="str">
            <v>2013IL</v>
          </cell>
          <cell r="C1167">
            <v>0.13175283144497188</v>
          </cell>
          <cell r="D1167">
            <v>0.26046159534668961</v>
          </cell>
          <cell r="E1167">
            <v>8.1383349234931596E-2</v>
          </cell>
          <cell r="F1167">
            <v>0.43207247933210829</v>
          </cell>
          <cell r="G1167">
            <v>4.8182181885357514E-2</v>
          </cell>
          <cell r="H1167">
            <v>4.6147562755941125E-2</v>
          </cell>
          <cell r="J1167" t="str">
            <v>2013IL</v>
          </cell>
          <cell r="K1167">
            <v>0.87043446899999999</v>
          </cell>
          <cell r="L1167">
            <v>4.8182181999999997E-2</v>
          </cell>
          <cell r="M1167">
            <v>8.1383348999999994E-2</v>
          </cell>
          <cell r="U1167" t="str">
            <v>2013IL</v>
          </cell>
          <cell r="V1167">
            <v>2.0186552999999999E-2</v>
          </cell>
          <cell r="W1167">
            <v>4.5739502000000001E-2</v>
          </cell>
          <cell r="X1167">
            <v>0.28028242399999997</v>
          </cell>
          <cell r="Y1167">
            <v>0.149587944</v>
          </cell>
          <cell r="Z1167">
            <v>0.50420357699999996</v>
          </cell>
          <cell r="AB1167" t="str">
            <v>2013IL</v>
          </cell>
          <cell r="AC1167">
            <v>0</v>
          </cell>
          <cell r="AD1167">
            <v>0</v>
          </cell>
          <cell r="AE1167">
            <v>0.02</v>
          </cell>
          <cell r="AF1167">
            <v>0.98</v>
          </cell>
        </row>
        <row r="1168">
          <cell r="B1168" t="str">
            <v>2013IN</v>
          </cell>
          <cell r="C1168">
            <v>0.16189917384296076</v>
          </cell>
          <cell r="D1168">
            <v>0.24163212738244233</v>
          </cell>
          <cell r="E1168">
            <v>0.13392208737361183</v>
          </cell>
          <cell r="F1168">
            <v>0.3491044693998876</v>
          </cell>
          <cell r="G1168">
            <v>7.9287205957511472E-2</v>
          </cell>
          <cell r="H1168">
            <v>3.4154936043586021E-2</v>
          </cell>
          <cell r="J1168" t="str">
            <v>2013IN</v>
          </cell>
          <cell r="K1168">
            <v>0.78679070699999998</v>
          </cell>
          <cell r="L1168">
            <v>7.9287205999999999E-2</v>
          </cell>
          <cell r="M1168">
            <v>0.133922087</v>
          </cell>
          <cell r="U1168" t="str">
            <v>2013IN</v>
          </cell>
          <cell r="V1168">
            <v>2.5489210000000002E-2</v>
          </cell>
          <cell r="W1168">
            <v>4.5536079E-2</v>
          </cell>
          <cell r="X1168">
            <v>0.27893099599999999</v>
          </cell>
          <cell r="Y1168">
            <v>0.14781887399999999</v>
          </cell>
          <cell r="Z1168">
            <v>0.50222484099999998</v>
          </cell>
          <cell r="AB1168" t="str">
            <v>2013IN</v>
          </cell>
          <cell r="AC1168">
            <v>0</v>
          </cell>
          <cell r="AD1168">
            <v>0</v>
          </cell>
          <cell r="AE1168">
            <v>0</v>
          </cell>
          <cell r="AF1168">
            <v>1</v>
          </cell>
        </row>
        <row r="1169">
          <cell r="B1169" t="str">
            <v>2013IA</v>
          </cell>
          <cell r="C1169">
            <v>0.13792614664225575</v>
          </cell>
          <cell r="D1169">
            <v>0.25047757969635848</v>
          </cell>
          <cell r="E1169">
            <v>0.10477197231415941</v>
          </cell>
          <cell r="F1169">
            <v>0.40507493125352922</v>
          </cell>
          <cell r="G1169">
            <v>6.2029177638731184E-2</v>
          </cell>
          <cell r="H1169">
            <v>3.9720192454965969E-2</v>
          </cell>
          <cell r="J1169" t="str">
            <v>2013IA</v>
          </cell>
          <cell r="K1169">
            <v>0.83319885000000005</v>
          </cell>
          <cell r="L1169">
            <v>6.2029177999999997E-2</v>
          </cell>
          <cell r="M1169">
            <v>0.104771972</v>
          </cell>
          <cell r="U1169" t="str">
            <v>2013IA</v>
          </cell>
          <cell r="V1169">
            <v>9.6502570000000006E-3</v>
          </cell>
          <cell r="W1169">
            <v>3.8739974000000003E-2</v>
          </cell>
          <cell r="X1169">
            <v>0.12067557499999999</v>
          </cell>
          <cell r="Y1169">
            <v>0.47629315999999999</v>
          </cell>
          <cell r="Z1169">
            <v>0.35464103499999999</v>
          </cell>
          <cell r="AB1169" t="str">
            <v>2013IA</v>
          </cell>
          <cell r="AC1169">
            <v>0</v>
          </cell>
          <cell r="AD1169">
            <v>0</v>
          </cell>
          <cell r="AE1169">
            <v>0</v>
          </cell>
          <cell r="AF1169">
            <v>1</v>
          </cell>
        </row>
        <row r="1170">
          <cell r="B1170" t="str">
            <v>2013KS</v>
          </cell>
          <cell r="C1170">
            <v>0.28758404285910905</v>
          </cell>
          <cell r="D1170">
            <v>0.32607606753917184</v>
          </cell>
          <cell r="E1170">
            <v>5.1050547933917619E-2</v>
          </cell>
          <cell r="F1170">
            <v>0.27762124338847843</v>
          </cell>
          <cell r="G1170">
            <v>3.0223956239483565E-2</v>
          </cell>
          <cell r="H1170">
            <v>2.7444142039839463E-2</v>
          </cell>
          <cell r="J1170" t="str">
            <v>2013KS</v>
          </cell>
          <cell r="K1170">
            <v>0.91872549599999997</v>
          </cell>
          <cell r="L1170">
            <v>3.0223956E-2</v>
          </cell>
          <cell r="M1170">
            <v>5.1050548000000001E-2</v>
          </cell>
          <cell r="U1170" t="str">
            <v>2013KS</v>
          </cell>
          <cell r="V1170">
            <v>2.3647662E-2</v>
          </cell>
          <cell r="W1170">
            <v>4.6272377000000003E-2</v>
          </cell>
          <cell r="X1170">
            <v>0.28189652199999998</v>
          </cell>
          <cell r="Y1170">
            <v>0.13395533500000001</v>
          </cell>
          <cell r="Z1170">
            <v>0.51422810299999999</v>
          </cell>
          <cell r="AB1170" t="str">
            <v>2013KS</v>
          </cell>
          <cell r="AC1170">
            <v>0</v>
          </cell>
          <cell r="AD1170">
            <v>0</v>
          </cell>
          <cell r="AE1170">
            <v>0.02</v>
          </cell>
          <cell r="AF1170">
            <v>0.98</v>
          </cell>
        </row>
        <row r="1171">
          <cell r="B1171" t="str">
            <v>2013KY</v>
          </cell>
          <cell r="C1171">
            <v>2.3305602928070858E-2</v>
          </cell>
          <cell r="D1171">
            <v>6.2885861766289422E-2</v>
          </cell>
          <cell r="E1171">
            <v>0.14165738300711325</v>
          </cell>
          <cell r="F1171">
            <v>0.14315421990856123</v>
          </cell>
          <cell r="G1171">
            <v>0.61397716539009373</v>
          </cell>
          <cell r="H1171">
            <v>1.5019766999871505E-2</v>
          </cell>
          <cell r="J1171" t="str">
            <v>2013KY</v>
          </cell>
          <cell r="K1171">
            <v>0.24436545200000004</v>
          </cell>
          <cell r="L1171">
            <v>0.61397716499999999</v>
          </cell>
          <cell r="M1171">
            <v>0.141657383</v>
          </cell>
          <cell r="U1171" t="str">
            <v>2013KY</v>
          </cell>
          <cell r="V1171">
            <v>4.9184704000000003E-2</v>
          </cell>
          <cell r="W1171">
            <v>3.7321891000000003E-2</v>
          </cell>
          <cell r="X1171">
            <v>0.11991215400000001</v>
          </cell>
          <cell r="Y1171">
            <v>0.45018075899999999</v>
          </cell>
          <cell r="Z1171">
            <v>0.34340049099999997</v>
          </cell>
          <cell r="AB1171" t="str">
            <v>2013KY</v>
          </cell>
          <cell r="AC1171">
            <v>0</v>
          </cell>
          <cell r="AD1171">
            <v>0</v>
          </cell>
          <cell r="AE1171">
            <v>0.05</v>
          </cell>
          <cell r="AF1171">
            <v>0.95</v>
          </cell>
        </row>
        <row r="1172">
          <cell r="B1172" t="str">
            <v>2013LA</v>
          </cell>
          <cell r="C1172">
            <v>8.7696493950327165E-2</v>
          </cell>
          <cell r="D1172">
            <v>6.4637521135916851E-2</v>
          </cell>
          <cell r="E1172">
            <v>0.14461730665558523</v>
          </cell>
          <cell r="F1172">
            <v>0.10160244529023774</v>
          </cell>
          <cell r="G1172">
            <v>0.59641803499629376</v>
          </cell>
          <cell r="H1172">
            <v>5.0281979716392446E-3</v>
          </cell>
          <cell r="J1172" t="str">
            <v>2013LA</v>
          </cell>
          <cell r="K1172">
            <v>0.25896465800000001</v>
          </cell>
          <cell r="L1172">
            <v>0.59641803500000001</v>
          </cell>
          <cell r="M1172">
            <v>0.144617307</v>
          </cell>
          <cell r="U1172" t="str">
            <v>2013LA</v>
          </cell>
          <cell r="V1172">
            <v>0.53551704700000002</v>
          </cell>
          <cell r="W1172">
            <v>2.0437250000000001E-2</v>
          </cell>
          <cell r="X1172">
            <v>0.12819729499999999</v>
          </cell>
          <cell r="Y1172">
            <v>9.8005903000000005E-2</v>
          </cell>
          <cell r="Z1172">
            <v>0.21784250499999999</v>
          </cell>
          <cell r="AB1172" t="str">
            <v>2013LA</v>
          </cell>
          <cell r="AC1172">
            <v>0</v>
          </cell>
          <cell r="AD1172">
            <v>0</v>
          </cell>
          <cell r="AE1172">
            <v>0.6</v>
          </cell>
          <cell r="AF1172">
            <v>0.4</v>
          </cell>
        </row>
        <row r="1173">
          <cell r="B1173" t="str">
            <v>2013ME</v>
          </cell>
          <cell r="C1173">
            <v>9.3713015315557757E-2</v>
          </cell>
          <cell r="D1173">
            <v>0.17210096338216258</v>
          </cell>
          <cell r="E1173">
            <v>0.44837154081607639</v>
          </cell>
          <cell r="F1173">
            <v>0.19633313267932656</v>
          </cell>
          <cell r="G1173">
            <v>7.0076626899074845E-2</v>
          </cell>
          <cell r="H1173">
            <v>1.9404720907801824E-2</v>
          </cell>
          <cell r="J1173" t="str">
            <v>2013ME</v>
          </cell>
          <cell r="K1173">
            <v>0.48155183200000007</v>
          </cell>
          <cell r="L1173">
            <v>7.0076627000000002E-2</v>
          </cell>
          <cell r="M1173">
            <v>0.44837154099999998</v>
          </cell>
          <cell r="U1173" t="str">
            <v>2013ME</v>
          </cell>
          <cell r="V1173">
            <v>0.72920202000000001</v>
          </cell>
          <cell r="W1173">
            <v>1.1915111000000001E-2</v>
          </cell>
          <cell r="X1173">
            <v>7.4740241999999998E-2</v>
          </cell>
          <cell r="Y1173">
            <v>5.7138373999999999E-2</v>
          </cell>
          <cell r="Z1173">
            <v>0.12700425300000001</v>
          </cell>
          <cell r="AB1173" t="str">
            <v>2013ME</v>
          </cell>
          <cell r="AC1173">
            <v>0</v>
          </cell>
          <cell r="AD1173">
            <v>0</v>
          </cell>
          <cell r="AE1173">
            <v>0.05</v>
          </cell>
          <cell r="AF1173">
            <v>0.95</v>
          </cell>
        </row>
        <row r="1174">
          <cell r="B1174" t="str">
            <v>2013MD</v>
          </cell>
          <cell r="C1174">
            <v>7.6488535055593554E-2</v>
          </cell>
          <cell r="D1174">
            <v>0.15472472257238745</v>
          </cell>
          <cell r="E1174">
            <v>0.44380834258126728</v>
          </cell>
          <cell r="F1174">
            <v>0.22861605738914034</v>
          </cell>
          <cell r="G1174">
            <v>6.5960402236453913E-2</v>
          </cell>
          <cell r="H1174">
            <v>3.0401940165157418E-2</v>
          </cell>
          <cell r="J1174" t="str">
            <v>2013MD</v>
          </cell>
          <cell r="K1174">
            <v>0.49023125499999998</v>
          </cell>
          <cell r="L1174">
            <v>6.5960402000000001E-2</v>
          </cell>
          <cell r="M1174">
            <v>0.44380834299999999</v>
          </cell>
          <cell r="U1174" t="str">
            <v>2013MD</v>
          </cell>
          <cell r="V1174">
            <v>0.21140679400000001</v>
          </cell>
          <cell r="W1174">
            <v>3.7602905999999998E-2</v>
          </cell>
          <cell r="X1174">
            <v>0.214504853</v>
          </cell>
          <cell r="Y1174">
            <v>0.15671048400000001</v>
          </cell>
          <cell r="Z1174">
            <v>0.37977496300000002</v>
          </cell>
          <cell r="AB1174" t="str">
            <v>2013MD</v>
          </cell>
          <cell r="AC1174">
            <v>0</v>
          </cell>
          <cell r="AD1174">
            <v>0</v>
          </cell>
          <cell r="AE1174">
            <v>0.05</v>
          </cell>
          <cell r="AF1174">
            <v>0.95</v>
          </cell>
        </row>
        <row r="1175">
          <cell r="B1175" t="str">
            <v>2013MA</v>
          </cell>
          <cell r="C1175">
            <v>6.1305440163427552E-2</v>
          </cell>
          <cell r="D1175">
            <v>0.14874705508142777</v>
          </cell>
          <cell r="E1175">
            <v>0.45216403673004657</v>
          </cell>
          <cell r="F1175">
            <v>0.23617268276189021</v>
          </cell>
          <cell r="G1175">
            <v>7.3497640935872632E-2</v>
          </cell>
          <cell r="H1175">
            <v>2.8113144327335336E-2</v>
          </cell>
          <cell r="J1175" t="str">
            <v>2013MA</v>
          </cell>
          <cell r="K1175">
            <v>0.47433832199999992</v>
          </cell>
          <cell r="L1175">
            <v>7.3497641000000002E-2</v>
          </cell>
          <cell r="M1175">
            <v>0.45216403700000002</v>
          </cell>
          <cell r="U1175" t="str">
            <v>2013MA</v>
          </cell>
          <cell r="V1175">
            <v>0.31419575799999999</v>
          </cell>
          <cell r="W1175">
            <v>3.0175387000000001E-2</v>
          </cell>
          <cell r="X1175">
            <v>0.18928197099999999</v>
          </cell>
          <cell r="Y1175">
            <v>0.14470469499999999</v>
          </cell>
          <cell r="Z1175">
            <v>0.32164218900000002</v>
          </cell>
          <cell r="AB1175" t="str">
            <v>2013MA</v>
          </cell>
          <cell r="AC1175">
            <v>0</v>
          </cell>
          <cell r="AD1175">
            <v>0</v>
          </cell>
          <cell r="AE1175">
            <v>0.05</v>
          </cell>
          <cell r="AF1175">
            <v>0.95</v>
          </cell>
        </row>
        <row r="1176">
          <cell r="B1176" t="str">
            <v>2013MI</v>
          </cell>
          <cell r="C1176">
            <v>0.21592740095911189</v>
          </cell>
          <cell r="D1176">
            <v>0.33044604004991018</v>
          </cell>
          <cell r="E1176">
            <v>5.8998863632555826E-2</v>
          </cell>
          <cell r="F1176">
            <v>0.32074430847532459</v>
          </cell>
          <cell r="G1176">
            <v>3.4929675483950956E-2</v>
          </cell>
          <cell r="H1176">
            <v>3.8953711399146676E-2</v>
          </cell>
          <cell r="J1176" t="str">
            <v>2013MI</v>
          </cell>
          <cell r="K1176">
            <v>0.90607146100000002</v>
          </cell>
          <cell r="L1176">
            <v>3.4929675E-2</v>
          </cell>
          <cell r="M1176">
            <v>5.8998863999999998E-2</v>
          </cell>
          <cell r="U1176" t="str">
            <v>2013MI</v>
          </cell>
          <cell r="V1176">
            <v>4.5127237000000001E-2</v>
          </cell>
          <cell r="W1176">
            <v>5.0500046999999999E-2</v>
          </cell>
          <cell r="X1176">
            <v>0.254352099</v>
          </cell>
          <cell r="Y1176">
            <v>0.17319266699999999</v>
          </cell>
          <cell r="Z1176">
            <v>0.47682794899999997</v>
          </cell>
          <cell r="AB1176" t="str">
            <v>2013MI</v>
          </cell>
          <cell r="AC1176">
            <v>0</v>
          </cell>
          <cell r="AD1176">
            <v>0</v>
          </cell>
          <cell r="AE1176">
            <v>0.02</v>
          </cell>
          <cell r="AF1176">
            <v>0.98</v>
          </cell>
        </row>
        <row r="1177">
          <cell r="B1177" t="str">
            <v>2013MN</v>
          </cell>
          <cell r="C1177">
            <v>0.11559741536790068</v>
          </cell>
          <cell r="D1177">
            <v>0.23915415867765383</v>
          </cell>
          <cell r="E1177">
            <v>0.10052931481156221</v>
          </cell>
          <cell r="F1177">
            <v>0.43822851849088174</v>
          </cell>
          <cell r="G1177">
            <v>5.9517355535203494E-2</v>
          </cell>
          <cell r="H1177">
            <v>4.697323711679801E-2</v>
          </cell>
          <cell r="J1177" t="str">
            <v>2013MN</v>
          </cell>
          <cell r="K1177">
            <v>0.83995332899999997</v>
          </cell>
          <cell r="L1177">
            <v>5.9517356E-2</v>
          </cell>
          <cell r="M1177">
            <v>0.10052931499999999</v>
          </cell>
          <cell r="U1177" t="str">
            <v>2013MN</v>
          </cell>
          <cell r="V1177">
            <v>1.5145339000000001E-2</v>
          </cell>
          <cell r="W1177">
            <v>5.1986831999999997E-2</v>
          </cell>
          <cell r="X1177">
            <v>0.262445557</v>
          </cell>
          <cell r="Y1177">
            <v>0.17896024199999999</v>
          </cell>
          <cell r="Z1177">
            <v>0.49146202900000002</v>
          </cell>
          <cell r="AB1177" t="str">
            <v>2013MN</v>
          </cell>
          <cell r="AC1177">
            <v>0</v>
          </cell>
          <cell r="AD1177">
            <v>0</v>
          </cell>
          <cell r="AE1177">
            <v>0</v>
          </cell>
          <cell r="AF1177">
            <v>1</v>
          </cell>
        </row>
        <row r="1178">
          <cell r="B1178" t="str">
            <v>2013MS</v>
          </cell>
          <cell r="C1178">
            <v>0.10416334210611014</v>
          </cell>
          <cell r="D1178">
            <v>7.2829933678422776E-2</v>
          </cell>
          <cell r="E1178">
            <v>0.14929269604113307</v>
          </cell>
          <cell r="F1178">
            <v>0.10019278631941281</v>
          </cell>
          <cell r="G1178">
            <v>0.56868226150598644</v>
          </cell>
          <cell r="H1178">
            <v>4.838980348934833E-3</v>
          </cell>
          <cell r="J1178" t="str">
            <v>2013MS</v>
          </cell>
          <cell r="K1178">
            <v>0.28202504199999989</v>
          </cell>
          <cell r="L1178">
            <v>0.56868226200000005</v>
          </cell>
          <cell r="M1178">
            <v>0.149292696</v>
          </cell>
          <cell r="U1178" t="str">
            <v>2013MS</v>
          </cell>
          <cell r="V1178">
            <v>2.1100625000000001E-2</v>
          </cell>
          <cell r="W1178">
            <v>3.6418512E-2</v>
          </cell>
          <cell r="X1178">
            <v>6.0129593000000002E-2</v>
          </cell>
          <cell r="Y1178">
            <v>0.574366987</v>
          </cell>
          <cell r="Z1178">
            <v>0.30798428300000003</v>
          </cell>
          <cell r="AB1178" t="str">
            <v>2013MS</v>
          </cell>
          <cell r="AC1178">
            <v>0</v>
          </cell>
          <cell r="AD1178">
            <v>0</v>
          </cell>
          <cell r="AE1178">
            <v>0.6</v>
          </cell>
          <cell r="AF1178">
            <v>0.4</v>
          </cell>
        </row>
        <row r="1179">
          <cell r="B1179" t="str">
            <v>2013MO</v>
          </cell>
          <cell r="C1179">
            <v>6.4925479522277466E-2</v>
          </cell>
          <cell r="D1179">
            <v>0.18170303563698134</v>
          </cell>
          <cell r="E1179">
            <v>0.14337282997597614</v>
          </cell>
          <cell r="F1179">
            <v>0.47880340852502545</v>
          </cell>
          <cell r="G1179">
            <v>8.4882421727070459E-2</v>
          </cell>
          <cell r="H1179">
            <v>4.6312824612669105E-2</v>
          </cell>
          <cell r="J1179" t="str">
            <v>2013MO</v>
          </cell>
          <cell r="K1179">
            <v>0.77174474799999992</v>
          </cell>
          <cell r="L1179">
            <v>8.4882421999999999E-2</v>
          </cell>
          <cell r="M1179">
            <v>0.14337283000000001</v>
          </cell>
          <cell r="U1179" t="str">
            <v>2013MO</v>
          </cell>
          <cell r="V1179">
            <v>2.998994E-2</v>
          </cell>
          <cell r="W1179">
            <v>4.5757142000000001E-2</v>
          </cell>
          <cell r="X1179">
            <v>0.27926039899999999</v>
          </cell>
          <cell r="Y1179">
            <v>0.13775391300000001</v>
          </cell>
          <cell r="Z1179">
            <v>0.50723860600000004</v>
          </cell>
          <cell r="AB1179" t="str">
            <v>2013MO</v>
          </cell>
          <cell r="AC1179">
            <v>0</v>
          </cell>
          <cell r="AD1179">
            <v>0</v>
          </cell>
          <cell r="AE1179">
            <v>0</v>
          </cell>
          <cell r="AF1179">
            <v>1</v>
          </cell>
        </row>
        <row r="1180">
          <cell r="B1180" t="str">
            <v>2013MT</v>
          </cell>
          <cell r="C1180">
            <v>0.35597781750083307</v>
          </cell>
          <cell r="D1180">
            <v>0.25924389885240834</v>
          </cell>
          <cell r="E1180">
            <v>4.3797789125912777E-2</v>
          </cell>
          <cell r="F1180">
            <v>0.25058080537727367</v>
          </cell>
          <cell r="G1180">
            <v>2.5930034358127463E-2</v>
          </cell>
          <cell r="H1180">
            <v>6.4469654785444572E-2</v>
          </cell>
          <cell r="J1180" t="str">
            <v>2013MT</v>
          </cell>
          <cell r="K1180">
            <v>0.93027217699999998</v>
          </cell>
          <cell r="L1180">
            <v>2.5930034000000001E-2</v>
          </cell>
          <cell r="M1180">
            <v>4.3797788999999997E-2</v>
          </cell>
          <cell r="U1180" t="str">
            <v>2013MT</v>
          </cell>
          <cell r="V1180">
            <v>6.0520032000000001E-2</v>
          </cell>
          <cell r="W1180">
            <v>5.1214043000000001E-2</v>
          </cell>
          <cell r="X1180">
            <v>0.24859647000000001</v>
          </cell>
          <cell r="Y1180">
            <v>0.16530719099999999</v>
          </cell>
          <cell r="Z1180">
            <v>0.47436226399999998</v>
          </cell>
          <cell r="AB1180" t="str">
            <v>2013MT</v>
          </cell>
          <cell r="AC1180">
            <v>0</v>
          </cell>
          <cell r="AD1180">
            <v>0</v>
          </cell>
          <cell r="AE1180">
            <v>0.6</v>
          </cell>
          <cell r="AF1180">
            <v>0.4</v>
          </cell>
        </row>
        <row r="1181">
          <cell r="B1181" t="str">
            <v>2013NE</v>
          </cell>
          <cell r="C1181">
            <v>0.21260954807532403</v>
          </cell>
          <cell r="D1181">
            <v>0.30324255962083846</v>
          </cell>
          <cell r="E1181">
            <v>6.1277054134417128E-2</v>
          </cell>
          <cell r="F1181">
            <v>0.34696077142199511</v>
          </cell>
          <cell r="G1181">
            <v>3.6278454935301678E-2</v>
          </cell>
          <cell r="H1181">
            <v>3.9631611812123581E-2</v>
          </cell>
          <cell r="J1181" t="str">
            <v>2013NE</v>
          </cell>
          <cell r="K1181">
            <v>0.90244449100000002</v>
          </cell>
          <cell r="L1181">
            <v>3.6278455000000001E-2</v>
          </cell>
          <cell r="M1181">
            <v>6.1277053999999997E-2</v>
          </cell>
          <cell r="U1181" t="str">
            <v>2013NE</v>
          </cell>
          <cell r="V1181">
            <v>3.0063880000000001E-2</v>
          </cell>
          <cell r="W1181">
            <v>4.5295173000000001E-2</v>
          </cell>
          <cell r="X1181">
            <v>0.27751980599999998</v>
          </cell>
          <cell r="Y1181">
            <v>0.147715386</v>
          </cell>
          <cell r="Z1181">
            <v>0.49940575500000001</v>
          </cell>
          <cell r="AB1181" t="str">
            <v>2013NE</v>
          </cell>
          <cell r="AC1181">
            <v>0</v>
          </cell>
          <cell r="AD1181">
            <v>0</v>
          </cell>
          <cell r="AE1181">
            <v>0.02</v>
          </cell>
          <cell r="AF1181">
            <v>0.98</v>
          </cell>
        </row>
        <row r="1182">
          <cell r="B1182" t="str">
            <v>2013NV</v>
          </cell>
          <cell r="C1182">
            <v>0.64210148526116029</v>
          </cell>
          <cell r="D1182">
            <v>0.238399883587257</v>
          </cell>
          <cell r="E1182">
            <v>4.1594375177217181E-3</v>
          </cell>
          <cell r="F1182">
            <v>0.10819864870890922</v>
          </cell>
          <cell r="G1182">
            <v>2.4625525602432058E-3</v>
          </cell>
          <cell r="H1182">
            <v>4.677992364708553E-3</v>
          </cell>
          <cell r="J1182" t="str">
            <v>2013NV</v>
          </cell>
          <cell r="K1182">
            <v>0.99337800899999995</v>
          </cell>
          <cell r="L1182">
            <v>2.4625530000000001E-3</v>
          </cell>
          <cell r="M1182">
            <v>4.1594379999999997E-3</v>
          </cell>
          <cell r="U1182" t="str">
            <v>2013NV</v>
          </cell>
          <cell r="V1182">
            <v>0.35004114600000003</v>
          </cell>
          <cell r="W1182">
            <v>2.4048478000000002E-2</v>
          </cell>
          <cell r="X1182">
            <v>3.5747737000000002E-2</v>
          </cell>
          <cell r="Y1182">
            <v>0.38867539400000001</v>
          </cell>
          <cell r="Z1182">
            <v>0.20148724500000001</v>
          </cell>
          <cell r="AB1182" t="str">
            <v>2013NV</v>
          </cell>
          <cell r="AC1182">
            <v>0</v>
          </cell>
          <cell r="AD1182">
            <v>0</v>
          </cell>
          <cell r="AE1182">
            <v>0</v>
          </cell>
          <cell r="AF1182">
            <v>1</v>
          </cell>
        </row>
        <row r="1183">
          <cell r="B1183" t="str">
            <v>2013NH</v>
          </cell>
          <cell r="C1183">
            <v>9.4573445198850817E-2</v>
          </cell>
          <cell r="D1183">
            <v>0.16340842518862655</v>
          </cell>
          <cell r="E1183">
            <v>0.44298025846087286</v>
          </cell>
          <cell r="F1183">
            <v>0.20852129702854144</v>
          </cell>
          <cell r="G1183">
            <v>6.52134304627775E-2</v>
          </cell>
          <cell r="H1183">
            <v>2.5303143660330828E-2</v>
          </cell>
          <cell r="J1183" t="str">
            <v>2013NH</v>
          </cell>
          <cell r="K1183">
            <v>0.49180631200000002</v>
          </cell>
          <cell r="L1183">
            <v>6.5213430000000003E-2</v>
          </cell>
          <cell r="M1183">
            <v>0.44298025800000002</v>
          </cell>
          <cell r="U1183" t="str">
            <v>2013NH</v>
          </cell>
          <cell r="V1183">
            <v>0.56759962799999997</v>
          </cell>
          <cell r="W1183">
            <v>1.9025615999999999E-2</v>
          </cell>
          <cell r="X1183">
            <v>0.119342503</v>
          </cell>
          <cell r="Y1183">
            <v>9.1236478999999995E-2</v>
          </cell>
          <cell r="Z1183">
            <v>0.20279577500000001</v>
          </cell>
          <cell r="AB1183" t="str">
            <v>2013NH</v>
          </cell>
          <cell r="AC1183">
            <v>0</v>
          </cell>
          <cell r="AD1183">
            <v>0</v>
          </cell>
          <cell r="AE1183">
            <v>0.05</v>
          </cell>
          <cell r="AF1183">
            <v>0.95</v>
          </cell>
        </row>
        <row r="1184">
          <cell r="B1184" t="str">
            <v>2013NJ</v>
          </cell>
          <cell r="C1184">
            <v>5.8003576611346738E-2</v>
          </cell>
          <cell r="D1184">
            <v>0.13897871355240557</v>
          </cell>
          <cell r="E1184">
            <v>0.45397029129837874</v>
          </cell>
          <cell r="F1184">
            <v>0.24471653627570109</v>
          </cell>
          <cell r="G1184">
            <v>7.5126969581826603E-2</v>
          </cell>
          <cell r="H1184">
            <v>2.9203912680341212E-2</v>
          </cell>
          <cell r="J1184" t="str">
            <v>2013NJ</v>
          </cell>
          <cell r="K1184">
            <v>0.47090273900000001</v>
          </cell>
          <cell r="L1184">
            <v>7.5126970000000001E-2</v>
          </cell>
          <cell r="M1184">
            <v>0.45397029100000003</v>
          </cell>
          <cell r="U1184" t="str">
            <v>2013NJ</v>
          </cell>
          <cell r="V1184">
            <v>0.30808167400000003</v>
          </cell>
          <cell r="W1184">
            <v>3.3011736E-2</v>
          </cell>
          <cell r="X1184">
            <v>0.18818818500000001</v>
          </cell>
          <cell r="Y1184">
            <v>0.137437002</v>
          </cell>
          <cell r="Z1184">
            <v>0.333281404</v>
          </cell>
          <cell r="AB1184" t="str">
            <v>2013NJ</v>
          </cell>
          <cell r="AC1184">
            <v>0</v>
          </cell>
          <cell r="AD1184">
            <v>0</v>
          </cell>
          <cell r="AE1184">
            <v>0.05</v>
          </cell>
          <cell r="AF1184">
            <v>0.95</v>
          </cell>
        </row>
        <row r="1185">
          <cell r="B1185" t="str">
            <v>2013NM</v>
          </cell>
          <cell r="C1185">
            <v>0.61184589317007076</v>
          </cell>
          <cell r="D1185">
            <v>0.19452029294367307</v>
          </cell>
          <cell r="E1185">
            <v>9.8952813124742175E-2</v>
          </cell>
          <cell r="F1185">
            <v>9.4174237847419268E-2</v>
          </cell>
          <cell r="G1185">
            <v>0</v>
          </cell>
          <cell r="H1185">
            <v>5.0676291409465751E-4</v>
          </cell>
          <cell r="J1185" t="str">
            <v>2013NM</v>
          </cell>
          <cell r="K1185">
            <v>0.90104718699999997</v>
          </cell>
          <cell r="L1185">
            <v>0</v>
          </cell>
          <cell r="M1185">
            <v>9.8952813000000001E-2</v>
          </cell>
          <cell r="U1185" t="str">
            <v>2013NM</v>
          </cell>
          <cell r="V1185">
            <v>0.91655606099999998</v>
          </cell>
          <cell r="W1185">
            <v>3.6715329999999998E-3</v>
          </cell>
          <cell r="X1185">
            <v>2.3030526999999999E-2</v>
          </cell>
          <cell r="Y1185">
            <v>1.7606671000000001E-2</v>
          </cell>
          <cell r="Z1185">
            <v>3.9135206999999998E-2</v>
          </cell>
          <cell r="AB1185" t="str">
            <v>2013NM</v>
          </cell>
          <cell r="AC1185">
            <v>0</v>
          </cell>
          <cell r="AD1185">
            <v>0</v>
          </cell>
          <cell r="AE1185">
            <v>0.6</v>
          </cell>
          <cell r="AF1185">
            <v>0.4</v>
          </cell>
        </row>
        <row r="1186">
          <cell r="B1186" t="str">
            <v>2013NY</v>
          </cell>
          <cell r="C1186">
            <v>9.8408703041683282E-2</v>
          </cell>
          <cell r="D1186">
            <v>0.15954377256245178</v>
          </cell>
          <cell r="E1186">
            <v>0.44849165243165579</v>
          </cell>
          <cell r="F1186">
            <v>0.20287733376538455</v>
          </cell>
          <cell r="G1186">
            <v>7.0184973363303343E-2</v>
          </cell>
          <cell r="H1186">
            <v>2.0493564835521279E-2</v>
          </cell>
          <cell r="J1186" t="str">
            <v>2013NY</v>
          </cell>
          <cell r="K1186">
            <v>0.481323375</v>
          </cell>
          <cell r="L1186">
            <v>7.0184972999999998E-2</v>
          </cell>
          <cell r="M1186">
            <v>0.44849165200000002</v>
          </cell>
          <cell r="U1186" t="str">
            <v>2013NY</v>
          </cell>
          <cell r="V1186">
            <v>0.20441514899999999</v>
          </cell>
          <cell r="W1186">
            <v>4.1815811000000001E-2</v>
          </cell>
          <cell r="X1186">
            <v>0.21220383400000001</v>
          </cell>
          <cell r="Y1186">
            <v>0.145168144</v>
          </cell>
          <cell r="Z1186">
            <v>0.396397061</v>
          </cell>
          <cell r="AB1186" t="str">
            <v>2013NY</v>
          </cell>
          <cell r="AC1186">
            <v>0</v>
          </cell>
          <cell r="AD1186">
            <v>0</v>
          </cell>
          <cell r="AE1186">
            <v>0.05</v>
          </cell>
          <cell r="AF1186">
            <v>0.95</v>
          </cell>
        </row>
        <row r="1187">
          <cell r="B1187" t="str">
            <v>2013NC</v>
          </cell>
          <cell r="C1187">
            <v>6.168821577504751E-2</v>
          </cell>
          <cell r="D1187">
            <v>0.11278426418396881</v>
          </cell>
          <cell r="E1187">
            <v>0.15395779991170949</v>
          </cell>
          <cell r="F1187">
            <v>0.11589101949636353</v>
          </cell>
          <cell r="G1187">
            <v>0.54100750469043157</v>
          </cell>
          <cell r="H1187">
            <v>1.4671195942479084E-2</v>
          </cell>
          <cell r="J1187" t="str">
            <v>2013NC</v>
          </cell>
          <cell r="K1187">
            <v>0.30503469499999991</v>
          </cell>
          <cell r="L1187">
            <v>0.54100750500000006</v>
          </cell>
          <cell r="M1187">
            <v>0.15395780000000001</v>
          </cell>
          <cell r="U1187" t="str">
            <v>2013NC</v>
          </cell>
          <cell r="V1187">
            <v>2.4742549999999999E-3</v>
          </cell>
          <cell r="W1187">
            <v>3.7123251000000003E-2</v>
          </cell>
          <cell r="X1187">
            <v>6.1645423999999997E-2</v>
          </cell>
          <cell r="Y1187">
            <v>0.58464508599999998</v>
          </cell>
          <cell r="Z1187">
            <v>0.31411198400000001</v>
          </cell>
          <cell r="AB1187" t="str">
            <v>2013NC</v>
          </cell>
          <cell r="AC1187">
            <v>0</v>
          </cell>
          <cell r="AD1187">
            <v>0</v>
          </cell>
          <cell r="AE1187">
            <v>0.41899999999999998</v>
          </cell>
          <cell r="AF1187">
            <v>0.58099999999999996</v>
          </cell>
        </row>
        <row r="1188">
          <cell r="B1188" t="str">
            <v>2013ND</v>
          </cell>
          <cell r="C1188">
            <v>0.1196932700797023</v>
          </cell>
          <cell r="D1188">
            <v>0.21866711268457967</v>
          </cell>
          <cell r="E1188">
            <v>0.10978970169096619</v>
          </cell>
          <cell r="F1188">
            <v>0.448028418369537</v>
          </cell>
          <cell r="G1188">
            <v>6.499987314042277E-2</v>
          </cell>
          <cell r="H1188">
            <v>3.8821624034792085E-2</v>
          </cell>
          <cell r="J1188" t="str">
            <v>2013ND</v>
          </cell>
          <cell r="K1188">
            <v>0.82521042499999997</v>
          </cell>
          <cell r="L1188">
            <v>6.4999873E-2</v>
          </cell>
          <cell r="M1188">
            <v>0.109789702</v>
          </cell>
          <cell r="U1188" t="str">
            <v>2013ND</v>
          </cell>
          <cell r="V1188">
            <v>8.8434773999999994E-2</v>
          </cell>
          <cell r="W1188">
            <v>4.7868137999999998E-2</v>
          </cell>
          <cell r="X1188">
            <v>0.243186129</v>
          </cell>
          <cell r="Y1188">
            <v>0.16647603599999999</v>
          </cell>
          <cell r="Z1188">
            <v>0.45403492299999998</v>
          </cell>
          <cell r="AB1188" t="str">
            <v>2013ND</v>
          </cell>
          <cell r="AC1188">
            <v>0</v>
          </cell>
          <cell r="AD1188">
            <v>0</v>
          </cell>
          <cell r="AE1188">
            <v>0.02</v>
          </cell>
          <cell r="AF1188">
            <v>0.98</v>
          </cell>
        </row>
        <row r="1189">
          <cell r="B1189" t="str">
            <v>2013OH</v>
          </cell>
          <cell r="C1189">
            <v>0.10753833947858983</v>
          </cell>
          <cell r="D1189">
            <v>0.22522557822049544</v>
          </cell>
          <cell r="E1189">
            <v>0.13589110116557596</v>
          </cell>
          <cell r="F1189">
            <v>0.4097570212201273</v>
          </cell>
          <cell r="G1189">
            <v>8.0452940491062386E-2</v>
          </cell>
          <cell r="H1189">
            <v>4.1135019424149183E-2</v>
          </cell>
          <cell r="J1189" t="str">
            <v>2013OH</v>
          </cell>
          <cell r="K1189">
            <v>0.78365595900000007</v>
          </cell>
          <cell r="L1189">
            <v>8.0452940000000001E-2</v>
          </cell>
          <cell r="M1189">
            <v>0.13589110099999999</v>
          </cell>
          <cell r="U1189" t="str">
            <v>2013OH</v>
          </cell>
          <cell r="V1189">
            <v>6.6338901000000006E-2</v>
          </cell>
          <cell r="W1189">
            <v>4.3119113000000001E-2</v>
          </cell>
          <cell r="X1189">
            <v>0.26533305600000001</v>
          </cell>
          <cell r="Y1189">
            <v>0.15267545299999999</v>
          </cell>
          <cell r="Z1189">
            <v>0.47253347699999998</v>
          </cell>
          <cell r="AB1189" t="str">
            <v>2013OH</v>
          </cell>
          <cell r="AC1189">
            <v>0</v>
          </cell>
          <cell r="AD1189">
            <v>0</v>
          </cell>
          <cell r="AE1189">
            <v>0</v>
          </cell>
          <cell r="AF1189">
            <v>1</v>
          </cell>
        </row>
        <row r="1190">
          <cell r="B1190" t="str">
            <v>2013OK</v>
          </cell>
          <cell r="C1190">
            <v>0.40296958934788546</v>
          </cell>
          <cell r="D1190">
            <v>0.22528492954061258</v>
          </cell>
          <cell r="E1190">
            <v>6.4896255940651446E-2</v>
          </cell>
          <cell r="F1190">
            <v>0.24738177570149189</v>
          </cell>
          <cell r="G1190">
            <v>0</v>
          </cell>
          <cell r="H1190">
            <v>5.9467449469358676E-2</v>
          </cell>
          <cell r="J1190" t="str">
            <v>2013OK</v>
          </cell>
          <cell r="K1190">
            <v>0.93510374399999996</v>
          </cell>
          <cell r="L1190">
            <v>0</v>
          </cell>
          <cell r="M1190">
            <v>6.4896255999999999E-2</v>
          </cell>
          <cell r="U1190" t="str">
            <v>2013OK</v>
          </cell>
          <cell r="V1190">
            <v>1.2831308E-2</v>
          </cell>
          <cell r="W1190">
            <v>3.6793041999999998E-2</v>
          </cell>
          <cell r="X1190">
            <v>6.2749109999999997E-2</v>
          </cell>
          <cell r="Y1190">
            <v>0.57552135800000004</v>
          </cell>
          <cell r="Z1190">
            <v>0.31210518199999998</v>
          </cell>
          <cell r="AB1190" t="str">
            <v>2013OK</v>
          </cell>
          <cell r="AC1190">
            <v>0</v>
          </cell>
          <cell r="AD1190">
            <v>0</v>
          </cell>
          <cell r="AE1190">
            <v>0.6</v>
          </cell>
          <cell r="AF1190">
            <v>0.4</v>
          </cell>
        </row>
        <row r="1191">
          <cell r="B1191" t="str">
            <v>2013OR</v>
          </cell>
          <cell r="C1191">
            <v>0.43856747008812064</v>
          </cell>
          <cell r="D1191">
            <v>0.20958259090942544</v>
          </cell>
          <cell r="E1191">
            <v>0</v>
          </cell>
          <cell r="F1191">
            <v>0.12862948158709187</v>
          </cell>
          <cell r="G1191">
            <v>0.2018533708975031</v>
          </cell>
          <cell r="H1191">
            <v>2.1367086517858933E-2</v>
          </cell>
          <cell r="J1191" t="str">
            <v>2013OR</v>
          </cell>
          <cell r="K1191">
            <v>0.798146629</v>
          </cell>
          <cell r="L1191">
            <v>0.201853371</v>
          </cell>
          <cell r="M1191">
            <v>0</v>
          </cell>
          <cell r="U1191" t="str">
            <v>2013OR</v>
          </cell>
          <cell r="V1191">
            <v>0.57640796000000005</v>
          </cell>
          <cell r="W1191">
            <v>1.863805E-2</v>
          </cell>
          <cell r="X1191">
            <v>0.116911403</v>
          </cell>
          <cell r="Y1191">
            <v>8.937792E-2</v>
          </cell>
          <cell r="Z1191">
            <v>0.19866466699999999</v>
          </cell>
          <cell r="AB1191" t="str">
            <v>2013OR</v>
          </cell>
          <cell r="AC1191">
            <v>0</v>
          </cell>
          <cell r="AD1191">
            <v>0</v>
          </cell>
          <cell r="AE1191">
            <v>0.25</v>
          </cell>
          <cell r="AF1191">
            <v>0.75</v>
          </cell>
        </row>
        <row r="1192">
          <cell r="B1192" t="str">
            <v>2013PA</v>
          </cell>
          <cell r="C1192">
            <v>4.9624045569858895E-2</v>
          </cell>
          <cell r="D1192">
            <v>0.11712497857538914</v>
          </cell>
          <cell r="E1192">
            <v>0.46874549019831585</v>
          </cell>
          <cell r="F1192">
            <v>0.25230966018477574</v>
          </cell>
          <cell r="G1192">
            <v>8.8454910858433447E-2</v>
          </cell>
          <cell r="H1192">
            <v>2.3740914613226898E-2</v>
          </cell>
          <cell r="J1192" t="str">
            <v>2013PA</v>
          </cell>
          <cell r="K1192">
            <v>0.44279959899999999</v>
          </cell>
          <cell r="L1192">
            <v>8.8454910999999997E-2</v>
          </cell>
          <cell r="M1192">
            <v>0.46874548999999999</v>
          </cell>
          <cell r="U1192" t="str">
            <v>2013PA</v>
          </cell>
          <cell r="V1192">
            <v>5.0102499000000002E-2</v>
          </cell>
          <cell r="W1192">
            <v>4.9409870000000002E-2</v>
          </cell>
          <cell r="X1192">
            <v>0.25392279899999998</v>
          </cell>
          <cell r="Y1192">
            <v>0.17504710600000001</v>
          </cell>
          <cell r="Z1192">
            <v>0.47151772600000003</v>
          </cell>
          <cell r="AB1192" t="str">
            <v>2013PA</v>
          </cell>
          <cell r="AC1192">
            <v>0</v>
          </cell>
          <cell r="AD1192">
            <v>0</v>
          </cell>
          <cell r="AE1192">
            <v>0</v>
          </cell>
          <cell r="AF1192">
            <v>1</v>
          </cell>
        </row>
        <row r="1193">
          <cell r="B1193" t="str">
            <v>2013RI</v>
          </cell>
          <cell r="C1193">
            <v>4.2447025005926793E-2</v>
          </cell>
          <cell r="D1193">
            <v>0.1190174947032642</v>
          </cell>
          <cell r="E1193">
            <v>0.46784468707451643</v>
          </cell>
          <cell r="F1193">
            <v>0.25730854976835782</v>
          </cell>
          <cell r="G1193">
            <v>8.7642343040085183E-2</v>
          </cell>
          <cell r="H1193">
            <v>2.5739900407849584E-2</v>
          </cell>
          <cell r="J1193" t="str">
            <v>2013RI</v>
          </cell>
          <cell r="K1193">
            <v>0.44451297000000001</v>
          </cell>
          <cell r="L1193">
            <v>8.7642342999999998E-2</v>
          </cell>
          <cell r="M1193">
            <v>0.46784468699999998</v>
          </cell>
          <cell r="U1193" t="str">
            <v>2013RI</v>
          </cell>
          <cell r="V1193">
            <v>0.56026879500000004</v>
          </cell>
          <cell r="W1193">
            <v>1.9348173E-2</v>
          </cell>
          <cell r="X1193">
            <v>0.121365813</v>
          </cell>
          <cell r="Y1193">
            <v>9.2783283999999994E-2</v>
          </cell>
          <cell r="Z1193">
            <v>0.20623393500000001</v>
          </cell>
          <cell r="AB1193" t="str">
            <v>2013RI</v>
          </cell>
          <cell r="AC1193">
            <v>0</v>
          </cell>
          <cell r="AD1193">
            <v>0</v>
          </cell>
          <cell r="AE1193">
            <v>0.05</v>
          </cell>
          <cell r="AF1193">
            <v>0.95</v>
          </cell>
        </row>
        <row r="1194">
          <cell r="B1194" t="str">
            <v>2013SC</v>
          </cell>
          <cell r="C1194">
            <v>0.13346180610825578</v>
          </cell>
          <cell r="D1194">
            <v>9.0019723091430845E-2</v>
          </cell>
          <cell r="E1194">
            <v>0.15451296947775242</v>
          </cell>
          <cell r="F1194">
            <v>8.0687406490411034E-2</v>
          </cell>
          <cell r="G1194">
            <v>0.53771407690020812</v>
          </cell>
          <cell r="H1194">
            <v>3.6040179319418398E-3</v>
          </cell>
          <cell r="J1194" t="str">
            <v>2013SC</v>
          </cell>
          <cell r="K1194">
            <v>0.30777295400000004</v>
          </cell>
          <cell r="L1194">
            <v>0.53771407699999996</v>
          </cell>
          <cell r="M1194">
            <v>0.154512969</v>
          </cell>
          <cell r="U1194" t="str">
            <v>2013SC</v>
          </cell>
          <cell r="V1194">
            <v>6.1629585000000001E-2</v>
          </cell>
          <cell r="W1194">
            <v>3.5823032999999997E-2</v>
          </cell>
          <cell r="X1194">
            <v>8.6443989999999998E-2</v>
          </cell>
          <cell r="Y1194">
            <v>0.50014727299999995</v>
          </cell>
          <cell r="Z1194">
            <v>0.31595611899999998</v>
          </cell>
          <cell r="AB1194" t="str">
            <v>2013SC</v>
          </cell>
          <cell r="AC1194">
            <v>0</v>
          </cell>
          <cell r="AD1194">
            <v>0</v>
          </cell>
          <cell r="AE1194">
            <v>0.6</v>
          </cell>
          <cell r="AF1194">
            <v>0.4</v>
          </cell>
        </row>
        <row r="1195">
          <cell r="B1195" t="str">
            <v>2013SD</v>
          </cell>
          <cell r="C1195">
            <v>0.17608951911561277</v>
          </cell>
          <cell r="D1195">
            <v>0.277831368160596</v>
          </cell>
          <cell r="E1195">
            <v>7.9800561964795444E-2</v>
          </cell>
          <cell r="F1195">
            <v>0.37802114842972712</v>
          </cell>
          <cell r="G1195">
            <v>4.724510882492864E-2</v>
          </cell>
          <cell r="H1195">
            <v>4.1012293504340026E-2</v>
          </cell>
          <cell r="J1195" t="str">
            <v>2013SD</v>
          </cell>
          <cell r="K1195">
            <v>0.87295432900000003</v>
          </cell>
          <cell r="L1195">
            <v>4.7245109E-2</v>
          </cell>
          <cell r="M1195">
            <v>7.9800562000000005E-2</v>
          </cell>
          <cell r="U1195" t="str">
            <v>2013SD</v>
          </cell>
          <cell r="V1195">
            <v>3.3046748000000001E-2</v>
          </cell>
          <cell r="W1195">
            <v>5.1157264000000001E-2</v>
          </cell>
          <cell r="X1195">
            <v>0.25755016600000002</v>
          </cell>
          <cell r="Y1195">
            <v>0.17532273200000001</v>
          </cell>
          <cell r="Z1195">
            <v>0.48292308900000003</v>
          </cell>
          <cell r="AB1195" t="str">
            <v>2013SD</v>
          </cell>
          <cell r="AC1195">
            <v>0</v>
          </cell>
          <cell r="AD1195">
            <v>0</v>
          </cell>
          <cell r="AE1195">
            <v>0.02</v>
          </cell>
          <cell r="AF1195">
            <v>0.98</v>
          </cell>
        </row>
        <row r="1196">
          <cell r="B1196" t="str">
            <v>2013TN</v>
          </cell>
          <cell r="C1196">
            <v>4.0519949592449485E-2</v>
          </cell>
          <cell r="D1196">
            <v>8.9664149461423162E-2</v>
          </cell>
          <cell r="E1196">
            <v>0.14551684926860037</v>
          </cell>
          <cell r="F1196">
            <v>0.1170185785979804</v>
          </cell>
          <cell r="G1196">
            <v>0.59108168584929244</v>
          </cell>
          <cell r="H1196">
            <v>1.6198787230254148E-2</v>
          </cell>
          <cell r="J1196" t="str">
            <v>2013TN</v>
          </cell>
          <cell r="K1196">
            <v>0.26340146500000006</v>
          </cell>
          <cell r="L1196">
            <v>0.591081686</v>
          </cell>
          <cell r="M1196">
            <v>0.145516849</v>
          </cell>
          <cell r="U1196" t="str">
            <v>2013TN</v>
          </cell>
          <cell r="V1196">
            <v>0.102875089</v>
          </cell>
          <cell r="W1196">
            <v>3.5402429999999999E-2</v>
          </cell>
          <cell r="X1196">
            <v>0.119077104</v>
          </cell>
          <cell r="Y1196">
            <v>0.41436515099999999</v>
          </cell>
          <cell r="Z1196">
            <v>0.32828022600000001</v>
          </cell>
          <cell r="AB1196" t="str">
            <v>2013TN</v>
          </cell>
          <cell r="AC1196">
            <v>0</v>
          </cell>
          <cell r="AD1196">
            <v>0</v>
          </cell>
          <cell r="AE1196">
            <v>0.05</v>
          </cell>
          <cell r="AF1196">
            <v>0.95</v>
          </cell>
        </row>
        <row r="1197">
          <cell r="B1197" t="str">
            <v>2013TX</v>
          </cell>
          <cell r="C1197">
            <v>0.53305655520056971</v>
          </cell>
          <cell r="D1197">
            <v>0.24233312613196878</v>
          </cell>
          <cell r="E1197">
            <v>7.9791980793249173E-2</v>
          </cell>
          <cell r="F1197">
            <v>0.1278405091499755</v>
          </cell>
          <cell r="G1197">
            <v>0</v>
          </cell>
          <cell r="H1197">
            <v>1.6977828724236681E-2</v>
          </cell>
          <cell r="J1197" t="str">
            <v>2013TX</v>
          </cell>
          <cell r="K1197">
            <v>0.92020801900000004</v>
          </cell>
          <cell r="L1197">
            <v>0</v>
          </cell>
          <cell r="M1197">
            <v>7.9791980999999998E-2</v>
          </cell>
          <cell r="U1197" t="str">
            <v>2013TX</v>
          </cell>
          <cell r="V1197">
            <v>6.9632535999999995E-2</v>
          </cell>
          <cell r="W1197">
            <v>3.4700662E-2</v>
          </cell>
          <cell r="X1197">
            <v>5.9917572000000002E-2</v>
          </cell>
          <cell r="Y1197">
            <v>0.54104196599999999</v>
          </cell>
          <cell r="Z1197">
            <v>0.29470726400000002</v>
          </cell>
          <cell r="AB1197" t="str">
            <v>2013TX</v>
          </cell>
          <cell r="AC1197">
            <v>0</v>
          </cell>
          <cell r="AD1197">
            <v>0</v>
          </cell>
          <cell r="AE1197">
            <v>0.12</v>
          </cell>
          <cell r="AF1197">
            <v>0.88</v>
          </cell>
        </row>
        <row r="1198">
          <cell r="B1198" t="str">
            <v>2013UT</v>
          </cell>
          <cell r="C1198">
            <v>0.51165623152884221</v>
          </cell>
          <cell r="D1198">
            <v>0.26394677259150623</v>
          </cell>
          <cell r="E1198">
            <v>1.3999177703951423E-2</v>
          </cell>
          <cell r="F1198">
            <v>0.17036034814732054</v>
          </cell>
          <cell r="G1198">
            <v>8.2880703819413898E-3</v>
          </cell>
          <cell r="H1198">
            <v>3.1749399646438282E-2</v>
          </cell>
          <cell r="J1198" t="str">
            <v>2013UT</v>
          </cell>
          <cell r="K1198">
            <v>0.97771275199999996</v>
          </cell>
          <cell r="L1198">
            <v>8.2880699999999998E-3</v>
          </cell>
          <cell r="M1198">
            <v>1.3999177999999999E-2</v>
          </cell>
          <cell r="U1198" t="str">
            <v>2013UT</v>
          </cell>
          <cell r="V1198">
            <v>8.6456620000000001E-3</v>
          </cell>
          <cell r="W1198">
            <v>5.5424775000000003E-2</v>
          </cell>
          <cell r="X1198">
            <v>0.260824848</v>
          </cell>
          <cell r="Y1198">
            <v>0.16982515300000001</v>
          </cell>
          <cell r="Z1198">
            <v>0.50527956200000002</v>
          </cell>
          <cell r="AB1198" t="str">
            <v>2013UT</v>
          </cell>
          <cell r="AC1198">
            <v>0</v>
          </cell>
          <cell r="AD1198">
            <v>0</v>
          </cell>
          <cell r="AE1198">
            <v>0.6</v>
          </cell>
          <cell r="AF1198">
            <v>0.4</v>
          </cell>
        </row>
        <row r="1199">
          <cell r="B1199" t="str">
            <v>2013VT</v>
          </cell>
          <cell r="C1199">
            <v>9.9973781354903396E-2</v>
          </cell>
          <cell r="D1199">
            <v>0.17387691112967565</v>
          </cell>
          <cell r="E1199">
            <v>0.44423932842492886</v>
          </cell>
          <cell r="F1199">
            <v>0.19448861844630186</v>
          </cell>
          <cell r="G1199">
            <v>6.6349172232328182E-2</v>
          </cell>
          <cell r="H1199">
            <v>2.1072188411862088E-2</v>
          </cell>
          <cell r="J1199" t="str">
            <v>2013VT</v>
          </cell>
          <cell r="K1199">
            <v>0.4894115</v>
          </cell>
          <cell r="L1199">
            <v>6.6349171999999998E-2</v>
          </cell>
          <cell r="M1199">
            <v>0.44423932799999999</v>
          </cell>
          <cell r="U1199" t="str">
            <v>2013VT</v>
          </cell>
          <cell r="V1199">
            <v>0.86037974299999997</v>
          </cell>
          <cell r="W1199">
            <v>6.1432910000000004E-3</v>
          </cell>
          <cell r="X1199">
            <v>3.8535191000000003E-2</v>
          </cell>
          <cell r="Y1199">
            <v>2.9459874E-2</v>
          </cell>
          <cell r="Z1199">
            <v>6.5481899999999996E-2</v>
          </cell>
          <cell r="AB1199" t="str">
            <v>2013VT</v>
          </cell>
          <cell r="AC1199">
            <v>0</v>
          </cell>
          <cell r="AD1199">
            <v>0</v>
          </cell>
          <cell r="AE1199">
            <v>0.05</v>
          </cell>
          <cell r="AF1199">
            <v>0.95</v>
          </cell>
        </row>
        <row r="1200">
          <cell r="B1200" t="str">
            <v>2013VA</v>
          </cell>
          <cell r="C1200">
            <v>4.4953509549794296E-2</v>
          </cell>
          <cell r="D1200">
            <v>9.339670802378576E-2</v>
          </cell>
          <cell r="E1200">
            <v>0.14844092890155638</v>
          </cell>
          <cell r="F1200">
            <v>0.12331550684410268</v>
          </cell>
          <cell r="G1200">
            <v>0.5737351926100378</v>
          </cell>
          <cell r="H1200">
            <v>1.6158154070723133E-2</v>
          </cell>
          <cell r="J1200" t="str">
            <v>2013VA</v>
          </cell>
          <cell r="K1200">
            <v>0.27782387799999997</v>
          </cell>
          <cell r="L1200">
            <v>0.57373519299999998</v>
          </cell>
          <cell r="M1200">
            <v>0.148440929</v>
          </cell>
          <cell r="U1200" t="str">
            <v>2013VA</v>
          </cell>
          <cell r="V1200">
            <v>3.3934871999999998E-2</v>
          </cell>
          <cell r="W1200">
            <v>3.6244844999999998E-2</v>
          </cell>
          <cell r="X1200">
            <v>6.8933026999999994E-2</v>
          </cell>
          <cell r="Y1200">
            <v>0.550040046</v>
          </cell>
          <cell r="Z1200">
            <v>0.31084721100000001</v>
          </cell>
          <cell r="AB1200" t="str">
            <v>2013VA</v>
          </cell>
          <cell r="AC1200">
            <v>0</v>
          </cell>
          <cell r="AD1200">
            <v>0</v>
          </cell>
          <cell r="AE1200">
            <v>0.05</v>
          </cell>
          <cell r="AF1200">
            <v>0.95</v>
          </cell>
        </row>
        <row r="1201">
          <cell r="B1201" t="str">
            <v>2013WA</v>
          </cell>
          <cell r="C1201">
            <v>0.48742079910802349</v>
          </cell>
          <cell r="D1201">
            <v>0.21961274491816118</v>
          </cell>
          <cell r="E1201">
            <v>0</v>
          </cell>
          <cell r="F1201">
            <v>0.11254281869932067</v>
          </cell>
          <cell r="G1201">
            <v>0.16627589127589129</v>
          </cell>
          <cell r="H1201">
            <v>1.4147745998603438E-2</v>
          </cell>
          <cell r="J1201" t="str">
            <v>2013WA</v>
          </cell>
          <cell r="K1201">
            <v>0.83372410900000005</v>
          </cell>
          <cell r="L1201">
            <v>0.16627589100000001</v>
          </cell>
          <cell r="M1201">
            <v>0</v>
          </cell>
          <cell r="U1201" t="str">
            <v>2013WA</v>
          </cell>
          <cell r="V1201">
            <v>0.37353494700000001</v>
          </cell>
          <cell r="W1201">
            <v>3.1263627000000002E-2</v>
          </cell>
          <cell r="X1201">
            <v>0.168896926</v>
          </cell>
          <cell r="Y1201">
            <v>0.119853577</v>
          </cell>
          <cell r="Z1201">
            <v>0.30645092299999999</v>
          </cell>
          <cell r="AB1201" t="str">
            <v>2013WA</v>
          </cell>
          <cell r="AC1201">
            <v>0</v>
          </cell>
          <cell r="AD1201">
            <v>0</v>
          </cell>
          <cell r="AE1201">
            <v>0.12</v>
          </cell>
          <cell r="AF1201">
            <v>0.88</v>
          </cell>
        </row>
        <row r="1202">
          <cell r="B1202" t="str">
            <v>2013WV</v>
          </cell>
          <cell r="C1202">
            <v>6.8751812683186322E-2</v>
          </cell>
          <cell r="D1202">
            <v>0.15888641455628993</v>
          </cell>
          <cell r="E1202">
            <v>0.44831485363191043</v>
          </cell>
          <cell r="F1202">
            <v>0.22633984896592482</v>
          </cell>
          <cell r="G1202">
            <v>7.0025492327769459E-2</v>
          </cell>
          <cell r="H1202">
            <v>2.7681577834919095E-2</v>
          </cell>
          <cell r="J1202" t="str">
            <v>2013WV</v>
          </cell>
          <cell r="K1202">
            <v>0.48165965399999999</v>
          </cell>
          <cell r="L1202">
            <v>7.0025491999999995E-2</v>
          </cell>
          <cell r="M1202">
            <v>0.44831485399999998</v>
          </cell>
          <cell r="U1202" t="str">
            <v>2013WV</v>
          </cell>
          <cell r="V1202">
            <v>0.57920187499999998</v>
          </cell>
          <cell r="W1202">
            <v>2.1256934000000002E-2</v>
          </cell>
          <cell r="X1202">
            <v>0.113169981</v>
          </cell>
          <cell r="Y1202">
            <v>7.9649016000000003E-2</v>
          </cell>
          <cell r="Z1202">
            <v>0.206722194</v>
          </cell>
          <cell r="AB1202" t="str">
            <v>2013WV</v>
          </cell>
          <cell r="AC1202">
            <v>0</v>
          </cell>
          <cell r="AD1202">
            <v>0</v>
          </cell>
          <cell r="AE1202">
            <v>0.05</v>
          </cell>
          <cell r="AF1202">
            <v>0.95</v>
          </cell>
        </row>
        <row r="1203">
          <cell r="B1203" t="str">
            <v>2013WI</v>
          </cell>
          <cell r="C1203">
            <v>0.12203432597344931</v>
          </cell>
          <cell r="D1203">
            <v>0.23555629715568294</v>
          </cell>
          <cell r="E1203">
            <v>0.11540173598404266</v>
          </cell>
          <cell r="F1203">
            <v>0.42032708364290838</v>
          </cell>
          <cell r="G1203">
            <v>6.8322420806473022E-2</v>
          </cell>
          <cell r="H1203">
            <v>3.8358136437443673E-2</v>
          </cell>
          <cell r="J1203" t="str">
            <v>2013WI</v>
          </cell>
          <cell r="K1203">
            <v>0.816275843</v>
          </cell>
          <cell r="L1203">
            <v>6.8322420999999994E-2</v>
          </cell>
          <cell r="M1203">
            <v>0.115401736</v>
          </cell>
          <cell r="U1203" t="str">
            <v>2013WI</v>
          </cell>
          <cell r="V1203">
            <v>0.12883246500000001</v>
          </cell>
          <cell r="W1203">
            <v>4.2564396999999997E-2</v>
          </cell>
          <cell r="X1203">
            <v>0.23585646199999999</v>
          </cell>
          <cell r="Y1203">
            <v>0.16970626599999999</v>
          </cell>
          <cell r="Z1203">
            <v>0.42304040999999998</v>
          </cell>
          <cell r="AB1203" t="str">
            <v>2013WI</v>
          </cell>
          <cell r="AC1203">
            <v>0</v>
          </cell>
          <cell r="AD1203">
            <v>0</v>
          </cell>
          <cell r="AE1203">
            <v>0.02</v>
          </cell>
          <cell r="AF1203">
            <v>0.98</v>
          </cell>
        </row>
        <row r="1204">
          <cell r="B1204" t="str">
            <v>2013WY</v>
          </cell>
          <cell r="C1204">
            <v>0.29508724522063295</v>
          </cell>
          <cell r="D1204">
            <v>0.23251729773373622</v>
          </cell>
          <cell r="E1204">
            <v>0.12161775942187937</v>
          </cell>
          <cell r="F1204">
            <v>0.2207502472879718</v>
          </cell>
          <cell r="G1204">
            <v>7.2002554085590281E-2</v>
          </cell>
          <cell r="H1204">
            <v>5.8024896250189507E-2</v>
          </cell>
          <cell r="J1204" t="str">
            <v>2013WY</v>
          </cell>
          <cell r="K1204">
            <v>0.80637968699999996</v>
          </cell>
          <cell r="L1204">
            <v>7.2002553999999996E-2</v>
          </cell>
          <cell r="M1204">
            <v>0.12161775900000001</v>
          </cell>
          <cell r="U1204" t="str">
            <v>2013WY</v>
          </cell>
          <cell r="V1204">
            <v>3.2109568999999998E-2</v>
          </cell>
          <cell r="W1204">
            <v>5.3596850000000001E-2</v>
          </cell>
          <cell r="X1204">
            <v>0.25521061499999997</v>
          </cell>
          <cell r="Y1204">
            <v>0.16752597599999999</v>
          </cell>
          <cell r="Z1204">
            <v>0.49155699000000003</v>
          </cell>
          <cell r="AB1204" t="str">
            <v>2013WY</v>
          </cell>
          <cell r="AC1204">
            <v>0</v>
          </cell>
          <cell r="AD1204">
            <v>0</v>
          </cell>
          <cell r="AE1204">
            <v>0.6</v>
          </cell>
          <cell r="AF1204">
            <v>0.4</v>
          </cell>
        </row>
        <row r="1205">
          <cell r="B1205" t="str">
            <v>2014AL</v>
          </cell>
          <cell r="C1205">
            <v>0.17233560131521788</v>
          </cell>
          <cell r="D1205">
            <v>9.7606154746872412E-2</v>
          </cell>
          <cell r="E1205">
            <v>0.16919346457207346</v>
          </cell>
          <cell r="F1205">
            <v>0.1056405325382436</v>
          </cell>
          <cell r="G1205">
            <v>0.45062509818962659</v>
          </cell>
          <cell r="H1205">
            <v>4.5991486379660445E-3</v>
          </cell>
          <cell r="J1205" t="str">
            <v>2014AL</v>
          </cell>
          <cell r="K1205">
            <v>0.38018143700000007</v>
          </cell>
          <cell r="L1205">
            <v>0.450625098</v>
          </cell>
          <cell r="M1205">
            <v>0.16919346499999999</v>
          </cell>
          <cell r="U1205" t="str">
            <v>2014AL</v>
          </cell>
          <cell r="V1205">
            <v>5.3114938E-2</v>
          </cell>
          <cell r="W1205">
            <v>3.6058960000000001E-2</v>
          </cell>
          <cell r="X1205">
            <v>8.4414527000000003E-2</v>
          </cell>
          <cell r="Y1205">
            <v>0.50961295299999998</v>
          </cell>
          <cell r="Z1205">
            <v>0.316798623</v>
          </cell>
          <cell r="AB1205" t="str">
            <v>2014AL</v>
          </cell>
          <cell r="AC1205">
            <v>0</v>
          </cell>
          <cell r="AD1205">
            <v>0</v>
          </cell>
          <cell r="AE1205">
            <v>0.41899999999999998</v>
          </cell>
          <cell r="AF1205">
            <v>0.58099999999999996</v>
          </cell>
        </row>
        <row r="1206">
          <cell r="B1206" t="str">
            <v>2014AK</v>
          </cell>
          <cell r="C1206">
            <v>0.30334484066413492</v>
          </cell>
          <cell r="D1206">
            <v>0.23769937716735701</v>
          </cell>
          <cell r="E1206">
            <v>6.205843688929364E-2</v>
          </cell>
          <cell r="F1206">
            <v>0.28363994741136878</v>
          </cell>
          <cell r="G1206">
            <v>3.6741064625999714E-2</v>
          </cell>
          <cell r="H1206">
            <v>7.6516333241846021E-2</v>
          </cell>
          <cell r="J1206" t="str">
            <v>2014AK</v>
          </cell>
          <cell r="K1206">
            <v>0.90120049800000002</v>
          </cell>
          <cell r="L1206">
            <v>3.6741065000000003E-2</v>
          </cell>
          <cell r="M1206">
            <v>6.2058437000000001E-2</v>
          </cell>
          <cell r="U1206" t="str">
            <v>2014AK</v>
          </cell>
          <cell r="V1206">
            <v>0.52632575500000001</v>
          </cell>
          <cell r="W1206">
            <v>2.0841667000000001E-2</v>
          </cell>
          <cell r="X1206">
            <v>0.130734092</v>
          </cell>
          <cell r="Y1206">
            <v>9.9945266000000005E-2</v>
          </cell>
          <cell r="Z1206">
            <v>0.22215322100000001</v>
          </cell>
          <cell r="AB1206" t="str">
            <v>2014AK</v>
          </cell>
          <cell r="AC1206">
            <v>0</v>
          </cell>
          <cell r="AD1206">
            <v>0</v>
          </cell>
          <cell r="AE1206">
            <v>0.25</v>
          </cell>
          <cell r="AF1206">
            <v>0.75</v>
          </cell>
        </row>
        <row r="1207">
          <cell r="B1207" t="str">
            <v>2014AZ</v>
          </cell>
          <cell r="C1207">
            <v>0.611220636654217</v>
          </cell>
          <cell r="D1207">
            <v>0.19572797693407004</v>
          </cell>
          <cell r="E1207">
            <v>9.865488383487428E-2</v>
          </cell>
          <cell r="F1207">
            <v>9.3890669243012675E-2</v>
          </cell>
          <cell r="G1207">
            <v>0</v>
          </cell>
          <cell r="H1207">
            <v>5.0583333382575558E-4</v>
          </cell>
          <cell r="J1207" t="str">
            <v>2014AZ</v>
          </cell>
          <cell r="K1207">
            <v>0.901345116</v>
          </cell>
          <cell r="L1207">
            <v>0</v>
          </cell>
          <cell r="M1207">
            <v>9.8654883999999998E-2</v>
          </cell>
          <cell r="U1207" t="str">
            <v>2014AZ</v>
          </cell>
          <cell r="V1207">
            <v>0.136592664</v>
          </cell>
          <cell r="W1207">
            <v>3.2171241000000003E-2</v>
          </cell>
          <cell r="X1207">
            <v>5.4596316999999998E-2</v>
          </cell>
          <cell r="Y1207">
            <v>0.50386894699999996</v>
          </cell>
          <cell r="Z1207">
            <v>0.27277083200000002</v>
          </cell>
          <cell r="AB1207" t="str">
            <v>2014AZ</v>
          </cell>
          <cell r="AC1207">
            <v>0</v>
          </cell>
          <cell r="AD1207">
            <v>0</v>
          </cell>
          <cell r="AE1207">
            <v>0.6</v>
          </cell>
          <cell r="AF1207">
            <v>0.4</v>
          </cell>
        </row>
        <row r="1208">
          <cell r="B1208" t="str">
            <v>2014AR</v>
          </cell>
          <cell r="C1208">
            <v>9.6391342329605903E-2</v>
          </cell>
          <cell r="D1208">
            <v>6.6955456596874061E-2</v>
          </cell>
          <cell r="E1208">
            <v>0.14888335780531528</v>
          </cell>
          <cell r="F1208">
            <v>0.11118804006195876</v>
          </cell>
          <cell r="G1208">
            <v>0.57111057531117648</v>
          </cell>
          <cell r="H1208">
            <v>5.4712278950695761E-3</v>
          </cell>
          <cell r="J1208" t="str">
            <v>2014AR</v>
          </cell>
          <cell r="K1208">
            <v>0.28000606700000008</v>
          </cell>
          <cell r="L1208">
            <v>0.57111057499999995</v>
          </cell>
          <cell r="M1208">
            <v>0.14888335799999999</v>
          </cell>
          <cell r="U1208" t="str">
            <v>2014AR</v>
          </cell>
          <cell r="V1208">
            <v>3.9459004999999998E-2</v>
          </cell>
          <cell r="W1208">
            <v>3.7640482000000003E-2</v>
          </cell>
          <cell r="X1208">
            <v>0.11914443199999999</v>
          </cell>
          <cell r="Y1208">
            <v>0.45827781299999998</v>
          </cell>
          <cell r="Z1208">
            <v>0.34547826799999998</v>
          </cell>
          <cell r="AB1208" t="str">
            <v>2014AR</v>
          </cell>
          <cell r="AC1208">
            <v>0</v>
          </cell>
          <cell r="AD1208">
            <v>0</v>
          </cell>
          <cell r="AE1208">
            <v>0</v>
          </cell>
          <cell r="AF1208">
            <v>1</v>
          </cell>
        </row>
        <row r="1209">
          <cell r="B1209" t="str">
            <v>2014CA</v>
          </cell>
          <cell r="C1209">
            <v>0.58081862489107328</v>
          </cell>
          <cell r="D1209">
            <v>0.20720345916912225</v>
          </cell>
          <cell r="E1209">
            <v>0.10801924509893834</v>
          </cell>
          <cell r="F1209">
            <v>9.2431120719429966E-2</v>
          </cell>
          <cell r="G1209">
            <v>9.2523577326630076E-3</v>
          </cell>
          <cell r="H1209">
            <v>2.2751923887731596E-3</v>
          </cell>
          <cell r="J1209" t="str">
            <v>2014CA</v>
          </cell>
          <cell r="K1209">
            <v>0.88272839699999994</v>
          </cell>
          <cell r="L1209">
            <v>9.2523580000000005E-3</v>
          </cell>
          <cell r="M1209">
            <v>0.108019245</v>
          </cell>
          <cell r="U1209" t="str">
            <v>2014CA</v>
          </cell>
          <cell r="V1209">
            <v>0.133799526</v>
          </cell>
          <cell r="W1209">
            <v>3.2941353E-2</v>
          </cell>
          <cell r="X1209">
            <v>7.5800703999999997E-2</v>
          </cell>
          <cell r="Y1209">
            <v>0.46867659099999998</v>
          </cell>
          <cell r="Z1209">
            <v>0.28878182499999999</v>
          </cell>
          <cell r="AB1209" t="str">
            <v>2014CA</v>
          </cell>
          <cell r="AC1209">
            <v>0</v>
          </cell>
          <cell r="AD1209">
            <v>0</v>
          </cell>
          <cell r="AE1209">
            <v>0.12</v>
          </cell>
          <cell r="AF1209">
            <v>0.88</v>
          </cell>
        </row>
        <row r="1210">
          <cell r="B1210" t="str">
            <v>2014CO</v>
          </cell>
          <cell r="C1210">
            <v>0.61667904285785091</v>
          </cell>
          <cell r="D1210">
            <v>0.24212893570430052</v>
          </cell>
          <cell r="E1210">
            <v>1.1092391745361967E-2</v>
          </cell>
          <cell r="F1210">
            <v>0.11516410971780773</v>
          </cell>
          <cell r="G1210">
            <v>6.5671374014829543E-3</v>
          </cell>
          <cell r="H1210">
            <v>8.3683825731959392E-3</v>
          </cell>
          <cell r="J1210" t="str">
            <v>2014CO</v>
          </cell>
          <cell r="K1210">
            <v>0.98234047099999999</v>
          </cell>
          <cell r="L1210">
            <v>6.5671369999999998E-3</v>
          </cell>
          <cell r="M1210">
            <v>1.1092392E-2</v>
          </cell>
          <cell r="U1210" t="str">
            <v>2014CO</v>
          </cell>
          <cell r="V1210">
            <v>2.3378138E-2</v>
          </cell>
          <cell r="W1210">
            <v>5.3880426000000002E-2</v>
          </cell>
          <cell r="X1210">
            <v>0.25772948099999998</v>
          </cell>
          <cell r="Y1210">
            <v>0.169703665</v>
          </cell>
          <cell r="Z1210">
            <v>0.49530828999999998</v>
          </cell>
          <cell r="AB1210" t="str">
            <v>2014CO</v>
          </cell>
          <cell r="AC1210">
            <v>0</v>
          </cell>
          <cell r="AD1210">
            <v>0</v>
          </cell>
          <cell r="AE1210">
            <v>0.6</v>
          </cell>
          <cell r="AF1210">
            <v>0.4</v>
          </cell>
        </row>
        <row r="1211">
          <cell r="B1211" t="str">
            <v>2014CT</v>
          </cell>
          <cell r="C1211">
            <v>0.11572842393252261</v>
          </cell>
          <cell r="D1211">
            <v>0.20119880615243968</v>
          </cell>
          <cell r="E1211">
            <v>0.43233999756560143</v>
          </cell>
          <cell r="F1211">
            <v>0.17234541515575838</v>
          </cell>
          <cell r="G1211">
            <v>5.5615402487630847E-2</v>
          </cell>
          <cell r="H1211">
            <v>2.2771954706046996E-2</v>
          </cell>
          <cell r="J1211" t="str">
            <v>2014CT</v>
          </cell>
          <cell r="K1211">
            <v>0.51204460000000007</v>
          </cell>
          <cell r="L1211">
            <v>5.5615402000000001E-2</v>
          </cell>
          <cell r="M1211">
            <v>0.432339998</v>
          </cell>
          <cell r="U1211" t="str">
            <v>2014CT</v>
          </cell>
          <cell r="V1211">
            <v>0.57363861400000005</v>
          </cell>
          <cell r="W1211">
            <v>1.8759900999999999E-2</v>
          </cell>
          <cell r="X1211">
            <v>0.117675743</v>
          </cell>
          <cell r="Y1211">
            <v>8.9962252000000006E-2</v>
          </cell>
          <cell r="Z1211">
            <v>0.19996348999999999</v>
          </cell>
          <cell r="AB1211" t="str">
            <v>2014CT</v>
          </cell>
          <cell r="AC1211">
            <v>0</v>
          </cell>
          <cell r="AD1211">
            <v>0</v>
          </cell>
          <cell r="AE1211">
            <v>0.05</v>
          </cell>
          <cell r="AF1211">
            <v>0.95</v>
          </cell>
        </row>
        <row r="1212">
          <cell r="B1212" t="str">
            <v>2014DE</v>
          </cell>
          <cell r="C1212">
            <v>0.10201653895343663</v>
          </cell>
          <cell r="D1212">
            <v>0.1910091905838856</v>
          </cell>
          <cell r="E1212">
            <v>0.43707162937473454</v>
          </cell>
          <cell r="F1212">
            <v>0.18637975788177577</v>
          </cell>
          <cell r="G1212">
            <v>5.9883562349419175E-2</v>
          </cell>
          <cell r="H1212">
            <v>2.3639320856748244E-2</v>
          </cell>
          <cell r="J1212" t="str">
            <v>2014DE</v>
          </cell>
          <cell r="K1212">
            <v>0.50304480899999993</v>
          </cell>
          <cell r="L1212">
            <v>5.9883562000000001E-2</v>
          </cell>
          <cell r="M1212">
            <v>0.43707162900000002</v>
          </cell>
          <cell r="U1212" t="str">
            <v>2014DE</v>
          </cell>
          <cell r="V1212">
            <v>0.120253529</v>
          </cell>
          <cell r="W1212">
            <v>4.1631153999999997E-2</v>
          </cell>
          <cell r="X1212">
            <v>0.23964419100000001</v>
          </cell>
          <cell r="Y1212">
            <v>0.17588547500000001</v>
          </cell>
          <cell r="Z1212">
            <v>0.42258565100000001</v>
          </cell>
          <cell r="AB1212" t="str">
            <v>2014DE</v>
          </cell>
          <cell r="AC1212">
            <v>0</v>
          </cell>
          <cell r="AD1212">
            <v>0</v>
          </cell>
          <cell r="AE1212">
            <v>0.05</v>
          </cell>
          <cell r="AF1212">
            <v>0.95</v>
          </cell>
        </row>
        <row r="1213">
          <cell r="B1213" t="str">
            <v>2014FL</v>
          </cell>
          <cell r="C1213">
            <v>0.38654865924430459</v>
          </cell>
          <cell r="D1213">
            <v>0.14503983167997814</v>
          </cell>
          <cell r="E1213">
            <v>0.21616400084919535</v>
          </cell>
          <cell r="F1213">
            <v>7.8997496757044303E-2</v>
          </cell>
          <cell r="G1213">
            <v>0.17198217725399226</v>
          </cell>
          <cell r="H1213">
            <v>1.2678342154852779E-3</v>
          </cell>
          <cell r="J1213" t="str">
            <v>2014FL</v>
          </cell>
          <cell r="K1213">
            <v>0.61185382200000005</v>
          </cell>
          <cell r="L1213">
            <v>0.17198217700000001</v>
          </cell>
          <cell r="M1213">
            <v>0.21616400099999999</v>
          </cell>
          <cell r="U1213" t="str">
            <v>2014FL</v>
          </cell>
          <cell r="V1213">
            <v>0.71166924399999998</v>
          </cell>
          <cell r="W1213">
            <v>1.2686553E-2</v>
          </cell>
          <cell r="X1213">
            <v>7.9579288999999998E-2</v>
          </cell>
          <cell r="Y1213">
            <v>6.0837789000000003E-2</v>
          </cell>
          <cell r="Z1213">
            <v>0.135227124</v>
          </cell>
          <cell r="AB1213" t="str">
            <v>2014FL</v>
          </cell>
          <cell r="AC1213">
            <v>0</v>
          </cell>
          <cell r="AD1213">
            <v>0</v>
          </cell>
          <cell r="AE1213">
            <v>0.41899999999999998</v>
          </cell>
          <cell r="AF1213">
            <v>0.58099999999999996</v>
          </cell>
        </row>
        <row r="1214">
          <cell r="B1214" t="str">
            <v>2014GA</v>
          </cell>
          <cell r="C1214">
            <v>0.20823216155586291</v>
          </cell>
          <cell r="D1214">
            <v>0.11033206176717186</v>
          </cell>
          <cell r="E1214">
            <v>0.17733204084631207</v>
          </cell>
          <cell r="F1214">
            <v>9.7862793659120595E-2</v>
          </cell>
          <cell r="G1214">
            <v>0.40234468997942996</v>
          </cell>
          <cell r="H1214">
            <v>3.8962521921025758E-3</v>
          </cell>
          <cell r="J1214" t="str">
            <v>2014GA</v>
          </cell>
          <cell r="K1214">
            <v>0.42032326900000005</v>
          </cell>
          <cell r="L1214">
            <v>0.40234469</v>
          </cell>
          <cell r="M1214">
            <v>0.177332041</v>
          </cell>
          <cell r="U1214" t="str">
            <v>2014GA</v>
          </cell>
          <cell r="V1214">
            <v>7.8133266000000007E-2</v>
          </cell>
          <cell r="W1214">
            <v>3.5587817000000001E-2</v>
          </cell>
          <cell r="X1214">
            <v>9.7388838000000005E-2</v>
          </cell>
          <cell r="Y1214">
            <v>0.46952270200000001</v>
          </cell>
          <cell r="Z1214">
            <v>0.31936737799999998</v>
          </cell>
          <cell r="AB1214" t="str">
            <v>2014GA</v>
          </cell>
          <cell r="AC1214">
            <v>0</v>
          </cell>
          <cell r="AD1214">
            <v>0</v>
          </cell>
          <cell r="AE1214">
            <v>0.41899999999999998</v>
          </cell>
          <cell r="AF1214">
            <v>0.58099999999999996</v>
          </cell>
        </row>
        <row r="1215">
          <cell r="B1215" t="str">
            <v>2014HI</v>
          </cell>
          <cell r="C1215">
            <v>0.67137224197860923</v>
          </cell>
          <cell r="D1215">
            <v>0.21100034068527662</v>
          </cell>
          <cell r="E1215">
            <v>0</v>
          </cell>
          <cell r="F1215">
            <v>0.10820426646618357</v>
          </cell>
          <cell r="G1215">
            <v>7.5112148308577572E-3</v>
          </cell>
          <cell r="H1215">
            <v>1.9119360390725836E-3</v>
          </cell>
          <cell r="J1215" t="str">
            <v>2014HI</v>
          </cell>
          <cell r="K1215">
            <v>0.99248878500000004</v>
          </cell>
          <cell r="L1215">
            <v>7.5112149999999999E-3</v>
          </cell>
          <cell r="M1215">
            <v>0</v>
          </cell>
          <cell r="U1215" t="str">
            <v>2014HI</v>
          </cell>
          <cell r="V1215">
            <v>0.23216878499999999</v>
          </cell>
          <cell r="W1215">
            <v>3.2904865999999998E-2</v>
          </cell>
          <cell r="X1215">
            <v>0.18414778700000001</v>
          </cell>
          <cell r="Y1215">
            <v>0.21064765399999999</v>
          </cell>
          <cell r="Z1215">
            <v>0.34013090899999998</v>
          </cell>
          <cell r="AB1215" t="str">
            <v>2014HI</v>
          </cell>
          <cell r="AC1215">
            <v>0</v>
          </cell>
          <cell r="AD1215">
            <v>0</v>
          </cell>
          <cell r="AE1215">
            <v>0.25</v>
          </cell>
          <cell r="AF1215">
            <v>0.75</v>
          </cell>
        </row>
        <row r="1216">
          <cell r="B1216" t="str">
            <v>2014ID</v>
          </cell>
          <cell r="C1216">
            <v>0.62850843440764703</v>
          </cell>
          <cell r="D1216">
            <v>0.2329683972033782</v>
          </cell>
          <cell r="E1216">
            <v>6.4436683947772669E-3</v>
          </cell>
          <cell r="F1216">
            <v>0.11961222721284216</v>
          </cell>
          <cell r="G1216">
            <v>3.8149081541218642E-3</v>
          </cell>
          <cell r="H1216">
            <v>8.6523646272333287E-3</v>
          </cell>
          <cell r="J1216" t="str">
            <v>2014ID</v>
          </cell>
          <cell r="K1216">
            <v>0.98974142399999998</v>
          </cell>
          <cell r="L1216">
            <v>3.8149080000000001E-3</v>
          </cell>
          <cell r="M1216">
            <v>6.4436679999999996E-3</v>
          </cell>
          <cell r="U1216" t="str">
            <v>2014ID</v>
          </cell>
          <cell r="V1216">
            <v>0.460837895</v>
          </cell>
          <cell r="W1216">
            <v>2.6974237000000002E-2</v>
          </cell>
          <cell r="X1216">
            <v>0.14528671200000001</v>
          </cell>
          <cell r="Y1216">
            <v>0.102926191</v>
          </cell>
          <cell r="Z1216">
            <v>0.26397496599999998</v>
          </cell>
          <cell r="AB1216" t="str">
            <v>2014ID</v>
          </cell>
          <cell r="AC1216">
            <v>0</v>
          </cell>
          <cell r="AD1216">
            <v>0</v>
          </cell>
          <cell r="AE1216">
            <v>0.6</v>
          </cell>
          <cell r="AF1216">
            <v>0.4</v>
          </cell>
        </row>
        <row r="1217">
          <cell r="B1217" t="str">
            <v>2014IL</v>
          </cell>
          <cell r="C1217">
            <v>0.13175283144497188</v>
          </cell>
          <cell r="D1217">
            <v>0.26046159534668961</v>
          </cell>
          <cell r="E1217">
            <v>8.1383349234931596E-2</v>
          </cell>
          <cell r="F1217">
            <v>0.43207247933210829</v>
          </cell>
          <cell r="G1217">
            <v>4.8182181885357514E-2</v>
          </cell>
          <cell r="H1217">
            <v>4.6147562755941125E-2</v>
          </cell>
          <cell r="J1217" t="str">
            <v>2014IL</v>
          </cell>
          <cell r="K1217">
            <v>0.87043446899999999</v>
          </cell>
          <cell r="L1217">
            <v>4.8182181999999997E-2</v>
          </cell>
          <cell r="M1217">
            <v>8.1383348999999994E-2</v>
          </cell>
          <cell r="U1217" t="str">
            <v>2014IL</v>
          </cell>
          <cell r="V1217">
            <v>2.0186552999999999E-2</v>
          </cell>
          <cell r="W1217">
            <v>4.5739502000000001E-2</v>
          </cell>
          <cell r="X1217">
            <v>0.28028242399999997</v>
          </cell>
          <cell r="Y1217">
            <v>0.149587944</v>
          </cell>
          <cell r="Z1217">
            <v>0.50420357699999996</v>
          </cell>
          <cell r="AB1217" t="str">
            <v>2014IL</v>
          </cell>
          <cell r="AC1217">
            <v>0</v>
          </cell>
          <cell r="AD1217">
            <v>0</v>
          </cell>
          <cell r="AE1217">
            <v>0.02</v>
          </cell>
          <cell r="AF1217">
            <v>0.98</v>
          </cell>
        </row>
        <row r="1218">
          <cell r="B1218" t="str">
            <v>2014IN</v>
          </cell>
          <cell r="C1218">
            <v>0.16189917384296076</v>
          </cell>
          <cell r="D1218">
            <v>0.24163212738244233</v>
          </cell>
          <cell r="E1218">
            <v>0.13392208737361183</v>
          </cell>
          <cell r="F1218">
            <v>0.3491044693998876</v>
          </cell>
          <cell r="G1218">
            <v>7.9287205957511472E-2</v>
          </cell>
          <cell r="H1218">
            <v>3.4154936043586021E-2</v>
          </cell>
          <cell r="J1218" t="str">
            <v>2014IN</v>
          </cell>
          <cell r="K1218">
            <v>0.78679070699999998</v>
          </cell>
          <cell r="L1218">
            <v>7.9287205999999999E-2</v>
          </cell>
          <cell r="M1218">
            <v>0.133922087</v>
          </cell>
          <cell r="U1218" t="str">
            <v>2014IN</v>
          </cell>
          <cell r="V1218">
            <v>2.5489210000000002E-2</v>
          </cell>
          <cell r="W1218">
            <v>4.5536079E-2</v>
          </cell>
          <cell r="X1218">
            <v>0.27893099599999999</v>
          </cell>
          <cell r="Y1218">
            <v>0.14781887399999999</v>
          </cell>
          <cell r="Z1218">
            <v>0.50222484099999998</v>
          </cell>
          <cell r="AB1218" t="str">
            <v>2014IN</v>
          </cell>
          <cell r="AC1218">
            <v>0</v>
          </cell>
          <cell r="AD1218">
            <v>0</v>
          </cell>
          <cell r="AE1218">
            <v>0</v>
          </cell>
          <cell r="AF1218">
            <v>1</v>
          </cell>
        </row>
        <row r="1219">
          <cell r="B1219" t="str">
            <v>2014IA</v>
          </cell>
          <cell r="C1219">
            <v>0.13792614664225575</v>
          </cell>
          <cell r="D1219">
            <v>0.25047757969635848</v>
          </cell>
          <cell r="E1219">
            <v>0.10477197231415941</v>
          </cell>
          <cell r="F1219">
            <v>0.40507493125352922</v>
          </cell>
          <cell r="G1219">
            <v>6.2029177638731184E-2</v>
          </cell>
          <cell r="H1219">
            <v>3.9720192454965969E-2</v>
          </cell>
          <cell r="J1219" t="str">
            <v>2014IA</v>
          </cell>
          <cell r="K1219">
            <v>0.83319885000000005</v>
          </cell>
          <cell r="L1219">
            <v>6.2029177999999997E-2</v>
          </cell>
          <cell r="M1219">
            <v>0.104771972</v>
          </cell>
          <cell r="U1219" t="str">
            <v>2014IA</v>
          </cell>
          <cell r="V1219">
            <v>9.6502570000000006E-3</v>
          </cell>
          <cell r="W1219">
            <v>3.8739974000000003E-2</v>
          </cell>
          <cell r="X1219">
            <v>0.12067557499999999</v>
          </cell>
          <cell r="Y1219">
            <v>0.47629315999999999</v>
          </cell>
          <cell r="Z1219">
            <v>0.35464103499999999</v>
          </cell>
          <cell r="AB1219" t="str">
            <v>2014IA</v>
          </cell>
          <cell r="AC1219">
            <v>0</v>
          </cell>
          <cell r="AD1219">
            <v>0</v>
          </cell>
          <cell r="AE1219">
            <v>0</v>
          </cell>
          <cell r="AF1219">
            <v>1</v>
          </cell>
        </row>
        <row r="1220">
          <cell r="B1220" t="str">
            <v>2014KS</v>
          </cell>
          <cell r="C1220">
            <v>0.28758404285910905</v>
          </cell>
          <cell r="D1220">
            <v>0.32607606753917184</v>
          </cell>
          <cell r="E1220">
            <v>5.1050547933917619E-2</v>
          </cell>
          <cell r="F1220">
            <v>0.27762124338847843</v>
          </cell>
          <cell r="G1220">
            <v>3.0223956239483565E-2</v>
          </cell>
          <cell r="H1220">
            <v>2.7444142039839463E-2</v>
          </cell>
          <cell r="J1220" t="str">
            <v>2014KS</v>
          </cell>
          <cell r="K1220">
            <v>0.91872549599999997</v>
          </cell>
          <cell r="L1220">
            <v>3.0223956E-2</v>
          </cell>
          <cell r="M1220">
            <v>5.1050548000000001E-2</v>
          </cell>
          <cell r="U1220" t="str">
            <v>2014KS</v>
          </cell>
          <cell r="V1220">
            <v>2.3647662E-2</v>
          </cell>
          <cell r="W1220">
            <v>4.6272377000000003E-2</v>
          </cell>
          <cell r="X1220">
            <v>0.28189652199999998</v>
          </cell>
          <cell r="Y1220">
            <v>0.13395533500000001</v>
          </cell>
          <cell r="Z1220">
            <v>0.51422810299999999</v>
          </cell>
          <cell r="AB1220" t="str">
            <v>2014KS</v>
          </cell>
          <cell r="AC1220">
            <v>0</v>
          </cell>
          <cell r="AD1220">
            <v>0</v>
          </cell>
          <cell r="AE1220">
            <v>0.02</v>
          </cell>
          <cell r="AF1220">
            <v>0.98</v>
          </cell>
        </row>
        <row r="1221">
          <cell r="B1221" t="str">
            <v>2014KY</v>
          </cell>
          <cell r="C1221">
            <v>2.3305602928070858E-2</v>
          </cell>
          <cell r="D1221">
            <v>6.2885861766289422E-2</v>
          </cell>
          <cell r="E1221">
            <v>0.14165738300711325</v>
          </cell>
          <cell r="F1221">
            <v>0.14315421990856123</v>
          </cell>
          <cell r="G1221">
            <v>0.61397716539009373</v>
          </cell>
          <cell r="H1221">
            <v>1.5019766999871505E-2</v>
          </cell>
          <cell r="J1221" t="str">
            <v>2014KY</v>
          </cell>
          <cell r="K1221">
            <v>0.24436545200000004</v>
          </cell>
          <cell r="L1221">
            <v>0.61397716499999999</v>
          </cell>
          <cell r="M1221">
            <v>0.141657383</v>
          </cell>
          <cell r="U1221" t="str">
            <v>2014KY</v>
          </cell>
          <cell r="V1221">
            <v>4.9184704000000003E-2</v>
          </cell>
          <cell r="W1221">
            <v>3.7321891000000003E-2</v>
          </cell>
          <cell r="X1221">
            <v>0.11991215400000001</v>
          </cell>
          <cell r="Y1221">
            <v>0.45018075899999999</v>
          </cell>
          <cell r="Z1221">
            <v>0.34340049099999997</v>
          </cell>
          <cell r="AB1221" t="str">
            <v>2014KY</v>
          </cell>
          <cell r="AC1221">
            <v>0</v>
          </cell>
          <cell r="AD1221">
            <v>0</v>
          </cell>
          <cell r="AE1221">
            <v>0.05</v>
          </cell>
          <cell r="AF1221">
            <v>0.95</v>
          </cell>
        </row>
        <row r="1222">
          <cell r="B1222" t="str">
            <v>2014LA</v>
          </cell>
          <cell r="C1222">
            <v>8.7696493950327165E-2</v>
          </cell>
          <cell r="D1222">
            <v>6.4637521135916851E-2</v>
          </cell>
          <cell r="E1222">
            <v>0.14461730665558523</v>
          </cell>
          <cell r="F1222">
            <v>0.10160244529023774</v>
          </cell>
          <cell r="G1222">
            <v>0.59641803499629376</v>
          </cell>
          <cell r="H1222">
            <v>5.0281979716392446E-3</v>
          </cell>
          <cell r="J1222" t="str">
            <v>2014LA</v>
          </cell>
          <cell r="K1222">
            <v>0.25896465800000001</v>
          </cell>
          <cell r="L1222">
            <v>0.59641803500000001</v>
          </cell>
          <cell r="M1222">
            <v>0.144617307</v>
          </cell>
          <cell r="U1222" t="str">
            <v>2014LA</v>
          </cell>
          <cell r="V1222">
            <v>0.53551704700000002</v>
          </cell>
          <cell r="W1222">
            <v>2.0437250000000001E-2</v>
          </cell>
          <cell r="X1222">
            <v>0.12819729499999999</v>
          </cell>
          <cell r="Y1222">
            <v>9.8005903000000005E-2</v>
          </cell>
          <cell r="Z1222">
            <v>0.21784250499999999</v>
          </cell>
          <cell r="AB1222" t="str">
            <v>2014LA</v>
          </cell>
          <cell r="AC1222">
            <v>0</v>
          </cell>
          <cell r="AD1222">
            <v>0</v>
          </cell>
          <cell r="AE1222">
            <v>0.6</v>
          </cell>
          <cell r="AF1222">
            <v>0.4</v>
          </cell>
        </row>
        <row r="1223">
          <cell r="B1223" t="str">
            <v>2014ME</v>
          </cell>
          <cell r="C1223">
            <v>9.3713015315557757E-2</v>
          </cell>
          <cell r="D1223">
            <v>0.17210096338216258</v>
          </cell>
          <cell r="E1223">
            <v>0.44837154081607639</v>
          </cell>
          <cell r="F1223">
            <v>0.19633313267932656</v>
          </cell>
          <cell r="G1223">
            <v>7.0076626899074845E-2</v>
          </cell>
          <cell r="H1223">
            <v>1.9404720907801824E-2</v>
          </cell>
          <cell r="J1223" t="str">
            <v>2014ME</v>
          </cell>
          <cell r="K1223">
            <v>0.48155183200000007</v>
          </cell>
          <cell r="L1223">
            <v>7.0076627000000002E-2</v>
          </cell>
          <cell r="M1223">
            <v>0.44837154099999998</v>
          </cell>
          <cell r="U1223" t="str">
            <v>2014ME</v>
          </cell>
          <cell r="V1223">
            <v>0.72920202000000001</v>
          </cell>
          <cell r="W1223">
            <v>1.1915111000000001E-2</v>
          </cell>
          <cell r="X1223">
            <v>7.4740241999999998E-2</v>
          </cell>
          <cell r="Y1223">
            <v>5.7138373999999999E-2</v>
          </cell>
          <cell r="Z1223">
            <v>0.12700425300000001</v>
          </cell>
          <cell r="AB1223" t="str">
            <v>2014ME</v>
          </cell>
          <cell r="AC1223">
            <v>0</v>
          </cell>
          <cell r="AD1223">
            <v>0</v>
          </cell>
          <cell r="AE1223">
            <v>0.05</v>
          </cell>
          <cell r="AF1223">
            <v>0.95</v>
          </cell>
        </row>
        <row r="1224">
          <cell r="B1224" t="str">
            <v>2014MD</v>
          </cell>
          <cell r="C1224">
            <v>7.6488535055593554E-2</v>
          </cell>
          <cell r="D1224">
            <v>0.15472472257238745</v>
          </cell>
          <cell r="E1224">
            <v>0.44380834258126728</v>
          </cell>
          <cell r="F1224">
            <v>0.22861605738914034</v>
          </cell>
          <cell r="G1224">
            <v>6.5960402236453913E-2</v>
          </cell>
          <cell r="H1224">
            <v>3.0401940165157418E-2</v>
          </cell>
          <cell r="J1224" t="str">
            <v>2014MD</v>
          </cell>
          <cell r="K1224">
            <v>0.49023125499999998</v>
          </cell>
          <cell r="L1224">
            <v>6.5960402000000001E-2</v>
          </cell>
          <cell r="M1224">
            <v>0.44380834299999999</v>
          </cell>
          <cell r="U1224" t="str">
            <v>2014MD</v>
          </cell>
          <cell r="V1224">
            <v>0.21140679400000001</v>
          </cell>
          <cell r="W1224">
            <v>3.7602905999999998E-2</v>
          </cell>
          <cell r="X1224">
            <v>0.214504853</v>
          </cell>
          <cell r="Y1224">
            <v>0.15671048400000001</v>
          </cell>
          <cell r="Z1224">
            <v>0.37977496300000002</v>
          </cell>
          <cell r="AB1224" t="str">
            <v>2014MD</v>
          </cell>
          <cell r="AC1224">
            <v>0</v>
          </cell>
          <cell r="AD1224">
            <v>0</v>
          </cell>
          <cell r="AE1224">
            <v>0.05</v>
          </cell>
          <cell r="AF1224">
            <v>0.95</v>
          </cell>
        </row>
        <row r="1225">
          <cell r="B1225" t="str">
            <v>2014MA</v>
          </cell>
          <cell r="C1225">
            <v>6.1305440163427552E-2</v>
          </cell>
          <cell r="D1225">
            <v>0.14874705508142777</v>
          </cell>
          <cell r="E1225">
            <v>0.45216403673004657</v>
          </cell>
          <cell r="F1225">
            <v>0.23617268276189021</v>
          </cell>
          <cell r="G1225">
            <v>7.3497640935872632E-2</v>
          </cell>
          <cell r="H1225">
            <v>2.8113144327335336E-2</v>
          </cell>
          <cell r="J1225" t="str">
            <v>2014MA</v>
          </cell>
          <cell r="K1225">
            <v>0.47433832199999992</v>
          </cell>
          <cell r="L1225">
            <v>7.3497641000000002E-2</v>
          </cell>
          <cell r="M1225">
            <v>0.45216403700000002</v>
          </cell>
          <cell r="U1225" t="str">
            <v>2014MA</v>
          </cell>
          <cell r="V1225">
            <v>0.31419575799999999</v>
          </cell>
          <cell r="W1225">
            <v>3.0175387000000001E-2</v>
          </cell>
          <cell r="X1225">
            <v>0.18928197099999999</v>
          </cell>
          <cell r="Y1225">
            <v>0.14470469499999999</v>
          </cell>
          <cell r="Z1225">
            <v>0.32164218900000002</v>
          </cell>
          <cell r="AB1225" t="str">
            <v>2014MA</v>
          </cell>
          <cell r="AC1225">
            <v>0</v>
          </cell>
          <cell r="AD1225">
            <v>0</v>
          </cell>
          <cell r="AE1225">
            <v>0.05</v>
          </cell>
          <cell r="AF1225">
            <v>0.95</v>
          </cell>
        </row>
        <row r="1226">
          <cell r="B1226" t="str">
            <v>2014MI</v>
          </cell>
          <cell r="C1226">
            <v>0.21592740095911189</v>
          </cell>
          <cell r="D1226">
            <v>0.33044604004991018</v>
          </cell>
          <cell r="E1226">
            <v>5.8998863632555826E-2</v>
          </cell>
          <cell r="F1226">
            <v>0.32074430847532459</v>
          </cell>
          <cell r="G1226">
            <v>3.4929675483950956E-2</v>
          </cell>
          <cell r="H1226">
            <v>3.8953711399146676E-2</v>
          </cell>
          <cell r="J1226" t="str">
            <v>2014MI</v>
          </cell>
          <cell r="K1226">
            <v>0.90607146100000002</v>
          </cell>
          <cell r="L1226">
            <v>3.4929675E-2</v>
          </cell>
          <cell r="M1226">
            <v>5.8998863999999998E-2</v>
          </cell>
          <cell r="U1226" t="str">
            <v>2014MI</v>
          </cell>
          <cell r="V1226">
            <v>4.5127237000000001E-2</v>
          </cell>
          <cell r="W1226">
            <v>5.0500046999999999E-2</v>
          </cell>
          <cell r="X1226">
            <v>0.254352099</v>
          </cell>
          <cell r="Y1226">
            <v>0.17319266699999999</v>
          </cell>
          <cell r="Z1226">
            <v>0.47682794899999997</v>
          </cell>
          <cell r="AB1226" t="str">
            <v>2014MI</v>
          </cell>
          <cell r="AC1226">
            <v>0</v>
          </cell>
          <cell r="AD1226">
            <v>0</v>
          </cell>
          <cell r="AE1226">
            <v>0.02</v>
          </cell>
          <cell r="AF1226">
            <v>0.98</v>
          </cell>
        </row>
        <row r="1227">
          <cell r="B1227" t="str">
            <v>2014MN</v>
          </cell>
          <cell r="C1227">
            <v>0.11559741536790068</v>
          </cell>
          <cell r="D1227">
            <v>0.23915415867765383</v>
          </cell>
          <cell r="E1227">
            <v>0.10052931481156221</v>
          </cell>
          <cell r="F1227">
            <v>0.43822851849088174</v>
          </cell>
          <cell r="G1227">
            <v>5.9517355535203494E-2</v>
          </cell>
          <cell r="H1227">
            <v>4.697323711679801E-2</v>
          </cell>
          <cell r="J1227" t="str">
            <v>2014MN</v>
          </cell>
          <cell r="K1227">
            <v>0.83995332899999997</v>
          </cell>
          <cell r="L1227">
            <v>5.9517356E-2</v>
          </cell>
          <cell r="M1227">
            <v>0.10052931499999999</v>
          </cell>
          <cell r="U1227" t="str">
            <v>2014MN</v>
          </cell>
          <cell r="V1227">
            <v>1.5145339000000001E-2</v>
          </cell>
          <cell r="W1227">
            <v>5.1986831999999997E-2</v>
          </cell>
          <cell r="X1227">
            <v>0.262445557</v>
          </cell>
          <cell r="Y1227">
            <v>0.17896024199999999</v>
          </cell>
          <cell r="Z1227">
            <v>0.49146202900000002</v>
          </cell>
          <cell r="AB1227" t="str">
            <v>2014MN</v>
          </cell>
          <cell r="AC1227">
            <v>0</v>
          </cell>
          <cell r="AD1227">
            <v>0</v>
          </cell>
          <cell r="AE1227">
            <v>0</v>
          </cell>
          <cell r="AF1227">
            <v>1</v>
          </cell>
        </row>
        <row r="1228">
          <cell r="B1228" t="str">
            <v>2014MS</v>
          </cell>
          <cell r="C1228">
            <v>0.10416334210611014</v>
          </cell>
          <cell r="D1228">
            <v>7.2829933678422776E-2</v>
          </cell>
          <cell r="E1228">
            <v>0.14929269604113307</v>
          </cell>
          <cell r="F1228">
            <v>0.10019278631941281</v>
          </cell>
          <cell r="G1228">
            <v>0.56868226150598644</v>
          </cell>
          <cell r="H1228">
            <v>4.838980348934833E-3</v>
          </cell>
          <cell r="J1228" t="str">
            <v>2014MS</v>
          </cell>
          <cell r="K1228">
            <v>0.28202504199999989</v>
          </cell>
          <cell r="L1228">
            <v>0.56868226200000005</v>
          </cell>
          <cell r="M1228">
            <v>0.149292696</v>
          </cell>
          <cell r="U1228" t="str">
            <v>2014MS</v>
          </cell>
          <cell r="V1228">
            <v>2.1100625000000001E-2</v>
          </cell>
          <cell r="W1228">
            <v>3.6418512E-2</v>
          </cell>
          <cell r="X1228">
            <v>6.0129593000000002E-2</v>
          </cell>
          <cell r="Y1228">
            <v>0.574366987</v>
          </cell>
          <cell r="Z1228">
            <v>0.30798428300000003</v>
          </cell>
          <cell r="AB1228" t="str">
            <v>2014MS</v>
          </cell>
          <cell r="AC1228">
            <v>0</v>
          </cell>
          <cell r="AD1228">
            <v>0</v>
          </cell>
          <cell r="AE1228">
            <v>0.6</v>
          </cell>
          <cell r="AF1228">
            <v>0.4</v>
          </cell>
        </row>
        <row r="1229">
          <cell r="B1229" t="str">
            <v>2014MO</v>
          </cell>
          <cell r="C1229">
            <v>6.4925479522277466E-2</v>
          </cell>
          <cell r="D1229">
            <v>0.18170303563698134</v>
          </cell>
          <cell r="E1229">
            <v>0.14337282997597614</v>
          </cell>
          <cell r="F1229">
            <v>0.47880340852502545</v>
          </cell>
          <cell r="G1229">
            <v>8.4882421727070459E-2</v>
          </cell>
          <cell r="H1229">
            <v>4.6312824612669105E-2</v>
          </cell>
          <cell r="J1229" t="str">
            <v>2014MO</v>
          </cell>
          <cell r="K1229">
            <v>0.77174474799999992</v>
          </cell>
          <cell r="L1229">
            <v>8.4882421999999999E-2</v>
          </cell>
          <cell r="M1229">
            <v>0.14337283000000001</v>
          </cell>
          <cell r="U1229" t="str">
            <v>2014MO</v>
          </cell>
          <cell r="V1229">
            <v>2.998994E-2</v>
          </cell>
          <cell r="W1229">
            <v>4.5757142000000001E-2</v>
          </cell>
          <cell r="X1229">
            <v>0.27926039899999999</v>
          </cell>
          <cell r="Y1229">
            <v>0.13775391300000001</v>
          </cell>
          <cell r="Z1229">
            <v>0.50723860600000004</v>
          </cell>
          <cell r="AB1229" t="str">
            <v>2014MO</v>
          </cell>
          <cell r="AC1229">
            <v>0</v>
          </cell>
          <cell r="AD1229">
            <v>0</v>
          </cell>
          <cell r="AE1229">
            <v>0</v>
          </cell>
          <cell r="AF1229">
            <v>1</v>
          </cell>
        </row>
        <row r="1230">
          <cell r="B1230" t="str">
            <v>2014MT</v>
          </cell>
          <cell r="C1230">
            <v>0.35597781750083307</v>
          </cell>
          <cell r="D1230">
            <v>0.25924389885240834</v>
          </cell>
          <cell r="E1230">
            <v>4.3797789125912777E-2</v>
          </cell>
          <cell r="F1230">
            <v>0.25058080537727367</v>
          </cell>
          <cell r="G1230">
            <v>2.5930034358127463E-2</v>
          </cell>
          <cell r="H1230">
            <v>6.4469654785444572E-2</v>
          </cell>
          <cell r="J1230" t="str">
            <v>2014MT</v>
          </cell>
          <cell r="K1230">
            <v>0.93027217699999998</v>
          </cell>
          <cell r="L1230">
            <v>2.5930034000000001E-2</v>
          </cell>
          <cell r="M1230">
            <v>4.3797788999999997E-2</v>
          </cell>
          <cell r="U1230" t="str">
            <v>2014MT</v>
          </cell>
          <cell r="V1230">
            <v>6.0520032000000001E-2</v>
          </cell>
          <cell r="W1230">
            <v>5.1214043000000001E-2</v>
          </cell>
          <cell r="X1230">
            <v>0.24859647000000001</v>
          </cell>
          <cell r="Y1230">
            <v>0.16530719099999999</v>
          </cell>
          <cell r="Z1230">
            <v>0.47436226399999998</v>
          </cell>
          <cell r="AB1230" t="str">
            <v>2014MT</v>
          </cell>
          <cell r="AC1230">
            <v>0</v>
          </cell>
          <cell r="AD1230">
            <v>0</v>
          </cell>
          <cell r="AE1230">
            <v>0.6</v>
          </cell>
          <cell r="AF1230">
            <v>0.4</v>
          </cell>
        </row>
        <row r="1231">
          <cell r="B1231" t="str">
            <v>2014NE</v>
          </cell>
          <cell r="C1231">
            <v>0.21260954807532403</v>
          </cell>
          <cell r="D1231">
            <v>0.30324255962083846</v>
          </cell>
          <cell r="E1231">
            <v>6.1277054134417128E-2</v>
          </cell>
          <cell r="F1231">
            <v>0.34696077142199511</v>
          </cell>
          <cell r="G1231">
            <v>3.6278454935301678E-2</v>
          </cell>
          <cell r="H1231">
            <v>3.9631611812123581E-2</v>
          </cell>
          <cell r="J1231" t="str">
            <v>2014NE</v>
          </cell>
          <cell r="K1231">
            <v>0.90244449100000002</v>
          </cell>
          <cell r="L1231">
            <v>3.6278455000000001E-2</v>
          </cell>
          <cell r="M1231">
            <v>6.1277053999999997E-2</v>
          </cell>
          <cell r="U1231" t="str">
            <v>2014NE</v>
          </cell>
          <cell r="V1231">
            <v>3.0063880000000001E-2</v>
          </cell>
          <cell r="W1231">
            <v>4.5295173000000001E-2</v>
          </cell>
          <cell r="X1231">
            <v>0.27751980599999998</v>
          </cell>
          <cell r="Y1231">
            <v>0.147715386</v>
          </cell>
          <cell r="Z1231">
            <v>0.49940575500000001</v>
          </cell>
          <cell r="AB1231" t="str">
            <v>2014NE</v>
          </cell>
          <cell r="AC1231">
            <v>0</v>
          </cell>
          <cell r="AD1231">
            <v>0</v>
          </cell>
          <cell r="AE1231">
            <v>0.02</v>
          </cell>
          <cell r="AF1231">
            <v>0.98</v>
          </cell>
        </row>
        <row r="1232">
          <cell r="B1232" t="str">
            <v>2014NV</v>
          </cell>
          <cell r="C1232">
            <v>0.64210148526116029</v>
          </cell>
          <cell r="D1232">
            <v>0.238399883587257</v>
          </cell>
          <cell r="E1232">
            <v>4.1594375177217181E-3</v>
          </cell>
          <cell r="F1232">
            <v>0.10819864870890922</v>
          </cell>
          <cell r="G1232">
            <v>2.4625525602432058E-3</v>
          </cell>
          <cell r="H1232">
            <v>4.677992364708553E-3</v>
          </cell>
          <cell r="J1232" t="str">
            <v>2014NV</v>
          </cell>
          <cell r="K1232">
            <v>0.99337800899999995</v>
          </cell>
          <cell r="L1232">
            <v>2.4625530000000001E-3</v>
          </cell>
          <cell r="M1232">
            <v>4.1594379999999997E-3</v>
          </cell>
          <cell r="U1232" t="str">
            <v>2014NV</v>
          </cell>
          <cell r="V1232">
            <v>0.35004114600000003</v>
          </cell>
          <cell r="W1232">
            <v>2.4048478000000002E-2</v>
          </cell>
          <cell r="X1232">
            <v>3.5747737000000002E-2</v>
          </cell>
          <cell r="Y1232">
            <v>0.38867539400000001</v>
          </cell>
          <cell r="Z1232">
            <v>0.20148724500000001</v>
          </cell>
          <cell r="AB1232" t="str">
            <v>2014NV</v>
          </cell>
          <cell r="AC1232">
            <v>0</v>
          </cell>
          <cell r="AD1232">
            <v>0</v>
          </cell>
          <cell r="AE1232">
            <v>0</v>
          </cell>
          <cell r="AF1232">
            <v>1</v>
          </cell>
        </row>
        <row r="1233">
          <cell r="B1233" t="str">
            <v>2014NH</v>
          </cell>
          <cell r="C1233">
            <v>9.4573445198850817E-2</v>
          </cell>
          <cell r="D1233">
            <v>0.16340842518862655</v>
          </cell>
          <cell r="E1233">
            <v>0.44298025846087286</v>
          </cell>
          <cell r="F1233">
            <v>0.20852129702854144</v>
          </cell>
          <cell r="G1233">
            <v>6.52134304627775E-2</v>
          </cell>
          <cell r="H1233">
            <v>2.5303143660330828E-2</v>
          </cell>
          <cell r="J1233" t="str">
            <v>2014NH</v>
          </cell>
          <cell r="K1233">
            <v>0.49180631200000002</v>
          </cell>
          <cell r="L1233">
            <v>6.5213430000000003E-2</v>
          </cell>
          <cell r="M1233">
            <v>0.44298025800000002</v>
          </cell>
          <cell r="U1233" t="str">
            <v>2014NH</v>
          </cell>
          <cell r="V1233">
            <v>0.56759962799999997</v>
          </cell>
          <cell r="W1233">
            <v>1.9025615999999999E-2</v>
          </cell>
          <cell r="X1233">
            <v>0.119342503</v>
          </cell>
          <cell r="Y1233">
            <v>9.1236478999999995E-2</v>
          </cell>
          <cell r="Z1233">
            <v>0.20279577500000001</v>
          </cell>
          <cell r="AB1233" t="str">
            <v>2014NH</v>
          </cell>
          <cell r="AC1233">
            <v>0</v>
          </cell>
          <cell r="AD1233">
            <v>0</v>
          </cell>
          <cell r="AE1233">
            <v>0.05</v>
          </cell>
          <cell r="AF1233">
            <v>0.95</v>
          </cell>
        </row>
        <row r="1234">
          <cell r="B1234" t="str">
            <v>2014NJ</v>
          </cell>
          <cell r="C1234">
            <v>5.8003576611346738E-2</v>
          </cell>
          <cell r="D1234">
            <v>0.13897871355240557</v>
          </cell>
          <cell r="E1234">
            <v>0.45397029129837874</v>
          </cell>
          <cell r="F1234">
            <v>0.24471653627570109</v>
          </cell>
          <cell r="G1234">
            <v>7.5126969581826603E-2</v>
          </cell>
          <cell r="H1234">
            <v>2.9203912680341212E-2</v>
          </cell>
          <cell r="J1234" t="str">
            <v>2014NJ</v>
          </cell>
          <cell r="K1234">
            <v>0.47090273900000001</v>
          </cell>
          <cell r="L1234">
            <v>7.5126970000000001E-2</v>
          </cell>
          <cell r="M1234">
            <v>0.45397029100000003</v>
          </cell>
          <cell r="U1234" t="str">
            <v>2014NJ</v>
          </cell>
          <cell r="V1234">
            <v>0.30808167400000003</v>
          </cell>
          <cell r="W1234">
            <v>3.3011736E-2</v>
          </cell>
          <cell r="X1234">
            <v>0.18818818500000001</v>
          </cell>
          <cell r="Y1234">
            <v>0.137437002</v>
          </cell>
          <cell r="Z1234">
            <v>0.333281404</v>
          </cell>
          <cell r="AB1234" t="str">
            <v>2014NJ</v>
          </cell>
          <cell r="AC1234">
            <v>0</v>
          </cell>
          <cell r="AD1234">
            <v>0</v>
          </cell>
          <cell r="AE1234">
            <v>0.05</v>
          </cell>
          <cell r="AF1234">
            <v>0.95</v>
          </cell>
        </row>
        <row r="1235">
          <cell r="B1235" t="str">
            <v>2014NM</v>
          </cell>
          <cell r="C1235">
            <v>0.61184589317007076</v>
          </cell>
          <cell r="D1235">
            <v>0.19452029294367307</v>
          </cell>
          <cell r="E1235">
            <v>9.8952813124742175E-2</v>
          </cell>
          <cell r="F1235">
            <v>9.4174237847419268E-2</v>
          </cell>
          <cell r="G1235">
            <v>0</v>
          </cell>
          <cell r="H1235">
            <v>5.0676291409465751E-4</v>
          </cell>
          <cell r="J1235" t="str">
            <v>2014NM</v>
          </cell>
          <cell r="K1235">
            <v>0.90104718699999997</v>
          </cell>
          <cell r="L1235">
            <v>0</v>
          </cell>
          <cell r="M1235">
            <v>9.8952813000000001E-2</v>
          </cell>
          <cell r="U1235" t="str">
            <v>2014NM</v>
          </cell>
          <cell r="V1235">
            <v>0.91655606099999998</v>
          </cell>
          <cell r="W1235">
            <v>3.6715329999999998E-3</v>
          </cell>
          <cell r="X1235">
            <v>2.3030526999999999E-2</v>
          </cell>
          <cell r="Y1235">
            <v>1.7606671000000001E-2</v>
          </cell>
          <cell r="Z1235">
            <v>3.9135206999999998E-2</v>
          </cell>
          <cell r="AB1235" t="str">
            <v>2014NM</v>
          </cell>
          <cell r="AC1235">
            <v>0</v>
          </cell>
          <cell r="AD1235">
            <v>0</v>
          </cell>
          <cell r="AE1235">
            <v>0.6</v>
          </cell>
          <cell r="AF1235">
            <v>0.4</v>
          </cell>
        </row>
        <row r="1236">
          <cell r="B1236" t="str">
            <v>2014NY</v>
          </cell>
          <cell r="C1236">
            <v>9.8408703041683282E-2</v>
          </cell>
          <cell r="D1236">
            <v>0.15954377256245178</v>
          </cell>
          <cell r="E1236">
            <v>0.44849165243165579</v>
          </cell>
          <cell r="F1236">
            <v>0.20287733376538455</v>
          </cell>
          <cell r="G1236">
            <v>7.0184973363303343E-2</v>
          </cell>
          <cell r="H1236">
            <v>2.0493564835521279E-2</v>
          </cell>
          <cell r="J1236" t="str">
            <v>2014NY</v>
          </cell>
          <cell r="K1236">
            <v>0.481323375</v>
          </cell>
          <cell r="L1236">
            <v>7.0184972999999998E-2</v>
          </cell>
          <cell r="M1236">
            <v>0.44849165200000002</v>
          </cell>
          <cell r="U1236" t="str">
            <v>2014NY</v>
          </cell>
          <cell r="V1236">
            <v>0.20441514899999999</v>
          </cell>
          <cell r="W1236">
            <v>4.1815811000000001E-2</v>
          </cell>
          <cell r="X1236">
            <v>0.21220383400000001</v>
          </cell>
          <cell r="Y1236">
            <v>0.145168144</v>
          </cell>
          <cell r="Z1236">
            <v>0.396397061</v>
          </cell>
          <cell r="AB1236" t="str">
            <v>2014NY</v>
          </cell>
          <cell r="AC1236">
            <v>0</v>
          </cell>
          <cell r="AD1236">
            <v>0</v>
          </cell>
          <cell r="AE1236">
            <v>0.05</v>
          </cell>
          <cell r="AF1236">
            <v>0.95</v>
          </cell>
        </row>
        <row r="1237">
          <cell r="B1237" t="str">
            <v>2014NC</v>
          </cell>
          <cell r="C1237">
            <v>6.168821577504751E-2</v>
          </cell>
          <cell r="D1237">
            <v>0.11278426418396881</v>
          </cell>
          <cell r="E1237">
            <v>0.15395779991170949</v>
          </cell>
          <cell r="F1237">
            <v>0.11589101949636353</v>
          </cell>
          <cell r="G1237">
            <v>0.54100750469043157</v>
          </cell>
          <cell r="H1237">
            <v>1.4671195942479084E-2</v>
          </cell>
          <cell r="J1237" t="str">
            <v>2014NC</v>
          </cell>
          <cell r="K1237">
            <v>0.30503469499999991</v>
          </cell>
          <cell r="L1237">
            <v>0.54100750500000006</v>
          </cell>
          <cell r="M1237">
            <v>0.15395780000000001</v>
          </cell>
          <cell r="U1237" t="str">
            <v>2014NC</v>
          </cell>
          <cell r="V1237">
            <v>2.4742549999999999E-3</v>
          </cell>
          <cell r="W1237">
            <v>3.7123251000000003E-2</v>
          </cell>
          <cell r="X1237">
            <v>6.1645423999999997E-2</v>
          </cell>
          <cell r="Y1237">
            <v>0.58464508599999998</v>
          </cell>
          <cell r="Z1237">
            <v>0.31411198400000001</v>
          </cell>
          <cell r="AB1237" t="str">
            <v>2014NC</v>
          </cell>
          <cell r="AC1237">
            <v>0</v>
          </cell>
          <cell r="AD1237">
            <v>0</v>
          </cell>
          <cell r="AE1237">
            <v>0.41899999999999998</v>
          </cell>
          <cell r="AF1237">
            <v>0.58099999999999996</v>
          </cell>
        </row>
        <row r="1238">
          <cell r="B1238" t="str">
            <v>2014ND</v>
          </cell>
          <cell r="C1238">
            <v>0.1196932700797023</v>
          </cell>
          <cell r="D1238">
            <v>0.21866711268457967</v>
          </cell>
          <cell r="E1238">
            <v>0.10978970169096619</v>
          </cell>
          <cell r="F1238">
            <v>0.448028418369537</v>
          </cell>
          <cell r="G1238">
            <v>6.499987314042277E-2</v>
          </cell>
          <cell r="H1238">
            <v>3.8821624034792085E-2</v>
          </cell>
          <cell r="J1238" t="str">
            <v>2014ND</v>
          </cell>
          <cell r="K1238">
            <v>0.82521042499999997</v>
          </cell>
          <cell r="L1238">
            <v>6.4999873E-2</v>
          </cell>
          <cell r="M1238">
            <v>0.109789702</v>
          </cell>
          <cell r="U1238" t="str">
            <v>2014ND</v>
          </cell>
          <cell r="V1238">
            <v>8.8434773999999994E-2</v>
          </cell>
          <cell r="W1238">
            <v>4.7868137999999998E-2</v>
          </cell>
          <cell r="X1238">
            <v>0.243186129</v>
          </cell>
          <cell r="Y1238">
            <v>0.16647603599999999</v>
          </cell>
          <cell r="Z1238">
            <v>0.45403492299999998</v>
          </cell>
          <cell r="AB1238" t="str">
            <v>2014ND</v>
          </cell>
          <cell r="AC1238">
            <v>0</v>
          </cell>
          <cell r="AD1238">
            <v>0</v>
          </cell>
          <cell r="AE1238">
            <v>0.02</v>
          </cell>
          <cell r="AF1238">
            <v>0.98</v>
          </cell>
        </row>
        <row r="1239">
          <cell r="B1239" t="str">
            <v>2014OH</v>
          </cell>
          <cell r="C1239">
            <v>0.10753833947858983</v>
          </cell>
          <cell r="D1239">
            <v>0.22522557822049544</v>
          </cell>
          <cell r="E1239">
            <v>0.13589110116557596</v>
          </cell>
          <cell r="F1239">
            <v>0.4097570212201273</v>
          </cell>
          <cell r="G1239">
            <v>8.0452940491062386E-2</v>
          </cell>
          <cell r="H1239">
            <v>4.1135019424149183E-2</v>
          </cell>
          <cell r="J1239" t="str">
            <v>2014OH</v>
          </cell>
          <cell r="K1239">
            <v>0.78365595900000007</v>
          </cell>
          <cell r="L1239">
            <v>8.0452940000000001E-2</v>
          </cell>
          <cell r="M1239">
            <v>0.13589110099999999</v>
          </cell>
          <cell r="U1239" t="str">
            <v>2014OH</v>
          </cell>
          <cell r="V1239">
            <v>6.6338901000000006E-2</v>
          </cell>
          <cell r="W1239">
            <v>4.3119113000000001E-2</v>
          </cell>
          <cell r="X1239">
            <v>0.26533305600000001</v>
          </cell>
          <cell r="Y1239">
            <v>0.15267545299999999</v>
          </cell>
          <cell r="Z1239">
            <v>0.47253347699999998</v>
          </cell>
          <cell r="AB1239" t="str">
            <v>2014OH</v>
          </cell>
          <cell r="AC1239">
            <v>0</v>
          </cell>
          <cell r="AD1239">
            <v>0</v>
          </cell>
          <cell r="AE1239">
            <v>0</v>
          </cell>
          <cell r="AF1239">
            <v>1</v>
          </cell>
        </row>
        <row r="1240">
          <cell r="B1240" t="str">
            <v>2014OK</v>
          </cell>
          <cell r="C1240">
            <v>0.40296958934788546</v>
          </cell>
          <cell r="D1240">
            <v>0.22528492954061258</v>
          </cell>
          <cell r="E1240">
            <v>6.4896255940651446E-2</v>
          </cell>
          <cell r="F1240">
            <v>0.24738177570149189</v>
          </cell>
          <cell r="G1240">
            <v>0</v>
          </cell>
          <cell r="H1240">
            <v>5.9467449469358676E-2</v>
          </cell>
          <cell r="J1240" t="str">
            <v>2014OK</v>
          </cell>
          <cell r="K1240">
            <v>0.93510374399999996</v>
          </cell>
          <cell r="L1240">
            <v>0</v>
          </cell>
          <cell r="M1240">
            <v>6.4896255999999999E-2</v>
          </cell>
          <cell r="U1240" t="str">
            <v>2014OK</v>
          </cell>
          <cell r="V1240">
            <v>1.2831308E-2</v>
          </cell>
          <cell r="W1240">
            <v>3.6793041999999998E-2</v>
          </cell>
          <cell r="X1240">
            <v>6.2749109999999997E-2</v>
          </cell>
          <cell r="Y1240">
            <v>0.57552135800000004</v>
          </cell>
          <cell r="Z1240">
            <v>0.31210518199999998</v>
          </cell>
          <cell r="AB1240" t="str">
            <v>2014OK</v>
          </cell>
          <cell r="AC1240">
            <v>0</v>
          </cell>
          <cell r="AD1240">
            <v>0</v>
          </cell>
          <cell r="AE1240">
            <v>0.6</v>
          </cell>
          <cell r="AF1240">
            <v>0.4</v>
          </cell>
        </row>
        <row r="1241">
          <cell r="B1241" t="str">
            <v>2014OR</v>
          </cell>
          <cell r="C1241">
            <v>0.43856747008812064</v>
          </cell>
          <cell r="D1241">
            <v>0.20958259090942544</v>
          </cell>
          <cell r="E1241">
            <v>0</v>
          </cell>
          <cell r="F1241">
            <v>0.12862948158709187</v>
          </cell>
          <cell r="G1241">
            <v>0.2018533708975031</v>
          </cell>
          <cell r="H1241">
            <v>2.1367086517858933E-2</v>
          </cell>
          <cell r="J1241" t="str">
            <v>2014OR</v>
          </cell>
          <cell r="K1241">
            <v>0.798146629</v>
          </cell>
          <cell r="L1241">
            <v>0.201853371</v>
          </cell>
          <cell r="M1241">
            <v>0</v>
          </cell>
          <cell r="U1241" t="str">
            <v>2014OR</v>
          </cell>
          <cell r="V1241">
            <v>0.57640796000000005</v>
          </cell>
          <cell r="W1241">
            <v>1.863805E-2</v>
          </cell>
          <cell r="X1241">
            <v>0.116911403</v>
          </cell>
          <cell r="Y1241">
            <v>8.937792E-2</v>
          </cell>
          <cell r="Z1241">
            <v>0.19866466699999999</v>
          </cell>
          <cell r="AB1241" t="str">
            <v>2014OR</v>
          </cell>
          <cell r="AC1241">
            <v>0</v>
          </cell>
          <cell r="AD1241">
            <v>0</v>
          </cell>
          <cell r="AE1241">
            <v>0.25</v>
          </cell>
          <cell r="AF1241">
            <v>0.75</v>
          </cell>
        </row>
        <row r="1242">
          <cell r="B1242" t="str">
            <v>2014PA</v>
          </cell>
          <cell r="C1242">
            <v>4.9624045569858895E-2</v>
          </cell>
          <cell r="D1242">
            <v>0.11712497857538914</v>
          </cell>
          <cell r="E1242">
            <v>0.46874549019831585</v>
          </cell>
          <cell r="F1242">
            <v>0.25230966018477574</v>
          </cell>
          <cell r="G1242">
            <v>8.8454910858433447E-2</v>
          </cell>
          <cell r="H1242">
            <v>2.3740914613226898E-2</v>
          </cell>
          <cell r="J1242" t="str">
            <v>2014PA</v>
          </cell>
          <cell r="K1242">
            <v>0.44279959899999999</v>
          </cell>
          <cell r="L1242">
            <v>8.8454910999999997E-2</v>
          </cell>
          <cell r="M1242">
            <v>0.46874548999999999</v>
          </cell>
          <cell r="U1242" t="str">
            <v>2014PA</v>
          </cell>
          <cell r="V1242">
            <v>5.0102499000000002E-2</v>
          </cell>
          <cell r="W1242">
            <v>4.9409870000000002E-2</v>
          </cell>
          <cell r="X1242">
            <v>0.25392279899999998</v>
          </cell>
          <cell r="Y1242">
            <v>0.17504710600000001</v>
          </cell>
          <cell r="Z1242">
            <v>0.47151772600000003</v>
          </cell>
          <cell r="AB1242" t="str">
            <v>2014PA</v>
          </cell>
          <cell r="AC1242">
            <v>0</v>
          </cell>
          <cell r="AD1242">
            <v>0</v>
          </cell>
          <cell r="AE1242">
            <v>0</v>
          </cell>
          <cell r="AF1242">
            <v>1</v>
          </cell>
        </row>
        <row r="1243">
          <cell r="B1243" t="str">
            <v>2014RI</v>
          </cell>
          <cell r="C1243">
            <v>4.2447025005926793E-2</v>
          </cell>
          <cell r="D1243">
            <v>0.1190174947032642</v>
          </cell>
          <cell r="E1243">
            <v>0.46784468707451643</v>
          </cell>
          <cell r="F1243">
            <v>0.25730854976835782</v>
          </cell>
          <cell r="G1243">
            <v>8.7642343040085183E-2</v>
          </cell>
          <cell r="H1243">
            <v>2.5739900407849584E-2</v>
          </cell>
          <cell r="J1243" t="str">
            <v>2014RI</v>
          </cell>
          <cell r="K1243">
            <v>0.44451297000000001</v>
          </cell>
          <cell r="L1243">
            <v>8.7642342999999998E-2</v>
          </cell>
          <cell r="M1243">
            <v>0.46784468699999998</v>
          </cell>
          <cell r="U1243" t="str">
            <v>2014RI</v>
          </cell>
          <cell r="V1243">
            <v>0.56026879500000004</v>
          </cell>
          <cell r="W1243">
            <v>1.9348173E-2</v>
          </cell>
          <cell r="X1243">
            <v>0.121365813</v>
          </cell>
          <cell r="Y1243">
            <v>9.2783283999999994E-2</v>
          </cell>
          <cell r="Z1243">
            <v>0.20623393500000001</v>
          </cell>
          <cell r="AB1243" t="str">
            <v>2014RI</v>
          </cell>
          <cell r="AC1243">
            <v>0</v>
          </cell>
          <cell r="AD1243">
            <v>0</v>
          </cell>
          <cell r="AE1243">
            <v>0.05</v>
          </cell>
          <cell r="AF1243">
            <v>0.95</v>
          </cell>
        </row>
        <row r="1244">
          <cell r="B1244" t="str">
            <v>2014SC</v>
          </cell>
          <cell r="C1244">
            <v>0.13346180610825578</v>
          </cell>
          <cell r="D1244">
            <v>9.0019723091430845E-2</v>
          </cell>
          <cell r="E1244">
            <v>0.15451296947775242</v>
          </cell>
          <cell r="F1244">
            <v>8.0687406490411034E-2</v>
          </cell>
          <cell r="G1244">
            <v>0.53771407690020812</v>
          </cell>
          <cell r="H1244">
            <v>3.6040179319418398E-3</v>
          </cell>
          <cell r="J1244" t="str">
            <v>2014SC</v>
          </cell>
          <cell r="K1244">
            <v>0.30777295400000004</v>
          </cell>
          <cell r="L1244">
            <v>0.53771407699999996</v>
          </cell>
          <cell r="M1244">
            <v>0.154512969</v>
          </cell>
          <cell r="U1244" t="str">
            <v>2014SC</v>
          </cell>
          <cell r="V1244">
            <v>6.1629585000000001E-2</v>
          </cell>
          <cell r="W1244">
            <v>3.5823032999999997E-2</v>
          </cell>
          <cell r="X1244">
            <v>8.6443989999999998E-2</v>
          </cell>
          <cell r="Y1244">
            <v>0.50014727299999995</v>
          </cell>
          <cell r="Z1244">
            <v>0.31595611899999998</v>
          </cell>
          <cell r="AB1244" t="str">
            <v>2014SC</v>
          </cell>
          <cell r="AC1244">
            <v>0</v>
          </cell>
          <cell r="AD1244">
            <v>0</v>
          </cell>
          <cell r="AE1244">
            <v>0.6</v>
          </cell>
          <cell r="AF1244">
            <v>0.4</v>
          </cell>
        </row>
        <row r="1245">
          <cell r="B1245" t="str">
            <v>2014SD</v>
          </cell>
          <cell r="C1245">
            <v>0.17608951911561277</v>
          </cell>
          <cell r="D1245">
            <v>0.277831368160596</v>
          </cell>
          <cell r="E1245">
            <v>7.9800561964795444E-2</v>
          </cell>
          <cell r="F1245">
            <v>0.37802114842972712</v>
          </cell>
          <cell r="G1245">
            <v>4.724510882492864E-2</v>
          </cell>
          <cell r="H1245">
            <v>4.1012293504340026E-2</v>
          </cell>
          <cell r="J1245" t="str">
            <v>2014SD</v>
          </cell>
          <cell r="K1245">
            <v>0.87295432900000003</v>
          </cell>
          <cell r="L1245">
            <v>4.7245109E-2</v>
          </cell>
          <cell r="M1245">
            <v>7.9800562000000005E-2</v>
          </cell>
          <cell r="U1245" t="str">
            <v>2014SD</v>
          </cell>
          <cell r="V1245">
            <v>3.3046748000000001E-2</v>
          </cell>
          <cell r="W1245">
            <v>5.1157264000000001E-2</v>
          </cell>
          <cell r="X1245">
            <v>0.25755016600000002</v>
          </cell>
          <cell r="Y1245">
            <v>0.17532273200000001</v>
          </cell>
          <cell r="Z1245">
            <v>0.48292308900000003</v>
          </cell>
          <cell r="AB1245" t="str">
            <v>2014SD</v>
          </cell>
          <cell r="AC1245">
            <v>0</v>
          </cell>
          <cell r="AD1245">
            <v>0</v>
          </cell>
          <cell r="AE1245">
            <v>0.02</v>
          </cell>
          <cell r="AF1245">
            <v>0.98</v>
          </cell>
        </row>
        <row r="1246">
          <cell r="B1246" t="str">
            <v>2014TN</v>
          </cell>
          <cell r="C1246">
            <v>4.0519949592449485E-2</v>
          </cell>
          <cell r="D1246">
            <v>8.9664149461423162E-2</v>
          </cell>
          <cell r="E1246">
            <v>0.14551684926860037</v>
          </cell>
          <cell r="F1246">
            <v>0.1170185785979804</v>
          </cell>
          <cell r="G1246">
            <v>0.59108168584929244</v>
          </cell>
          <cell r="H1246">
            <v>1.6198787230254148E-2</v>
          </cell>
          <cell r="J1246" t="str">
            <v>2014TN</v>
          </cell>
          <cell r="K1246">
            <v>0.26340146500000006</v>
          </cell>
          <cell r="L1246">
            <v>0.591081686</v>
          </cell>
          <cell r="M1246">
            <v>0.145516849</v>
          </cell>
          <cell r="U1246" t="str">
            <v>2014TN</v>
          </cell>
          <cell r="V1246">
            <v>0.102875089</v>
          </cell>
          <cell r="W1246">
            <v>3.5402429999999999E-2</v>
          </cell>
          <cell r="X1246">
            <v>0.119077104</v>
          </cell>
          <cell r="Y1246">
            <v>0.41436515099999999</v>
          </cell>
          <cell r="Z1246">
            <v>0.32828022600000001</v>
          </cell>
          <cell r="AB1246" t="str">
            <v>2014TN</v>
          </cell>
          <cell r="AC1246">
            <v>0</v>
          </cell>
          <cell r="AD1246">
            <v>0</v>
          </cell>
          <cell r="AE1246">
            <v>0.05</v>
          </cell>
          <cell r="AF1246">
            <v>0.95</v>
          </cell>
        </row>
        <row r="1247">
          <cell r="B1247" t="str">
            <v>2014TX</v>
          </cell>
          <cell r="C1247">
            <v>0.53305655520056971</v>
          </cell>
          <cell r="D1247">
            <v>0.24233312613196878</v>
          </cell>
          <cell r="E1247">
            <v>7.9791980793249173E-2</v>
          </cell>
          <cell r="F1247">
            <v>0.1278405091499755</v>
          </cell>
          <cell r="G1247">
            <v>0</v>
          </cell>
          <cell r="H1247">
            <v>1.6977828724236681E-2</v>
          </cell>
          <cell r="J1247" t="str">
            <v>2014TX</v>
          </cell>
          <cell r="K1247">
            <v>0.92020801900000004</v>
          </cell>
          <cell r="L1247">
            <v>0</v>
          </cell>
          <cell r="M1247">
            <v>7.9791980999999998E-2</v>
          </cell>
          <cell r="U1247" t="str">
            <v>2014TX</v>
          </cell>
          <cell r="V1247">
            <v>6.9632535999999995E-2</v>
          </cell>
          <cell r="W1247">
            <v>3.4700662E-2</v>
          </cell>
          <cell r="X1247">
            <v>5.9917572000000002E-2</v>
          </cell>
          <cell r="Y1247">
            <v>0.54104196599999999</v>
          </cell>
          <cell r="Z1247">
            <v>0.29470726400000002</v>
          </cell>
          <cell r="AB1247" t="str">
            <v>2014TX</v>
          </cell>
          <cell r="AC1247">
            <v>0</v>
          </cell>
          <cell r="AD1247">
            <v>0</v>
          </cell>
          <cell r="AE1247">
            <v>0.12</v>
          </cell>
          <cell r="AF1247">
            <v>0.88</v>
          </cell>
        </row>
        <row r="1248">
          <cell r="B1248" t="str">
            <v>2014UT</v>
          </cell>
          <cell r="C1248">
            <v>0.51165623152884221</v>
          </cell>
          <cell r="D1248">
            <v>0.26394677259150623</v>
          </cell>
          <cell r="E1248">
            <v>1.3999177703951423E-2</v>
          </cell>
          <cell r="F1248">
            <v>0.17036034814732054</v>
          </cell>
          <cell r="G1248">
            <v>8.2880703819413898E-3</v>
          </cell>
          <cell r="H1248">
            <v>3.1749399646438282E-2</v>
          </cell>
          <cell r="J1248" t="str">
            <v>2014UT</v>
          </cell>
          <cell r="K1248">
            <v>0.97771275199999996</v>
          </cell>
          <cell r="L1248">
            <v>8.2880699999999998E-3</v>
          </cell>
          <cell r="M1248">
            <v>1.3999177999999999E-2</v>
          </cell>
          <cell r="U1248" t="str">
            <v>2014UT</v>
          </cell>
          <cell r="V1248">
            <v>8.6456620000000001E-3</v>
          </cell>
          <cell r="W1248">
            <v>5.5424775000000003E-2</v>
          </cell>
          <cell r="X1248">
            <v>0.260824848</v>
          </cell>
          <cell r="Y1248">
            <v>0.16982515300000001</v>
          </cell>
          <cell r="Z1248">
            <v>0.50527956200000002</v>
          </cell>
          <cell r="AB1248" t="str">
            <v>2014UT</v>
          </cell>
          <cell r="AC1248">
            <v>0</v>
          </cell>
          <cell r="AD1248">
            <v>0</v>
          </cell>
          <cell r="AE1248">
            <v>0.6</v>
          </cell>
          <cell r="AF1248">
            <v>0.4</v>
          </cell>
        </row>
        <row r="1249">
          <cell r="B1249" t="str">
            <v>2014VT</v>
          </cell>
          <cell r="C1249">
            <v>9.9973781354903396E-2</v>
          </cell>
          <cell r="D1249">
            <v>0.17387691112967565</v>
          </cell>
          <cell r="E1249">
            <v>0.44423932842492886</v>
          </cell>
          <cell r="F1249">
            <v>0.19448861844630186</v>
          </cell>
          <cell r="G1249">
            <v>6.6349172232328182E-2</v>
          </cell>
          <cell r="H1249">
            <v>2.1072188411862088E-2</v>
          </cell>
          <cell r="J1249" t="str">
            <v>2014VT</v>
          </cell>
          <cell r="K1249">
            <v>0.4894115</v>
          </cell>
          <cell r="L1249">
            <v>6.6349171999999998E-2</v>
          </cell>
          <cell r="M1249">
            <v>0.44423932799999999</v>
          </cell>
          <cell r="U1249" t="str">
            <v>2014VT</v>
          </cell>
          <cell r="V1249">
            <v>0.86037974299999997</v>
          </cell>
          <cell r="W1249">
            <v>6.1432910000000004E-3</v>
          </cell>
          <cell r="X1249">
            <v>3.8535191000000003E-2</v>
          </cell>
          <cell r="Y1249">
            <v>2.9459874E-2</v>
          </cell>
          <cell r="Z1249">
            <v>6.5481899999999996E-2</v>
          </cell>
          <cell r="AB1249" t="str">
            <v>2014VT</v>
          </cell>
          <cell r="AC1249">
            <v>0</v>
          </cell>
          <cell r="AD1249">
            <v>0</v>
          </cell>
          <cell r="AE1249">
            <v>0.05</v>
          </cell>
          <cell r="AF1249">
            <v>0.95</v>
          </cell>
        </row>
        <row r="1250">
          <cell r="B1250" t="str">
            <v>2014VA</v>
          </cell>
          <cell r="C1250">
            <v>4.4953509549794296E-2</v>
          </cell>
          <cell r="D1250">
            <v>9.339670802378576E-2</v>
          </cell>
          <cell r="E1250">
            <v>0.14844092890155638</v>
          </cell>
          <cell r="F1250">
            <v>0.12331550684410268</v>
          </cell>
          <cell r="G1250">
            <v>0.5737351926100378</v>
          </cell>
          <cell r="H1250">
            <v>1.6158154070723133E-2</v>
          </cell>
          <cell r="J1250" t="str">
            <v>2014VA</v>
          </cell>
          <cell r="K1250">
            <v>0.27782387799999997</v>
          </cell>
          <cell r="L1250">
            <v>0.57373519299999998</v>
          </cell>
          <cell r="M1250">
            <v>0.148440929</v>
          </cell>
          <cell r="U1250" t="str">
            <v>2014VA</v>
          </cell>
          <cell r="V1250">
            <v>3.3934871999999998E-2</v>
          </cell>
          <cell r="W1250">
            <v>3.6244844999999998E-2</v>
          </cell>
          <cell r="X1250">
            <v>6.8933026999999994E-2</v>
          </cell>
          <cell r="Y1250">
            <v>0.550040046</v>
          </cell>
          <cell r="Z1250">
            <v>0.31084721100000001</v>
          </cell>
          <cell r="AB1250" t="str">
            <v>2014VA</v>
          </cell>
          <cell r="AC1250">
            <v>0</v>
          </cell>
          <cell r="AD1250">
            <v>0</v>
          </cell>
          <cell r="AE1250">
            <v>0.05</v>
          </cell>
          <cell r="AF1250">
            <v>0.95</v>
          </cell>
        </row>
        <row r="1251">
          <cell r="B1251" t="str">
            <v>2014WA</v>
          </cell>
          <cell r="C1251">
            <v>0.48742079910802349</v>
          </cell>
          <cell r="D1251">
            <v>0.21961274491816118</v>
          </cell>
          <cell r="E1251">
            <v>0</v>
          </cell>
          <cell r="F1251">
            <v>0.11254281869932067</v>
          </cell>
          <cell r="G1251">
            <v>0.16627589127589129</v>
          </cell>
          <cell r="H1251">
            <v>1.4147745998603438E-2</v>
          </cell>
          <cell r="J1251" t="str">
            <v>2014WA</v>
          </cell>
          <cell r="K1251">
            <v>0.83372410900000005</v>
          </cell>
          <cell r="L1251">
            <v>0.16627589100000001</v>
          </cell>
          <cell r="M1251">
            <v>0</v>
          </cell>
          <cell r="U1251" t="str">
            <v>2014WA</v>
          </cell>
          <cell r="V1251">
            <v>0.37353494700000001</v>
          </cell>
          <cell r="W1251">
            <v>3.1263627000000002E-2</v>
          </cell>
          <cell r="X1251">
            <v>0.168896926</v>
          </cell>
          <cell r="Y1251">
            <v>0.119853577</v>
          </cell>
          <cell r="Z1251">
            <v>0.30645092299999999</v>
          </cell>
          <cell r="AB1251" t="str">
            <v>2014WA</v>
          </cell>
          <cell r="AC1251">
            <v>0</v>
          </cell>
          <cell r="AD1251">
            <v>0</v>
          </cell>
          <cell r="AE1251">
            <v>0.12</v>
          </cell>
          <cell r="AF1251">
            <v>0.88</v>
          </cell>
        </row>
        <row r="1252">
          <cell r="B1252" t="str">
            <v>2014WV</v>
          </cell>
          <cell r="C1252">
            <v>6.8751812683186322E-2</v>
          </cell>
          <cell r="D1252">
            <v>0.15888641455628993</v>
          </cell>
          <cell r="E1252">
            <v>0.44831485363191043</v>
          </cell>
          <cell r="F1252">
            <v>0.22633984896592482</v>
          </cell>
          <cell r="G1252">
            <v>7.0025492327769459E-2</v>
          </cell>
          <cell r="H1252">
            <v>2.7681577834919095E-2</v>
          </cell>
          <cell r="J1252" t="str">
            <v>2014WV</v>
          </cell>
          <cell r="K1252">
            <v>0.48165965399999999</v>
          </cell>
          <cell r="L1252">
            <v>7.0025491999999995E-2</v>
          </cell>
          <cell r="M1252">
            <v>0.44831485399999998</v>
          </cell>
          <cell r="U1252" t="str">
            <v>2014WV</v>
          </cell>
          <cell r="V1252">
            <v>0.57920187499999998</v>
          </cell>
          <cell r="W1252">
            <v>2.1256934000000002E-2</v>
          </cell>
          <cell r="X1252">
            <v>0.113169981</v>
          </cell>
          <cell r="Y1252">
            <v>7.9649016000000003E-2</v>
          </cell>
          <cell r="Z1252">
            <v>0.206722194</v>
          </cell>
          <cell r="AB1252" t="str">
            <v>2014WV</v>
          </cell>
          <cell r="AC1252">
            <v>0</v>
          </cell>
          <cell r="AD1252">
            <v>0</v>
          </cell>
          <cell r="AE1252">
            <v>0.05</v>
          </cell>
          <cell r="AF1252">
            <v>0.95</v>
          </cell>
        </row>
        <row r="1253">
          <cell r="B1253" t="str">
            <v>2014WI</v>
          </cell>
          <cell r="C1253">
            <v>0.12203432597344931</v>
          </cell>
          <cell r="D1253">
            <v>0.23555629715568294</v>
          </cell>
          <cell r="E1253">
            <v>0.11540173598404266</v>
          </cell>
          <cell r="F1253">
            <v>0.42032708364290838</v>
          </cell>
          <cell r="G1253">
            <v>6.8322420806473022E-2</v>
          </cell>
          <cell r="H1253">
            <v>3.8358136437443673E-2</v>
          </cell>
          <cell r="J1253" t="str">
            <v>2014WI</v>
          </cell>
          <cell r="K1253">
            <v>0.816275843</v>
          </cell>
          <cell r="L1253">
            <v>6.8322420999999994E-2</v>
          </cell>
          <cell r="M1253">
            <v>0.115401736</v>
          </cell>
          <cell r="U1253" t="str">
            <v>2014WI</v>
          </cell>
          <cell r="V1253">
            <v>0.12883246500000001</v>
          </cell>
          <cell r="W1253">
            <v>4.2564396999999997E-2</v>
          </cell>
          <cell r="X1253">
            <v>0.23585646199999999</v>
          </cell>
          <cell r="Y1253">
            <v>0.16970626599999999</v>
          </cell>
          <cell r="Z1253">
            <v>0.42304040999999998</v>
          </cell>
          <cell r="AB1253" t="str">
            <v>2014WI</v>
          </cell>
          <cell r="AC1253">
            <v>0</v>
          </cell>
          <cell r="AD1253">
            <v>0</v>
          </cell>
          <cell r="AE1253">
            <v>0.02</v>
          </cell>
          <cell r="AF1253">
            <v>0.98</v>
          </cell>
        </row>
        <row r="1254">
          <cell r="B1254" t="str">
            <v>2014WY</v>
          </cell>
          <cell r="C1254">
            <v>0.29508724522063295</v>
          </cell>
          <cell r="D1254">
            <v>0.23251729773373622</v>
          </cell>
          <cell r="E1254">
            <v>0.12161775942187937</v>
          </cell>
          <cell r="F1254">
            <v>0.2207502472879718</v>
          </cell>
          <cell r="G1254">
            <v>7.2002554085590281E-2</v>
          </cell>
          <cell r="H1254">
            <v>5.8024896250189507E-2</v>
          </cell>
          <cell r="J1254" t="str">
            <v>2014WY</v>
          </cell>
          <cell r="K1254">
            <v>0.80637968699999996</v>
          </cell>
          <cell r="L1254">
            <v>7.2002553999999996E-2</v>
          </cell>
          <cell r="M1254">
            <v>0.12161775900000001</v>
          </cell>
          <cell r="U1254" t="str">
            <v>2014WY</v>
          </cell>
          <cell r="V1254">
            <v>3.2109568999999998E-2</v>
          </cell>
          <cell r="W1254">
            <v>5.3596850000000001E-2</v>
          </cell>
          <cell r="X1254">
            <v>0.25521061499999997</v>
          </cell>
          <cell r="Y1254">
            <v>0.16752597599999999</v>
          </cell>
          <cell r="Z1254">
            <v>0.49155699000000003</v>
          </cell>
          <cell r="AB1254" t="str">
            <v>2014WY</v>
          </cell>
          <cell r="AC1254">
            <v>0</v>
          </cell>
          <cell r="AD1254">
            <v>0</v>
          </cell>
          <cell r="AE1254">
            <v>0.6</v>
          </cell>
          <cell r="AF1254">
            <v>0.4</v>
          </cell>
        </row>
        <row r="1255">
          <cell r="B1255" t="str">
            <v>2015AL</v>
          </cell>
          <cell r="C1255">
            <v>0.17233560131521788</v>
          </cell>
          <cell r="D1255">
            <v>9.7606154746872412E-2</v>
          </cell>
          <cell r="E1255">
            <v>0.16919346457207346</v>
          </cell>
          <cell r="F1255">
            <v>0.1056405325382436</v>
          </cell>
          <cell r="G1255">
            <v>0.45062509818962659</v>
          </cell>
          <cell r="H1255">
            <v>4.5991486379660445E-3</v>
          </cell>
          <cell r="J1255" t="str">
            <v>2015AL</v>
          </cell>
          <cell r="K1255">
            <v>0.38018143700000007</v>
          </cell>
          <cell r="L1255">
            <v>0.450625098</v>
          </cell>
          <cell r="M1255">
            <v>0.16919346499999999</v>
          </cell>
          <cell r="U1255" t="str">
            <v>2015AL</v>
          </cell>
          <cell r="V1255">
            <v>5.3114938E-2</v>
          </cell>
          <cell r="W1255">
            <v>3.6058960000000001E-2</v>
          </cell>
          <cell r="X1255">
            <v>8.4414527000000003E-2</v>
          </cell>
          <cell r="Y1255">
            <v>0.50961295299999998</v>
          </cell>
          <cell r="Z1255">
            <v>0.316798623</v>
          </cell>
          <cell r="AB1255" t="str">
            <v>2015AL</v>
          </cell>
          <cell r="AC1255">
            <v>0</v>
          </cell>
          <cell r="AD1255">
            <v>0</v>
          </cell>
          <cell r="AE1255">
            <v>0.41899999999999998</v>
          </cell>
          <cell r="AF1255">
            <v>0.58099999999999996</v>
          </cell>
        </row>
        <row r="1256">
          <cell r="B1256" t="str">
            <v>2015AK</v>
          </cell>
          <cell r="C1256">
            <v>0.30334484066413492</v>
          </cell>
          <cell r="D1256">
            <v>0.23769937716735701</v>
          </cell>
          <cell r="E1256">
            <v>6.205843688929364E-2</v>
          </cell>
          <cell r="F1256">
            <v>0.28363994741136878</v>
          </cell>
          <cell r="G1256">
            <v>3.6741064625999714E-2</v>
          </cell>
          <cell r="H1256">
            <v>7.6516333241846021E-2</v>
          </cell>
          <cell r="J1256" t="str">
            <v>2015AK</v>
          </cell>
          <cell r="K1256">
            <v>0.90120049800000002</v>
          </cell>
          <cell r="L1256">
            <v>3.6741065000000003E-2</v>
          </cell>
          <cell r="M1256">
            <v>6.2058437000000001E-2</v>
          </cell>
          <cell r="U1256" t="str">
            <v>2015AK</v>
          </cell>
          <cell r="V1256">
            <v>0.52632575500000001</v>
          </cell>
          <cell r="W1256">
            <v>2.0841667000000001E-2</v>
          </cell>
          <cell r="X1256">
            <v>0.130734092</v>
          </cell>
          <cell r="Y1256">
            <v>9.9945266000000005E-2</v>
          </cell>
          <cell r="Z1256">
            <v>0.22215322100000001</v>
          </cell>
          <cell r="AB1256" t="str">
            <v>2015AK</v>
          </cell>
          <cell r="AC1256">
            <v>0</v>
          </cell>
          <cell r="AD1256">
            <v>0</v>
          </cell>
          <cell r="AE1256">
            <v>0.25</v>
          </cell>
          <cell r="AF1256">
            <v>0.75</v>
          </cell>
        </row>
        <row r="1257">
          <cell r="B1257" t="str">
            <v>2015AZ</v>
          </cell>
          <cell r="C1257">
            <v>0.611220636654217</v>
          </cell>
          <cell r="D1257">
            <v>0.19572797693407004</v>
          </cell>
          <cell r="E1257">
            <v>9.865488383487428E-2</v>
          </cell>
          <cell r="F1257">
            <v>9.3890669243012675E-2</v>
          </cell>
          <cell r="G1257">
            <v>0</v>
          </cell>
          <cell r="H1257">
            <v>5.0583333382575558E-4</v>
          </cell>
          <cell r="J1257" t="str">
            <v>2015AZ</v>
          </cell>
          <cell r="K1257">
            <v>0.901345116</v>
          </cell>
          <cell r="L1257">
            <v>0</v>
          </cell>
          <cell r="M1257">
            <v>9.8654883999999998E-2</v>
          </cell>
          <cell r="U1257" t="str">
            <v>2015AZ</v>
          </cell>
          <cell r="V1257">
            <v>0.136592664</v>
          </cell>
          <cell r="W1257">
            <v>3.2171241000000003E-2</v>
          </cell>
          <cell r="X1257">
            <v>5.4596316999999998E-2</v>
          </cell>
          <cell r="Y1257">
            <v>0.50386894699999996</v>
          </cell>
          <cell r="Z1257">
            <v>0.27277083200000002</v>
          </cell>
          <cell r="AB1257" t="str">
            <v>2015AZ</v>
          </cell>
          <cell r="AC1257">
            <v>0</v>
          </cell>
          <cell r="AD1257">
            <v>0</v>
          </cell>
          <cell r="AE1257">
            <v>0.6</v>
          </cell>
          <cell r="AF1257">
            <v>0.4</v>
          </cell>
        </row>
        <row r="1258">
          <cell r="B1258" t="str">
            <v>2015AR</v>
          </cell>
          <cell r="C1258">
            <v>9.6391342329605903E-2</v>
          </cell>
          <cell r="D1258">
            <v>6.6955456596874061E-2</v>
          </cell>
          <cell r="E1258">
            <v>0.14888335780531528</v>
          </cell>
          <cell r="F1258">
            <v>0.11118804006195876</v>
          </cell>
          <cell r="G1258">
            <v>0.57111057531117648</v>
          </cell>
          <cell r="H1258">
            <v>5.4712278950695761E-3</v>
          </cell>
          <cell r="J1258" t="str">
            <v>2015AR</v>
          </cell>
          <cell r="K1258">
            <v>0.28000606700000008</v>
          </cell>
          <cell r="L1258">
            <v>0.57111057499999995</v>
          </cell>
          <cell r="M1258">
            <v>0.14888335799999999</v>
          </cell>
          <cell r="U1258" t="str">
            <v>2015AR</v>
          </cell>
          <cell r="V1258">
            <v>3.9459004999999998E-2</v>
          </cell>
          <cell r="W1258">
            <v>3.7640482000000003E-2</v>
          </cell>
          <cell r="X1258">
            <v>0.11914443199999999</v>
          </cell>
          <cell r="Y1258">
            <v>0.45827781299999998</v>
          </cell>
          <cell r="Z1258">
            <v>0.34547826799999998</v>
          </cell>
          <cell r="AB1258" t="str">
            <v>2015AR</v>
          </cell>
          <cell r="AC1258">
            <v>0</v>
          </cell>
          <cell r="AD1258">
            <v>0</v>
          </cell>
          <cell r="AE1258">
            <v>0</v>
          </cell>
          <cell r="AF1258">
            <v>1</v>
          </cell>
        </row>
        <row r="1259">
          <cell r="B1259" t="str">
            <v>2015CA</v>
          </cell>
          <cell r="C1259">
            <v>0.58081862489107328</v>
          </cell>
          <cell r="D1259">
            <v>0.20720345916912225</v>
          </cell>
          <cell r="E1259">
            <v>0.10801924509893834</v>
          </cell>
          <cell r="F1259">
            <v>9.2431120719429966E-2</v>
          </cell>
          <cell r="G1259">
            <v>9.2523577326630076E-3</v>
          </cell>
          <cell r="H1259">
            <v>2.2751923887731596E-3</v>
          </cell>
          <cell r="J1259" t="str">
            <v>2015CA</v>
          </cell>
          <cell r="K1259">
            <v>0.88272839699999994</v>
          </cell>
          <cell r="L1259">
            <v>9.2523580000000005E-3</v>
          </cell>
          <cell r="M1259">
            <v>0.108019245</v>
          </cell>
          <cell r="U1259" t="str">
            <v>2015CA</v>
          </cell>
          <cell r="V1259">
            <v>0.133799526</v>
          </cell>
          <cell r="W1259">
            <v>3.2941353E-2</v>
          </cell>
          <cell r="X1259">
            <v>7.5800703999999997E-2</v>
          </cell>
          <cell r="Y1259">
            <v>0.46867659099999998</v>
          </cell>
          <cell r="Z1259">
            <v>0.28878182499999999</v>
          </cell>
          <cell r="AB1259" t="str">
            <v>2015CA</v>
          </cell>
          <cell r="AC1259">
            <v>0</v>
          </cell>
          <cell r="AD1259">
            <v>0</v>
          </cell>
          <cell r="AE1259">
            <v>0.12</v>
          </cell>
          <cell r="AF1259">
            <v>0.88</v>
          </cell>
        </row>
        <row r="1260">
          <cell r="B1260" t="str">
            <v>2015CO</v>
          </cell>
          <cell r="C1260">
            <v>0.61667904285785091</v>
          </cell>
          <cell r="D1260">
            <v>0.24212893570430052</v>
          </cell>
          <cell r="E1260">
            <v>1.1092391745361967E-2</v>
          </cell>
          <cell r="F1260">
            <v>0.11516410971780773</v>
          </cell>
          <cell r="G1260">
            <v>6.5671374014829543E-3</v>
          </cell>
          <cell r="H1260">
            <v>8.3683825731959392E-3</v>
          </cell>
          <cell r="J1260" t="str">
            <v>2015CO</v>
          </cell>
          <cell r="K1260">
            <v>0.98234047099999999</v>
          </cell>
          <cell r="L1260">
            <v>6.5671369999999998E-3</v>
          </cell>
          <cell r="M1260">
            <v>1.1092392E-2</v>
          </cell>
          <cell r="U1260" t="str">
            <v>2015CO</v>
          </cell>
          <cell r="V1260">
            <v>2.3378138E-2</v>
          </cell>
          <cell r="W1260">
            <v>5.3880426000000002E-2</v>
          </cell>
          <cell r="X1260">
            <v>0.25772948099999998</v>
          </cell>
          <cell r="Y1260">
            <v>0.169703665</v>
          </cell>
          <cell r="Z1260">
            <v>0.49530828999999998</v>
          </cell>
          <cell r="AB1260" t="str">
            <v>2015CO</v>
          </cell>
          <cell r="AC1260">
            <v>0</v>
          </cell>
          <cell r="AD1260">
            <v>0</v>
          </cell>
          <cell r="AE1260">
            <v>0.6</v>
          </cell>
          <cell r="AF1260">
            <v>0.4</v>
          </cell>
        </row>
        <row r="1261">
          <cell r="B1261" t="str">
            <v>2015CT</v>
          </cell>
          <cell r="C1261">
            <v>0.11572842393252261</v>
          </cell>
          <cell r="D1261">
            <v>0.20119880615243968</v>
          </cell>
          <cell r="E1261">
            <v>0.43233999756560143</v>
          </cell>
          <cell r="F1261">
            <v>0.17234541515575838</v>
          </cell>
          <cell r="G1261">
            <v>5.5615402487630847E-2</v>
          </cell>
          <cell r="H1261">
            <v>2.2771954706046996E-2</v>
          </cell>
          <cell r="J1261" t="str">
            <v>2015CT</v>
          </cell>
          <cell r="K1261">
            <v>0.51204460000000007</v>
          </cell>
          <cell r="L1261">
            <v>5.5615402000000001E-2</v>
          </cell>
          <cell r="M1261">
            <v>0.432339998</v>
          </cell>
          <cell r="U1261" t="str">
            <v>2015CT</v>
          </cell>
          <cell r="V1261">
            <v>0.57363861400000005</v>
          </cell>
          <cell r="W1261">
            <v>1.8759900999999999E-2</v>
          </cell>
          <cell r="X1261">
            <v>0.117675743</v>
          </cell>
          <cell r="Y1261">
            <v>8.9962252000000006E-2</v>
          </cell>
          <cell r="Z1261">
            <v>0.19996348999999999</v>
          </cell>
          <cell r="AB1261" t="str">
            <v>2015CT</v>
          </cell>
          <cell r="AC1261">
            <v>0</v>
          </cell>
          <cell r="AD1261">
            <v>0</v>
          </cell>
          <cell r="AE1261">
            <v>0.05</v>
          </cell>
          <cell r="AF1261">
            <v>0.95</v>
          </cell>
        </row>
        <row r="1262">
          <cell r="B1262" t="str">
            <v>2015DE</v>
          </cell>
          <cell r="C1262">
            <v>0.10201653895343663</v>
          </cell>
          <cell r="D1262">
            <v>0.1910091905838856</v>
          </cell>
          <cell r="E1262">
            <v>0.43707162937473454</v>
          </cell>
          <cell r="F1262">
            <v>0.18637975788177577</v>
          </cell>
          <cell r="G1262">
            <v>5.9883562349419175E-2</v>
          </cell>
          <cell r="H1262">
            <v>2.3639320856748244E-2</v>
          </cell>
          <cell r="J1262" t="str">
            <v>2015DE</v>
          </cell>
          <cell r="K1262">
            <v>0.50304480899999993</v>
          </cell>
          <cell r="L1262">
            <v>5.9883562000000001E-2</v>
          </cell>
          <cell r="M1262">
            <v>0.43707162900000002</v>
          </cell>
          <cell r="U1262" t="str">
            <v>2015DE</v>
          </cell>
          <cell r="V1262">
            <v>0.120253529</v>
          </cell>
          <cell r="W1262">
            <v>4.1631153999999997E-2</v>
          </cell>
          <cell r="X1262">
            <v>0.23964419100000001</v>
          </cell>
          <cell r="Y1262">
            <v>0.17588547500000001</v>
          </cell>
          <cell r="Z1262">
            <v>0.42258565100000001</v>
          </cell>
          <cell r="AB1262" t="str">
            <v>2015DE</v>
          </cell>
          <cell r="AC1262">
            <v>0</v>
          </cell>
          <cell r="AD1262">
            <v>0</v>
          </cell>
          <cell r="AE1262">
            <v>0.05</v>
          </cell>
          <cell r="AF1262">
            <v>0.95</v>
          </cell>
        </row>
        <row r="1263">
          <cell r="B1263" t="str">
            <v>2015FL</v>
          </cell>
          <cell r="C1263">
            <v>0.38654865924430459</v>
          </cell>
          <cell r="D1263">
            <v>0.14503983167997814</v>
          </cell>
          <cell r="E1263">
            <v>0.21616400084919535</v>
          </cell>
          <cell r="F1263">
            <v>7.8997496757044303E-2</v>
          </cell>
          <cell r="G1263">
            <v>0.17198217725399226</v>
          </cell>
          <cell r="H1263">
            <v>1.2678342154852779E-3</v>
          </cell>
          <cell r="J1263" t="str">
            <v>2015FL</v>
          </cell>
          <cell r="K1263">
            <v>0.61185382200000005</v>
          </cell>
          <cell r="L1263">
            <v>0.17198217700000001</v>
          </cell>
          <cell r="M1263">
            <v>0.21616400099999999</v>
          </cell>
          <cell r="U1263" t="str">
            <v>2015FL</v>
          </cell>
          <cell r="V1263">
            <v>0.71166924399999998</v>
          </cell>
          <cell r="W1263">
            <v>1.2686553E-2</v>
          </cell>
          <cell r="X1263">
            <v>7.9579288999999998E-2</v>
          </cell>
          <cell r="Y1263">
            <v>6.0837789000000003E-2</v>
          </cell>
          <cell r="Z1263">
            <v>0.135227124</v>
          </cell>
          <cell r="AB1263" t="str">
            <v>2015FL</v>
          </cell>
          <cell r="AC1263">
            <v>0</v>
          </cell>
          <cell r="AD1263">
            <v>0</v>
          </cell>
          <cell r="AE1263">
            <v>0.41899999999999998</v>
          </cell>
          <cell r="AF1263">
            <v>0.58099999999999996</v>
          </cell>
        </row>
        <row r="1264">
          <cell r="B1264" t="str">
            <v>2015GA</v>
          </cell>
          <cell r="C1264">
            <v>0.20823216155586291</v>
          </cell>
          <cell r="D1264">
            <v>0.11033206176717186</v>
          </cell>
          <cell r="E1264">
            <v>0.17733204084631207</v>
          </cell>
          <cell r="F1264">
            <v>9.7862793659120595E-2</v>
          </cell>
          <cell r="G1264">
            <v>0.40234468997942996</v>
          </cell>
          <cell r="H1264">
            <v>3.8962521921025758E-3</v>
          </cell>
          <cell r="J1264" t="str">
            <v>2015GA</v>
          </cell>
          <cell r="K1264">
            <v>0.42032326900000005</v>
          </cell>
          <cell r="L1264">
            <v>0.40234469</v>
          </cell>
          <cell r="M1264">
            <v>0.177332041</v>
          </cell>
          <cell r="U1264" t="str">
            <v>2015GA</v>
          </cell>
          <cell r="V1264">
            <v>7.8133266000000007E-2</v>
          </cell>
          <cell r="W1264">
            <v>3.5587817000000001E-2</v>
          </cell>
          <cell r="X1264">
            <v>9.7388838000000005E-2</v>
          </cell>
          <cell r="Y1264">
            <v>0.46952270200000001</v>
          </cell>
          <cell r="Z1264">
            <v>0.31936737799999998</v>
          </cell>
          <cell r="AB1264" t="str">
            <v>2015GA</v>
          </cell>
          <cell r="AC1264">
            <v>0</v>
          </cell>
          <cell r="AD1264">
            <v>0</v>
          </cell>
          <cell r="AE1264">
            <v>0.41899999999999998</v>
          </cell>
          <cell r="AF1264">
            <v>0.58099999999999996</v>
          </cell>
        </row>
        <row r="1265">
          <cell r="B1265" t="str">
            <v>2015HI</v>
          </cell>
          <cell r="C1265">
            <v>0.67137224197860923</v>
          </cell>
          <cell r="D1265">
            <v>0.21100034068527662</v>
          </cell>
          <cell r="E1265">
            <v>0</v>
          </cell>
          <cell r="F1265">
            <v>0.10820426646618357</v>
          </cell>
          <cell r="G1265">
            <v>7.5112148308577572E-3</v>
          </cell>
          <cell r="H1265">
            <v>1.9119360390725836E-3</v>
          </cell>
          <cell r="J1265" t="str">
            <v>2015HI</v>
          </cell>
          <cell r="K1265">
            <v>0.99248878500000004</v>
          </cell>
          <cell r="L1265">
            <v>7.5112149999999999E-3</v>
          </cell>
          <cell r="M1265">
            <v>0</v>
          </cell>
          <cell r="U1265" t="str">
            <v>2015HI</v>
          </cell>
          <cell r="V1265">
            <v>0.23216878499999999</v>
          </cell>
          <cell r="W1265">
            <v>3.2904865999999998E-2</v>
          </cell>
          <cell r="X1265">
            <v>0.18414778700000001</v>
          </cell>
          <cell r="Y1265">
            <v>0.21064765399999999</v>
          </cell>
          <cell r="Z1265">
            <v>0.34013090899999998</v>
          </cell>
          <cell r="AB1265" t="str">
            <v>2015HI</v>
          </cell>
          <cell r="AC1265">
            <v>0</v>
          </cell>
          <cell r="AD1265">
            <v>0</v>
          </cell>
          <cell r="AE1265">
            <v>0.25</v>
          </cell>
          <cell r="AF1265">
            <v>0.75</v>
          </cell>
        </row>
        <row r="1266">
          <cell r="B1266" t="str">
            <v>2015ID</v>
          </cell>
          <cell r="C1266">
            <v>0.62850843440764703</v>
          </cell>
          <cell r="D1266">
            <v>0.2329683972033782</v>
          </cell>
          <cell r="E1266">
            <v>6.4436683947772669E-3</v>
          </cell>
          <cell r="F1266">
            <v>0.11961222721284216</v>
          </cell>
          <cell r="G1266">
            <v>3.8149081541218642E-3</v>
          </cell>
          <cell r="H1266">
            <v>8.6523646272333287E-3</v>
          </cell>
          <cell r="J1266" t="str">
            <v>2015ID</v>
          </cell>
          <cell r="K1266">
            <v>0.98974142399999998</v>
          </cell>
          <cell r="L1266">
            <v>3.8149080000000001E-3</v>
          </cell>
          <cell r="M1266">
            <v>6.4436679999999996E-3</v>
          </cell>
          <cell r="U1266" t="str">
            <v>2015ID</v>
          </cell>
          <cell r="V1266">
            <v>0.460837895</v>
          </cell>
          <cell r="W1266">
            <v>2.6974237000000002E-2</v>
          </cell>
          <cell r="X1266">
            <v>0.14528671200000001</v>
          </cell>
          <cell r="Y1266">
            <v>0.102926191</v>
          </cell>
          <cell r="Z1266">
            <v>0.26397496599999998</v>
          </cell>
          <cell r="AB1266" t="str">
            <v>2015ID</v>
          </cell>
          <cell r="AC1266">
            <v>0</v>
          </cell>
          <cell r="AD1266">
            <v>0</v>
          </cell>
          <cell r="AE1266">
            <v>0.6</v>
          </cell>
          <cell r="AF1266">
            <v>0.4</v>
          </cell>
        </row>
        <row r="1267">
          <cell r="B1267" t="str">
            <v>2015IL</v>
          </cell>
          <cell r="C1267">
            <v>0.13175283144497188</v>
          </cell>
          <cell r="D1267">
            <v>0.26046159534668961</v>
          </cell>
          <cell r="E1267">
            <v>8.1383349234931596E-2</v>
          </cell>
          <cell r="F1267">
            <v>0.43207247933210829</v>
          </cell>
          <cell r="G1267">
            <v>4.8182181885357514E-2</v>
          </cell>
          <cell r="H1267">
            <v>4.6147562755941125E-2</v>
          </cell>
          <cell r="J1267" t="str">
            <v>2015IL</v>
          </cell>
          <cell r="K1267">
            <v>0.87043446899999999</v>
          </cell>
          <cell r="L1267">
            <v>4.8182181999999997E-2</v>
          </cell>
          <cell r="M1267">
            <v>8.1383348999999994E-2</v>
          </cell>
          <cell r="U1267" t="str">
            <v>2015IL</v>
          </cell>
          <cell r="V1267">
            <v>2.0186552999999999E-2</v>
          </cell>
          <cell r="W1267">
            <v>4.5739502000000001E-2</v>
          </cell>
          <cell r="X1267">
            <v>0.28028242399999997</v>
          </cell>
          <cell r="Y1267">
            <v>0.149587944</v>
          </cell>
          <cell r="Z1267">
            <v>0.50420357699999996</v>
          </cell>
          <cell r="AB1267" t="str">
            <v>2015IL</v>
          </cell>
          <cell r="AC1267">
            <v>0</v>
          </cell>
          <cell r="AD1267">
            <v>0</v>
          </cell>
          <cell r="AE1267">
            <v>0.02</v>
          </cell>
          <cell r="AF1267">
            <v>0.98</v>
          </cell>
        </row>
        <row r="1268">
          <cell r="B1268" t="str">
            <v>2015IN</v>
          </cell>
          <cell r="C1268">
            <v>0.16189917384296076</v>
          </cell>
          <cell r="D1268">
            <v>0.24163212738244233</v>
          </cell>
          <cell r="E1268">
            <v>0.13392208737361183</v>
          </cell>
          <cell r="F1268">
            <v>0.3491044693998876</v>
          </cell>
          <cell r="G1268">
            <v>7.9287205957511472E-2</v>
          </cell>
          <cell r="H1268">
            <v>3.4154936043586021E-2</v>
          </cell>
          <cell r="J1268" t="str">
            <v>2015IN</v>
          </cell>
          <cell r="K1268">
            <v>0.78679070699999998</v>
          </cell>
          <cell r="L1268">
            <v>7.9287205999999999E-2</v>
          </cell>
          <cell r="M1268">
            <v>0.133922087</v>
          </cell>
          <cell r="U1268" t="str">
            <v>2015IN</v>
          </cell>
          <cell r="V1268">
            <v>2.5489210000000002E-2</v>
          </cell>
          <cell r="W1268">
            <v>4.5536079E-2</v>
          </cell>
          <cell r="X1268">
            <v>0.27893099599999999</v>
          </cell>
          <cell r="Y1268">
            <v>0.14781887399999999</v>
          </cell>
          <cell r="Z1268">
            <v>0.50222484099999998</v>
          </cell>
          <cell r="AB1268" t="str">
            <v>2015IN</v>
          </cell>
          <cell r="AC1268">
            <v>0</v>
          </cell>
          <cell r="AD1268">
            <v>0</v>
          </cell>
          <cell r="AE1268">
            <v>0</v>
          </cell>
          <cell r="AF1268">
            <v>1</v>
          </cell>
        </row>
        <row r="1269">
          <cell r="B1269" t="str">
            <v>2015IA</v>
          </cell>
          <cell r="C1269">
            <v>0.13792614664225575</v>
          </cell>
          <cell r="D1269">
            <v>0.25047757969635848</v>
          </cell>
          <cell r="E1269">
            <v>0.10477197231415941</v>
          </cell>
          <cell r="F1269">
            <v>0.40507493125352922</v>
          </cell>
          <cell r="G1269">
            <v>6.2029177638731184E-2</v>
          </cell>
          <cell r="H1269">
            <v>3.9720192454965969E-2</v>
          </cell>
          <cell r="J1269" t="str">
            <v>2015IA</v>
          </cell>
          <cell r="K1269">
            <v>0.83319885000000005</v>
          </cell>
          <cell r="L1269">
            <v>6.2029177999999997E-2</v>
          </cell>
          <cell r="M1269">
            <v>0.104771972</v>
          </cell>
          <cell r="U1269" t="str">
            <v>2015IA</v>
          </cell>
          <cell r="V1269">
            <v>9.6502570000000006E-3</v>
          </cell>
          <cell r="W1269">
            <v>3.8739974000000003E-2</v>
          </cell>
          <cell r="X1269">
            <v>0.12067557499999999</v>
          </cell>
          <cell r="Y1269">
            <v>0.47629315999999999</v>
          </cell>
          <cell r="Z1269">
            <v>0.35464103499999999</v>
          </cell>
          <cell r="AB1269" t="str">
            <v>2015IA</v>
          </cell>
          <cell r="AC1269">
            <v>0</v>
          </cell>
          <cell r="AD1269">
            <v>0</v>
          </cell>
          <cell r="AE1269">
            <v>0</v>
          </cell>
          <cell r="AF1269">
            <v>1</v>
          </cell>
        </row>
        <row r="1270">
          <cell r="B1270" t="str">
            <v>2015KS</v>
          </cell>
          <cell r="C1270">
            <v>0.28758404285910905</v>
          </cell>
          <cell r="D1270">
            <v>0.32607606753917184</v>
          </cell>
          <cell r="E1270">
            <v>5.1050547933917619E-2</v>
          </cell>
          <cell r="F1270">
            <v>0.27762124338847843</v>
          </cell>
          <cell r="G1270">
            <v>3.0223956239483565E-2</v>
          </cell>
          <cell r="H1270">
            <v>2.7444142039839463E-2</v>
          </cell>
          <cell r="J1270" t="str">
            <v>2015KS</v>
          </cell>
          <cell r="K1270">
            <v>0.91872549599999997</v>
          </cell>
          <cell r="L1270">
            <v>3.0223956E-2</v>
          </cell>
          <cell r="M1270">
            <v>5.1050548000000001E-2</v>
          </cell>
          <cell r="U1270" t="str">
            <v>2015KS</v>
          </cell>
          <cell r="V1270">
            <v>2.3647662E-2</v>
          </cell>
          <cell r="W1270">
            <v>4.6272377000000003E-2</v>
          </cell>
          <cell r="X1270">
            <v>0.28189652199999998</v>
          </cell>
          <cell r="Y1270">
            <v>0.13395533500000001</v>
          </cell>
          <cell r="Z1270">
            <v>0.51422810299999999</v>
          </cell>
          <cell r="AB1270" t="str">
            <v>2015KS</v>
          </cell>
          <cell r="AC1270">
            <v>0</v>
          </cell>
          <cell r="AD1270">
            <v>0</v>
          </cell>
          <cell r="AE1270">
            <v>0.02</v>
          </cell>
          <cell r="AF1270">
            <v>0.98</v>
          </cell>
        </row>
        <row r="1271">
          <cell r="B1271" t="str">
            <v>2015KY</v>
          </cell>
          <cell r="C1271">
            <v>2.3305602928070858E-2</v>
          </cell>
          <cell r="D1271">
            <v>6.2885861766289422E-2</v>
          </cell>
          <cell r="E1271">
            <v>0.14165738300711325</v>
          </cell>
          <cell r="F1271">
            <v>0.14315421990856123</v>
          </cell>
          <cell r="G1271">
            <v>0.61397716539009373</v>
          </cell>
          <cell r="H1271">
            <v>1.5019766999871505E-2</v>
          </cell>
          <cell r="J1271" t="str">
            <v>2015KY</v>
          </cell>
          <cell r="K1271">
            <v>0.24436545200000004</v>
          </cell>
          <cell r="L1271">
            <v>0.61397716499999999</v>
          </cell>
          <cell r="M1271">
            <v>0.141657383</v>
          </cell>
          <cell r="U1271" t="str">
            <v>2015KY</v>
          </cell>
          <cell r="V1271">
            <v>4.9184704000000003E-2</v>
          </cell>
          <cell r="W1271">
            <v>3.7321891000000003E-2</v>
          </cell>
          <cell r="X1271">
            <v>0.11991215400000001</v>
          </cell>
          <cell r="Y1271">
            <v>0.45018075899999999</v>
          </cell>
          <cell r="Z1271">
            <v>0.34340049099999997</v>
          </cell>
          <cell r="AB1271" t="str">
            <v>2015KY</v>
          </cell>
          <cell r="AC1271">
            <v>0</v>
          </cell>
          <cell r="AD1271">
            <v>0</v>
          </cell>
          <cell r="AE1271">
            <v>0.05</v>
          </cell>
          <cell r="AF1271">
            <v>0.95</v>
          </cell>
        </row>
        <row r="1272">
          <cell r="B1272" t="str">
            <v>2015LA</v>
          </cell>
          <cell r="C1272">
            <v>8.7696493950327165E-2</v>
          </cell>
          <cell r="D1272">
            <v>6.4637521135916851E-2</v>
          </cell>
          <cell r="E1272">
            <v>0.14461730665558523</v>
          </cell>
          <cell r="F1272">
            <v>0.10160244529023774</v>
          </cell>
          <cell r="G1272">
            <v>0.59641803499629376</v>
          </cell>
          <cell r="H1272">
            <v>5.0281979716392446E-3</v>
          </cell>
          <cell r="J1272" t="str">
            <v>2015LA</v>
          </cell>
          <cell r="K1272">
            <v>0.25896465800000001</v>
          </cell>
          <cell r="L1272">
            <v>0.59641803500000001</v>
          </cell>
          <cell r="M1272">
            <v>0.144617307</v>
          </cell>
          <cell r="U1272" t="str">
            <v>2015LA</v>
          </cell>
          <cell r="V1272">
            <v>0.53551704700000002</v>
          </cell>
          <cell r="W1272">
            <v>2.0437250000000001E-2</v>
          </cell>
          <cell r="X1272">
            <v>0.12819729499999999</v>
          </cell>
          <cell r="Y1272">
            <v>9.8005903000000005E-2</v>
          </cell>
          <cell r="Z1272">
            <v>0.21784250499999999</v>
          </cell>
          <cell r="AB1272" t="str">
            <v>2015LA</v>
          </cell>
          <cell r="AC1272">
            <v>0</v>
          </cell>
          <cell r="AD1272">
            <v>0</v>
          </cell>
          <cell r="AE1272">
            <v>0.6</v>
          </cell>
          <cell r="AF1272">
            <v>0.4</v>
          </cell>
        </row>
        <row r="1273">
          <cell r="B1273" t="str">
            <v>2015ME</v>
          </cell>
          <cell r="C1273">
            <v>9.3713015315557757E-2</v>
          </cell>
          <cell r="D1273">
            <v>0.17210096338216258</v>
          </cell>
          <cell r="E1273">
            <v>0.44837154081607639</v>
          </cell>
          <cell r="F1273">
            <v>0.19633313267932656</v>
          </cell>
          <cell r="G1273">
            <v>7.0076626899074845E-2</v>
          </cell>
          <cell r="H1273">
            <v>1.9404720907801824E-2</v>
          </cell>
          <cell r="J1273" t="str">
            <v>2015ME</v>
          </cell>
          <cell r="K1273">
            <v>0.48155183200000007</v>
          </cell>
          <cell r="L1273">
            <v>7.0076627000000002E-2</v>
          </cell>
          <cell r="M1273">
            <v>0.44837154099999998</v>
          </cell>
          <cell r="U1273" t="str">
            <v>2015ME</v>
          </cell>
          <cell r="V1273">
            <v>0.72920202000000001</v>
          </cell>
          <cell r="W1273">
            <v>1.1915111000000001E-2</v>
          </cell>
          <cell r="X1273">
            <v>7.4740241999999998E-2</v>
          </cell>
          <cell r="Y1273">
            <v>5.7138373999999999E-2</v>
          </cell>
          <cell r="Z1273">
            <v>0.12700425300000001</v>
          </cell>
          <cell r="AB1273" t="str">
            <v>2015ME</v>
          </cell>
          <cell r="AC1273">
            <v>0</v>
          </cell>
          <cell r="AD1273">
            <v>0</v>
          </cell>
          <cell r="AE1273">
            <v>0.05</v>
          </cell>
          <cell r="AF1273">
            <v>0.95</v>
          </cell>
        </row>
        <row r="1274">
          <cell r="B1274" t="str">
            <v>2015MD</v>
          </cell>
          <cell r="C1274">
            <v>7.6488535055593554E-2</v>
          </cell>
          <cell r="D1274">
            <v>0.15472472257238745</v>
          </cell>
          <cell r="E1274">
            <v>0.44380834258126728</v>
          </cell>
          <cell r="F1274">
            <v>0.22861605738914034</v>
          </cell>
          <cell r="G1274">
            <v>6.5960402236453913E-2</v>
          </cell>
          <cell r="H1274">
            <v>3.0401940165157418E-2</v>
          </cell>
          <cell r="J1274" t="str">
            <v>2015MD</v>
          </cell>
          <cell r="K1274">
            <v>0.49023125499999998</v>
          </cell>
          <cell r="L1274">
            <v>6.5960402000000001E-2</v>
          </cell>
          <cell r="M1274">
            <v>0.44380834299999999</v>
          </cell>
          <cell r="U1274" t="str">
            <v>2015MD</v>
          </cell>
          <cell r="V1274">
            <v>0.21140679400000001</v>
          </cell>
          <cell r="W1274">
            <v>3.7602905999999998E-2</v>
          </cell>
          <cell r="X1274">
            <v>0.214504853</v>
          </cell>
          <cell r="Y1274">
            <v>0.15671048400000001</v>
          </cell>
          <cell r="Z1274">
            <v>0.37977496300000002</v>
          </cell>
          <cell r="AB1274" t="str">
            <v>2015MD</v>
          </cell>
          <cell r="AC1274">
            <v>0</v>
          </cell>
          <cell r="AD1274">
            <v>0</v>
          </cell>
          <cell r="AE1274">
            <v>0.05</v>
          </cell>
          <cell r="AF1274">
            <v>0.95</v>
          </cell>
        </row>
        <row r="1275">
          <cell r="B1275" t="str">
            <v>2015MA</v>
          </cell>
          <cell r="C1275">
            <v>6.1305440163427552E-2</v>
          </cell>
          <cell r="D1275">
            <v>0.14874705508142777</v>
          </cell>
          <cell r="E1275">
            <v>0.45216403673004657</v>
          </cell>
          <cell r="F1275">
            <v>0.23617268276189021</v>
          </cell>
          <cell r="G1275">
            <v>7.3497640935872632E-2</v>
          </cell>
          <cell r="H1275">
            <v>2.8113144327335336E-2</v>
          </cell>
          <cell r="J1275" t="str">
            <v>2015MA</v>
          </cell>
          <cell r="K1275">
            <v>0.47433832199999992</v>
          </cell>
          <cell r="L1275">
            <v>7.3497641000000002E-2</v>
          </cell>
          <cell r="M1275">
            <v>0.45216403700000002</v>
          </cell>
          <cell r="U1275" t="str">
            <v>2015MA</v>
          </cell>
          <cell r="V1275">
            <v>0.31419575799999999</v>
          </cell>
          <cell r="W1275">
            <v>3.0175387000000001E-2</v>
          </cell>
          <cell r="X1275">
            <v>0.18928197099999999</v>
          </cell>
          <cell r="Y1275">
            <v>0.14470469499999999</v>
          </cell>
          <cell r="Z1275">
            <v>0.32164218900000002</v>
          </cell>
          <cell r="AB1275" t="str">
            <v>2015MA</v>
          </cell>
          <cell r="AC1275">
            <v>0</v>
          </cell>
          <cell r="AD1275">
            <v>0</v>
          </cell>
          <cell r="AE1275">
            <v>0.05</v>
          </cell>
          <cell r="AF1275">
            <v>0.95</v>
          </cell>
        </row>
        <row r="1276">
          <cell r="B1276" t="str">
            <v>2015MI</v>
          </cell>
          <cell r="C1276">
            <v>0.21592740095911189</v>
          </cell>
          <cell r="D1276">
            <v>0.33044604004991018</v>
          </cell>
          <cell r="E1276">
            <v>5.8998863632555826E-2</v>
          </cell>
          <cell r="F1276">
            <v>0.32074430847532459</v>
          </cell>
          <cell r="G1276">
            <v>3.4929675483950956E-2</v>
          </cell>
          <cell r="H1276">
            <v>3.8953711399146676E-2</v>
          </cell>
          <cell r="J1276" t="str">
            <v>2015MI</v>
          </cell>
          <cell r="K1276">
            <v>0.90607146100000002</v>
          </cell>
          <cell r="L1276">
            <v>3.4929675E-2</v>
          </cell>
          <cell r="M1276">
            <v>5.8998863999999998E-2</v>
          </cell>
          <cell r="U1276" t="str">
            <v>2015MI</v>
          </cell>
          <cell r="V1276">
            <v>4.5127237000000001E-2</v>
          </cell>
          <cell r="W1276">
            <v>5.0500046999999999E-2</v>
          </cell>
          <cell r="X1276">
            <v>0.254352099</v>
          </cell>
          <cell r="Y1276">
            <v>0.17319266699999999</v>
          </cell>
          <cell r="Z1276">
            <v>0.47682794899999997</v>
          </cell>
          <cell r="AB1276" t="str">
            <v>2015MI</v>
          </cell>
          <cell r="AC1276">
            <v>0</v>
          </cell>
          <cell r="AD1276">
            <v>0</v>
          </cell>
          <cell r="AE1276">
            <v>0.02</v>
          </cell>
          <cell r="AF1276">
            <v>0.98</v>
          </cell>
        </row>
        <row r="1277">
          <cell r="B1277" t="str">
            <v>2015MN</v>
          </cell>
          <cell r="C1277">
            <v>0.11559741536790068</v>
          </cell>
          <cell r="D1277">
            <v>0.23915415867765383</v>
          </cell>
          <cell r="E1277">
            <v>0.10052931481156221</v>
          </cell>
          <cell r="F1277">
            <v>0.43822851849088174</v>
          </cell>
          <cell r="G1277">
            <v>5.9517355535203494E-2</v>
          </cell>
          <cell r="H1277">
            <v>4.697323711679801E-2</v>
          </cell>
          <cell r="J1277" t="str">
            <v>2015MN</v>
          </cell>
          <cell r="K1277">
            <v>0.83995332899999997</v>
          </cell>
          <cell r="L1277">
            <v>5.9517356E-2</v>
          </cell>
          <cell r="M1277">
            <v>0.10052931499999999</v>
          </cell>
          <cell r="U1277" t="str">
            <v>2015MN</v>
          </cell>
          <cell r="V1277">
            <v>1.5145339000000001E-2</v>
          </cell>
          <cell r="W1277">
            <v>5.1986831999999997E-2</v>
          </cell>
          <cell r="X1277">
            <v>0.262445557</v>
          </cell>
          <cell r="Y1277">
            <v>0.17896024199999999</v>
          </cell>
          <cell r="Z1277">
            <v>0.49146202900000002</v>
          </cell>
          <cell r="AB1277" t="str">
            <v>2015MN</v>
          </cell>
          <cell r="AC1277">
            <v>0</v>
          </cell>
          <cell r="AD1277">
            <v>0</v>
          </cell>
          <cell r="AE1277">
            <v>0</v>
          </cell>
          <cell r="AF1277">
            <v>1</v>
          </cell>
        </row>
        <row r="1278">
          <cell r="B1278" t="str">
            <v>2015MS</v>
          </cell>
          <cell r="C1278">
            <v>0.10416334210611014</v>
          </cell>
          <cell r="D1278">
            <v>7.2829933678422776E-2</v>
          </cell>
          <cell r="E1278">
            <v>0.14929269604113307</v>
          </cell>
          <cell r="F1278">
            <v>0.10019278631941281</v>
          </cell>
          <cell r="G1278">
            <v>0.56868226150598644</v>
          </cell>
          <cell r="H1278">
            <v>4.838980348934833E-3</v>
          </cell>
          <cell r="J1278" t="str">
            <v>2015MS</v>
          </cell>
          <cell r="K1278">
            <v>0.28202504199999989</v>
          </cell>
          <cell r="L1278">
            <v>0.56868226200000005</v>
          </cell>
          <cell r="M1278">
            <v>0.149292696</v>
          </cell>
          <cell r="U1278" t="str">
            <v>2015MS</v>
          </cell>
          <cell r="V1278">
            <v>2.1100625000000001E-2</v>
          </cell>
          <cell r="W1278">
            <v>3.6418512E-2</v>
          </cell>
          <cell r="X1278">
            <v>6.0129593000000002E-2</v>
          </cell>
          <cell r="Y1278">
            <v>0.574366987</v>
          </cell>
          <cell r="Z1278">
            <v>0.30798428300000003</v>
          </cell>
          <cell r="AB1278" t="str">
            <v>2015MS</v>
          </cell>
          <cell r="AC1278">
            <v>0</v>
          </cell>
          <cell r="AD1278">
            <v>0</v>
          </cell>
          <cell r="AE1278">
            <v>0.6</v>
          </cell>
          <cell r="AF1278">
            <v>0.4</v>
          </cell>
        </row>
        <row r="1279">
          <cell r="B1279" t="str">
            <v>2015MO</v>
          </cell>
          <cell r="C1279">
            <v>6.4925479522277466E-2</v>
          </cell>
          <cell r="D1279">
            <v>0.18170303563698134</v>
          </cell>
          <cell r="E1279">
            <v>0.14337282997597614</v>
          </cell>
          <cell r="F1279">
            <v>0.47880340852502545</v>
          </cell>
          <cell r="G1279">
            <v>8.4882421727070459E-2</v>
          </cell>
          <cell r="H1279">
            <v>4.6312824612669105E-2</v>
          </cell>
          <cell r="J1279" t="str">
            <v>2015MO</v>
          </cell>
          <cell r="K1279">
            <v>0.77174474799999992</v>
          </cell>
          <cell r="L1279">
            <v>8.4882421999999999E-2</v>
          </cell>
          <cell r="M1279">
            <v>0.14337283000000001</v>
          </cell>
          <cell r="U1279" t="str">
            <v>2015MO</v>
          </cell>
          <cell r="V1279">
            <v>2.998994E-2</v>
          </cell>
          <cell r="W1279">
            <v>4.5757142000000001E-2</v>
          </cell>
          <cell r="X1279">
            <v>0.27926039899999999</v>
          </cell>
          <cell r="Y1279">
            <v>0.13775391300000001</v>
          </cell>
          <cell r="Z1279">
            <v>0.50723860600000004</v>
          </cell>
          <cell r="AB1279" t="str">
            <v>2015MO</v>
          </cell>
          <cell r="AC1279">
            <v>0</v>
          </cell>
          <cell r="AD1279">
            <v>0</v>
          </cell>
          <cell r="AE1279">
            <v>0</v>
          </cell>
          <cell r="AF1279">
            <v>1</v>
          </cell>
        </row>
        <row r="1280">
          <cell r="B1280" t="str">
            <v>2015MT</v>
          </cell>
          <cell r="C1280">
            <v>0.35597781750083307</v>
          </cell>
          <cell r="D1280">
            <v>0.25924389885240834</v>
          </cell>
          <cell r="E1280">
            <v>4.3797789125912777E-2</v>
          </cell>
          <cell r="F1280">
            <v>0.25058080537727367</v>
          </cell>
          <cell r="G1280">
            <v>2.5930034358127463E-2</v>
          </cell>
          <cell r="H1280">
            <v>6.4469654785444572E-2</v>
          </cell>
          <cell r="J1280" t="str">
            <v>2015MT</v>
          </cell>
          <cell r="K1280">
            <v>0.93027217699999998</v>
          </cell>
          <cell r="L1280">
            <v>2.5930034000000001E-2</v>
          </cell>
          <cell r="M1280">
            <v>4.3797788999999997E-2</v>
          </cell>
          <cell r="U1280" t="str">
            <v>2015MT</v>
          </cell>
          <cell r="V1280">
            <v>6.0520032000000001E-2</v>
          </cell>
          <cell r="W1280">
            <v>5.1214043000000001E-2</v>
          </cell>
          <cell r="X1280">
            <v>0.24859647000000001</v>
          </cell>
          <cell r="Y1280">
            <v>0.16530719099999999</v>
          </cell>
          <cell r="Z1280">
            <v>0.47436226399999998</v>
          </cell>
          <cell r="AB1280" t="str">
            <v>2015MT</v>
          </cell>
          <cell r="AC1280">
            <v>0</v>
          </cell>
          <cell r="AD1280">
            <v>0</v>
          </cell>
          <cell r="AE1280">
            <v>0.6</v>
          </cell>
          <cell r="AF1280">
            <v>0.4</v>
          </cell>
        </row>
        <row r="1281">
          <cell r="B1281" t="str">
            <v>2015NE</v>
          </cell>
          <cell r="C1281">
            <v>0.21260954807532403</v>
          </cell>
          <cell r="D1281">
            <v>0.30324255962083846</v>
          </cell>
          <cell r="E1281">
            <v>6.1277054134417128E-2</v>
          </cell>
          <cell r="F1281">
            <v>0.34696077142199511</v>
          </cell>
          <cell r="G1281">
            <v>3.6278454935301678E-2</v>
          </cell>
          <cell r="H1281">
            <v>3.9631611812123581E-2</v>
          </cell>
          <cell r="J1281" t="str">
            <v>2015NE</v>
          </cell>
          <cell r="K1281">
            <v>0.90244449100000002</v>
          </cell>
          <cell r="L1281">
            <v>3.6278455000000001E-2</v>
          </cell>
          <cell r="M1281">
            <v>6.1277053999999997E-2</v>
          </cell>
          <cell r="U1281" t="str">
            <v>2015NE</v>
          </cell>
          <cell r="V1281">
            <v>3.0063880000000001E-2</v>
          </cell>
          <cell r="W1281">
            <v>4.5295173000000001E-2</v>
          </cell>
          <cell r="X1281">
            <v>0.27751980599999998</v>
          </cell>
          <cell r="Y1281">
            <v>0.147715386</v>
          </cell>
          <cell r="Z1281">
            <v>0.49940575500000001</v>
          </cell>
          <cell r="AB1281" t="str">
            <v>2015NE</v>
          </cell>
          <cell r="AC1281">
            <v>0</v>
          </cell>
          <cell r="AD1281">
            <v>0</v>
          </cell>
          <cell r="AE1281">
            <v>0.02</v>
          </cell>
          <cell r="AF1281">
            <v>0.98</v>
          </cell>
        </row>
        <row r="1282">
          <cell r="B1282" t="str">
            <v>2015NV</v>
          </cell>
          <cell r="C1282">
            <v>0.64210148526116029</v>
          </cell>
          <cell r="D1282">
            <v>0.238399883587257</v>
          </cell>
          <cell r="E1282">
            <v>4.1594375177217181E-3</v>
          </cell>
          <cell r="F1282">
            <v>0.10819864870890922</v>
          </cell>
          <cell r="G1282">
            <v>2.4625525602432058E-3</v>
          </cell>
          <cell r="H1282">
            <v>4.677992364708553E-3</v>
          </cell>
          <cell r="J1282" t="str">
            <v>2015NV</v>
          </cell>
          <cell r="K1282">
            <v>0.99337800899999995</v>
          </cell>
          <cell r="L1282">
            <v>2.4625530000000001E-3</v>
          </cell>
          <cell r="M1282">
            <v>4.1594379999999997E-3</v>
          </cell>
          <cell r="U1282" t="str">
            <v>2015NV</v>
          </cell>
          <cell r="V1282">
            <v>0.35004114600000003</v>
          </cell>
          <cell r="W1282">
            <v>2.4048478000000002E-2</v>
          </cell>
          <cell r="X1282">
            <v>3.5747737000000002E-2</v>
          </cell>
          <cell r="Y1282">
            <v>0.38867539400000001</v>
          </cell>
          <cell r="Z1282">
            <v>0.20148724500000001</v>
          </cell>
          <cell r="AB1282" t="str">
            <v>2015NV</v>
          </cell>
          <cell r="AC1282">
            <v>0</v>
          </cell>
          <cell r="AD1282">
            <v>0</v>
          </cell>
          <cell r="AE1282">
            <v>0</v>
          </cell>
          <cell r="AF1282">
            <v>1</v>
          </cell>
        </row>
        <row r="1283">
          <cell r="B1283" t="str">
            <v>2015NH</v>
          </cell>
          <cell r="C1283">
            <v>9.4573445198850817E-2</v>
          </cell>
          <cell r="D1283">
            <v>0.16340842518862655</v>
          </cell>
          <cell r="E1283">
            <v>0.44298025846087286</v>
          </cell>
          <cell r="F1283">
            <v>0.20852129702854144</v>
          </cell>
          <cell r="G1283">
            <v>6.52134304627775E-2</v>
          </cell>
          <cell r="H1283">
            <v>2.5303143660330828E-2</v>
          </cell>
          <cell r="J1283" t="str">
            <v>2015NH</v>
          </cell>
          <cell r="K1283">
            <v>0.49180631200000002</v>
          </cell>
          <cell r="L1283">
            <v>6.5213430000000003E-2</v>
          </cell>
          <cell r="M1283">
            <v>0.44298025800000002</v>
          </cell>
          <cell r="U1283" t="str">
            <v>2015NH</v>
          </cell>
          <cell r="V1283">
            <v>0.56759962799999997</v>
          </cell>
          <cell r="W1283">
            <v>1.9025615999999999E-2</v>
          </cell>
          <cell r="X1283">
            <v>0.119342503</v>
          </cell>
          <cell r="Y1283">
            <v>9.1236478999999995E-2</v>
          </cell>
          <cell r="Z1283">
            <v>0.20279577500000001</v>
          </cell>
          <cell r="AB1283" t="str">
            <v>2015NH</v>
          </cell>
          <cell r="AC1283">
            <v>0</v>
          </cell>
          <cell r="AD1283">
            <v>0</v>
          </cell>
          <cell r="AE1283">
            <v>0.05</v>
          </cell>
          <cell r="AF1283">
            <v>0.95</v>
          </cell>
        </row>
        <row r="1284">
          <cell r="B1284" t="str">
            <v>2015NJ</v>
          </cell>
          <cell r="C1284">
            <v>5.8003576611346738E-2</v>
          </cell>
          <cell r="D1284">
            <v>0.13897871355240557</v>
          </cell>
          <cell r="E1284">
            <v>0.45397029129837874</v>
          </cell>
          <cell r="F1284">
            <v>0.24471653627570109</v>
          </cell>
          <cell r="G1284">
            <v>7.5126969581826603E-2</v>
          </cell>
          <cell r="H1284">
            <v>2.9203912680341212E-2</v>
          </cell>
          <cell r="J1284" t="str">
            <v>2015NJ</v>
          </cell>
          <cell r="K1284">
            <v>0.47090273900000001</v>
          </cell>
          <cell r="L1284">
            <v>7.5126970000000001E-2</v>
          </cell>
          <cell r="M1284">
            <v>0.45397029100000003</v>
          </cell>
          <cell r="U1284" t="str">
            <v>2015NJ</v>
          </cell>
          <cell r="V1284">
            <v>0.30808167400000003</v>
          </cell>
          <cell r="W1284">
            <v>3.3011736E-2</v>
          </cell>
          <cell r="X1284">
            <v>0.18818818500000001</v>
          </cell>
          <cell r="Y1284">
            <v>0.137437002</v>
          </cell>
          <cell r="Z1284">
            <v>0.333281404</v>
          </cell>
          <cell r="AB1284" t="str">
            <v>2015NJ</v>
          </cell>
          <cell r="AC1284">
            <v>0</v>
          </cell>
          <cell r="AD1284">
            <v>0</v>
          </cell>
          <cell r="AE1284">
            <v>0.05</v>
          </cell>
          <cell r="AF1284">
            <v>0.95</v>
          </cell>
        </row>
        <row r="1285">
          <cell r="B1285" t="str">
            <v>2015NM</v>
          </cell>
          <cell r="C1285">
            <v>0.61184589317007076</v>
          </cell>
          <cell r="D1285">
            <v>0.19452029294367307</v>
          </cell>
          <cell r="E1285">
            <v>9.8952813124742175E-2</v>
          </cell>
          <cell r="F1285">
            <v>9.4174237847419268E-2</v>
          </cell>
          <cell r="G1285">
            <v>0</v>
          </cell>
          <cell r="H1285">
            <v>5.0676291409465751E-4</v>
          </cell>
          <cell r="J1285" t="str">
            <v>2015NM</v>
          </cell>
          <cell r="K1285">
            <v>0.90104718699999997</v>
          </cell>
          <cell r="L1285">
            <v>0</v>
          </cell>
          <cell r="M1285">
            <v>9.8952813000000001E-2</v>
          </cell>
          <cell r="U1285" t="str">
            <v>2015NM</v>
          </cell>
          <cell r="V1285">
            <v>0.91655606099999998</v>
          </cell>
          <cell r="W1285">
            <v>3.6715329999999998E-3</v>
          </cell>
          <cell r="X1285">
            <v>2.3030526999999999E-2</v>
          </cell>
          <cell r="Y1285">
            <v>1.7606671000000001E-2</v>
          </cell>
          <cell r="Z1285">
            <v>3.9135206999999998E-2</v>
          </cell>
          <cell r="AB1285" t="str">
            <v>2015NM</v>
          </cell>
          <cell r="AC1285">
            <v>0</v>
          </cell>
          <cell r="AD1285">
            <v>0</v>
          </cell>
          <cell r="AE1285">
            <v>0.6</v>
          </cell>
          <cell r="AF1285">
            <v>0.4</v>
          </cell>
        </row>
        <row r="1286">
          <cell r="B1286" t="str">
            <v>2015NY</v>
          </cell>
          <cell r="C1286">
            <v>9.8408703041683282E-2</v>
          </cell>
          <cell r="D1286">
            <v>0.15954377256245178</v>
          </cell>
          <cell r="E1286">
            <v>0.44849165243165579</v>
          </cell>
          <cell r="F1286">
            <v>0.20287733376538455</v>
          </cell>
          <cell r="G1286">
            <v>7.0184973363303343E-2</v>
          </cell>
          <cell r="H1286">
            <v>2.0493564835521279E-2</v>
          </cell>
          <cell r="J1286" t="str">
            <v>2015NY</v>
          </cell>
          <cell r="K1286">
            <v>0.481323375</v>
          </cell>
          <cell r="L1286">
            <v>7.0184972999999998E-2</v>
          </cell>
          <cell r="M1286">
            <v>0.44849165200000002</v>
          </cell>
          <cell r="U1286" t="str">
            <v>2015NY</v>
          </cell>
          <cell r="V1286">
            <v>0.20441514899999999</v>
          </cell>
          <cell r="W1286">
            <v>4.1815811000000001E-2</v>
          </cell>
          <cell r="X1286">
            <v>0.21220383400000001</v>
          </cell>
          <cell r="Y1286">
            <v>0.145168144</v>
          </cell>
          <cell r="Z1286">
            <v>0.396397061</v>
          </cell>
          <cell r="AB1286" t="str">
            <v>2015NY</v>
          </cell>
          <cell r="AC1286">
            <v>0</v>
          </cell>
          <cell r="AD1286">
            <v>0</v>
          </cell>
          <cell r="AE1286">
            <v>0.05</v>
          </cell>
          <cell r="AF1286">
            <v>0.95</v>
          </cell>
        </row>
        <row r="1287">
          <cell r="B1287" t="str">
            <v>2015NC</v>
          </cell>
          <cell r="C1287">
            <v>6.168821577504751E-2</v>
          </cell>
          <cell r="D1287">
            <v>0.11278426418396881</v>
          </cell>
          <cell r="E1287">
            <v>0.15395779991170949</v>
          </cell>
          <cell r="F1287">
            <v>0.11589101949636353</v>
          </cell>
          <cell r="G1287">
            <v>0.54100750469043157</v>
          </cell>
          <cell r="H1287">
            <v>1.4671195942479084E-2</v>
          </cell>
          <cell r="J1287" t="str">
            <v>2015NC</v>
          </cell>
          <cell r="K1287">
            <v>0.30503469499999991</v>
          </cell>
          <cell r="L1287">
            <v>0.54100750500000006</v>
          </cell>
          <cell r="M1287">
            <v>0.15395780000000001</v>
          </cell>
          <cell r="U1287" t="str">
            <v>2015NC</v>
          </cell>
          <cell r="V1287">
            <v>2.4742549999999999E-3</v>
          </cell>
          <cell r="W1287">
            <v>3.7123251000000003E-2</v>
          </cell>
          <cell r="X1287">
            <v>6.1645423999999997E-2</v>
          </cell>
          <cell r="Y1287">
            <v>0.58464508599999998</v>
          </cell>
          <cell r="Z1287">
            <v>0.31411198400000001</v>
          </cell>
          <cell r="AB1287" t="str">
            <v>2015NC</v>
          </cell>
          <cell r="AC1287">
            <v>0</v>
          </cell>
          <cell r="AD1287">
            <v>0</v>
          </cell>
          <cell r="AE1287">
            <v>0.41899999999999998</v>
          </cell>
          <cell r="AF1287">
            <v>0.58099999999999996</v>
          </cell>
        </row>
        <row r="1288">
          <cell r="B1288" t="str">
            <v>2015ND</v>
          </cell>
          <cell r="C1288">
            <v>0.1196932700797023</v>
          </cell>
          <cell r="D1288">
            <v>0.21866711268457967</v>
          </cell>
          <cell r="E1288">
            <v>0.10978970169096619</v>
          </cell>
          <cell r="F1288">
            <v>0.448028418369537</v>
          </cell>
          <cell r="G1288">
            <v>6.499987314042277E-2</v>
          </cell>
          <cell r="H1288">
            <v>3.8821624034792085E-2</v>
          </cell>
          <cell r="J1288" t="str">
            <v>2015ND</v>
          </cell>
          <cell r="K1288">
            <v>0.82521042499999997</v>
          </cell>
          <cell r="L1288">
            <v>6.4999873E-2</v>
          </cell>
          <cell r="M1288">
            <v>0.109789702</v>
          </cell>
          <cell r="U1288" t="str">
            <v>2015ND</v>
          </cell>
          <cell r="V1288">
            <v>8.8434773999999994E-2</v>
          </cell>
          <cell r="W1288">
            <v>4.7868137999999998E-2</v>
          </cell>
          <cell r="X1288">
            <v>0.243186129</v>
          </cell>
          <cell r="Y1288">
            <v>0.16647603599999999</v>
          </cell>
          <cell r="Z1288">
            <v>0.45403492299999998</v>
          </cell>
          <cell r="AB1288" t="str">
            <v>2015ND</v>
          </cell>
          <cell r="AC1288">
            <v>0</v>
          </cell>
          <cell r="AD1288">
            <v>0</v>
          </cell>
          <cell r="AE1288">
            <v>0.02</v>
          </cell>
          <cell r="AF1288">
            <v>0.98</v>
          </cell>
        </row>
        <row r="1289">
          <cell r="B1289" t="str">
            <v>2015OH</v>
          </cell>
          <cell r="C1289">
            <v>0.10753833947858983</v>
          </cell>
          <cell r="D1289">
            <v>0.22522557822049544</v>
          </cell>
          <cell r="E1289">
            <v>0.13589110116557596</v>
          </cell>
          <cell r="F1289">
            <v>0.4097570212201273</v>
          </cell>
          <cell r="G1289">
            <v>8.0452940491062386E-2</v>
          </cell>
          <cell r="H1289">
            <v>4.1135019424149183E-2</v>
          </cell>
          <cell r="J1289" t="str">
            <v>2015OH</v>
          </cell>
          <cell r="K1289">
            <v>0.78365595900000007</v>
          </cell>
          <cell r="L1289">
            <v>8.0452940000000001E-2</v>
          </cell>
          <cell r="M1289">
            <v>0.13589110099999999</v>
          </cell>
          <cell r="U1289" t="str">
            <v>2015OH</v>
          </cell>
          <cell r="V1289">
            <v>6.6338901000000006E-2</v>
          </cell>
          <cell r="W1289">
            <v>4.3119113000000001E-2</v>
          </cell>
          <cell r="X1289">
            <v>0.26533305600000001</v>
          </cell>
          <cell r="Y1289">
            <v>0.15267545299999999</v>
          </cell>
          <cell r="Z1289">
            <v>0.47253347699999998</v>
          </cell>
          <cell r="AB1289" t="str">
            <v>2015OH</v>
          </cell>
          <cell r="AC1289">
            <v>0</v>
          </cell>
          <cell r="AD1289">
            <v>0</v>
          </cell>
          <cell r="AE1289">
            <v>0</v>
          </cell>
          <cell r="AF1289">
            <v>1</v>
          </cell>
        </row>
        <row r="1290">
          <cell r="B1290" t="str">
            <v>2015OK</v>
          </cell>
          <cell r="C1290">
            <v>0.40296958934788546</v>
          </cell>
          <cell r="D1290">
            <v>0.22528492954061258</v>
          </cell>
          <cell r="E1290">
            <v>6.4896255940651446E-2</v>
          </cell>
          <cell r="F1290">
            <v>0.24738177570149189</v>
          </cell>
          <cell r="G1290">
            <v>0</v>
          </cell>
          <cell r="H1290">
            <v>5.9467449469358676E-2</v>
          </cell>
          <cell r="J1290" t="str">
            <v>2015OK</v>
          </cell>
          <cell r="K1290">
            <v>0.93510374399999996</v>
          </cell>
          <cell r="L1290">
            <v>0</v>
          </cell>
          <cell r="M1290">
            <v>6.4896255999999999E-2</v>
          </cell>
          <cell r="U1290" t="str">
            <v>2015OK</v>
          </cell>
          <cell r="V1290">
            <v>1.2831308E-2</v>
          </cell>
          <cell r="W1290">
            <v>3.6793041999999998E-2</v>
          </cell>
          <cell r="X1290">
            <v>6.2749109999999997E-2</v>
          </cell>
          <cell r="Y1290">
            <v>0.57552135800000004</v>
          </cell>
          <cell r="Z1290">
            <v>0.31210518199999998</v>
          </cell>
          <cell r="AB1290" t="str">
            <v>2015OK</v>
          </cell>
          <cell r="AC1290">
            <v>0</v>
          </cell>
          <cell r="AD1290">
            <v>0</v>
          </cell>
          <cell r="AE1290">
            <v>0.6</v>
          </cell>
          <cell r="AF1290">
            <v>0.4</v>
          </cell>
        </row>
        <row r="1291">
          <cell r="B1291" t="str">
            <v>2015OR</v>
          </cell>
          <cell r="C1291">
            <v>0.43856747008812064</v>
          </cell>
          <cell r="D1291">
            <v>0.20958259090942544</v>
          </cell>
          <cell r="E1291">
            <v>0</v>
          </cell>
          <cell r="F1291">
            <v>0.12862948158709187</v>
          </cell>
          <cell r="G1291">
            <v>0.2018533708975031</v>
          </cell>
          <cell r="H1291">
            <v>2.1367086517858933E-2</v>
          </cell>
          <cell r="J1291" t="str">
            <v>2015OR</v>
          </cell>
          <cell r="K1291">
            <v>0.798146629</v>
          </cell>
          <cell r="L1291">
            <v>0.201853371</v>
          </cell>
          <cell r="M1291">
            <v>0</v>
          </cell>
          <cell r="U1291" t="str">
            <v>2015OR</v>
          </cell>
          <cell r="V1291">
            <v>0.57640796000000005</v>
          </cell>
          <cell r="W1291">
            <v>1.863805E-2</v>
          </cell>
          <cell r="X1291">
            <v>0.116911403</v>
          </cell>
          <cell r="Y1291">
            <v>8.937792E-2</v>
          </cell>
          <cell r="Z1291">
            <v>0.19866466699999999</v>
          </cell>
          <cell r="AB1291" t="str">
            <v>2015OR</v>
          </cell>
          <cell r="AC1291">
            <v>0</v>
          </cell>
          <cell r="AD1291">
            <v>0</v>
          </cell>
          <cell r="AE1291">
            <v>0.25</v>
          </cell>
          <cell r="AF1291">
            <v>0.75</v>
          </cell>
        </row>
        <row r="1292">
          <cell r="B1292" t="str">
            <v>2015PA</v>
          </cell>
          <cell r="C1292">
            <v>4.9624045569858895E-2</v>
          </cell>
          <cell r="D1292">
            <v>0.11712497857538914</v>
          </cell>
          <cell r="E1292">
            <v>0.46874549019831585</v>
          </cell>
          <cell r="F1292">
            <v>0.25230966018477574</v>
          </cell>
          <cell r="G1292">
            <v>8.8454910858433447E-2</v>
          </cell>
          <cell r="H1292">
            <v>2.3740914613226898E-2</v>
          </cell>
          <cell r="J1292" t="str">
            <v>2015PA</v>
          </cell>
          <cell r="K1292">
            <v>0.44279959899999999</v>
          </cell>
          <cell r="L1292">
            <v>8.8454910999999997E-2</v>
          </cell>
          <cell r="M1292">
            <v>0.46874548999999999</v>
          </cell>
          <cell r="U1292" t="str">
            <v>2015PA</v>
          </cell>
          <cell r="V1292">
            <v>5.0102499000000002E-2</v>
          </cell>
          <cell r="W1292">
            <v>4.9409870000000002E-2</v>
          </cell>
          <cell r="X1292">
            <v>0.25392279899999998</v>
          </cell>
          <cell r="Y1292">
            <v>0.17504710600000001</v>
          </cell>
          <cell r="Z1292">
            <v>0.47151772600000003</v>
          </cell>
          <cell r="AB1292" t="str">
            <v>2015PA</v>
          </cell>
          <cell r="AC1292">
            <v>0</v>
          </cell>
          <cell r="AD1292">
            <v>0</v>
          </cell>
          <cell r="AE1292">
            <v>0</v>
          </cell>
          <cell r="AF1292">
            <v>1</v>
          </cell>
        </row>
        <row r="1293">
          <cell r="B1293" t="str">
            <v>2015RI</v>
          </cell>
          <cell r="C1293">
            <v>4.2447025005926793E-2</v>
          </cell>
          <cell r="D1293">
            <v>0.1190174947032642</v>
          </cell>
          <cell r="E1293">
            <v>0.46784468707451643</v>
          </cell>
          <cell r="F1293">
            <v>0.25730854976835782</v>
          </cell>
          <cell r="G1293">
            <v>8.7642343040085183E-2</v>
          </cell>
          <cell r="H1293">
            <v>2.5739900407849584E-2</v>
          </cell>
          <cell r="J1293" t="str">
            <v>2015RI</v>
          </cell>
          <cell r="K1293">
            <v>0.44451297000000001</v>
          </cell>
          <cell r="L1293">
            <v>8.7642342999999998E-2</v>
          </cell>
          <cell r="M1293">
            <v>0.46784468699999998</v>
          </cell>
          <cell r="U1293" t="str">
            <v>2015RI</v>
          </cell>
          <cell r="V1293">
            <v>0.56026879500000004</v>
          </cell>
          <cell r="W1293">
            <v>1.9348173E-2</v>
          </cell>
          <cell r="X1293">
            <v>0.121365813</v>
          </cell>
          <cell r="Y1293">
            <v>9.2783283999999994E-2</v>
          </cell>
          <cell r="Z1293">
            <v>0.20623393500000001</v>
          </cell>
          <cell r="AB1293" t="str">
            <v>2015RI</v>
          </cell>
          <cell r="AC1293">
            <v>0</v>
          </cell>
          <cell r="AD1293">
            <v>0</v>
          </cell>
          <cell r="AE1293">
            <v>0.05</v>
          </cell>
          <cell r="AF1293">
            <v>0.95</v>
          </cell>
        </row>
        <row r="1294">
          <cell r="B1294" t="str">
            <v>2015SC</v>
          </cell>
          <cell r="C1294">
            <v>0.13346180610825578</v>
          </cell>
          <cell r="D1294">
            <v>9.0019723091430845E-2</v>
          </cell>
          <cell r="E1294">
            <v>0.15451296947775242</v>
          </cell>
          <cell r="F1294">
            <v>8.0687406490411034E-2</v>
          </cell>
          <cell r="G1294">
            <v>0.53771407690020812</v>
          </cell>
          <cell r="H1294">
            <v>3.6040179319418398E-3</v>
          </cell>
          <cell r="J1294" t="str">
            <v>2015SC</v>
          </cell>
          <cell r="K1294">
            <v>0.30777295400000004</v>
          </cell>
          <cell r="L1294">
            <v>0.53771407699999996</v>
          </cell>
          <cell r="M1294">
            <v>0.154512969</v>
          </cell>
          <cell r="U1294" t="str">
            <v>2015SC</v>
          </cell>
          <cell r="V1294">
            <v>6.1629585000000001E-2</v>
          </cell>
          <cell r="W1294">
            <v>3.5823032999999997E-2</v>
          </cell>
          <cell r="X1294">
            <v>8.6443989999999998E-2</v>
          </cell>
          <cell r="Y1294">
            <v>0.50014727299999995</v>
          </cell>
          <cell r="Z1294">
            <v>0.31595611899999998</v>
          </cell>
          <cell r="AB1294" t="str">
            <v>2015SC</v>
          </cell>
          <cell r="AC1294">
            <v>0</v>
          </cell>
          <cell r="AD1294">
            <v>0</v>
          </cell>
          <cell r="AE1294">
            <v>0.6</v>
          </cell>
          <cell r="AF1294">
            <v>0.4</v>
          </cell>
        </row>
        <row r="1295">
          <cell r="B1295" t="str">
            <v>2015SD</v>
          </cell>
          <cell r="C1295">
            <v>0.17608951911561277</v>
          </cell>
          <cell r="D1295">
            <v>0.277831368160596</v>
          </cell>
          <cell r="E1295">
            <v>7.9800561964795444E-2</v>
          </cell>
          <cell r="F1295">
            <v>0.37802114842972712</v>
          </cell>
          <cell r="G1295">
            <v>4.724510882492864E-2</v>
          </cell>
          <cell r="H1295">
            <v>4.1012293504340026E-2</v>
          </cell>
          <cell r="J1295" t="str">
            <v>2015SD</v>
          </cell>
          <cell r="K1295">
            <v>0.87295432900000003</v>
          </cell>
          <cell r="L1295">
            <v>4.7245109E-2</v>
          </cell>
          <cell r="M1295">
            <v>7.9800562000000005E-2</v>
          </cell>
          <cell r="U1295" t="str">
            <v>2015SD</v>
          </cell>
          <cell r="V1295">
            <v>3.3046748000000001E-2</v>
          </cell>
          <cell r="W1295">
            <v>5.1157264000000001E-2</v>
          </cell>
          <cell r="X1295">
            <v>0.25755016600000002</v>
          </cell>
          <cell r="Y1295">
            <v>0.17532273200000001</v>
          </cell>
          <cell r="Z1295">
            <v>0.48292308900000003</v>
          </cell>
          <cell r="AB1295" t="str">
            <v>2015SD</v>
          </cell>
          <cell r="AC1295">
            <v>0</v>
          </cell>
          <cell r="AD1295">
            <v>0</v>
          </cell>
          <cell r="AE1295">
            <v>0.02</v>
          </cell>
          <cell r="AF1295">
            <v>0.98</v>
          </cell>
        </row>
        <row r="1296">
          <cell r="B1296" t="str">
            <v>2015TN</v>
          </cell>
          <cell r="C1296">
            <v>4.0519949592449485E-2</v>
          </cell>
          <cell r="D1296">
            <v>8.9664149461423162E-2</v>
          </cell>
          <cell r="E1296">
            <v>0.14551684926860037</v>
          </cell>
          <cell r="F1296">
            <v>0.1170185785979804</v>
          </cell>
          <cell r="G1296">
            <v>0.59108168584929244</v>
          </cell>
          <cell r="H1296">
            <v>1.6198787230254148E-2</v>
          </cell>
          <cell r="J1296" t="str">
            <v>2015TN</v>
          </cell>
          <cell r="K1296">
            <v>0.26340146500000006</v>
          </cell>
          <cell r="L1296">
            <v>0.591081686</v>
          </cell>
          <cell r="M1296">
            <v>0.145516849</v>
          </cell>
          <cell r="U1296" t="str">
            <v>2015TN</v>
          </cell>
          <cell r="V1296">
            <v>0.102875089</v>
          </cell>
          <cell r="W1296">
            <v>3.5402429999999999E-2</v>
          </cell>
          <cell r="X1296">
            <v>0.119077104</v>
          </cell>
          <cell r="Y1296">
            <v>0.41436515099999999</v>
          </cell>
          <cell r="Z1296">
            <v>0.32828022600000001</v>
          </cell>
          <cell r="AB1296" t="str">
            <v>2015TN</v>
          </cell>
          <cell r="AC1296">
            <v>0</v>
          </cell>
          <cell r="AD1296">
            <v>0</v>
          </cell>
          <cell r="AE1296">
            <v>0.05</v>
          </cell>
          <cell r="AF1296">
            <v>0.95</v>
          </cell>
        </row>
        <row r="1297">
          <cell r="B1297" t="str">
            <v>2015TX</v>
          </cell>
          <cell r="C1297">
            <v>0.53305655520056971</v>
          </cell>
          <cell r="D1297">
            <v>0.24233312613196878</v>
          </cell>
          <cell r="E1297">
            <v>7.9791980793249173E-2</v>
          </cell>
          <cell r="F1297">
            <v>0.1278405091499755</v>
          </cell>
          <cell r="G1297">
            <v>0</v>
          </cell>
          <cell r="H1297">
            <v>1.6977828724236681E-2</v>
          </cell>
          <cell r="J1297" t="str">
            <v>2015TX</v>
          </cell>
          <cell r="K1297">
            <v>0.92020801900000004</v>
          </cell>
          <cell r="L1297">
            <v>0</v>
          </cell>
          <cell r="M1297">
            <v>7.9791980999999998E-2</v>
          </cell>
          <cell r="U1297" t="str">
            <v>2015TX</v>
          </cell>
          <cell r="V1297">
            <v>6.9632535999999995E-2</v>
          </cell>
          <cell r="W1297">
            <v>3.4700662E-2</v>
          </cell>
          <cell r="X1297">
            <v>5.9917572000000002E-2</v>
          </cell>
          <cell r="Y1297">
            <v>0.54104196599999999</v>
          </cell>
          <cell r="Z1297">
            <v>0.29470726400000002</v>
          </cell>
          <cell r="AB1297" t="str">
            <v>2015TX</v>
          </cell>
          <cell r="AC1297">
            <v>0</v>
          </cell>
          <cell r="AD1297">
            <v>0</v>
          </cell>
          <cell r="AE1297">
            <v>0.12</v>
          </cell>
          <cell r="AF1297">
            <v>0.88</v>
          </cell>
        </row>
        <row r="1298">
          <cell r="B1298" t="str">
            <v>2015UT</v>
          </cell>
          <cell r="C1298">
            <v>0.51165623152884221</v>
          </cell>
          <cell r="D1298">
            <v>0.26394677259150623</v>
          </cell>
          <cell r="E1298">
            <v>1.3999177703951423E-2</v>
          </cell>
          <cell r="F1298">
            <v>0.17036034814732054</v>
          </cell>
          <cell r="G1298">
            <v>8.2880703819413898E-3</v>
          </cell>
          <cell r="H1298">
            <v>3.1749399646438282E-2</v>
          </cell>
          <cell r="J1298" t="str">
            <v>2015UT</v>
          </cell>
          <cell r="K1298">
            <v>0.97771275199999996</v>
          </cell>
          <cell r="L1298">
            <v>8.2880699999999998E-3</v>
          </cell>
          <cell r="M1298">
            <v>1.3999177999999999E-2</v>
          </cell>
          <cell r="U1298" t="str">
            <v>2015UT</v>
          </cell>
          <cell r="V1298">
            <v>8.6456620000000001E-3</v>
          </cell>
          <cell r="W1298">
            <v>5.5424775000000003E-2</v>
          </cell>
          <cell r="X1298">
            <v>0.260824848</v>
          </cell>
          <cell r="Y1298">
            <v>0.16982515300000001</v>
          </cell>
          <cell r="Z1298">
            <v>0.50527956200000002</v>
          </cell>
          <cell r="AB1298" t="str">
            <v>2015UT</v>
          </cell>
          <cell r="AC1298">
            <v>0</v>
          </cell>
          <cell r="AD1298">
            <v>0</v>
          </cell>
          <cell r="AE1298">
            <v>0.6</v>
          </cell>
          <cell r="AF1298">
            <v>0.4</v>
          </cell>
        </row>
        <row r="1299">
          <cell r="B1299" t="str">
            <v>2015VT</v>
          </cell>
          <cell r="C1299">
            <v>9.9973781354903396E-2</v>
          </cell>
          <cell r="D1299">
            <v>0.17387691112967565</v>
          </cell>
          <cell r="E1299">
            <v>0.44423932842492886</v>
          </cell>
          <cell r="F1299">
            <v>0.19448861844630186</v>
          </cell>
          <cell r="G1299">
            <v>6.6349172232328182E-2</v>
          </cell>
          <cell r="H1299">
            <v>2.1072188411862088E-2</v>
          </cell>
          <cell r="J1299" t="str">
            <v>2015VT</v>
          </cell>
          <cell r="K1299">
            <v>0.4894115</v>
          </cell>
          <cell r="L1299">
            <v>6.6349171999999998E-2</v>
          </cell>
          <cell r="M1299">
            <v>0.44423932799999999</v>
          </cell>
          <cell r="U1299" t="str">
            <v>2015VT</v>
          </cell>
          <cell r="V1299">
            <v>0.86037974299999997</v>
          </cell>
          <cell r="W1299">
            <v>6.1432910000000004E-3</v>
          </cell>
          <cell r="X1299">
            <v>3.8535191000000003E-2</v>
          </cell>
          <cell r="Y1299">
            <v>2.9459874E-2</v>
          </cell>
          <cell r="Z1299">
            <v>6.5481899999999996E-2</v>
          </cell>
          <cell r="AB1299" t="str">
            <v>2015VT</v>
          </cell>
          <cell r="AC1299">
            <v>0</v>
          </cell>
          <cell r="AD1299">
            <v>0</v>
          </cell>
          <cell r="AE1299">
            <v>0.05</v>
          </cell>
          <cell r="AF1299">
            <v>0.95</v>
          </cell>
        </row>
        <row r="1300">
          <cell r="B1300" t="str">
            <v>2015VA</v>
          </cell>
          <cell r="C1300">
            <v>4.4953509549794296E-2</v>
          </cell>
          <cell r="D1300">
            <v>9.339670802378576E-2</v>
          </cell>
          <cell r="E1300">
            <v>0.14844092890155638</v>
          </cell>
          <cell r="F1300">
            <v>0.12331550684410268</v>
          </cell>
          <cell r="G1300">
            <v>0.5737351926100378</v>
          </cell>
          <cell r="H1300">
            <v>1.6158154070723133E-2</v>
          </cell>
          <cell r="J1300" t="str">
            <v>2015VA</v>
          </cell>
          <cell r="K1300">
            <v>0.27782387799999997</v>
          </cell>
          <cell r="L1300">
            <v>0.57373519299999998</v>
          </cell>
          <cell r="M1300">
            <v>0.148440929</v>
          </cell>
          <cell r="U1300" t="str">
            <v>2015VA</v>
          </cell>
          <cell r="V1300">
            <v>3.3934871999999998E-2</v>
          </cell>
          <cell r="W1300">
            <v>3.6244844999999998E-2</v>
          </cell>
          <cell r="X1300">
            <v>6.8933026999999994E-2</v>
          </cell>
          <cell r="Y1300">
            <v>0.550040046</v>
          </cell>
          <cell r="Z1300">
            <v>0.31084721100000001</v>
          </cell>
          <cell r="AB1300" t="str">
            <v>2015VA</v>
          </cell>
          <cell r="AC1300">
            <v>0</v>
          </cell>
          <cell r="AD1300">
            <v>0</v>
          </cell>
          <cell r="AE1300">
            <v>0.05</v>
          </cell>
          <cell r="AF1300">
            <v>0.95</v>
          </cell>
        </row>
        <row r="1301">
          <cell r="B1301" t="str">
            <v>2015WA</v>
          </cell>
          <cell r="C1301">
            <v>0.48742079910802349</v>
          </cell>
          <cell r="D1301">
            <v>0.21961274491816118</v>
          </cell>
          <cell r="E1301">
            <v>0</v>
          </cell>
          <cell r="F1301">
            <v>0.11254281869932067</v>
          </cell>
          <cell r="G1301">
            <v>0.16627589127589129</v>
          </cell>
          <cell r="H1301">
            <v>1.4147745998603438E-2</v>
          </cell>
          <cell r="J1301" t="str">
            <v>2015WA</v>
          </cell>
          <cell r="K1301">
            <v>0.83372410900000005</v>
          </cell>
          <cell r="L1301">
            <v>0.16627589100000001</v>
          </cell>
          <cell r="M1301">
            <v>0</v>
          </cell>
          <cell r="U1301" t="str">
            <v>2015WA</v>
          </cell>
          <cell r="V1301">
            <v>0.37353494700000001</v>
          </cell>
          <cell r="W1301">
            <v>3.1263627000000002E-2</v>
          </cell>
          <cell r="X1301">
            <v>0.168896926</v>
          </cell>
          <cell r="Y1301">
            <v>0.119853577</v>
          </cell>
          <cell r="Z1301">
            <v>0.30645092299999999</v>
          </cell>
          <cell r="AB1301" t="str">
            <v>2015WA</v>
          </cell>
          <cell r="AC1301">
            <v>0</v>
          </cell>
          <cell r="AD1301">
            <v>0</v>
          </cell>
          <cell r="AE1301">
            <v>0.12</v>
          </cell>
          <cell r="AF1301">
            <v>0.88</v>
          </cell>
        </row>
        <row r="1302">
          <cell r="B1302" t="str">
            <v>2015WV</v>
          </cell>
          <cell r="C1302">
            <v>6.8751812683186322E-2</v>
          </cell>
          <cell r="D1302">
            <v>0.15888641455628993</v>
          </cell>
          <cell r="E1302">
            <v>0.44831485363191043</v>
          </cell>
          <cell r="F1302">
            <v>0.22633984896592482</v>
          </cell>
          <cell r="G1302">
            <v>7.0025492327769459E-2</v>
          </cell>
          <cell r="H1302">
            <v>2.7681577834919095E-2</v>
          </cell>
          <cell r="J1302" t="str">
            <v>2015WV</v>
          </cell>
          <cell r="K1302">
            <v>0.48165965399999999</v>
          </cell>
          <cell r="L1302">
            <v>7.0025491999999995E-2</v>
          </cell>
          <cell r="M1302">
            <v>0.44831485399999998</v>
          </cell>
          <cell r="U1302" t="str">
            <v>2015WV</v>
          </cell>
          <cell r="V1302">
            <v>0.57920187499999998</v>
          </cell>
          <cell r="W1302">
            <v>2.1256934000000002E-2</v>
          </cell>
          <cell r="X1302">
            <v>0.113169981</v>
          </cell>
          <cell r="Y1302">
            <v>7.9649016000000003E-2</v>
          </cell>
          <cell r="Z1302">
            <v>0.206722194</v>
          </cell>
          <cell r="AB1302" t="str">
            <v>2015WV</v>
          </cell>
          <cell r="AC1302">
            <v>0</v>
          </cell>
          <cell r="AD1302">
            <v>0</v>
          </cell>
          <cell r="AE1302">
            <v>0.05</v>
          </cell>
          <cell r="AF1302">
            <v>0.95</v>
          </cell>
        </row>
        <row r="1303">
          <cell r="B1303" t="str">
            <v>2015WI</v>
          </cell>
          <cell r="C1303">
            <v>0.12203432597344931</v>
          </cell>
          <cell r="D1303">
            <v>0.23555629715568294</v>
          </cell>
          <cell r="E1303">
            <v>0.11540173598404266</v>
          </cell>
          <cell r="F1303">
            <v>0.42032708364290838</v>
          </cell>
          <cell r="G1303">
            <v>6.8322420806473022E-2</v>
          </cell>
          <cell r="H1303">
            <v>3.8358136437443673E-2</v>
          </cell>
          <cell r="J1303" t="str">
            <v>2015WI</v>
          </cell>
          <cell r="K1303">
            <v>0.816275843</v>
          </cell>
          <cell r="L1303">
            <v>6.8322420999999994E-2</v>
          </cell>
          <cell r="M1303">
            <v>0.115401736</v>
          </cell>
          <cell r="U1303" t="str">
            <v>2015WI</v>
          </cell>
          <cell r="V1303">
            <v>0.12883246500000001</v>
          </cell>
          <cell r="W1303">
            <v>4.2564396999999997E-2</v>
          </cell>
          <cell r="X1303">
            <v>0.23585646199999999</v>
          </cell>
          <cell r="Y1303">
            <v>0.16970626599999999</v>
          </cell>
          <cell r="Z1303">
            <v>0.42304040999999998</v>
          </cell>
          <cell r="AB1303" t="str">
            <v>2015WI</v>
          </cell>
          <cell r="AC1303">
            <v>0</v>
          </cell>
          <cell r="AD1303">
            <v>0</v>
          </cell>
          <cell r="AE1303">
            <v>0.02</v>
          </cell>
          <cell r="AF1303">
            <v>0.98</v>
          </cell>
        </row>
        <row r="1304">
          <cell r="B1304" t="str">
            <v>2015WY</v>
          </cell>
          <cell r="C1304">
            <v>0.29508724522063295</v>
          </cell>
          <cell r="D1304">
            <v>0.23251729773373622</v>
          </cell>
          <cell r="E1304">
            <v>0.12161775942187937</v>
          </cell>
          <cell r="F1304">
            <v>0.2207502472879718</v>
          </cell>
          <cell r="G1304">
            <v>7.2002554085590281E-2</v>
          </cell>
          <cell r="H1304">
            <v>5.8024896250189507E-2</v>
          </cell>
          <cell r="J1304" t="str">
            <v>2015WY</v>
          </cell>
          <cell r="K1304">
            <v>0.80637968699999996</v>
          </cell>
          <cell r="L1304">
            <v>7.2002553999999996E-2</v>
          </cell>
          <cell r="M1304">
            <v>0.12161775900000001</v>
          </cell>
          <cell r="U1304" t="str">
            <v>2015WY</v>
          </cell>
          <cell r="V1304">
            <v>3.2109568999999998E-2</v>
          </cell>
          <cell r="W1304">
            <v>5.3596850000000001E-2</v>
          </cell>
          <cell r="X1304">
            <v>0.25521061499999997</v>
          </cell>
          <cell r="Y1304">
            <v>0.16752597599999999</v>
          </cell>
          <cell r="Z1304">
            <v>0.49155699000000003</v>
          </cell>
          <cell r="AB1304" t="str">
            <v>2015WY</v>
          </cell>
          <cell r="AC1304">
            <v>0</v>
          </cell>
          <cell r="AD1304">
            <v>0</v>
          </cell>
          <cell r="AE1304">
            <v>0.6</v>
          </cell>
          <cell r="AF1304">
            <v>0.4</v>
          </cell>
        </row>
        <row r="1305">
          <cell r="B1305" t="str">
            <v>2016AL</v>
          </cell>
          <cell r="C1305">
            <v>0.17233560131521788</v>
          </cell>
          <cell r="D1305">
            <v>9.7606154746872412E-2</v>
          </cell>
          <cell r="E1305">
            <v>0.16919346457207346</v>
          </cell>
          <cell r="F1305">
            <v>0.1056405325382436</v>
          </cell>
          <cell r="G1305">
            <v>0.45062509818962659</v>
          </cell>
          <cell r="H1305">
            <v>4.5991486379660445E-3</v>
          </cell>
          <cell r="J1305" t="str">
            <v>2016AL</v>
          </cell>
          <cell r="K1305">
            <v>0.38018143700000007</v>
          </cell>
          <cell r="L1305">
            <v>0.450625098</v>
          </cell>
          <cell r="M1305">
            <v>0.16919346499999999</v>
          </cell>
          <cell r="U1305" t="str">
            <v>2016AL</v>
          </cell>
          <cell r="V1305">
            <v>5.3114938E-2</v>
          </cell>
          <cell r="W1305">
            <v>3.6058960000000001E-2</v>
          </cell>
          <cell r="X1305">
            <v>8.4414527000000003E-2</v>
          </cell>
          <cell r="Y1305">
            <v>0.50961295299999998</v>
          </cell>
          <cell r="Z1305">
            <v>0.316798623</v>
          </cell>
          <cell r="AB1305" t="str">
            <v>2016AL</v>
          </cell>
          <cell r="AC1305">
            <v>0</v>
          </cell>
          <cell r="AD1305">
            <v>0</v>
          </cell>
          <cell r="AE1305">
            <v>0.41899999999999998</v>
          </cell>
          <cell r="AF1305">
            <v>0.58099999999999996</v>
          </cell>
        </row>
        <row r="1306">
          <cell r="B1306" t="str">
            <v>2016AK</v>
          </cell>
          <cell r="C1306">
            <v>0.30334484066413492</v>
          </cell>
          <cell r="D1306">
            <v>0.23769937716735701</v>
          </cell>
          <cell r="E1306">
            <v>6.205843688929364E-2</v>
          </cell>
          <cell r="F1306">
            <v>0.28363994741136878</v>
          </cell>
          <cell r="G1306">
            <v>3.6741064625999714E-2</v>
          </cell>
          <cell r="H1306">
            <v>7.6516333241846021E-2</v>
          </cell>
          <cell r="J1306" t="str">
            <v>2016AK</v>
          </cell>
          <cell r="K1306">
            <v>0.90120049800000002</v>
          </cell>
          <cell r="L1306">
            <v>3.6741065000000003E-2</v>
          </cell>
          <cell r="M1306">
            <v>6.2058437000000001E-2</v>
          </cell>
          <cell r="U1306" t="str">
            <v>2016AK</v>
          </cell>
          <cell r="V1306">
            <v>0.52632575500000001</v>
          </cell>
          <cell r="W1306">
            <v>2.0841667000000001E-2</v>
          </cell>
          <cell r="X1306">
            <v>0.130734092</v>
          </cell>
          <cell r="Y1306">
            <v>9.9945266000000005E-2</v>
          </cell>
          <cell r="Z1306">
            <v>0.22215322100000001</v>
          </cell>
          <cell r="AB1306" t="str">
            <v>2016AK</v>
          </cell>
          <cell r="AC1306">
            <v>0</v>
          </cell>
          <cell r="AD1306">
            <v>0</v>
          </cell>
          <cell r="AE1306">
            <v>0.25</v>
          </cell>
          <cell r="AF1306">
            <v>0.75</v>
          </cell>
        </row>
        <row r="1307">
          <cell r="B1307" t="str">
            <v>2016AZ</v>
          </cell>
          <cell r="C1307">
            <v>0.611220636654217</v>
          </cell>
          <cell r="D1307">
            <v>0.19572797693407004</v>
          </cell>
          <cell r="E1307">
            <v>9.865488383487428E-2</v>
          </cell>
          <cell r="F1307">
            <v>9.3890669243012675E-2</v>
          </cell>
          <cell r="G1307">
            <v>0</v>
          </cell>
          <cell r="H1307">
            <v>5.0583333382575558E-4</v>
          </cell>
          <cell r="J1307" t="str">
            <v>2016AZ</v>
          </cell>
          <cell r="K1307">
            <v>0.901345116</v>
          </cell>
          <cell r="L1307">
            <v>0</v>
          </cell>
          <cell r="M1307">
            <v>9.8654883999999998E-2</v>
          </cell>
          <cell r="U1307" t="str">
            <v>2016AZ</v>
          </cell>
          <cell r="V1307">
            <v>0.136592664</v>
          </cell>
          <cell r="W1307">
            <v>3.2171241000000003E-2</v>
          </cell>
          <cell r="X1307">
            <v>5.4596316999999998E-2</v>
          </cell>
          <cell r="Y1307">
            <v>0.50386894699999996</v>
          </cell>
          <cell r="Z1307">
            <v>0.27277083200000002</v>
          </cell>
          <cell r="AB1307" t="str">
            <v>2016AZ</v>
          </cell>
          <cell r="AC1307">
            <v>0</v>
          </cell>
          <cell r="AD1307">
            <v>0</v>
          </cell>
          <cell r="AE1307">
            <v>0.6</v>
          </cell>
          <cell r="AF1307">
            <v>0.4</v>
          </cell>
        </row>
        <row r="1308">
          <cell r="B1308" t="str">
            <v>2016AR</v>
          </cell>
          <cell r="C1308">
            <v>9.6391342329605903E-2</v>
          </cell>
          <cell r="D1308">
            <v>6.6955456596874061E-2</v>
          </cell>
          <cell r="E1308">
            <v>0.14888335780531528</v>
          </cell>
          <cell r="F1308">
            <v>0.11118804006195876</v>
          </cell>
          <cell r="G1308">
            <v>0.57111057531117648</v>
          </cell>
          <cell r="H1308">
            <v>5.4712278950695761E-3</v>
          </cell>
          <cell r="J1308" t="str">
            <v>2016AR</v>
          </cell>
          <cell r="K1308">
            <v>0.28000606700000008</v>
          </cell>
          <cell r="L1308">
            <v>0.57111057499999995</v>
          </cell>
          <cell r="M1308">
            <v>0.14888335799999999</v>
          </cell>
          <cell r="U1308" t="str">
            <v>2016AR</v>
          </cell>
          <cell r="V1308">
            <v>3.9459004999999998E-2</v>
          </cell>
          <cell r="W1308">
            <v>3.7640482000000003E-2</v>
          </cell>
          <cell r="X1308">
            <v>0.11914443199999999</v>
          </cell>
          <cell r="Y1308">
            <v>0.45827781299999998</v>
          </cell>
          <cell r="Z1308">
            <v>0.34547826799999998</v>
          </cell>
          <cell r="AB1308" t="str">
            <v>2016AR</v>
          </cell>
          <cell r="AC1308">
            <v>0</v>
          </cell>
          <cell r="AD1308">
            <v>0</v>
          </cell>
          <cell r="AE1308">
            <v>0</v>
          </cell>
          <cell r="AF1308">
            <v>1</v>
          </cell>
        </row>
        <row r="1309">
          <cell r="B1309" t="str">
            <v>2016CA</v>
          </cell>
          <cell r="C1309">
            <v>0.58081862489107328</v>
          </cell>
          <cell r="D1309">
            <v>0.20720345916912225</v>
          </cell>
          <cell r="E1309">
            <v>0.10801924509893834</v>
          </cell>
          <cell r="F1309">
            <v>9.2431120719429966E-2</v>
          </cell>
          <cell r="G1309">
            <v>9.2523577326630076E-3</v>
          </cell>
          <cell r="H1309">
            <v>2.2751923887731596E-3</v>
          </cell>
          <cell r="J1309" t="str">
            <v>2016CA</v>
          </cell>
          <cell r="K1309">
            <v>0.88272839699999994</v>
          </cell>
          <cell r="L1309">
            <v>9.2523580000000005E-3</v>
          </cell>
          <cell r="M1309">
            <v>0.108019245</v>
          </cell>
          <cell r="U1309" t="str">
            <v>2016CA</v>
          </cell>
          <cell r="V1309">
            <v>0.133799526</v>
          </cell>
          <cell r="W1309">
            <v>3.2941353E-2</v>
          </cell>
          <cell r="X1309">
            <v>7.5800703999999997E-2</v>
          </cell>
          <cell r="Y1309">
            <v>0.46867659099999998</v>
          </cell>
          <cell r="Z1309">
            <v>0.28878182499999999</v>
          </cell>
          <cell r="AB1309" t="str">
            <v>2016CA</v>
          </cell>
          <cell r="AC1309">
            <v>0</v>
          </cell>
          <cell r="AD1309">
            <v>0</v>
          </cell>
          <cell r="AE1309">
            <v>0.12</v>
          </cell>
          <cell r="AF1309">
            <v>0.88</v>
          </cell>
        </row>
        <row r="1310">
          <cell r="B1310" t="str">
            <v>2016CO</v>
          </cell>
          <cell r="C1310">
            <v>0.61667904285785091</v>
          </cell>
          <cell r="D1310">
            <v>0.24212893570430052</v>
          </cell>
          <cell r="E1310">
            <v>1.1092391745361967E-2</v>
          </cell>
          <cell r="F1310">
            <v>0.11516410971780773</v>
          </cell>
          <cell r="G1310">
            <v>6.5671374014829543E-3</v>
          </cell>
          <cell r="H1310">
            <v>8.3683825731959392E-3</v>
          </cell>
          <cell r="J1310" t="str">
            <v>2016CO</v>
          </cell>
          <cell r="K1310">
            <v>0.98234047099999999</v>
          </cell>
          <cell r="L1310">
            <v>6.5671369999999998E-3</v>
          </cell>
          <cell r="M1310">
            <v>1.1092392E-2</v>
          </cell>
          <cell r="U1310" t="str">
            <v>2016CO</v>
          </cell>
          <cell r="V1310">
            <v>2.3378138E-2</v>
          </cell>
          <cell r="W1310">
            <v>5.3880426000000002E-2</v>
          </cell>
          <cell r="X1310">
            <v>0.25772948099999998</v>
          </cell>
          <cell r="Y1310">
            <v>0.169703665</v>
          </cell>
          <cell r="Z1310">
            <v>0.49530828999999998</v>
          </cell>
          <cell r="AB1310" t="str">
            <v>2016CO</v>
          </cell>
          <cell r="AC1310">
            <v>0</v>
          </cell>
          <cell r="AD1310">
            <v>0</v>
          </cell>
          <cell r="AE1310">
            <v>0.6</v>
          </cell>
          <cell r="AF1310">
            <v>0.4</v>
          </cell>
        </row>
        <row r="1311">
          <cell r="B1311" t="str">
            <v>2016CT</v>
          </cell>
          <cell r="C1311">
            <v>0.11572842393252261</v>
          </cell>
          <cell r="D1311">
            <v>0.20119880615243968</v>
          </cell>
          <cell r="E1311">
            <v>0.43233999756560143</v>
          </cell>
          <cell r="F1311">
            <v>0.17234541515575838</v>
          </cell>
          <cell r="G1311">
            <v>5.5615402487630847E-2</v>
          </cell>
          <cell r="H1311">
            <v>2.2771954706046996E-2</v>
          </cell>
          <cell r="J1311" t="str">
            <v>2016CT</v>
          </cell>
          <cell r="K1311">
            <v>0.51204460000000007</v>
          </cell>
          <cell r="L1311">
            <v>5.5615402000000001E-2</v>
          </cell>
          <cell r="M1311">
            <v>0.432339998</v>
          </cell>
          <cell r="U1311" t="str">
            <v>2016CT</v>
          </cell>
          <cell r="V1311">
            <v>0.57363861400000005</v>
          </cell>
          <cell r="W1311">
            <v>1.8759900999999999E-2</v>
          </cell>
          <cell r="X1311">
            <v>0.117675743</v>
          </cell>
          <cell r="Y1311">
            <v>8.9962252000000006E-2</v>
          </cell>
          <cell r="Z1311">
            <v>0.19996348999999999</v>
          </cell>
          <cell r="AB1311" t="str">
            <v>2016CT</v>
          </cell>
          <cell r="AC1311">
            <v>0</v>
          </cell>
          <cell r="AD1311">
            <v>0</v>
          </cell>
          <cell r="AE1311">
            <v>0.05</v>
          </cell>
          <cell r="AF1311">
            <v>0.95</v>
          </cell>
        </row>
        <row r="1312">
          <cell r="B1312" t="str">
            <v>2016DE</v>
          </cell>
          <cell r="C1312">
            <v>0.10201653895343663</v>
          </cell>
          <cell r="D1312">
            <v>0.1910091905838856</v>
          </cell>
          <cell r="E1312">
            <v>0.43707162937473454</v>
          </cell>
          <cell r="F1312">
            <v>0.18637975788177577</v>
          </cell>
          <cell r="G1312">
            <v>5.9883562349419175E-2</v>
          </cell>
          <cell r="H1312">
            <v>2.3639320856748244E-2</v>
          </cell>
          <cell r="J1312" t="str">
            <v>2016DE</v>
          </cell>
          <cell r="K1312">
            <v>0.50304480899999993</v>
          </cell>
          <cell r="L1312">
            <v>5.9883562000000001E-2</v>
          </cell>
          <cell r="M1312">
            <v>0.43707162900000002</v>
          </cell>
          <cell r="U1312" t="str">
            <v>2016DE</v>
          </cell>
          <cell r="V1312">
            <v>0.120253529</v>
          </cell>
          <cell r="W1312">
            <v>4.1631153999999997E-2</v>
          </cell>
          <cell r="X1312">
            <v>0.23964419100000001</v>
          </cell>
          <cell r="Y1312">
            <v>0.17588547500000001</v>
          </cell>
          <cell r="Z1312">
            <v>0.42258565100000001</v>
          </cell>
          <cell r="AB1312" t="str">
            <v>2016DE</v>
          </cell>
          <cell r="AC1312">
            <v>0</v>
          </cell>
          <cell r="AD1312">
            <v>0</v>
          </cell>
          <cell r="AE1312">
            <v>0.05</v>
          </cell>
          <cell r="AF1312">
            <v>0.95</v>
          </cell>
        </row>
        <row r="1313">
          <cell r="B1313" t="str">
            <v>2016FL</v>
          </cell>
          <cell r="C1313">
            <v>0.38654865924430459</v>
          </cell>
          <cell r="D1313">
            <v>0.14503983167997814</v>
          </cell>
          <cell r="E1313">
            <v>0.21616400084919535</v>
          </cell>
          <cell r="F1313">
            <v>7.8997496757044303E-2</v>
          </cell>
          <cell r="G1313">
            <v>0.17198217725399226</v>
          </cell>
          <cell r="H1313">
            <v>1.2678342154852779E-3</v>
          </cell>
          <cell r="J1313" t="str">
            <v>2016FL</v>
          </cell>
          <cell r="K1313">
            <v>0.61185382200000005</v>
          </cell>
          <cell r="L1313">
            <v>0.17198217700000001</v>
          </cell>
          <cell r="M1313">
            <v>0.21616400099999999</v>
          </cell>
          <cell r="U1313" t="str">
            <v>2016FL</v>
          </cell>
          <cell r="V1313">
            <v>0.71166924399999998</v>
          </cell>
          <cell r="W1313">
            <v>1.2686553E-2</v>
          </cell>
          <cell r="X1313">
            <v>7.9579288999999998E-2</v>
          </cell>
          <cell r="Y1313">
            <v>6.0837789000000003E-2</v>
          </cell>
          <cell r="Z1313">
            <v>0.135227124</v>
          </cell>
          <cell r="AB1313" t="str">
            <v>2016FL</v>
          </cell>
          <cell r="AC1313">
            <v>0</v>
          </cell>
          <cell r="AD1313">
            <v>0</v>
          </cell>
          <cell r="AE1313">
            <v>0.41899999999999998</v>
          </cell>
          <cell r="AF1313">
            <v>0.58099999999999996</v>
          </cell>
        </row>
        <row r="1314">
          <cell r="B1314" t="str">
            <v>2016GA</v>
          </cell>
          <cell r="C1314">
            <v>0.20823216155586291</v>
          </cell>
          <cell r="D1314">
            <v>0.11033206176717186</v>
          </cell>
          <cell r="E1314">
            <v>0.17733204084631207</v>
          </cell>
          <cell r="F1314">
            <v>9.7862793659120595E-2</v>
          </cell>
          <cell r="G1314">
            <v>0.40234468997942996</v>
          </cell>
          <cell r="H1314">
            <v>3.8962521921025758E-3</v>
          </cell>
          <cell r="J1314" t="str">
            <v>2016GA</v>
          </cell>
          <cell r="K1314">
            <v>0.42032326900000005</v>
          </cell>
          <cell r="L1314">
            <v>0.40234469</v>
          </cell>
          <cell r="M1314">
            <v>0.177332041</v>
          </cell>
          <cell r="U1314" t="str">
            <v>2016GA</v>
          </cell>
          <cell r="V1314">
            <v>7.8133266000000007E-2</v>
          </cell>
          <cell r="W1314">
            <v>3.5587817000000001E-2</v>
          </cell>
          <cell r="X1314">
            <v>9.7388838000000005E-2</v>
          </cell>
          <cell r="Y1314">
            <v>0.46952270200000001</v>
          </cell>
          <cell r="Z1314">
            <v>0.31936737799999998</v>
          </cell>
          <cell r="AB1314" t="str">
            <v>2016GA</v>
          </cell>
          <cell r="AC1314">
            <v>0</v>
          </cell>
          <cell r="AD1314">
            <v>0</v>
          </cell>
          <cell r="AE1314">
            <v>0.41899999999999998</v>
          </cell>
          <cell r="AF1314">
            <v>0.58099999999999996</v>
          </cell>
        </row>
        <row r="1315">
          <cell r="B1315" t="str">
            <v>2016HI</v>
          </cell>
          <cell r="C1315">
            <v>0.67137224197860923</v>
          </cell>
          <cell r="D1315">
            <v>0.21100034068527662</v>
          </cell>
          <cell r="E1315">
            <v>0</v>
          </cell>
          <cell r="F1315">
            <v>0.10820426646618357</v>
          </cell>
          <cell r="G1315">
            <v>7.5112148308577572E-3</v>
          </cell>
          <cell r="H1315">
            <v>1.9119360390725836E-3</v>
          </cell>
          <cell r="J1315" t="str">
            <v>2016HI</v>
          </cell>
          <cell r="K1315">
            <v>0.99248878500000004</v>
          </cell>
          <cell r="L1315">
            <v>7.5112149999999999E-3</v>
          </cell>
          <cell r="M1315">
            <v>0</v>
          </cell>
          <cell r="U1315" t="str">
            <v>2016HI</v>
          </cell>
          <cell r="V1315">
            <v>0.23216878499999999</v>
          </cell>
          <cell r="W1315">
            <v>3.2904865999999998E-2</v>
          </cell>
          <cell r="X1315">
            <v>0.18414778700000001</v>
          </cell>
          <cell r="Y1315">
            <v>0.21064765399999999</v>
          </cell>
          <cell r="Z1315">
            <v>0.34013090899999998</v>
          </cell>
          <cell r="AB1315" t="str">
            <v>2016HI</v>
          </cell>
          <cell r="AC1315">
            <v>0</v>
          </cell>
          <cell r="AD1315">
            <v>0</v>
          </cell>
          <cell r="AE1315">
            <v>0.25</v>
          </cell>
          <cell r="AF1315">
            <v>0.75</v>
          </cell>
        </row>
        <row r="1316">
          <cell r="B1316" t="str">
            <v>2016ID</v>
          </cell>
          <cell r="C1316">
            <v>0.62850843440764703</v>
          </cell>
          <cell r="D1316">
            <v>0.2329683972033782</v>
          </cell>
          <cell r="E1316">
            <v>6.4436683947772669E-3</v>
          </cell>
          <cell r="F1316">
            <v>0.11961222721284216</v>
          </cell>
          <cell r="G1316">
            <v>3.8149081541218642E-3</v>
          </cell>
          <cell r="H1316">
            <v>8.6523646272333287E-3</v>
          </cell>
          <cell r="J1316" t="str">
            <v>2016ID</v>
          </cell>
          <cell r="K1316">
            <v>0.98974142399999998</v>
          </cell>
          <cell r="L1316">
            <v>3.8149080000000001E-3</v>
          </cell>
          <cell r="M1316">
            <v>6.4436679999999996E-3</v>
          </cell>
          <cell r="U1316" t="str">
            <v>2016ID</v>
          </cell>
          <cell r="V1316">
            <v>0.460837895</v>
          </cell>
          <cell r="W1316">
            <v>2.6974237000000002E-2</v>
          </cell>
          <cell r="X1316">
            <v>0.14528671200000001</v>
          </cell>
          <cell r="Y1316">
            <v>0.102926191</v>
          </cell>
          <cell r="Z1316">
            <v>0.26397496599999998</v>
          </cell>
          <cell r="AB1316" t="str">
            <v>2016ID</v>
          </cell>
          <cell r="AC1316">
            <v>0</v>
          </cell>
          <cell r="AD1316">
            <v>0</v>
          </cell>
          <cell r="AE1316">
            <v>0.6</v>
          </cell>
          <cell r="AF1316">
            <v>0.4</v>
          </cell>
        </row>
        <row r="1317">
          <cell r="B1317" t="str">
            <v>2016IL</v>
          </cell>
          <cell r="C1317">
            <v>0.13175283144497188</v>
          </cell>
          <cell r="D1317">
            <v>0.26046159534668961</v>
          </cell>
          <cell r="E1317">
            <v>8.1383349234931596E-2</v>
          </cell>
          <cell r="F1317">
            <v>0.43207247933210829</v>
          </cell>
          <cell r="G1317">
            <v>4.8182181885357514E-2</v>
          </cell>
          <cell r="H1317">
            <v>4.6147562755941125E-2</v>
          </cell>
          <cell r="J1317" t="str">
            <v>2016IL</v>
          </cell>
          <cell r="K1317">
            <v>0.87043446899999999</v>
          </cell>
          <cell r="L1317">
            <v>4.8182181999999997E-2</v>
          </cell>
          <cell r="M1317">
            <v>8.1383348999999994E-2</v>
          </cell>
          <cell r="U1317" t="str">
            <v>2016IL</v>
          </cell>
          <cell r="V1317">
            <v>2.0186552999999999E-2</v>
          </cell>
          <cell r="W1317">
            <v>4.5739502000000001E-2</v>
          </cell>
          <cell r="X1317">
            <v>0.28028242399999997</v>
          </cell>
          <cell r="Y1317">
            <v>0.149587944</v>
          </cell>
          <cell r="Z1317">
            <v>0.50420357699999996</v>
          </cell>
          <cell r="AB1317" t="str">
            <v>2016IL</v>
          </cell>
          <cell r="AC1317">
            <v>0</v>
          </cell>
          <cell r="AD1317">
            <v>0</v>
          </cell>
          <cell r="AE1317">
            <v>0.02</v>
          </cell>
          <cell r="AF1317">
            <v>0.98</v>
          </cell>
        </row>
        <row r="1318">
          <cell r="B1318" t="str">
            <v>2016IN</v>
          </cell>
          <cell r="C1318">
            <v>0.16189917384296076</v>
          </cell>
          <cell r="D1318">
            <v>0.24163212738244233</v>
          </cell>
          <cell r="E1318">
            <v>0.13392208737361183</v>
          </cell>
          <cell r="F1318">
            <v>0.3491044693998876</v>
          </cell>
          <cell r="G1318">
            <v>7.9287205957511472E-2</v>
          </cell>
          <cell r="H1318">
            <v>3.4154936043586021E-2</v>
          </cell>
          <cell r="J1318" t="str">
            <v>2016IN</v>
          </cell>
          <cell r="K1318">
            <v>0.78679070699999998</v>
          </cell>
          <cell r="L1318">
            <v>7.9287205999999999E-2</v>
          </cell>
          <cell r="M1318">
            <v>0.133922087</v>
          </cell>
          <cell r="U1318" t="str">
            <v>2016IN</v>
          </cell>
          <cell r="V1318">
            <v>2.5489210000000002E-2</v>
          </cell>
          <cell r="W1318">
            <v>4.5536079E-2</v>
          </cell>
          <cell r="X1318">
            <v>0.27893099599999999</v>
          </cell>
          <cell r="Y1318">
            <v>0.14781887399999999</v>
          </cell>
          <cell r="Z1318">
            <v>0.50222484099999998</v>
          </cell>
          <cell r="AB1318" t="str">
            <v>2016IN</v>
          </cell>
          <cell r="AC1318">
            <v>0</v>
          </cell>
          <cell r="AD1318">
            <v>0</v>
          </cell>
          <cell r="AE1318">
            <v>0</v>
          </cell>
          <cell r="AF1318">
            <v>1</v>
          </cell>
        </row>
        <row r="1319">
          <cell r="B1319" t="str">
            <v>2016IA</v>
          </cell>
          <cell r="C1319">
            <v>0.13792614664225575</v>
          </cell>
          <cell r="D1319">
            <v>0.25047757969635848</v>
          </cell>
          <cell r="E1319">
            <v>0.10477197231415941</v>
          </cell>
          <cell r="F1319">
            <v>0.40507493125352922</v>
          </cell>
          <cell r="G1319">
            <v>6.2029177638731184E-2</v>
          </cell>
          <cell r="H1319">
            <v>3.9720192454965969E-2</v>
          </cell>
          <cell r="J1319" t="str">
            <v>2016IA</v>
          </cell>
          <cell r="K1319">
            <v>0.83319885000000005</v>
          </cell>
          <cell r="L1319">
            <v>6.2029177999999997E-2</v>
          </cell>
          <cell r="M1319">
            <v>0.104771972</v>
          </cell>
          <cell r="U1319" t="str">
            <v>2016IA</v>
          </cell>
          <cell r="V1319">
            <v>9.6502570000000006E-3</v>
          </cell>
          <cell r="W1319">
            <v>3.8739974000000003E-2</v>
          </cell>
          <cell r="X1319">
            <v>0.12067557499999999</v>
          </cell>
          <cell r="Y1319">
            <v>0.47629315999999999</v>
          </cell>
          <cell r="Z1319">
            <v>0.35464103499999999</v>
          </cell>
          <cell r="AB1319" t="str">
            <v>2016IA</v>
          </cell>
          <cell r="AC1319">
            <v>0</v>
          </cell>
          <cell r="AD1319">
            <v>0</v>
          </cell>
          <cell r="AE1319">
            <v>0</v>
          </cell>
          <cell r="AF1319">
            <v>1</v>
          </cell>
        </row>
        <row r="1320">
          <cell r="B1320" t="str">
            <v>2016KS</v>
          </cell>
          <cell r="C1320">
            <v>0.28758404285910905</v>
          </cell>
          <cell r="D1320">
            <v>0.32607606753917184</v>
          </cell>
          <cell r="E1320">
            <v>5.1050547933917619E-2</v>
          </cell>
          <cell r="F1320">
            <v>0.27762124338847843</v>
          </cell>
          <cell r="G1320">
            <v>3.0223956239483565E-2</v>
          </cell>
          <cell r="H1320">
            <v>2.7444142039839463E-2</v>
          </cell>
          <cell r="J1320" t="str">
            <v>2016KS</v>
          </cell>
          <cell r="K1320">
            <v>0.91872549599999997</v>
          </cell>
          <cell r="L1320">
            <v>3.0223956E-2</v>
          </cell>
          <cell r="M1320">
            <v>5.1050548000000001E-2</v>
          </cell>
          <cell r="U1320" t="str">
            <v>2016KS</v>
          </cell>
          <cell r="V1320">
            <v>2.3647662E-2</v>
          </cell>
          <cell r="W1320">
            <v>4.6272377000000003E-2</v>
          </cell>
          <cell r="X1320">
            <v>0.28189652199999998</v>
          </cell>
          <cell r="Y1320">
            <v>0.13395533500000001</v>
          </cell>
          <cell r="Z1320">
            <v>0.51422810299999999</v>
          </cell>
          <cell r="AB1320" t="str">
            <v>2016KS</v>
          </cell>
          <cell r="AC1320">
            <v>0</v>
          </cell>
          <cell r="AD1320">
            <v>0</v>
          </cell>
          <cell r="AE1320">
            <v>0.02</v>
          </cell>
          <cell r="AF1320">
            <v>0.98</v>
          </cell>
        </row>
        <row r="1321">
          <cell r="B1321" t="str">
            <v>2016KY</v>
          </cell>
          <cell r="C1321">
            <v>2.3305602928070858E-2</v>
          </cell>
          <cell r="D1321">
            <v>6.2885861766289422E-2</v>
          </cell>
          <cell r="E1321">
            <v>0.14165738300711325</v>
          </cell>
          <cell r="F1321">
            <v>0.14315421990856123</v>
          </cell>
          <cell r="G1321">
            <v>0.61397716539009373</v>
          </cell>
          <cell r="H1321">
            <v>1.5019766999871505E-2</v>
          </cell>
          <cell r="J1321" t="str">
            <v>2016KY</v>
          </cell>
          <cell r="K1321">
            <v>0.24436545200000004</v>
          </cell>
          <cell r="L1321">
            <v>0.61397716499999999</v>
          </cell>
          <cell r="M1321">
            <v>0.141657383</v>
          </cell>
          <cell r="U1321" t="str">
            <v>2016KY</v>
          </cell>
          <cell r="V1321">
            <v>4.9184704000000003E-2</v>
          </cell>
          <cell r="W1321">
            <v>3.7321891000000003E-2</v>
          </cell>
          <cell r="X1321">
            <v>0.11991215400000001</v>
          </cell>
          <cell r="Y1321">
            <v>0.45018075899999999</v>
          </cell>
          <cell r="Z1321">
            <v>0.34340049099999997</v>
          </cell>
          <cell r="AB1321" t="str">
            <v>2016KY</v>
          </cell>
          <cell r="AC1321">
            <v>0</v>
          </cell>
          <cell r="AD1321">
            <v>0</v>
          </cell>
          <cell r="AE1321">
            <v>0.05</v>
          </cell>
          <cell r="AF1321">
            <v>0.95</v>
          </cell>
        </row>
        <row r="1322">
          <cell r="B1322" t="str">
            <v>2016LA</v>
          </cell>
          <cell r="C1322">
            <v>8.7696493950327165E-2</v>
          </cell>
          <cell r="D1322">
            <v>6.4637521135916851E-2</v>
          </cell>
          <cell r="E1322">
            <v>0.14461730665558523</v>
          </cell>
          <cell r="F1322">
            <v>0.10160244529023774</v>
          </cell>
          <cell r="G1322">
            <v>0.59641803499629376</v>
          </cell>
          <cell r="H1322">
            <v>5.0281979716392446E-3</v>
          </cell>
          <cell r="J1322" t="str">
            <v>2016LA</v>
          </cell>
          <cell r="K1322">
            <v>0.25896465800000001</v>
          </cell>
          <cell r="L1322">
            <v>0.59641803500000001</v>
          </cell>
          <cell r="M1322">
            <v>0.144617307</v>
          </cell>
          <cell r="U1322" t="str">
            <v>2016LA</v>
          </cell>
          <cell r="V1322">
            <v>0.53551704700000002</v>
          </cell>
          <cell r="W1322">
            <v>2.0437250000000001E-2</v>
          </cell>
          <cell r="X1322">
            <v>0.12819729499999999</v>
          </cell>
          <cell r="Y1322">
            <v>9.8005903000000005E-2</v>
          </cell>
          <cell r="Z1322">
            <v>0.21784250499999999</v>
          </cell>
          <cell r="AB1322" t="str">
            <v>2016LA</v>
          </cell>
          <cell r="AC1322">
            <v>0</v>
          </cell>
          <cell r="AD1322">
            <v>0</v>
          </cell>
          <cell r="AE1322">
            <v>0.6</v>
          </cell>
          <cell r="AF1322">
            <v>0.4</v>
          </cell>
        </row>
        <row r="1323">
          <cell r="B1323" t="str">
            <v>2016ME</v>
          </cell>
          <cell r="C1323">
            <v>9.3713015315557757E-2</v>
          </cell>
          <cell r="D1323">
            <v>0.17210096338216258</v>
          </cell>
          <cell r="E1323">
            <v>0.44837154081607639</v>
          </cell>
          <cell r="F1323">
            <v>0.19633313267932656</v>
          </cell>
          <cell r="G1323">
            <v>7.0076626899074845E-2</v>
          </cell>
          <cell r="H1323">
            <v>1.9404720907801824E-2</v>
          </cell>
          <cell r="J1323" t="str">
            <v>2016ME</v>
          </cell>
          <cell r="K1323">
            <v>0.48155183200000007</v>
          </cell>
          <cell r="L1323">
            <v>7.0076627000000002E-2</v>
          </cell>
          <cell r="M1323">
            <v>0.44837154099999998</v>
          </cell>
          <cell r="U1323" t="str">
            <v>2016ME</v>
          </cell>
          <cell r="V1323">
            <v>0.72920202000000001</v>
          </cell>
          <cell r="W1323">
            <v>1.1915111000000001E-2</v>
          </cell>
          <cell r="X1323">
            <v>7.4740241999999998E-2</v>
          </cell>
          <cell r="Y1323">
            <v>5.7138373999999999E-2</v>
          </cell>
          <cell r="Z1323">
            <v>0.12700425300000001</v>
          </cell>
          <cell r="AB1323" t="str">
            <v>2016ME</v>
          </cell>
          <cell r="AC1323">
            <v>0</v>
          </cell>
          <cell r="AD1323">
            <v>0</v>
          </cell>
          <cell r="AE1323">
            <v>0.05</v>
          </cell>
          <cell r="AF1323">
            <v>0.95</v>
          </cell>
        </row>
        <row r="1324">
          <cell r="B1324" t="str">
            <v>2016MD</v>
          </cell>
          <cell r="C1324">
            <v>7.6488535055593554E-2</v>
          </cell>
          <cell r="D1324">
            <v>0.15472472257238745</v>
          </cell>
          <cell r="E1324">
            <v>0.44380834258126728</v>
          </cell>
          <cell r="F1324">
            <v>0.22861605738914034</v>
          </cell>
          <cell r="G1324">
            <v>6.5960402236453913E-2</v>
          </cell>
          <cell r="H1324">
            <v>3.0401940165157418E-2</v>
          </cell>
          <cell r="J1324" t="str">
            <v>2016MD</v>
          </cell>
          <cell r="K1324">
            <v>0.49023125499999998</v>
          </cell>
          <cell r="L1324">
            <v>6.5960402000000001E-2</v>
          </cell>
          <cell r="M1324">
            <v>0.44380834299999999</v>
          </cell>
          <cell r="U1324" t="str">
            <v>2016MD</v>
          </cell>
          <cell r="V1324">
            <v>0.21140679400000001</v>
          </cell>
          <cell r="W1324">
            <v>3.7602905999999998E-2</v>
          </cell>
          <cell r="X1324">
            <v>0.214504853</v>
          </cell>
          <cell r="Y1324">
            <v>0.15671048400000001</v>
          </cell>
          <cell r="Z1324">
            <v>0.37977496300000002</v>
          </cell>
          <cell r="AB1324" t="str">
            <v>2016MD</v>
          </cell>
          <cell r="AC1324">
            <v>0</v>
          </cell>
          <cell r="AD1324">
            <v>0</v>
          </cell>
          <cell r="AE1324">
            <v>0.05</v>
          </cell>
          <cell r="AF1324">
            <v>0.95</v>
          </cell>
        </row>
        <row r="1325">
          <cell r="B1325" t="str">
            <v>2016MA</v>
          </cell>
          <cell r="C1325">
            <v>6.1305440163427552E-2</v>
          </cell>
          <cell r="D1325">
            <v>0.14874705508142777</v>
          </cell>
          <cell r="E1325">
            <v>0.45216403673004657</v>
          </cell>
          <cell r="F1325">
            <v>0.23617268276189021</v>
          </cell>
          <cell r="G1325">
            <v>7.3497640935872632E-2</v>
          </cell>
          <cell r="H1325">
            <v>2.8113144327335336E-2</v>
          </cell>
          <cell r="J1325" t="str">
            <v>2016MA</v>
          </cell>
          <cell r="K1325">
            <v>0.47433832199999992</v>
          </cell>
          <cell r="L1325">
            <v>7.3497641000000002E-2</v>
          </cell>
          <cell r="M1325">
            <v>0.45216403700000002</v>
          </cell>
          <cell r="U1325" t="str">
            <v>2016MA</v>
          </cell>
          <cell r="V1325">
            <v>0.31419575799999999</v>
          </cell>
          <cell r="W1325">
            <v>3.0175387000000001E-2</v>
          </cell>
          <cell r="X1325">
            <v>0.18928197099999999</v>
          </cell>
          <cell r="Y1325">
            <v>0.14470469499999999</v>
          </cell>
          <cell r="Z1325">
            <v>0.32164218900000002</v>
          </cell>
          <cell r="AB1325" t="str">
            <v>2016MA</v>
          </cell>
          <cell r="AC1325">
            <v>0</v>
          </cell>
          <cell r="AD1325">
            <v>0</v>
          </cell>
          <cell r="AE1325">
            <v>0.05</v>
          </cell>
          <cell r="AF1325">
            <v>0.95</v>
          </cell>
        </row>
        <row r="1326">
          <cell r="B1326" t="str">
            <v>2016MI</v>
          </cell>
          <cell r="C1326">
            <v>0.21592740095911189</v>
          </cell>
          <cell r="D1326">
            <v>0.33044604004991018</v>
          </cell>
          <cell r="E1326">
            <v>5.8998863632555826E-2</v>
          </cell>
          <cell r="F1326">
            <v>0.32074430847532459</v>
          </cell>
          <cell r="G1326">
            <v>3.4929675483950956E-2</v>
          </cell>
          <cell r="H1326">
            <v>3.8953711399146676E-2</v>
          </cell>
          <cell r="J1326" t="str">
            <v>2016MI</v>
          </cell>
          <cell r="K1326">
            <v>0.90607146100000002</v>
          </cell>
          <cell r="L1326">
            <v>3.4929675E-2</v>
          </cell>
          <cell r="M1326">
            <v>5.8998863999999998E-2</v>
          </cell>
          <cell r="U1326" t="str">
            <v>2016MI</v>
          </cell>
          <cell r="V1326">
            <v>4.5127237000000001E-2</v>
          </cell>
          <cell r="W1326">
            <v>5.0500046999999999E-2</v>
          </cell>
          <cell r="X1326">
            <v>0.254352099</v>
          </cell>
          <cell r="Y1326">
            <v>0.17319266699999999</v>
          </cell>
          <cell r="Z1326">
            <v>0.47682794899999997</v>
          </cell>
          <cell r="AB1326" t="str">
            <v>2016MI</v>
          </cell>
          <cell r="AC1326">
            <v>0</v>
          </cell>
          <cell r="AD1326">
            <v>0</v>
          </cell>
          <cell r="AE1326">
            <v>0.02</v>
          </cell>
          <cell r="AF1326">
            <v>0.98</v>
          </cell>
        </row>
        <row r="1327">
          <cell r="B1327" t="str">
            <v>2016MN</v>
          </cell>
          <cell r="C1327">
            <v>0.11559741536790068</v>
          </cell>
          <cell r="D1327">
            <v>0.23915415867765383</v>
          </cell>
          <cell r="E1327">
            <v>0.10052931481156221</v>
          </cell>
          <cell r="F1327">
            <v>0.43822851849088174</v>
          </cell>
          <cell r="G1327">
            <v>5.9517355535203494E-2</v>
          </cell>
          <cell r="H1327">
            <v>4.697323711679801E-2</v>
          </cell>
          <cell r="J1327" t="str">
            <v>2016MN</v>
          </cell>
          <cell r="K1327">
            <v>0.83995332899999997</v>
          </cell>
          <cell r="L1327">
            <v>5.9517356E-2</v>
          </cell>
          <cell r="M1327">
            <v>0.10052931499999999</v>
          </cell>
          <cell r="U1327" t="str">
            <v>2016MN</v>
          </cell>
          <cell r="V1327">
            <v>1.5145339000000001E-2</v>
          </cell>
          <cell r="W1327">
            <v>5.1986831999999997E-2</v>
          </cell>
          <cell r="X1327">
            <v>0.262445557</v>
          </cell>
          <cell r="Y1327">
            <v>0.17896024199999999</v>
          </cell>
          <cell r="Z1327">
            <v>0.49146202900000002</v>
          </cell>
          <cell r="AB1327" t="str">
            <v>2016MN</v>
          </cell>
          <cell r="AC1327">
            <v>0</v>
          </cell>
          <cell r="AD1327">
            <v>0</v>
          </cell>
          <cell r="AE1327">
            <v>0</v>
          </cell>
          <cell r="AF1327">
            <v>1</v>
          </cell>
        </row>
        <row r="1328">
          <cell r="B1328" t="str">
            <v>2016MS</v>
          </cell>
          <cell r="C1328">
            <v>0.10416334210611014</v>
          </cell>
          <cell r="D1328">
            <v>7.2829933678422776E-2</v>
          </cell>
          <cell r="E1328">
            <v>0.14929269604113307</v>
          </cell>
          <cell r="F1328">
            <v>0.10019278631941281</v>
          </cell>
          <cell r="G1328">
            <v>0.56868226150598644</v>
          </cell>
          <cell r="H1328">
            <v>4.838980348934833E-3</v>
          </cell>
          <cell r="J1328" t="str">
            <v>2016MS</v>
          </cell>
          <cell r="K1328">
            <v>0.28202504199999989</v>
          </cell>
          <cell r="L1328">
            <v>0.56868226200000005</v>
          </cell>
          <cell r="M1328">
            <v>0.149292696</v>
          </cell>
          <cell r="U1328" t="str">
            <v>2016MS</v>
          </cell>
          <cell r="V1328">
            <v>2.1100625000000001E-2</v>
          </cell>
          <cell r="W1328">
            <v>3.6418512E-2</v>
          </cell>
          <cell r="X1328">
            <v>6.0129593000000002E-2</v>
          </cell>
          <cell r="Y1328">
            <v>0.574366987</v>
          </cell>
          <cell r="Z1328">
            <v>0.30798428300000003</v>
          </cell>
          <cell r="AB1328" t="str">
            <v>2016MS</v>
          </cell>
          <cell r="AC1328">
            <v>0</v>
          </cell>
          <cell r="AD1328">
            <v>0</v>
          </cell>
          <cell r="AE1328">
            <v>0.6</v>
          </cell>
          <cell r="AF1328">
            <v>0.4</v>
          </cell>
        </row>
        <row r="1329">
          <cell r="B1329" t="str">
            <v>2016MO</v>
          </cell>
          <cell r="C1329">
            <v>6.4925479522277466E-2</v>
          </cell>
          <cell r="D1329">
            <v>0.18170303563698134</v>
          </cell>
          <cell r="E1329">
            <v>0.14337282997597614</v>
          </cell>
          <cell r="F1329">
            <v>0.47880340852502545</v>
          </cell>
          <cell r="G1329">
            <v>8.4882421727070459E-2</v>
          </cell>
          <cell r="H1329">
            <v>4.6312824612669105E-2</v>
          </cell>
          <cell r="J1329" t="str">
            <v>2016MO</v>
          </cell>
          <cell r="K1329">
            <v>0.77174474799999992</v>
          </cell>
          <cell r="L1329">
            <v>8.4882421999999999E-2</v>
          </cell>
          <cell r="M1329">
            <v>0.14337283000000001</v>
          </cell>
          <cell r="U1329" t="str">
            <v>2016MO</v>
          </cell>
          <cell r="V1329">
            <v>2.998994E-2</v>
          </cell>
          <cell r="W1329">
            <v>4.5757142000000001E-2</v>
          </cell>
          <cell r="X1329">
            <v>0.27926039899999999</v>
          </cell>
          <cell r="Y1329">
            <v>0.13775391300000001</v>
          </cell>
          <cell r="Z1329">
            <v>0.50723860600000004</v>
          </cell>
          <cell r="AB1329" t="str">
            <v>2016MO</v>
          </cell>
          <cell r="AC1329">
            <v>0</v>
          </cell>
          <cell r="AD1329">
            <v>0</v>
          </cell>
          <cell r="AE1329">
            <v>0</v>
          </cell>
          <cell r="AF1329">
            <v>1</v>
          </cell>
        </row>
        <row r="1330">
          <cell r="B1330" t="str">
            <v>2016MT</v>
          </cell>
          <cell r="C1330">
            <v>0.35597781750083307</v>
          </cell>
          <cell r="D1330">
            <v>0.25924389885240834</v>
          </cell>
          <cell r="E1330">
            <v>4.3797789125912777E-2</v>
          </cell>
          <cell r="F1330">
            <v>0.25058080537727367</v>
          </cell>
          <cell r="G1330">
            <v>2.5930034358127463E-2</v>
          </cell>
          <cell r="H1330">
            <v>6.4469654785444572E-2</v>
          </cell>
          <cell r="J1330" t="str">
            <v>2016MT</v>
          </cell>
          <cell r="K1330">
            <v>0.93027217699999998</v>
          </cell>
          <cell r="L1330">
            <v>2.5930034000000001E-2</v>
          </cell>
          <cell r="M1330">
            <v>4.3797788999999997E-2</v>
          </cell>
          <cell r="U1330" t="str">
            <v>2016MT</v>
          </cell>
          <cell r="V1330">
            <v>6.0520032000000001E-2</v>
          </cell>
          <cell r="W1330">
            <v>5.1214043000000001E-2</v>
          </cell>
          <cell r="X1330">
            <v>0.24859647000000001</v>
          </cell>
          <cell r="Y1330">
            <v>0.16530719099999999</v>
          </cell>
          <cell r="Z1330">
            <v>0.47436226399999998</v>
          </cell>
          <cell r="AB1330" t="str">
            <v>2016MT</v>
          </cell>
          <cell r="AC1330">
            <v>0</v>
          </cell>
          <cell r="AD1330">
            <v>0</v>
          </cell>
          <cell r="AE1330">
            <v>0.6</v>
          </cell>
          <cell r="AF1330">
            <v>0.4</v>
          </cell>
        </row>
        <row r="1331">
          <cell r="B1331" t="str">
            <v>2016NE</v>
          </cell>
          <cell r="C1331">
            <v>0.21260954807532403</v>
          </cell>
          <cell r="D1331">
            <v>0.30324255962083846</v>
          </cell>
          <cell r="E1331">
            <v>6.1277054134417128E-2</v>
          </cell>
          <cell r="F1331">
            <v>0.34696077142199511</v>
          </cell>
          <cell r="G1331">
            <v>3.6278454935301678E-2</v>
          </cell>
          <cell r="H1331">
            <v>3.9631611812123581E-2</v>
          </cell>
          <cell r="J1331" t="str">
            <v>2016NE</v>
          </cell>
          <cell r="K1331">
            <v>0.90244449100000002</v>
          </cell>
          <cell r="L1331">
            <v>3.6278455000000001E-2</v>
          </cell>
          <cell r="M1331">
            <v>6.1277053999999997E-2</v>
          </cell>
          <cell r="U1331" t="str">
            <v>2016NE</v>
          </cell>
          <cell r="V1331">
            <v>3.0063880000000001E-2</v>
          </cell>
          <cell r="W1331">
            <v>4.5295173000000001E-2</v>
          </cell>
          <cell r="X1331">
            <v>0.27751980599999998</v>
          </cell>
          <cell r="Y1331">
            <v>0.147715386</v>
          </cell>
          <cell r="Z1331">
            <v>0.49940575500000001</v>
          </cell>
          <cell r="AB1331" t="str">
            <v>2016NE</v>
          </cell>
          <cell r="AC1331">
            <v>0</v>
          </cell>
          <cell r="AD1331">
            <v>0</v>
          </cell>
          <cell r="AE1331">
            <v>0.02</v>
          </cell>
          <cell r="AF1331">
            <v>0.98</v>
          </cell>
        </row>
        <row r="1332">
          <cell r="B1332" t="str">
            <v>2016NV</v>
          </cell>
          <cell r="C1332">
            <v>0.64210148526116029</v>
          </cell>
          <cell r="D1332">
            <v>0.238399883587257</v>
          </cell>
          <cell r="E1332">
            <v>4.1594375177217181E-3</v>
          </cell>
          <cell r="F1332">
            <v>0.10819864870890922</v>
          </cell>
          <cell r="G1332">
            <v>2.4625525602432058E-3</v>
          </cell>
          <cell r="H1332">
            <v>4.677992364708553E-3</v>
          </cell>
          <cell r="J1332" t="str">
            <v>2016NV</v>
          </cell>
          <cell r="K1332">
            <v>0.99337800899999995</v>
          </cell>
          <cell r="L1332">
            <v>2.4625530000000001E-3</v>
          </cell>
          <cell r="M1332">
            <v>4.1594379999999997E-3</v>
          </cell>
          <cell r="U1332" t="str">
            <v>2016NV</v>
          </cell>
          <cell r="V1332">
            <v>0.35004114600000003</v>
          </cell>
          <cell r="W1332">
            <v>2.4048478000000002E-2</v>
          </cell>
          <cell r="X1332">
            <v>3.5747737000000002E-2</v>
          </cell>
          <cell r="Y1332">
            <v>0.38867539400000001</v>
          </cell>
          <cell r="Z1332">
            <v>0.20148724500000001</v>
          </cell>
          <cell r="AB1332" t="str">
            <v>2016NV</v>
          </cell>
          <cell r="AC1332">
            <v>0</v>
          </cell>
          <cell r="AD1332">
            <v>0</v>
          </cell>
          <cell r="AE1332">
            <v>0</v>
          </cell>
          <cell r="AF1332">
            <v>1</v>
          </cell>
        </row>
        <row r="1333">
          <cell r="B1333" t="str">
            <v>2016NH</v>
          </cell>
          <cell r="C1333">
            <v>9.4573445198850817E-2</v>
          </cell>
          <cell r="D1333">
            <v>0.16340842518862655</v>
          </cell>
          <cell r="E1333">
            <v>0.44298025846087286</v>
          </cell>
          <cell r="F1333">
            <v>0.20852129702854144</v>
          </cell>
          <cell r="G1333">
            <v>6.52134304627775E-2</v>
          </cell>
          <cell r="H1333">
            <v>2.5303143660330828E-2</v>
          </cell>
          <cell r="J1333" t="str">
            <v>2016NH</v>
          </cell>
          <cell r="K1333">
            <v>0.49180631200000002</v>
          </cell>
          <cell r="L1333">
            <v>6.5213430000000003E-2</v>
          </cell>
          <cell r="M1333">
            <v>0.44298025800000002</v>
          </cell>
          <cell r="U1333" t="str">
            <v>2016NH</v>
          </cell>
          <cell r="V1333">
            <v>0.56759962799999997</v>
          </cell>
          <cell r="W1333">
            <v>1.9025615999999999E-2</v>
          </cell>
          <cell r="X1333">
            <v>0.119342503</v>
          </cell>
          <cell r="Y1333">
            <v>9.1236478999999995E-2</v>
          </cell>
          <cell r="Z1333">
            <v>0.20279577500000001</v>
          </cell>
          <cell r="AB1333" t="str">
            <v>2016NH</v>
          </cell>
          <cell r="AC1333">
            <v>0</v>
          </cell>
          <cell r="AD1333">
            <v>0</v>
          </cell>
          <cell r="AE1333">
            <v>0.05</v>
          </cell>
          <cell r="AF1333">
            <v>0.95</v>
          </cell>
        </row>
        <row r="1334">
          <cell r="B1334" t="str">
            <v>2016NJ</v>
          </cell>
          <cell r="C1334">
            <v>5.8003576611346738E-2</v>
          </cell>
          <cell r="D1334">
            <v>0.13897871355240557</v>
          </cell>
          <cell r="E1334">
            <v>0.45397029129837874</v>
          </cell>
          <cell r="F1334">
            <v>0.24471653627570109</v>
          </cell>
          <cell r="G1334">
            <v>7.5126969581826603E-2</v>
          </cell>
          <cell r="H1334">
            <v>2.9203912680341212E-2</v>
          </cell>
          <cell r="J1334" t="str">
            <v>2016NJ</v>
          </cell>
          <cell r="K1334">
            <v>0.47090273900000001</v>
          </cell>
          <cell r="L1334">
            <v>7.5126970000000001E-2</v>
          </cell>
          <cell r="M1334">
            <v>0.45397029100000003</v>
          </cell>
          <cell r="U1334" t="str">
            <v>2016NJ</v>
          </cell>
          <cell r="V1334">
            <v>0.30808167400000003</v>
          </cell>
          <cell r="W1334">
            <v>3.3011736E-2</v>
          </cell>
          <cell r="X1334">
            <v>0.18818818500000001</v>
          </cell>
          <cell r="Y1334">
            <v>0.137437002</v>
          </cell>
          <cell r="Z1334">
            <v>0.333281404</v>
          </cell>
          <cell r="AB1334" t="str">
            <v>2016NJ</v>
          </cell>
          <cell r="AC1334">
            <v>0</v>
          </cell>
          <cell r="AD1334">
            <v>0</v>
          </cell>
          <cell r="AE1334">
            <v>0.05</v>
          </cell>
          <cell r="AF1334">
            <v>0.95</v>
          </cell>
        </row>
        <row r="1335">
          <cell r="B1335" t="str">
            <v>2016NM</v>
          </cell>
          <cell r="C1335">
            <v>0.61184589317007076</v>
          </cell>
          <cell r="D1335">
            <v>0.19452029294367307</v>
          </cell>
          <cell r="E1335">
            <v>9.8952813124742175E-2</v>
          </cell>
          <cell r="F1335">
            <v>9.4174237847419268E-2</v>
          </cell>
          <cell r="G1335">
            <v>0</v>
          </cell>
          <cell r="H1335">
            <v>5.0676291409465751E-4</v>
          </cell>
          <cell r="J1335" t="str">
            <v>2016NM</v>
          </cell>
          <cell r="K1335">
            <v>0.90104718699999997</v>
          </cell>
          <cell r="L1335">
            <v>0</v>
          </cell>
          <cell r="M1335">
            <v>9.8952813000000001E-2</v>
          </cell>
          <cell r="U1335" t="str">
            <v>2016NM</v>
          </cell>
          <cell r="V1335">
            <v>0.91655606099999998</v>
          </cell>
          <cell r="W1335">
            <v>3.6715329999999998E-3</v>
          </cell>
          <cell r="X1335">
            <v>2.3030526999999999E-2</v>
          </cell>
          <cell r="Y1335">
            <v>1.7606671000000001E-2</v>
          </cell>
          <cell r="Z1335">
            <v>3.9135206999999998E-2</v>
          </cell>
          <cell r="AB1335" t="str">
            <v>2016NM</v>
          </cell>
          <cell r="AC1335">
            <v>0</v>
          </cell>
          <cell r="AD1335">
            <v>0</v>
          </cell>
          <cell r="AE1335">
            <v>0.6</v>
          </cell>
          <cell r="AF1335">
            <v>0.4</v>
          </cell>
        </row>
        <row r="1336">
          <cell r="B1336" t="str">
            <v>2016NY</v>
          </cell>
          <cell r="C1336">
            <v>9.8408703041683282E-2</v>
          </cell>
          <cell r="D1336">
            <v>0.15954377256245178</v>
          </cell>
          <cell r="E1336">
            <v>0.44849165243165579</v>
          </cell>
          <cell r="F1336">
            <v>0.20287733376538455</v>
          </cell>
          <cell r="G1336">
            <v>7.0184973363303343E-2</v>
          </cell>
          <cell r="H1336">
            <v>2.0493564835521279E-2</v>
          </cell>
          <cell r="J1336" t="str">
            <v>2016NY</v>
          </cell>
          <cell r="K1336">
            <v>0.481323375</v>
          </cell>
          <cell r="L1336">
            <v>7.0184972999999998E-2</v>
          </cell>
          <cell r="M1336">
            <v>0.44849165200000002</v>
          </cell>
          <cell r="U1336" t="str">
            <v>2016NY</v>
          </cell>
          <cell r="V1336">
            <v>0.20441514899999999</v>
          </cell>
          <cell r="W1336">
            <v>4.1815811000000001E-2</v>
          </cell>
          <cell r="X1336">
            <v>0.21220383400000001</v>
          </cell>
          <cell r="Y1336">
            <v>0.145168144</v>
          </cell>
          <cell r="Z1336">
            <v>0.396397061</v>
          </cell>
          <cell r="AB1336" t="str">
            <v>2016NY</v>
          </cell>
          <cell r="AC1336">
            <v>0</v>
          </cell>
          <cell r="AD1336">
            <v>0</v>
          </cell>
          <cell r="AE1336">
            <v>0.05</v>
          </cell>
          <cell r="AF1336">
            <v>0.95</v>
          </cell>
        </row>
        <row r="1337">
          <cell r="B1337" t="str">
            <v>2016NC</v>
          </cell>
          <cell r="C1337">
            <v>6.168821577504751E-2</v>
          </cell>
          <cell r="D1337">
            <v>0.11278426418396881</v>
          </cell>
          <cell r="E1337">
            <v>0.15395779991170949</v>
          </cell>
          <cell r="F1337">
            <v>0.11589101949636353</v>
          </cell>
          <cell r="G1337">
            <v>0.54100750469043157</v>
          </cell>
          <cell r="H1337">
            <v>1.4671195942479084E-2</v>
          </cell>
          <cell r="J1337" t="str">
            <v>2016NC</v>
          </cell>
          <cell r="K1337">
            <v>0.30503469499999991</v>
          </cell>
          <cell r="L1337">
            <v>0.54100750500000006</v>
          </cell>
          <cell r="M1337">
            <v>0.15395780000000001</v>
          </cell>
          <cell r="U1337" t="str">
            <v>2016NC</v>
          </cell>
          <cell r="V1337">
            <v>2.4742549999999999E-3</v>
          </cell>
          <cell r="W1337">
            <v>3.7123251000000003E-2</v>
          </cell>
          <cell r="X1337">
            <v>6.1645423999999997E-2</v>
          </cell>
          <cell r="Y1337">
            <v>0.58464508599999998</v>
          </cell>
          <cell r="Z1337">
            <v>0.31411198400000001</v>
          </cell>
          <cell r="AB1337" t="str">
            <v>2016NC</v>
          </cell>
          <cell r="AC1337">
            <v>0</v>
          </cell>
          <cell r="AD1337">
            <v>0</v>
          </cell>
          <cell r="AE1337">
            <v>0.41899999999999998</v>
          </cell>
          <cell r="AF1337">
            <v>0.58099999999999996</v>
          </cell>
        </row>
        <row r="1338">
          <cell r="B1338" t="str">
            <v>2016ND</v>
          </cell>
          <cell r="C1338">
            <v>0.1196932700797023</v>
          </cell>
          <cell r="D1338">
            <v>0.21866711268457967</v>
          </cell>
          <cell r="E1338">
            <v>0.10978970169096619</v>
          </cell>
          <cell r="F1338">
            <v>0.448028418369537</v>
          </cell>
          <cell r="G1338">
            <v>6.499987314042277E-2</v>
          </cell>
          <cell r="H1338">
            <v>3.8821624034792085E-2</v>
          </cell>
          <cell r="J1338" t="str">
            <v>2016ND</v>
          </cell>
          <cell r="K1338">
            <v>0.82521042499999997</v>
          </cell>
          <cell r="L1338">
            <v>6.4999873E-2</v>
          </cell>
          <cell r="M1338">
            <v>0.109789702</v>
          </cell>
          <cell r="U1338" t="str">
            <v>2016ND</v>
          </cell>
          <cell r="V1338">
            <v>8.8434773999999994E-2</v>
          </cell>
          <cell r="W1338">
            <v>4.7868137999999998E-2</v>
          </cell>
          <cell r="X1338">
            <v>0.243186129</v>
          </cell>
          <cell r="Y1338">
            <v>0.16647603599999999</v>
          </cell>
          <cell r="Z1338">
            <v>0.45403492299999998</v>
          </cell>
          <cell r="AB1338" t="str">
            <v>2016ND</v>
          </cell>
          <cell r="AC1338">
            <v>0</v>
          </cell>
          <cell r="AD1338">
            <v>0</v>
          </cell>
          <cell r="AE1338">
            <v>0.02</v>
          </cell>
          <cell r="AF1338">
            <v>0.98</v>
          </cell>
        </row>
        <row r="1339">
          <cell r="B1339" t="str">
            <v>2016OH</v>
          </cell>
          <cell r="C1339">
            <v>0.10753833947858983</v>
          </cell>
          <cell r="D1339">
            <v>0.22522557822049544</v>
          </cell>
          <cell r="E1339">
            <v>0.13589110116557596</v>
          </cell>
          <cell r="F1339">
            <v>0.4097570212201273</v>
          </cell>
          <cell r="G1339">
            <v>8.0452940491062386E-2</v>
          </cell>
          <cell r="H1339">
            <v>4.1135019424149183E-2</v>
          </cell>
          <cell r="J1339" t="str">
            <v>2016OH</v>
          </cell>
          <cell r="K1339">
            <v>0.78365595900000007</v>
          </cell>
          <cell r="L1339">
            <v>8.0452940000000001E-2</v>
          </cell>
          <cell r="M1339">
            <v>0.13589110099999999</v>
          </cell>
          <cell r="U1339" t="str">
            <v>2016OH</v>
          </cell>
          <cell r="V1339">
            <v>6.6338901000000006E-2</v>
          </cell>
          <cell r="W1339">
            <v>4.3119113000000001E-2</v>
          </cell>
          <cell r="X1339">
            <v>0.26533305600000001</v>
          </cell>
          <cell r="Y1339">
            <v>0.15267545299999999</v>
          </cell>
          <cell r="Z1339">
            <v>0.47253347699999998</v>
          </cell>
          <cell r="AB1339" t="str">
            <v>2016OH</v>
          </cell>
          <cell r="AC1339">
            <v>0</v>
          </cell>
          <cell r="AD1339">
            <v>0</v>
          </cell>
          <cell r="AE1339">
            <v>0</v>
          </cell>
          <cell r="AF1339">
            <v>1</v>
          </cell>
        </row>
        <row r="1340">
          <cell r="B1340" t="str">
            <v>2016OK</v>
          </cell>
          <cell r="C1340">
            <v>0.40296958934788546</v>
          </cell>
          <cell r="D1340">
            <v>0.22528492954061258</v>
          </cell>
          <cell r="E1340">
            <v>6.4896255940651446E-2</v>
          </cell>
          <cell r="F1340">
            <v>0.24738177570149189</v>
          </cell>
          <cell r="G1340">
            <v>0</v>
          </cell>
          <cell r="H1340">
            <v>5.9467449469358676E-2</v>
          </cell>
          <cell r="J1340" t="str">
            <v>2016OK</v>
          </cell>
          <cell r="K1340">
            <v>0.93510374399999996</v>
          </cell>
          <cell r="L1340">
            <v>0</v>
          </cell>
          <cell r="M1340">
            <v>6.4896255999999999E-2</v>
          </cell>
          <cell r="U1340" t="str">
            <v>2016OK</v>
          </cell>
          <cell r="V1340">
            <v>1.2831308E-2</v>
          </cell>
          <cell r="W1340">
            <v>3.6793041999999998E-2</v>
          </cell>
          <cell r="X1340">
            <v>6.2749109999999997E-2</v>
          </cell>
          <cell r="Y1340">
            <v>0.57552135800000004</v>
          </cell>
          <cell r="Z1340">
            <v>0.31210518199999998</v>
          </cell>
          <cell r="AB1340" t="str">
            <v>2016OK</v>
          </cell>
          <cell r="AC1340">
            <v>0</v>
          </cell>
          <cell r="AD1340">
            <v>0</v>
          </cell>
          <cell r="AE1340">
            <v>0.6</v>
          </cell>
          <cell r="AF1340">
            <v>0.4</v>
          </cell>
        </row>
        <row r="1341">
          <cell r="B1341" t="str">
            <v>2016OR</v>
          </cell>
          <cell r="C1341">
            <v>0.43856747008812064</v>
          </cell>
          <cell r="D1341">
            <v>0.20958259090942544</v>
          </cell>
          <cell r="E1341">
            <v>0</v>
          </cell>
          <cell r="F1341">
            <v>0.12862948158709187</v>
          </cell>
          <cell r="G1341">
            <v>0.2018533708975031</v>
          </cell>
          <cell r="H1341">
            <v>2.1367086517858933E-2</v>
          </cell>
          <cell r="J1341" t="str">
            <v>2016OR</v>
          </cell>
          <cell r="K1341">
            <v>0.798146629</v>
          </cell>
          <cell r="L1341">
            <v>0.201853371</v>
          </cell>
          <cell r="M1341">
            <v>0</v>
          </cell>
          <cell r="U1341" t="str">
            <v>2016OR</v>
          </cell>
          <cell r="V1341">
            <v>0.57640796000000005</v>
          </cell>
          <cell r="W1341">
            <v>1.863805E-2</v>
          </cell>
          <cell r="X1341">
            <v>0.116911403</v>
          </cell>
          <cell r="Y1341">
            <v>8.937792E-2</v>
          </cell>
          <cell r="Z1341">
            <v>0.19866466699999999</v>
          </cell>
          <cell r="AB1341" t="str">
            <v>2016OR</v>
          </cell>
          <cell r="AC1341">
            <v>0</v>
          </cell>
          <cell r="AD1341">
            <v>0</v>
          </cell>
          <cell r="AE1341">
            <v>0.25</v>
          </cell>
          <cell r="AF1341">
            <v>0.75</v>
          </cell>
        </row>
        <row r="1342">
          <cell r="B1342" t="str">
            <v>2016PA</v>
          </cell>
          <cell r="C1342">
            <v>4.9624045569858895E-2</v>
          </cell>
          <cell r="D1342">
            <v>0.11712497857538914</v>
          </cell>
          <cell r="E1342">
            <v>0.46874549019831585</v>
          </cell>
          <cell r="F1342">
            <v>0.25230966018477574</v>
          </cell>
          <cell r="G1342">
            <v>8.8454910858433447E-2</v>
          </cell>
          <cell r="H1342">
            <v>2.3740914613226898E-2</v>
          </cell>
          <cell r="J1342" t="str">
            <v>2016PA</v>
          </cell>
          <cell r="K1342">
            <v>0.44279959899999999</v>
          </cell>
          <cell r="L1342">
            <v>8.8454910999999997E-2</v>
          </cell>
          <cell r="M1342">
            <v>0.46874548999999999</v>
          </cell>
          <cell r="U1342" t="str">
            <v>2016PA</v>
          </cell>
          <cell r="V1342">
            <v>5.0102499000000002E-2</v>
          </cell>
          <cell r="W1342">
            <v>4.9409870000000002E-2</v>
          </cell>
          <cell r="X1342">
            <v>0.25392279899999998</v>
          </cell>
          <cell r="Y1342">
            <v>0.17504710600000001</v>
          </cell>
          <cell r="Z1342">
            <v>0.47151772600000003</v>
          </cell>
          <cell r="AB1342" t="str">
            <v>2016PA</v>
          </cell>
          <cell r="AC1342">
            <v>0</v>
          </cell>
          <cell r="AD1342">
            <v>0</v>
          </cell>
          <cell r="AE1342">
            <v>0</v>
          </cell>
          <cell r="AF1342">
            <v>1</v>
          </cell>
        </row>
        <row r="1343">
          <cell r="B1343" t="str">
            <v>2016RI</v>
          </cell>
          <cell r="C1343">
            <v>4.2447025005926793E-2</v>
          </cell>
          <cell r="D1343">
            <v>0.1190174947032642</v>
          </cell>
          <cell r="E1343">
            <v>0.46784468707451643</v>
          </cell>
          <cell r="F1343">
            <v>0.25730854976835782</v>
          </cell>
          <cell r="G1343">
            <v>8.7642343040085183E-2</v>
          </cell>
          <cell r="H1343">
            <v>2.5739900407849584E-2</v>
          </cell>
          <cell r="J1343" t="str">
            <v>2016RI</v>
          </cell>
          <cell r="K1343">
            <v>0.44451297000000001</v>
          </cell>
          <cell r="L1343">
            <v>8.7642342999999998E-2</v>
          </cell>
          <cell r="M1343">
            <v>0.46784468699999998</v>
          </cell>
          <cell r="U1343" t="str">
            <v>2016RI</v>
          </cell>
          <cell r="V1343">
            <v>0.56026879500000004</v>
          </cell>
          <cell r="W1343">
            <v>1.9348173E-2</v>
          </cell>
          <cell r="X1343">
            <v>0.121365813</v>
          </cell>
          <cell r="Y1343">
            <v>9.2783283999999994E-2</v>
          </cell>
          <cell r="Z1343">
            <v>0.20623393500000001</v>
          </cell>
          <cell r="AB1343" t="str">
            <v>2016RI</v>
          </cell>
          <cell r="AC1343">
            <v>0</v>
          </cell>
          <cell r="AD1343">
            <v>0</v>
          </cell>
          <cell r="AE1343">
            <v>0.05</v>
          </cell>
          <cell r="AF1343">
            <v>0.95</v>
          </cell>
        </row>
        <row r="1344">
          <cell r="B1344" t="str">
            <v>2016SC</v>
          </cell>
          <cell r="C1344">
            <v>0.13346180610825578</v>
          </cell>
          <cell r="D1344">
            <v>9.0019723091430845E-2</v>
          </cell>
          <cell r="E1344">
            <v>0.15451296947775242</v>
          </cell>
          <cell r="F1344">
            <v>8.0687406490411034E-2</v>
          </cell>
          <cell r="G1344">
            <v>0.53771407690020812</v>
          </cell>
          <cell r="H1344">
            <v>3.6040179319418398E-3</v>
          </cell>
          <cell r="J1344" t="str">
            <v>2016SC</v>
          </cell>
          <cell r="K1344">
            <v>0.30777295400000004</v>
          </cell>
          <cell r="L1344">
            <v>0.53771407699999996</v>
          </cell>
          <cell r="M1344">
            <v>0.154512969</v>
          </cell>
          <cell r="U1344" t="str">
            <v>2016SC</v>
          </cell>
          <cell r="V1344">
            <v>6.1629585000000001E-2</v>
          </cell>
          <cell r="W1344">
            <v>3.5823032999999997E-2</v>
          </cell>
          <cell r="X1344">
            <v>8.6443989999999998E-2</v>
          </cell>
          <cell r="Y1344">
            <v>0.50014727299999995</v>
          </cell>
          <cell r="Z1344">
            <v>0.31595611899999998</v>
          </cell>
          <cell r="AB1344" t="str">
            <v>2016SC</v>
          </cell>
          <cell r="AC1344">
            <v>0</v>
          </cell>
          <cell r="AD1344">
            <v>0</v>
          </cell>
          <cell r="AE1344">
            <v>0.6</v>
          </cell>
          <cell r="AF1344">
            <v>0.4</v>
          </cell>
        </row>
        <row r="1345">
          <cell r="B1345" t="str">
            <v>2016SD</v>
          </cell>
          <cell r="C1345">
            <v>0.17608951911561277</v>
          </cell>
          <cell r="D1345">
            <v>0.277831368160596</v>
          </cell>
          <cell r="E1345">
            <v>7.9800561964795444E-2</v>
          </cell>
          <cell r="F1345">
            <v>0.37802114842972712</v>
          </cell>
          <cell r="G1345">
            <v>4.724510882492864E-2</v>
          </cell>
          <cell r="H1345">
            <v>4.1012293504340026E-2</v>
          </cell>
          <cell r="J1345" t="str">
            <v>2016SD</v>
          </cell>
          <cell r="K1345">
            <v>0.87295432900000003</v>
          </cell>
          <cell r="L1345">
            <v>4.7245109E-2</v>
          </cell>
          <cell r="M1345">
            <v>7.9800562000000005E-2</v>
          </cell>
          <cell r="U1345" t="str">
            <v>2016SD</v>
          </cell>
          <cell r="V1345">
            <v>3.3046748000000001E-2</v>
          </cell>
          <cell r="W1345">
            <v>5.1157264000000001E-2</v>
          </cell>
          <cell r="X1345">
            <v>0.25755016600000002</v>
          </cell>
          <cell r="Y1345">
            <v>0.17532273200000001</v>
          </cell>
          <cell r="Z1345">
            <v>0.48292308900000003</v>
          </cell>
          <cell r="AB1345" t="str">
            <v>2016SD</v>
          </cell>
          <cell r="AC1345">
            <v>0</v>
          </cell>
          <cell r="AD1345">
            <v>0</v>
          </cell>
          <cell r="AE1345">
            <v>0.02</v>
          </cell>
          <cell r="AF1345">
            <v>0.98</v>
          </cell>
        </row>
        <row r="1346">
          <cell r="B1346" t="str">
            <v>2016TN</v>
          </cell>
          <cell r="C1346">
            <v>4.0519949592449485E-2</v>
          </cell>
          <cell r="D1346">
            <v>8.9664149461423162E-2</v>
          </cell>
          <cell r="E1346">
            <v>0.14551684926860037</v>
          </cell>
          <cell r="F1346">
            <v>0.1170185785979804</v>
          </cell>
          <cell r="G1346">
            <v>0.59108168584929244</v>
          </cell>
          <cell r="H1346">
            <v>1.6198787230254148E-2</v>
          </cell>
          <cell r="J1346" t="str">
            <v>2016TN</v>
          </cell>
          <cell r="K1346">
            <v>0.26340146500000006</v>
          </cell>
          <cell r="L1346">
            <v>0.591081686</v>
          </cell>
          <cell r="M1346">
            <v>0.145516849</v>
          </cell>
          <cell r="U1346" t="str">
            <v>2016TN</v>
          </cell>
          <cell r="V1346">
            <v>0.102875089</v>
          </cell>
          <cell r="W1346">
            <v>3.5402429999999999E-2</v>
          </cell>
          <cell r="X1346">
            <v>0.119077104</v>
          </cell>
          <cell r="Y1346">
            <v>0.41436515099999999</v>
          </cell>
          <cell r="Z1346">
            <v>0.32828022600000001</v>
          </cell>
          <cell r="AB1346" t="str">
            <v>2016TN</v>
          </cell>
          <cell r="AC1346">
            <v>0</v>
          </cell>
          <cell r="AD1346">
            <v>0</v>
          </cell>
          <cell r="AE1346">
            <v>0.05</v>
          </cell>
          <cell r="AF1346">
            <v>0.95</v>
          </cell>
        </row>
        <row r="1347">
          <cell r="B1347" t="str">
            <v>2016TX</v>
          </cell>
          <cell r="C1347">
            <v>0.53305655520056971</v>
          </cell>
          <cell r="D1347">
            <v>0.24233312613196878</v>
          </cell>
          <cell r="E1347">
            <v>7.9791980793249173E-2</v>
          </cell>
          <cell r="F1347">
            <v>0.1278405091499755</v>
          </cell>
          <cell r="G1347">
            <v>0</v>
          </cell>
          <cell r="H1347">
            <v>1.6977828724236681E-2</v>
          </cell>
          <cell r="J1347" t="str">
            <v>2016TX</v>
          </cell>
          <cell r="K1347">
            <v>0.92020801900000004</v>
          </cell>
          <cell r="L1347">
            <v>0</v>
          </cell>
          <cell r="M1347">
            <v>7.9791980999999998E-2</v>
          </cell>
          <cell r="U1347" t="str">
            <v>2016TX</v>
          </cell>
          <cell r="V1347">
            <v>6.9632535999999995E-2</v>
          </cell>
          <cell r="W1347">
            <v>3.4700662E-2</v>
          </cell>
          <cell r="X1347">
            <v>5.9917572000000002E-2</v>
          </cell>
          <cell r="Y1347">
            <v>0.54104196599999999</v>
          </cell>
          <cell r="Z1347">
            <v>0.29470726400000002</v>
          </cell>
          <cell r="AB1347" t="str">
            <v>2016TX</v>
          </cell>
          <cell r="AC1347">
            <v>0</v>
          </cell>
          <cell r="AD1347">
            <v>0</v>
          </cell>
          <cell r="AE1347">
            <v>0.12</v>
          </cell>
          <cell r="AF1347">
            <v>0.88</v>
          </cell>
        </row>
        <row r="1348">
          <cell r="B1348" t="str">
            <v>2016UT</v>
          </cell>
          <cell r="C1348">
            <v>0.51165623152884221</v>
          </cell>
          <cell r="D1348">
            <v>0.26394677259150623</v>
          </cell>
          <cell r="E1348">
            <v>1.3999177703951423E-2</v>
          </cell>
          <cell r="F1348">
            <v>0.17036034814732054</v>
          </cell>
          <cell r="G1348">
            <v>8.2880703819413898E-3</v>
          </cell>
          <cell r="H1348">
            <v>3.1749399646438282E-2</v>
          </cell>
          <cell r="J1348" t="str">
            <v>2016UT</v>
          </cell>
          <cell r="K1348">
            <v>0.97771275199999996</v>
          </cell>
          <cell r="L1348">
            <v>8.2880699999999998E-3</v>
          </cell>
          <cell r="M1348">
            <v>1.3999177999999999E-2</v>
          </cell>
          <cell r="U1348" t="str">
            <v>2016UT</v>
          </cell>
          <cell r="V1348">
            <v>8.6456620000000001E-3</v>
          </cell>
          <cell r="W1348">
            <v>5.5424775000000003E-2</v>
          </cell>
          <cell r="X1348">
            <v>0.260824848</v>
          </cell>
          <cell r="Y1348">
            <v>0.16982515300000001</v>
          </cell>
          <cell r="Z1348">
            <v>0.50527956200000002</v>
          </cell>
          <cell r="AB1348" t="str">
            <v>2016UT</v>
          </cell>
          <cell r="AC1348">
            <v>0</v>
          </cell>
          <cell r="AD1348">
            <v>0</v>
          </cell>
          <cell r="AE1348">
            <v>0.6</v>
          </cell>
          <cell r="AF1348">
            <v>0.4</v>
          </cell>
        </row>
        <row r="1349">
          <cell r="B1349" t="str">
            <v>2016VT</v>
          </cell>
          <cell r="C1349">
            <v>9.9973781354903396E-2</v>
          </cell>
          <cell r="D1349">
            <v>0.17387691112967565</v>
          </cell>
          <cell r="E1349">
            <v>0.44423932842492886</v>
          </cell>
          <cell r="F1349">
            <v>0.19448861844630186</v>
          </cell>
          <cell r="G1349">
            <v>6.6349172232328182E-2</v>
          </cell>
          <cell r="H1349">
            <v>2.1072188411862088E-2</v>
          </cell>
          <cell r="J1349" t="str">
            <v>2016VT</v>
          </cell>
          <cell r="K1349">
            <v>0.4894115</v>
          </cell>
          <cell r="L1349">
            <v>6.6349171999999998E-2</v>
          </cell>
          <cell r="M1349">
            <v>0.44423932799999999</v>
          </cell>
          <cell r="U1349" t="str">
            <v>2016VT</v>
          </cell>
          <cell r="V1349">
            <v>0.86037974299999997</v>
          </cell>
          <cell r="W1349">
            <v>6.1432910000000004E-3</v>
          </cell>
          <cell r="X1349">
            <v>3.8535191000000003E-2</v>
          </cell>
          <cell r="Y1349">
            <v>2.9459874E-2</v>
          </cell>
          <cell r="Z1349">
            <v>6.5481899999999996E-2</v>
          </cell>
          <cell r="AB1349" t="str">
            <v>2016VT</v>
          </cell>
          <cell r="AC1349">
            <v>0</v>
          </cell>
          <cell r="AD1349">
            <v>0</v>
          </cell>
          <cell r="AE1349">
            <v>0.05</v>
          </cell>
          <cell r="AF1349">
            <v>0.95</v>
          </cell>
        </row>
        <row r="1350">
          <cell r="B1350" t="str">
            <v>2016VA</v>
          </cell>
          <cell r="C1350">
            <v>4.4953509549794296E-2</v>
          </cell>
          <cell r="D1350">
            <v>9.339670802378576E-2</v>
          </cell>
          <cell r="E1350">
            <v>0.14844092890155638</v>
          </cell>
          <cell r="F1350">
            <v>0.12331550684410268</v>
          </cell>
          <cell r="G1350">
            <v>0.5737351926100378</v>
          </cell>
          <cell r="H1350">
            <v>1.6158154070723133E-2</v>
          </cell>
          <cell r="J1350" t="str">
            <v>2016VA</v>
          </cell>
          <cell r="K1350">
            <v>0.27782387799999997</v>
          </cell>
          <cell r="L1350">
            <v>0.57373519299999998</v>
          </cell>
          <cell r="M1350">
            <v>0.148440929</v>
          </cell>
          <cell r="U1350" t="str">
            <v>2016VA</v>
          </cell>
          <cell r="V1350">
            <v>3.3934871999999998E-2</v>
          </cell>
          <cell r="W1350">
            <v>3.6244844999999998E-2</v>
          </cell>
          <cell r="X1350">
            <v>6.8933026999999994E-2</v>
          </cell>
          <cell r="Y1350">
            <v>0.550040046</v>
          </cell>
          <cell r="Z1350">
            <v>0.31084721100000001</v>
          </cell>
          <cell r="AB1350" t="str">
            <v>2016VA</v>
          </cell>
          <cell r="AC1350">
            <v>0</v>
          </cell>
          <cell r="AD1350">
            <v>0</v>
          </cell>
          <cell r="AE1350">
            <v>0.05</v>
          </cell>
          <cell r="AF1350">
            <v>0.95</v>
          </cell>
        </row>
        <row r="1351">
          <cell r="B1351" t="str">
            <v>2016WA</v>
          </cell>
          <cell r="C1351">
            <v>0.48742079910802349</v>
          </cell>
          <cell r="D1351">
            <v>0.21961274491816118</v>
          </cell>
          <cell r="E1351">
            <v>0</v>
          </cell>
          <cell r="F1351">
            <v>0.11254281869932067</v>
          </cell>
          <cell r="G1351">
            <v>0.16627589127589129</v>
          </cell>
          <cell r="H1351">
            <v>1.4147745998603438E-2</v>
          </cell>
          <cell r="J1351" t="str">
            <v>2016WA</v>
          </cell>
          <cell r="K1351">
            <v>0.83372410900000005</v>
          </cell>
          <cell r="L1351">
            <v>0.16627589100000001</v>
          </cell>
          <cell r="M1351">
            <v>0</v>
          </cell>
          <cell r="U1351" t="str">
            <v>2016WA</v>
          </cell>
          <cell r="V1351">
            <v>0.37353494700000001</v>
          </cell>
          <cell r="W1351">
            <v>3.1263627000000002E-2</v>
          </cell>
          <cell r="X1351">
            <v>0.168896926</v>
          </cell>
          <cell r="Y1351">
            <v>0.119853577</v>
          </cell>
          <cell r="Z1351">
            <v>0.30645092299999999</v>
          </cell>
          <cell r="AB1351" t="str">
            <v>2016WA</v>
          </cell>
          <cell r="AC1351">
            <v>0</v>
          </cell>
          <cell r="AD1351">
            <v>0</v>
          </cell>
          <cell r="AE1351">
            <v>0.12</v>
          </cell>
          <cell r="AF1351">
            <v>0.88</v>
          </cell>
        </row>
        <row r="1352">
          <cell r="B1352" t="str">
            <v>2016WV</v>
          </cell>
          <cell r="C1352">
            <v>6.8751812683186322E-2</v>
          </cell>
          <cell r="D1352">
            <v>0.15888641455628993</v>
          </cell>
          <cell r="E1352">
            <v>0.44831485363191043</v>
          </cell>
          <cell r="F1352">
            <v>0.22633984896592482</v>
          </cell>
          <cell r="G1352">
            <v>7.0025492327769459E-2</v>
          </cell>
          <cell r="H1352">
            <v>2.7681577834919095E-2</v>
          </cell>
          <cell r="J1352" t="str">
            <v>2016WV</v>
          </cell>
          <cell r="K1352">
            <v>0.48165965399999999</v>
          </cell>
          <cell r="L1352">
            <v>7.0025491999999995E-2</v>
          </cell>
          <cell r="M1352">
            <v>0.44831485399999998</v>
          </cell>
          <cell r="U1352" t="str">
            <v>2016WV</v>
          </cell>
          <cell r="V1352">
            <v>0.57920187499999998</v>
          </cell>
          <cell r="W1352">
            <v>2.1256934000000002E-2</v>
          </cell>
          <cell r="X1352">
            <v>0.113169981</v>
          </cell>
          <cell r="Y1352">
            <v>7.9649016000000003E-2</v>
          </cell>
          <cell r="Z1352">
            <v>0.206722194</v>
          </cell>
          <cell r="AB1352" t="str">
            <v>2016WV</v>
          </cell>
          <cell r="AC1352">
            <v>0</v>
          </cell>
          <cell r="AD1352">
            <v>0</v>
          </cell>
          <cell r="AE1352">
            <v>0.05</v>
          </cell>
          <cell r="AF1352">
            <v>0.95</v>
          </cell>
        </row>
        <row r="1353">
          <cell r="B1353" t="str">
            <v>2016WI</v>
          </cell>
          <cell r="C1353">
            <v>0.12203432597344931</v>
          </cell>
          <cell r="D1353">
            <v>0.23555629715568294</v>
          </cell>
          <cell r="E1353">
            <v>0.11540173598404266</v>
          </cell>
          <cell r="F1353">
            <v>0.42032708364290838</v>
          </cell>
          <cell r="G1353">
            <v>6.8322420806473022E-2</v>
          </cell>
          <cell r="H1353">
            <v>3.8358136437443673E-2</v>
          </cell>
          <cell r="J1353" t="str">
            <v>2016WI</v>
          </cell>
          <cell r="K1353">
            <v>0.816275843</v>
          </cell>
          <cell r="L1353">
            <v>6.8322420999999994E-2</v>
          </cell>
          <cell r="M1353">
            <v>0.115401736</v>
          </cell>
          <cell r="U1353" t="str">
            <v>2016WI</v>
          </cell>
          <cell r="V1353">
            <v>0.12883246500000001</v>
          </cell>
          <cell r="W1353">
            <v>4.2564396999999997E-2</v>
          </cell>
          <cell r="X1353">
            <v>0.23585646199999999</v>
          </cell>
          <cell r="Y1353">
            <v>0.16970626599999999</v>
          </cell>
          <cell r="Z1353">
            <v>0.42304040999999998</v>
          </cell>
          <cell r="AB1353" t="str">
            <v>2016WI</v>
          </cell>
          <cell r="AC1353">
            <v>0</v>
          </cell>
          <cell r="AD1353">
            <v>0</v>
          </cell>
          <cell r="AE1353">
            <v>0.02</v>
          </cell>
          <cell r="AF1353">
            <v>0.98</v>
          </cell>
        </row>
        <row r="1354">
          <cell r="B1354" t="str">
            <v>2016WY</v>
          </cell>
          <cell r="C1354">
            <v>0.29508724522063295</v>
          </cell>
          <cell r="D1354">
            <v>0.23251729773373622</v>
          </cell>
          <cell r="E1354">
            <v>0.12161775942187937</v>
          </cell>
          <cell r="F1354">
            <v>0.2207502472879718</v>
          </cell>
          <cell r="G1354">
            <v>7.2002554085590281E-2</v>
          </cell>
          <cell r="H1354">
            <v>5.8024896250189507E-2</v>
          </cell>
          <cell r="J1354" t="str">
            <v>2016WY</v>
          </cell>
          <cell r="K1354">
            <v>0.80637968699999996</v>
          </cell>
          <cell r="L1354">
            <v>7.2002553999999996E-2</v>
          </cell>
          <cell r="M1354">
            <v>0.12161775900000001</v>
          </cell>
          <cell r="U1354" t="str">
            <v>2016WY</v>
          </cell>
          <cell r="V1354">
            <v>3.2109568999999998E-2</v>
          </cell>
          <cell r="W1354">
            <v>5.3596850000000001E-2</v>
          </cell>
          <cell r="X1354">
            <v>0.25521061499999997</v>
          </cell>
          <cell r="Y1354">
            <v>0.16752597599999999</v>
          </cell>
          <cell r="Z1354">
            <v>0.49155699000000003</v>
          </cell>
          <cell r="AB1354" t="str">
            <v>2016WY</v>
          </cell>
          <cell r="AC1354">
            <v>0</v>
          </cell>
          <cell r="AD1354">
            <v>0</v>
          </cell>
          <cell r="AE1354">
            <v>0.6</v>
          </cell>
          <cell r="AF1354">
            <v>0.4</v>
          </cell>
        </row>
        <row r="1355">
          <cell r="B1355" t="str">
            <v>2017AL</v>
          </cell>
          <cell r="C1355">
            <v>0.17233560131521788</v>
          </cell>
          <cell r="D1355">
            <v>9.7606154746872412E-2</v>
          </cell>
          <cell r="E1355">
            <v>0.16919346457207346</v>
          </cell>
          <cell r="F1355">
            <v>0.1056405325382436</v>
          </cell>
          <cell r="G1355">
            <v>0.45062509818962659</v>
          </cell>
          <cell r="H1355">
            <v>4.5991486379660445E-3</v>
          </cell>
          <cell r="J1355" t="str">
            <v>2017AL</v>
          </cell>
          <cell r="K1355">
            <v>0.38018143700000007</v>
          </cell>
          <cell r="L1355">
            <v>0.450625098</v>
          </cell>
          <cell r="M1355">
            <v>0.16919346499999999</v>
          </cell>
          <cell r="U1355" t="str">
            <v>2017AL</v>
          </cell>
          <cell r="V1355">
            <v>5.3114938E-2</v>
          </cell>
          <cell r="W1355">
            <v>3.6058960000000001E-2</v>
          </cell>
          <cell r="X1355">
            <v>8.4414527000000003E-2</v>
          </cell>
          <cell r="Y1355">
            <v>0.50961295299999998</v>
          </cell>
          <cell r="Z1355">
            <v>0.316798623</v>
          </cell>
          <cell r="AB1355" t="str">
            <v>2017AL</v>
          </cell>
          <cell r="AC1355">
            <v>0</v>
          </cell>
          <cell r="AD1355">
            <v>0</v>
          </cell>
          <cell r="AE1355">
            <v>0.41899999999999998</v>
          </cell>
          <cell r="AF1355">
            <v>0.58099999999999996</v>
          </cell>
        </row>
        <row r="1356">
          <cell r="B1356" t="str">
            <v>2017AK</v>
          </cell>
          <cell r="C1356">
            <v>0.30334484066413492</v>
          </cell>
          <cell r="D1356">
            <v>0.23769937716735701</v>
          </cell>
          <cell r="E1356">
            <v>6.205843688929364E-2</v>
          </cell>
          <cell r="F1356">
            <v>0.28363994741136878</v>
          </cell>
          <cell r="G1356">
            <v>3.6741064625999714E-2</v>
          </cell>
          <cell r="H1356">
            <v>7.6516333241846021E-2</v>
          </cell>
          <cell r="J1356" t="str">
            <v>2017AK</v>
          </cell>
          <cell r="K1356">
            <v>0.90120049800000002</v>
          </cell>
          <cell r="L1356">
            <v>3.6741065000000003E-2</v>
          </cell>
          <cell r="M1356">
            <v>6.2058437000000001E-2</v>
          </cell>
          <cell r="U1356" t="str">
            <v>2017AK</v>
          </cell>
          <cell r="V1356">
            <v>0.52632575500000001</v>
          </cell>
          <cell r="W1356">
            <v>2.0841667000000001E-2</v>
          </cell>
          <cell r="X1356">
            <v>0.130734092</v>
          </cell>
          <cell r="Y1356">
            <v>9.9945266000000005E-2</v>
          </cell>
          <cell r="Z1356">
            <v>0.22215322100000001</v>
          </cell>
          <cell r="AB1356" t="str">
            <v>2017AK</v>
          </cell>
          <cell r="AC1356">
            <v>0</v>
          </cell>
          <cell r="AD1356">
            <v>0</v>
          </cell>
          <cell r="AE1356">
            <v>0.25</v>
          </cell>
          <cell r="AF1356">
            <v>0.75</v>
          </cell>
        </row>
        <row r="1357">
          <cell r="B1357" t="str">
            <v>2017AZ</v>
          </cell>
          <cell r="C1357">
            <v>0.611220636654217</v>
          </cell>
          <cell r="D1357">
            <v>0.19572797693407004</v>
          </cell>
          <cell r="E1357">
            <v>9.865488383487428E-2</v>
          </cell>
          <cell r="F1357">
            <v>9.3890669243012675E-2</v>
          </cell>
          <cell r="G1357">
            <v>0</v>
          </cell>
          <cell r="H1357">
            <v>5.0583333382575558E-4</v>
          </cell>
          <cell r="J1357" t="str">
            <v>2017AZ</v>
          </cell>
          <cell r="K1357">
            <v>0.901345116</v>
          </cell>
          <cell r="L1357">
            <v>0</v>
          </cell>
          <cell r="M1357">
            <v>9.8654883999999998E-2</v>
          </cell>
          <cell r="U1357" t="str">
            <v>2017AZ</v>
          </cell>
          <cell r="V1357">
            <v>0.136592664</v>
          </cell>
          <cell r="W1357">
            <v>3.2171241000000003E-2</v>
          </cell>
          <cell r="X1357">
            <v>5.4596316999999998E-2</v>
          </cell>
          <cell r="Y1357">
            <v>0.50386894699999996</v>
          </cell>
          <cell r="Z1357">
            <v>0.27277083200000002</v>
          </cell>
          <cell r="AB1357" t="str">
            <v>2017AZ</v>
          </cell>
          <cell r="AC1357">
            <v>0</v>
          </cell>
          <cell r="AD1357">
            <v>0</v>
          </cell>
          <cell r="AE1357">
            <v>0.6</v>
          </cell>
          <cell r="AF1357">
            <v>0.4</v>
          </cell>
        </row>
        <row r="1358">
          <cell r="B1358" t="str">
            <v>2017AR</v>
          </cell>
          <cell r="C1358">
            <v>9.6391342329605903E-2</v>
          </cell>
          <cell r="D1358">
            <v>6.6955456596874061E-2</v>
          </cell>
          <cell r="E1358">
            <v>0.14888335780531528</v>
          </cell>
          <cell r="F1358">
            <v>0.11118804006195876</v>
          </cell>
          <cell r="G1358">
            <v>0.57111057531117648</v>
          </cell>
          <cell r="H1358">
            <v>5.4712278950695761E-3</v>
          </cell>
          <cell r="J1358" t="str">
            <v>2017AR</v>
          </cell>
          <cell r="K1358">
            <v>0.28000606700000008</v>
          </cell>
          <cell r="L1358">
            <v>0.57111057499999995</v>
          </cell>
          <cell r="M1358">
            <v>0.14888335799999999</v>
          </cell>
          <cell r="U1358" t="str">
            <v>2017AR</v>
          </cell>
          <cell r="V1358">
            <v>3.9459004999999998E-2</v>
          </cell>
          <cell r="W1358">
            <v>3.7640482000000003E-2</v>
          </cell>
          <cell r="X1358">
            <v>0.11914443199999999</v>
          </cell>
          <cell r="Y1358">
            <v>0.45827781299999998</v>
          </cell>
          <cell r="Z1358">
            <v>0.34547826799999998</v>
          </cell>
          <cell r="AB1358" t="str">
            <v>2017AR</v>
          </cell>
          <cell r="AC1358">
            <v>0</v>
          </cell>
          <cell r="AD1358">
            <v>0</v>
          </cell>
          <cell r="AE1358">
            <v>0</v>
          </cell>
          <cell r="AF1358">
            <v>1</v>
          </cell>
        </row>
        <row r="1359">
          <cell r="B1359" t="str">
            <v>2017CA</v>
          </cell>
          <cell r="C1359">
            <v>0.58081862489107328</v>
          </cell>
          <cell r="D1359">
            <v>0.20720345916912225</v>
          </cell>
          <cell r="E1359">
            <v>0.10801924509893834</v>
          </cell>
          <cell r="F1359">
            <v>9.2431120719429966E-2</v>
          </cell>
          <cell r="G1359">
            <v>9.2523577326630076E-3</v>
          </cell>
          <cell r="H1359">
            <v>2.2751923887731596E-3</v>
          </cell>
          <cell r="J1359" t="str">
            <v>2017CA</v>
          </cell>
          <cell r="K1359">
            <v>0.88272839699999994</v>
          </cell>
          <cell r="L1359">
            <v>9.2523580000000005E-3</v>
          </cell>
          <cell r="M1359">
            <v>0.108019245</v>
          </cell>
          <cell r="U1359" t="str">
            <v>2017CA</v>
          </cell>
          <cell r="V1359">
            <v>0.133799526</v>
          </cell>
          <cell r="W1359">
            <v>3.2941353E-2</v>
          </cell>
          <cell r="X1359">
            <v>7.5800703999999997E-2</v>
          </cell>
          <cell r="Y1359">
            <v>0.46867659099999998</v>
          </cell>
          <cell r="Z1359">
            <v>0.28878182499999999</v>
          </cell>
          <cell r="AB1359" t="str">
            <v>2017CA</v>
          </cell>
          <cell r="AC1359">
            <v>0</v>
          </cell>
          <cell r="AD1359">
            <v>0</v>
          </cell>
          <cell r="AE1359">
            <v>0.12</v>
          </cell>
          <cell r="AF1359">
            <v>0.88</v>
          </cell>
        </row>
        <row r="1360">
          <cell r="B1360" t="str">
            <v>2017CO</v>
          </cell>
          <cell r="C1360">
            <v>0.61667904285785091</v>
          </cell>
          <cell r="D1360">
            <v>0.24212893570430052</v>
          </cell>
          <cell r="E1360">
            <v>1.1092391745361967E-2</v>
          </cell>
          <cell r="F1360">
            <v>0.11516410971780773</v>
          </cell>
          <cell r="G1360">
            <v>6.5671374014829543E-3</v>
          </cell>
          <cell r="H1360">
            <v>8.3683825731959392E-3</v>
          </cell>
          <cell r="J1360" t="str">
            <v>2017CO</v>
          </cell>
          <cell r="K1360">
            <v>0.98234047099999999</v>
          </cell>
          <cell r="L1360">
            <v>6.5671369999999998E-3</v>
          </cell>
          <cell r="M1360">
            <v>1.1092392E-2</v>
          </cell>
          <cell r="U1360" t="str">
            <v>2017CO</v>
          </cell>
          <cell r="V1360">
            <v>2.3378138E-2</v>
          </cell>
          <cell r="W1360">
            <v>5.3880426000000002E-2</v>
          </cell>
          <cell r="X1360">
            <v>0.25772948099999998</v>
          </cell>
          <cell r="Y1360">
            <v>0.169703665</v>
          </cell>
          <cell r="Z1360">
            <v>0.49530828999999998</v>
          </cell>
          <cell r="AB1360" t="str">
            <v>2017CO</v>
          </cell>
          <cell r="AC1360">
            <v>0</v>
          </cell>
          <cell r="AD1360">
            <v>0</v>
          </cell>
          <cell r="AE1360">
            <v>0.6</v>
          </cell>
          <cell r="AF1360">
            <v>0.4</v>
          </cell>
        </row>
        <row r="1361">
          <cell r="B1361" t="str">
            <v>2017CT</v>
          </cell>
          <cell r="C1361">
            <v>0.11572842393252261</v>
          </cell>
          <cell r="D1361">
            <v>0.20119880615243968</v>
          </cell>
          <cell r="E1361">
            <v>0.43233999756560143</v>
          </cell>
          <cell r="F1361">
            <v>0.17234541515575838</v>
          </cell>
          <cell r="G1361">
            <v>5.5615402487630847E-2</v>
          </cell>
          <cell r="H1361">
            <v>2.2771954706046996E-2</v>
          </cell>
          <cell r="J1361" t="str">
            <v>2017CT</v>
          </cell>
          <cell r="K1361">
            <v>0.51204460000000007</v>
          </cell>
          <cell r="L1361">
            <v>5.5615402000000001E-2</v>
          </cell>
          <cell r="M1361">
            <v>0.432339998</v>
          </cell>
          <cell r="U1361" t="str">
            <v>2017CT</v>
          </cell>
          <cell r="V1361">
            <v>0.57363861400000005</v>
          </cell>
          <cell r="W1361">
            <v>1.8759900999999999E-2</v>
          </cell>
          <cell r="X1361">
            <v>0.117675743</v>
          </cell>
          <cell r="Y1361">
            <v>8.9962252000000006E-2</v>
          </cell>
          <cell r="Z1361">
            <v>0.19996348999999999</v>
          </cell>
          <cell r="AB1361" t="str">
            <v>2017CT</v>
          </cell>
          <cell r="AC1361">
            <v>0</v>
          </cell>
          <cell r="AD1361">
            <v>0</v>
          </cell>
          <cell r="AE1361">
            <v>0.05</v>
          </cell>
          <cell r="AF1361">
            <v>0.95</v>
          </cell>
        </row>
        <row r="1362">
          <cell r="B1362" t="str">
            <v>2017DE</v>
          </cell>
          <cell r="C1362">
            <v>0.10201653895343663</v>
          </cell>
          <cell r="D1362">
            <v>0.1910091905838856</v>
          </cell>
          <cell r="E1362">
            <v>0.43707162937473454</v>
          </cell>
          <cell r="F1362">
            <v>0.18637975788177577</v>
          </cell>
          <cell r="G1362">
            <v>5.9883562349419175E-2</v>
          </cell>
          <cell r="H1362">
            <v>2.3639320856748244E-2</v>
          </cell>
          <cell r="J1362" t="str">
            <v>2017DE</v>
          </cell>
          <cell r="K1362">
            <v>0.50304480899999993</v>
          </cell>
          <cell r="L1362">
            <v>5.9883562000000001E-2</v>
          </cell>
          <cell r="M1362">
            <v>0.43707162900000002</v>
          </cell>
          <cell r="U1362" t="str">
            <v>2017DE</v>
          </cell>
          <cell r="V1362">
            <v>0.120253529</v>
          </cell>
          <cell r="W1362">
            <v>4.1631153999999997E-2</v>
          </cell>
          <cell r="X1362">
            <v>0.23964419100000001</v>
          </cell>
          <cell r="Y1362">
            <v>0.17588547500000001</v>
          </cell>
          <cell r="Z1362">
            <v>0.42258565100000001</v>
          </cell>
          <cell r="AB1362" t="str">
            <v>2017DE</v>
          </cell>
          <cell r="AC1362">
            <v>0</v>
          </cell>
          <cell r="AD1362">
            <v>0</v>
          </cell>
          <cell r="AE1362">
            <v>0.05</v>
          </cell>
          <cell r="AF1362">
            <v>0.95</v>
          </cell>
        </row>
        <row r="1363">
          <cell r="B1363" t="str">
            <v>2017FL</v>
          </cell>
          <cell r="C1363">
            <v>0.38654865924430459</v>
          </cell>
          <cell r="D1363">
            <v>0.14503983167997814</v>
          </cell>
          <cell r="E1363">
            <v>0.21616400084919535</v>
          </cell>
          <cell r="F1363">
            <v>7.8997496757044303E-2</v>
          </cell>
          <cell r="G1363">
            <v>0.17198217725399226</v>
          </cell>
          <cell r="H1363">
            <v>1.2678342154852779E-3</v>
          </cell>
          <cell r="J1363" t="str">
            <v>2017FL</v>
          </cell>
          <cell r="K1363">
            <v>0.61185382200000005</v>
          </cell>
          <cell r="L1363">
            <v>0.17198217700000001</v>
          </cell>
          <cell r="M1363">
            <v>0.21616400099999999</v>
          </cell>
          <cell r="U1363" t="str">
            <v>2017FL</v>
          </cell>
          <cell r="V1363">
            <v>0.71166924399999998</v>
          </cell>
          <cell r="W1363">
            <v>1.2686553E-2</v>
          </cell>
          <cell r="X1363">
            <v>7.9579288999999998E-2</v>
          </cell>
          <cell r="Y1363">
            <v>6.0837789000000003E-2</v>
          </cell>
          <cell r="Z1363">
            <v>0.135227124</v>
          </cell>
          <cell r="AB1363" t="str">
            <v>2017FL</v>
          </cell>
          <cell r="AC1363">
            <v>0</v>
          </cell>
          <cell r="AD1363">
            <v>0</v>
          </cell>
          <cell r="AE1363">
            <v>0.41899999999999998</v>
          </cell>
          <cell r="AF1363">
            <v>0.58099999999999996</v>
          </cell>
        </row>
        <row r="1364">
          <cell r="B1364" t="str">
            <v>2017GA</v>
          </cell>
          <cell r="C1364">
            <v>0.20823216155586291</v>
          </cell>
          <cell r="D1364">
            <v>0.11033206176717186</v>
          </cell>
          <cell r="E1364">
            <v>0.17733204084631207</v>
          </cell>
          <cell r="F1364">
            <v>9.7862793659120595E-2</v>
          </cell>
          <cell r="G1364">
            <v>0.40234468997942996</v>
          </cell>
          <cell r="H1364">
            <v>3.8962521921025758E-3</v>
          </cell>
          <cell r="J1364" t="str">
            <v>2017GA</v>
          </cell>
          <cell r="K1364">
            <v>0.42032326900000005</v>
          </cell>
          <cell r="L1364">
            <v>0.40234469</v>
          </cell>
          <cell r="M1364">
            <v>0.177332041</v>
          </cell>
          <cell r="U1364" t="str">
            <v>2017GA</v>
          </cell>
          <cell r="V1364">
            <v>7.8133266000000007E-2</v>
          </cell>
          <cell r="W1364">
            <v>3.5587817000000001E-2</v>
          </cell>
          <cell r="X1364">
            <v>9.7388838000000005E-2</v>
          </cell>
          <cell r="Y1364">
            <v>0.46952270200000001</v>
          </cell>
          <cell r="Z1364">
            <v>0.31936737799999998</v>
          </cell>
          <cell r="AB1364" t="str">
            <v>2017GA</v>
          </cell>
          <cell r="AC1364">
            <v>0</v>
          </cell>
          <cell r="AD1364">
            <v>0</v>
          </cell>
          <cell r="AE1364">
            <v>0.41899999999999998</v>
          </cell>
          <cell r="AF1364">
            <v>0.58099999999999996</v>
          </cell>
        </row>
        <row r="1365">
          <cell r="B1365" t="str">
            <v>2017HI</v>
          </cell>
          <cell r="C1365">
            <v>0.67137224197860923</v>
          </cell>
          <cell r="D1365">
            <v>0.21100034068527662</v>
          </cell>
          <cell r="E1365">
            <v>0</v>
          </cell>
          <cell r="F1365">
            <v>0.10820426646618357</v>
          </cell>
          <cell r="G1365">
            <v>7.5112148308577572E-3</v>
          </cell>
          <cell r="H1365">
            <v>1.9119360390725836E-3</v>
          </cell>
          <cell r="J1365" t="str">
            <v>2017HI</v>
          </cell>
          <cell r="K1365">
            <v>0.99248878500000004</v>
          </cell>
          <cell r="L1365">
            <v>7.5112149999999999E-3</v>
          </cell>
          <cell r="M1365">
            <v>0</v>
          </cell>
          <cell r="U1365" t="str">
            <v>2017HI</v>
          </cell>
          <cell r="V1365">
            <v>0.23216878499999999</v>
          </cell>
          <cell r="W1365">
            <v>3.2904865999999998E-2</v>
          </cell>
          <cell r="X1365">
            <v>0.18414778700000001</v>
          </cell>
          <cell r="Y1365">
            <v>0.21064765399999999</v>
          </cell>
          <cell r="Z1365">
            <v>0.34013090899999998</v>
          </cell>
          <cell r="AB1365" t="str">
            <v>2017HI</v>
          </cell>
          <cell r="AC1365">
            <v>0</v>
          </cell>
          <cell r="AD1365">
            <v>0</v>
          </cell>
          <cell r="AE1365">
            <v>0.25</v>
          </cell>
          <cell r="AF1365">
            <v>0.75</v>
          </cell>
        </row>
        <row r="1366">
          <cell r="B1366" t="str">
            <v>2017ID</v>
          </cell>
          <cell r="C1366">
            <v>0.62850843440764703</v>
          </cell>
          <cell r="D1366">
            <v>0.2329683972033782</v>
          </cell>
          <cell r="E1366">
            <v>6.4436683947772669E-3</v>
          </cell>
          <cell r="F1366">
            <v>0.11961222721284216</v>
          </cell>
          <cell r="G1366">
            <v>3.8149081541218642E-3</v>
          </cell>
          <cell r="H1366">
            <v>8.6523646272333287E-3</v>
          </cell>
          <cell r="J1366" t="str">
            <v>2017ID</v>
          </cell>
          <cell r="K1366">
            <v>0.98974142399999998</v>
          </cell>
          <cell r="L1366">
            <v>3.8149080000000001E-3</v>
          </cell>
          <cell r="M1366">
            <v>6.4436679999999996E-3</v>
          </cell>
          <cell r="U1366" t="str">
            <v>2017ID</v>
          </cell>
          <cell r="V1366">
            <v>0.460837895</v>
          </cell>
          <cell r="W1366">
            <v>2.6974237000000002E-2</v>
          </cell>
          <cell r="X1366">
            <v>0.14528671200000001</v>
          </cell>
          <cell r="Y1366">
            <v>0.102926191</v>
          </cell>
          <cell r="Z1366">
            <v>0.26397496599999998</v>
          </cell>
          <cell r="AB1366" t="str">
            <v>2017ID</v>
          </cell>
          <cell r="AC1366">
            <v>0</v>
          </cell>
          <cell r="AD1366">
            <v>0</v>
          </cell>
          <cell r="AE1366">
            <v>0.6</v>
          </cell>
          <cell r="AF1366">
            <v>0.4</v>
          </cell>
        </row>
        <row r="1367">
          <cell r="B1367" t="str">
            <v>2017IL</v>
          </cell>
          <cell r="C1367">
            <v>0.13175283144497188</v>
          </cell>
          <cell r="D1367">
            <v>0.26046159534668961</v>
          </cell>
          <cell r="E1367">
            <v>8.1383349234931596E-2</v>
          </cell>
          <cell r="F1367">
            <v>0.43207247933210829</v>
          </cell>
          <cell r="G1367">
            <v>4.8182181885357514E-2</v>
          </cell>
          <cell r="H1367">
            <v>4.6147562755941125E-2</v>
          </cell>
          <cell r="J1367" t="str">
            <v>2017IL</v>
          </cell>
          <cell r="K1367">
            <v>0.87043446899999999</v>
          </cell>
          <cell r="L1367">
            <v>4.8182181999999997E-2</v>
          </cell>
          <cell r="M1367">
            <v>8.1383348999999994E-2</v>
          </cell>
          <cell r="U1367" t="str">
            <v>2017IL</v>
          </cell>
          <cell r="V1367">
            <v>2.0186552999999999E-2</v>
          </cell>
          <cell r="W1367">
            <v>4.5739502000000001E-2</v>
          </cell>
          <cell r="X1367">
            <v>0.28028242399999997</v>
          </cell>
          <cell r="Y1367">
            <v>0.149587944</v>
          </cell>
          <cell r="Z1367">
            <v>0.50420357699999996</v>
          </cell>
          <cell r="AB1367" t="str">
            <v>2017IL</v>
          </cell>
          <cell r="AC1367">
            <v>0</v>
          </cell>
          <cell r="AD1367">
            <v>0</v>
          </cell>
          <cell r="AE1367">
            <v>0.02</v>
          </cell>
          <cell r="AF1367">
            <v>0.98</v>
          </cell>
        </row>
        <row r="1368">
          <cell r="B1368" t="str">
            <v>2017IN</v>
          </cell>
          <cell r="C1368">
            <v>0.16189917384296076</v>
          </cell>
          <cell r="D1368">
            <v>0.24163212738244233</v>
          </cell>
          <cell r="E1368">
            <v>0.13392208737361183</v>
          </cell>
          <cell r="F1368">
            <v>0.3491044693998876</v>
          </cell>
          <cell r="G1368">
            <v>7.9287205957511472E-2</v>
          </cell>
          <cell r="H1368">
            <v>3.4154936043586021E-2</v>
          </cell>
          <cell r="J1368" t="str">
            <v>2017IN</v>
          </cell>
          <cell r="K1368">
            <v>0.78679070699999998</v>
          </cell>
          <cell r="L1368">
            <v>7.9287205999999999E-2</v>
          </cell>
          <cell r="M1368">
            <v>0.133922087</v>
          </cell>
          <cell r="U1368" t="str">
            <v>2017IN</v>
          </cell>
          <cell r="V1368">
            <v>2.5489210000000002E-2</v>
          </cell>
          <cell r="W1368">
            <v>4.5536079E-2</v>
          </cell>
          <cell r="X1368">
            <v>0.27893099599999999</v>
          </cell>
          <cell r="Y1368">
            <v>0.14781887399999999</v>
          </cell>
          <cell r="Z1368">
            <v>0.50222484099999998</v>
          </cell>
          <cell r="AB1368" t="str">
            <v>2017IN</v>
          </cell>
          <cell r="AC1368">
            <v>0</v>
          </cell>
          <cell r="AD1368">
            <v>0</v>
          </cell>
          <cell r="AE1368">
            <v>0</v>
          </cell>
          <cell r="AF1368">
            <v>1</v>
          </cell>
        </row>
        <row r="1369">
          <cell r="B1369" t="str">
            <v>2017IA</v>
          </cell>
          <cell r="C1369">
            <v>0.13792614664225575</v>
          </cell>
          <cell r="D1369">
            <v>0.25047757969635848</v>
          </cell>
          <cell r="E1369">
            <v>0.10477197231415941</v>
          </cell>
          <cell r="F1369">
            <v>0.40507493125352922</v>
          </cell>
          <cell r="G1369">
            <v>6.2029177638731184E-2</v>
          </cell>
          <cell r="H1369">
            <v>3.9720192454965969E-2</v>
          </cell>
          <cell r="J1369" t="str">
            <v>2017IA</v>
          </cell>
          <cell r="K1369">
            <v>0.83319885000000005</v>
          </cell>
          <cell r="L1369">
            <v>6.2029177999999997E-2</v>
          </cell>
          <cell r="M1369">
            <v>0.104771972</v>
          </cell>
          <cell r="U1369" t="str">
            <v>2017IA</v>
          </cell>
          <cell r="V1369">
            <v>9.6502570000000006E-3</v>
          </cell>
          <cell r="W1369">
            <v>3.8739974000000003E-2</v>
          </cell>
          <cell r="X1369">
            <v>0.12067557499999999</v>
          </cell>
          <cell r="Y1369">
            <v>0.47629315999999999</v>
          </cell>
          <cell r="Z1369">
            <v>0.35464103499999999</v>
          </cell>
          <cell r="AB1369" t="str">
            <v>2017IA</v>
          </cell>
          <cell r="AC1369">
            <v>0</v>
          </cell>
          <cell r="AD1369">
            <v>0</v>
          </cell>
          <cell r="AE1369">
            <v>0</v>
          </cell>
          <cell r="AF1369">
            <v>1</v>
          </cell>
        </row>
        <row r="1370">
          <cell r="B1370" t="str">
            <v>2017KS</v>
          </cell>
          <cell r="C1370">
            <v>0.28758404285910905</v>
          </cell>
          <cell r="D1370">
            <v>0.32607606753917184</v>
          </cell>
          <cell r="E1370">
            <v>5.1050547933917619E-2</v>
          </cell>
          <cell r="F1370">
            <v>0.27762124338847843</v>
          </cell>
          <cell r="G1370">
            <v>3.0223956239483565E-2</v>
          </cell>
          <cell r="H1370">
            <v>2.7444142039839463E-2</v>
          </cell>
          <cell r="J1370" t="str">
            <v>2017KS</v>
          </cell>
          <cell r="K1370">
            <v>0.91872549599999997</v>
          </cell>
          <cell r="L1370">
            <v>3.0223956E-2</v>
          </cell>
          <cell r="M1370">
            <v>5.1050548000000001E-2</v>
          </cell>
          <cell r="U1370" t="str">
            <v>2017KS</v>
          </cell>
          <cell r="V1370">
            <v>2.3647662E-2</v>
          </cell>
          <cell r="W1370">
            <v>4.6272377000000003E-2</v>
          </cell>
          <cell r="X1370">
            <v>0.28189652199999998</v>
          </cell>
          <cell r="Y1370">
            <v>0.13395533500000001</v>
          </cell>
          <cell r="Z1370">
            <v>0.51422810299999999</v>
          </cell>
          <cell r="AB1370" t="str">
            <v>2017KS</v>
          </cell>
          <cell r="AC1370">
            <v>0</v>
          </cell>
          <cell r="AD1370">
            <v>0</v>
          </cell>
          <cell r="AE1370">
            <v>0.02</v>
          </cell>
          <cell r="AF1370">
            <v>0.98</v>
          </cell>
        </row>
        <row r="1371">
          <cell r="B1371" t="str">
            <v>2017KY</v>
          </cell>
          <cell r="C1371">
            <v>2.3305602928070858E-2</v>
          </cell>
          <cell r="D1371">
            <v>6.2885861766289422E-2</v>
          </cell>
          <cell r="E1371">
            <v>0.14165738300711325</v>
          </cell>
          <cell r="F1371">
            <v>0.14315421990856123</v>
          </cell>
          <cell r="G1371">
            <v>0.61397716539009373</v>
          </cell>
          <cell r="H1371">
            <v>1.5019766999871505E-2</v>
          </cell>
          <cell r="J1371" t="str">
            <v>2017KY</v>
          </cell>
          <cell r="K1371">
            <v>0.24436545200000004</v>
          </cell>
          <cell r="L1371">
            <v>0.61397716499999999</v>
          </cell>
          <cell r="M1371">
            <v>0.141657383</v>
          </cell>
          <cell r="U1371" t="str">
            <v>2017KY</v>
          </cell>
          <cell r="V1371">
            <v>4.9184704000000003E-2</v>
          </cell>
          <cell r="W1371">
            <v>3.7321891000000003E-2</v>
          </cell>
          <cell r="X1371">
            <v>0.11991215400000001</v>
          </cell>
          <cell r="Y1371">
            <v>0.45018075899999999</v>
          </cell>
          <cell r="Z1371">
            <v>0.34340049099999997</v>
          </cell>
          <cell r="AB1371" t="str">
            <v>2017KY</v>
          </cell>
          <cell r="AC1371">
            <v>0</v>
          </cell>
          <cell r="AD1371">
            <v>0</v>
          </cell>
          <cell r="AE1371">
            <v>0.05</v>
          </cell>
          <cell r="AF1371">
            <v>0.95</v>
          </cell>
        </row>
        <row r="1372">
          <cell r="B1372" t="str">
            <v>2017LA</v>
          </cell>
          <cell r="C1372">
            <v>8.7696493950327165E-2</v>
          </cell>
          <cell r="D1372">
            <v>6.4637521135916851E-2</v>
          </cell>
          <cell r="E1372">
            <v>0.14461730665558523</v>
          </cell>
          <cell r="F1372">
            <v>0.10160244529023774</v>
          </cell>
          <cell r="G1372">
            <v>0.59641803499629376</v>
          </cell>
          <cell r="H1372">
            <v>5.0281979716392446E-3</v>
          </cell>
          <cell r="J1372" t="str">
            <v>2017LA</v>
          </cell>
          <cell r="K1372">
            <v>0.25896465800000001</v>
          </cell>
          <cell r="L1372">
            <v>0.59641803500000001</v>
          </cell>
          <cell r="M1372">
            <v>0.144617307</v>
          </cell>
          <cell r="U1372" t="str">
            <v>2017LA</v>
          </cell>
          <cell r="V1372">
            <v>0.53551704700000002</v>
          </cell>
          <cell r="W1372">
            <v>2.0437250000000001E-2</v>
          </cell>
          <cell r="X1372">
            <v>0.12819729499999999</v>
          </cell>
          <cell r="Y1372">
            <v>9.8005903000000005E-2</v>
          </cell>
          <cell r="Z1372">
            <v>0.21784250499999999</v>
          </cell>
          <cell r="AB1372" t="str">
            <v>2017LA</v>
          </cell>
          <cell r="AC1372">
            <v>0</v>
          </cell>
          <cell r="AD1372">
            <v>0</v>
          </cell>
          <cell r="AE1372">
            <v>0.6</v>
          </cell>
          <cell r="AF1372">
            <v>0.4</v>
          </cell>
        </row>
        <row r="1373">
          <cell r="B1373" t="str">
            <v>2017ME</v>
          </cell>
          <cell r="C1373">
            <v>9.3713015315557757E-2</v>
          </cell>
          <cell r="D1373">
            <v>0.17210096338216258</v>
          </cell>
          <cell r="E1373">
            <v>0.44837154081607639</v>
          </cell>
          <cell r="F1373">
            <v>0.19633313267932656</v>
          </cell>
          <cell r="G1373">
            <v>7.0076626899074845E-2</v>
          </cell>
          <cell r="H1373">
            <v>1.9404720907801824E-2</v>
          </cell>
          <cell r="J1373" t="str">
            <v>2017ME</v>
          </cell>
          <cell r="K1373">
            <v>0.48155183200000007</v>
          </cell>
          <cell r="L1373">
            <v>7.0076627000000002E-2</v>
          </cell>
          <cell r="M1373">
            <v>0.44837154099999998</v>
          </cell>
          <cell r="U1373" t="str">
            <v>2017ME</v>
          </cell>
          <cell r="V1373">
            <v>0.72920202000000001</v>
          </cell>
          <cell r="W1373">
            <v>1.1915111000000001E-2</v>
          </cell>
          <cell r="X1373">
            <v>7.4740241999999998E-2</v>
          </cell>
          <cell r="Y1373">
            <v>5.7138373999999999E-2</v>
          </cell>
          <cell r="Z1373">
            <v>0.12700425300000001</v>
          </cell>
          <cell r="AB1373" t="str">
            <v>2017ME</v>
          </cell>
          <cell r="AC1373">
            <v>0</v>
          </cell>
          <cell r="AD1373">
            <v>0</v>
          </cell>
          <cell r="AE1373">
            <v>0.05</v>
          </cell>
          <cell r="AF1373">
            <v>0.95</v>
          </cell>
        </row>
        <row r="1374">
          <cell r="B1374" t="str">
            <v>2017MD</v>
          </cell>
          <cell r="C1374">
            <v>7.6488535055593554E-2</v>
          </cell>
          <cell r="D1374">
            <v>0.15472472257238745</v>
          </cell>
          <cell r="E1374">
            <v>0.44380834258126728</v>
          </cell>
          <cell r="F1374">
            <v>0.22861605738914034</v>
          </cell>
          <cell r="G1374">
            <v>6.5960402236453913E-2</v>
          </cell>
          <cell r="H1374">
            <v>3.0401940165157418E-2</v>
          </cell>
          <cell r="J1374" t="str">
            <v>2017MD</v>
          </cell>
          <cell r="K1374">
            <v>0.49023125499999998</v>
          </cell>
          <cell r="L1374">
            <v>6.5960402000000001E-2</v>
          </cell>
          <cell r="M1374">
            <v>0.44380834299999999</v>
          </cell>
          <cell r="U1374" t="str">
            <v>2017MD</v>
          </cell>
          <cell r="V1374">
            <v>0.21140679400000001</v>
          </cell>
          <cell r="W1374">
            <v>3.7602905999999998E-2</v>
          </cell>
          <cell r="X1374">
            <v>0.214504853</v>
          </cell>
          <cell r="Y1374">
            <v>0.15671048400000001</v>
          </cell>
          <cell r="Z1374">
            <v>0.37977496300000002</v>
          </cell>
          <cell r="AB1374" t="str">
            <v>2017MD</v>
          </cell>
          <cell r="AC1374">
            <v>0</v>
          </cell>
          <cell r="AD1374">
            <v>0</v>
          </cell>
          <cell r="AE1374">
            <v>0.05</v>
          </cell>
          <cell r="AF1374">
            <v>0.95</v>
          </cell>
        </row>
        <row r="1375">
          <cell r="B1375" t="str">
            <v>2017MA</v>
          </cell>
          <cell r="C1375">
            <v>6.1305440163427552E-2</v>
          </cell>
          <cell r="D1375">
            <v>0.14874705508142777</v>
          </cell>
          <cell r="E1375">
            <v>0.45216403673004657</v>
          </cell>
          <cell r="F1375">
            <v>0.23617268276189021</v>
          </cell>
          <cell r="G1375">
            <v>7.3497640935872632E-2</v>
          </cell>
          <cell r="H1375">
            <v>2.8113144327335336E-2</v>
          </cell>
          <cell r="J1375" t="str">
            <v>2017MA</v>
          </cell>
          <cell r="K1375">
            <v>0.47433832199999992</v>
          </cell>
          <cell r="L1375">
            <v>7.3497641000000002E-2</v>
          </cell>
          <cell r="M1375">
            <v>0.45216403700000002</v>
          </cell>
          <cell r="U1375" t="str">
            <v>2017MA</v>
          </cell>
          <cell r="V1375">
            <v>0.31419575799999999</v>
          </cell>
          <cell r="W1375">
            <v>3.0175387000000001E-2</v>
          </cell>
          <cell r="X1375">
            <v>0.18928197099999999</v>
          </cell>
          <cell r="Y1375">
            <v>0.14470469499999999</v>
          </cell>
          <cell r="Z1375">
            <v>0.32164218900000002</v>
          </cell>
          <cell r="AB1375" t="str">
            <v>2017MA</v>
          </cell>
          <cell r="AC1375">
            <v>0</v>
          </cell>
          <cell r="AD1375">
            <v>0</v>
          </cell>
          <cell r="AE1375">
            <v>0.05</v>
          </cell>
          <cell r="AF1375">
            <v>0.95</v>
          </cell>
        </row>
        <row r="1376">
          <cell r="B1376" t="str">
            <v>2017MI</v>
          </cell>
          <cell r="C1376">
            <v>0.21592740095911189</v>
          </cell>
          <cell r="D1376">
            <v>0.33044604004991018</v>
          </cell>
          <cell r="E1376">
            <v>5.8998863632555826E-2</v>
          </cell>
          <cell r="F1376">
            <v>0.32074430847532459</v>
          </cell>
          <cell r="G1376">
            <v>3.4929675483950956E-2</v>
          </cell>
          <cell r="H1376">
            <v>3.8953711399146676E-2</v>
          </cell>
          <cell r="J1376" t="str">
            <v>2017MI</v>
          </cell>
          <cell r="K1376">
            <v>0.90607146100000002</v>
          </cell>
          <cell r="L1376">
            <v>3.4929675E-2</v>
          </cell>
          <cell r="M1376">
            <v>5.8998863999999998E-2</v>
          </cell>
          <cell r="U1376" t="str">
            <v>2017MI</v>
          </cell>
          <cell r="V1376">
            <v>4.5127237000000001E-2</v>
          </cell>
          <cell r="W1376">
            <v>5.0500046999999999E-2</v>
          </cell>
          <cell r="X1376">
            <v>0.254352099</v>
          </cell>
          <cell r="Y1376">
            <v>0.17319266699999999</v>
          </cell>
          <cell r="Z1376">
            <v>0.47682794899999997</v>
          </cell>
          <cell r="AB1376" t="str">
            <v>2017MI</v>
          </cell>
          <cell r="AC1376">
            <v>0</v>
          </cell>
          <cell r="AD1376">
            <v>0</v>
          </cell>
          <cell r="AE1376">
            <v>0.02</v>
          </cell>
          <cell r="AF1376">
            <v>0.98</v>
          </cell>
        </row>
        <row r="1377">
          <cell r="B1377" t="str">
            <v>2017MN</v>
          </cell>
          <cell r="C1377">
            <v>0.11559741536790068</v>
          </cell>
          <cell r="D1377">
            <v>0.23915415867765383</v>
          </cell>
          <cell r="E1377">
            <v>0.10052931481156221</v>
          </cell>
          <cell r="F1377">
            <v>0.43822851849088174</v>
          </cell>
          <cell r="G1377">
            <v>5.9517355535203494E-2</v>
          </cell>
          <cell r="H1377">
            <v>4.697323711679801E-2</v>
          </cell>
          <cell r="J1377" t="str">
            <v>2017MN</v>
          </cell>
          <cell r="K1377">
            <v>0.83995332899999997</v>
          </cell>
          <cell r="L1377">
            <v>5.9517356E-2</v>
          </cell>
          <cell r="M1377">
            <v>0.10052931499999999</v>
          </cell>
          <cell r="U1377" t="str">
            <v>2017MN</v>
          </cell>
          <cell r="V1377">
            <v>1.5145339000000001E-2</v>
          </cell>
          <cell r="W1377">
            <v>5.1986831999999997E-2</v>
          </cell>
          <cell r="X1377">
            <v>0.262445557</v>
          </cell>
          <cell r="Y1377">
            <v>0.17896024199999999</v>
          </cell>
          <cell r="Z1377">
            <v>0.49146202900000002</v>
          </cell>
          <cell r="AB1377" t="str">
            <v>2017MN</v>
          </cell>
          <cell r="AC1377">
            <v>0</v>
          </cell>
          <cell r="AD1377">
            <v>0</v>
          </cell>
          <cell r="AE1377">
            <v>0</v>
          </cell>
          <cell r="AF1377">
            <v>1</v>
          </cell>
        </row>
        <row r="1378">
          <cell r="B1378" t="str">
            <v>2017MS</v>
          </cell>
          <cell r="C1378">
            <v>0.10416334210611014</v>
          </cell>
          <cell r="D1378">
            <v>7.2829933678422776E-2</v>
          </cell>
          <cell r="E1378">
            <v>0.14929269604113307</v>
          </cell>
          <cell r="F1378">
            <v>0.10019278631941281</v>
          </cell>
          <cell r="G1378">
            <v>0.56868226150598644</v>
          </cell>
          <cell r="H1378">
            <v>4.838980348934833E-3</v>
          </cell>
          <cell r="J1378" t="str">
            <v>2017MS</v>
          </cell>
          <cell r="K1378">
            <v>0.28202504199999989</v>
          </cell>
          <cell r="L1378">
            <v>0.56868226200000005</v>
          </cell>
          <cell r="M1378">
            <v>0.149292696</v>
          </cell>
          <cell r="U1378" t="str">
            <v>2017MS</v>
          </cell>
          <cell r="V1378">
            <v>2.1100625000000001E-2</v>
          </cell>
          <cell r="W1378">
            <v>3.6418512E-2</v>
          </cell>
          <cell r="X1378">
            <v>6.0129593000000002E-2</v>
          </cell>
          <cell r="Y1378">
            <v>0.574366987</v>
          </cell>
          <cell r="Z1378">
            <v>0.30798428300000003</v>
          </cell>
          <cell r="AB1378" t="str">
            <v>2017MS</v>
          </cell>
          <cell r="AC1378">
            <v>0</v>
          </cell>
          <cell r="AD1378">
            <v>0</v>
          </cell>
          <cell r="AE1378">
            <v>0.6</v>
          </cell>
          <cell r="AF1378">
            <v>0.4</v>
          </cell>
        </row>
        <row r="1379">
          <cell r="B1379" t="str">
            <v>2017MO</v>
          </cell>
          <cell r="C1379">
            <v>6.4925479522277466E-2</v>
          </cell>
          <cell r="D1379">
            <v>0.18170303563698134</v>
          </cell>
          <cell r="E1379">
            <v>0.14337282997597614</v>
          </cell>
          <cell r="F1379">
            <v>0.47880340852502545</v>
          </cell>
          <cell r="G1379">
            <v>8.4882421727070459E-2</v>
          </cell>
          <cell r="H1379">
            <v>4.6312824612669105E-2</v>
          </cell>
          <cell r="J1379" t="str">
            <v>2017MO</v>
          </cell>
          <cell r="K1379">
            <v>0.77174474799999992</v>
          </cell>
          <cell r="L1379">
            <v>8.4882421999999999E-2</v>
          </cell>
          <cell r="M1379">
            <v>0.14337283000000001</v>
          </cell>
          <cell r="U1379" t="str">
            <v>2017MO</v>
          </cell>
          <cell r="V1379">
            <v>2.998994E-2</v>
          </cell>
          <cell r="W1379">
            <v>4.5757142000000001E-2</v>
          </cell>
          <cell r="X1379">
            <v>0.27926039899999999</v>
          </cell>
          <cell r="Y1379">
            <v>0.13775391300000001</v>
          </cell>
          <cell r="Z1379">
            <v>0.50723860600000004</v>
          </cell>
          <cell r="AB1379" t="str">
            <v>2017MO</v>
          </cell>
          <cell r="AC1379">
            <v>0</v>
          </cell>
          <cell r="AD1379">
            <v>0</v>
          </cell>
          <cell r="AE1379">
            <v>0</v>
          </cell>
          <cell r="AF1379">
            <v>1</v>
          </cell>
        </row>
        <row r="1380">
          <cell r="B1380" t="str">
            <v>2017MT</v>
          </cell>
          <cell r="C1380">
            <v>0.35597781750083307</v>
          </cell>
          <cell r="D1380">
            <v>0.25924389885240834</v>
          </cell>
          <cell r="E1380">
            <v>4.3797789125912777E-2</v>
          </cell>
          <cell r="F1380">
            <v>0.25058080537727367</v>
          </cell>
          <cell r="G1380">
            <v>2.5930034358127463E-2</v>
          </cell>
          <cell r="H1380">
            <v>6.4469654785444572E-2</v>
          </cell>
          <cell r="J1380" t="str">
            <v>2017MT</v>
          </cell>
          <cell r="K1380">
            <v>0.93027217699999998</v>
          </cell>
          <cell r="L1380">
            <v>2.5930034000000001E-2</v>
          </cell>
          <cell r="M1380">
            <v>4.3797788999999997E-2</v>
          </cell>
          <cell r="U1380" t="str">
            <v>2017MT</v>
          </cell>
          <cell r="V1380">
            <v>6.0520032000000001E-2</v>
          </cell>
          <cell r="W1380">
            <v>5.1214043000000001E-2</v>
          </cell>
          <cell r="X1380">
            <v>0.24859647000000001</v>
          </cell>
          <cell r="Y1380">
            <v>0.16530719099999999</v>
          </cell>
          <cell r="Z1380">
            <v>0.47436226399999998</v>
          </cell>
          <cell r="AB1380" t="str">
            <v>2017MT</v>
          </cell>
          <cell r="AC1380">
            <v>0</v>
          </cell>
          <cell r="AD1380">
            <v>0</v>
          </cell>
          <cell r="AE1380">
            <v>0.6</v>
          </cell>
          <cell r="AF1380">
            <v>0.4</v>
          </cell>
        </row>
        <row r="1381">
          <cell r="B1381" t="str">
            <v>2017NE</v>
          </cell>
          <cell r="C1381">
            <v>0.21260954807532403</v>
          </cell>
          <cell r="D1381">
            <v>0.30324255962083846</v>
          </cell>
          <cell r="E1381">
            <v>6.1277054134417128E-2</v>
          </cell>
          <cell r="F1381">
            <v>0.34696077142199511</v>
          </cell>
          <cell r="G1381">
            <v>3.6278454935301678E-2</v>
          </cell>
          <cell r="H1381">
            <v>3.9631611812123581E-2</v>
          </cell>
          <cell r="J1381" t="str">
            <v>2017NE</v>
          </cell>
          <cell r="K1381">
            <v>0.90244449100000002</v>
          </cell>
          <cell r="L1381">
            <v>3.6278455000000001E-2</v>
          </cell>
          <cell r="M1381">
            <v>6.1277053999999997E-2</v>
          </cell>
          <cell r="U1381" t="str">
            <v>2017NE</v>
          </cell>
          <cell r="V1381">
            <v>3.0063880000000001E-2</v>
          </cell>
          <cell r="W1381">
            <v>4.5295173000000001E-2</v>
          </cell>
          <cell r="X1381">
            <v>0.27751980599999998</v>
          </cell>
          <cell r="Y1381">
            <v>0.147715386</v>
          </cell>
          <cell r="Z1381">
            <v>0.49940575500000001</v>
          </cell>
          <cell r="AB1381" t="str">
            <v>2017NE</v>
          </cell>
          <cell r="AC1381">
            <v>0</v>
          </cell>
          <cell r="AD1381">
            <v>0</v>
          </cell>
          <cell r="AE1381">
            <v>0.02</v>
          </cell>
          <cell r="AF1381">
            <v>0.98</v>
          </cell>
        </row>
        <row r="1382">
          <cell r="B1382" t="str">
            <v>2017NV</v>
          </cell>
          <cell r="C1382">
            <v>0.64210148526116029</v>
          </cell>
          <cell r="D1382">
            <v>0.238399883587257</v>
          </cell>
          <cell r="E1382">
            <v>4.1594375177217181E-3</v>
          </cell>
          <cell r="F1382">
            <v>0.10819864870890922</v>
          </cell>
          <cell r="G1382">
            <v>2.4625525602432058E-3</v>
          </cell>
          <cell r="H1382">
            <v>4.677992364708553E-3</v>
          </cell>
          <cell r="J1382" t="str">
            <v>2017NV</v>
          </cell>
          <cell r="K1382">
            <v>0.99337800899999995</v>
          </cell>
          <cell r="L1382">
            <v>2.4625530000000001E-3</v>
          </cell>
          <cell r="M1382">
            <v>4.1594379999999997E-3</v>
          </cell>
          <cell r="U1382" t="str">
            <v>2017NV</v>
          </cell>
          <cell r="V1382">
            <v>0.35004114600000003</v>
          </cell>
          <cell r="W1382">
            <v>2.4048478000000002E-2</v>
          </cell>
          <cell r="X1382">
            <v>3.5747737000000002E-2</v>
          </cell>
          <cell r="Y1382">
            <v>0.38867539400000001</v>
          </cell>
          <cell r="Z1382">
            <v>0.20148724500000001</v>
          </cell>
          <cell r="AB1382" t="str">
            <v>2017NV</v>
          </cell>
          <cell r="AC1382">
            <v>0</v>
          </cell>
          <cell r="AD1382">
            <v>0</v>
          </cell>
          <cell r="AE1382">
            <v>0</v>
          </cell>
          <cell r="AF1382">
            <v>1</v>
          </cell>
        </row>
        <row r="1383">
          <cell r="B1383" t="str">
            <v>2017NH</v>
          </cell>
          <cell r="C1383">
            <v>9.4573445198850817E-2</v>
          </cell>
          <cell r="D1383">
            <v>0.16340842518862655</v>
          </cell>
          <cell r="E1383">
            <v>0.44298025846087286</v>
          </cell>
          <cell r="F1383">
            <v>0.20852129702854144</v>
          </cell>
          <cell r="G1383">
            <v>6.52134304627775E-2</v>
          </cell>
          <cell r="H1383">
            <v>2.5303143660330828E-2</v>
          </cell>
          <cell r="J1383" t="str">
            <v>2017NH</v>
          </cell>
          <cell r="K1383">
            <v>0.49180631200000002</v>
          </cell>
          <cell r="L1383">
            <v>6.5213430000000003E-2</v>
          </cell>
          <cell r="M1383">
            <v>0.44298025800000002</v>
          </cell>
          <cell r="U1383" t="str">
            <v>2017NH</v>
          </cell>
          <cell r="V1383">
            <v>0.56759962799999997</v>
          </cell>
          <cell r="W1383">
            <v>1.9025615999999999E-2</v>
          </cell>
          <cell r="X1383">
            <v>0.119342503</v>
          </cell>
          <cell r="Y1383">
            <v>9.1236478999999995E-2</v>
          </cell>
          <cell r="Z1383">
            <v>0.20279577500000001</v>
          </cell>
          <cell r="AB1383" t="str">
            <v>2017NH</v>
          </cell>
          <cell r="AC1383">
            <v>0</v>
          </cell>
          <cell r="AD1383">
            <v>0</v>
          </cell>
          <cell r="AE1383">
            <v>0.05</v>
          </cell>
          <cell r="AF1383">
            <v>0.95</v>
          </cell>
        </row>
        <row r="1384">
          <cell r="B1384" t="str">
            <v>2017NJ</v>
          </cell>
          <cell r="C1384">
            <v>5.8003576611346738E-2</v>
          </cell>
          <cell r="D1384">
            <v>0.13897871355240557</v>
          </cell>
          <cell r="E1384">
            <v>0.45397029129837874</v>
          </cell>
          <cell r="F1384">
            <v>0.24471653627570109</v>
          </cell>
          <cell r="G1384">
            <v>7.5126969581826603E-2</v>
          </cell>
          <cell r="H1384">
            <v>2.9203912680341212E-2</v>
          </cell>
          <cell r="J1384" t="str">
            <v>2017NJ</v>
          </cell>
          <cell r="K1384">
            <v>0.47090273900000001</v>
          </cell>
          <cell r="L1384">
            <v>7.5126970000000001E-2</v>
          </cell>
          <cell r="M1384">
            <v>0.45397029100000003</v>
          </cell>
          <cell r="U1384" t="str">
            <v>2017NJ</v>
          </cell>
          <cell r="V1384">
            <v>0.30808167400000003</v>
          </cell>
          <cell r="W1384">
            <v>3.3011736E-2</v>
          </cell>
          <cell r="X1384">
            <v>0.18818818500000001</v>
          </cell>
          <cell r="Y1384">
            <v>0.137437002</v>
          </cell>
          <cell r="Z1384">
            <v>0.333281404</v>
          </cell>
          <cell r="AB1384" t="str">
            <v>2017NJ</v>
          </cell>
          <cell r="AC1384">
            <v>0</v>
          </cell>
          <cell r="AD1384">
            <v>0</v>
          </cell>
          <cell r="AE1384">
            <v>0.05</v>
          </cell>
          <cell r="AF1384">
            <v>0.95</v>
          </cell>
        </row>
        <row r="1385">
          <cell r="B1385" t="str">
            <v>2017NM</v>
          </cell>
          <cell r="C1385">
            <v>0.61184589317007076</v>
          </cell>
          <cell r="D1385">
            <v>0.19452029294367307</v>
          </cell>
          <cell r="E1385">
            <v>9.8952813124742175E-2</v>
          </cell>
          <cell r="F1385">
            <v>9.4174237847419268E-2</v>
          </cell>
          <cell r="G1385">
            <v>0</v>
          </cell>
          <cell r="H1385">
            <v>5.0676291409465751E-4</v>
          </cell>
          <cell r="J1385" t="str">
            <v>2017NM</v>
          </cell>
          <cell r="K1385">
            <v>0.90104718699999997</v>
          </cell>
          <cell r="L1385">
            <v>0</v>
          </cell>
          <cell r="M1385">
            <v>9.8952813000000001E-2</v>
          </cell>
          <cell r="U1385" t="str">
            <v>2017NM</v>
          </cell>
          <cell r="V1385">
            <v>0.91655606099999998</v>
          </cell>
          <cell r="W1385">
            <v>3.6715329999999998E-3</v>
          </cell>
          <cell r="X1385">
            <v>2.3030526999999999E-2</v>
          </cell>
          <cell r="Y1385">
            <v>1.7606671000000001E-2</v>
          </cell>
          <cell r="Z1385">
            <v>3.9135206999999998E-2</v>
          </cell>
          <cell r="AB1385" t="str">
            <v>2017NM</v>
          </cell>
          <cell r="AC1385">
            <v>0</v>
          </cell>
          <cell r="AD1385">
            <v>0</v>
          </cell>
          <cell r="AE1385">
            <v>0.6</v>
          </cell>
          <cell r="AF1385">
            <v>0.4</v>
          </cell>
        </row>
        <row r="1386">
          <cell r="B1386" t="str">
            <v>2017NY</v>
          </cell>
          <cell r="C1386">
            <v>9.8408703041683282E-2</v>
          </cell>
          <cell r="D1386">
            <v>0.15954377256245178</v>
          </cell>
          <cell r="E1386">
            <v>0.44849165243165579</v>
          </cell>
          <cell r="F1386">
            <v>0.20287733376538455</v>
          </cell>
          <cell r="G1386">
            <v>7.0184973363303343E-2</v>
          </cell>
          <cell r="H1386">
            <v>2.0493564835521279E-2</v>
          </cell>
          <cell r="J1386" t="str">
            <v>2017NY</v>
          </cell>
          <cell r="K1386">
            <v>0.481323375</v>
          </cell>
          <cell r="L1386">
            <v>7.0184972999999998E-2</v>
          </cell>
          <cell r="M1386">
            <v>0.44849165200000002</v>
          </cell>
          <cell r="U1386" t="str">
            <v>2017NY</v>
          </cell>
          <cell r="V1386">
            <v>0.20441514899999999</v>
          </cell>
          <cell r="W1386">
            <v>4.1815811000000001E-2</v>
          </cell>
          <cell r="X1386">
            <v>0.21220383400000001</v>
          </cell>
          <cell r="Y1386">
            <v>0.145168144</v>
          </cell>
          <cell r="Z1386">
            <v>0.396397061</v>
          </cell>
          <cell r="AB1386" t="str">
            <v>2017NY</v>
          </cell>
          <cell r="AC1386">
            <v>0</v>
          </cell>
          <cell r="AD1386">
            <v>0</v>
          </cell>
          <cell r="AE1386">
            <v>0.05</v>
          </cell>
          <cell r="AF1386">
            <v>0.95</v>
          </cell>
        </row>
        <row r="1387">
          <cell r="B1387" t="str">
            <v>2017NC</v>
          </cell>
          <cell r="C1387">
            <v>6.168821577504751E-2</v>
          </cell>
          <cell r="D1387">
            <v>0.11278426418396881</v>
          </cell>
          <cell r="E1387">
            <v>0.15395779991170949</v>
          </cell>
          <cell r="F1387">
            <v>0.11589101949636353</v>
          </cell>
          <cell r="G1387">
            <v>0.54100750469043157</v>
          </cell>
          <cell r="H1387">
            <v>1.4671195942479084E-2</v>
          </cell>
          <cell r="J1387" t="str">
            <v>2017NC</v>
          </cell>
          <cell r="K1387">
            <v>0.30503469499999991</v>
          </cell>
          <cell r="L1387">
            <v>0.54100750500000006</v>
          </cell>
          <cell r="M1387">
            <v>0.15395780000000001</v>
          </cell>
          <cell r="U1387" t="str">
            <v>2017NC</v>
          </cell>
          <cell r="V1387">
            <v>2.4742549999999999E-3</v>
          </cell>
          <cell r="W1387">
            <v>3.7123251000000003E-2</v>
          </cell>
          <cell r="X1387">
            <v>6.1645423999999997E-2</v>
          </cell>
          <cell r="Y1387">
            <v>0.58464508599999998</v>
          </cell>
          <cell r="Z1387">
            <v>0.31411198400000001</v>
          </cell>
          <cell r="AB1387" t="str">
            <v>2017NC</v>
          </cell>
          <cell r="AC1387">
            <v>0</v>
          </cell>
          <cell r="AD1387">
            <v>0</v>
          </cell>
          <cell r="AE1387">
            <v>0.41899999999999998</v>
          </cell>
          <cell r="AF1387">
            <v>0.58099999999999996</v>
          </cell>
        </row>
        <row r="1388">
          <cell r="B1388" t="str">
            <v>2017ND</v>
          </cell>
          <cell r="C1388">
            <v>0.1196932700797023</v>
          </cell>
          <cell r="D1388">
            <v>0.21866711268457967</v>
          </cell>
          <cell r="E1388">
            <v>0.10978970169096619</v>
          </cell>
          <cell r="F1388">
            <v>0.448028418369537</v>
          </cell>
          <cell r="G1388">
            <v>6.499987314042277E-2</v>
          </cell>
          <cell r="H1388">
            <v>3.8821624034792085E-2</v>
          </cell>
          <cell r="J1388" t="str">
            <v>2017ND</v>
          </cell>
          <cell r="K1388">
            <v>0.82521042499999997</v>
          </cell>
          <cell r="L1388">
            <v>6.4999873E-2</v>
          </cell>
          <cell r="M1388">
            <v>0.109789702</v>
          </cell>
          <cell r="U1388" t="str">
            <v>2017ND</v>
          </cell>
          <cell r="V1388">
            <v>8.8434773999999994E-2</v>
          </cell>
          <cell r="W1388">
            <v>4.7868137999999998E-2</v>
          </cell>
          <cell r="X1388">
            <v>0.243186129</v>
          </cell>
          <cell r="Y1388">
            <v>0.16647603599999999</v>
          </cell>
          <cell r="Z1388">
            <v>0.45403492299999998</v>
          </cell>
          <cell r="AB1388" t="str">
            <v>2017ND</v>
          </cell>
          <cell r="AC1388">
            <v>0</v>
          </cell>
          <cell r="AD1388">
            <v>0</v>
          </cell>
          <cell r="AE1388">
            <v>0.02</v>
          </cell>
          <cell r="AF1388">
            <v>0.98</v>
          </cell>
        </row>
        <row r="1389">
          <cell r="B1389" t="str">
            <v>2017OH</v>
          </cell>
          <cell r="C1389">
            <v>0.10753833947858983</v>
          </cell>
          <cell r="D1389">
            <v>0.22522557822049544</v>
          </cell>
          <cell r="E1389">
            <v>0.13589110116557596</v>
          </cell>
          <cell r="F1389">
            <v>0.4097570212201273</v>
          </cell>
          <cell r="G1389">
            <v>8.0452940491062386E-2</v>
          </cell>
          <cell r="H1389">
            <v>4.1135019424149183E-2</v>
          </cell>
          <cell r="J1389" t="str">
            <v>2017OH</v>
          </cell>
          <cell r="K1389">
            <v>0.78365595900000007</v>
          </cell>
          <cell r="L1389">
            <v>8.0452940000000001E-2</v>
          </cell>
          <cell r="M1389">
            <v>0.13589110099999999</v>
          </cell>
          <cell r="U1389" t="str">
            <v>2017OH</v>
          </cell>
          <cell r="V1389">
            <v>6.6338901000000006E-2</v>
          </cell>
          <cell r="W1389">
            <v>4.3119113000000001E-2</v>
          </cell>
          <cell r="X1389">
            <v>0.26533305600000001</v>
          </cell>
          <cell r="Y1389">
            <v>0.15267545299999999</v>
          </cell>
          <cell r="Z1389">
            <v>0.47253347699999998</v>
          </cell>
          <cell r="AB1389" t="str">
            <v>2017OH</v>
          </cell>
          <cell r="AC1389">
            <v>0</v>
          </cell>
          <cell r="AD1389">
            <v>0</v>
          </cell>
          <cell r="AE1389">
            <v>0</v>
          </cell>
          <cell r="AF1389">
            <v>1</v>
          </cell>
        </row>
        <row r="1390">
          <cell r="B1390" t="str">
            <v>2017OK</v>
          </cell>
          <cell r="C1390">
            <v>0.40296958934788546</v>
          </cell>
          <cell r="D1390">
            <v>0.22528492954061258</v>
          </cell>
          <cell r="E1390">
            <v>6.4896255940651446E-2</v>
          </cell>
          <cell r="F1390">
            <v>0.24738177570149189</v>
          </cell>
          <cell r="G1390">
            <v>0</v>
          </cell>
          <cell r="H1390">
            <v>5.9467449469358676E-2</v>
          </cell>
          <cell r="J1390" t="str">
            <v>2017OK</v>
          </cell>
          <cell r="K1390">
            <v>0.93510374399999996</v>
          </cell>
          <cell r="L1390">
            <v>0</v>
          </cell>
          <cell r="M1390">
            <v>6.4896255999999999E-2</v>
          </cell>
          <cell r="U1390" t="str">
            <v>2017OK</v>
          </cell>
          <cell r="V1390">
            <v>1.2831308E-2</v>
          </cell>
          <cell r="W1390">
            <v>3.6793041999999998E-2</v>
          </cell>
          <cell r="X1390">
            <v>6.2749109999999997E-2</v>
          </cell>
          <cell r="Y1390">
            <v>0.57552135800000004</v>
          </cell>
          <cell r="Z1390">
            <v>0.31210518199999998</v>
          </cell>
          <cell r="AB1390" t="str">
            <v>2017OK</v>
          </cell>
          <cell r="AC1390">
            <v>0</v>
          </cell>
          <cell r="AD1390">
            <v>0</v>
          </cell>
          <cell r="AE1390">
            <v>0.6</v>
          </cell>
          <cell r="AF1390">
            <v>0.4</v>
          </cell>
        </row>
        <row r="1391">
          <cell r="B1391" t="str">
            <v>2017OR</v>
          </cell>
          <cell r="C1391">
            <v>0.43856747008812064</v>
          </cell>
          <cell r="D1391">
            <v>0.20958259090942544</v>
          </cell>
          <cell r="E1391">
            <v>0</v>
          </cell>
          <cell r="F1391">
            <v>0.12862948158709187</v>
          </cell>
          <cell r="G1391">
            <v>0.2018533708975031</v>
          </cell>
          <cell r="H1391">
            <v>2.1367086517858933E-2</v>
          </cell>
          <cell r="J1391" t="str">
            <v>2017OR</v>
          </cell>
          <cell r="K1391">
            <v>0.798146629</v>
          </cell>
          <cell r="L1391">
            <v>0.201853371</v>
          </cell>
          <cell r="M1391">
            <v>0</v>
          </cell>
          <cell r="U1391" t="str">
            <v>2017OR</v>
          </cell>
          <cell r="V1391">
            <v>0.57640796000000005</v>
          </cell>
          <cell r="W1391">
            <v>1.863805E-2</v>
          </cell>
          <cell r="X1391">
            <v>0.116911403</v>
          </cell>
          <cell r="Y1391">
            <v>8.937792E-2</v>
          </cell>
          <cell r="Z1391">
            <v>0.19866466699999999</v>
          </cell>
          <cell r="AB1391" t="str">
            <v>2017OR</v>
          </cell>
          <cell r="AC1391">
            <v>0</v>
          </cell>
          <cell r="AD1391">
            <v>0</v>
          </cell>
          <cell r="AE1391">
            <v>0.25</v>
          </cell>
          <cell r="AF1391">
            <v>0.75</v>
          </cell>
        </row>
        <row r="1392">
          <cell r="B1392" t="str">
            <v>2017PA</v>
          </cell>
          <cell r="C1392">
            <v>4.9624045569858895E-2</v>
          </cell>
          <cell r="D1392">
            <v>0.11712497857538914</v>
          </cell>
          <cell r="E1392">
            <v>0.46874549019831585</v>
          </cell>
          <cell r="F1392">
            <v>0.25230966018477574</v>
          </cell>
          <cell r="G1392">
            <v>8.8454910858433447E-2</v>
          </cell>
          <cell r="H1392">
            <v>2.3740914613226898E-2</v>
          </cell>
          <cell r="J1392" t="str">
            <v>2017PA</v>
          </cell>
          <cell r="K1392">
            <v>0.44279959899999999</v>
          </cell>
          <cell r="L1392">
            <v>8.8454910999999997E-2</v>
          </cell>
          <cell r="M1392">
            <v>0.46874548999999999</v>
          </cell>
          <cell r="U1392" t="str">
            <v>2017PA</v>
          </cell>
          <cell r="V1392">
            <v>5.0102499000000002E-2</v>
          </cell>
          <cell r="W1392">
            <v>4.9409870000000002E-2</v>
          </cell>
          <cell r="X1392">
            <v>0.25392279899999998</v>
          </cell>
          <cell r="Y1392">
            <v>0.17504710600000001</v>
          </cell>
          <cell r="Z1392">
            <v>0.47151772600000003</v>
          </cell>
          <cell r="AB1392" t="str">
            <v>2017PA</v>
          </cell>
          <cell r="AC1392">
            <v>0</v>
          </cell>
          <cell r="AD1392">
            <v>0</v>
          </cell>
          <cell r="AE1392">
            <v>0</v>
          </cell>
          <cell r="AF1392">
            <v>1</v>
          </cell>
        </row>
        <row r="1393">
          <cell r="B1393" t="str">
            <v>2017RI</v>
          </cell>
          <cell r="C1393">
            <v>4.2447025005926793E-2</v>
          </cell>
          <cell r="D1393">
            <v>0.1190174947032642</v>
          </cell>
          <cell r="E1393">
            <v>0.46784468707451643</v>
          </cell>
          <cell r="F1393">
            <v>0.25730854976835782</v>
          </cell>
          <cell r="G1393">
            <v>8.7642343040085183E-2</v>
          </cell>
          <cell r="H1393">
            <v>2.5739900407849584E-2</v>
          </cell>
          <cell r="J1393" t="str">
            <v>2017RI</v>
          </cell>
          <cell r="K1393">
            <v>0.44451297000000001</v>
          </cell>
          <cell r="L1393">
            <v>8.7642342999999998E-2</v>
          </cell>
          <cell r="M1393">
            <v>0.46784468699999998</v>
          </cell>
          <cell r="U1393" t="str">
            <v>2017RI</v>
          </cell>
          <cell r="V1393">
            <v>0.56026879500000004</v>
          </cell>
          <cell r="W1393">
            <v>1.9348173E-2</v>
          </cell>
          <cell r="X1393">
            <v>0.121365813</v>
          </cell>
          <cell r="Y1393">
            <v>9.2783283999999994E-2</v>
          </cell>
          <cell r="Z1393">
            <v>0.20623393500000001</v>
          </cell>
          <cell r="AB1393" t="str">
            <v>2017RI</v>
          </cell>
          <cell r="AC1393">
            <v>0</v>
          </cell>
          <cell r="AD1393">
            <v>0</v>
          </cell>
          <cell r="AE1393">
            <v>0.05</v>
          </cell>
          <cell r="AF1393">
            <v>0.95</v>
          </cell>
        </row>
        <row r="1394">
          <cell r="B1394" t="str">
            <v>2017SC</v>
          </cell>
          <cell r="C1394">
            <v>0.13346180610825578</v>
          </cell>
          <cell r="D1394">
            <v>9.0019723091430845E-2</v>
          </cell>
          <cell r="E1394">
            <v>0.15451296947775242</v>
          </cell>
          <cell r="F1394">
            <v>8.0687406490411034E-2</v>
          </cell>
          <cell r="G1394">
            <v>0.53771407690020812</v>
          </cell>
          <cell r="H1394">
            <v>3.6040179319418398E-3</v>
          </cell>
          <cell r="J1394" t="str">
            <v>2017SC</v>
          </cell>
          <cell r="K1394">
            <v>0.30777295400000004</v>
          </cell>
          <cell r="L1394">
            <v>0.53771407699999996</v>
          </cell>
          <cell r="M1394">
            <v>0.154512969</v>
          </cell>
          <cell r="U1394" t="str">
            <v>2017SC</v>
          </cell>
          <cell r="V1394">
            <v>6.1629585000000001E-2</v>
          </cell>
          <cell r="W1394">
            <v>3.5823032999999997E-2</v>
          </cell>
          <cell r="X1394">
            <v>8.6443989999999998E-2</v>
          </cell>
          <cell r="Y1394">
            <v>0.50014727299999995</v>
          </cell>
          <cell r="Z1394">
            <v>0.31595611899999998</v>
          </cell>
          <cell r="AB1394" t="str">
            <v>2017SC</v>
          </cell>
          <cell r="AC1394">
            <v>0</v>
          </cell>
          <cell r="AD1394">
            <v>0</v>
          </cell>
          <cell r="AE1394">
            <v>0.6</v>
          </cell>
          <cell r="AF1394">
            <v>0.4</v>
          </cell>
        </row>
        <row r="1395">
          <cell r="B1395" t="str">
            <v>2017SD</v>
          </cell>
          <cell r="C1395">
            <v>0.17608951911561277</v>
          </cell>
          <cell r="D1395">
            <v>0.277831368160596</v>
          </cell>
          <cell r="E1395">
            <v>7.9800561964795444E-2</v>
          </cell>
          <cell r="F1395">
            <v>0.37802114842972712</v>
          </cell>
          <cell r="G1395">
            <v>4.724510882492864E-2</v>
          </cell>
          <cell r="H1395">
            <v>4.1012293504340026E-2</v>
          </cell>
          <cell r="J1395" t="str">
            <v>2017SD</v>
          </cell>
          <cell r="K1395">
            <v>0.87295432900000003</v>
          </cell>
          <cell r="L1395">
            <v>4.7245109E-2</v>
          </cell>
          <cell r="M1395">
            <v>7.9800562000000005E-2</v>
          </cell>
          <cell r="U1395" t="str">
            <v>2017SD</v>
          </cell>
          <cell r="V1395">
            <v>3.3046748000000001E-2</v>
          </cell>
          <cell r="W1395">
            <v>5.1157264000000001E-2</v>
          </cell>
          <cell r="X1395">
            <v>0.25755016600000002</v>
          </cell>
          <cell r="Y1395">
            <v>0.17532273200000001</v>
          </cell>
          <cell r="Z1395">
            <v>0.48292308900000003</v>
          </cell>
          <cell r="AB1395" t="str">
            <v>2017SD</v>
          </cell>
          <cell r="AC1395">
            <v>0</v>
          </cell>
          <cell r="AD1395">
            <v>0</v>
          </cell>
          <cell r="AE1395">
            <v>0.02</v>
          </cell>
          <cell r="AF1395">
            <v>0.98</v>
          </cell>
        </row>
        <row r="1396">
          <cell r="B1396" t="str">
            <v>2017TN</v>
          </cell>
          <cell r="C1396">
            <v>4.0519949592449485E-2</v>
          </cell>
          <cell r="D1396">
            <v>8.9664149461423162E-2</v>
          </cell>
          <cell r="E1396">
            <v>0.14551684926860037</v>
          </cell>
          <cell r="F1396">
            <v>0.1170185785979804</v>
          </cell>
          <cell r="G1396">
            <v>0.59108168584929244</v>
          </cell>
          <cell r="H1396">
            <v>1.6198787230254148E-2</v>
          </cell>
          <cell r="J1396" t="str">
            <v>2017TN</v>
          </cell>
          <cell r="K1396">
            <v>0.26340146500000006</v>
          </cell>
          <cell r="L1396">
            <v>0.591081686</v>
          </cell>
          <cell r="M1396">
            <v>0.145516849</v>
          </cell>
          <cell r="U1396" t="str">
            <v>2017TN</v>
          </cell>
          <cell r="V1396">
            <v>0.102875089</v>
          </cell>
          <cell r="W1396">
            <v>3.5402429999999999E-2</v>
          </cell>
          <cell r="X1396">
            <v>0.119077104</v>
          </cell>
          <cell r="Y1396">
            <v>0.41436515099999999</v>
          </cell>
          <cell r="Z1396">
            <v>0.32828022600000001</v>
          </cell>
          <cell r="AB1396" t="str">
            <v>2017TN</v>
          </cell>
          <cell r="AC1396">
            <v>0</v>
          </cell>
          <cell r="AD1396">
            <v>0</v>
          </cell>
          <cell r="AE1396">
            <v>0.05</v>
          </cell>
          <cell r="AF1396">
            <v>0.95</v>
          </cell>
        </row>
        <row r="1397">
          <cell r="B1397" t="str">
            <v>2017TX</v>
          </cell>
          <cell r="C1397">
            <v>0.53305655520056971</v>
          </cell>
          <cell r="D1397">
            <v>0.24233312613196878</v>
          </cell>
          <cell r="E1397">
            <v>7.9791980793249173E-2</v>
          </cell>
          <cell r="F1397">
            <v>0.1278405091499755</v>
          </cell>
          <cell r="G1397">
            <v>0</v>
          </cell>
          <cell r="H1397">
            <v>1.6977828724236681E-2</v>
          </cell>
          <cell r="J1397" t="str">
            <v>2017TX</v>
          </cell>
          <cell r="K1397">
            <v>0.92020801900000004</v>
          </cell>
          <cell r="L1397">
            <v>0</v>
          </cell>
          <cell r="M1397">
            <v>7.9791980999999998E-2</v>
          </cell>
          <cell r="U1397" t="str">
            <v>2017TX</v>
          </cell>
          <cell r="V1397">
            <v>6.9632535999999995E-2</v>
          </cell>
          <cell r="W1397">
            <v>3.4700662E-2</v>
          </cell>
          <cell r="X1397">
            <v>5.9917572000000002E-2</v>
          </cell>
          <cell r="Y1397">
            <v>0.54104196599999999</v>
          </cell>
          <cell r="Z1397">
            <v>0.29470726400000002</v>
          </cell>
          <cell r="AB1397" t="str">
            <v>2017TX</v>
          </cell>
          <cell r="AC1397">
            <v>0</v>
          </cell>
          <cell r="AD1397">
            <v>0</v>
          </cell>
          <cell r="AE1397">
            <v>0.12</v>
          </cell>
          <cell r="AF1397">
            <v>0.88</v>
          </cell>
        </row>
        <row r="1398">
          <cell r="B1398" t="str">
            <v>2017UT</v>
          </cell>
          <cell r="C1398">
            <v>0.51165623152884221</v>
          </cell>
          <cell r="D1398">
            <v>0.26394677259150623</v>
          </cell>
          <cell r="E1398">
            <v>1.3999177703951423E-2</v>
          </cell>
          <cell r="F1398">
            <v>0.17036034814732054</v>
          </cell>
          <cell r="G1398">
            <v>8.2880703819413898E-3</v>
          </cell>
          <cell r="H1398">
            <v>3.1749399646438282E-2</v>
          </cell>
          <cell r="J1398" t="str">
            <v>2017UT</v>
          </cell>
          <cell r="K1398">
            <v>0.97771275199999996</v>
          </cell>
          <cell r="L1398">
            <v>8.2880699999999998E-3</v>
          </cell>
          <cell r="M1398">
            <v>1.3999177999999999E-2</v>
          </cell>
          <cell r="U1398" t="str">
            <v>2017UT</v>
          </cell>
          <cell r="V1398">
            <v>8.6456620000000001E-3</v>
          </cell>
          <cell r="W1398">
            <v>5.5424775000000003E-2</v>
          </cell>
          <cell r="X1398">
            <v>0.260824848</v>
          </cell>
          <cell r="Y1398">
            <v>0.16982515300000001</v>
          </cell>
          <cell r="Z1398">
            <v>0.50527956200000002</v>
          </cell>
          <cell r="AB1398" t="str">
            <v>2017UT</v>
          </cell>
          <cell r="AC1398">
            <v>0</v>
          </cell>
          <cell r="AD1398">
            <v>0</v>
          </cell>
          <cell r="AE1398">
            <v>0.6</v>
          </cell>
          <cell r="AF1398">
            <v>0.4</v>
          </cell>
        </row>
        <row r="1399">
          <cell r="B1399" t="str">
            <v>2017VT</v>
          </cell>
          <cell r="C1399">
            <v>9.9973781354903396E-2</v>
          </cell>
          <cell r="D1399">
            <v>0.17387691112967565</v>
          </cell>
          <cell r="E1399">
            <v>0.44423932842492886</v>
          </cell>
          <cell r="F1399">
            <v>0.19448861844630186</v>
          </cell>
          <cell r="G1399">
            <v>6.6349172232328182E-2</v>
          </cell>
          <cell r="H1399">
            <v>2.1072188411862088E-2</v>
          </cell>
          <cell r="J1399" t="str">
            <v>2017VT</v>
          </cell>
          <cell r="K1399">
            <v>0.4894115</v>
          </cell>
          <cell r="L1399">
            <v>6.6349171999999998E-2</v>
          </cell>
          <cell r="M1399">
            <v>0.44423932799999999</v>
          </cell>
          <cell r="U1399" t="str">
            <v>2017VT</v>
          </cell>
          <cell r="V1399">
            <v>0.86037974299999997</v>
          </cell>
          <cell r="W1399">
            <v>6.1432910000000004E-3</v>
          </cell>
          <cell r="X1399">
            <v>3.8535191000000003E-2</v>
          </cell>
          <cell r="Y1399">
            <v>2.9459874E-2</v>
          </cell>
          <cell r="Z1399">
            <v>6.5481899999999996E-2</v>
          </cell>
          <cell r="AB1399" t="str">
            <v>2017VT</v>
          </cell>
          <cell r="AC1399">
            <v>0</v>
          </cell>
          <cell r="AD1399">
            <v>0</v>
          </cell>
          <cell r="AE1399">
            <v>0.05</v>
          </cell>
          <cell r="AF1399">
            <v>0.95</v>
          </cell>
        </row>
        <row r="1400">
          <cell r="B1400" t="str">
            <v>2017VA</v>
          </cell>
          <cell r="C1400">
            <v>4.4953509549794296E-2</v>
          </cell>
          <cell r="D1400">
            <v>9.339670802378576E-2</v>
          </cell>
          <cell r="E1400">
            <v>0.14844092890155638</v>
          </cell>
          <cell r="F1400">
            <v>0.12331550684410268</v>
          </cell>
          <cell r="G1400">
            <v>0.5737351926100378</v>
          </cell>
          <cell r="H1400">
            <v>1.6158154070723133E-2</v>
          </cell>
          <cell r="J1400" t="str">
            <v>2017VA</v>
          </cell>
          <cell r="K1400">
            <v>0.27782387799999997</v>
          </cell>
          <cell r="L1400">
            <v>0.57373519299999998</v>
          </cell>
          <cell r="M1400">
            <v>0.148440929</v>
          </cell>
          <cell r="U1400" t="str">
            <v>2017VA</v>
          </cell>
          <cell r="V1400">
            <v>3.3934871999999998E-2</v>
          </cell>
          <cell r="W1400">
            <v>3.6244844999999998E-2</v>
          </cell>
          <cell r="X1400">
            <v>6.8933026999999994E-2</v>
          </cell>
          <cell r="Y1400">
            <v>0.550040046</v>
          </cell>
          <cell r="Z1400">
            <v>0.31084721100000001</v>
          </cell>
          <cell r="AB1400" t="str">
            <v>2017VA</v>
          </cell>
          <cell r="AC1400">
            <v>0</v>
          </cell>
          <cell r="AD1400">
            <v>0</v>
          </cell>
          <cell r="AE1400">
            <v>0.05</v>
          </cell>
          <cell r="AF1400">
            <v>0.95</v>
          </cell>
        </row>
        <row r="1401">
          <cell r="B1401" t="str">
            <v>2017WA</v>
          </cell>
          <cell r="C1401">
            <v>0.48742079910802349</v>
          </cell>
          <cell r="D1401">
            <v>0.21961274491816118</v>
          </cell>
          <cell r="E1401">
            <v>0</v>
          </cell>
          <cell r="F1401">
            <v>0.11254281869932067</v>
          </cell>
          <cell r="G1401">
            <v>0.16627589127589129</v>
          </cell>
          <cell r="H1401">
            <v>1.4147745998603438E-2</v>
          </cell>
          <cell r="J1401" t="str">
            <v>2017WA</v>
          </cell>
          <cell r="K1401">
            <v>0.83372410900000005</v>
          </cell>
          <cell r="L1401">
            <v>0.16627589100000001</v>
          </cell>
          <cell r="M1401">
            <v>0</v>
          </cell>
          <cell r="U1401" t="str">
            <v>2017WA</v>
          </cell>
          <cell r="V1401">
            <v>0.37353494700000001</v>
          </cell>
          <cell r="W1401">
            <v>3.1263627000000002E-2</v>
          </cell>
          <cell r="X1401">
            <v>0.168896926</v>
          </cell>
          <cell r="Y1401">
            <v>0.119853577</v>
          </cell>
          <cell r="Z1401">
            <v>0.30645092299999999</v>
          </cell>
          <cell r="AB1401" t="str">
            <v>2017WA</v>
          </cell>
          <cell r="AC1401">
            <v>0</v>
          </cell>
          <cell r="AD1401">
            <v>0</v>
          </cell>
          <cell r="AE1401">
            <v>0.12</v>
          </cell>
          <cell r="AF1401">
            <v>0.88</v>
          </cell>
        </row>
        <row r="1402">
          <cell r="B1402" t="str">
            <v>2017WV</v>
          </cell>
          <cell r="C1402">
            <v>6.8751812683186322E-2</v>
          </cell>
          <cell r="D1402">
            <v>0.15888641455628993</v>
          </cell>
          <cell r="E1402">
            <v>0.44831485363191043</v>
          </cell>
          <cell r="F1402">
            <v>0.22633984896592482</v>
          </cell>
          <cell r="G1402">
            <v>7.0025492327769459E-2</v>
          </cell>
          <cell r="H1402">
            <v>2.7681577834919095E-2</v>
          </cell>
          <cell r="J1402" t="str">
            <v>2017WV</v>
          </cell>
          <cell r="K1402">
            <v>0.48165965399999999</v>
          </cell>
          <cell r="L1402">
            <v>7.0025491999999995E-2</v>
          </cell>
          <cell r="M1402">
            <v>0.44831485399999998</v>
          </cell>
          <cell r="U1402" t="str">
            <v>2017WV</v>
          </cell>
          <cell r="V1402">
            <v>0.57920187499999998</v>
          </cell>
          <cell r="W1402">
            <v>2.1256934000000002E-2</v>
          </cell>
          <cell r="X1402">
            <v>0.113169981</v>
          </cell>
          <cell r="Y1402">
            <v>7.9649016000000003E-2</v>
          </cell>
          <cell r="Z1402">
            <v>0.206722194</v>
          </cell>
          <cell r="AB1402" t="str">
            <v>2017WV</v>
          </cell>
          <cell r="AC1402">
            <v>0</v>
          </cell>
          <cell r="AD1402">
            <v>0</v>
          </cell>
          <cell r="AE1402">
            <v>0.05</v>
          </cell>
          <cell r="AF1402">
            <v>0.95</v>
          </cell>
        </row>
        <row r="1403">
          <cell r="B1403" t="str">
            <v>2017WI</v>
          </cell>
          <cell r="C1403">
            <v>0.12203432597344931</v>
          </cell>
          <cell r="D1403">
            <v>0.23555629715568294</v>
          </cell>
          <cell r="E1403">
            <v>0.11540173598404266</v>
          </cell>
          <cell r="F1403">
            <v>0.42032708364290838</v>
          </cell>
          <cell r="G1403">
            <v>6.8322420806473022E-2</v>
          </cell>
          <cell r="H1403">
            <v>3.8358136437443673E-2</v>
          </cell>
          <cell r="J1403" t="str">
            <v>2017WI</v>
          </cell>
          <cell r="K1403">
            <v>0.816275843</v>
          </cell>
          <cell r="L1403">
            <v>6.8322420999999994E-2</v>
          </cell>
          <cell r="M1403">
            <v>0.115401736</v>
          </cell>
          <cell r="U1403" t="str">
            <v>2017WI</v>
          </cell>
          <cell r="V1403">
            <v>0.12883246500000001</v>
          </cell>
          <cell r="W1403">
            <v>4.2564396999999997E-2</v>
          </cell>
          <cell r="X1403">
            <v>0.23585646199999999</v>
          </cell>
          <cell r="Y1403">
            <v>0.16970626599999999</v>
          </cell>
          <cell r="Z1403">
            <v>0.42304040999999998</v>
          </cell>
          <cell r="AB1403" t="str">
            <v>2017WI</v>
          </cell>
          <cell r="AC1403">
            <v>0</v>
          </cell>
          <cell r="AD1403">
            <v>0</v>
          </cell>
          <cell r="AE1403">
            <v>0.02</v>
          </cell>
          <cell r="AF1403">
            <v>0.98</v>
          </cell>
        </row>
        <row r="1404">
          <cell r="B1404" t="str">
            <v>2017WY</v>
          </cell>
          <cell r="C1404">
            <v>0.29508724522063295</v>
          </cell>
          <cell r="D1404">
            <v>0.23251729773373622</v>
          </cell>
          <cell r="E1404">
            <v>0.12161775942187937</v>
          </cell>
          <cell r="F1404">
            <v>0.2207502472879718</v>
          </cell>
          <cell r="G1404">
            <v>7.2002554085590281E-2</v>
          </cell>
          <cell r="H1404">
            <v>5.8024896250189507E-2</v>
          </cell>
          <cell r="J1404" t="str">
            <v>2017WY</v>
          </cell>
          <cell r="K1404">
            <v>0.80637968699999996</v>
          </cell>
          <cell r="L1404">
            <v>7.2002553999999996E-2</v>
          </cell>
          <cell r="M1404">
            <v>0.12161775900000001</v>
          </cell>
          <cell r="U1404" t="str">
            <v>2017WY</v>
          </cell>
          <cell r="V1404">
            <v>3.2109568999999998E-2</v>
          </cell>
          <cell r="W1404">
            <v>5.3596850000000001E-2</v>
          </cell>
          <cell r="X1404">
            <v>0.25521061499999997</v>
          </cell>
          <cell r="Y1404">
            <v>0.16752597599999999</v>
          </cell>
          <cell r="Z1404">
            <v>0.49155699000000003</v>
          </cell>
          <cell r="AB1404" t="str">
            <v>2017WY</v>
          </cell>
          <cell r="AC1404">
            <v>0</v>
          </cell>
          <cell r="AD1404">
            <v>0</v>
          </cell>
          <cell r="AE1404">
            <v>0.6</v>
          </cell>
          <cell r="AF1404">
            <v>0.4</v>
          </cell>
        </row>
        <row r="1405">
          <cell r="B1405" t="str">
            <v>2018AL</v>
          </cell>
          <cell r="C1405">
            <v>0.17233560131521788</v>
          </cell>
          <cell r="D1405">
            <v>9.7606154746872412E-2</v>
          </cell>
          <cell r="E1405">
            <v>0.16919346457207346</v>
          </cell>
          <cell r="F1405">
            <v>0.1056405325382436</v>
          </cell>
          <cell r="G1405">
            <v>0.45062509818962659</v>
          </cell>
          <cell r="H1405">
            <v>4.5991486379660445E-3</v>
          </cell>
          <cell r="J1405" t="str">
            <v>2018AL</v>
          </cell>
          <cell r="K1405">
            <v>0.38018143700000007</v>
          </cell>
          <cell r="L1405">
            <v>0.450625098</v>
          </cell>
          <cell r="M1405">
            <v>0.16919346499999999</v>
          </cell>
          <cell r="U1405" t="str">
            <v>2018AL</v>
          </cell>
          <cell r="V1405">
            <v>5.3114938E-2</v>
          </cell>
          <cell r="W1405">
            <v>3.6058960000000001E-2</v>
          </cell>
          <cell r="X1405">
            <v>8.4414527000000003E-2</v>
          </cell>
          <cell r="Y1405">
            <v>0.50961295299999998</v>
          </cell>
          <cell r="Z1405">
            <v>0.316798623</v>
          </cell>
          <cell r="AB1405" t="str">
            <v>2018AL</v>
          </cell>
          <cell r="AC1405">
            <v>0</v>
          </cell>
          <cell r="AD1405">
            <v>0</v>
          </cell>
          <cell r="AE1405">
            <v>0.41899999999999998</v>
          </cell>
          <cell r="AF1405">
            <v>0.58099999999999996</v>
          </cell>
        </row>
        <row r="1406">
          <cell r="B1406" t="str">
            <v>2018AK</v>
          </cell>
          <cell r="C1406">
            <v>0.30334484066413492</v>
          </cell>
          <cell r="D1406">
            <v>0.23769937716735701</v>
          </cell>
          <cell r="E1406">
            <v>6.205843688929364E-2</v>
          </cell>
          <cell r="F1406">
            <v>0.28363994741136878</v>
          </cell>
          <cell r="G1406">
            <v>3.6741064625999714E-2</v>
          </cell>
          <cell r="H1406">
            <v>7.6516333241846021E-2</v>
          </cell>
          <cell r="J1406" t="str">
            <v>2018AK</v>
          </cell>
          <cell r="K1406">
            <v>0.90120049800000002</v>
          </cell>
          <cell r="L1406">
            <v>3.6741065000000003E-2</v>
          </cell>
          <cell r="M1406">
            <v>6.2058437000000001E-2</v>
          </cell>
          <cell r="U1406" t="str">
            <v>2018AK</v>
          </cell>
          <cell r="V1406">
            <v>0.52632575500000001</v>
          </cell>
          <cell r="W1406">
            <v>2.0841667000000001E-2</v>
          </cell>
          <cell r="X1406">
            <v>0.130734092</v>
          </cell>
          <cell r="Y1406">
            <v>9.9945266000000005E-2</v>
          </cell>
          <cell r="Z1406">
            <v>0.22215322100000001</v>
          </cell>
          <cell r="AB1406" t="str">
            <v>2018AK</v>
          </cell>
          <cell r="AC1406">
            <v>0</v>
          </cell>
          <cell r="AD1406">
            <v>0</v>
          </cell>
          <cell r="AE1406">
            <v>0.25</v>
          </cell>
          <cell r="AF1406">
            <v>0.75</v>
          </cell>
        </row>
        <row r="1407">
          <cell r="B1407" t="str">
            <v>2018AZ</v>
          </cell>
          <cell r="C1407">
            <v>0.611220636654217</v>
          </cell>
          <cell r="D1407">
            <v>0.19572797693407004</v>
          </cell>
          <cell r="E1407">
            <v>9.865488383487428E-2</v>
          </cell>
          <cell r="F1407">
            <v>9.3890669243012675E-2</v>
          </cell>
          <cell r="G1407">
            <v>0</v>
          </cell>
          <cell r="H1407">
            <v>5.0583333382575558E-4</v>
          </cell>
          <cell r="J1407" t="str">
            <v>2018AZ</v>
          </cell>
          <cell r="K1407">
            <v>0.901345116</v>
          </cell>
          <cell r="L1407">
            <v>0</v>
          </cell>
          <cell r="M1407">
            <v>9.8654883999999998E-2</v>
          </cell>
          <cell r="U1407" t="str">
            <v>2018AZ</v>
          </cell>
          <cell r="V1407">
            <v>0.136592664</v>
          </cell>
          <cell r="W1407">
            <v>3.2171241000000003E-2</v>
          </cell>
          <cell r="X1407">
            <v>5.4596316999999998E-2</v>
          </cell>
          <cell r="Y1407">
            <v>0.50386894699999996</v>
          </cell>
          <cell r="Z1407">
            <v>0.27277083200000002</v>
          </cell>
          <cell r="AB1407" t="str">
            <v>2018AZ</v>
          </cell>
          <cell r="AC1407">
            <v>0</v>
          </cell>
          <cell r="AD1407">
            <v>0</v>
          </cell>
          <cell r="AE1407">
            <v>0.6</v>
          </cell>
          <cell r="AF1407">
            <v>0.4</v>
          </cell>
        </row>
        <row r="1408">
          <cell r="B1408" t="str">
            <v>2018AR</v>
          </cell>
          <cell r="C1408">
            <v>9.6391342329605903E-2</v>
          </cell>
          <cell r="D1408">
            <v>6.6955456596874061E-2</v>
          </cell>
          <cell r="E1408">
            <v>0.14888335780531528</v>
          </cell>
          <cell r="F1408">
            <v>0.11118804006195876</v>
          </cell>
          <cell r="G1408">
            <v>0.57111057531117648</v>
          </cell>
          <cell r="H1408">
            <v>5.4712278950695761E-3</v>
          </cell>
          <cell r="J1408" t="str">
            <v>2018AR</v>
          </cell>
          <cell r="K1408">
            <v>0.28000606700000008</v>
          </cell>
          <cell r="L1408">
            <v>0.57111057499999995</v>
          </cell>
          <cell r="M1408">
            <v>0.14888335799999999</v>
          </cell>
          <cell r="U1408" t="str">
            <v>2018AR</v>
          </cell>
          <cell r="V1408">
            <v>3.9459004999999998E-2</v>
          </cell>
          <cell r="W1408">
            <v>3.7640482000000003E-2</v>
          </cell>
          <cell r="X1408">
            <v>0.11914443199999999</v>
          </cell>
          <cell r="Y1408">
            <v>0.45827781299999998</v>
          </cell>
          <cell r="Z1408">
            <v>0.34547826799999998</v>
          </cell>
          <cell r="AB1408" t="str">
            <v>2018AR</v>
          </cell>
          <cell r="AC1408">
            <v>0</v>
          </cell>
          <cell r="AD1408">
            <v>0</v>
          </cell>
          <cell r="AE1408">
            <v>0</v>
          </cell>
          <cell r="AF1408">
            <v>1</v>
          </cell>
        </row>
        <row r="1409">
          <cell r="B1409" t="str">
            <v>2018CA</v>
          </cell>
          <cell r="C1409">
            <v>0.58081862489107328</v>
          </cell>
          <cell r="D1409">
            <v>0.20720345916912225</v>
          </cell>
          <cell r="E1409">
            <v>0.10801924509893834</v>
          </cell>
          <cell r="F1409">
            <v>9.2431120719429966E-2</v>
          </cell>
          <cell r="G1409">
            <v>9.2523577326630076E-3</v>
          </cell>
          <cell r="H1409">
            <v>2.2751923887731596E-3</v>
          </cell>
          <cell r="J1409" t="str">
            <v>2018CA</v>
          </cell>
          <cell r="K1409">
            <v>0.88272839699999994</v>
          </cell>
          <cell r="L1409">
            <v>9.2523580000000005E-3</v>
          </cell>
          <cell r="M1409">
            <v>0.108019245</v>
          </cell>
          <cell r="U1409" t="str">
            <v>2018CA</v>
          </cell>
          <cell r="V1409">
            <v>0.133799526</v>
          </cell>
          <cell r="W1409">
            <v>3.2941353E-2</v>
          </cell>
          <cell r="X1409">
            <v>7.5800703999999997E-2</v>
          </cell>
          <cell r="Y1409">
            <v>0.46867659099999998</v>
          </cell>
          <cell r="Z1409">
            <v>0.28878182499999999</v>
          </cell>
          <cell r="AB1409" t="str">
            <v>2018CA</v>
          </cell>
          <cell r="AC1409">
            <v>0</v>
          </cell>
          <cell r="AD1409">
            <v>0</v>
          </cell>
          <cell r="AE1409">
            <v>0.12</v>
          </cell>
          <cell r="AF1409">
            <v>0.88</v>
          </cell>
        </row>
        <row r="1410">
          <cell r="B1410" t="str">
            <v>2018CO</v>
          </cell>
          <cell r="C1410">
            <v>0.61667904285785091</v>
          </cell>
          <cell r="D1410">
            <v>0.24212893570430052</v>
          </cell>
          <cell r="E1410">
            <v>1.1092391745361967E-2</v>
          </cell>
          <cell r="F1410">
            <v>0.11516410971780773</v>
          </cell>
          <cell r="G1410">
            <v>6.5671374014829543E-3</v>
          </cell>
          <cell r="H1410">
            <v>8.3683825731959392E-3</v>
          </cell>
          <cell r="J1410" t="str">
            <v>2018CO</v>
          </cell>
          <cell r="K1410">
            <v>0.98234047099999999</v>
          </cell>
          <cell r="L1410">
            <v>6.5671369999999998E-3</v>
          </cell>
          <cell r="M1410">
            <v>1.1092392E-2</v>
          </cell>
          <cell r="U1410" t="str">
            <v>2018CO</v>
          </cell>
          <cell r="V1410">
            <v>2.3378138E-2</v>
          </cell>
          <cell r="W1410">
            <v>5.3880426000000002E-2</v>
          </cell>
          <cell r="X1410">
            <v>0.25772948099999998</v>
          </cell>
          <cell r="Y1410">
            <v>0.169703665</v>
          </cell>
          <cell r="Z1410">
            <v>0.49530828999999998</v>
          </cell>
          <cell r="AB1410" t="str">
            <v>2018CO</v>
          </cell>
          <cell r="AC1410">
            <v>0</v>
          </cell>
          <cell r="AD1410">
            <v>0</v>
          </cell>
          <cell r="AE1410">
            <v>0.6</v>
          </cell>
          <cell r="AF1410">
            <v>0.4</v>
          </cell>
        </row>
        <row r="1411">
          <cell r="B1411" t="str">
            <v>2018CT</v>
          </cell>
          <cell r="C1411">
            <v>0.11572842393252261</v>
          </cell>
          <cell r="D1411">
            <v>0.20119880615243968</v>
          </cell>
          <cell r="E1411">
            <v>0.43233999756560143</v>
          </cell>
          <cell r="F1411">
            <v>0.17234541515575838</v>
          </cell>
          <cell r="G1411">
            <v>5.5615402487630847E-2</v>
          </cell>
          <cell r="H1411">
            <v>2.2771954706046996E-2</v>
          </cell>
          <cell r="J1411" t="str">
            <v>2018CT</v>
          </cell>
          <cell r="K1411">
            <v>0.51204460000000007</v>
          </cell>
          <cell r="L1411">
            <v>5.5615402000000001E-2</v>
          </cell>
          <cell r="M1411">
            <v>0.432339998</v>
          </cell>
          <cell r="U1411" t="str">
            <v>2018CT</v>
          </cell>
          <cell r="V1411">
            <v>0.57363861400000005</v>
          </cell>
          <cell r="W1411">
            <v>1.8759900999999999E-2</v>
          </cell>
          <cell r="X1411">
            <v>0.117675743</v>
          </cell>
          <cell r="Y1411">
            <v>8.9962252000000006E-2</v>
          </cell>
          <cell r="Z1411">
            <v>0.19996348999999999</v>
          </cell>
          <cell r="AB1411" t="str">
            <v>2018CT</v>
          </cell>
          <cell r="AC1411">
            <v>0</v>
          </cell>
          <cell r="AD1411">
            <v>0</v>
          </cell>
          <cell r="AE1411">
            <v>0.05</v>
          </cell>
          <cell r="AF1411">
            <v>0.95</v>
          </cell>
        </row>
        <row r="1412">
          <cell r="B1412" t="str">
            <v>2018DE</v>
          </cell>
          <cell r="C1412">
            <v>0.10201653895343663</v>
          </cell>
          <cell r="D1412">
            <v>0.1910091905838856</v>
          </cell>
          <cell r="E1412">
            <v>0.43707162937473454</v>
          </cell>
          <cell r="F1412">
            <v>0.18637975788177577</v>
          </cell>
          <cell r="G1412">
            <v>5.9883562349419175E-2</v>
          </cell>
          <cell r="H1412">
            <v>2.3639320856748244E-2</v>
          </cell>
          <cell r="J1412" t="str">
            <v>2018DE</v>
          </cell>
          <cell r="K1412">
            <v>0.50304480899999993</v>
          </cell>
          <cell r="L1412">
            <v>5.9883562000000001E-2</v>
          </cell>
          <cell r="M1412">
            <v>0.43707162900000002</v>
          </cell>
          <cell r="U1412" t="str">
            <v>2018DE</v>
          </cell>
          <cell r="V1412">
            <v>0.120253529</v>
          </cell>
          <cell r="W1412">
            <v>4.1631153999999997E-2</v>
          </cell>
          <cell r="X1412">
            <v>0.23964419100000001</v>
          </cell>
          <cell r="Y1412">
            <v>0.17588547500000001</v>
          </cell>
          <cell r="Z1412">
            <v>0.42258565100000001</v>
          </cell>
          <cell r="AB1412" t="str">
            <v>2018DE</v>
          </cell>
          <cell r="AC1412">
            <v>0</v>
          </cell>
          <cell r="AD1412">
            <v>0</v>
          </cell>
          <cell r="AE1412">
            <v>0.05</v>
          </cell>
          <cell r="AF1412">
            <v>0.95</v>
          </cell>
        </row>
        <row r="1413">
          <cell r="B1413" t="str">
            <v>2018FL</v>
          </cell>
          <cell r="C1413">
            <v>0.38654865924430459</v>
          </cell>
          <cell r="D1413">
            <v>0.14503983167997814</v>
          </cell>
          <cell r="E1413">
            <v>0.21616400084919535</v>
          </cell>
          <cell r="F1413">
            <v>7.8997496757044303E-2</v>
          </cell>
          <cell r="G1413">
            <v>0.17198217725399226</v>
          </cell>
          <cell r="H1413">
            <v>1.2678342154852779E-3</v>
          </cell>
          <cell r="J1413" t="str">
            <v>2018FL</v>
          </cell>
          <cell r="K1413">
            <v>0.61185382200000005</v>
          </cell>
          <cell r="L1413">
            <v>0.17198217700000001</v>
          </cell>
          <cell r="M1413">
            <v>0.21616400099999999</v>
          </cell>
          <cell r="U1413" t="str">
            <v>2018FL</v>
          </cell>
          <cell r="V1413">
            <v>0.71166924399999998</v>
          </cell>
          <cell r="W1413">
            <v>1.2686553E-2</v>
          </cell>
          <cell r="X1413">
            <v>7.9579288999999998E-2</v>
          </cell>
          <cell r="Y1413">
            <v>6.0837789000000003E-2</v>
          </cell>
          <cell r="Z1413">
            <v>0.135227124</v>
          </cell>
          <cell r="AB1413" t="str">
            <v>2018FL</v>
          </cell>
          <cell r="AC1413">
            <v>0</v>
          </cell>
          <cell r="AD1413">
            <v>0</v>
          </cell>
          <cell r="AE1413">
            <v>0.41899999999999998</v>
          </cell>
          <cell r="AF1413">
            <v>0.58099999999999996</v>
          </cell>
        </row>
        <row r="1414">
          <cell r="B1414" t="str">
            <v>2018GA</v>
          </cell>
          <cell r="C1414">
            <v>0.20823216155586291</v>
          </cell>
          <cell r="D1414">
            <v>0.11033206176717186</v>
          </cell>
          <cell r="E1414">
            <v>0.17733204084631207</v>
          </cell>
          <cell r="F1414">
            <v>9.7862793659120595E-2</v>
          </cell>
          <cell r="G1414">
            <v>0.40234468997942996</v>
          </cell>
          <cell r="H1414">
            <v>3.8962521921025758E-3</v>
          </cell>
          <cell r="J1414" t="str">
            <v>2018GA</v>
          </cell>
          <cell r="K1414">
            <v>0.42032326900000005</v>
          </cell>
          <cell r="L1414">
            <v>0.40234469</v>
          </cell>
          <cell r="M1414">
            <v>0.177332041</v>
          </cell>
          <cell r="U1414" t="str">
            <v>2018GA</v>
          </cell>
          <cell r="V1414">
            <v>7.8133266000000007E-2</v>
          </cell>
          <cell r="W1414">
            <v>3.5587817000000001E-2</v>
          </cell>
          <cell r="X1414">
            <v>9.7388838000000005E-2</v>
          </cell>
          <cell r="Y1414">
            <v>0.46952270200000001</v>
          </cell>
          <cell r="Z1414">
            <v>0.31936737799999998</v>
          </cell>
          <cell r="AB1414" t="str">
            <v>2018GA</v>
          </cell>
          <cell r="AC1414">
            <v>0</v>
          </cell>
          <cell r="AD1414">
            <v>0</v>
          </cell>
          <cell r="AE1414">
            <v>0.41899999999999998</v>
          </cell>
          <cell r="AF1414">
            <v>0.58099999999999996</v>
          </cell>
        </row>
        <row r="1415">
          <cell r="B1415" t="str">
            <v>2018HI</v>
          </cell>
          <cell r="C1415">
            <v>0.67137224197860923</v>
          </cell>
          <cell r="D1415">
            <v>0.21100034068527662</v>
          </cell>
          <cell r="E1415">
            <v>0</v>
          </cell>
          <cell r="F1415">
            <v>0.10820426646618357</v>
          </cell>
          <cell r="G1415">
            <v>7.5112148308577572E-3</v>
          </cell>
          <cell r="H1415">
            <v>1.9119360390725836E-3</v>
          </cell>
          <cell r="J1415" t="str">
            <v>2018HI</v>
          </cell>
          <cell r="K1415">
            <v>0.99248878500000004</v>
          </cell>
          <cell r="L1415">
            <v>7.5112149999999999E-3</v>
          </cell>
          <cell r="M1415">
            <v>0</v>
          </cell>
          <cell r="U1415" t="str">
            <v>2018HI</v>
          </cell>
          <cell r="V1415">
            <v>0.23216878499999999</v>
          </cell>
          <cell r="W1415">
            <v>3.2904865999999998E-2</v>
          </cell>
          <cell r="X1415">
            <v>0.18414778700000001</v>
          </cell>
          <cell r="Y1415">
            <v>0.21064765399999999</v>
          </cell>
          <cell r="Z1415">
            <v>0.34013090899999998</v>
          </cell>
          <cell r="AB1415" t="str">
            <v>2018HI</v>
          </cell>
          <cell r="AC1415">
            <v>0</v>
          </cell>
          <cell r="AD1415">
            <v>0</v>
          </cell>
          <cell r="AE1415">
            <v>0.25</v>
          </cell>
          <cell r="AF1415">
            <v>0.75</v>
          </cell>
        </row>
        <row r="1416">
          <cell r="B1416" t="str">
            <v>2018ID</v>
          </cell>
          <cell r="C1416">
            <v>0.62850843440764703</v>
          </cell>
          <cell r="D1416">
            <v>0.2329683972033782</v>
          </cell>
          <cell r="E1416">
            <v>6.4436683947772669E-3</v>
          </cell>
          <cell r="F1416">
            <v>0.11961222721284216</v>
          </cell>
          <cell r="G1416">
            <v>3.8149081541218642E-3</v>
          </cell>
          <cell r="H1416">
            <v>8.6523646272333287E-3</v>
          </cell>
          <cell r="J1416" t="str">
            <v>2018ID</v>
          </cell>
          <cell r="K1416">
            <v>0.98974142399999998</v>
          </cell>
          <cell r="L1416">
            <v>3.8149080000000001E-3</v>
          </cell>
          <cell r="M1416">
            <v>6.4436679999999996E-3</v>
          </cell>
          <cell r="U1416" t="str">
            <v>2018ID</v>
          </cell>
          <cell r="V1416">
            <v>0.460837895</v>
          </cell>
          <cell r="W1416">
            <v>2.6974237000000002E-2</v>
          </cell>
          <cell r="X1416">
            <v>0.14528671200000001</v>
          </cell>
          <cell r="Y1416">
            <v>0.102926191</v>
          </cell>
          <cell r="Z1416">
            <v>0.26397496599999998</v>
          </cell>
          <cell r="AB1416" t="str">
            <v>2018ID</v>
          </cell>
          <cell r="AC1416">
            <v>0</v>
          </cell>
          <cell r="AD1416">
            <v>0</v>
          </cell>
          <cell r="AE1416">
            <v>0.6</v>
          </cell>
          <cell r="AF1416">
            <v>0.4</v>
          </cell>
        </row>
        <row r="1417">
          <cell r="B1417" t="str">
            <v>2018IL</v>
          </cell>
          <cell r="C1417">
            <v>0.13175283144497188</v>
          </cell>
          <cell r="D1417">
            <v>0.26046159534668961</v>
          </cell>
          <cell r="E1417">
            <v>8.1383349234931596E-2</v>
          </cell>
          <cell r="F1417">
            <v>0.43207247933210829</v>
          </cell>
          <cell r="G1417">
            <v>4.8182181885357514E-2</v>
          </cell>
          <cell r="H1417">
            <v>4.6147562755941125E-2</v>
          </cell>
          <cell r="J1417" t="str">
            <v>2018IL</v>
          </cell>
          <cell r="K1417">
            <v>0.87043446899999999</v>
          </cell>
          <cell r="L1417">
            <v>4.8182181999999997E-2</v>
          </cell>
          <cell r="M1417">
            <v>8.1383348999999994E-2</v>
          </cell>
          <cell r="U1417" t="str">
            <v>2018IL</v>
          </cell>
          <cell r="V1417">
            <v>2.0186552999999999E-2</v>
          </cell>
          <cell r="W1417">
            <v>4.5739502000000001E-2</v>
          </cell>
          <cell r="X1417">
            <v>0.28028242399999997</v>
          </cell>
          <cell r="Y1417">
            <v>0.149587944</v>
          </cell>
          <cell r="Z1417">
            <v>0.50420357699999996</v>
          </cell>
          <cell r="AB1417" t="str">
            <v>2018IL</v>
          </cell>
          <cell r="AC1417">
            <v>0</v>
          </cell>
          <cell r="AD1417">
            <v>0</v>
          </cell>
          <cell r="AE1417">
            <v>0.02</v>
          </cell>
          <cell r="AF1417">
            <v>0.98</v>
          </cell>
        </row>
        <row r="1418">
          <cell r="B1418" t="str">
            <v>2018IN</v>
          </cell>
          <cell r="C1418">
            <v>0.16189917384296076</v>
          </cell>
          <cell r="D1418">
            <v>0.24163212738244233</v>
          </cell>
          <cell r="E1418">
            <v>0.13392208737361183</v>
          </cell>
          <cell r="F1418">
            <v>0.3491044693998876</v>
          </cell>
          <cell r="G1418">
            <v>7.9287205957511472E-2</v>
          </cell>
          <cell r="H1418">
            <v>3.4154936043586021E-2</v>
          </cell>
          <cell r="J1418" t="str">
            <v>2018IN</v>
          </cell>
          <cell r="K1418">
            <v>0.78679070699999998</v>
          </cell>
          <cell r="L1418">
            <v>7.9287205999999999E-2</v>
          </cell>
          <cell r="M1418">
            <v>0.133922087</v>
          </cell>
          <cell r="U1418" t="str">
            <v>2018IN</v>
          </cell>
          <cell r="V1418">
            <v>2.5489210000000002E-2</v>
          </cell>
          <cell r="W1418">
            <v>4.5536079E-2</v>
          </cell>
          <cell r="X1418">
            <v>0.27893099599999999</v>
          </cell>
          <cell r="Y1418">
            <v>0.14781887399999999</v>
          </cell>
          <cell r="Z1418">
            <v>0.50222484099999998</v>
          </cell>
          <cell r="AB1418" t="str">
            <v>2018IN</v>
          </cell>
          <cell r="AC1418">
            <v>0</v>
          </cell>
          <cell r="AD1418">
            <v>0</v>
          </cell>
          <cell r="AE1418">
            <v>0</v>
          </cell>
          <cell r="AF1418">
            <v>1</v>
          </cell>
        </row>
        <row r="1419">
          <cell r="B1419" t="str">
            <v>2018IA</v>
          </cell>
          <cell r="C1419">
            <v>0.13792614664225575</v>
          </cell>
          <cell r="D1419">
            <v>0.25047757969635848</v>
          </cell>
          <cell r="E1419">
            <v>0.10477197231415941</v>
          </cell>
          <cell r="F1419">
            <v>0.40507493125352922</v>
          </cell>
          <cell r="G1419">
            <v>6.2029177638731184E-2</v>
          </cell>
          <cell r="H1419">
            <v>3.9720192454965969E-2</v>
          </cell>
          <cell r="J1419" t="str">
            <v>2018IA</v>
          </cell>
          <cell r="K1419">
            <v>0.83319885000000005</v>
          </cell>
          <cell r="L1419">
            <v>6.2029177999999997E-2</v>
          </cell>
          <cell r="M1419">
            <v>0.104771972</v>
          </cell>
          <cell r="U1419" t="str">
            <v>2018IA</v>
          </cell>
          <cell r="V1419">
            <v>9.6502570000000006E-3</v>
          </cell>
          <cell r="W1419">
            <v>3.8739974000000003E-2</v>
          </cell>
          <cell r="X1419">
            <v>0.12067557499999999</v>
          </cell>
          <cell r="Y1419">
            <v>0.47629315999999999</v>
          </cell>
          <cell r="Z1419">
            <v>0.35464103499999999</v>
          </cell>
          <cell r="AB1419" t="str">
            <v>2018IA</v>
          </cell>
          <cell r="AC1419">
            <v>0</v>
          </cell>
          <cell r="AD1419">
            <v>0</v>
          </cell>
          <cell r="AE1419">
            <v>0</v>
          </cell>
          <cell r="AF1419">
            <v>1</v>
          </cell>
        </row>
        <row r="1420">
          <cell r="B1420" t="str">
            <v>2018KS</v>
          </cell>
          <cell r="C1420">
            <v>0.28758404285910905</v>
          </cell>
          <cell r="D1420">
            <v>0.32607606753917184</v>
          </cell>
          <cell r="E1420">
            <v>5.1050547933917619E-2</v>
          </cell>
          <cell r="F1420">
            <v>0.27762124338847843</v>
          </cell>
          <cell r="G1420">
            <v>3.0223956239483565E-2</v>
          </cell>
          <cell r="H1420">
            <v>2.7444142039839463E-2</v>
          </cell>
          <cell r="J1420" t="str">
            <v>2018KS</v>
          </cell>
          <cell r="K1420">
            <v>0.91872549599999997</v>
          </cell>
          <cell r="L1420">
            <v>3.0223956E-2</v>
          </cell>
          <cell r="M1420">
            <v>5.1050548000000001E-2</v>
          </cell>
          <cell r="U1420" t="str">
            <v>2018KS</v>
          </cell>
          <cell r="V1420">
            <v>2.3647662E-2</v>
          </cell>
          <cell r="W1420">
            <v>4.6272377000000003E-2</v>
          </cell>
          <cell r="X1420">
            <v>0.28189652199999998</v>
          </cell>
          <cell r="Y1420">
            <v>0.13395533500000001</v>
          </cell>
          <cell r="Z1420">
            <v>0.51422810299999999</v>
          </cell>
          <cell r="AB1420" t="str">
            <v>2018KS</v>
          </cell>
          <cell r="AC1420">
            <v>0</v>
          </cell>
          <cell r="AD1420">
            <v>0</v>
          </cell>
          <cell r="AE1420">
            <v>0.02</v>
          </cell>
          <cell r="AF1420">
            <v>0.98</v>
          </cell>
        </row>
        <row r="1421">
          <cell r="B1421" t="str">
            <v>2018KY</v>
          </cell>
          <cell r="C1421">
            <v>2.3305602928070858E-2</v>
          </cell>
          <cell r="D1421">
            <v>6.2885861766289422E-2</v>
          </cell>
          <cell r="E1421">
            <v>0.14165738300711325</v>
          </cell>
          <cell r="F1421">
            <v>0.14315421990856123</v>
          </cell>
          <cell r="G1421">
            <v>0.61397716539009373</v>
          </cell>
          <cell r="H1421">
            <v>1.5019766999871505E-2</v>
          </cell>
          <cell r="J1421" t="str">
            <v>2018KY</v>
          </cell>
          <cell r="K1421">
            <v>0.24436545200000004</v>
          </cell>
          <cell r="L1421">
            <v>0.61397716499999999</v>
          </cell>
          <cell r="M1421">
            <v>0.141657383</v>
          </cell>
          <cell r="U1421" t="str">
            <v>2018KY</v>
          </cell>
          <cell r="V1421">
            <v>4.9184704000000003E-2</v>
          </cell>
          <cell r="W1421">
            <v>3.7321891000000003E-2</v>
          </cell>
          <cell r="X1421">
            <v>0.11991215400000001</v>
          </cell>
          <cell r="Y1421">
            <v>0.45018075899999999</v>
          </cell>
          <cell r="Z1421">
            <v>0.34340049099999997</v>
          </cell>
          <cell r="AB1421" t="str">
            <v>2018KY</v>
          </cell>
          <cell r="AC1421">
            <v>0</v>
          </cell>
          <cell r="AD1421">
            <v>0</v>
          </cell>
          <cell r="AE1421">
            <v>0.05</v>
          </cell>
          <cell r="AF1421">
            <v>0.95</v>
          </cell>
        </row>
        <row r="1422">
          <cell r="B1422" t="str">
            <v>2018LA</v>
          </cell>
          <cell r="C1422">
            <v>8.7696493950327165E-2</v>
          </cell>
          <cell r="D1422">
            <v>6.4637521135916851E-2</v>
          </cell>
          <cell r="E1422">
            <v>0.14461730665558523</v>
          </cell>
          <cell r="F1422">
            <v>0.10160244529023774</v>
          </cell>
          <cell r="G1422">
            <v>0.59641803499629376</v>
          </cell>
          <cell r="H1422">
            <v>5.0281979716392446E-3</v>
          </cell>
          <cell r="J1422" t="str">
            <v>2018LA</v>
          </cell>
          <cell r="K1422">
            <v>0.25896465800000001</v>
          </cell>
          <cell r="L1422">
            <v>0.59641803500000001</v>
          </cell>
          <cell r="M1422">
            <v>0.144617307</v>
          </cell>
          <cell r="U1422" t="str">
            <v>2018LA</v>
          </cell>
          <cell r="V1422">
            <v>0.53551704700000002</v>
          </cell>
          <cell r="W1422">
            <v>2.0437250000000001E-2</v>
          </cell>
          <cell r="X1422">
            <v>0.12819729499999999</v>
          </cell>
          <cell r="Y1422">
            <v>9.8005903000000005E-2</v>
          </cell>
          <cell r="Z1422">
            <v>0.21784250499999999</v>
          </cell>
          <cell r="AB1422" t="str">
            <v>2018LA</v>
          </cell>
          <cell r="AC1422">
            <v>0</v>
          </cell>
          <cell r="AD1422">
            <v>0</v>
          </cell>
          <cell r="AE1422">
            <v>0.6</v>
          </cell>
          <cell r="AF1422">
            <v>0.4</v>
          </cell>
        </row>
        <row r="1423">
          <cell r="B1423" t="str">
            <v>2018ME</v>
          </cell>
          <cell r="C1423">
            <v>9.3713015315557757E-2</v>
          </cell>
          <cell r="D1423">
            <v>0.17210096338216258</v>
          </cell>
          <cell r="E1423">
            <v>0.44837154081607639</v>
          </cell>
          <cell r="F1423">
            <v>0.19633313267932656</v>
          </cell>
          <cell r="G1423">
            <v>7.0076626899074845E-2</v>
          </cell>
          <cell r="H1423">
            <v>1.9404720907801824E-2</v>
          </cell>
          <cell r="J1423" t="str">
            <v>2018ME</v>
          </cell>
          <cell r="K1423">
            <v>0.48155183200000007</v>
          </cell>
          <cell r="L1423">
            <v>7.0076627000000002E-2</v>
          </cell>
          <cell r="M1423">
            <v>0.44837154099999998</v>
          </cell>
          <cell r="U1423" t="str">
            <v>2018ME</v>
          </cell>
          <cell r="V1423">
            <v>0.72920202000000001</v>
          </cell>
          <cell r="W1423">
            <v>1.1915111000000001E-2</v>
          </cell>
          <cell r="X1423">
            <v>7.4740241999999998E-2</v>
          </cell>
          <cell r="Y1423">
            <v>5.7138373999999999E-2</v>
          </cell>
          <cell r="Z1423">
            <v>0.12700425300000001</v>
          </cell>
          <cell r="AB1423" t="str">
            <v>2018ME</v>
          </cell>
          <cell r="AC1423">
            <v>0</v>
          </cell>
          <cell r="AD1423">
            <v>0</v>
          </cell>
          <cell r="AE1423">
            <v>0.05</v>
          </cell>
          <cell r="AF1423">
            <v>0.95</v>
          </cell>
        </row>
        <row r="1424">
          <cell r="B1424" t="str">
            <v>2018MD</v>
          </cell>
          <cell r="C1424">
            <v>7.6488535055593554E-2</v>
          </cell>
          <cell r="D1424">
            <v>0.15472472257238745</v>
          </cell>
          <cell r="E1424">
            <v>0.44380834258126728</v>
          </cell>
          <cell r="F1424">
            <v>0.22861605738914034</v>
          </cell>
          <cell r="G1424">
            <v>6.5960402236453913E-2</v>
          </cell>
          <cell r="H1424">
            <v>3.0401940165157418E-2</v>
          </cell>
          <cell r="J1424" t="str">
            <v>2018MD</v>
          </cell>
          <cell r="K1424">
            <v>0.49023125499999998</v>
          </cell>
          <cell r="L1424">
            <v>6.5960402000000001E-2</v>
          </cell>
          <cell r="M1424">
            <v>0.44380834299999999</v>
          </cell>
          <cell r="U1424" t="str">
            <v>2018MD</v>
          </cell>
          <cell r="V1424">
            <v>0.21140679400000001</v>
          </cell>
          <cell r="W1424">
            <v>3.7602905999999998E-2</v>
          </cell>
          <cell r="X1424">
            <v>0.214504853</v>
          </cell>
          <cell r="Y1424">
            <v>0.15671048400000001</v>
          </cell>
          <cell r="Z1424">
            <v>0.37977496300000002</v>
          </cell>
          <cell r="AB1424" t="str">
            <v>2018MD</v>
          </cell>
          <cell r="AC1424">
            <v>0</v>
          </cell>
          <cell r="AD1424">
            <v>0</v>
          </cell>
          <cell r="AE1424">
            <v>0.05</v>
          </cell>
          <cell r="AF1424">
            <v>0.95</v>
          </cell>
        </row>
        <row r="1425">
          <cell r="B1425" t="str">
            <v>2018MA</v>
          </cell>
          <cell r="C1425">
            <v>6.1305440163427552E-2</v>
          </cell>
          <cell r="D1425">
            <v>0.14874705508142777</v>
          </cell>
          <cell r="E1425">
            <v>0.45216403673004657</v>
          </cell>
          <cell r="F1425">
            <v>0.23617268276189021</v>
          </cell>
          <cell r="G1425">
            <v>7.3497640935872632E-2</v>
          </cell>
          <cell r="H1425">
            <v>2.8113144327335336E-2</v>
          </cell>
          <cell r="J1425" t="str">
            <v>2018MA</v>
          </cell>
          <cell r="K1425">
            <v>0.47433832199999992</v>
          </cell>
          <cell r="L1425">
            <v>7.3497641000000002E-2</v>
          </cell>
          <cell r="M1425">
            <v>0.45216403700000002</v>
          </cell>
          <cell r="U1425" t="str">
            <v>2018MA</v>
          </cell>
          <cell r="V1425">
            <v>0.31419575799999999</v>
          </cell>
          <cell r="W1425">
            <v>3.0175387000000001E-2</v>
          </cell>
          <cell r="X1425">
            <v>0.18928197099999999</v>
          </cell>
          <cell r="Y1425">
            <v>0.14470469499999999</v>
          </cell>
          <cell r="Z1425">
            <v>0.32164218900000002</v>
          </cell>
          <cell r="AB1425" t="str">
            <v>2018MA</v>
          </cell>
          <cell r="AC1425">
            <v>0</v>
          </cell>
          <cell r="AD1425">
            <v>0</v>
          </cell>
          <cell r="AE1425">
            <v>0.05</v>
          </cell>
          <cell r="AF1425">
            <v>0.95</v>
          </cell>
        </row>
        <row r="1426">
          <cell r="B1426" t="str">
            <v>2018MI</v>
          </cell>
          <cell r="C1426">
            <v>0.21592740095911189</v>
          </cell>
          <cell r="D1426">
            <v>0.33044604004991018</v>
          </cell>
          <cell r="E1426">
            <v>5.8998863632555826E-2</v>
          </cell>
          <cell r="F1426">
            <v>0.32074430847532459</v>
          </cell>
          <cell r="G1426">
            <v>3.4929675483950956E-2</v>
          </cell>
          <cell r="H1426">
            <v>3.8953711399146676E-2</v>
          </cell>
          <cell r="J1426" t="str">
            <v>2018MI</v>
          </cell>
          <cell r="K1426">
            <v>0.90607146100000002</v>
          </cell>
          <cell r="L1426">
            <v>3.4929675E-2</v>
          </cell>
          <cell r="M1426">
            <v>5.8998863999999998E-2</v>
          </cell>
          <cell r="U1426" t="str">
            <v>2018MI</v>
          </cell>
          <cell r="V1426">
            <v>4.5127237000000001E-2</v>
          </cell>
          <cell r="W1426">
            <v>5.0500046999999999E-2</v>
          </cell>
          <cell r="X1426">
            <v>0.254352099</v>
          </cell>
          <cell r="Y1426">
            <v>0.17319266699999999</v>
          </cell>
          <cell r="Z1426">
            <v>0.47682794899999997</v>
          </cell>
          <cell r="AB1426" t="str">
            <v>2018MI</v>
          </cell>
          <cell r="AC1426">
            <v>0</v>
          </cell>
          <cell r="AD1426">
            <v>0</v>
          </cell>
          <cell r="AE1426">
            <v>0.02</v>
          </cell>
          <cell r="AF1426">
            <v>0.98</v>
          </cell>
        </row>
        <row r="1427">
          <cell r="B1427" t="str">
            <v>2018MN</v>
          </cell>
          <cell r="C1427">
            <v>0.11559741536790068</v>
          </cell>
          <cell r="D1427">
            <v>0.23915415867765383</v>
          </cell>
          <cell r="E1427">
            <v>0.10052931481156221</v>
          </cell>
          <cell r="F1427">
            <v>0.43822851849088174</v>
          </cell>
          <cell r="G1427">
            <v>5.9517355535203494E-2</v>
          </cell>
          <cell r="H1427">
            <v>4.697323711679801E-2</v>
          </cell>
          <cell r="J1427" t="str">
            <v>2018MN</v>
          </cell>
          <cell r="K1427">
            <v>0.83995332899999997</v>
          </cell>
          <cell r="L1427">
            <v>5.9517356E-2</v>
          </cell>
          <cell r="M1427">
            <v>0.10052931499999999</v>
          </cell>
          <cell r="U1427" t="str">
            <v>2018MN</v>
          </cell>
          <cell r="V1427">
            <v>1.5145339000000001E-2</v>
          </cell>
          <cell r="W1427">
            <v>5.1986831999999997E-2</v>
          </cell>
          <cell r="X1427">
            <v>0.262445557</v>
          </cell>
          <cell r="Y1427">
            <v>0.17896024199999999</v>
          </cell>
          <cell r="Z1427">
            <v>0.49146202900000002</v>
          </cell>
          <cell r="AB1427" t="str">
            <v>2018MN</v>
          </cell>
          <cell r="AC1427">
            <v>0</v>
          </cell>
          <cell r="AD1427">
            <v>0</v>
          </cell>
          <cell r="AE1427">
            <v>0</v>
          </cell>
          <cell r="AF1427">
            <v>1</v>
          </cell>
        </row>
        <row r="1428">
          <cell r="B1428" t="str">
            <v>2018MS</v>
          </cell>
          <cell r="C1428">
            <v>0.10416334210611014</v>
          </cell>
          <cell r="D1428">
            <v>7.2829933678422776E-2</v>
          </cell>
          <cell r="E1428">
            <v>0.14929269604113307</v>
          </cell>
          <cell r="F1428">
            <v>0.10019278631941281</v>
          </cell>
          <cell r="G1428">
            <v>0.56868226150598644</v>
          </cell>
          <cell r="H1428">
            <v>4.838980348934833E-3</v>
          </cell>
          <cell r="J1428" t="str">
            <v>2018MS</v>
          </cell>
          <cell r="K1428">
            <v>0.28202504199999989</v>
          </cell>
          <cell r="L1428">
            <v>0.56868226200000005</v>
          </cell>
          <cell r="M1428">
            <v>0.149292696</v>
          </cell>
          <cell r="U1428" t="str">
            <v>2018MS</v>
          </cell>
          <cell r="V1428">
            <v>2.1100625000000001E-2</v>
          </cell>
          <cell r="W1428">
            <v>3.6418512E-2</v>
          </cell>
          <cell r="X1428">
            <v>6.0129593000000002E-2</v>
          </cell>
          <cell r="Y1428">
            <v>0.574366987</v>
          </cell>
          <cell r="Z1428">
            <v>0.30798428300000003</v>
          </cell>
          <cell r="AB1428" t="str">
            <v>2018MS</v>
          </cell>
          <cell r="AC1428">
            <v>0</v>
          </cell>
          <cell r="AD1428">
            <v>0</v>
          </cell>
          <cell r="AE1428">
            <v>0.6</v>
          </cell>
          <cell r="AF1428">
            <v>0.4</v>
          </cell>
        </row>
        <row r="1429">
          <cell r="B1429" t="str">
            <v>2018MO</v>
          </cell>
          <cell r="C1429">
            <v>6.4925479522277466E-2</v>
          </cell>
          <cell r="D1429">
            <v>0.18170303563698134</v>
          </cell>
          <cell r="E1429">
            <v>0.14337282997597614</v>
          </cell>
          <cell r="F1429">
            <v>0.47880340852502545</v>
          </cell>
          <cell r="G1429">
            <v>8.4882421727070459E-2</v>
          </cell>
          <cell r="H1429">
            <v>4.6312824612669105E-2</v>
          </cell>
          <cell r="J1429" t="str">
            <v>2018MO</v>
          </cell>
          <cell r="K1429">
            <v>0.77174474799999992</v>
          </cell>
          <cell r="L1429">
            <v>8.4882421999999999E-2</v>
          </cell>
          <cell r="M1429">
            <v>0.14337283000000001</v>
          </cell>
          <cell r="U1429" t="str">
            <v>2018MO</v>
          </cell>
          <cell r="V1429">
            <v>2.998994E-2</v>
          </cell>
          <cell r="W1429">
            <v>4.5757142000000001E-2</v>
          </cell>
          <cell r="X1429">
            <v>0.27926039899999999</v>
          </cell>
          <cell r="Y1429">
            <v>0.13775391300000001</v>
          </cell>
          <cell r="Z1429">
            <v>0.50723860600000004</v>
          </cell>
          <cell r="AB1429" t="str">
            <v>2018MO</v>
          </cell>
          <cell r="AC1429">
            <v>0</v>
          </cell>
          <cell r="AD1429">
            <v>0</v>
          </cell>
          <cell r="AE1429">
            <v>0</v>
          </cell>
          <cell r="AF1429">
            <v>1</v>
          </cell>
        </row>
        <row r="1430">
          <cell r="B1430" t="str">
            <v>2018MT</v>
          </cell>
          <cell r="C1430">
            <v>0.35597781750083307</v>
          </cell>
          <cell r="D1430">
            <v>0.25924389885240834</v>
          </cell>
          <cell r="E1430">
            <v>4.3797789125912777E-2</v>
          </cell>
          <cell r="F1430">
            <v>0.25058080537727367</v>
          </cell>
          <cell r="G1430">
            <v>2.5930034358127463E-2</v>
          </cell>
          <cell r="H1430">
            <v>6.4469654785444572E-2</v>
          </cell>
          <cell r="J1430" t="str">
            <v>2018MT</v>
          </cell>
          <cell r="K1430">
            <v>0.93027217699999998</v>
          </cell>
          <cell r="L1430">
            <v>2.5930034000000001E-2</v>
          </cell>
          <cell r="M1430">
            <v>4.3797788999999997E-2</v>
          </cell>
          <cell r="U1430" t="str">
            <v>2018MT</v>
          </cell>
          <cell r="V1430">
            <v>6.0520032000000001E-2</v>
          </cell>
          <cell r="W1430">
            <v>5.1214043000000001E-2</v>
          </cell>
          <cell r="X1430">
            <v>0.24859647000000001</v>
          </cell>
          <cell r="Y1430">
            <v>0.16530719099999999</v>
          </cell>
          <cell r="Z1430">
            <v>0.47436226399999998</v>
          </cell>
          <cell r="AB1430" t="str">
            <v>2018MT</v>
          </cell>
          <cell r="AC1430">
            <v>0</v>
          </cell>
          <cell r="AD1430">
            <v>0</v>
          </cell>
          <cell r="AE1430">
            <v>0.6</v>
          </cell>
          <cell r="AF1430">
            <v>0.4</v>
          </cell>
        </row>
        <row r="1431">
          <cell r="B1431" t="str">
            <v>2018NE</v>
          </cell>
          <cell r="C1431">
            <v>0.21260954807532403</v>
          </cell>
          <cell r="D1431">
            <v>0.30324255962083846</v>
          </cell>
          <cell r="E1431">
            <v>6.1277054134417128E-2</v>
          </cell>
          <cell r="F1431">
            <v>0.34696077142199511</v>
          </cell>
          <cell r="G1431">
            <v>3.6278454935301678E-2</v>
          </cell>
          <cell r="H1431">
            <v>3.9631611812123581E-2</v>
          </cell>
          <cell r="J1431" t="str">
            <v>2018NE</v>
          </cell>
          <cell r="K1431">
            <v>0.90244449100000002</v>
          </cell>
          <cell r="L1431">
            <v>3.6278455000000001E-2</v>
          </cell>
          <cell r="M1431">
            <v>6.1277053999999997E-2</v>
          </cell>
          <cell r="U1431" t="str">
            <v>2018NE</v>
          </cell>
          <cell r="V1431">
            <v>3.0063880000000001E-2</v>
          </cell>
          <cell r="W1431">
            <v>4.5295173000000001E-2</v>
          </cell>
          <cell r="X1431">
            <v>0.27751980599999998</v>
          </cell>
          <cell r="Y1431">
            <v>0.147715386</v>
          </cell>
          <cell r="Z1431">
            <v>0.49940575500000001</v>
          </cell>
          <cell r="AB1431" t="str">
            <v>2018NE</v>
          </cell>
          <cell r="AC1431">
            <v>0</v>
          </cell>
          <cell r="AD1431">
            <v>0</v>
          </cell>
          <cell r="AE1431">
            <v>0.02</v>
          </cell>
          <cell r="AF1431">
            <v>0.98</v>
          </cell>
        </row>
        <row r="1432">
          <cell r="B1432" t="str">
            <v>2018NV</v>
          </cell>
          <cell r="C1432">
            <v>0.64210148526116029</v>
          </cell>
          <cell r="D1432">
            <v>0.238399883587257</v>
          </cell>
          <cell r="E1432">
            <v>4.1594375177217181E-3</v>
          </cell>
          <cell r="F1432">
            <v>0.10819864870890922</v>
          </cell>
          <cell r="G1432">
            <v>2.4625525602432058E-3</v>
          </cell>
          <cell r="H1432">
            <v>4.677992364708553E-3</v>
          </cell>
          <cell r="J1432" t="str">
            <v>2018NV</v>
          </cell>
          <cell r="K1432">
            <v>0.99337800899999995</v>
          </cell>
          <cell r="L1432">
            <v>2.4625530000000001E-3</v>
          </cell>
          <cell r="M1432">
            <v>4.1594379999999997E-3</v>
          </cell>
          <cell r="U1432" t="str">
            <v>2018NV</v>
          </cell>
          <cell r="V1432">
            <v>0.35004114600000003</v>
          </cell>
          <cell r="W1432">
            <v>2.4048478000000002E-2</v>
          </cell>
          <cell r="X1432">
            <v>3.5747737000000002E-2</v>
          </cell>
          <cell r="Y1432">
            <v>0.38867539400000001</v>
          </cell>
          <cell r="Z1432">
            <v>0.20148724500000001</v>
          </cell>
          <cell r="AB1432" t="str">
            <v>2018NV</v>
          </cell>
          <cell r="AC1432">
            <v>0</v>
          </cell>
          <cell r="AD1432">
            <v>0</v>
          </cell>
          <cell r="AE1432">
            <v>0</v>
          </cell>
          <cell r="AF1432">
            <v>1</v>
          </cell>
        </row>
        <row r="1433">
          <cell r="B1433" t="str">
            <v>2018NH</v>
          </cell>
          <cell r="C1433">
            <v>9.4573445198850817E-2</v>
          </cell>
          <cell r="D1433">
            <v>0.16340842518862655</v>
          </cell>
          <cell r="E1433">
            <v>0.44298025846087286</v>
          </cell>
          <cell r="F1433">
            <v>0.20852129702854144</v>
          </cell>
          <cell r="G1433">
            <v>6.52134304627775E-2</v>
          </cell>
          <cell r="H1433">
            <v>2.5303143660330828E-2</v>
          </cell>
          <cell r="J1433" t="str">
            <v>2018NH</v>
          </cell>
          <cell r="K1433">
            <v>0.49180631200000002</v>
          </cell>
          <cell r="L1433">
            <v>6.5213430000000003E-2</v>
          </cell>
          <cell r="M1433">
            <v>0.44298025800000002</v>
          </cell>
          <cell r="U1433" t="str">
            <v>2018NH</v>
          </cell>
          <cell r="V1433">
            <v>0.56759962799999997</v>
          </cell>
          <cell r="W1433">
            <v>1.9025615999999999E-2</v>
          </cell>
          <cell r="X1433">
            <v>0.119342503</v>
          </cell>
          <cell r="Y1433">
            <v>9.1236478999999995E-2</v>
          </cell>
          <cell r="Z1433">
            <v>0.20279577500000001</v>
          </cell>
          <cell r="AB1433" t="str">
            <v>2018NH</v>
          </cell>
          <cell r="AC1433">
            <v>0</v>
          </cell>
          <cell r="AD1433">
            <v>0</v>
          </cell>
          <cell r="AE1433">
            <v>0.05</v>
          </cell>
          <cell r="AF1433">
            <v>0.95</v>
          </cell>
        </row>
        <row r="1434">
          <cell r="B1434" t="str">
            <v>2018NJ</v>
          </cell>
          <cell r="C1434">
            <v>5.8003576611346738E-2</v>
          </cell>
          <cell r="D1434">
            <v>0.13897871355240557</v>
          </cell>
          <cell r="E1434">
            <v>0.45397029129837874</v>
          </cell>
          <cell r="F1434">
            <v>0.24471653627570109</v>
          </cell>
          <cell r="G1434">
            <v>7.5126969581826603E-2</v>
          </cell>
          <cell r="H1434">
            <v>2.9203912680341212E-2</v>
          </cell>
          <cell r="J1434" t="str">
            <v>2018NJ</v>
          </cell>
          <cell r="K1434">
            <v>0.47090273900000001</v>
          </cell>
          <cell r="L1434">
            <v>7.5126970000000001E-2</v>
          </cell>
          <cell r="M1434">
            <v>0.45397029100000003</v>
          </cell>
          <cell r="U1434" t="str">
            <v>2018NJ</v>
          </cell>
          <cell r="V1434">
            <v>0.30808167400000003</v>
          </cell>
          <cell r="W1434">
            <v>3.3011736E-2</v>
          </cell>
          <cell r="X1434">
            <v>0.18818818500000001</v>
          </cell>
          <cell r="Y1434">
            <v>0.137437002</v>
          </cell>
          <cell r="Z1434">
            <v>0.333281404</v>
          </cell>
          <cell r="AB1434" t="str">
            <v>2018NJ</v>
          </cell>
          <cell r="AC1434">
            <v>0</v>
          </cell>
          <cell r="AD1434">
            <v>0</v>
          </cell>
          <cell r="AE1434">
            <v>0.05</v>
          </cell>
          <cell r="AF1434">
            <v>0.95</v>
          </cell>
        </row>
        <row r="1435">
          <cell r="B1435" t="str">
            <v>2018NM</v>
          </cell>
          <cell r="C1435">
            <v>0.61184589317007076</v>
          </cell>
          <cell r="D1435">
            <v>0.19452029294367307</v>
          </cell>
          <cell r="E1435">
            <v>9.8952813124742175E-2</v>
          </cell>
          <cell r="F1435">
            <v>9.4174237847419268E-2</v>
          </cell>
          <cell r="G1435">
            <v>0</v>
          </cell>
          <cell r="H1435">
            <v>5.0676291409465751E-4</v>
          </cell>
          <cell r="J1435" t="str">
            <v>2018NM</v>
          </cell>
          <cell r="K1435">
            <v>0.90104718699999997</v>
          </cell>
          <cell r="L1435">
            <v>0</v>
          </cell>
          <cell r="M1435">
            <v>9.8952813000000001E-2</v>
          </cell>
          <cell r="U1435" t="str">
            <v>2018NM</v>
          </cell>
          <cell r="V1435">
            <v>0.91655606099999998</v>
          </cell>
          <cell r="W1435">
            <v>3.6715329999999998E-3</v>
          </cell>
          <cell r="X1435">
            <v>2.3030526999999999E-2</v>
          </cell>
          <cell r="Y1435">
            <v>1.7606671000000001E-2</v>
          </cell>
          <cell r="Z1435">
            <v>3.9135206999999998E-2</v>
          </cell>
          <cell r="AB1435" t="str">
            <v>2018NM</v>
          </cell>
          <cell r="AC1435">
            <v>0</v>
          </cell>
          <cell r="AD1435">
            <v>0</v>
          </cell>
          <cell r="AE1435">
            <v>0.6</v>
          </cell>
          <cell r="AF1435">
            <v>0.4</v>
          </cell>
        </row>
        <row r="1436">
          <cell r="B1436" t="str">
            <v>2018NY</v>
          </cell>
          <cell r="C1436">
            <v>9.8408703041683282E-2</v>
          </cell>
          <cell r="D1436">
            <v>0.15954377256245178</v>
          </cell>
          <cell r="E1436">
            <v>0.44849165243165579</v>
          </cell>
          <cell r="F1436">
            <v>0.20287733376538455</v>
          </cell>
          <cell r="G1436">
            <v>7.0184973363303343E-2</v>
          </cell>
          <cell r="H1436">
            <v>2.0493564835521279E-2</v>
          </cell>
          <cell r="J1436" t="str">
            <v>2018NY</v>
          </cell>
          <cell r="K1436">
            <v>0.481323375</v>
          </cell>
          <cell r="L1436">
            <v>7.0184972999999998E-2</v>
          </cell>
          <cell r="M1436">
            <v>0.44849165200000002</v>
          </cell>
          <cell r="U1436" t="str">
            <v>2018NY</v>
          </cell>
          <cell r="V1436">
            <v>0.20441514899999999</v>
          </cell>
          <cell r="W1436">
            <v>4.1815811000000001E-2</v>
          </cell>
          <cell r="X1436">
            <v>0.21220383400000001</v>
          </cell>
          <cell r="Y1436">
            <v>0.145168144</v>
          </cell>
          <cell r="Z1436">
            <v>0.396397061</v>
          </cell>
          <cell r="AB1436" t="str">
            <v>2018NY</v>
          </cell>
          <cell r="AC1436">
            <v>0</v>
          </cell>
          <cell r="AD1436">
            <v>0</v>
          </cell>
          <cell r="AE1436">
            <v>0.05</v>
          </cell>
          <cell r="AF1436">
            <v>0.95</v>
          </cell>
        </row>
        <row r="1437">
          <cell r="B1437" t="str">
            <v>2018NC</v>
          </cell>
          <cell r="C1437">
            <v>6.168821577504751E-2</v>
          </cell>
          <cell r="D1437">
            <v>0.11278426418396881</v>
          </cell>
          <cell r="E1437">
            <v>0.15395779991170949</v>
          </cell>
          <cell r="F1437">
            <v>0.11589101949636353</v>
          </cell>
          <cell r="G1437">
            <v>0.54100750469043157</v>
          </cell>
          <cell r="H1437">
            <v>1.4671195942479084E-2</v>
          </cell>
          <cell r="J1437" t="str">
            <v>2018NC</v>
          </cell>
          <cell r="K1437">
            <v>0.30503469499999991</v>
          </cell>
          <cell r="L1437">
            <v>0.54100750500000006</v>
          </cell>
          <cell r="M1437">
            <v>0.15395780000000001</v>
          </cell>
          <cell r="U1437" t="str">
            <v>2018NC</v>
          </cell>
          <cell r="V1437">
            <v>2.4742549999999999E-3</v>
          </cell>
          <cell r="W1437">
            <v>3.7123251000000003E-2</v>
          </cell>
          <cell r="X1437">
            <v>6.1645423999999997E-2</v>
          </cell>
          <cell r="Y1437">
            <v>0.58464508599999998</v>
          </cell>
          <cell r="Z1437">
            <v>0.31411198400000001</v>
          </cell>
          <cell r="AB1437" t="str">
            <v>2018NC</v>
          </cell>
          <cell r="AC1437">
            <v>0</v>
          </cell>
          <cell r="AD1437">
            <v>0</v>
          </cell>
          <cell r="AE1437">
            <v>0.41899999999999998</v>
          </cell>
          <cell r="AF1437">
            <v>0.58099999999999996</v>
          </cell>
        </row>
        <row r="1438">
          <cell r="B1438" t="str">
            <v>2018ND</v>
          </cell>
          <cell r="C1438">
            <v>0.1196932700797023</v>
          </cell>
          <cell r="D1438">
            <v>0.21866711268457967</v>
          </cell>
          <cell r="E1438">
            <v>0.10978970169096619</v>
          </cell>
          <cell r="F1438">
            <v>0.448028418369537</v>
          </cell>
          <cell r="G1438">
            <v>6.499987314042277E-2</v>
          </cell>
          <cell r="H1438">
            <v>3.8821624034792085E-2</v>
          </cell>
          <cell r="J1438" t="str">
            <v>2018ND</v>
          </cell>
          <cell r="K1438">
            <v>0.82521042499999997</v>
          </cell>
          <cell r="L1438">
            <v>6.4999873E-2</v>
          </cell>
          <cell r="M1438">
            <v>0.109789702</v>
          </cell>
          <cell r="U1438" t="str">
            <v>2018ND</v>
          </cell>
          <cell r="V1438">
            <v>8.8434773999999994E-2</v>
          </cell>
          <cell r="W1438">
            <v>4.7868137999999998E-2</v>
          </cell>
          <cell r="X1438">
            <v>0.243186129</v>
          </cell>
          <cell r="Y1438">
            <v>0.16647603599999999</v>
          </cell>
          <cell r="Z1438">
            <v>0.45403492299999998</v>
          </cell>
          <cell r="AB1438" t="str">
            <v>2018ND</v>
          </cell>
          <cell r="AC1438">
            <v>0</v>
          </cell>
          <cell r="AD1438">
            <v>0</v>
          </cell>
          <cell r="AE1438">
            <v>0.02</v>
          </cell>
          <cell r="AF1438">
            <v>0.98</v>
          </cell>
        </row>
        <row r="1439">
          <cell r="B1439" t="str">
            <v>2018OH</v>
          </cell>
          <cell r="C1439">
            <v>0.10753833947858983</v>
          </cell>
          <cell r="D1439">
            <v>0.22522557822049544</v>
          </cell>
          <cell r="E1439">
            <v>0.13589110116557596</v>
          </cell>
          <cell r="F1439">
            <v>0.4097570212201273</v>
          </cell>
          <cell r="G1439">
            <v>8.0452940491062386E-2</v>
          </cell>
          <cell r="H1439">
            <v>4.1135019424149183E-2</v>
          </cell>
          <cell r="J1439" t="str">
            <v>2018OH</v>
          </cell>
          <cell r="K1439">
            <v>0.78365595900000007</v>
          </cell>
          <cell r="L1439">
            <v>8.0452940000000001E-2</v>
          </cell>
          <cell r="M1439">
            <v>0.13589110099999999</v>
          </cell>
          <cell r="U1439" t="str">
            <v>2018OH</v>
          </cell>
          <cell r="V1439">
            <v>6.6338901000000006E-2</v>
          </cell>
          <cell r="W1439">
            <v>4.3119113000000001E-2</v>
          </cell>
          <cell r="X1439">
            <v>0.26533305600000001</v>
          </cell>
          <cell r="Y1439">
            <v>0.15267545299999999</v>
          </cell>
          <cell r="Z1439">
            <v>0.47253347699999998</v>
          </cell>
          <cell r="AB1439" t="str">
            <v>2018OH</v>
          </cell>
          <cell r="AC1439">
            <v>0</v>
          </cell>
          <cell r="AD1439">
            <v>0</v>
          </cell>
          <cell r="AE1439">
            <v>0</v>
          </cell>
          <cell r="AF1439">
            <v>1</v>
          </cell>
        </row>
        <row r="1440">
          <cell r="B1440" t="str">
            <v>2018OK</v>
          </cell>
          <cell r="C1440">
            <v>0.40296958934788546</v>
          </cell>
          <cell r="D1440">
            <v>0.22528492954061258</v>
          </cell>
          <cell r="E1440">
            <v>6.4896255940651446E-2</v>
          </cell>
          <cell r="F1440">
            <v>0.24738177570149189</v>
          </cell>
          <cell r="G1440">
            <v>0</v>
          </cell>
          <cell r="H1440">
            <v>5.9467449469358676E-2</v>
          </cell>
          <cell r="J1440" t="str">
            <v>2018OK</v>
          </cell>
          <cell r="K1440">
            <v>0.93510374399999996</v>
          </cell>
          <cell r="L1440">
            <v>0</v>
          </cell>
          <cell r="M1440">
            <v>6.4896255999999999E-2</v>
          </cell>
          <cell r="U1440" t="str">
            <v>2018OK</v>
          </cell>
          <cell r="V1440">
            <v>1.2831308E-2</v>
          </cell>
          <cell r="W1440">
            <v>3.6793041999999998E-2</v>
          </cell>
          <cell r="X1440">
            <v>6.2749109999999997E-2</v>
          </cell>
          <cell r="Y1440">
            <v>0.57552135800000004</v>
          </cell>
          <cell r="Z1440">
            <v>0.31210518199999998</v>
          </cell>
          <cell r="AB1440" t="str">
            <v>2018OK</v>
          </cell>
          <cell r="AC1440">
            <v>0</v>
          </cell>
          <cell r="AD1440">
            <v>0</v>
          </cell>
          <cell r="AE1440">
            <v>0.6</v>
          </cell>
          <cell r="AF1440">
            <v>0.4</v>
          </cell>
        </row>
        <row r="1441">
          <cell r="B1441" t="str">
            <v>2018OR</v>
          </cell>
          <cell r="C1441">
            <v>0.43856747008812064</v>
          </cell>
          <cell r="D1441">
            <v>0.20958259090942544</v>
          </cell>
          <cell r="E1441">
            <v>0</v>
          </cell>
          <cell r="F1441">
            <v>0.12862948158709187</v>
          </cell>
          <cell r="G1441">
            <v>0.2018533708975031</v>
          </cell>
          <cell r="H1441">
            <v>2.1367086517858933E-2</v>
          </cell>
          <cell r="J1441" t="str">
            <v>2018OR</v>
          </cell>
          <cell r="K1441">
            <v>0.798146629</v>
          </cell>
          <cell r="L1441">
            <v>0.201853371</v>
          </cell>
          <cell r="M1441">
            <v>0</v>
          </cell>
          <cell r="U1441" t="str">
            <v>2018OR</v>
          </cell>
          <cell r="V1441">
            <v>0.57640796000000005</v>
          </cell>
          <cell r="W1441">
            <v>1.863805E-2</v>
          </cell>
          <cell r="X1441">
            <v>0.116911403</v>
          </cell>
          <cell r="Y1441">
            <v>8.937792E-2</v>
          </cell>
          <cell r="Z1441">
            <v>0.19866466699999999</v>
          </cell>
          <cell r="AB1441" t="str">
            <v>2018OR</v>
          </cell>
          <cell r="AC1441">
            <v>0</v>
          </cell>
          <cell r="AD1441">
            <v>0</v>
          </cell>
          <cell r="AE1441">
            <v>0.25</v>
          </cell>
          <cell r="AF1441">
            <v>0.75</v>
          </cell>
        </row>
        <row r="1442">
          <cell r="B1442" t="str">
            <v>2018PA</v>
          </cell>
          <cell r="C1442">
            <v>4.9624045569858895E-2</v>
          </cell>
          <cell r="D1442">
            <v>0.11712497857538914</v>
          </cell>
          <cell r="E1442">
            <v>0.46874549019831585</v>
          </cell>
          <cell r="F1442">
            <v>0.25230966018477574</v>
          </cell>
          <cell r="G1442">
            <v>8.8454910858433447E-2</v>
          </cell>
          <cell r="H1442">
            <v>2.3740914613226898E-2</v>
          </cell>
          <cell r="J1442" t="str">
            <v>2018PA</v>
          </cell>
          <cell r="K1442">
            <v>0.44279959899999999</v>
          </cell>
          <cell r="L1442">
            <v>8.8454910999999997E-2</v>
          </cell>
          <cell r="M1442">
            <v>0.46874548999999999</v>
          </cell>
          <cell r="U1442" t="str">
            <v>2018PA</v>
          </cell>
          <cell r="V1442">
            <v>5.0102499000000002E-2</v>
          </cell>
          <cell r="W1442">
            <v>4.9409870000000002E-2</v>
          </cell>
          <cell r="X1442">
            <v>0.25392279899999998</v>
          </cell>
          <cell r="Y1442">
            <v>0.17504710600000001</v>
          </cell>
          <cell r="Z1442">
            <v>0.47151772600000003</v>
          </cell>
          <cell r="AB1442" t="str">
            <v>2018PA</v>
          </cell>
          <cell r="AC1442">
            <v>0</v>
          </cell>
          <cell r="AD1442">
            <v>0</v>
          </cell>
          <cell r="AE1442">
            <v>0</v>
          </cell>
          <cell r="AF1442">
            <v>1</v>
          </cell>
        </row>
        <row r="1443">
          <cell r="B1443" t="str">
            <v>2018RI</v>
          </cell>
          <cell r="C1443">
            <v>4.2447025005926793E-2</v>
          </cell>
          <cell r="D1443">
            <v>0.1190174947032642</v>
          </cell>
          <cell r="E1443">
            <v>0.46784468707451643</v>
          </cell>
          <cell r="F1443">
            <v>0.25730854976835782</v>
          </cell>
          <cell r="G1443">
            <v>8.7642343040085183E-2</v>
          </cell>
          <cell r="H1443">
            <v>2.5739900407849584E-2</v>
          </cell>
          <cell r="J1443" t="str">
            <v>2018RI</v>
          </cell>
          <cell r="K1443">
            <v>0.44451297000000001</v>
          </cell>
          <cell r="L1443">
            <v>8.7642342999999998E-2</v>
          </cell>
          <cell r="M1443">
            <v>0.46784468699999998</v>
          </cell>
          <cell r="U1443" t="str">
            <v>2018RI</v>
          </cell>
          <cell r="V1443">
            <v>0.56026879500000004</v>
          </cell>
          <cell r="W1443">
            <v>1.9348173E-2</v>
          </cell>
          <cell r="X1443">
            <v>0.121365813</v>
          </cell>
          <cell r="Y1443">
            <v>9.2783283999999994E-2</v>
          </cell>
          <cell r="Z1443">
            <v>0.20623393500000001</v>
          </cell>
          <cell r="AB1443" t="str">
            <v>2018RI</v>
          </cell>
          <cell r="AC1443">
            <v>0</v>
          </cell>
          <cell r="AD1443">
            <v>0</v>
          </cell>
          <cell r="AE1443">
            <v>0.05</v>
          </cell>
          <cell r="AF1443">
            <v>0.95</v>
          </cell>
        </row>
        <row r="1444">
          <cell r="B1444" t="str">
            <v>2018SC</v>
          </cell>
          <cell r="C1444">
            <v>0.13346180610825578</v>
          </cell>
          <cell r="D1444">
            <v>9.0019723091430845E-2</v>
          </cell>
          <cell r="E1444">
            <v>0.15451296947775242</v>
          </cell>
          <cell r="F1444">
            <v>8.0687406490411034E-2</v>
          </cell>
          <cell r="G1444">
            <v>0.53771407690020812</v>
          </cell>
          <cell r="H1444">
            <v>3.6040179319418398E-3</v>
          </cell>
          <cell r="J1444" t="str">
            <v>2018SC</v>
          </cell>
          <cell r="K1444">
            <v>0.30777295400000004</v>
          </cell>
          <cell r="L1444">
            <v>0.53771407699999996</v>
          </cell>
          <cell r="M1444">
            <v>0.154512969</v>
          </cell>
          <cell r="U1444" t="str">
            <v>2018SC</v>
          </cell>
          <cell r="V1444">
            <v>6.1629585000000001E-2</v>
          </cell>
          <cell r="W1444">
            <v>3.5823032999999997E-2</v>
          </cell>
          <cell r="X1444">
            <v>8.6443989999999998E-2</v>
          </cell>
          <cell r="Y1444">
            <v>0.50014727299999995</v>
          </cell>
          <cell r="Z1444">
            <v>0.31595611899999998</v>
          </cell>
          <cell r="AB1444" t="str">
            <v>2018SC</v>
          </cell>
          <cell r="AC1444">
            <v>0</v>
          </cell>
          <cell r="AD1444">
            <v>0</v>
          </cell>
          <cell r="AE1444">
            <v>0.6</v>
          </cell>
          <cell r="AF1444">
            <v>0.4</v>
          </cell>
        </row>
        <row r="1445">
          <cell r="B1445" t="str">
            <v>2018SD</v>
          </cell>
          <cell r="C1445">
            <v>0.17608951911561277</v>
          </cell>
          <cell r="D1445">
            <v>0.277831368160596</v>
          </cell>
          <cell r="E1445">
            <v>7.9800561964795444E-2</v>
          </cell>
          <cell r="F1445">
            <v>0.37802114842972712</v>
          </cell>
          <cell r="G1445">
            <v>4.724510882492864E-2</v>
          </cell>
          <cell r="H1445">
            <v>4.1012293504340026E-2</v>
          </cell>
          <cell r="J1445" t="str">
            <v>2018SD</v>
          </cell>
          <cell r="K1445">
            <v>0.87295432900000003</v>
          </cell>
          <cell r="L1445">
            <v>4.7245109E-2</v>
          </cell>
          <cell r="M1445">
            <v>7.9800562000000005E-2</v>
          </cell>
          <cell r="U1445" t="str">
            <v>2018SD</v>
          </cell>
          <cell r="V1445">
            <v>3.3046748000000001E-2</v>
          </cell>
          <cell r="W1445">
            <v>5.1157264000000001E-2</v>
          </cell>
          <cell r="X1445">
            <v>0.25755016600000002</v>
          </cell>
          <cell r="Y1445">
            <v>0.17532273200000001</v>
          </cell>
          <cell r="Z1445">
            <v>0.48292308900000003</v>
          </cell>
          <cell r="AB1445" t="str">
            <v>2018SD</v>
          </cell>
          <cell r="AC1445">
            <v>0</v>
          </cell>
          <cell r="AD1445">
            <v>0</v>
          </cell>
          <cell r="AE1445">
            <v>0.02</v>
          </cell>
          <cell r="AF1445">
            <v>0.98</v>
          </cell>
        </row>
        <row r="1446">
          <cell r="B1446" t="str">
            <v>2018TN</v>
          </cell>
          <cell r="C1446">
            <v>4.0519949592449485E-2</v>
          </cell>
          <cell r="D1446">
            <v>8.9664149461423162E-2</v>
          </cell>
          <cell r="E1446">
            <v>0.14551684926860037</v>
          </cell>
          <cell r="F1446">
            <v>0.1170185785979804</v>
          </cell>
          <cell r="G1446">
            <v>0.59108168584929244</v>
          </cell>
          <cell r="H1446">
            <v>1.6198787230254148E-2</v>
          </cell>
          <cell r="J1446" t="str">
            <v>2018TN</v>
          </cell>
          <cell r="K1446">
            <v>0.26340146500000006</v>
          </cell>
          <cell r="L1446">
            <v>0.591081686</v>
          </cell>
          <cell r="M1446">
            <v>0.145516849</v>
          </cell>
          <cell r="U1446" t="str">
            <v>2018TN</v>
          </cell>
          <cell r="V1446">
            <v>0.102875089</v>
          </cell>
          <cell r="W1446">
            <v>3.5402429999999999E-2</v>
          </cell>
          <cell r="X1446">
            <v>0.119077104</v>
          </cell>
          <cell r="Y1446">
            <v>0.41436515099999999</v>
          </cell>
          <cell r="Z1446">
            <v>0.32828022600000001</v>
          </cell>
          <cell r="AB1446" t="str">
            <v>2018TN</v>
          </cell>
          <cell r="AC1446">
            <v>0</v>
          </cell>
          <cell r="AD1446">
            <v>0</v>
          </cell>
          <cell r="AE1446">
            <v>0.05</v>
          </cell>
          <cell r="AF1446">
            <v>0.95</v>
          </cell>
        </row>
        <row r="1447">
          <cell r="B1447" t="str">
            <v>2018TX</v>
          </cell>
          <cell r="C1447">
            <v>0.53305655520056971</v>
          </cell>
          <cell r="D1447">
            <v>0.24233312613196878</v>
          </cell>
          <cell r="E1447">
            <v>7.9791980793249173E-2</v>
          </cell>
          <cell r="F1447">
            <v>0.1278405091499755</v>
          </cell>
          <cell r="G1447">
            <v>0</v>
          </cell>
          <cell r="H1447">
            <v>1.6977828724236681E-2</v>
          </cell>
          <cell r="J1447" t="str">
            <v>2018TX</v>
          </cell>
          <cell r="K1447">
            <v>0.92020801900000004</v>
          </cell>
          <cell r="L1447">
            <v>0</v>
          </cell>
          <cell r="M1447">
            <v>7.9791980999999998E-2</v>
          </cell>
          <cell r="U1447" t="str">
            <v>2018TX</v>
          </cell>
          <cell r="V1447">
            <v>6.9632535999999995E-2</v>
          </cell>
          <cell r="W1447">
            <v>3.4700662E-2</v>
          </cell>
          <cell r="X1447">
            <v>5.9917572000000002E-2</v>
          </cell>
          <cell r="Y1447">
            <v>0.54104196599999999</v>
          </cell>
          <cell r="Z1447">
            <v>0.29470726400000002</v>
          </cell>
          <cell r="AB1447" t="str">
            <v>2018TX</v>
          </cell>
          <cell r="AC1447">
            <v>0</v>
          </cell>
          <cell r="AD1447">
            <v>0</v>
          </cell>
          <cell r="AE1447">
            <v>0.12</v>
          </cell>
          <cell r="AF1447">
            <v>0.88</v>
          </cell>
        </row>
        <row r="1448">
          <cell r="B1448" t="str">
            <v>2018UT</v>
          </cell>
          <cell r="C1448">
            <v>0.51165623152884221</v>
          </cell>
          <cell r="D1448">
            <v>0.26394677259150623</v>
          </cell>
          <cell r="E1448">
            <v>1.3999177703951423E-2</v>
          </cell>
          <cell r="F1448">
            <v>0.17036034814732054</v>
          </cell>
          <cell r="G1448">
            <v>8.2880703819413898E-3</v>
          </cell>
          <cell r="H1448">
            <v>3.1749399646438282E-2</v>
          </cell>
          <cell r="J1448" t="str">
            <v>2018UT</v>
          </cell>
          <cell r="K1448">
            <v>0.97771275199999996</v>
          </cell>
          <cell r="L1448">
            <v>8.2880699999999998E-3</v>
          </cell>
          <cell r="M1448">
            <v>1.3999177999999999E-2</v>
          </cell>
          <cell r="U1448" t="str">
            <v>2018UT</v>
          </cell>
          <cell r="V1448">
            <v>8.6456620000000001E-3</v>
          </cell>
          <cell r="W1448">
            <v>5.5424775000000003E-2</v>
          </cell>
          <cell r="X1448">
            <v>0.260824848</v>
          </cell>
          <cell r="Y1448">
            <v>0.16982515300000001</v>
          </cell>
          <cell r="Z1448">
            <v>0.50527956200000002</v>
          </cell>
          <cell r="AB1448" t="str">
            <v>2018UT</v>
          </cell>
          <cell r="AC1448">
            <v>0</v>
          </cell>
          <cell r="AD1448">
            <v>0</v>
          </cell>
          <cell r="AE1448">
            <v>0.6</v>
          </cell>
          <cell r="AF1448">
            <v>0.4</v>
          </cell>
        </row>
        <row r="1449">
          <cell r="B1449" t="str">
            <v>2018VT</v>
          </cell>
          <cell r="C1449">
            <v>9.9973781354903396E-2</v>
          </cell>
          <cell r="D1449">
            <v>0.17387691112967565</v>
          </cell>
          <cell r="E1449">
            <v>0.44423932842492886</v>
          </cell>
          <cell r="F1449">
            <v>0.19448861844630186</v>
          </cell>
          <cell r="G1449">
            <v>6.6349172232328182E-2</v>
          </cell>
          <cell r="H1449">
            <v>2.1072188411862088E-2</v>
          </cell>
          <cell r="J1449" t="str">
            <v>2018VT</v>
          </cell>
          <cell r="K1449">
            <v>0.4894115</v>
          </cell>
          <cell r="L1449">
            <v>6.6349171999999998E-2</v>
          </cell>
          <cell r="M1449">
            <v>0.44423932799999999</v>
          </cell>
          <cell r="U1449" t="str">
            <v>2018VT</v>
          </cell>
          <cell r="V1449">
            <v>0.86037974299999997</v>
          </cell>
          <cell r="W1449">
            <v>6.1432910000000004E-3</v>
          </cell>
          <cell r="X1449">
            <v>3.8535191000000003E-2</v>
          </cell>
          <cell r="Y1449">
            <v>2.9459874E-2</v>
          </cell>
          <cell r="Z1449">
            <v>6.5481899999999996E-2</v>
          </cell>
          <cell r="AB1449" t="str">
            <v>2018VT</v>
          </cell>
          <cell r="AC1449">
            <v>0</v>
          </cell>
          <cell r="AD1449">
            <v>0</v>
          </cell>
          <cell r="AE1449">
            <v>0.05</v>
          </cell>
          <cell r="AF1449">
            <v>0.95</v>
          </cell>
        </row>
        <row r="1450">
          <cell r="B1450" t="str">
            <v>2018VA</v>
          </cell>
          <cell r="C1450">
            <v>4.4953509549794296E-2</v>
          </cell>
          <cell r="D1450">
            <v>9.339670802378576E-2</v>
          </cell>
          <cell r="E1450">
            <v>0.14844092890155638</v>
          </cell>
          <cell r="F1450">
            <v>0.12331550684410268</v>
          </cell>
          <cell r="G1450">
            <v>0.5737351926100378</v>
          </cell>
          <cell r="H1450">
            <v>1.6158154070723133E-2</v>
          </cell>
          <cell r="J1450" t="str">
            <v>2018VA</v>
          </cell>
          <cell r="K1450">
            <v>0.27782387799999997</v>
          </cell>
          <cell r="L1450">
            <v>0.57373519299999998</v>
          </cell>
          <cell r="M1450">
            <v>0.148440929</v>
          </cell>
          <cell r="U1450" t="str">
            <v>2018VA</v>
          </cell>
          <cell r="V1450">
            <v>3.3934871999999998E-2</v>
          </cell>
          <cell r="W1450">
            <v>3.6244844999999998E-2</v>
          </cell>
          <cell r="X1450">
            <v>6.8933026999999994E-2</v>
          </cell>
          <cell r="Y1450">
            <v>0.550040046</v>
          </cell>
          <cell r="Z1450">
            <v>0.31084721100000001</v>
          </cell>
          <cell r="AB1450" t="str">
            <v>2018VA</v>
          </cell>
          <cell r="AC1450">
            <v>0</v>
          </cell>
          <cell r="AD1450">
            <v>0</v>
          </cell>
          <cell r="AE1450">
            <v>0.05</v>
          </cell>
          <cell r="AF1450">
            <v>0.95</v>
          </cell>
        </row>
        <row r="1451">
          <cell r="B1451" t="str">
            <v>2018WA</v>
          </cell>
          <cell r="C1451">
            <v>0.48742079910802349</v>
          </cell>
          <cell r="D1451">
            <v>0.21961274491816118</v>
          </cell>
          <cell r="E1451">
            <v>0</v>
          </cell>
          <cell r="F1451">
            <v>0.11254281869932067</v>
          </cell>
          <cell r="G1451">
            <v>0.16627589127589129</v>
          </cell>
          <cell r="H1451">
            <v>1.4147745998603438E-2</v>
          </cell>
          <cell r="J1451" t="str">
            <v>2018WA</v>
          </cell>
          <cell r="K1451">
            <v>0.83372410900000005</v>
          </cell>
          <cell r="L1451">
            <v>0.16627589100000001</v>
          </cell>
          <cell r="M1451">
            <v>0</v>
          </cell>
          <cell r="U1451" t="str">
            <v>2018WA</v>
          </cell>
          <cell r="V1451">
            <v>0.37353494700000001</v>
          </cell>
          <cell r="W1451">
            <v>3.1263627000000002E-2</v>
          </cell>
          <cell r="X1451">
            <v>0.168896926</v>
          </cell>
          <cell r="Y1451">
            <v>0.119853577</v>
          </cell>
          <cell r="Z1451">
            <v>0.30645092299999999</v>
          </cell>
          <cell r="AB1451" t="str">
            <v>2018WA</v>
          </cell>
          <cell r="AC1451">
            <v>0</v>
          </cell>
          <cell r="AD1451">
            <v>0</v>
          </cell>
          <cell r="AE1451">
            <v>0.12</v>
          </cell>
          <cell r="AF1451">
            <v>0.88</v>
          </cell>
        </row>
        <row r="1452">
          <cell r="B1452" t="str">
            <v>2018WV</v>
          </cell>
          <cell r="C1452">
            <v>6.8751812683186322E-2</v>
          </cell>
          <cell r="D1452">
            <v>0.15888641455628993</v>
          </cell>
          <cell r="E1452">
            <v>0.44831485363191043</v>
          </cell>
          <cell r="F1452">
            <v>0.22633984896592482</v>
          </cell>
          <cell r="G1452">
            <v>7.0025492327769459E-2</v>
          </cell>
          <cell r="H1452">
            <v>2.7681577834919095E-2</v>
          </cell>
          <cell r="J1452" t="str">
            <v>2018WV</v>
          </cell>
          <cell r="K1452">
            <v>0.48165965399999999</v>
          </cell>
          <cell r="L1452">
            <v>7.0025491999999995E-2</v>
          </cell>
          <cell r="M1452">
            <v>0.44831485399999998</v>
          </cell>
          <cell r="U1452" t="str">
            <v>2018WV</v>
          </cell>
          <cell r="V1452">
            <v>0.57920187499999998</v>
          </cell>
          <cell r="W1452">
            <v>2.1256934000000002E-2</v>
          </cell>
          <cell r="X1452">
            <v>0.113169981</v>
          </cell>
          <cell r="Y1452">
            <v>7.9649016000000003E-2</v>
          </cell>
          <cell r="Z1452">
            <v>0.206722194</v>
          </cell>
          <cell r="AB1452" t="str">
            <v>2018WV</v>
          </cell>
          <cell r="AC1452">
            <v>0</v>
          </cell>
          <cell r="AD1452">
            <v>0</v>
          </cell>
          <cell r="AE1452">
            <v>0.05</v>
          </cell>
          <cell r="AF1452">
            <v>0.95</v>
          </cell>
        </row>
        <row r="1453">
          <cell r="B1453" t="str">
            <v>2018WI</v>
          </cell>
          <cell r="C1453">
            <v>0.12203432597344931</v>
          </cell>
          <cell r="D1453">
            <v>0.23555629715568294</v>
          </cell>
          <cell r="E1453">
            <v>0.11540173598404266</v>
          </cell>
          <cell r="F1453">
            <v>0.42032708364290838</v>
          </cell>
          <cell r="G1453">
            <v>6.8322420806473022E-2</v>
          </cell>
          <cell r="H1453">
            <v>3.8358136437443673E-2</v>
          </cell>
          <cell r="J1453" t="str">
            <v>2018WI</v>
          </cell>
          <cell r="K1453">
            <v>0.816275843</v>
          </cell>
          <cell r="L1453">
            <v>6.8322420999999994E-2</v>
          </cell>
          <cell r="M1453">
            <v>0.115401736</v>
          </cell>
          <cell r="U1453" t="str">
            <v>2018WI</v>
          </cell>
          <cell r="V1453">
            <v>0.12883246500000001</v>
          </cell>
          <cell r="W1453">
            <v>4.2564396999999997E-2</v>
          </cell>
          <cell r="X1453">
            <v>0.23585646199999999</v>
          </cell>
          <cell r="Y1453">
            <v>0.16970626599999999</v>
          </cell>
          <cell r="Z1453">
            <v>0.42304040999999998</v>
          </cell>
          <cell r="AB1453" t="str">
            <v>2018WI</v>
          </cell>
          <cell r="AC1453">
            <v>0</v>
          </cell>
          <cell r="AD1453">
            <v>0</v>
          </cell>
          <cell r="AE1453">
            <v>0.02</v>
          </cell>
          <cell r="AF1453">
            <v>0.98</v>
          </cell>
        </row>
        <row r="1454">
          <cell r="B1454" t="str">
            <v>2018WY</v>
          </cell>
          <cell r="C1454">
            <v>0.29508724522063295</v>
          </cell>
          <cell r="D1454">
            <v>0.23251729773373622</v>
          </cell>
          <cell r="E1454">
            <v>0.12161775942187937</v>
          </cell>
          <cell r="F1454">
            <v>0.2207502472879718</v>
          </cell>
          <cell r="G1454">
            <v>7.2002554085590281E-2</v>
          </cell>
          <cell r="H1454">
            <v>5.8024896250189507E-2</v>
          </cell>
          <cell r="J1454" t="str">
            <v>2018WY</v>
          </cell>
          <cell r="K1454">
            <v>0.80637968699999996</v>
          </cell>
          <cell r="L1454">
            <v>7.2002553999999996E-2</v>
          </cell>
          <cell r="M1454">
            <v>0.12161775900000001</v>
          </cell>
          <cell r="U1454" t="str">
            <v>2018WY</v>
          </cell>
          <cell r="V1454">
            <v>3.2109568999999998E-2</v>
          </cell>
          <cell r="W1454">
            <v>5.3596850000000001E-2</v>
          </cell>
          <cell r="X1454">
            <v>0.25521061499999997</v>
          </cell>
          <cell r="Y1454">
            <v>0.16752597599999999</v>
          </cell>
          <cell r="Z1454">
            <v>0.49155699000000003</v>
          </cell>
          <cell r="AB1454" t="str">
            <v>2018WY</v>
          </cell>
          <cell r="AC1454">
            <v>0</v>
          </cell>
          <cell r="AD1454">
            <v>0</v>
          </cell>
          <cell r="AE1454">
            <v>0.6</v>
          </cell>
          <cell r="AF1454">
            <v>0.4</v>
          </cell>
        </row>
        <row r="1455">
          <cell r="B1455" t="str">
            <v>2019AL</v>
          </cell>
          <cell r="C1455">
            <v>0.17233560131521788</v>
          </cell>
          <cell r="D1455">
            <v>9.7606154746872412E-2</v>
          </cell>
          <cell r="E1455">
            <v>0.16919346457207346</v>
          </cell>
          <cell r="F1455">
            <v>0.1056405325382436</v>
          </cell>
          <cell r="G1455">
            <v>0.45062509818962659</v>
          </cell>
          <cell r="H1455">
            <v>4.5991486379660445E-3</v>
          </cell>
          <cell r="J1455" t="str">
            <v>2019AL</v>
          </cell>
          <cell r="K1455">
            <v>0.38018143700000007</v>
          </cell>
          <cell r="L1455">
            <v>0.450625098</v>
          </cell>
          <cell r="M1455">
            <v>0.16919346499999999</v>
          </cell>
          <cell r="U1455" t="str">
            <v>2019AL</v>
          </cell>
          <cell r="V1455">
            <v>5.3114938E-2</v>
          </cell>
          <cell r="W1455">
            <v>3.6058960000000001E-2</v>
          </cell>
          <cell r="X1455">
            <v>8.4414527000000003E-2</v>
          </cell>
          <cell r="Y1455">
            <v>0.50961295299999998</v>
          </cell>
          <cell r="Z1455">
            <v>0.316798623</v>
          </cell>
          <cell r="AB1455" t="str">
            <v>2019AL</v>
          </cell>
          <cell r="AC1455">
            <v>0</v>
          </cell>
          <cell r="AD1455">
            <v>0</v>
          </cell>
          <cell r="AE1455">
            <v>0.41899999999999998</v>
          </cell>
          <cell r="AF1455">
            <v>0.58099999999999996</v>
          </cell>
        </row>
        <row r="1456">
          <cell r="B1456" t="str">
            <v>2019AK</v>
          </cell>
          <cell r="C1456">
            <v>0.30334484066413492</v>
          </cell>
          <cell r="D1456">
            <v>0.23769937716735701</v>
          </cell>
          <cell r="E1456">
            <v>6.205843688929364E-2</v>
          </cell>
          <cell r="F1456">
            <v>0.28363994741136878</v>
          </cell>
          <cell r="G1456">
            <v>3.6741064625999714E-2</v>
          </cell>
          <cell r="H1456">
            <v>7.6516333241846021E-2</v>
          </cell>
          <cell r="J1456" t="str">
            <v>2019AK</v>
          </cell>
          <cell r="K1456">
            <v>0.90120049800000002</v>
          </cell>
          <cell r="L1456">
            <v>3.6741065000000003E-2</v>
          </cell>
          <cell r="M1456">
            <v>6.2058437000000001E-2</v>
          </cell>
          <cell r="U1456" t="str">
            <v>2019AK</v>
          </cell>
          <cell r="V1456">
            <v>0.52632575500000001</v>
          </cell>
          <cell r="W1456">
            <v>2.0841667000000001E-2</v>
          </cell>
          <cell r="X1456">
            <v>0.130734092</v>
          </cell>
          <cell r="Y1456">
            <v>9.9945266000000005E-2</v>
          </cell>
          <cell r="Z1456">
            <v>0.22215322100000001</v>
          </cell>
          <cell r="AB1456" t="str">
            <v>2019AK</v>
          </cell>
          <cell r="AC1456">
            <v>0</v>
          </cell>
          <cell r="AD1456">
            <v>0</v>
          </cell>
          <cell r="AE1456">
            <v>0.25</v>
          </cell>
          <cell r="AF1456">
            <v>0.75</v>
          </cell>
        </row>
        <row r="1457">
          <cell r="B1457" t="str">
            <v>2019AZ</v>
          </cell>
          <cell r="C1457">
            <v>0.611220636654217</v>
          </cell>
          <cell r="D1457">
            <v>0.19572797693407004</v>
          </cell>
          <cell r="E1457">
            <v>9.865488383487428E-2</v>
          </cell>
          <cell r="F1457">
            <v>9.3890669243012675E-2</v>
          </cell>
          <cell r="G1457">
            <v>0</v>
          </cell>
          <cell r="H1457">
            <v>5.0583333382575558E-4</v>
          </cell>
          <cell r="J1457" t="str">
            <v>2019AZ</v>
          </cell>
          <cell r="K1457">
            <v>0.901345116</v>
          </cell>
          <cell r="L1457">
            <v>0</v>
          </cell>
          <cell r="M1457">
            <v>9.8654883999999998E-2</v>
          </cell>
          <cell r="U1457" t="str">
            <v>2019AZ</v>
          </cell>
          <cell r="V1457">
            <v>0.136592664</v>
          </cell>
          <cell r="W1457">
            <v>3.2171241000000003E-2</v>
          </cell>
          <cell r="X1457">
            <v>5.4596316999999998E-2</v>
          </cell>
          <cell r="Y1457">
            <v>0.50386894699999996</v>
          </cell>
          <cell r="Z1457">
            <v>0.27277083200000002</v>
          </cell>
          <cell r="AB1457" t="str">
            <v>2019AZ</v>
          </cell>
          <cell r="AC1457">
            <v>0</v>
          </cell>
          <cell r="AD1457">
            <v>0</v>
          </cell>
          <cell r="AE1457">
            <v>0.6</v>
          </cell>
          <cell r="AF1457">
            <v>0.4</v>
          </cell>
        </row>
        <row r="1458">
          <cell r="B1458" t="str">
            <v>2019AR</v>
          </cell>
          <cell r="C1458">
            <v>9.6391342329605903E-2</v>
          </cell>
          <cell r="D1458">
            <v>6.6955456596874061E-2</v>
          </cell>
          <cell r="E1458">
            <v>0.14888335780531528</v>
          </cell>
          <cell r="F1458">
            <v>0.11118804006195876</v>
          </cell>
          <cell r="G1458">
            <v>0.57111057531117648</v>
          </cell>
          <cell r="H1458">
            <v>5.4712278950695761E-3</v>
          </cell>
          <cell r="J1458" t="str">
            <v>2019AR</v>
          </cell>
          <cell r="K1458">
            <v>0.28000606700000008</v>
          </cell>
          <cell r="L1458">
            <v>0.57111057499999995</v>
          </cell>
          <cell r="M1458">
            <v>0.14888335799999999</v>
          </cell>
          <cell r="U1458" t="str">
            <v>2019AR</v>
          </cell>
          <cell r="V1458">
            <v>3.9459004999999998E-2</v>
          </cell>
          <cell r="W1458">
            <v>3.7640482000000003E-2</v>
          </cell>
          <cell r="X1458">
            <v>0.11914443199999999</v>
          </cell>
          <cell r="Y1458">
            <v>0.45827781299999998</v>
          </cell>
          <cell r="Z1458">
            <v>0.34547826799999998</v>
          </cell>
          <cell r="AB1458" t="str">
            <v>2019AR</v>
          </cell>
          <cell r="AC1458">
            <v>0</v>
          </cell>
          <cell r="AD1458">
            <v>0</v>
          </cell>
          <cell r="AE1458">
            <v>0</v>
          </cell>
          <cell r="AF1458">
            <v>1</v>
          </cell>
        </row>
        <row r="1459">
          <cell r="B1459" t="str">
            <v>2019CA</v>
          </cell>
          <cell r="C1459">
            <v>0.58081862489107328</v>
          </cell>
          <cell r="D1459">
            <v>0.20720345916912225</v>
          </cell>
          <cell r="E1459">
            <v>0.10801924509893834</v>
          </cell>
          <cell r="F1459">
            <v>9.2431120719429966E-2</v>
          </cell>
          <cell r="G1459">
            <v>9.2523577326630076E-3</v>
          </cell>
          <cell r="H1459">
            <v>2.2751923887731596E-3</v>
          </cell>
          <cell r="J1459" t="str">
            <v>2019CA</v>
          </cell>
          <cell r="K1459">
            <v>0.88272839699999994</v>
          </cell>
          <cell r="L1459">
            <v>9.2523580000000005E-3</v>
          </cell>
          <cell r="M1459">
            <v>0.108019245</v>
          </cell>
          <cell r="U1459" t="str">
            <v>2019CA</v>
          </cell>
          <cell r="V1459">
            <v>0.133799526</v>
          </cell>
          <cell r="W1459">
            <v>3.2941353E-2</v>
          </cell>
          <cell r="X1459">
            <v>7.5800703999999997E-2</v>
          </cell>
          <cell r="Y1459">
            <v>0.46867659099999998</v>
          </cell>
          <cell r="Z1459">
            <v>0.28878182499999999</v>
          </cell>
          <cell r="AB1459" t="str">
            <v>2019CA</v>
          </cell>
          <cell r="AC1459">
            <v>0</v>
          </cell>
          <cell r="AD1459">
            <v>0</v>
          </cell>
          <cell r="AE1459">
            <v>0.12</v>
          </cell>
          <cell r="AF1459">
            <v>0.88</v>
          </cell>
        </row>
        <row r="1460">
          <cell r="B1460" t="str">
            <v>2019CO</v>
          </cell>
          <cell r="C1460">
            <v>0.61667904285785091</v>
          </cell>
          <cell r="D1460">
            <v>0.24212893570430052</v>
          </cell>
          <cell r="E1460">
            <v>1.1092391745361967E-2</v>
          </cell>
          <cell r="F1460">
            <v>0.11516410971780773</v>
          </cell>
          <cell r="G1460">
            <v>6.5671374014829543E-3</v>
          </cell>
          <cell r="H1460">
            <v>8.3683825731959392E-3</v>
          </cell>
          <cell r="J1460" t="str">
            <v>2019CO</v>
          </cell>
          <cell r="K1460">
            <v>0.98234047099999999</v>
          </cell>
          <cell r="L1460">
            <v>6.5671369999999998E-3</v>
          </cell>
          <cell r="M1460">
            <v>1.1092392E-2</v>
          </cell>
          <cell r="U1460" t="str">
            <v>2019CO</v>
          </cell>
          <cell r="V1460">
            <v>2.3378138E-2</v>
          </cell>
          <cell r="W1460">
            <v>5.3880426000000002E-2</v>
          </cell>
          <cell r="X1460">
            <v>0.25772948099999998</v>
          </cell>
          <cell r="Y1460">
            <v>0.169703665</v>
          </cell>
          <cell r="Z1460">
            <v>0.49530828999999998</v>
          </cell>
          <cell r="AB1460" t="str">
            <v>2019CO</v>
          </cell>
          <cell r="AC1460">
            <v>0</v>
          </cell>
          <cell r="AD1460">
            <v>0</v>
          </cell>
          <cell r="AE1460">
            <v>0.6</v>
          </cell>
          <cell r="AF1460">
            <v>0.4</v>
          </cell>
        </row>
        <row r="1461">
          <cell r="B1461" t="str">
            <v>2019CT</v>
          </cell>
          <cell r="C1461">
            <v>0.11572842393252261</v>
          </cell>
          <cell r="D1461">
            <v>0.20119880615243968</v>
          </cell>
          <cell r="E1461">
            <v>0.43233999756560143</v>
          </cell>
          <cell r="F1461">
            <v>0.17234541515575838</v>
          </cell>
          <cell r="G1461">
            <v>5.5615402487630847E-2</v>
          </cell>
          <cell r="H1461">
            <v>2.2771954706046996E-2</v>
          </cell>
          <cell r="J1461" t="str">
            <v>2019CT</v>
          </cell>
          <cell r="K1461">
            <v>0.51204460000000007</v>
          </cell>
          <cell r="L1461">
            <v>5.5615402000000001E-2</v>
          </cell>
          <cell r="M1461">
            <v>0.432339998</v>
          </cell>
          <cell r="U1461" t="str">
            <v>2019CT</v>
          </cell>
          <cell r="V1461">
            <v>0.57363861400000005</v>
          </cell>
          <cell r="W1461">
            <v>1.8759900999999999E-2</v>
          </cell>
          <cell r="X1461">
            <v>0.117675743</v>
          </cell>
          <cell r="Y1461">
            <v>8.9962252000000006E-2</v>
          </cell>
          <cell r="Z1461">
            <v>0.19996348999999999</v>
          </cell>
          <cell r="AB1461" t="str">
            <v>2019CT</v>
          </cell>
          <cell r="AC1461">
            <v>0</v>
          </cell>
          <cell r="AD1461">
            <v>0</v>
          </cell>
          <cell r="AE1461">
            <v>0.05</v>
          </cell>
          <cell r="AF1461">
            <v>0.95</v>
          </cell>
        </row>
        <row r="1462">
          <cell r="B1462" t="str">
            <v>2019DE</v>
          </cell>
          <cell r="C1462">
            <v>0.10201653895343663</v>
          </cell>
          <cell r="D1462">
            <v>0.1910091905838856</v>
          </cell>
          <cell r="E1462">
            <v>0.43707162937473454</v>
          </cell>
          <cell r="F1462">
            <v>0.18637975788177577</v>
          </cell>
          <cell r="G1462">
            <v>5.9883562349419175E-2</v>
          </cell>
          <cell r="H1462">
            <v>2.3639320856748244E-2</v>
          </cell>
          <cell r="J1462" t="str">
            <v>2019DE</v>
          </cell>
          <cell r="K1462">
            <v>0.50304480899999993</v>
          </cell>
          <cell r="L1462">
            <v>5.9883562000000001E-2</v>
          </cell>
          <cell r="M1462">
            <v>0.43707162900000002</v>
          </cell>
          <cell r="U1462" t="str">
            <v>2019DE</v>
          </cell>
          <cell r="V1462">
            <v>0.120253529</v>
          </cell>
          <cell r="W1462">
            <v>4.1631153999999997E-2</v>
          </cell>
          <cell r="X1462">
            <v>0.23964419100000001</v>
          </cell>
          <cell r="Y1462">
            <v>0.17588547500000001</v>
          </cell>
          <cell r="Z1462">
            <v>0.42258565100000001</v>
          </cell>
          <cell r="AB1462" t="str">
            <v>2019DE</v>
          </cell>
          <cell r="AC1462">
            <v>0</v>
          </cell>
          <cell r="AD1462">
            <v>0</v>
          </cell>
          <cell r="AE1462">
            <v>0.05</v>
          </cell>
          <cell r="AF1462">
            <v>0.95</v>
          </cell>
        </row>
        <row r="1463">
          <cell r="B1463" t="str">
            <v>2019FL</v>
          </cell>
          <cell r="C1463">
            <v>0.38654865924430459</v>
          </cell>
          <cell r="D1463">
            <v>0.14503983167997814</v>
          </cell>
          <cell r="E1463">
            <v>0.21616400084919535</v>
          </cell>
          <cell r="F1463">
            <v>7.8997496757044303E-2</v>
          </cell>
          <cell r="G1463">
            <v>0.17198217725399226</v>
          </cell>
          <cell r="H1463">
            <v>1.2678342154852779E-3</v>
          </cell>
          <cell r="J1463" t="str">
            <v>2019FL</v>
          </cell>
          <cell r="K1463">
            <v>0.61185382200000005</v>
          </cell>
          <cell r="L1463">
            <v>0.17198217700000001</v>
          </cell>
          <cell r="M1463">
            <v>0.21616400099999999</v>
          </cell>
          <cell r="U1463" t="str">
            <v>2019FL</v>
          </cell>
          <cell r="V1463">
            <v>0.71166924399999998</v>
          </cell>
          <cell r="W1463">
            <v>1.2686553E-2</v>
          </cell>
          <cell r="X1463">
            <v>7.9579288999999998E-2</v>
          </cell>
          <cell r="Y1463">
            <v>6.0837789000000003E-2</v>
          </cell>
          <cell r="Z1463">
            <v>0.135227124</v>
          </cell>
          <cell r="AB1463" t="str">
            <v>2019FL</v>
          </cell>
          <cell r="AC1463">
            <v>0</v>
          </cell>
          <cell r="AD1463">
            <v>0</v>
          </cell>
          <cell r="AE1463">
            <v>0.41899999999999998</v>
          </cell>
          <cell r="AF1463">
            <v>0.58099999999999996</v>
          </cell>
        </row>
        <row r="1464">
          <cell r="B1464" t="str">
            <v>2019GA</v>
          </cell>
          <cell r="C1464">
            <v>0.20823216155586291</v>
          </cell>
          <cell r="D1464">
            <v>0.11033206176717186</v>
          </cell>
          <cell r="E1464">
            <v>0.17733204084631207</v>
          </cell>
          <cell r="F1464">
            <v>9.7862793659120595E-2</v>
          </cell>
          <cell r="G1464">
            <v>0.40234468997942996</v>
          </cell>
          <cell r="H1464">
            <v>3.8962521921025758E-3</v>
          </cell>
          <cell r="J1464" t="str">
            <v>2019GA</v>
          </cell>
          <cell r="K1464">
            <v>0.42032326900000005</v>
          </cell>
          <cell r="L1464">
            <v>0.40234469</v>
          </cell>
          <cell r="M1464">
            <v>0.177332041</v>
          </cell>
          <cell r="U1464" t="str">
            <v>2019GA</v>
          </cell>
          <cell r="V1464">
            <v>7.8133266000000007E-2</v>
          </cell>
          <cell r="W1464">
            <v>3.5587817000000001E-2</v>
          </cell>
          <cell r="X1464">
            <v>9.7388838000000005E-2</v>
          </cell>
          <cell r="Y1464">
            <v>0.46952270200000001</v>
          </cell>
          <cell r="Z1464">
            <v>0.31936737799999998</v>
          </cell>
          <cell r="AB1464" t="str">
            <v>2019GA</v>
          </cell>
          <cell r="AC1464">
            <v>0</v>
          </cell>
          <cell r="AD1464">
            <v>0</v>
          </cell>
          <cell r="AE1464">
            <v>0.41899999999999998</v>
          </cell>
          <cell r="AF1464">
            <v>0.58099999999999996</v>
          </cell>
        </row>
        <row r="1465">
          <cell r="B1465" t="str">
            <v>2019HI</v>
          </cell>
          <cell r="C1465">
            <v>0.67137224197860923</v>
          </cell>
          <cell r="D1465">
            <v>0.21100034068527662</v>
          </cell>
          <cell r="E1465">
            <v>0</v>
          </cell>
          <cell r="F1465">
            <v>0.10820426646618357</v>
          </cell>
          <cell r="G1465">
            <v>7.5112148308577572E-3</v>
          </cell>
          <cell r="H1465">
            <v>1.9119360390725836E-3</v>
          </cell>
          <cell r="J1465" t="str">
            <v>2019HI</v>
          </cell>
          <cell r="K1465">
            <v>0.99248878500000004</v>
          </cell>
          <cell r="L1465">
            <v>7.5112149999999999E-3</v>
          </cell>
          <cell r="M1465">
            <v>0</v>
          </cell>
          <cell r="U1465" t="str">
            <v>2019HI</v>
          </cell>
          <cell r="V1465">
            <v>0.23216878499999999</v>
          </cell>
          <cell r="W1465">
            <v>3.2904865999999998E-2</v>
          </cell>
          <cell r="X1465">
            <v>0.18414778700000001</v>
          </cell>
          <cell r="Y1465">
            <v>0.21064765399999999</v>
          </cell>
          <cell r="Z1465">
            <v>0.34013090899999998</v>
          </cell>
          <cell r="AB1465" t="str">
            <v>2019HI</v>
          </cell>
          <cell r="AC1465">
            <v>0</v>
          </cell>
          <cell r="AD1465">
            <v>0</v>
          </cell>
          <cell r="AE1465">
            <v>0.25</v>
          </cell>
          <cell r="AF1465">
            <v>0.75</v>
          </cell>
        </row>
        <row r="1466">
          <cell r="B1466" t="str">
            <v>2019ID</v>
          </cell>
          <cell r="C1466">
            <v>0.62850843440764703</v>
          </cell>
          <cell r="D1466">
            <v>0.2329683972033782</v>
          </cell>
          <cell r="E1466">
            <v>6.4436683947772669E-3</v>
          </cell>
          <cell r="F1466">
            <v>0.11961222721284216</v>
          </cell>
          <cell r="G1466">
            <v>3.8149081541218642E-3</v>
          </cell>
          <cell r="H1466">
            <v>8.6523646272333287E-3</v>
          </cell>
          <cell r="J1466" t="str">
            <v>2019ID</v>
          </cell>
          <cell r="K1466">
            <v>0.98974142399999998</v>
          </cell>
          <cell r="L1466">
            <v>3.8149080000000001E-3</v>
          </cell>
          <cell r="M1466">
            <v>6.4436679999999996E-3</v>
          </cell>
          <cell r="U1466" t="str">
            <v>2019ID</v>
          </cell>
          <cell r="V1466">
            <v>0.460837895</v>
          </cell>
          <cell r="W1466">
            <v>2.6974237000000002E-2</v>
          </cell>
          <cell r="X1466">
            <v>0.14528671200000001</v>
          </cell>
          <cell r="Y1466">
            <v>0.102926191</v>
          </cell>
          <cell r="Z1466">
            <v>0.26397496599999998</v>
          </cell>
          <cell r="AB1466" t="str">
            <v>2019ID</v>
          </cell>
          <cell r="AC1466">
            <v>0</v>
          </cell>
          <cell r="AD1466">
            <v>0</v>
          </cell>
          <cell r="AE1466">
            <v>0.6</v>
          </cell>
          <cell r="AF1466">
            <v>0.4</v>
          </cell>
        </row>
        <row r="1467">
          <cell r="B1467" t="str">
            <v>2019IL</v>
          </cell>
          <cell r="C1467">
            <v>0.13175283144497188</v>
          </cell>
          <cell r="D1467">
            <v>0.26046159534668961</v>
          </cell>
          <cell r="E1467">
            <v>8.1383349234931596E-2</v>
          </cell>
          <cell r="F1467">
            <v>0.43207247933210829</v>
          </cell>
          <cell r="G1467">
            <v>4.8182181885357514E-2</v>
          </cell>
          <cell r="H1467">
            <v>4.6147562755941125E-2</v>
          </cell>
          <cell r="J1467" t="str">
            <v>2019IL</v>
          </cell>
          <cell r="K1467">
            <v>0.87043446899999999</v>
          </cell>
          <cell r="L1467">
            <v>4.8182181999999997E-2</v>
          </cell>
          <cell r="M1467">
            <v>8.1383348999999994E-2</v>
          </cell>
          <cell r="U1467" t="str">
            <v>2019IL</v>
          </cell>
          <cell r="V1467">
            <v>2.0186552999999999E-2</v>
          </cell>
          <cell r="W1467">
            <v>4.5739502000000001E-2</v>
          </cell>
          <cell r="X1467">
            <v>0.28028242399999997</v>
          </cell>
          <cell r="Y1467">
            <v>0.149587944</v>
          </cell>
          <cell r="Z1467">
            <v>0.50420357699999996</v>
          </cell>
          <cell r="AB1467" t="str">
            <v>2019IL</v>
          </cell>
          <cell r="AC1467">
            <v>0</v>
          </cell>
          <cell r="AD1467">
            <v>0</v>
          </cell>
          <cell r="AE1467">
            <v>0.02</v>
          </cell>
          <cell r="AF1467">
            <v>0.98</v>
          </cell>
        </row>
        <row r="1468">
          <cell r="B1468" t="str">
            <v>2019IN</v>
          </cell>
          <cell r="C1468">
            <v>0.16189917384296076</v>
          </cell>
          <cell r="D1468">
            <v>0.24163212738244233</v>
          </cell>
          <cell r="E1468">
            <v>0.13392208737361183</v>
          </cell>
          <cell r="F1468">
            <v>0.3491044693998876</v>
          </cell>
          <cell r="G1468">
            <v>7.9287205957511472E-2</v>
          </cell>
          <cell r="H1468">
            <v>3.4154936043586021E-2</v>
          </cell>
          <cell r="J1468" t="str">
            <v>2019IN</v>
          </cell>
          <cell r="K1468">
            <v>0.78679070699999998</v>
          </cell>
          <cell r="L1468">
            <v>7.9287205999999999E-2</v>
          </cell>
          <cell r="M1468">
            <v>0.133922087</v>
          </cell>
          <cell r="U1468" t="str">
            <v>2019IN</v>
          </cell>
          <cell r="V1468">
            <v>2.5489210000000002E-2</v>
          </cell>
          <cell r="W1468">
            <v>4.5536079E-2</v>
          </cell>
          <cell r="X1468">
            <v>0.27893099599999999</v>
          </cell>
          <cell r="Y1468">
            <v>0.14781887399999999</v>
          </cell>
          <cell r="Z1468">
            <v>0.50222484099999998</v>
          </cell>
          <cell r="AB1468" t="str">
            <v>2019IN</v>
          </cell>
          <cell r="AC1468">
            <v>0</v>
          </cell>
          <cell r="AD1468">
            <v>0</v>
          </cell>
          <cell r="AE1468">
            <v>0</v>
          </cell>
          <cell r="AF1468">
            <v>1</v>
          </cell>
        </row>
        <row r="1469">
          <cell r="B1469" t="str">
            <v>2019IA</v>
          </cell>
          <cell r="C1469">
            <v>0.13792614664225575</v>
          </cell>
          <cell r="D1469">
            <v>0.25047757969635848</v>
          </cell>
          <cell r="E1469">
            <v>0.10477197231415941</v>
          </cell>
          <cell r="F1469">
            <v>0.40507493125352922</v>
          </cell>
          <cell r="G1469">
            <v>6.2029177638731184E-2</v>
          </cell>
          <cell r="H1469">
            <v>3.9720192454965969E-2</v>
          </cell>
          <cell r="J1469" t="str">
            <v>2019IA</v>
          </cell>
          <cell r="K1469">
            <v>0.83319885000000005</v>
          </cell>
          <cell r="L1469">
            <v>6.2029177999999997E-2</v>
          </cell>
          <cell r="M1469">
            <v>0.104771972</v>
          </cell>
          <cell r="U1469" t="str">
            <v>2019IA</v>
          </cell>
          <cell r="V1469">
            <v>9.6502570000000006E-3</v>
          </cell>
          <cell r="W1469">
            <v>3.8739974000000003E-2</v>
          </cell>
          <cell r="X1469">
            <v>0.12067557499999999</v>
          </cell>
          <cell r="Y1469">
            <v>0.47629315999999999</v>
          </cell>
          <cell r="Z1469">
            <v>0.35464103499999999</v>
          </cell>
          <cell r="AB1469" t="str">
            <v>2019IA</v>
          </cell>
          <cell r="AC1469">
            <v>0</v>
          </cell>
          <cell r="AD1469">
            <v>0</v>
          </cell>
          <cell r="AE1469">
            <v>0</v>
          </cell>
          <cell r="AF1469">
            <v>1</v>
          </cell>
        </row>
        <row r="1470">
          <cell r="B1470" t="str">
            <v>2019KS</v>
          </cell>
          <cell r="C1470">
            <v>0.28758404285910905</v>
          </cell>
          <cell r="D1470">
            <v>0.32607606753917184</v>
          </cell>
          <cell r="E1470">
            <v>5.1050547933917619E-2</v>
          </cell>
          <cell r="F1470">
            <v>0.27762124338847843</v>
          </cell>
          <cell r="G1470">
            <v>3.0223956239483565E-2</v>
          </cell>
          <cell r="H1470">
            <v>2.7444142039839463E-2</v>
          </cell>
          <cell r="J1470" t="str">
            <v>2019KS</v>
          </cell>
          <cell r="K1470">
            <v>0.91872549599999997</v>
          </cell>
          <cell r="L1470">
            <v>3.0223956E-2</v>
          </cell>
          <cell r="M1470">
            <v>5.1050548000000001E-2</v>
          </cell>
          <cell r="U1470" t="str">
            <v>2019KS</v>
          </cell>
          <cell r="V1470">
            <v>2.3647662E-2</v>
          </cell>
          <cell r="W1470">
            <v>4.6272377000000003E-2</v>
          </cell>
          <cell r="X1470">
            <v>0.28189652199999998</v>
          </cell>
          <cell r="Y1470">
            <v>0.13395533500000001</v>
          </cell>
          <cell r="Z1470">
            <v>0.51422810299999999</v>
          </cell>
          <cell r="AB1470" t="str">
            <v>2019KS</v>
          </cell>
          <cell r="AC1470">
            <v>0</v>
          </cell>
          <cell r="AD1470">
            <v>0</v>
          </cell>
          <cell r="AE1470">
            <v>0.02</v>
          </cell>
          <cell r="AF1470">
            <v>0.98</v>
          </cell>
        </row>
        <row r="1471">
          <cell r="B1471" t="str">
            <v>2019KY</v>
          </cell>
          <cell r="C1471">
            <v>2.3305602928070858E-2</v>
          </cell>
          <cell r="D1471">
            <v>6.2885861766289422E-2</v>
          </cell>
          <cell r="E1471">
            <v>0.14165738300711325</v>
          </cell>
          <cell r="F1471">
            <v>0.14315421990856123</v>
          </cell>
          <cell r="G1471">
            <v>0.61397716539009373</v>
          </cell>
          <cell r="H1471">
            <v>1.5019766999871505E-2</v>
          </cell>
          <cell r="J1471" t="str">
            <v>2019KY</v>
          </cell>
          <cell r="K1471">
            <v>0.24436545200000004</v>
          </cell>
          <cell r="L1471">
            <v>0.61397716499999999</v>
          </cell>
          <cell r="M1471">
            <v>0.141657383</v>
          </cell>
          <cell r="U1471" t="str">
            <v>2019KY</v>
          </cell>
          <cell r="V1471">
            <v>4.9184704000000003E-2</v>
          </cell>
          <cell r="W1471">
            <v>3.7321891000000003E-2</v>
          </cell>
          <cell r="X1471">
            <v>0.11991215400000001</v>
          </cell>
          <cell r="Y1471">
            <v>0.45018075899999999</v>
          </cell>
          <cell r="Z1471">
            <v>0.34340049099999997</v>
          </cell>
          <cell r="AB1471" t="str">
            <v>2019KY</v>
          </cell>
          <cell r="AC1471">
            <v>0</v>
          </cell>
          <cell r="AD1471">
            <v>0</v>
          </cell>
          <cell r="AE1471">
            <v>0.05</v>
          </cell>
          <cell r="AF1471">
            <v>0.95</v>
          </cell>
        </row>
        <row r="1472">
          <cell r="B1472" t="str">
            <v>2019LA</v>
          </cell>
          <cell r="C1472">
            <v>8.7696493950327165E-2</v>
          </cell>
          <cell r="D1472">
            <v>6.4637521135916851E-2</v>
          </cell>
          <cell r="E1472">
            <v>0.14461730665558523</v>
          </cell>
          <cell r="F1472">
            <v>0.10160244529023774</v>
          </cell>
          <cell r="G1472">
            <v>0.59641803499629376</v>
          </cell>
          <cell r="H1472">
            <v>5.0281979716392446E-3</v>
          </cell>
          <cell r="J1472" t="str">
            <v>2019LA</v>
          </cell>
          <cell r="K1472">
            <v>0.25896465800000001</v>
          </cell>
          <cell r="L1472">
            <v>0.59641803500000001</v>
          </cell>
          <cell r="M1472">
            <v>0.144617307</v>
          </cell>
          <cell r="U1472" t="str">
            <v>2019LA</v>
          </cell>
          <cell r="V1472">
            <v>0.53551704700000002</v>
          </cell>
          <cell r="W1472">
            <v>2.0437250000000001E-2</v>
          </cell>
          <cell r="X1472">
            <v>0.12819729499999999</v>
          </cell>
          <cell r="Y1472">
            <v>9.8005903000000005E-2</v>
          </cell>
          <cell r="Z1472">
            <v>0.21784250499999999</v>
          </cell>
          <cell r="AB1472" t="str">
            <v>2019LA</v>
          </cell>
          <cell r="AC1472">
            <v>0</v>
          </cell>
          <cell r="AD1472">
            <v>0</v>
          </cell>
          <cell r="AE1472">
            <v>0.6</v>
          </cell>
          <cell r="AF1472">
            <v>0.4</v>
          </cell>
        </row>
        <row r="1473">
          <cell r="B1473" t="str">
            <v>2019ME</v>
          </cell>
          <cell r="C1473">
            <v>9.3713015315557757E-2</v>
          </cell>
          <cell r="D1473">
            <v>0.17210096338216258</v>
          </cell>
          <cell r="E1473">
            <v>0.44837154081607639</v>
          </cell>
          <cell r="F1473">
            <v>0.19633313267932656</v>
          </cell>
          <cell r="G1473">
            <v>7.0076626899074845E-2</v>
          </cell>
          <cell r="H1473">
            <v>1.9404720907801824E-2</v>
          </cell>
          <cell r="J1473" t="str">
            <v>2019ME</v>
          </cell>
          <cell r="K1473">
            <v>0.48155183200000007</v>
          </cell>
          <cell r="L1473">
            <v>7.0076627000000002E-2</v>
          </cell>
          <cell r="M1473">
            <v>0.44837154099999998</v>
          </cell>
          <cell r="U1473" t="str">
            <v>2019ME</v>
          </cell>
          <cell r="V1473">
            <v>0.72920202000000001</v>
          </cell>
          <cell r="W1473">
            <v>1.1915111000000001E-2</v>
          </cell>
          <cell r="X1473">
            <v>7.4740241999999998E-2</v>
          </cell>
          <cell r="Y1473">
            <v>5.7138373999999999E-2</v>
          </cell>
          <cell r="Z1473">
            <v>0.12700425300000001</v>
          </cell>
          <cell r="AB1473" t="str">
            <v>2019ME</v>
          </cell>
          <cell r="AC1473">
            <v>0</v>
          </cell>
          <cell r="AD1473">
            <v>0</v>
          </cell>
          <cell r="AE1473">
            <v>0.05</v>
          </cell>
          <cell r="AF1473">
            <v>0.95</v>
          </cell>
        </row>
        <row r="1474">
          <cell r="B1474" t="str">
            <v>2019MD</v>
          </cell>
          <cell r="C1474">
            <v>7.6488535055593554E-2</v>
          </cell>
          <cell r="D1474">
            <v>0.15472472257238745</v>
          </cell>
          <cell r="E1474">
            <v>0.44380834258126728</v>
          </cell>
          <cell r="F1474">
            <v>0.22861605738914034</v>
          </cell>
          <cell r="G1474">
            <v>6.5960402236453913E-2</v>
          </cell>
          <cell r="H1474">
            <v>3.0401940165157418E-2</v>
          </cell>
          <cell r="J1474" t="str">
            <v>2019MD</v>
          </cell>
          <cell r="K1474">
            <v>0.49023125499999998</v>
          </cell>
          <cell r="L1474">
            <v>6.5960402000000001E-2</v>
          </cell>
          <cell r="M1474">
            <v>0.44380834299999999</v>
          </cell>
          <cell r="U1474" t="str">
            <v>2019MD</v>
          </cell>
          <cell r="V1474">
            <v>0.21140679400000001</v>
          </cell>
          <cell r="W1474">
            <v>3.7602905999999998E-2</v>
          </cell>
          <cell r="X1474">
            <v>0.214504853</v>
          </cell>
          <cell r="Y1474">
            <v>0.15671048400000001</v>
          </cell>
          <cell r="Z1474">
            <v>0.37977496300000002</v>
          </cell>
          <cell r="AB1474" t="str">
            <v>2019MD</v>
          </cell>
          <cell r="AC1474">
            <v>0</v>
          </cell>
          <cell r="AD1474">
            <v>0</v>
          </cell>
          <cell r="AE1474">
            <v>0.05</v>
          </cell>
          <cell r="AF1474">
            <v>0.95</v>
          </cell>
        </row>
        <row r="1475">
          <cell r="B1475" t="str">
            <v>2019MA</v>
          </cell>
          <cell r="C1475">
            <v>6.1305440163427552E-2</v>
          </cell>
          <cell r="D1475">
            <v>0.14874705508142777</v>
          </cell>
          <cell r="E1475">
            <v>0.45216403673004657</v>
          </cell>
          <cell r="F1475">
            <v>0.23617268276189021</v>
          </cell>
          <cell r="G1475">
            <v>7.3497640935872632E-2</v>
          </cell>
          <cell r="H1475">
            <v>2.8113144327335336E-2</v>
          </cell>
          <cell r="J1475" t="str">
            <v>2019MA</v>
          </cell>
          <cell r="K1475">
            <v>0.47433832199999992</v>
          </cell>
          <cell r="L1475">
            <v>7.3497641000000002E-2</v>
          </cell>
          <cell r="M1475">
            <v>0.45216403700000002</v>
          </cell>
          <cell r="U1475" t="str">
            <v>2019MA</v>
          </cell>
          <cell r="V1475">
            <v>0.31419575799999999</v>
          </cell>
          <cell r="W1475">
            <v>3.0175387000000001E-2</v>
          </cell>
          <cell r="X1475">
            <v>0.18928197099999999</v>
          </cell>
          <cell r="Y1475">
            <v>0.14470469499999999</v>
          </cell>
          <cell r="Z1475">
            <v>0.32164218900000002</v>
          </cell>
          <cell r="AB1475" t="str">
            <v>2019MA</v>
          </cell>
          <cell r="AC1475">
            <v>0</v>
          </cell>
          <cell r="AD1475">
            <v>0</v>
          </cell>
          <cell r="AE1475">
            <v>0.05</v>
          </cell>
          <cell r="AF1475">
            <v>0.95</v>
          </cell>
        </row>
        <row r="1476">
          <cell r="B1476" t="str">
            <v>2019MI</v>
          </cell>
          <cell r="C1476">
            <v>0.21592740095911189</v>
          </cell>
          <cell r="D1476">
            <v>0.33044604004991018</v>
          </cell>
          <cell r="E1476">
            <v>5.8998863632555826E-2</v>
          </cell>
          <cell r="F1476">
            <v>0.32074430847532459</v>
          </cell>
          <cell r="G1476">
            <v>3.4929675483950956E-2</v>
          </cell>
          <cell r="H1476">
            <v>3.8953711399146676E-2</v>
          </cell>
          <cell r="J1476" t="str">
            <v>2019MI</v>
          </cell>
          <cell r="K1476">
            <v>0.90607146100000002</v>
          </cell>
          <cell r="L1476">
            <v>3.4929675E-2</v>
          </cell>
          <cell r="M1476">
            <v>5.8998863999999998E-2</v>
          </cell>
          <cell r="U1476" t="str">
            <v>2019MI</v>
          </cell>
          <cell r="V1476">
            <v>4.5127237000000001E-2</v>
          </cell>
          <cell r="W1476">
            <v>5.0500046999999999E-2</v>
          </cell>
          <cell r="X1476">
            <v>0.254352099</v>
          </cell>
          <cell r="Y1476">
            <v>0.17319266699999999</v>
          </cell>
          <cell r="Z1476">
            <v>0.47682794899999997</v>
          </cell>
          <cell r="AB1476" t="str">
            <v>2019MI</v>
          </cell>
          <cell r="AC1476">
            <v>0</v>
          </cell>
          <cell r="AD1476">
            <v>0</v>
          </cell>
          <cell r="AE1476">
            <v>0.02</v>
          </cell>
          <cell r="AF1476">
            <v>0.98</v>
          </cell>
        </row>
        <row r="1477">
          <cell r="B1477" t="str">
            <v>2019MN</v>
          </cell>
          <cell r="C1477">
            <v>0.11559741536790068</v>
          </cell>
          <cell r="D1477">
            <v>0.23915415867765383</v>
          </cell>
          <cell r="E1477">
            <v>0.10052931481156221</v>
          </cell>
          <cell r="F1477">
            <v>0.43822851849088174</v>
          </cell>
          <cell r="G1477">
            <v>5.9517355535203494E-2</v>
          </cell>
          <cell r="H1477">
            <v>4.697323711679801E-2</v>
          </cell>
          <cell r="J1477" t="str">
            <v>2019MN</v>
          </cell>
          <cell r="K1477">
            <v>0.83995332899999997</v>
          </cell>
          <cell r="L1477">
            <v>5.9517356E-2</v>
          </cell>
          <cell r="M1477">
            <v>0.10052931499999999</v>
          </cell>
          <cell r="U1477" t="str">
            <v>2019MN</v>
          </cell>
          <cell r="V1477">
            <v>1.5145339000000001E-2</v>
          </cell>
          <cell r="W1477">
            <v>5.1986831999999997E-2</v>
          </cell>
          <cell r="X1477">
            <v>0.262445557</v>
          </cell>
          <cell r="Y1477">
            <v>0.17896024199999999</v>
          </cell>
          <cell r="Z1477">
            <v>0.49146202900000002</v>
          </cell>
          <cell r="AB1477" t="str">
            <v>2019MN</v>
          </cell>
          <cell r="AC1477">
            <v>0</v>
          </cell>
          <cell r="AD1477">
            <v>0</v>
          </cell>
          <cell r="AE1477">
            <v>0</v>
          </cell>
          <cell r="AF1477">
            <v>1</v>
          </cell>
        </row>
        <row r="1478">
          <cell r="B1478" t="str">
            <v>2019MS</v>
          </cell>
          <cell r="C1478">
            <v>0.10416334210611014</v>
          </cell>
          <cell r="D1478">
            <v>7.2829933678422776E-2</v>
          </cell>
          <cell r="E1478">
            <v>0.14929269604113307</v>
          </cell>
          <cell r="F1478">
            <v>0.10019278631941281</v>
          </cell>
          <cell r="G1478">
            <v>0.56868226150598644</v>
          </cell>
          <cell r="H1478">
            <v>4.838980348934833E-3</v>
          </cell>
          <cell r="J1478" t="str">
            <v>2019MS</v>
          </cell>
          <cell r="K1478">
            <v>0.28202504199999989</v>
          </cell>
          <cell r="L1478">
            <v>0.56868226200000005</v>
          </cell>
          <cell r="M1478">
            <v>0.149292696</v>
          </cell>
          <cell r="U1478" t="str">
            <v>2019MS</v>
          </cell>
          <cell r="V1478">
            <v>2.1100625000000001E-2</v>
          </cell>
          <cell r="W1478">
            <v>3.6418512E-2</v>
          </cell>
          <cell r="X1478">
            <v>6.0129593000000002E-2</v>
          </cell>
          <cell r="Y1478">
            <v>0.574366987</v>
          </cell>
          <cell r="Z1478">
            <v>0.30798428300000003</v>
          </cell>
          <cell r="AB1478" t="str">
            <v>2019MS</v>
          </cell>
          <cell r="AC1478">
            <v>0</v>
          </cell>
          <cell r="AD1478">
            <v>0</v>
          </cell>
          <cell r="AE1478">
            <v>0.6</v>
          </cell>
          <cell r="AF1478">
            <v>0.4</v>
          </cell>
        </row>
        <row r="1479">
          <cell r="B1479" t="str">
            <v>2019MO</v>
          </cell>
          <cell r="C1479">
            <v>6.4925479522277466E-2</v>
          </cell>
          <cell r="D1479">
            <v>0.18170303563698134</v>
          </cell>
          <cell r="E1479">
            <v>0.14337282997597614</v>
          </cell>
          <cell r="F1479">
            <v>0.47880340852502545</v>
          </cell>
          <cell r="G1479">
            <v>8.4882421727070459E-2</v>
          </cell>
          <cell r="H1479">
            <v>4.6312824612669105E-2</v>
          </cell>
          <cell r="J1479" t="str">
            <v>2019MO</v>
          </cell>
          <cell r="K1479">
            <v>0.77174474799999992</v>
          </cell>
          <cell r="L1479">
            <v>8.4882421999999999E-2</v>
          </cell>
          <cell r="M1479">
            <v>0.14337283000000001</v>
          </cell>
          <cell r="U1479" t="str">
            <v>2019MO</v>
          </cell>
          <cell r="V1479">
            <v>2.998994E-2</v>
          </cell>
          <cell r="W1479">
            <v>4.5757142000000001E-2</v>
          </cell>
          <cell r="X1479">
            <v>0.27926039899999999</v>
          </cell>
          <cell r="Y1479">
            <v>0.13775391300000001</v>
          </cell>
          <cell r="Z1479">
            <v>0.50723860600000004</v>
          </cell>
          <cell r="AB1479" t="str">
            <v>2019MO</v>
          </cell>
          <cell r="AC1479">
            <v>0</v>
          </cell>
          <cell r="AD1479">
            <v>0</v>
          </cell>
          <cell r="AE1479">
            <v>0</v>
          </cell>
          <cell r="AF1479">
            <v>1</v>
          </cell>
        </row>
        <row r="1480">
          <cell r="B1480" t="str">
            <v>2019MT</v>
          </cell>
          <cell r="C1480">
            <v>0.35597781750083307</v>
          </cell>
          <cell r="D1480">
            <v>0.25924389885240834</v>
          </cell>
          <cell r="E1480">
            <v>4.3797789125912777E-2</v>
          </cell>
          <cell r="F1480">
            <v>0.25058080537727367</v>
          </cell>
          <cell r="G1480">
            <v>2.5930034358127463E-2</v>
          </cell>
          <cell r="H1480">
            <v>6.4469654785444572E-2</v>
          </cell>
          <cell r="J1480" t="str">
            <v>2019MT</v>
          </cell>
          <cell r="K1480">
            <v>0.93027217699999998</v>
          </cell>
          <cell r="L1480">
            <v>2.5930034000000001E-2</v>
          </cell>
          <cell r="M1480">
            <v>4.3797788999999997E-2</v>
          </cell>
          <cell r="U1480" t="str">
            <v>2019MT</v>
          </cell>
          <cell r="V1480">
            <v>6.0520032000000001E-2</v>
          </cell>
          <cell r="W1480">
            <v>5.1214043000000001E-2</v>
          </cell>
          <cell r="X1480">
            <v>0.24859647000000001</v>
          </cell>
          <cell r="Y1480">
            <v>0.16530719099999999</v>
          </cell>
          <cell r="Z1480">
            <v>0.47436226399999998</v>
          </cell>
          <cell r="AB1480" t="str">
            <v>2019MT</v>
          </cell>
          <cell r="AC1480">
            <v>0</v>
          </cell>
          <cell r="AD1480">
            <v>0</v>
          </cell>
          <cell r="AE1480">
            <v>0.6</v>
          </cell>
          <cell r="AF1480">
            <v>0.4</v>
          </cell>
        </row>
        <row r="1481">
          <cell r="B1481" t="str">
            <v>2019NE</v>
          </cell>
          <cell r="C1481">
            <v>0.21260954807532403</v>
          </cell>
          <cell r="D1481">
            <v>0.30324255962083846</v>
          </cell>
          <cell r="E1481">
            <v>6.1277054134417128E-2</v>
          </cell>
          <cell r="F1481">
            <v>0.34696077142199511</v>
          </cell>
          <cell r="G1481">
            <v>3.6278454935301678E-2</v>
          </cell>
          <cell r="H1481">
            <v>3.9631611812123581E-2</v>
          </cell>
          <cell r="J1481" t="str">
            <v>2019NE</v>
          </cell>
          <cell r="K1481">
            <v>0.90244449100000002</v>
          </cell>
          <cell r="L1481">
            <v>3.6278455000000001E-2</v>
          </cell>
          <cell r="M1481">
            <v>6.1277053999999997E-2</v>
          </cell>
          <cell r="U1481" t="str">
            <v>2019NE</v>
          </cell>
          <cell r="V1481">
            <v>3.0063880000000001E-2</v>
          </cell>
          <cell r="W1481">
            <v>4.5295173000000001E-2</v>
          </cell>
          <cell r="X1481">
            <v>0.27751980599999998</v>
          </cell>
          <cell r="Y1481">
            <v>0.147715386</v>
          </cell>
          <cell r="Z1481">
            <v>0.49940575500000001</v>
          </cell>
          <cell r="AB1481" t="str">
            <v>2019NE</v>
          </cell>
          <cell r="AC1481">
            <v>0</v>
          </cell>
          <cell r="AD1481">
            <v>0</v>
          </cell>
          <cell r="AE1481">
            <v>0.02</v>
          </cell>
          <cell r="AF1481">
            <v>0.98</v>
          </cell>
        </row>
        <row r="1482">
          <cell r="B1482" t="str">
            <v>2019NV</v>
          </cell>
          <cell r="C1482">
            <v>0.64210148526116029</v>
          </cell>
          <cell r="D1482">
            <v>0.238399883587257</v>
          </cell>
          <cell r="E1482">
            <v>4.1594375177217181E-3</v>
          </cell>
          <cell r="F1482">
            <v>0.10819864870890922</v>
          </cell>
          <cell r="G1482">
            <v>2.4625525602432058E-3</v>
          </cell>
          <cell r="H1482">
            <v>4.677992364708553E-3</v>
          </cell>
          <cell r="J1482" t="str">
            <v>2019NV</v>
          </cell>
          <cell r="K1482">
            <v>0.99337800899999995</v>
          </cell>
          <cell r="L1482">
            <v>2.4625530000000001E-3</v>
          </cell>
          <cell r="M1482">
            <v>4.1594379999999997E-3</v>
          </cell>
          <cell r="U1482" t="str">
            <v>2019NV</v>
          </cell>
          <cell r="V1482">
            <v>0.35004114600000003</v>
          </cell>
          <cell r="W1482">
            <v>2.4048478000000002E-2</v>
          </cell>
          <cell r="X1482">
            <v>3.5747737000000002E-2</v>
          </cell>
          <cell r="Y1482">
            <v>0.38867539400000001</v>
          </cell>
          <cell r="Z1482">
            <v>0.20148724500000001</v>
          </cell>
          <cell r="AB1482" t="str">
            <v>2019NV</v>
          </cell>
          <cell r="AC1482">
            <v>0</v>
          </cell>
          <cell r="AD1482">
            <v>0</v>
          </cell>
          <cell r="AE1482">
            <v>0</v>
          </cell>
          <cell r="AF1482">
            <v>1</v>
          </cell>
        </row>
        <row r="1483">
          <cell r="B1483" t="str">
            <v>2019NH</v>
          </cell>
          <cell r="C1483">
            <v>9.4573445198850817E-2</v>
          </cell>
          <cell r="D1483">
            <v>0.16340842518862655</v>
          </cell>
          <cell r="E1483">
            <v>0.44298025846087286</v>
          </cell>
          <cell r="F1483">
            <v>0.20852129702854144</v>
          </cell>
          <cell r="G1483">
            <v>6.52134304627775E-2</v>
          </cell>
          <cell r="H1483">
            <v>2.5303143660330828E-2</v>
          </cell>
          <cell r="J1483" t="str">
            <v>2019NH</v>
          </cell>
          <cell r="K1483">
            <v>0.49180631200000002</v>
          </cell>
          <cell r="L1483">
            <v>6.5213430000000003E-2</v>
          </cell>
          <cell r="M1483">
            <v>0.44298025800000002</v>
          </cell>
          <cell r="U1483" t="str">
            <v>2019NH</v>
          </cell>
          <cell r="V1483">
            <v>0.56759962799999997</v>
          </cell>
          <cell r="W1483">
            <v>1.9025615999999999E-2</v>
          </cell>
          <cell r="X1483">
            <v>0.119342503</v>
          </cell>
          <cell r="Y1483">
            <v>9.1236478999999995E-2</v>
          </cell>
          <cell r="Z1483">
            <v>0.20279577500000001</v>
          </cell>
          <cell r="AB1483" t="str">
            <v>2019NH</v>
          </cell>
          <cell r="AC1483">
            <v>0</v>
          </cell>
          <cell r="AD1483">
            <v>0</v>
          </cell>
          <cell r="AE1483">
            <v>0.05</v>
          </cell>
          <cell r="AF1483">
            <v>0.95</v>
          </cell>
        </row>
        <row r="1484">
          <cell r="B1484" t="str">
            <v>2019NJ</v>
          </cell>
          <cell r="C1484">
            <v>5.8003576611346738E-2</v>
          </cell>
          <cell r="D1484">
            <v>0.13897871355240557</v>
          </cell>
          <cell r="E1484">
            <v>0.45397029129837874</v>
          </cell>
          <cell r="F1484">
            <v>0.24471653627570109</v>
          </cell>
          <cell r="G1484">
            <v>7.5126969581826603E-2</v>
          </cell>
          <cell r="H1484">
            <v>2.9203912680341212E-2</v>
          </cell>
          <cell r="J1484" t="str">
            <v>2019NJ</v>
          </cell>
          <cell r="K1484">
            <v>0.47090273900000001</v>
          </cell>
          <cell r="L1484">
            <v>7.5126970000000001E-2</v>
          </cell>
          <cell r="M1484">
            <v>0.45397029100000003</v>
          </cell>
          <cell r="U1484" t="str">
            <v>2019NJ</v>
          </cell>
          <cell r="V1484">
            <v>0.30808167400000003</v>
          </cell>
          <cell r="W1484">
            <v>3.3011736E-2</v>
          </cell>
          <cell r="X1484">
            <v>0.18818818500000001</v>
          </cell>
          <cell r="Y1484">
            <v>0.137437002</v>
          </cell>
          <cell r="Z1484">
            <v>0.333281404</v>
          </cell>
          <cell r="AB1484" t="str">
            <v>2019NJ</v>
          </cell>
          <cell r="AC1484">
            <v>0</v>
          </cell>
          <cell r="AD1484">
            <v>0</v>
          </cell>
          <cell r="AE1484">
            <v>0.05</v>
          </cell>
          <cell r="AF1484">
            <v>0.95</v>
          </cell>
        </row>
        <row r="1485">
          <cell r="B1485" t="str">
            <v>2019NM</v>
          </cell>
          <cell r="C1485">
            <v>0.61184589317007076</v>
          </cell>
          <cell r="D1485">
            <v>0.19452029294367307</v>
          </cell>
          <cell r="E1485">
            <v>9.8952813124742175E-2</v>
          </cell>
          <cell r="F1485">
            <v>9.4174237847419268E-2</v>
          </cell>
          <cell r="G1485">
            <v>0</v>
          </cell>
          <cell r="H1485">
            <v>5.0676291409465751E-4</v>
          </cell>
          <cell r="J1485" t="str">
            <v>2019NM</v>
          </cell>
          <cell r="K1485">
            <v>0.90104718699999997</v>
          </cell>
          <cell r="L1485">
            <v>0</v>
          </cell>
          <cell r="M1485">
            <v>9.8952813000000001E-2</v>
          </cell>
          <cell r="U1485" t="str">
            <v>2019NM</v>
          </cell>
          <cell r="V1485">
            <v>0.91655606099999998</v>
          </cell>
          <cell r="W1485">
            <v>3.6715329999999998E-3</v>
          </cell>
          <cell r="X1485">
            <v>2.3030526999999999E-2</v>
          </cell>
          <cell r="Y1485">
            <v>1.7606671000000001E-2</v>
          </cell>
          <cell r="Z1485">
            <v>3.9135206999999998E-2</v>
          </cell>
          <cell r="AB1485" t="str">
            <v>2019NM</v>
          </cell>
          <cell r="AC1485">
            <v>0</v>
          </cell>
          <cell r="AD1485">
            <v>0</v>
          </cell>
          <cell r="AE1485">
            <v>0.6</v>
          </cell>
          <cell r="AF1485">
            <v>0.4</v>
          </cell>
        </row>
        <row r="1486">
          <cell r="B1486" t="str">
            <v>2019NY</v>
          </cell>
          <cell r="C1486">
            <v>9.8408703041683282E-2</v>
          </cell>
          <cell r="D1486">
            <v>0.15954377256245178</v>
          </cell>
          <cell r="E1486">
            <v>0.44849165243165579</v>
          </cell>
          <cell r="F1486">
            <v>0.20287733376538455</v>
          </cell>
          <cell r="G1486">
            <v>7.0184973363303343E-2</v>
          </cell>
          <cell r="H1486">
            <v>2.0493564835521279E-2</v>
          </cell>
          <cell r="J1486" t="str">
            <v>2019NY</v>
          </cell>
          <cell r="K1486">
            <v>0.481323375</v>
          </cell>
          <cell r="L1486">
            <v>7.0184972999999998E-2</v>
          </cell>
          <cell r="M1486">
            <v>0.44849165200000002</v>
          </cell>
          <cell r="U1486" t="str">
            <v>2019NY</v>
          </cell>
          <cell r="V1486">
            <v>0.20441514899999999</v>
          </cell>
          <cell r="W1486">
            <v>4.1815811000000001E-2</v>
          </cell>
          <cell r="X1486">
            <v>0.21220383400000001</v>
          </cell>
          <cell r="Y1486">
            <v>0.145168144</v>
          </cell>
          <cell r="Z1486">
            <v>0.396397061</v>
          </cell>
          <cell r="AB1486" t="str">
            <v>2019NY</v>
          </cell>
          <cell r="AC1486">
            <v>0</v>
          </cell>
          <cell r="AD1486">
            <v>0</v>
          </cell>
          <cell r="AE1486">
            <v>0.05</v>
          </cell>
          <cell r="AF1486">
            <v>0.95</v>
          </cell>
        </row>
        <row r="1487">
          <cell r="B1487" t="str">
            <v>2019NC</v>
          </cell>
          <cell r="C1487">
            <v>6.168821577504751E-2</v>
          </cell>
          <cell r="D1487">
            <v>0.11278426418396881</v>
          </cell>
          <cell r="E1487">
            <v>0.15395779991170949</v>
          </cell>
          <cell r="F1487">
            <v>0.11589101949636353</v>
          </cell>
          <cell r="G1487">
            <v>0.54100750469043157</v>
          </cell>
          <cell r="H1487">
            <v>1.4671195942479084E-2</v>
          </cell>
          <cell r="J1487" t="str">
            <v>2019NC</v>
          </cell>
          <cell r="K1487">
            <v>0.30503469499999991</v>
          </cell>
          <cell r="L1487">
            <v>0.54100750500000006</v>
          </cell>
          <cell r="M1487">
            <v>0.15395780000000001</v>
          </cell>
          <cell r="U1487" t="str">
            <v>2019NC</v>
          </cell>
          <cell r="V1487">
            <v>2.4742549999999999E-3</v>
          </cell>
          <cell r="W1487">
            <v>3.7123251000000003E-2</v>
          </cell>
          <cell r="X1487">
            <v>6.1645423999999997E-2</v>
          </cell>
          <cell r="Y1487">
            <v>0.58464508599999998</v>
          </cell>
          <cell r="Z1487">
            <v>0.31411198400000001</v>
          </cell>
          <cell r="AB1487" t="str">
            <v>2019NC</v>
          </cell>
          <cell r="AC1487">
            <v>0</v>
          </cell>
          <cell r="AD1487">
            <v>0</v>
          </cell>
          <cell r="AE1487">
            <v>0.41899999999999998</v>
          </cell>
          <cell r="AF1487">
            <v>0.58099999999999996</v>
          </cell>
        </row>
        <row r="1488">
          <cell r="B1488" t="str">
            <v>2019ND</v>
          </cell>
          <cell r="C1488">
            <v>0.1196932700797023</v>
          </cell>
          <cell r="D1488">
            <v>0.21866711268457967</v>
          </cell>
          <cell r="E1488">
            <v>0.10978970169096619</v>
          </cell>
          <cell r="F1488">
            <v>0.448028418369537</v>
          </cell>
          <cell r="G1488">
            <v>6.499987314042277E-2</v>
          </cell>
          <cell r="H1488">
            <v>3.8821624034792085E-2</v>
          </cell>
          <cell r="J1488" t="str">
            <v>2019ND</v>
          </cell>
          <cell r="K1488">
            <v>0.82521042499999997</v>
          </cell>
          <cell r="L1488">
            <v>6.4999873E-2</v>
          </cell>
          <cell r="M1488">
            <v>0.109789702</v>
          </cell>
          <cell r="U1488" t="str">
            <v>2019ND</v>
          </cell>
          <cell r="V1488">
            <v>8.8434773999999994E-2</v>
          </cell>
          <cell r="W1488">
            <v>4.7868137999999998E-2</v>
          </cell>
          <cell r="X1488">
            <v>0.243186129</v>
          </cell>
          <cell r="Y1488">
            <v>0.16647603599999999</v>
          </cell>
          <cell r="Z1488">
            <v>0.45403492299999998</v>
          </cell>
          <cell r="AB1488" t="str">
            <v>2019ND</v>
          </cell>
          <cell r="AC1488">
            <v>0</v>
          </cell>
          <cell r="AD1488">
            <v>0</v>
          </cell>
          <cell r="AE1488">
            <v>0.02</v>
          </cell>
          <cell r="AF1488">
            <v>0.98</v>
          </cell>
        </row>
        <row r="1489">
          <cell r="B1489" t="str">
            <v>2019OH</v>
          </cell>
          <cell r="C1489">
            <v>0.10753833947858983</v>
          </cell>
          <cell r="D1489">
            <v>0.22522557822049544</v>
          </cell>
          <cell r="E1489">
            <v>0.13589110116557596</v>
          </cell>
          <cell r="F1489">
            <v>0.4097570212201273</v>
          </cell>
          <cell r="G1489">
            <v>8.0452940491062386E-2</v>
          </cell>
          <cell r="H1489">
            <v>4.1135019424149183E-2</v>
          </cell>
          <cell r="J1489" t="str">
            <v>2019OH</v>
          </cell>
          <cell r="K1489">
            <v>0.78365595900000007</v>
          </cell>
          <cell r="L1489">
            <v>8.0452940000000001E-2</v>
          </cell>
          <cell r="M1489">
            <v>0.13589110099999999</v>
          </cell>
          <cell r="U1489" t="str">
            <v>2019OH</v>
          </cell>
          <cell r="V1489">
            <v>6.6338901000000006E-2</v>
          </cell>
          <cell r="W1489">
            <v>4.3119113000000001E-2</v>
          </cell>
          <cell r="X1489">
            <v>0.26533305600000001</v>
          </cell>
          <cell r="Y1489">
            <v>0.15267545299999999</v>
          </cell>
          <cell r="Z1489">
            <v>0.47253347699999998</v>
          </cell>
          <cell r="AB1489" t="str">
            <v>2019OH</v>
          </cell>
          <cell r="AC1489">
            <v>0</v>
          </cell>
          <cell r="AD1489">
            <v>0</v>
          </cell>
          <cell r="AE1489">
            <v>0</v>
          </cell>
          <cell r="AF1489">
            <v>1</v>
          </cell>
        </row>
        <row r="1490">
          <cell r="B1490" t="str">
            <v>2019OK</v>
          </cell>
          <cell r="C1490">
            <v>0.40296958934788546</v>
          </cell>
          <cell r="D1490">
            <v>0.22528492954061258</v>
          </cell>
          <cell r="E1490">
            <v>6.4896255940651446E-2</v>
          </cell>
          <cell r="F1490">
            <v>0.24738177570149189</v>
          </cell>
          <cell r="G1490">
            <v>0</v>
          </cell>
          <cell r="H1490">
            <v>5.9467449469358676E-2</v>
          </cell>
          <cell r="J1490" t="str">
            <v>2019OK</v>
          </cell>
          <cell r="K1490">
            <v>0.93510374399999996</v>
          </cell>
          <cell r="L1490">
            <v>0</v>
          </cell>
          <cell r="M1490">
            <v>6.4896255999999999E-2</v>
          </cell>
          <cell r="U1490" t="str">
            <v>2019OK</v>
          </cell>
          <cell r="V1490">
            <v>1.2831308E-2</v>
          </cell>
          <cell r="W1490">
            <v>3.6793041999999998E-2</v>
          </cell>
          <cell r="X1490">
            <v>6.2749109999999997E-2</v>
          </cell>
          <cell r="Y1490">
            <v>0.57552135800000004</v>
          </cell>
          <cell r="Z1490">
            <v>0.31210518199999998</v>
          </cell>
          <cell r="AB1490" t="str">
            <v>2019OK</v>
          </cell>
          <cell r="AC1490">
            <v>0</v>
          </cell>
          <cell r="AD1490">
            <v>0</v>
          </cell>
          <cell r="AE1490">
            <v>0.6</v>
          </cell>
          <cell r="AF1490">
            <v>0.4</v>
          </cell>
        </row>
        <row r="1491">
          <cell r="B1491" t="str">
            <v>2019OR</v>
          </cell>
          <cell r="C1491">
            <v>0.43856747008812064</v>
          </cell>
          <cell r="D1491">
            <v>0.20958259090942544</v>
          </cell>
          <cell r="E1491">
            <v>0</v>
          </cell>
          <cell r="F1491">
            <v>0.12862948158709187</v>
          </cell>
          <cell r="G1491">
            <v>0.2018533708975031</v>
          </cell>
          <cell r="H1491">
            <v>2.1367086517858933E-2</v>
          </cell>
          <cell r="J1491" t="str">
            <v>2019OR</v>
          </cell>
          <cell r="K1491">
            <v>0.798146629</v>
          </cell>
          <cell r="L1491">
            <v>0.201853371</v>
          </cell>
          <cell r="M1491">
            <v>0</v>
          </cell>
          <cell r="U1491" t="str">
            <v>2019OR</v>
          </cell>
          <cell r="V1491">
            <v>0.57640796000000005</v>
          </cell>
          <cell r="W1491">
            <v>1.863805E-2</v>
          </cell>
          <cell r="X1491">
            <v>0.116911403</v>
          </cell>
          <cell r="Y1491">
            <v>8.937792E-2</v>
          </cell>
          <cell r="Z1491">
            <v>0.19866466699999999</v>
          </cell>
          <cell r="AB1491" t="str">
            <v>2019OR</v>
          </cell>
          <cell r="AC1491">
            <v>0</v>
          </cell>
          <cell r="AD1491">
            <v>0</v>
          </cell>
          <cell r="AE1491">
            <v>0.25</v>
          </cell>
          <cell r="AF1491">
            <v>0.75</v>
          </cell>
        </row>
        <row r="1492">
          <cell r="B1492" t="str">
            <v>2019PA</v>
          </cell>
          <cell r="C1492">
            <v>4.9624045569858895E-2</v>
          </cell>
          <cell r="D1492">
            <v>0.11712497857538914</v>
          </cell>
          <cell r="E1492">
            <v>0.46874549019831585</v>
          </cell>
          <cell r="F1492">
            <v>0.25230966018477574</v>
          </cell>
          <cell r="G1492">
            <v>8.8454910858433447E-2</v>
          </cell>
          <cell r="H1492">
            <v>2.3740914613226898E-2</v>
          </cell>
          <cell r="J1492" t="str">
            <v>2019PA</v>
          </cell>
          <cell r="K1492">
            <v>0.44279959899999999</v>
          </cell>
          <cell r="L1492">
            <v>8.8454910999999997E-2</v>
          </cell>
          <cell r="M1492">
            <v>0.46874548999999999</v>
          </cell>
          <cell r="U1492" t="str">
            <v>2019PA</v>
          </cell>
          <cell r="V1492">
            <v>5.0102499000000002E-2</v>
          </cell>
          <cell r="W1492">
            <v>4.9409870000000002E-2</v>
          </cell>
          <cell r="X1492">
            <v>0.25392279899999998</v>
          </cell>
          <cell r="Y1492">
            <v>0.17504710600000001</v>
          </cell>
          <cell r="Z1492">
            <v>0.47151772600000003</v>
          </cell>
          <cell r="AB1492" t="str">
            <v>2019PA</v>
          </cell>
          <cell r="AC1492">
            <v>0</v>
          </cell>
          <cell r="AD1492">
            <v>0</v>
          </cell>
          <cell r="AE1492">
            <v>0</v>
          </cell>
          <cell r="AF1492">
            <v>1</v>
          </cell>
        </row>
        <row r="1493">
          <cell r="B1493" t="str">
            <v>2019RI</v>
          </cell>
          <cell r="C1493">
            <v>4.2447025005926793E-2</v>
          </cell>
          <cell r="D1493">
            <v>0.1190174947032642</v>
          </cell>
          <cell r="E1493">
            <v>0.46784468707451643</v>
          </cell>
          <cell r="F1493">
            <v>0.25730854976835782</v>
          </cell>
          <cell r="G1493">
            <v>8.7642343040085183E-2</v>
          </cell>
          <cell r="H1493">
            <v>2.5739900407849584E-2</v>
          </cell>
          <cell r="J1493" t="str">
            <v>2019RI</v>
          </cell>
          <cell r="K1493">
            <v>0.44451297000000001</v>
          </cell>
          <cell r="L1493">
            <v>8.7642342999999998E-2</v>
          </cell>
          <cell r="M1493">
            <v>0.46784468699999998</v>
          </cell>
          <cell r="U1493" t="str">
            <v>2019RI</v>
          </cell>
          <cell r="V1493">
            <v>0.56026879500000004</v>
          </cell>
          <cell r="W1493">
            <v>1.9348173E-2</v>
          </cell>
          <cell r="X1493">
            <v>0.121365813</v>
          </cell>
          <cell r="Y1493">
            <v>9.2783283999999994E-2</v>
          </cell>
          <cell r="Z1493">
            <v>0.20623393500000001</v>
          </cell>
          <cell r="AB1493" t="str">
            <v>2019RI</v>
          </cell>
          <cell r="AC1493">
            <v>0</v>
          </cell>
          <cell r="AD1493">
            <v>0</v>
          </cell>
          <cell r="AE1493">
            <v>0.05</v>
          </cell>
          <cell r="AF1493">
            <v>0.95</v>
          </cell>
        </row>
        <row r="1494">
          <cell r="B1494" t="str">
            <v>2019SC</v>
          </cell>
          <cell r="C1494">
            <v>0.13346180610825578</v>
          </cell>
          <cell r="D1494">
            <v>9.0019723091430845E-2</v>
          </cell>
          <cell r="E1494">
            <v>0.15451296947775242</v>
          </cell>
          <cell r="F1494">
            <v>8.0687406490411034E-2</v>
          </cell>
          <cell r="G1494">
            <v>0.53771407690020812</v>
          </cell>
          <cell r="H1494">
            <v>3.6040179319418398E-3</v>
          </cell>
          <cell r="J1494" t="str">
            <v>2019SC</v>
          </cell>
          <cell r="K1494">
            <v>0.30777295400000004</v>
          </cell>
          <cell r="L1494">
            <v>0.53771407699999996</v>
          </cell>
          <cell r="M1494">
            <v>0.154512969</v>
          </cell>
          <cell r="U1494" t="str">
            <v>2019SC</v>
          </cell>
          <cell r="V1494">
            <v>6.1629585000000001E-2</v>
          </cell>
          <cell r="W1494">
            <v>3.5823032999999997E-2</v>
          </cell>
          <cell r="X1494">
            <v>8.6443989999999998E-2</v>
          </cell>
          <cell r="Y1494">
            <v>0.50014727299999995</v>
          </cell>
          <cell r="Z1494">
            <v>0.31595611899999998</v>
          </cell>
          <cell r="AB1494" t="str">
            <v>2019SC</v>
          </cell>
          <cell r="AC1494">
            <v>0</v>
          </cell>
          <cell r="AD1494">
            <v>0</v>
          </cell>
          <cell r="AE1494">
            <v>0.6</v>
          </cell>
          <cell r="AF1494">
            <v>0.4</v>
          </cell>
        </row>
        <row r="1495">
          <cell r="B1495" t="str">
            <v>2019SD</v>
          </cell>
          <cell r="C1495">
            <v>0.17608951911561277</v>
          </cell>
          <cell r="D1495">
            <v>0.277831368160596</v>
          </cell>
          <cell r="E1495">
            <v>7.9800561964795444E-2</v>
          </cell>
          <cell r="F1495">
            <v>0.37802114842972712</v>
          </cell>
          <cell r="G1495">
            <v>4.724510882492864E-2</v>
          </cell>
          <cell r="H1495">
            <v>4.1012293504340026E-2</v>
          </cell>
          <cell r="J1495" t="str">
            <v>2019SD</v>
          </cell>
          <cell r="K1495">
            <v>0.87295432900000003</v>
          </cell>
          <cell r="L1495">
            <v>4.7245109E-2</v>
          </cell>
          <cell r="M1495">
            <v>7.9800562000000005E-2</v>
          </cell>
          <cell r="U1495" t="str">
            <v>2019SD</v>
          </cell>
          <cell r="V1495">
            <v>3.3046748000000001E-2</v>
          </cell>
          <cell r="W1495">
            <v>5.1157264000000001E-2</v>
          </cell>
          <cell r="X1495">
            <v>0.25755016600000002</v>
          </cell>
          <cell r="Y1495">
            <v>0.17532273200000001</v>
          </cell>
          <cell r="Z1495">
            <v>0.48292308900000003</v>
          </cell>
          <cell r="AB1495" t="str">
            <v>2019SD</v>
          </cell>
          <cell r="AC1495">
            <v>0</v>
          </cell>
          <cell r="AD1495">
            <v>0</v>
          </cell>
          <cell r="AE1495">
            <v>0.02</v>
          </cell>
          <cell r="AF1495">
            <v>0.98</v>
          </cell>
        </row>
        <row r="1496">
          <cell r="B1496" t="str">
            <v>2019TN</v>
          </cell>
          <cell r="C1496">
            <v>4.0519949592449485E-2</v>
          </cell>
          <cell r="D1496">
            <v>8.9664149461423162E-2</v>
          </cell>
          <cell r="E1496">
            <v>0.14551684926860037</v>
          </cell>
          <cell r="F1496">
            <v>0.1170185785979804</v>
          </cell>
          <cell r="G1496">
            <v>0.59108168584929244</v>
          </cell>
          <cell r="H1496">
            <v>1.6198787230254148E-2</v>
          </cell>
          <cell r="J1496" t="str">
            <v>2019TN</v>
          </cell>
          <cell r="K1496">
            <v>0.26340146500000006</v>
          </cell>
          <cell r="L1496">
            <v>0.591081686</v>
          </cell>
          <cell r="M1496">
            <v>0.145516849</v>
          </cell>
          <cell r="U1496" t="str">
            <v>2019TN</v>
          </cell>
          <cell r="V1496">
            <v>0.102875089</v>
          </cell>
          <cell r="W1496">
            <v>3.5402429999999999E-2</v>
          </cell>
          <cell r="X1496">
            <v>0.119077104</v>
          </cell>
          <cell r="Y1496">
            <v>0.41436515099999999</v>
          </cell>
          <cell r="Z1496">
            <v>0.32828022600000001</v>
          </cell>
          <cell r="AB1496" t="str">
            <v>2019TN</v>
          </cell>
          <cell r="AC1496">
            <v>0</v>
          </cell>
          <cell r="AD1496">
            <v>0</v>
          </cell>
          <cell r="AE1496">
            <v>0.05</v>
          </cell>
          <cell r="AF1496">
            <v>0.95</v>
          </cell>
        </row>
        <row r="1497">
          <cell r="B1497" t="str">
            <v>2019TX</v>
          </cell>
          <cell r="C1497">
            <v>0.53305655520056971</v>
          </cell>
          <cell r="D1497">
            <v>0.24233312613196878</v>
          </cell>
          <cell r="E1497">
            <v>7.9791980793249173E-2</v>
          </cell>
          <cell r="F1497">
            <v>0.1278405091499755</v>
          </cell>
          <cell r="G1497">
            <v>0</v>
          </cell>
          <cell r="H1497">
            <v>1.6977828724236681E-2</v>
          </cell>
          <cell r="J1497" t="str">
            <v>2019TX</v>
          </cell>
          <cell r="K1497">
            <v>0.92020801900000004</v>
          </cell>
          <cell r="L1497">
            <v>0</v>
          </cell>
          <cell r="M1497">
            <v>7.9791980999999998E-2</v>
          </cell>
          <cell r="U1497" t="str">
            <v>2019TX</v>
          </cell>
          <cell r="V1497">
            <v>6.9632535999999995E-2</v>
          </cell>
          <cell r="W1497">
            <v>3.4700662E-2</v>
          </cell>
          <cell r="X1497">
            <v>5.9917572000000002E-2</v>
          </cell>
          <cell r="Y1497">
            <v>0.54104196599999999</v>
          </cell>
          <cell r="Z1497">
            <v>0.29470726400000002</v>
          </cell>
          <cell r="AB1497" t="str">
            <v>2019TX</v>
          </cell>
          <cell r="AC1497">
            <v>0</v>
          </cell>
          <cell r="AD1497">
            <v>0</v>
          </cell>
          <cell r="AE1497">
            <v>0.12</v>
          </cell>
          <cell r="AF1497">
            <v>0.88</v>
          </cell>
        </row>
        <row r="1498">
          <cell r="B1498" t="str">
            <v>2019UT</v>
          </cell>
          <cell r="C1498">
            <v>0.51165623152884221</v>
          </cell>
          <cell r="D1498">
            <v>0.26394677259150623</v>
          </cell>
          <cell r="E1498">
            <v>1.3999177703951423E-2</v>
          </cell>
          <cell r="F1498">
            <v>0.17036034814732054</v>
          </cell>
          <cell r="G1498">
            <v>8.2880703819413898E-3</v>
          </cell>
          <cell r="H1498">
            <v>3.1749399646438282E-2</v>
          </cell>
          <cell r="J1498" t="str">
            <v>2019UT</v>
          </cell>
          <cell r="K1498">
            <v>0.97771275199999996</v>
          </cell>
          <cell r="L1498">
            <v>8.2880699999999998E-3</v>
          </cell>
          <cell r="M1498">
            <v>1.3999177999999999E-2</v>
          </cell>
          <cell r="U1498" t="str">
            <v>2019UT</v>
          </cell>
          <cell r="V1498">
            <v>8.6456620000000001E-3</v>
          </cell>
          <cell r="W1498">
            <v>5.5424775000000003E-2</v>
          </cell>
          <cell r="X1498">
            <v>0.260824848</v>
          </cell>
          <cell r="Y1498">
            <v>0.16982515300000001</v>
          </cell>
          <cell r="Z1498">
            <v>0.50527956200000002</v>
          </cell>
          <cell r="AB1498" t="str">
            <v>2019UT</v>
          </cell>
          <cell r="AC1498">
            <v>0</v>
          </cell>
          <cell r="AD1498">
            <v>0</v>
          </cell>
          <cell r="AE1498">
            <v>0.6</v>
          </cell>
          <cell r="AF1498">
            <v>0.4</v>
          </cell>
        </row>
        <row r="1499">
          <cell r="B1499" t="str">
            <v>2019VT</v>
          </cell>
          <cell r="C1499">
            <v>9.9973781354903396E-2</v>
          </cell>
          <cell r="D1499">
            <v>0.17387691112967565</v>
          </cell>
          <cell r="E1499">
            <v>0.44423932842492886</v>
          </cell>
          <cell r="F1499">
            <v>0.19448861844630186</v>
          </cell>
          <cell r="G1499">
            <v>6.6349172232328182E-2</v>
          </cell>
          <cell r="H1499">
            <v>2.1072188411862088E-2</v>
          </cell>
          <cell r="J1499" t="str">
            <v>2019VT</v>
          </cell>
          <cell r="K1499">
            <v>0.4894115</v>
          </cell>
          <cell r="L1499">
            <v>6.6349171999999998E-2</v>
          </cell>
          <cell r="M1499">
            <v>0.44423932799999999</v>
          </cell>
          <cell r="U1499" t="str">
            <v>2019VT</v>
          </cell>
          <cell r="V1499">
            <v>0.86037974299999997</v>
          </cell>
          <cell r="W1499">
            <v>6.1432910000000004E-3</v>
          </cell>
          <cell r="X1499">
            <v>3.8535191000000003E-2</v>
          </cell>
          <cell r="Y1499">
            <v>2.9459874E-2</v>
          </cell>
          <cell r="Z1499">
            <v>6.5481899999999996E-2</v>
          </cell>
          <cell r="AB1499" t="str">
            <v>2019VT</v>
          </cell>
          <cell r="AC1499">
            <v>0</v>
          </cell>
          <cell r="AD1499">
            <v>0</v>
          </cell>
          <cell r="AE1499">
            <v>0.05</v>
          </cell>
          <cell r="AF1499">
            <v>0.95</v>
          </cell>
        </row>
        <row r="1500">
          <cell r="B1500" t="str">
            <v>2019VA</v>
          </cell>
          <cell r="C1500">
            <v>4.4953509549794296E-2</v>
          </cell>
          <cell r="D1500">
            <v>9.339670802378576E-2</v>
          </cell>
          <cell r="E1500">
            <v>0.14844092890155638</v>
          </cell>
          <cell r="F1500">
            <v>0.12331550684410268</v>
          </cell>
          <cell r="G1500">
            <v>0.5737351926100378</v>
          </cell>
          <cell r="H1500">
            <v>1.6158154070723133E-2</v>
          </cell>
          <cell r="J1500" t="str">
            <v>2019VA</v>
          </cell>
          <cell r="K1500">
            <v>0.27782387799999997</v>
          </cell>
          <cell r="L1500">
            <v>0.57373519299999998</v>
          </cell>
          <cell r="M1500">
            <v>0.148440929</v>
          </cell>
          <cell r="U1500" t="str">
            <v>2019VA</v>
          </cell>
          <cell r="V1500">
            <v>3.3934871999999998E-2</v>
          </cell>
          <cell r="W1500">
            <v>3.6244844999999998E-2</v>
          </cell>
          <cell r="X1500">
            <v>6.8933026999999994E-2</v>
          </cell>
          <cell r="Y1500">
            <v>0.550040046</v>
          </cell>
          <cell r="Z1500">
            <v>0.31084721100000001</v>
          </cell>
          <cell r="AB1500" t="str">
            <v>2019VA</v>
          </cell>
          <cell r="AC1500">
            <v>0</v>
          </cell>
          <cell r="AD1500">
            <v>0</v>
          </cell>
          <cell r="AE1500">
            <v>0.05</v>
          </cell>
          <cell r="AF1500">
            <v>0.95</v>
          </cell>
        </row>
        <row r="1501">
          <cell r="B1501" t="str">
            <v>2019WA</v>
          </cell>
          <cell r="C1501">
            <v>0.48742079910802349</v>
          </cell>
          <cell r="D1501">
            <v>0.21961274491816118</v>
          </cell>
          <cell r="E1501">
            <v>0</v>
          </cell>
          <cell r="F1501">
            <v>0.11254281869932067</v>
          </cell>
          <cell r="G1501">
            <v>0.16627589127589129</v>
          </cell>
          <cell r="H1501">
            <v>1.4147745998603438E-2</v>
          </cell>
          <cell r="J1501" t="str">
            <v>2019WA</v>
          </cell>
          <cell r="K1501">
            <v>0.83372410900000005</v>
          </cell>
          <cell r="L1501">
            <v>0.16627589100000001</v>
          </cell>
          <cell r="M1501">
            <v>0</v>
          </cell>
          <cell r="U1501" t="str">
            <v>2019WA</v>
          </cell>
          <cell r="V1501">
            <v>0.37353494700000001</v>
          </cell>
          <cell r="W1501">
            <v>3.1263627000000002E-2</v>
          </cell>
          <cell r="X1501">
            <v>0.168896926</v>
          </cell>
          <cell r="Y1501">
            <v>0.119853577</v>
          </cell>
          <cell r="Z1501">
            <v>0.30645092299999999</v>
          </cell>
          <cell r="AB1501" t="str">
            <v>2019WA</v>
          </cell>
          <cell r="AC1501">
            <v>0</v>
          </cell>
          <cell r="AD1501">
            <v>0</v>
          </cell>
          <cell r="AE1501">
            <v>0.12</v>
          </cell>
          <cell r="AF1501">
            <v>0.88</v>
          </cell>
        </row>
        <row r="1502">
          <cell r="B1502" t="str">
            <v>2019WV</v>
          </cell>
          <cell r="C1502">
            <v>6.8751812683186322E-2</v>
          </cell>
          <cell r="D1502">
            <v>0.15888641455628993</v>
          </cell>
          <cell r="E1502">
            <v>0.44831485363191043</v>
          </cell>
          <cell r="F1502">
            <v>0.22633984896592482</v>
          </cell>
          <cell r="G1502">
            <v>7.0025492327769459E-2</v>
          </cell>
          <cell r="H1502">
            <v>2.7681577834919095E-2</v>
          </cell>
          <cell r="J1502" t="str">
            <v>2019WV</v>
          </cell>
          <cell r="K1502">
            <v>0.48165965399999999</v>
          </cell>
          <cell r="L1502">
            <v>7.0025491999999995E-2</v>
          </cell>
          <cell r="M1502">
            <v>0.44831485399999998</v>
          </cell>
          <cell r="U1502" t="str">
            <v>2019WV</v>
          </cell>
          <cell r="V1502">
            <v>0.57920187499999998</v>
          </cell>
          <cell r="W1502">
            <v>2.1256934000000002E-2</v>
          </cell>
          <cell r="X1502">
            <v>0.113169981</v>
          </cell>
          <cell r="Y1502">
            <v>7.9649016000000003E-2</v>
          </cell>
          <cell r="Z1502">
            <v>0.206722194</v>
          </cell>
          <cell r="AB1502" t="str">
            <v>2019WV</v>
          </cell>
          <cell r="AC1502">
            <v>0</v>
          </cell>
          <cell r="AD1502">
            <v>0</v>
          </cell>
          <cell r="AE1502">
            <v>0.05</v>
          </cell>
          <cell r="AF1502">
            <v>0.95</v>
          </cell>
        </row>
        <row r="1503">
          <cell r="B1503" t="str">
            <v>2019WI</v>
          </cell>
          <cell r="C1503">
            <v>0.12203432597344931</v>
          </cell>
          <cell r="D1503">
            <v>0.23555629715568294</v>
          </cell>
          <cell r="E1503">
            <v>0.11540173598404266</v>
          </cell>
          <cell r="F1503">
            <v>0.42032708364290838</v>
          </cell>
          <cell r="G1503">
            <v>6.8322420806473022E-2</v>
          </cell>
          <cell r="H1503">
            <v>3.8358136437443673E-2</v>
          </cell>
          <cell r="J1503" t="str">
            <v>2019WI</v>
          </cell>
          <cell r="K1503">
            <v>0.816275843</v>
          </cell>
          <cell r="L1503">
            <v>6.8322420999999994E-2</v>
          </cell>
          <cell r="M1503">
            <v>0.115401736</v>
          </cell>
          <cell r="U1503" t="str">
            <v>2019WI</v>
          </cell>
          <cell r="V1503">
            <v>0.12883246500000001</v>
          </cell>
          <cell r="W1503">
            <v>4.2564396999999997E-2</v>
          </cell>
          <cell r="X1503">
            <v>0.23585646199999999</v>
          </cell>
          <cell r="Y1503">
            <v>0.16970626599999999</v>
          </cell>
          <cell r="Z1503">
            <v>0.42304040999999998</v>
          </cell>
          <cell r="AB1503" t="str">
            <v>2019WI</v>
          </cell>
          <cell r="AC1503">
            <v>0</v>
          </cell>
          <cell r="AD1503">
            <v>0</v>
          </cell>
          <cell r="AE1503">
            <v>0.02</v>
          </cell>
          <cell r="AF1503">
            <v>0.98</v>
          </cell>
        </row>
        <row r="1504">
          <cell r="B1504" t="str">
            <v>2019WY</v>
          </cell>
          <cell r="C1504">
            <v>0.29508724522063295</v>
          </cell>
          <cell r="D1504">
            <v>0.23251729773373622</v>
          </cell>
          <cell r="E1504">
            <v>0.12161775942187937</v>
          </cell>
          <cell r="F1504">
            <v>0.2207502472879718</v>
          </cell>
          <cell r="G1504">
            <v>7.2002554085590281E-2</v>
          </cell>
          <cell r="H1504">
            <v>5.8024896250189507E-2</v>
          </cell>
          <cell r="J1504" t="str">
            <v>2019WY</v>
          </cell>
          <cell r="K1504">
            <v>0.80637968699999996</v>
          </cell>
          <cell r="L1504">
            <v>7.2002553999999996E-2</v>
          </cell>
          <cell r="M1504">
            <v>0.12161775900000001</v>
          </cell>
          <cell r="U1504" t="str">
            <v>2019WY</v>
          </cell>
          <cell r="V1504">
            <v>3.2109568999999998E-2</v>
          </cell>
          <cell r="W1504">
            <v>5.3596850000000001E-2</v>
          </cell>
          <cell r="X1504">
            <v>0.25521061499999997</v>
          </cell>
          <cell r="Y1504">
            <v>0.16752597599999999</v>
          </cell>
          <cell r="Z1504">
            <v>0.49155699000000003</v>
          </cell>
          <cell r="AB1504" t="str">
            <v>2019WY</v>
          </cell>
          <cell r="AC1504">
            <v>0</v>
          </cell>
          <cell r="AD1504">
            <v>0</v>
          </cell>
          <cell r="AE1504">
            <v>0.6</v>
          </cell>
          <cell r="AF1504">
            <v>0.4</v>
          </cell>
        </row>
        <row r="1505">
          <cell r="B1505" t="str">
            <v>2020AL</v>
          </cell>
          <cell r="C1505">
            <v>0.17233560131521788</v>
          </cell>
          <cell r="D1505">
            <v>9.7606154746872412E-2</v>
          </cell>
          <cell r="E1505">
            <v>0.16919346457207346</v>
          </cell>
          <cell r="F1505">
            <v>0.1056405325382436</v>
          </cell>
          <cell r="G1505">
            <v>0.45062509818962659</v>
          </cell>
          <cell r="H1505">
            <v>4.5991486379660445E-3</v>
          </cell>
          <cell r="J1505" t="str">
            <v>2020AL</v>
          </cell>
          <cell r="K1505">
            <v>0.38018143700000007</v>
          </cell>
          <cell r="L1505">
            <v>0.450625098</v>
          </cell>
          <cell r="M1505">
            <v>0.16919346499999999</v>
          </cell>
          <cell r="U1505" t="str">
            <v>2020AL</v>
          </cell>
          <cell r="V1505">
            <v>5.3114938E-2</v>
          </cell>
          <cell r="W1505">
            <v>3.6058960000000001E-2</v>
          </cell>
          <cell r="X1505">
            <v>8.4414527000000003E-2</v>
          </cell>
          <cell r="Y1505">
            <v>0.50961295299999998</v>
          </cell>
          <cell r="Z1505">
            <v>0.316798623</v>
          </cell>
          <cell r="AB1505" t="str">
            <v>2020AL</v>
          </cell>
          <cell r="AC1505">
            <v>0</v>
          </cell>
          <cell r="AD1505">
            <v>0</v>
          </cell>
          <cell r="AE1505">
            <v>0.41899999999999998</v>
          </cell>
          <cell r="AF1505">
            <v>0.58099999999999996</v>
          </cell>
        </row>
        <row r="1506">
          <cell r="B1506" t="str">
            <v>2020AK</v>
          </cell>
          <cell r="C1506">
            <v>0.30334484066413492</v>
          </cell>
          <cell r="D1506">
            <v>0.23769937716735701</v>
          </cell>
          <cell r="E1506">
            <v>6.205843688929364E-2</v>
          </cell>
          <cell r="F1506">
            <v>0.28363994741136878</v>
          </cell>
          <cell r="G1506">
            <v>3.6741064625999714E-2</v>
          </cell>
          <cell r="H1506">
            <v>7.6516333241846021E-2</v>
          </cell>
          <cell r="J1506" t="str">
            <v>2020AK</v>
          </cell>
          <cell r="K1506">
            <v>0.90120049800000002</v>
          </cell>
          <cell r="L1506">
            <v>3.6741065000000003E-2</v>
          </cell>
          <cell r="M1506">
            <v>6.2058437000000001E-2</v>
          </cell>
          <cell r="U1506" t="str">
            <v>2020AK</v>
          </cell>
          <cell r="V1506">
            <v>0.52632575500000001</v>
          </cell>
          <cell r="W1506">
            <v>2.0841667000000001E-2</v>
          </cell>
          <cell r="X1506">
            <v>0.130734092</v>
          </cell>
          <cell r="Y1506">
            <v>9.9945266000000005E-2</v>
          </cell>
          <cell r="Z1506">
            <v>0.22215322100000001</v>
          </cell>
          <cell r="AB1506" t="str">
            <v>2020AK</v>
          </cell>
          <cell r="AC1506">
            <v>0</v>
          </cell>
          <cell r="AD1506">
            <v>0</v>
          </cell>
          <cell r="AE1506">
            <v>0.25</v>
          </cell>
          <cell r="AF1506">
            <v>0.75</v>
          </cell>
        </row>
        <row r="1507">
          <cell r="B1507" t="str">
            <v>2020AZ</v>
          </cell>
          <cell r="C1507">
            <v>0.611220636654217</v>
          </cell>
          <cell r="D1507">
            <v>0.19572797693407004</v>
          </cell>
          <cell r="E1507">
            <v>9.865488383487428E-2</v>
          </cell>
          <cell r="F1507">
            <v>9.3890669243012675E-2</v>
          </cell>
          <cell r="G1507">
            <v>0</v>
          </cell>
          <cell r="H1507">
            <v>5.0583333382575558E-4</v>
          </cell>
          <cell r="J1507" t="str">
            <v>2020AZ</v>
          </cell>
          <cell r="K1507">
            <v>0.901345116</v>
          </cell>
          <cell r="L1507">
            <v>0</v>
          </cell>
          <cell r="M1507">
            <v>9.8654883999999998E-2</v>
          </cell>
          <cell r="U1507" t="str">
            <v>2020AZ</v>
          </cell>
          <cell r="V1507">
            <v>0.136592664</v>
          </cell>
          <cell r="W1507">
            <v>3.2171241000000003E-2</v>
          </cell>
          <cell r="X1507">
            <v>5.4596316999999998E-2</v>
          </cell>
          <cell r="Y1507">
            <v>0.50386894699999996</v>
          </cell>
          <cell r="Z1507">
            <v>0.27277083200000002</v>
          </cell>
          <cell r="AB1507" t="str">
            <v>2020AZ</v>
          </cell>
          <cell r="AC1507">
            <v>0</v>
          </cell>
          <cell r="AD1507">
            <v>0</v>
          </cell>
          <cell r="AE1507">
            <v>0.6</v>
          </cell>
          <cell r="AF1507">
            <v>0.4</v>
          </cell>
        </row>
        <row r="1508">
          <cell r="B1508" t="str">
            <v>2020AR</v>
          </cell>
          <cell r="C1508">
            <v>9.6391342329605903E-2</v>
          </cell>
          <cell r="D1508">
            <v>6.6955456596874061E-2</v>
          </cell>
          <cell r="E1508">
            <v>0.14888335780531528</v>
          </cell>
          <cell r="F1508">
            <v>0.11118804006195876</v>
          </cell>
          <cell r="G1508">
            <v>0.57111057531117648</v>
          </cell>
          <cell r="H1508">
            <v>5.4712278950695761E-3</v>
          </cell>
          <cell r="J1508" t="str">
            <v>2020AR</v>
          </cell>
          <cell r="K1508">
            <v>0.28000606700000008</v>
          </cell>
          <cell r="L1508">
            <v>0.57111057499999995</v>
          </cell>
          <cell r="M1508">
            <v>0.14888335799999999</v>
          </cell>
          <cell r="U1508" t="str">
            <v>2020AR</v>
          </cell>
          <cell r="V1508">
            <v>3.9459004999999998E-2</v>
          </cell>
          <cell r="W1508">
            <v>3.7640482000000003E-2</v>
          </cell>
          <cell r="X1508">
            <v>0.11914443199999999</v>
          </cell>
          <cell r="Y1508">
            <v>0.45827781299999998</v>
          </cell>
          <cell r="Z1508">
            <v>0.34547826799999998</v>
          </cell>
          <cell r="AB1508" t="str">
            <v>2020AR</v>
          </cell>
          <cell r="AC1508">
            <v>0</v>
          </cell>
          <cell r="AD1508">
            <v>0</v>
          </cell>
          <cell r="AE1508">
            <v>0</v>
          </cell>
          <cell r="AF1508">
            <v>1</v>
          </cell>
        </row>
        <row r="1509">
          <cell r="B1509" t="str">
            <v>2020CA</v>
          </cell>
          <cell r="C1509">
            <v>0.58081862489107328</v>
          </cell>
          <cell r="D1509">
            <v>0.20720345916912225</v>
          </cell>
          <cell r="E1509">
            <v>0.10801924509893834</v>
          </cell>
          <cell r="F1509">
            <v>9.2431120719429966E-2</v>
          </cell>
          <cell r="G1509">
            <v>9.2523577326630076E-3</v>
          </cell>
          <cell r="H1509">
            <v>2.2751923887731596E-3</v>
          </cell>
          <cell r="J1509" t="str">
            <v>2020CA</v>
          </cell>
          <cell r="K1509">
            <v>0.88272839699999994</v>
          </cell>
          <cell r="L1509">
            <v>9.2523580000000005E-3</v>
          </cell>
          <cell r="M1509">
            <v>0.108019245</v>
          </cell>
          <cell r="U1509" t="str">
            <v>2020CA</v>
          </cell>
          <cell r="V1509">
            <v>0.133799526</v>
          </cell>
          <cell r="W1509">
            <v>3.2941353E-2</v>
          </cell>
          <cell r="X1509">
            <v>7.5800703999999997E-2</v>
          </cell>
          <cell r="Y1509">
            <v>0.46867659099999998</v>
          </cell>
          <cell r="Z1509">
            <v>0.28878182499999999</v>
          </cell>
          <cell r="AB1509" t="str">
            <v>2020CA</v>
          </cell>
          <cell r="AC1509">
            <v>0</v>
          </cell>
          <cell r="AD1509">
            <v>0</v>
          </cell>
          <cell r="AE1509">
            <v>0.12</v>
          </cell>
          <cell r="AF1509">
            <v>0.88</v>
          </cell>
        </row>
        <row r="1510">
          <cell r="B1510" t="str">
            <v>2020CO</v>
          </cell>
          <cell r="C1510">
            <v>0.61667904285785091</v>
          </cell>
          <cell r="D1510">
            <v>0.24212893570430052</v>
          </cell>
          <cell r="E1510">
            <v>1.1092391745361967E-2</v>
          </cell>
          <cell r="F1510">
            <v>0.11516410971780773</v>
          </cell>
          <cell r="G1510">
            <v>6.5671374014829543E-3</v>
          </cell>
          <cell r="H1510">
            <v>8.3683825731959392E-3</v>
          </cell>
          <cell r="J1510" t="str">
            <v>2020CO</v>
          </cell>
          <cell r="K1510">
            <v>0.98234047099999999</v>
          </cell>
          <cell r="L1510">
            <v>6.5671369999999998E-3</v>
          </cell>
          <cell r="M1510">
            <v>1.1092392E-2</v>
          </cell>
          <cell r="U1510" t="str">
            <v>2020CO</v>
          </cell>
          <cell r="V1510">
            <v>2.3378138E-2</v>
          </cell>
          <cell r="W1510">
            <v>5.3880426000000002E-2</v>
          </cell>
          <cell r="X1510">
            <v>0.25772948099999998</v>
          </cell>
          <cell r="Y1510">
            <v>0.169703665</v>
          </cell>
          <cell r="Z1510">
            <v>0.49530828999999998</v>
          </cell>
          <cell r="AB1510" t="str">
            <v>2020CO</v>
          </cell>
          <cell r="AC1510">
            <v>0</v>
          </cell>
          <cell r="AD1510">
            <v>0</v>
          </cell>
          <cell r="AE1510">
            <v>0.6</v>
          </cell>
          <cell r="AF1510">
            <v>0.4</v>
          </cell>
        </row>
        <row r="1511">
          <cell r="B1511" t="str">
            <v>2020CT</v>
          </cell>
          <cell r="C1511">
            <v>0.11572842393252261</v>
          </cell>
          <cell r="D1511">
            <v>0.20119880615243968</v>
          </cell>
          <cell r="E1511">
            <v>0.43233999756560143</v>
          </cell>
          <cell r="F1511">
            <v>0.17234541515575838</v>
          </cell>
          <cell r="G1511">
            <v>5.5615402487630847E-2</v>
          </cell>
          <cell r="H1511">
            <v>2.2771954706046996E-2</v>
          </cell>
          <cell r="J1511" t="str">
            <v>2020CT</v>
          </cell>
          <cell r="K1511">
            <v>0.51204460000000007</v>
          </cell>
          <cell r="L1511">
            <v>5.5615402000000001E-2</v>
          </cell>
          <cell r="M1511">
            <v>0.432339998</v>
          </cell>
          <cell r="U1511" t="str">
            <v>2020CT</v>
          </cell>
          <cell r="V1511">
            <v>0.57363861400000005</v>
          </cell>
          <cell r="W1511">
            <v>1.8759900999999999E-2</v>
          </cell>
          <cell r="X1511">
            <v>0.117675743</v>
          </cell>
          <cell r="Y1511">
            <v>8.9962252000000006E-2</v>
          </cell>
          <cell r="Z1511">
            <v>0.19996348999999999</v>
          </cell>
          <cell r="AB1511" t="str">
            <v>2020CT</v>
          </cell>
          <cell r="AC1511">
            <v>0</v>
          </cell>
          <cell r="AD1511">
            <v>0</v>
          </cell>
          <cell r="AE1511">
            <v>0.05</v>
          </cell>
          <cell r="AF1511">
            <v>0.95</v>
          </cell>
        </row>
        <row r="1512">
          <cell r="B1512" t="str">
            <v>2020DE</v>
          </cell>
          <cell r="C1512">
            <v>0.10201653895343663</v>
          </cell>
          <cell r="D1512">
            <v>0.1910091905838856</v>
          </cell>
          <cell r="E1512">
            <v>0.43707162937473454</v>
          </cell>
          <cell r="F1512">
            <v>0.18637975788177577</v>
          </cell>
          <cell r="G1512">
            <v>5.9883562349419175E-2</v>
          </cell>
          <cell r="H1512">
            <v>2.3639320856748244E-2</v>
          </cell>
          <cell r="J1512" t="str">
            <v>2020DE</v>
          </cell>
          <cell r="K1512">
            <v>0.50304480899999993</v>
          </cell>
          <cell r="L1512">
            <v>5.9883562000000001E-2</v>
          </cell>
          <cell r="M1512">
            <v>0.43707162900000002</v>
          </cell>
          <cell r="U1512" t="str">
            <v>2020DE</v>
          </cell>
          <cell r="V1512">
            <v>0.120253529</v>
          </cell>
          <cell r="W1512">
            <v>4.1631153999999997E-2</v>
          </cell>
          <cell r="X1512">
            <v>0.23964419100000001</v>
          </cell>
          <cell r="Y1512">
            <v>0.17588547500000001</v>
          </cell>
          <cell r="Z1512">
            <v>0.42258565100000001</v>
          </cell>
          <cell r="AB1512" t="str">
            <v>2020DE</v>
          </cell>
          <cell r="AC1512">
            <v>0</v>
          </cell>
          <cell r="AD1512">
            <v>0</v>
          </cell>
          <cell r="AE1512">
            <v>0.05</v>
          </cell>
          <cell r="AF1512">
            <v>0.95</v>
          </cell>
        </row>
        <row r="1513">
          <cell r="B1513" t="str">
            <v>2020FL</v>
          </cell>
          <cell r="C1513">
            <v>0.38654865924430459</v>
          </cell>
          <cell r="D1513">
            <v>0.14503983167997814</v>
          </cell>
          <cell r="E1513">
            <v>0.21616400084919535</v>
          </cell>
          <cell r="F1513">
            <v>7.8997496757044303E-2</v>
          </cell>
          <cell r="G1513">
            <v>0.17198217725399226</v>
          </cell>
          <cell r="H1513">
            <v>1.2678342154852779E-3</v>
          </cell>
          <cell r="J1513" t="str">
            <v>2020FL</v>
          </cell>
          <cell r="K1513">
            <v>0.61185382200000005</v>
          </cell>
          <cell r="L1513">
            <v>0.17198217700000001</v>
          </cell>
          <cell r="M1513">
            <v>0.21616400099999999</v>
          </cell>
          <cell r="U1513" t="str">
            <v>2020FL</v>
          </cell>
          <cell r="V1513">
            <v>0.71166924399999998</v>
          </cell>
          <cell r="W1513">
            <v>1.2686553E-2</v>
          </cell>
          <cell r="X1513">
            <v>7.9579288999999998E-2</v>
          </cell>
          <cell r="Y1513">
            <v>6.0837789000000003E-2</v>
          </cell>
          <cell r="Z1513">
            <v>0.135227124</v>
          </cell>
          <cell r="AB1513" t="str">
            <v>2020FL</v>
          </cell>
          <cell r="AC1513">
            <v>0</v>
          </cell>
          <cell r="AD1513">
            <v>0</v>
          </cell>
          <cell r="AE1513">
            <v>0.41899999999999998</v>
          </cell>
          <cell r="AF1513">
            <v>0.58099999999999996</v>
          </cell>
        </row>
        <row r="1514">
          <cell r="B1514" t="str">
            <v>2020GA</v>
          </cell>
          <cell r="C1514">
            <v>0.20823216155586291</v>
          </cell>
          <cell r="D1514">
            <v>0.11033206176717186</v>
          </cell>
          <cell r="E1514">
            <v>0.17733204084631207</v>
          </cell>
          <cell r="F1514">
            <v>9.7862793659120595E-2</v>
          </cell>
          <cell r="G1514">
            <v>0.40234468997942996</v>
          </cell>
          <cell r="H1514">
            <v>3.8962521921025758E-3</v>
          </cell>
          <cell r="J1514" t="str">
            <v>2020GA</v>
          </cell>
          <cell r="K1514">
            <v>0.42032326900000005</v>
          </cell>
          <cell r="L1514">
            <v>0.40234469</v>
          </cell>
          <cell r="M1514">
            <v>0.177332041</v>
          </cell>
          <cell r="U1514" t="str">
            <v>2020GA</v>
          </cell>
          <cell r="V1514">
            <v>7.8133266000000007E-2</v>
          </cell>
          <cell r="W1514">
            <v>3.5587817000000001E-2</v>
          </cell>
          <cell r="X1514">
            <v>9.7388838000000005E-2</v>
          </cell>
          <cell r="Y1514">
            <v>0.46952270200000001</v>
          </cell>
          <cell r="Z1514">
            <v>0.31936737799999998</v>
          </cell>
          <cell r="AB1514" t="str">
            <v>2020GA</v>
          </cell>
          <cell r="AC1514">
            <v>0</v>
          </cell>
          <cell r="AD1514">
            <v>0</v>
          </cell>
          <cell r="AE1514">
            <v>0.41899999999999998</v>
          </cell>
          <cell r="AF1514">
            <v>0.58099999999999996</v>
          </cell>
        </row>
        <row r="1515">
          <cell r="B1515" t="str">
            <v>2020HI</v>
          </cell>
          <cell r="C1515">
            <v>0.67137224197860923</v>
          </cell>
          <cell r="D1515">
            <v>0.21100034068527662</v>
          </cell>
          <cell r="E1515">
            <v>0</v>
          </cell>
          <cell r="F1515">
            <v>0.10820426646618357</v>
          </cell>
          <cell r="G1515">
            <v>7.5112148308577572E-3</v>
          </cell>
          <cell r="H1515">
            <v>1.9119360390725836E-3</v>
          </cell>
          <cell r="J1515" t="str">
            <v>2020HI</v>
          </cell>
          <cell r="K1515">
            <v>0.99248878500000004</v>
          </cell>
          <cell r="L1515">
            <v>7.5112149999999999E-3</v>
          </cell>
          <cell r="M1515">
            <v>0</v>
          </cell>
          <cell r="U1515" t="str">
            <v>2020HI</v>
          </cell>
          <cell r="V1515">
            <v>0.23216878499999999</v>
          </cell>
          <cell r="W1515">
            <v>3.2904865999999998E-2</v>
          </cell>
          <cell r="X1515">
            <v>0.18414778700000001</v>
          </cell>
          <cell r="Y1515">
            <v>0.21064765399999999</v>
          </cell>
          <cell r="Z1515">
            <v>0.34013090899999998</v>
          </cell>
          <cell r="AB1515" t="str">
            <v>2020HI</v>
          </cell>
          <cell r="AC1515">
            <v>0</v>
          </cell>
          <cell r="AD1515">
            <v>0</v>
          </cell>
          <cell r="AE1515">
            <v>0.25</v>
          </cell>
          <cell r="AF1515">
            <v>0.75</v>
          </cell>
        </row>
        <row r="1516">
          <cell r="B1516" t="str">
            <v>2020ID</v>
          </cell>
          <cell r="C1516">
            <v>0.62850843440764703</v>
          </cell>
          <cell r="D1516">
            <v>0.2329683972033782</v>
          </cell>
          <cell r="E1516">
            <v>6.4436683947772669E-3</v>
          </cell>
          <cell r="F1516">
            <v>0.11961222721284216</v>
          </cell>
          <cell r="G1516">
            <v>3.8149081541218642E-3</v>
          </cell>
          <cell r="H1516">
            <v>8.6523646272333287E-3</v>
          </cell>
          <cell r="J1516" t="str">
            <v>2020ID</v>
          </cell>
          <cell r="K1516">
            <v>0.98974142399999998</v>
          </cell>
          <cell r="L1516">
            <v>3.8149080000000001E-3</v>
          </cell>
          <cell r="M1516">
            <v>6.4436679999999996E-3</v>
          </cell>
          <cell r="U1516" t="str">
            <v>2020ID</v>
          </cell>
          <cell r="V1516">
            <v>0.460837895</v>
          </cell>
          <cell r="W1516">
            <v>2.6974237000000002E-2</v>
          </cell>
          <cell r="X1516">
            <v>0.14528671200000001</v>
          </cell>
          <cell r="Y1516">
            <v>0.102926191</v>
          </cell>
          <cell r="Z1516">
            <v>0.26397496599999998</v>
          </cell>
          <cell r="AB1516" t="str">
            <v>2020ID</v>
          </cell>
          <cell r="AC1516">
            <v>0</v>
          </cell>
          <cell r="AD1516">
            <v>0</v>
          </cell>
          <cell r="AE1516">
            <v>0.6</v>
          </cell>
          <cell r="AF1516">
            <v>0.4</v>
          </cell>
        </row>
        <row r="1517">
          <cell r="B1517" t="str">
            <v>2020IL</v>
          </cell>
          <cell r="C1517">
            <v>0.13175283144497188</v>
          </cell>
          <cell r="D1517">
            <v>0.26046159534668961</v>
          </cell>
          <cell r="E1517">
            <v>8.1383349234931596E-2</v>
          </cell>
          <cell r="F1517">
            <v>0.43207247933210829</v>
          </cell>
          <cell r="G1517">
            <v>4.8182181885357514E-2</v>
          </cell>
          <cell r="H1517">
            <v>4.6147562755941125E-2</v>
          </cell>
          <cell r="J1517" t="str">
            <v>2020IL</v>
          </cell>
          <cell r="K1517">
            <v>0.87043446899999999</v>
          </cell>
          <cell r="L1517">
            <v>4.8182181999999997E-2</v>
          </cell>
          <cell r="M1517">
            <v>8.1383348999999994E-2</v>
          </cell>
          <cell r="U1517" t="str">
            <v>2020IL</v>
          </cell>
          <cell r="V1517">
            <v>2.0186552999999999E-2</v>
          </cell>
          <cell r="W1517">
            <v>4.5739502000000001E-2</v>
          </cell>
          <cell r="X1517">
            <v>0.28028242399999997</v>
          </cell>
          <cell r="Y1517">
            <v>0.149587944</v>
          </cell>
          <cell r="Z1517">
            <v>0.50420357699999996</v>
          </cell>
          <cell r="AB1517" t="str">
            <v>2020IL</v>
          </cell>
          <cell r="AC1517">
            <v>0</v>
          </cell>
          <cell r="AD1517">
            <v>0</v>
          </cell>
          <cell r="AE1517">
            <v>0.02</v>
          </cell>
          <cell r="AF1517">
            <v>0.98</v>
          </cell>
        </row>
        <row r="1518">
          <cell r="B1518" t="str">
            <v>2020IN</v>
          </cell>
          <cell r="C1518">
            <v>0.16189917384296076</v>
          </cell>
          <cell r="D1518">
            <v>0.24163212738244233</v>
          </cell>
          <cell r="E1518">
            <v>0.13392208737361183</v>
          </cell>
          <cell r="F1518">
            <v>0.3491044693998876</v>
          </cell>
          <cell r="G1518">
            <v>7.9287205957511472E-2</v>
          </cell>
          <cell r="H1518">
            <v>3.4154936043586021E-2</v>
          </cell>
          <cell r="J1518" t="str">
            <v>2020IN</v>
          </cell>
          <cell r="K1518">
            <v>0.78679070699999998</v>
          </cell>
          <cell r="L1518">
            <v>7.9287205999999999E-2</v>
          </cell>
          <cell r="M1518">
            <v>0.133922087</v>
          </cell>
          <cell r="U1518" t="str">
            <v>2020IN</v>
          </cell>
          <cell r="V1518">
            <v>2.5489210000000002E-2</v>
          </cell>
          <cell r="W1518">
            <v>4.5536079E-2</v>
          </cell>
          <cell r="X1518">
            <v>0.27893099599999999</v>
          </cell>
          <cell r="Y1518">
            <v>0.14781887399999999</v>
          </cell>
          <cell r="Z1518">
            <v>0.50222484099999998</v>
          </cell>
          <cell r="AB1518" t="str">
            <v>2020IN</v>
          </cell>
          <cell r="AC1518">
            <v>0</v>
          </cell>
          <cell r="AD1518">
            <v>0</v>
          </cell>
          <cell r="AE1518">
            <v>0</v>
          </cell>
          <cell r="AF1518">
            <v>1</v>
          </cell>
        </row>
        <row r="1519">
          <cell r="B1519" t="str">
            <v>2020IA</v>
          </cell>
          <cell r="C1519">
            <v>0.13792614664225575</v>
          </cell>
          <cell r="D1519">
            <v>0.25047757969635848</v>
          </cell>
          <cell r="E1519">
            <v>0.10477197231415941</v>
          </cell>
          <cell r="F1519">
            <v>0.40507493125352922</v>
          </cell>
          <cell r="G1519">
            <v>6.2029177638731184E-2</v>
          </cell>
          <cell r="H1519">
            <v>3.9720192454965969E-2</v>
          </cell>
          <cell r="J1519" t="str">
            <v>2020IA</v>
          </cell>
          <cell r="K1519">
            <v>0.83319885000000005</v>
          </cell>
          <cell r="L1519">
            <v>6.2029177999999997E-2</v>
          </cell>
          <cell r="M1519">
            <v>0.104771972</v>
          </cell>
          <cell r="U1519" t="str">
            <v>2020IA</v>
          </cell>
          <cell r="V1519">
            <v>9.6502570000000006E-3</v>
          </cell>
          <cell r="W1519">
            <v>3.8739974000000003E-2</v>
          </cell>
          <cell r="X1519">
            <v>0.12067557499999999</v>
          </cell>
          <cell r="Y1519">
            <v>0.47629315999999999</v>
          </cell>
          <cell r="Z1519">
            <v>0.35464103499999999</v>
          </cell>
          <cell r="AB1519" t="str">
            <v>2020IA</v>
          </cell>
          <cell r="AC1519">
            <v>0</v>
          </cell>
          <cell r="AD1519">
            <v>0</v>
          </cell>
          <cell r="AE1519">
            <v>0</v>
          </cell>
          <cell r="AF1519">
            <v>1</v>
          </cell>
        </row>
        <row r="1520">
          <cell r="B1520" t="str">
            <v>2020KS</v>
          </cell>
          <cell r="C1520">
            <v>0.28758404285910905</v>
          </cell>
          <cell r="D1520">
            <v>0.32607606753917184</v>
          </cell>
          <cell r="E1520">
            <v>5.1050547933917619E-2</v>
          </cell>
          <cell r="F1520">
            <v>0.27762124338847843</v>
          </cell>
          <cell r="G1520">
            <v>3.0223956239483565E-2</v>
          </cell>
          <cell r="H1520">
            <v>2.7444142039839463E-2</v>
          </cell>
          <cell r="J1520" t="str">
            <v>2020KS</v>
          </cell>
          <cell r="K1520">
            <v>0.91872549599999997</v>
          </cell>
          <cell r="L1520">
            <v>3.0223956E-2</v>
          </cell>
          <cell r="M1520">
            <v>5.1050548000000001E-2</v>
          </cell>
          <cell r="U1520" t="str">
            <v>2020KS</v>
          </cell>
          <cell r="V1520">
            <v>2.3647662E-2</v>
          </cell>
          <cell r="W1520">
            <v>4.6272377000000003E-2</v>
          </cell>
          <cell r="X1520">
            <v>0.28189652199999998</v>
          </cell>
          <cell r="Y1520">
            <v>0.13395533500000001</v>
          </cell>
          <cell r="Z1520">
            <v>0.51422810299999999</v>
          </cell>
          <cell r="AB1520" t="str">
            <v>2020KS</v>
          </cell>
          <cell r="AC1520">
            <v>0</v>
          </cell>
          <cell r="AD1520">
            <v>0</v>
          </cell>
          <cell r="AE1520">
            <v>0.02</v>
          </cell>
          <cell r="AF1520">
            <v>0.98</v>
          </cell>
        </row>
        <row r="1521">
          <cell r="B1521" t="str">
            <v>2020KY</v>
          </cell>
          <cell r="C1521">
            <v>2.3305602928070858E-2</v>
          </cell>
          <cell r="D1521">
            <v>6.2885861766289422E-2</v>
          </cell>
          <cell r="E1521">
            <v>0.14165738300711325</v>
          </cell>
          <cell r="F1521">
            <v>0.14315421990856123</v>
          </cell>
          <cell r="G1521">
            <v>0.61397716539009373</v>
          </cell>
          <cell r="H1521">
            <v>1.5019766999871505E-2</v>
          </cell>
          <cell r="J1521" t="str">
            <v>2020KY</v>
          </cell>
          <cell r="K1521">
            <v>0.24436545200000004</v>
          </cell>
          <cell r="L1521">
            <v>0.61397716499999999</v>
          </cell>
          <cell r="M1521">
            <v>0.141657383</v>
          </cell>
          <cell r="U1521" t="str">
            <v>2020KY</v>
          </cell>
          <cell r="V1521">
            <v>4.9184704000000003E-2</v>
          </cell>
          <cell r="W1521">
            <v>3.7321891000000003E-2</v>
          </cell>
          <cell r="X1521">
            <v>0.11991215400000001</v>
          </cell>
          <cell r="Y1521">
            <v>0.45018075899999999</v>
          </cell>
          <cell r="Z1521">
            <v>0.34340049099999997</v>
          </cell>
          <cell r="AB1521" t="str">
            <v>2020KY</v>
          </cell>
          <cell r="AC1521">
            <v>0</v>
          </cell>
          <cell r="AD1521">
            <v>0</v>
          </cell>
          <cell r="AE1521">
            <v>0.05</v>
          </cell>
          <cell r="AF1521">
            <v>0.95</v>
          </cell>
        </row>
        <row r="1522">
          <cell r="B1522" t="str">
            <v>2020LA</v>
          </cell>
          <cell r="C1522">
            <v>8.7696493950327165E-2</v>
          </cell>
          <cell r="D1522">
            <v>6.4637521135916851E-2</v>
          </cell>
          <cell r="E1522">
            <v>0.14461730665558523</v>
          </cell>
          <cell r="F1522">
            <v>0.10160244529023774</v>
          </cell>
          <cell r="G1522">
            <v>0.59641803499629376</v>
          </cell>
          <cell r="H1522">
            <v>5.0281979716392446E-3</v>
          </cell>
          <cell r="J1522" t="str">
            <v>2020LA</v>
          </cell>
          <cell r="K1522">
            <v>0.25896465800000001</v>
          </cell>
          <cell r="L1522">
            <v>0.59641803500000001</v>
          </cell>
          <cell r="M1522">
            <v>0.144617307</v>
          </cell>
          <cell r="U1522" t="str">
            <v>2020LA</v>
          </cell>
          <cell r="V1522">
            <v>0.53551704700000002</v>
          </cell>
          <cell r="W1522">
            <v>2.0437250000000001E-2</v>
          </cell>
          <cell r="X1522">
            <v>0.12819729499999999</v>
          </cell>
          <cell r="Y1522">
            <v>9.8005903000000005E-2</v>
          </cell>
          <cell r="Z1522">
            <v>0.21784250499999999</v>
          </cell>
          <cell r="AB1522" t="str">
            <v>2020LA</v>
          </cell>
          <cell r="AC1522">
            <v>0</v>
          </cell>
          <cell r="AD1522">
            <v>0</v>
          </cell>
          <cell r="AE1522">
            <v>0.6</v>
          </cell>
          <cell r="AF1522">
            <v>0.4</v>
          </cell>
        </row>
        <row r="1523">
          <cell r="B1523" t="str">
            <v>2020ME</v>
          </cell>
          <cell r="C1523">
            <v>9.3713015315557757E-2</v>
          </cell>
          <cell r="D1523">
            <v>0.17210096338216258</v>
          </cell>
          <cell r="E1523">
            <v>0.44837154081607639</v>
          </cell>
          <cell r="F1523">
            <v>0.19633313267932656</v>
          </cell>
          <cell r="G1523">
            <v>7.0076626899074845E-2</v>
          </cell>
          <cell r="H1523">
            <v>1.9404720907801824E-2</v>
          </cell>
          <cell r="J1523" t="str">
            <v>2020ME</v>
          </cell>
          <cell r="K1523">
            <v>0.48155183200000007</v>
          </cell>
          <cell r="L1523">
            <v>7.0076627000000002E-2</v>
          </cell>
          <cell r="M1523">
            <v>0.44837154099999998</v>
          </cell>
          <cell r="U1523" t="str">
            <v>2020ME</v>
          </cell>
          <cell r="V1523">
            <v>0.72920202000000001</v>
          </cell>
          <cell r="W1523">
            <v>1.1915111000000001E-2</v>
          </cell>
          <cell r="X1523">
            <v>7.4740241999999998E-2</v>
          </cell>
          <cell r="Y1523">
            <v>5.7138373999999999E-2</v>
          </cell>
          <cell r="Z1523">
            <v>0.12700425300000001</v>
          </cell>
          <cell r="AB1523" t="str">
            <v>2020ME</v>
          </cell>
          <cell r="AC1523">
            <v>0</v>
          </cell>
          <cell r="AD1523">
            <v>0</v>
          </cell>
          <cell r="AE1523">
            <v>0.05</v>
          </cell>
          <cell r="AF1523">
            <v>0.95</v>
          </cell>
        </row>
        <row r="1524">
          <cell r="B1524" t="str">
            <v>2020MD</v>
          </cell>
          <cell r="C1524">
            <v>7.6488535055593554E-2</v>
          </cell>
          <cell r="D1524">
            <v>0.15472472257238745</v>
          </cell>
          <cell r="E1524">
            <v>0.44380834258126728</v>
          </cell>
          <cell r="F1524">
            <v>0.22861605738914034</v>
          </cell>
          <cell r="G1524">
            <v>6.5960402236453913E-2</v>
          </cell>
          <cell r="H1524">
            <v>3.0401940165157418E-2</v>
          </cell>
          <cell r="J1524" t="str">
            <v>2020MD</v>
          </cell>
          <cell r="K1524">
            <v>0.49023125499999998</v>
          </cell>
          <cell r="L1524">
            <v>6.5960402000000001E-2</v>
          </cell>
          <cell r="M1524">
            <v>0.44380834299999999</v>
          </cell>
          <cell r="U1524" t="str">
            <v>2020MD</v>
          </cell>
          <cell r="V1524">
            <v>0.21140679400000001</v>
          </cell>
          <cell r="W1524">
            <v>3.7602905999999998E-2</v>
          </cell>
          <cell r="X1524">
            <v>0.214504853</v>
          </cell>
          <cell r="Y1524">
            <v>0.15671048400000001</v>
          </cell>
          <cell r="Z1524">
            <v>0.37977496300000002</v>
          </cell>
          <cell r="AB1524" t="str">
            <v>2020MD</v>
          </cell>
          <cell r="AC1524">
            <v>0</v>
          </cell>
          <cell r="AD1524">
            <v>0</v>
          </cell>
          <cell r="AE1524">
            <v>0.05</v>
          </cell>
          <cell r="AF1524">
            <v>0.95</v>
          </cell>
        </row>
        <row r="1525">
          <cell r="B1525" t="str">
            <v>2020MA</v>
          </cell>
          <cell r="C1525">
            <v>6.1305440163427552E-2</v>
          </cell>
          <cell r="D1525">
            <v>0.14874705508142777</v>
          </cell>
          <cell r="E1525">
            <v>0.45216403673004657</v>
          </cell>
          <cell r="F1525">
            <v>0.23617268276189021</v>
          </cell>
          <cell r="G1525">
            <v>7.3497640935872632E-2</v>
          </cell>
          <cell r="H1525">
            <v>2.8113144327335336E-2</v>
          </cell>
          <cell r="J1525" t="str">
            <v>2020MA</v>
          </cell>
          <cell r="K1525">
            <v>0.47433832199999992</v>
          </cell>
          <cell r="L1525">
            <v>7.3497641000000002E-2</v>
          </cell>
          <cell r="M1525">
            <v>0.45216403700000002</v>
          </cell>
          <cell r="U1525" t="str">
            <v>2020MA</v>
          </cell>
          <cell r="V1525">
            <v>0.31419575799999999</v>
          </cell>
          <cell r="W1525">
            <v>3.0175387000000001E-2</v>
          </cell>
          <cell r="X1525">
            <v>0.18928197099999999</v>
          </cell>
          <cell r="Y1525">
            <v>0.14470469499999999</v>
          </cell>
          <cell r="Z1525">
            <v>0.32164218900000002</v>
          </cell>
          <cell r="AB1525" t="str">
            <v>2020MA</v>
          </cell>
          <cell r="AC1525">
            <v>0</v>
          </cell>
          <cell r="AD1525">
            <v>0</v>
          </cell>
          <cell r="AE1525">
            <v>0.05</v>
          </cell>
          <cell r="AF1525">
            <v>0.95</v>
          </cell>
        </row>
        <row r="1526">
          <cell r="B1526" t="str">
            <v>2020MI</v>
          </cell>
          <cell r="C1526">
            <v>0.21592740095911189</v>
          </cell>
          <cell r="D1526">
            <v>0.33044604004991018</v>
          </cell>
          <cell r="E1526">
            <v>5.8998863632555826E-2</v>
          </cell>
          <cell r="F1526">
            <v>0.32074430847532459</v>
          </cell>
          <cell r="G1526">
            <v>3.4929675483950956E-2</v>
          </cell>
          <cell r="H1526">
            <v>3.8953711399146676E-2</v>
          </cell>
          <cell r="J1526" t="str">
            <v>2020MI</v>
          </cell>
          <cell r="K1526">
            <v>0.90607146100000002</v>
          </cell>
          <cell r="L1526">
            <v>3.4929675E-2</v>
          </cell>
          <cell r="M1526">
            <v>5.8998863999999998E-2</v>
          </cell>
          <cell r="U1526" t="str">
            <v>2020MI</v>
          </cell>
          <cell r="V1526">
            <v>4.5127237000000001E-2</v>
          </cell>
          <cell r="W1526">
            <v>5.0500046999999999E-2</v>
          </cell>
          <cell r="X1526">
            <v>0.254352099</v>
          </cell>
          <cell r="Y1526">
            <v>0.17319266699999999</v>
          </cell>
          <cell r="Z1526">
            <v>0.47682794899999997</v>
          </cell>
          <cell r="AB1526" t="str">
            <v>2020MI</v>
          </cell>
          <cell r="AC1526">
            <v>0</v>
          </cell>
          <cell r="AD1526">
            <v>0</v>
          </cell>
          <cell r="AE1526">
            <v>0.02</v>
          </cell>
          <cell r="AF1526">
            <v>0.98</v>
          </cell>
        </row>
        <row r="1527">
          <cell r="B1527" t="str">
            <v>2020MN</v>
          </cell>
          <cell r="C1527">
            <v>0.11559741536790068</v>
          </cell>
          <cell r="D1527">
            <v>0.23915415867765383</v>
          </cell>
          <cell r="E1527">
            <v>0.10052931481156221</v>
          </cell>
          <cell r="F1527">
            <v>0.43822851849088174</v>
          </cell>
          <cell r="G1527">
            <v>5.9517355535203494E-2</v>
          </cell>
          <cell r="H1527">
            <v>4.697323711679801E-2</v>
          </cell>
          <cell r="J1527" t="str">
            <v>2020MN</v>
          </cell>
          <cell r="K1527">
            <v>0.83995332899999997</v>
          </cell>
          <cell r="L1527">
            <v>5.9517356E-2</v>
          </cell>
          <cell r="M1527">
            <v>0.10052931499999999</v>
          </cell>
          <cell r="U1527" t="str">
            <v>2020MN</v>
          </cell>
          <cell r="V1527">
            <v>1.5145339000000001E-2</v>
          </cell>
          <cell r="W1527">
            <v>5.1986831999999997E-2</v>
          </cell>
          <cell r="X1527">
            <v>0.262445557</v>
          </cell>
          <cell r="Y1527">
            <v>0.17896024199999999</v>
          </cell>
          <cell r="Z1527">
            <v>0.49146202900000002</v>
          </cell>
          <cell r="AB1527" t="str">
            <v>2020MN</v>
          </cell>
          <cell r="AC1527">
            <v>0</v>
          </cell>
          <cell r="AD1527">
            <v>0</v>
          </cell>
          <cell r="AE1527">
            <v>0</v>
          </cell>
          <cell r="AF1527">
            <v>1</v>
          </cell>
        </row>
        <row r="1528">
          <cell r="B1528" t="str">
            <v>2020MS</v>
          </cell>
          <cell r="C1528">
            <v>0.10416334210611014</v>
          </cell>
          <cell r="D1528">
            <v>7.2829933678422776E-2</v>
          </cell>
          <cell r="E1528">
            <v>0.14929269604113307</v>
          </cell>
          <cell r="F1528">
            <v>0.10019278631941281</v>
          </cell>
          <cell r="G1528">
            <v>0.56868226150598644</v>
          </cell>
          <cell r="H1528">
            <v>4.838980348934833E-3</v>
          </cell>
          <cell r="J1528" t="str">
            <v>2020MS</v>
          </cell>
          <cell r="K1528">
            <v>0.28202504199999989</v>
          </cell>
          <cell r="L1528">
            <v>0.56868226200000005</v>
          </cell>
          <cell r="M1528">
            <v>0.149292696</v>
          </cell>
          <cell r="U1528" t="str">
            <v>2020MS</v>
          </cell>
          <cell r="V1528">
            <v>2.1100625000000001E-2</v>
          </cell>
          <cell r="W1528">
            <v>3.6418512E-2</v>
          </cell>
          <cell r="X1528">
            <v>6.0129593000000002E-2</v>
          </cell>
          <cell r="Y1528">
            <v>0.574366987</v>
          </cell>
          <cell r="Z1528">
            <v>0.30798428300000003</v>
          </cell>
          <cell r="AB1528" t="str">
            <v>2020MS</v>
          </cell>
          <cell r="AC1528">
            <v>0</v>
          </cell>
          <cell r="AD1528">
            <v>0</v>
          </cell>
          <cell r="AE1528">
            <v>0.6</v>
          </cell>
          <cell r="AF1528">
            <v>0.4</v>
          </cell>
        </row>
        <row r="1529">
          <cell r="B1529" t="str">
            <v>2020MO</v>
          </cell>
          <cell r="C1529">
            <v>6.4925479522277466E-2</v>
          </cell>
          <cell r="D1529">
            <v>0.18170303563698134</v>
          </cell>
          <cell r="E1529">
            <v>0.14337282997597614</v>
          </cell>
          <cell r="F1529">
            <v>0.47880340852502545</v>
          </cell>
          <cell r="G1529">
            <v>8.4882421727070459E-2</v>
          </cell>
          <cell r="H1529">
            <v>4.6312824612669105E-2</v>
          </cell>
          <cell r="J1529" t="str">
            <v>2020MO</v>
          </cell>
          <cell r="K1529">
            <v>0.77174474799999992</v>
          </cell>
          <cell r="L1529">
            <v>8.4882421999999999E-2</v>
          </cell>
          <cell r="M1529">
            <v>0.14337283000000001</v>
          </cell>
          <cell r="U1529" t="str">
            <v>2020MO</v>
          </cell>
          <cell r="V1529">
            <v>2.998994E-2</v>
          </cell>
          <cell r="W1529">
            <v>4.5757142000000001E-2</v>
          </cell>
          <cell r="X1529">
            <v>0.27926039899999999</v>
          </cell>
          <cell r="Y1529">
            <v>0.13775391300000001</v>
          </cell>
          <cell r="Z1529">
            <v>0.50723860600000004</v>
          </cell>
          <cell r="AB1529" t="str">
            <v>2020MO</v>
          </cell>
          <cell r="AC1529">
            <v>0</v>
          </cell>
          <cell r="AD1529">
            <v>0</v>
          </cell>
          <cell r="AE1529">
            <v>0</v>
          </cell>
          <cell r="AF1529">
            <v>1</v>
          </cell>
        </row>
        <row r="1530">
          <cell r="B1530" t="str">
            <v>2020MT</v>
          </cell>
          <cell r="C1530">
            <v>0.35597781750083307</v>
          </cell>
          <cell r="D1530">
            <v>0.25924389885240834</v>
          </cell>
          <cell r="E1530">
            <v>4.3797789125912777E-2</v>
          </cell>
          <cell r="F1530">
            <v>0.25058080537727367</v>
          </cell>
          <cell r="G1530">
            <v>2.5930034358127463E-2</v>
          </cell>
          <cell r="H1530">
            <v>6.4469654785444572E-2</v>
          </cell>
          <cell r="J1530" t="str">
            <v>2020MT</v>
          </cell>
          <cell r="K1530">
            <v>0.93027217699999998</v>
          </cell>
          <cell r="L1530">
            <v>2.5930034000000001E-2</v>
          </cell>
          <cell r="M1530">
            <v>4.3797788999999997E-2</v>
          </cell>
          <cell r="U1530" t="str">
            <v>2020MT</v>
          </cell>
          <cell r="V1530">
            <v>6.0520032000000001E-2</v>
          </cell>
          <cell r="W1530">
            <v>5.1214043000000001E-2</v>
          </cell>
          <cell r="X1530">
            <v>0.24859647000000001</v>
          </cell>
          <cell r="Y1530">
            <v>0.16530719099999999</v>
          </cell>
          <cell r="Z1530">
            <v>0.47436226399999998</v>
          </cell>
          <cell r="AB1530" t="str">
            <v>2020MT</v>
          </cell>
          <cell r="AC1530">
            <v>0</v>
          </cell>
          <cell r="AD1530">
            <v>0</v>
          </cell>
          <cell r="AE1530">
            <v>0.6</v>
          </cell>
          <cell r="AF1530">
            <v>0.4</v>
          </cell>
        </row>
        <row r="1531">
          <cell r="B1531" t="str">
            <v>2020NE</v>
          </cell>
          <cell r="C1531">
            <v>0.21260954807532403</v>
          </cell>
          <cell r="D1531">
            <v>0.30324255962083846</v>
          </cell>
          <cell r="E1531">
            <v>6.1277054134417128E-2</v>
          </cell>
          <cell r="F1531">
            <v>0.34696077142199511</v>
          </cell>
          <cell r="G1531">
            <v>3.6278454935301678E-2</v>
          </cell>
          <cell r="H1531">
            <v>3.9631611812123581E-2</v>
          </cell>
          <cell r="J1531" t="str">
            <v>2020NE</v>
          </cell>
          <cell r="K1531">
            <v>0.90244449100000002</v>
          </cell>
          <cell r="L1531">
            <v>3.6278455000000001E-2</v>
          </cell>
          <cell r="M1531">
            <v>6.1277053999999997E-2</v>
          </cell>
          <cell r="U1531" t="str">
            <v>2020NE</v>
          </cell>
          <cell r="V1531">
            <v>3.0063880000000001E-2</v>
          </cell>
          <cell r="W1531">
            <v>4.5295173000000001E-2</v>
          </cell>
          <cell r="X1531">
            <v>0.27751980599999998</v>
          </cell>
          <cell r="Y1531">
            <v>0.147715386</v>
          </cell>
          <cell r="Z1531">
            <v>0.49940575500000001</v>
          </cell>
          <cell r="AB1531" t="str">
            <v>2020NE</v>
          </cell>
          <cell r="AC1531">
            <v>0</v>
          </cell>
          <cell r="AD1531">
            <v>0</v>
          </cell>
          <cell r="AE1531">
            <v>0.02</v>
          </cell>
          <cell r="AF1531">
            <v>0.98</v>
          </cell>
        </row>
        <row r="1532">
          <cell r="B1532" t="str">
            <v>2020NV</v>
          </cell>
          <cell r="C1532">
            <v>0.64210148526116029</v>
          </cell>
          <cell r="D1532">
            <v>0.238399883587257</v>
          </cell>
          <cell r="E1532">
            <v>4.1594375177217181E-3</v>
          </cell>
          <cell r="F1532">
            <v>0.10819864870890922</v>
          </cell>
          <cell r="G1532">
            <v>2.4625525602432058E-3</v>
          </cell>
          <cell r="H1532">
            <v>4.677992364708553E-3</v>
          </cell>
          <cell r="J1532" t="str">
            <v>2020NV</v>
          </cell>
          <cell r="K1532">
            <v>0.99337800899999995</v>
          </cell>
          <cell r="L1532">
            <v>2.4625530000000001E-3</v>
          </cell>
          <cell r="M1532">
            <v>4.1594379999999997E-3</v>
          </cell>
          <cell r="U1532" t="str">
            <v>2020NV</v>
          </cell>
          <cell r="V1532">
            <v>0.35004114600000003</v>
          </cell>
          <cell r="W1532">
            <v>2.4048478000000002E-2</v>
          </cell>
          <cell r="X1532">
            <v>3.5747737000000002E-2</v>
          </cell>
          <cell r="Y1532">
            <v>0.38867539400000001</v>
          </cell>
          <cell r="Z1532">
            <v>0.20148724500000001</v>
          </cell>
          <cell r="AB1532" t="str">
            <v>2020NV</v>
          </cell>
          <cell r="AC1532">
            <v>0</v>
          </cell>
          <cell r="AD1532">
            <v>0</v>
          </cell>
          <cell r="AE1532">
            <v>0</v>
          </cell>
          <cell r="AF1532">
            <v>1</v>
          </cell>
        </row>
        <row r="1533">
          <cell r="B1533" t="str">
            <v>2020NH</v>
          </cell>
          <cell r="C1533">
            <v>9.4573445198850817E-2</v>
          </cell>
          <cell r="D1533">
            <v>0.16340842518862655</v>
          </cell>
          <cell r="E1533">
            <v>0.44298025846087286</v>
          </cell>
          <cell r="F1533">
            <v>0.20852129702854144</v>
          </cell>
          <cell r="G1533">
            <v>6.52134304627775E-2</v>
          </cell>
          <cell r="H1533">
            <v>2.5303143660330828E-2</v>
          </cell>
          <cell r="J1533" t="str">
            <v>2020NH</v>
          </cell>
          <cell r="K1533">
            <v>0.49180631200000002</v>
          </cell>
          <cell r="L1533">
            <v>6.5213430000000003E-2</v>
          </cell>
          <cell r="M1533">
            <v>0.44298025800000002</v>
          </cell>
          <cell r="U1533" t="str">
            <v>2020NH</v>
          </cell>
          <cell r="V1533">
            <v>0.56759962799999997</v>
          </cell>
          <cell r="W1533">
            <v>1.9025615999999999E-2</v>
          </cell>
          <cell r="X1533">
            <v>0.119342503</v>
          </cell>
          <cell r="Y1533">
            <v>9.1236478999999995E-2</v>
          </cell>
          <cell r="Z1533">
            <v>0.20279577500000001</v>
          </cell>
          <cell r="AB1533" t="str">
            <v>2020NH</v>
          </cell>
          <cell r="AC1533">
            <v>0</v>
          </cell>
          <cell r="AD1533">
            <v>0</v>
          </cell>
          <cell r="AE1533">
            <v>0.05</v>
          </cell>
          <cell r="AF1533">
            <v>0.95</v>
          </cell>
        </row>
        <row r="1534">
          <cell r="B1534" t="str">
            <v>2020NJ</v>
          </cell>
          <cell r="C1534">
            <v>5.8003576611346738E-2</v>
          </cell>
          <cell r="D1534">
            <v>0.13897871355240557</v>
          </cell>
          <cell r="E1534">
            <v>0.45397029129837874</v>
          </cell>
          <cell r="F1534">
            <v>0.24471653627570109</v>
          </cell>
          <cell r="G1534">
            <v>7.5126969581826603E-2</v>
          </cell>
          <cell r="H1534">
            <v>2.9203912680341212E-2</v>
          </cell>
          <cell r="J1534" t="str">
            <v>2020NJ</v>
          </cell>
          <cell r="K1534">
            <v>0.47090273900000001</v>
          </cell>
          <cell r="L1534">
            <v>7.5126970000000001E-2</v>
          </cell>
          <cell r="M1534">
            <v>0.45397029100000003</v>
          </cell>
          <cell r="U1534" t="str">
            <v>2020NJ</v>
          </cell>
          <cell r="V1534">
            <v>0.30808167400000003</v>
          </cell>
          <cell r="W1534">
            <v>3.3011736E-2</v>
          </cell>
          <cell r="X1534">
            <v>0.18818818500000001</v>
          </cell>
          <cell r="Y1534">
            <v>0.137437002</v>
          </cell>
          <cell r="Z1534">
            <v>0.333281404</v>
          </cell>
          <cell r="AB1534" t="str">
            <v>2020NJ</v>
          </cell>
          <cell r="AC1534">
            <v>0</v>
          </cell>
          <cell r="AD1534">
            <v>0</v>
          </cell>
          <cell r="AE1534">
            <v>0.05</v>
          </cell>
          <cell r="AF1534">
            <v>0.95</v>
          </cell>
        </row>
        <row r="1535">
          <cell r="B1535" t="str">
            <v>2020NM</v>
          </cell>
          <cell r="C1535">
            <v>0.61184589317007076</v>
          </cell>
          <cell r="D1535">
            <v>0.19452029294367307</v>
          </cell>
          <cell r="E1535">
            <v>9.8952813124742175E-2</v>
          </cell>
          <cell r="F1535">
            <v>9.4174237847419268E-2</v>
          </cell>
          <cell r="G1535">
            <v>0</v>
          </cell>
          <cell r="H1535">
            <v>5.0676291409465751E-4</v>
          </cell>
          <cell r="J1535" t="str">
            <v>2020NM</v>
          </cell>
          <cell r="K1535">
            <v>0.90104718699999997</v>
          </cell>
          <cell r="L1535">
            <v>0</v>
          </cell>
          <cell r="M1535">
            <v>9.8952813000000001E-2</v>
          </cell>
          <cell r="U1535" t="str">
            <v>2020NM</v>
          </cell>
          <cell r="V1535">
            <v>0.91655606099999998</v>
          </cell>
          <cell r="W1535">
            <v>3.6715329999999998E-3</v>
          </cell>
          <cell r="X1535">
            <v>2.3030526999999999E-2</v>
          </cell>
          <cell r="Y1535">
            <v>1.7606671000000001E-2</v>
          </cell>
          <cell r="Z1535">
            <v>3.9135206999999998E-2</v>
          </cell>
          <cell r="AB1535" t="str">
            <v>2020NM</v>
          </cell>
          <cell r="AC1535">
            <v>0</v>
          </cell>
          <cell r="AD1535">
            <v>0</v>
          </cell>
          <cell r="AE1535">
            <v>0.6</v>
          </cell>
          <cell r="AF1535">
            <v>0.4</v>
          </cell>
        </row>
        <row r="1536">
          <cell r="B1536" t="str">
            <v>2020NY</v>
          </cell>
          <cell r="C1536">
            <v>9.8408703041683282E-2</v>
          </cell>
          <cell r="D1536">
            <v>0.15954377256245178</v>
          </cell>
          <cell r="E1536">
            <v>0.44849165243165579</v>
          </cell>
          <cell r="F1536">
            <v>0.20287733376538455</v>
          </cell>
          <cell r="G1536">
            <v>7.0184973363303343E-2</v>
          </cell>
          <cell r="H1536">
            <v>2.0493564835521279E-2</v>
          </cell>
          <cell r="J1536" t="str">
            <v>2020NY</v>
          </cell>
          <cell r="K1536">
            <v>0.481323375</v>
          </cell>
          <cell r="L1536">
            <v>7.0184972999999998E-2</v>
          </cell>
          <cell r="M1536">
            <v>0.44849165200000002</v>
          </cell>
          <cell r="U1536" t="str">
            <v>2020NY</v>
          </cell>
          <cell r="V1536">
            <v>0.20441514899999999</v>
          </cell>
          <cell r="W1536">
            <v>4.1815811000000001E-2</v>
          </cell>
          <cell r="X1536">
            <v>0.21220383400000001</v>
          </cell>
          <cell r="Y1536">
            <v>0.145168144</v>
          </cell>
          <cell r="Z1536">
            <v>0.396397061</v>
          </cell>
          <cell r="AB1536" t="str">
            <v>2020NY</v>
          </cell>
          <cell r="AC1536">
            <v>0</v>
          </cell>
          <cell r="AD1536">
            <v>0</v>
          </cell>
          <cell r="AE1536">
            <v>0.05</v>
          </cell>
          <cell r="AF1536">
            <v>0.95</v>
          </cell>
        </row>
        <row r="1537">
          <cell r="B1537" t="str">
            <v>2020NC</v>
          </cell>
          <cell r="C1537">
            <v>6.168821577504751E-2</v>
          </cell>
          <cell r="D1537">
            <v>0.11278426418396881</v>
          </cell>
          <cell r="E1537">
            <v>0.15395779991170949</v>
          </cell>
          <cell r="F1537">
            <v>0.11589101949636353</v>
          </cell>
          <cell r="G1537">
            <v>0.54100750469043157</v>
          </cell>
          <cell r="H1537">
            <v>1.4671195942479084E-2</v>
          </cell>
          <cell r="J1537" t="str">
            <v>2020NC</v>
          </cell>
          <cell r="K1537">
            <v>0.30503469499999991</v>
          </cell>
          <cell r="L1537">
            <v>0.54100750500000006</v>
          </cell>
          <cell r="M1537">
            <v>0.15395780000000001</v>
          </cell>
          <cell r="U1537" t="str">
            <v>2020NC</v>
          </cell>
          <cell r="V1537">
            <v>2.4742549999999999E-3</v>
          </cell>
          <cell r="W1537">
            <v>3.7123251000000003E-2</v>
          </cell>
          <cell r="X1537">
            <v>6.1645423999999997E-2</v>
          </cell>
          <cell r="Y1537">
            <v>0.58464508599999998</v>
          </cell>
          <cell r="Z1537">
            <v>0.31411198400000001</v>
          </cell>
          <cell r="AB1537" t="str">
            <v>2020NC</v>
          </cell>
          <cell r="AC1537">
            <v>0</v>
          </cell>
          <cell r="AD1537">
            <v>0</v>
          </cell>
          <cell r="AE1537">
            <v>0.41899999999999998</v>
          </cell>
          <cell r="AF1537">
            <v>0.58099999999999996</v>
          </cell>
        </row>
        <row r="1538">
          <cell r="B1538" t="str">
            <v>2020ND</v>
          </cell>
          <cell r="C1538">
            <v>0.1196932700797023</v>
          </cell>
          <cell r="D1538">
            <v>0.21866711268457967</v>
          </cell>
          <cell r="E1538">
            <v>0.10978970169096619</v>
          </cell>
          <cell r="F1538">
            <v>0.448028418369537</v>
          </cell>
          <cell r="G1538">
            <v>6.499987314042277E-2</v>
          </cell>
          <cell r="H1538">
            <v>3.8821624034792085E-2</v>
          </cell>
          <cell r="J1538" t="str">
            <v>2020ND</v>
          </cell>
          <cell r="K1538">
            <v>0.82521042499999997</v>
          </cell>
          <cell r="L1538">
            <v>6.4999873E-2</v>
          </cell>
          <cell r="M1538">
            <v>0.109789702</v>
          </cell>
          <cell r="U1538" t="str">
            <v>2020ND</v>
          </cell>
          <cell r="V1538">
            <v>8.8434773999999994E-2</v>
          </cell>
          <cell r="W1538">
            <v>4.7868137999999998E-2</v>
          </cell>
          <cell r="X1538">
            <v>0.243186129</v>
          </cell>
          <cell r="Y1538">
            <v>0.16647603599999999</v>
          </cell>
          <cell r="Z1538">
            <v>0.45403492299999998</v>
          </cell>
          <cell r="AB1538" t="str">
            <v>2020ND</v>
          </cell>
          <cell r="AC1538">
            <v>0</v>
          </cell>
          <cell r="AD1538">
            <v>0</v>
          </cell>
          <cell r="AE1538">
            <v>0.02</v>
          </cell>
          <cell r="AF1538">
            <v>0.98</v>
          </cell>
        </row>
        <row r="1539">
          <cell r="B1539" t="str">
            <v>2020OH</v>
          </cell>
          <cell r="C1539">
            <v>0.10753833947858983</v>
          </cell>
          <cell r="D1539">
            <v>0.22522557822049544</v>
          </cell>
          <cell r="E1539">
            <v>0.13589110116557596</v>
          </cell>
          <cell r="F1539">
            <v>0.4097570212201273</v>
          </cell>
          <cell r="G1539">
            <v>8.0452940491062386E-2</v>
          </cell>
          <cell r="H1539">
            <v>4.1135019424149183E-2</v>
          </cell>
          <cell r="J1539" t="str">
            <v>2020OH</v>
          </cell>
          <cell r="K1539">
            <v>0.78365595900000007</v>
          </cell>
          <cell r="L1539">
            <v>8.0452940000000001E-2</v>
          </cell>
          <cell r="M1539">
            <v>0.13589110099999999</v>
          </cell>
          <cell r="U1539" t="str">
            <v>2020OH</v>
          </cell>
          <cell r="V1539">
            <v>6.6338901000000006E-2</v>
          </cell>
          <cell r="W1539">
            <v>4.3119113000000001E-2</v>
          </cell>
          <cell r="X1539">
            <v>0.26533305600000001</v>
          </cell>
          <cell r="Y1539">
            <v>0.15267545299999999</v>
          </cell>
          <cell r="Z1539">
            <v>0.47253347699999998</v>
          </cell>
          <cell r="AB1539" t="str">
            <v>2020OH</v>
          </cell>
          <cell r="AC1539">
            <v>0</v>
          </cell>
          <cell r="AD1539">
            <v>0</v>
          </cell>
          <cell r="AE1539">
            <v>0</v>
          </cell>
          <cell r="AF1539">
            <v>1</v>
          </cell>
        </row>
        <row r="1540">
          <cell r="B1540" t="str">
            <v>2020OK</v>
          </cell>
          <cell r="C1540">
            <v>0.40296958934788546</v>
          </cell>
          <cell r="D1540">
            <v>0.22528492954061258</v>
          </cell>
          <cell r="E1540">
            <v>6.4896255940651446E-2</v>
          </cell>
          <cell r="F1540">
            <v>0.24738177570149189</v>
          </cell>
          <cell r="G1540">
            <v>0</v>
          </cell>
          <cell r="H1540">
            <v>5.9467449469358676E-2</v>
          </cell>
          <cell r="J1540" t="str">
            <v>2020OK</v>
          </cell>
          <cell r="K1540">
            <v>0.93510374399999996</v>
          </cell>
          <cell r="L1540">
            <v>0</v>
          </cell>
          <cell r="M1540">
            <v>6.4896255999999999E-2</v>
          </cell>
          <cell r="U1540" t="str">
            <v>2020OK</v>
          </cell>
          <cell r="V1540">
            <v>1.2831308E-2</v>
          </cell>
          <cell r="W1540">
            <v>3.6793041999999998E-2</v>
          </cell>
          <cell r="X1540">
            <v>6.2749109999999997E-2</v>
          </cell>
          <cell r="Y1540">
            <v>0.57552135800000004</v>
          </cell>
          <cell r="Z1540">
            <v>0.31210518199999998</v>
          </cell>
          <cell r="AB1540" t="str">
            <v>2020OK</v>
          </cell>
          <cell r="AC1540">
            <v>0</v>
          </cell>
          <cell r="AD1540">
            <v>0</v>
          </cell>
          <cell r="AE1540">
            <v>0.6</v>
          </cell>
          <cell r="AF1540">
            <v>0.4</v>
          </cell>
        </row>
        <row r="1541">
          <cell r="B1541" t="str">
            <v>2020OR</v>
          </cell>
          <cell r="C1541">
            <v>0.43856747008812064</v>
          </cell>
          <cell r="D1541">
            <v>0.20958259090942544</v>
          </cell>
          <cell r="E1541">
            <v>0</v>
          </cell>
          <cell r="F1541">
            <v>0.12862948158709187</v>
          </cell>
          <cell r="G1541">
            <v>0.2018533708975031</v>
          </cell>
          <cell r="H1541">
            <v>2.1367086517858933E-2</v>
          </cell>
          <cell r="J1541" t="str">
            <v>2020OR</v>
          </cell>
          <cell r="K1541">
            <v>0.798146629</v>
          </cell>
          <cell r="L1541">
            <v>0.201853371</v>
          </cell>
          <cell r="M1541">
            <v>0</v>
          </cell>
          <cell r="U1541" t="str">
            <v>2020OR</v>
          </cell>
          <cell r="V1541">
            <v>0.57640796000000005</v>
          </cell>
          <cell r="W1541">
            <v>1.863805E-2</v>
          </cell>
          <cell r="X1541">
            <v>0.116911403</v>
          </cell>
          <cell r="Y1541">
            <v>8.937792E-2</v>
          </cell>
          <cell r="Z1541">
            <v>0.19866466699999999</v>
          </cell>
          <cell r="AB1541" t="str">
            <v>2020OR</v>
          </cell>
          <cell r="AC1541">
            <v>0</v>
          </cell>
          <cell r="AD1541">
            <v>0</v>
          </cell>
          <cell r="AE1541">
            <v>0.25</v>
          </cell>
          <cell r="AF1541">
            <v>0.75</v>
          </cell>
        </row>
        <row r="1542">
          <cell r="B1542" t="str">
            <v>2020PA</v>
          </cell>
          <cell r="C1542">
            <v>4.9624045569858895E-2</v>
          </cell>
          <cell r="D1542">
            <v>0.11712497857538914</v>
          </cell>
          <cell r="E1542">
            <v>0.46874549019831585</v>
          </cell>
          <cell r="F1542">
            <v>0.25230966018477574</v>
          </cell>
          <cell r="G1542">
            <v>8.8454910858433447E-2</v>
          </cell>
          <cell r="H1542">
            <v>2.3740914613226898E-2</v>
          </cell>
          <cell r="J1542" t="str">
            <v>2020PA</v>
          </cell>
          <cell r="K1542">
            <v>0.44279959899999999</v>
          </cell>
          <cell r="L1542">
            <v>8.8454910999999997E-2</v>
          </cell>
          <cell r="M1542">
            <v>0.46874548999999999</v>
          </cell>
          <cell r="U1542" t="str">
            <v>2020PA</v>
          </cell>
          <cell r="V1542">
            <v>5.0102499000000002E-2</v>
          </cell>
          <cell r="W1542">
            <v>4.9409870000000002E-2</v>
          </cell>
          <cell r="X1542">
            <v>0.25392279899999998</v>
          </cell>
          <cell r="Y1542">
            <v>0.17504710600000001</v>
          </cell>
          <cell r="Z1542">
            <v>0.47151772600000003</v>
          </cell>
          <cell r="AB1542" t="str">
            <v>2020PA</v>
          </cell>
          <cell r="AC1542">
            <v>0</v>
          </cell>
          <cell r="AD1542">
            <v>0</v>
          </cell>
          <cell r="AE1542">
            <v>0</v>
          </cell>
          <cell r="AF1542">
            <v>1</v>
          </cell>
        </row>
        <row r="1543">
          <cell r="B1543" t="str">
            <v>2020RI</v>
          </cell>
          <cell r="C1543">
            <v>4.2447025005926793E-2</v>
          </cell>
          <cell r="D1543">
            <v>0.1190174947032642</v>
          </cell>
          <cell r="E1543">
            <v>0.46784468707451643</v>
          </cell>
          <cell r="F1543">
            <v>0.25730854976835782</v>
          </cell>
          <cell r="G1543">
            <v>8.7642343040085183E-2</v>
          </cell>
          <cell r="H1543">
            <v>2.5739900407849584E-2</v>
          </cell>
          <cell r="J1543" t="str">
            <v>2020RI</v>
          </cell>
          <cell r="K1543">
            <v>0.44451297000000001</v>
          </cell>
          <cell r="L1543">
            <v>8.7642342999999998E-2</v>
          </cell>
          <cell r="M1543">
            <v>0.46784468699999998</v>
          </cell>
          <cell r="U1543" t="str">
            <v>2020RI</v>
          </cell>
          <cell r="V1543">
            <v>0.56026879500000004</v>
          </cell>
          <cell r="W1543">
            <v>1.9348173E-2</v>
          </cell>
          <cell r="X1543">
            <v>0.121365813</v>
          </cell>
          <cell r="Y1543">
            <v>9.2783283999999994E-2</v>
          </cell>
          <cell r="Z1543">
            <v>0.20623393500000001</v>
          </cell>
          <cell r="AB1543" t="str">
            <v>2020RI</v>
          </cell>
          <cell r="AC1543">
            <v>0</v>
          </cell>
          <cell r="AD1543">
            <v>0</v>
          </cell>
          <cell r="AE1543">
            <v>0.05</v>
          </cell>
          <cell r="AF1543">
            <v>0.95</v>
          </cell>
        </row>
        <row r="1544">
          <cell r="B1544" t="str">
            <v>2020SC</v>
          </cell>
          <cell r="C1544">
            <v>0.13346180610825578</v>
          </cell>
          <cell r="D1544">
            <v>9.0019723091430845E-2</v>
          </cell>
          <cell r="E1544">
            <v>0.15451296947775242</v>
          </cell>
          <cell r="F1544">
            <v>8.0687406490411034E-2</v>
          </cell>
          <cell r="G1544">
            <v>0.53771407690020812</v>
          </cell>
          <cell r="H1544">
            <v>3.6040179319418398E-3</v>
          </cell>
          <cell r="J1544" t="str">
            <v>2020SC</v>
          </cell>
          <cell r="K1544">
            <v>0.30777295400000004</v>
          </cell>
          <cell r="L1544">
            <v>0.53771407699999996</v>
          </cell>
          <cell r="M1544">
            <v>0.154512969</v>
          </cell>
          <cell r="U1544" t="str">
            <v>2020SC</v>
          </cell>
          <cell r="V1544">
            <v>6.1629585000000001E-2</v>
          </cell>
          <cell r="W1544">
            <v>3.5823032999999997E-2</v>
          </cell>
          <cell r="X1544">
            <v>8.6443989999999998E-2</v>
          </cell>
          <cell r="Y1544">
            <v>0.50014727299999995</v>
          </cell>
          <cell r="Z1544">
            <v>0.31595611899999998</v>
          </cell>
          <cell r="AB1544" t="str">
            <v>2020SC</v>
          </cell>
          <cell r="AC1544">
            <v>0</v>
          </cell>
          <cell r="AD1544">
            <v>0</v>
          </cell>
          <cell r="AE1544">
            <v>0.6</v>
          </cell>
          <cell r="AF1544">
            <v>0.4</v>
          </cell>
        </row>
        <row r="1545">
          <cell r="B1545" t="str">
            <v>2020SD</v>
          </cell>
          <cell r="C1545">
            <v>0.17608951911561277</v>
          </cell>
          <cell r="D1545">
            <v>0.277831368160596</v>
          </cell>
          <cell r="E1545">
            <v>7.9800561964795444E-2</v>
          </cell>
          <cell r="F1545">
            <v>0.37802114842972712</v>
          </cell>
          <cell r="G1545">
            <v>4.724510882492864E-2</v>
          </cell>
          <cell r="H1545">
            <v>4.1012293504340026E-2</v>
          </cell>
          <cell r="J1545" t="str">
            <v>2020SD</v>
          </cell>
          <cell r="K1545">
            <v>0.87295432900000003</v>
          </cell>
          <cell r="L1545">
            <v>4.7245109E-2</v>
          </cell>
          <cell r="M1545">
            <v>7.9800562000000005E-2</v>
          </cell>
          <cell r="U1545" t="str">
            <v>2020SD</v>
          </cell>
          <cell r="V1545">
            <v>3.3046748000000001E-2</v>
          </cell>
          <cell r="W1545">
            <v>5.1157264000000001E-2</v>
          </cell>
          <cell r="X1545">
            <v>0.25755016600000002</v>
          </cell>
          <cell r="Y1545">
            <v>0.17532273200000001</v>
          </cell>
          <cell r="Z1545">
            <v>0.48292308900000003</v>
          </cell>
          <cell r="AB1545" t="str">
            <v>2020SD</v>
          </cell>
          <cell r="AC1545">
            <v>0</v>
          </cell>
          <cell r="AD1545">
            <v>0</v>
          </cell>
          <cell r="AE1545">
            <v>0.02</v>
          </cell>
          <cell r="AF1545">
            <v>0.98</v>
          </cell>
        </row>
        <row r="1546">
          <cell r="B1546" t="str">
            <v>2020TN</v>
          </cell>
          <cell r="C1546">
            <v>4.0519949592449485E-2</v>
          </cell>
          <cell r="D1546">
            <v>8.9664149461423162E-2</v>
          </cell>
          <cell r="E1546">
            <v>0.14551684926860037</v>
          </cell>
          <cell r="F1546">
            <v>0.1170185785979804</v>
          </cell>
          <cell r="G1546">
            <v>0.59108168584929244</v>
          </cell>
          <cell r="H1546">
            <v>1.6198787230254148E-2</v>
          </cell>
          <cell r="J1546" t="str">
            <v>2020TN</v>
          </cell>
          <cell r="K1546">
            <v>0.26340146500000006</v>
          </cell>
          <cell r="L1546">
            <v>0.591081686</v>
          </cell>
          <cell r="M1546">
            <v>0.145516849</v>
          </cell>
          <cell r="U1546" t="str">
            <v>2020TN</v>
          </cell>
          <cell r="V1546">
            <v>0.102875089</v>
          </cell>
          <cell r="W1546">
            <v>3.5402429999999999E-2</v>
          </cell>
          <cell r="X1546">
            <v>0.119077104</v>
          </cell>
          <cell r="Y1546">
            <v>0.41436515099999999</v>
          </cell>
          <cell r="Z1546">
            <v>0.32828022600000001</v>
          </cell>
          <cell r="AB1546" t="str">
            <v>2020TN</v>
          </cell>
          <cell r="AC1546">
            <v>0</v>
          </cell>
          <cell r="AD1546">
            <v>0</v>
          </cell>
          <cell r="AE1546">
            <v>0.05</v>
          </cell>
          <cell r="AF1546">
            <v>0.95</v>
          </cell>
        </row>
        <row r="1547">
          <cell r="B1547" t="str">
            <v>2020TX</v>
          </cell>
          <cell r="C1547">
            <v>0.53305655520056971</v>
          </cell>
          <cell r="D1547">
            <v>0.24233312613196878</v>
          </cell>
          <cell r="E1547">
            <v>7.9791980793249173E-2</v>
          </cell>
          <cell r="F1547">
            <v>0.1278405091499755</v>
          </cell>
          <cell r="G1547">
            <v>0</v>
          </cell>
          <cell r="H1547">
            <v>1.6977828724236681E-2</v>
          </cell>
          <cell r="J1547" t="str">
            <v>2020TX</v>
          </cell>
          <cell r="K1547">
            <v>0.92020801900000004</v>
          </cell>
          <cell r="L1547">
            <v>0</v>
          </cell>
          <cell r="M1547">
            <v>7.9791980999999998E-2</v>
          </cell>
          <cell r="U1547" t="str">
            <v>2020TX</v>
          </cell>
          <cell r="V1547">
            <v>6.9632535999999995E-2</v>
          </cell>
          <cell r="W1547">
            <v>3.4700662E-2</v>
          </cell>
          <cell r="X1547">
            <v>5.9917572000000002E-2</v>
          </cell>
          <cell r="Y1547">
            <v>0.54104196599999999</v>
          </cell>
          <cell r="Z1547">
            <v>0.29470726400000002</v>
          </cell>
          <cell r="AB1547" t="str">
            <v>2020TX</v>
          </cell>
          <cell r="AC1547">
            <v>0</v>
          </cell>
          <cell r="AD1547">
            <v>0</v>
          </cell>
          <cell r="AE1547">
            <v>0.12</v>
          </cell>
          <cell r="AF1547">
            <v>0.88</v>
          </cell>
        </row>
        <row r="1548">
          <cell r="B1548" t="str">
            <v>2020UT</v>
          </cell>
          <cell r="C1548">
            <v>0.51165623152884221</v>
          </cell>
          <cell r="D1548">
            <v>0.26394677259150623</v>
          </cell>
          <cell r="E1548">
            <v>1.3999177703951423E-2</v>
          </cell>
          <cell r="F1548">
            <v>0.17036034814732054</v>
          </cell>
          <cell r="G1548">
            <v>8.2880703819413898E-3</v>
          </cell>
          <cell r="H1548">
            <v>3.1749399646438282E-2</v>
          </cell>
          <cell r="J1548" t="str">
            <v>2020UT</v>
          </cell>
          <cell r="K1548">
            <v>0.97771275199999996</v>
          </cell>
          <cell r="L1548">
            <v>8.2880699999999998E-3</v>
          </cell>
          <cell r="M1548">
            <v>1.3999177999999999E-2</v>
          </cell>
          <cell r="U1548" t="str">
            <v>2020UT</v>
          </cell>
          <cell r="V1548">
            <v>8.6456620000000001E-3</v>
          </cell>
          <cell r="W1548">
            <v>5.5424775000000003E-2</v>
          </cell>
          <cell r="X1548">
            <v>0.260824848</v>
          </cell>
          <cell r="Y1548">
            <v>0.16982515300000001</v>
          </cell>
          <cell r="Z1548">
            <v>0.50527956200000002</v>
          </cell>
          <cell r="AB1548" t="str">
            <v>2020UT</v>
          </cell>
          <cell r="AC1548">
            <v>0</v>
          </cell>
          <cell r="AD1548">
            <v>0</v>
          </cell>
          <cell r="AE1548">
            <v>0.6</v>
          </cell>
          <cell r="AF1548">
            <v>0.4</v>
          </cell>
        </row>
        <row r="1549">
          <cell r="B1549" t="str">
            <v>2020VT</v>
          </cell>
          <cell r="C1549">
            <v>9.9973781354903396E-2</v>
          </cell>
          <cell r="D1549">
            <v>0.17387691112967565</v>
          </cell>
          <cell r="E1549">
            <v>0.44423932842492886</v>
          </cell>
          <cell r="F1549">
            <v>0.19448861844630186</v>
          </cell>
          <cell r="G1549">
            <v>6.6349172232328182E-2</v>
          </cell>
          <cell r="H1549">
            <v>2.1072188411862088E-2</v>
          </cell>
          <cell r="J1549" t="str">
            <v>2020VT</v>
          </cell>
          <cell r="K1549">
            <v>0.4894115</v>
          </cell>
          <cell r="L1549">
            <v>6.6349171999999998E-2</v>
          </cell>
          <cell r="M1549">
            <v>0.44423932799999999</v>
          </cell>
          <cell r="U1549" t="str">
            <v>2020VT</v>
          </cell>
          <cell r="V1549">
            <v>0.86037974299999997</v>
          </cell>
          <cell r="W1549">
            <v>6.1432910000000004E-3</v>
          </cell>
          <cell r="X1549">
            <v>3.8535191000000003E-2</v>
          </cell>
          <cell r="Y1549">
            <v>2.9459874E-2</v>
          </cell>
          <cell r="Z1549">
            <v>6.5481899999999996E-2</v>
          </cell>
          <cell r="AB1549" t="str">
            <v>2020VT</v>
          </cell>
          <cell r="AC1549">
            <v>0</v>
          </cell>
          <cell r="AD1549">
            <v>0</v>
          </cell>
          <cell r="AE1549">
            <v>0.05</v>
          </cell>
          <cell r="AF1549">
            <v>0.95</v>
          </cell>
        </row>
        <row r="1550">
          <cell r="B1550" t="str">
            <v>2020VA</v>
          </cell>
          <cell r="C1550">
            <v>4.4953509549794296E-2</v>
          </cell>
          <cell r="D1550">
            <v>9.339670802378576E-2</v>
          </cell>
          <cell r="E1550">
            <v>0.14844092890155638</v>
          </cell>
          <cell r="F1550">
            <v>0.12331550684410268</v>
          </cell>
          <cell r="G1550">
            <v>0.5737351926100378</v>
          </cell>
          <cell r="H1550">
            <v>1.6158154070723133E-2</v>
          </cell>
          <cell r="J1550" t="str">
            <v>2020VA</v>
          </cell>
          <cell r="K1550">
            <v>0.27782387799999997</v>
          </cell>
          <cell r="L1550">
            <v>0.57373519299999998</v>
          </cell>
          <cell r="M1550">
            <v>0.148440929</v>
          </cell>
          <cell r="U1550" t="str">
            <v>2020VA</v>
          </cell>
          <cell r="V1550">
            <v>3.3934871999999998E-2</v>
          </cell>
          <cell r="W1550">
            <v>3.6244844999999998E-2</v>
          </cell>
          <cell r="X1550">
            <v>6.8933026999999994E-2</v>
          </cell>
          <cell r="Y1550">
            <v>0.550040046</v>
          </cell>
          <cell r="Z1550">
            <v>0.31084721100000001</v>
          </cell>
          <cell r="AB1550" t="str">
            <v>2020VA</v>
          </cell>
          <cell r="AC1550">
            <v>0</v>
          </cell>
          <cell r="AD1550">
            <v>0</v>
          </cell>
          <cell r="AE1550">
            <v>0.05</v>
          </cell>
          <cell r="AF1550">
            <v>0.95</v>
          </cell>
        </row>
        <row r="1551">
          <cell r="B1551" t="str">
            <v>2020WA</v>
          </cell>
          <cell r="C1551">
            <v>0.48742079910802349</v>
          </cell>
          <cell r="D1551">
            <v>0.21961274491816118</v>
          </cell>
          <cell r="E1551">
            <v>0</v>
          </cell>
          <cell r="F1551">
            <v>0.11254281869932067</v>
          </cell>
          <cell r="G1551">
            <v>0.16627589127589129</v>
          </cell>
          <cell r="H1551">
            <v>1.4147745998603438E-2</v>
          </cell>
          <cell r="J1551" t="str">
            <v>2020WA</v>
          </cell>
          <cell r="K1551">
            <v>0.83372410900000005</v>
          </cell>
          <cell r="L1551">
            <v>0.16627589100000001</v>
          </cell>
          <cell r="M1551">
            <v>0</v>
          </cell>
          <cell r="U1551" t="str">
            <v>2020WA</v>
          </cell>
          <cell r="V1551">
            <v>0.37353494700000001</v>
          </cell>
          <cell r="W1551">
            <v>3.1263627000000002E-2</v>
          </cell>
          <cell r="X1551">
            <v>0.168896926</v>
          </cell>
          <cell r="Y1551">
            <v>0.119853577</v>
          </cell>
          <cell r="Z1551">
            <v>0.30645092299999999</v>
          </cell>
          <cell r="AB1551" t="str">
            <v>2020WA</v>
          </cell>
          <cell r="AC1551">
            <v>0</v>
          </cell>
          <cell r="AD1551">
            <v>0</v>
          </cell>
          <cell r="AE1551">
            <v>0.12</v>
          </cell>
          <cell r="AF1551">
            <v>0.88</v>
          </cell>
        </row>
        <row r="1552">
          <cell r="B1552" t="str">
            <v>2020WV</v>
          </cell>
          <cell r="C1552">
            <v>6.8751812683186322E-2</v>
          </cell>
          <cell r="D1552">
            <v>0.15888641455628993</v>
          </cell>
          <cell r="E1552">
            <v>0.44831485363191043</v>
          </cell>
          <cell r="F1552">
            <v>0.22633984896592482</v>
          </cell>
          <cell r="G1552">
            <v>7.0025492327769459E-2</v>
          </cell>
          <cell r="H1552">
            <v>2.7681577834919095E-2</v>
          </cell>
          <cell r="J1552" t="str">
            <v>2020WV</v>
          </cell>
          <cell r="K1552">
            <v>0.48165965399999999</v>
          </cell>
          <cell r="L1552">
            <v>7.0025491999999995E-2</v>
          </cell>
          <cell r="M1552">
            <v>0.44831485399999998</v>
          </cell>
          <cell r="U1552" t="str">
            <v>2020WV</v>
          </cell>
          <cell r="V1552">
            <v>0.57920187499999998</v>
          </cell>
          <cell r="W1552">
            <v>2.1256934000000002E-2</v>
          </cell>
          <cell r="X1552">
            <v>0.113169981</v>
          </cell>
          <cell r="Y1552">
            <v>7.9649016000000003E-2</v>
          </cell>
          <cell r="Z1552">
            <v>0.206722194</v>
          </cell>
          <cell r="AB1552" t="str">
            <v>2020WV</v>
          </cell>
          <cell r="AC1552">
            <v>0</v>
          </cell>
          <cell r="AD1552">
            <v>0</v>
          </cell>
          <cell r="AE1552">
            <v>0.05</v>
          </cell>
          <cell r="AF1552">
            <v>0.95</v>
          </cell>
        </row>
        <row r="1553">
          <cell r="B1553" t="str">
            <v>2020WI</v>
          </cell>
          <cell r="C1553">
            <v>0.12203432597344931</v>
          </cell>
          <cell r="D1553">
            <v>0.23555629715568294</v>
          </cell>
          <cell r="E1553">
            <v>0.11540173598404266</v>
          </cell>
          <cell r="F1553">
            <v>0.42032708364290838</v>
          </cell>
          <cell r="G1553">
            <v>6.8322420806473022E-2</v>
          </cell>
          <cell r="H1553">
            <v>3.8358136437443673E-2</v>
          </cell>
          <cell r="J1553" t="str">
            <v>2020WI</v>
          </cell>
          <cell r="K1553">
            <v>0.816275843</v>
          </cell>
          <cell r="L1553">
            <v>6.8322420999999994E-2</v>
          </cell>
          <cell r="M1553">
            <v>0.115401736</v>
          </cell>
          <cell r="U1553" t="str">
            <v>2020WI</v>
          </cell>
          <cell r="V1553">
            <v>0.12883246500000001</v>
          </cell>
          <cell r="W1553">
            <v>4.2564396999999997E-2</v>
          </cell>
          <cell r="X1553">
            <v>0.23585646199999999</v>
          </cell>
          <cell r="Y1553">
            <v>0.16970626599999999</v>
          </cell>
          <cell r="Z1553">
            <v>0.42304040999999998</v>
          </cell>
          <cell r="AB1553" t="str">
            <v>2020WI</v>
          </cell>
          <cell r="AC1553">
            <v>0</v>
          </cell>
          <cell r="AD1553">
            <v>0</v>
          </cell>
          <cell r="AE1553">
            <v>0.02</v>
          </cell>
          <cell r="AF1553">
            <v>0.98</v>
          </cell>
        </row>
        <row r="1554">
          <cell r="B1554" t="str">
            <v>2020WY</v>
          </cell>
          <cell r="C1554">
            <v>0.29508724522063295</v>
          </cell>
          <cell r="D1554">
            <v>0.23251729773373622</v>
          </cell>
          <cell r="E1554">
            <v>0.12161775942187937</v>
          </cell>
          <cell r="F1554">
            <v>0.2207502472879718</v>
          </cell>
          <cell r="G1554">
            <v>7.2002554085590281E-2</v>
          </cell>
          <cell r="H1554">
            <v>5.8024896250189507E-2</v>
          </cell>
          <cell r="J1554" t="str">
            <v>2020WY</v>
          </cell>
          <cell r="K1554">
            <v>0.80637968699999996</v>
          </cell>
          <cell r="L1554">
            <v>7.2002553999999996E-2</v>
          </cell>
          <cell r="M1554">
            <v>0.12161775900000001</v>
          </cell>
          <cell r="U1554" t="str">
            <v>2020WY</v>
          </cell>
          <cell r="V1554">
            <v>3.2109568999999998E-2</v>
          </cell>
          <cell r="W1554">
            <v>5.3596850000000001E-2</v>
          </cell>
          <cell r="X1554">
            <v>0.25521061499999997</v>
          </cell>
          <cell r="Y1554">
            <v>0.16752597599999999</v>
          </cell>
          <cell r="Z1554">
            <v>0.49155699000000003</v>
          </cell>
          <cell r="AB1554" t="str">
            <v>2020WY</v>
          </cell>
          <cell r="AC1554">
            <v>0</v>
          </cell>
          <cell r="AD1554">
            <v>0</v>
          </cell>
          <cell r="AE1554">
            <v>0.6</v>
          </cell>
          <cell r="AF1554">
            <v>0.4</v>
          </cell>
        </row>
      </sheetData>
      <sheetData sheetId="23"/>
      <sheetData sheetId="24"/>
      <sheetData sheetId="25"/>
      <sheetData sheetId="26"/>
      <sheetData sheetId="27"/>
      <sheetData sheetId="28">
        <row r="4">
          <cell r="C4">
            <v>1</v>
          </cell>
          <cell r="D4">
            <v>2</v>
          </cell>
          <cell r="E4">
            <v>3</v>
          </cell>
          <cell r="F4">
            <v>4</v>
          </cell>
          <cell r="G4">
            <v>5</v>
          </cell>
          <cell r="H4">
            <v>6</v>
          </cell>
          <cell r="I4">
            <v>7</v>
          </cell>
          <cell r="J4">
            <v>8</v>
          </cell>
          <cell r="K4">
            <v>9</v>
          </cell>
          <cell r="L4">
            <v>10</v>
          </cell>
          <cell r="M4">
            <v>11</v>
          </cell>
          <cell r="N4">
            <v>12</v>
          </cell>
          <cell r="O4">
            <v>13</v>
          </cell>
          <cell r="P4">
            <v>14</v>
          </cell>
          <cell r="Q4">
            <v>15</v>
          </cell>
          <cell r="R4">
            <v>16</v>
          </cell>
          <cell r="S4">
            <v>17</v>
          </cell>
          <cell r="T4">
            <v>18</v>
          </cell>
          <cell r="U4">
            <v>19</v>
          </cell>
          <cell r="V4">
            <v>20</v>
          </cell>
          <cell r="W4">
            <v>21</v>
          </cell>
        </row>
        <row r="5">
          <cell r="C5" t="str">
            <v>1990AL</v>
          </cell>
          <cell r="D5">
            <v>0</v>
          </cell>
          <cell r="E5">
            <v>13920</v>
          </cell>
          <cell r="F5">
            <v>6650</v>
          </cell>
          <cell r="G5">
            <v>0</v>
          </cell>
          <cell r="H5">
            <v>990</v>
          </cell>
          <cell r="I5">
            <v>1250</v>
          </cell>
          <cell r="J5">
            <v>0</v>
          </cell>
          <cell r="K5">
            <v>0</v>
          </cell>
          <cell r="L5">
            <v>0</v>
          </cell>
          <cell r="M5">
            <v>7480</v>
          </cell>
          <cell r="N5">
            <v>386560</v>
          </cell>
          <cell r="O5">
            <v>0</v>
          </cell>
          <cell r="P5">
            <v>0</v>
          </cell>
          <cell r="Q5">
            <v>0</v>
          </cell>
          <cell r="R5">
            <v>0</v>
          </cell>
          <cell r="S5">
            <v>0</v>
          </cell>
          <cell r="T5">
            <v>0</v>
          </cell>
          <cell r="U5">
            <v>0</v>
          </cell>
          <cell r="V5">
            <v>0</v>
          </cell>
        </row>
        <row r="6">
          <cell r="C6" t="str">
            <v>1990AK</v>
          </cell>
          <cell r="D6">
            <v>0</v>
          </cell>
          <cell r="E6">
            <v>0</v>
          </cell>
          <cell r="F6">
            <v>0</v>
          </cell>
          <cell r="G6">
            <v>0</v>
          </cell>
          <cell r="H6">
            <v>0</v>
          </cell>
          <cell r="I6">
            <v>0</v>
          </cell>
          <cell r="J6">
            <v>0</v>
          </cell>
          <cell r="K6">
            <v>0</v>
          </cell>
          <cell r="L6">
            <v>0</v>
          </cell>
          <cell r="M6">
            <v>0</v>
          </cell>
          <cell r="N6">
            <v>0</v>
          </cell>
          <cell r="O6">
            <v>0</v>
          </cell>
          <cell r="P6">
            <v>0</v>
          </cell>
          <cell r="Q6">
            <v>0</v>
          </cell>
          <cell r="R6">
            <v>0</v>
          </cell>
          <cell r="S6">
            <v>0</v>
          </cell>
          <cell r="T6">
            <v>0</v>
          </cell>
          <cell r="U6">
            <v>0</v>
          </cell>
          <cell r="V6">
            <v>0</v>
          </cell>
        </row>
        <row r="7">
          <cell r="C7" t="str">
            <v>1990AZ</v>
          </cell>
          <cell r="D7">
            <v>1304</v>
          </cell>
          <cell r="E7">
            <v>1120</v>
          </cell>
          <cell r="F7">
            <v>9266</v>
          </cell>
          <cell r="G7">
            <v>1575</v>
          </cell>
          <cell r="H7">
            <v>0</v>
          </cell>
          <cell r="I7">
            <v>0</v>
          </cell>
          <cell r="J7">
            <v>0</v>
          </cell>
          <cell r="K7">
            <v>0</v>
          </cell>
          <cell r="L7">
            <v>0</v>
          </cell>
          <cell r="M7">
            <v>0</v>
          </cell>
          <cell r="N7">
            <v>0</v>
          </cell>
          <cell r="O7">
            <v>0</v>
          </cell>
          <cell r="P7">
            <v>0</v>
          </cell>
          <cell r="Q7">
            <v>0</v>
          </cell>
          <cell r="R7">
            <v>0</v>
          </cell>
          <cell r="S7">
            <v>0</v>
          </cell>
          <cell r="T7">
            <v>0</v>
          </cell>
          <cell r="U7">
            <v>0</v>
          </cell>
          <cell r="V7">
            <v>0</v>
          </cell>
        </row>
        <row r="8">
          <cell r="C8" t="str">
            <v>1990AR</v>
          </cell>
          <cell r="D8">
            <v>75</v>
          </cell>
          <cell r="E8">
            <v>6935</v>
          </cell>
          <cell r="F8">
            <v>49000</v>
          </cell>
          <cell r="G8">
            <v>0</v>
          </cell>
          <cell r="H8">
            <v>18150</v>
          </cell>
          <cell r="I8">
            <v>2700</v>
          </cell>
          <cell r="J8">
            <v>0</v>
          </cell>
          <cell r="K8">
            <v>0</v>
          </cell>
          <cell r="L8">
            <v>60000</v>
          </cell>
          <cell r="M8">
            <v>90450</v>
          </cell>
          <cell r="N8">
            <v>0</v>
          </cell>
          <cell r="O8">
            <v>0</v>
          </cell>
          <cell r="P8">
            <v>0</v>
          </cell>
          <cell r="Q8">
            <v>0</v>
          </cell>
          <cell r="R8">
            <v>0</v>
          </cell>
          <cell r="S8">
            <v>0</v>
          </cell>
          <cell r="T8">
            <v>0</v>
          </cell>
          <cell r="U8">
            <v>1200</v>
          </cell>
          <cell r="V8">
            <v>0</v>
          </cell>
          <cell r="W8">
            <v>0.13</v>
          </cell>
        </row>
        <row r="9">
          <cell r="C9" t="str">
            <v>1990CA</v>
          </cell>
          <cell r="D9">
            <v>6996</v>
          </cell>
          <cell r="E9">
            <v>25600</v>
          </cell>
          <cell r="F9">
            <v>48165</v>
          </cell>
          <cell r="G9">
            <v>13340</v>
          </cell>
          <cell r="H9">
            <v>0</v>
          </cell>
          <cell r="I9">
            <v>3375</v>
          </cell>
          <cell r="J9">
            <v>0</v>
          </cell>
          <cell r="K9">
            <v>0</v>
          </cell>
          <cell r="L9">
            <v>30429</v>
          </cell>
          <cell r="M9">
            <v>0</v>
          </cell>
          <cell r="N9">
            <v>0</v>
          </cell>
          <cell r="O9">
            <v>0</v>
          </cell>
          <cell r="P9">
            <v>0</v>
          </cell>
          <cell r="Q9">
            <v>0</v>
          </cell>
          <cell r="R9">
            <v>0</v>
          </cell>
          <cell r="S9">
            <v>0</v>
          </cell>
          <cell r="T9">
            <v>0</v>
          </cell>
          <cell r="U9">
            <v>395</v>
          </cell>
          <cell r="V9">
            <v>0</v>
          </cell>
          <cell r="W9">
            <v>0.75</v>
          </cell>
        </row>
        <row r="10">
          <cell r="C10" t="str">
            <v>1990CO</v>
          </cell>
          <cell r="D10">
            <v>2590</v>
          </cell>
          <cell r="E10">
            <v>128650</v>
          </cell>
          <cell r="F10">
            <v>86950</v>
          </cell>
          <cell r="G10">
            <v>12000</v>
          </cell>
          <cell r="H10">
            <v>10340</v>
          </cell>
          <cell r="I10">
            <v>2250</v>
          </cell>
          <cell r="J10">
            <v>84</v>
          </cell>
          <cell r="K10">
            <v>0</v>
          </cell>
          <cell r="L10">
            <v>0</v>
          </cell>
          <cell r="M10">
            <v>0</v>
          </cell>
          <cell r="N10">
            <v>0</v>
          </cell>
          <cell r="O10">
            <v>0</v>
          </cell>
          <cell r="P10">
            <v>0</v>
          </cell>
          <cell r="Q10">
            <v>0</v>
          </cell>
          <cell r="R10">
            <v>0</v>
          </cell>
          <cell r="S10">
            <v>0</v>
          </cell>
          <cell r="T10">
            <v>0</v>
          </cell>
          <cell r="U10">
            <v>0</v>
          </cell>
          <cell r="V10">
            <v>0</v>
          </cell>
        </row>
        <row r="11">
          <cell r="C11" t="str">
            <v>1990CT</v>
          </cell>
          <cell r="D11">
            <v>51</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row>
        <row r="12">
          <cell r="C12" t="str">
            <v>1990DE</v>
          </cell>
          <cell r="D12">
            <v>33</v>
          </cell>
          <cell r="E12">
            <v>19780</v>
          </cell>
          <cell r="F12">
            <v>3060</v>
          </cell>
          <cell r="G12">
            <v>1890</v>
          </cell>
          <cell r="H12">
            <v>0</v>
          </cell>
          <cell r="I12">
            <v>0</v>
          </cell>
          <cell r="J12">
            <v>0</v>
          </cell>
          <cell r="K12">
            <v>0</v>
          </cell>
          <cell r="L12">
            <v>0</v>
          </cell>
          <cell r="M12">
            <v>6766</v>
          </cell>
          <cell r="N12">
            <v>0</v>
          </cell>
          <cell r="O12">
            <v>0</v>
          </cell>
          <cell r="P12">
            <v>0</v>
          </cell>
          <cell r="Q12">
            <v>0</v>
          </cell>
          <cell r="R12">
            <v>0</v>
          </cell>
          <cell r="S12">
            <v>0</v>
          </cell>
          <cell r="T12">
            <v>0</v>
          </cell>
          <cell r="U12">
            <v>0</v>
          </cell>
          <cell r="V12">
            <v>0</v>
          </cell>
        </row>
        <row r="13">
          <cell r="C13" t="str">
            <v>1990FL</v>
          </cell>
          <cell r="D13">
            <v>0</v>
          </cell>
          <cell r="E13">
            <v>5325</v>
          </cell>
          <cell r="F13">
            <v>1815</v>
          </cell>
          <cell r="G13">
            <v>0</v>
          </cell>
          <cell r="H13">
            <v>0</v>
          </cell>
          <cell r="I13">
            <v>0</v>
          </cell>
          <cell r="J13">
            <v>0</v>
          </cell>
          <cell r="K13">
            <v>0</v>
          </cell>
          <cell r="L13">
            <v>546.53594167167773</v>
          </cell>
          <cell r="M13">
            <v>1425</v>
          </cell>
          <cell r="N13">
            <v>234000</v>
          </cell>
          <cell r="O13">
            <v>0</v>
          </cell>
          <cell r="P13">
            <v>0</v>
          </cell>
          <cell r="Q13">
            <v>0</v>
          </cell>
          <cell r="R13">
            <v>0</v>
          </cell>
          <cell r="S13">
            <v>0</v>
          </cell>
          <cell r="T13">
            <v>15407</v>
          </cell>
          <cell r="U13">
            <v>12</v>
          </cell>
          <cell r="V13">
            <v>6</v>
          </cell>
          <cell r="W13">
            <v>0</v>
          </cell>
        </row>
        <row r="14">
          <cell r="C14" t="str">
            <v>1990GA</v>
          </cell>
          <cell r="D14">
            <v>0</v>
          </cell>
          <cell r="E14">
            <v>37400</v>
          </cell>
          <cell r="F14">
            <v>20650</v>
          </cell>
          <cell r="G14">
            <v>0</v>
          </cell>
          <cell r="H14">
            <v>1200</v>
          </cell>
          <cell r="I14">
            <v>2240</v>
          </cell>
          <cell r="J14">
            <v>1320</v>
          </cell>
          <cell r="K14">
            <v>0</v>
          </cell>
          <cell r="L14">
            <v>0</v>
          </cell>
          <cell r="M14">
            <v>9800</v>
          </cell>
          <cell r="N14">
            <v>1347500</v>
          </cell>
          <cell r="O14">
            <v>0</v>
          </cell>
          <cell r="P14">
            <v>0</v>
          </cell>
          <cell r="Q14">
            <v>0</v>
          </cell>
          <cell r="R14">
            <v>0</v>
          </cell>
          <cell r="S14">
            <v>0</v>
          </cell>
          <cell r="T14">
            <v>0</v>
          </cell>
          <cell r="U14">
            <v>0</v>
          </cell>
          <cell r="V14">
            <v>0</v>
          </cell>
        </row>
        <row r="15">
          <cell r="C15" t="str">
            <v>1990HI</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6723</v>
          </cell>
          <cell r="U15">
            <v>0</v>
          </cell>
          <cell r="V15">
            <v>0</v>
          </cell>
        </row>
        <row r="16">
          <cell r="C16" t="str">
            <v>1990ID</v>
          </cell>
          <cell r="D16">
            <v>3744</v>
          </cell>
          <cell r="E16">
            <v>3900</v>
          </cell>
          <cell r="F16">
            <v>99600</v>
          </cell>
          <cell r="G16">
            <v>56160</v>
          </cell>
          <cell r="H16">
            <v>0</v>
          </cell>
          <cell r="I16">
            <v>1980</v>
          </cell>
          <cell r="J16">
            <v>0</v>
          </cell>
          <cell r="K16">
            <v>0</v>
          </cell>
          <cell r="L16">
            <v>0</v>
          </cell>
          <cell r="M16">
            <v>0</v>
          </cell>
          <cell r="N16">
            <v>0</v>
          </cell>
          <cell r="O16">
            <v>0</v>
          </cell>
          <cell r="P16">
            <v>0</v>
          </cell>
          <cell r="Q16">
            <v>0</v>
          </cell>
          <cell r="R16">
            <v>0</v>
          </cell>
          <cell r="S16">
            <v>0</v>
          </cell>
          <cell r="T16">
            <v>0</v>
          </cell>
          <cell r="U16">
            <v>0</v>
          </cell>
          <cell r="V16">
            <v>0</v>
          </cell>
        </row>
        <row r="17">
          <cell r="C17" t="str">
            <v>1990IL</v>
          </cell>
          <cell r="D17">
            <v>2772</v>
          </cell>
          <cell r="E17">
            <v>1320800</v>
          </cell>
          <cell r="F17">
            <v>88800</v>
          </cell>
          <cell r="G17">
            <v>0</v>
          </cell>
          <cell r="H17">
            <v>14625</v>
          </cell>
          <cell r="I17">
            <v>11560</v>
          </cell>
          <cell r="J17">
            <v>165</v>
          </cell>
          <cell r="K17">
            <v>0</v>
          </cell>
          <cell r="L17">
            <v>0</v>
          </cell>
          <cell r="M17">
            <v>354900</v>
          </cell>
          <cell r="N17">
            <v>0</v>
          </cell>
          <cell r="O17">
            <v>0</v>
          </cell>
          <cell r="P17">
            <v>0</v>
          </cell>
          <cell r="Q17">
            <v>0</v>
          </cell>
          <cell r="R17">
            <v>0</v>
          </cell>
          <cell r="S17">
            <v>0</v>
          </cell>
          <cell r="T17">
            <v>0</v>
          </cell>
          <cell r="U17">
            <v>0</v>
          </cell>
          <cell r="V17">
            <v>0</v>
          </cell>
        </row>
        <row r="18">
          <cell r="C18" t="str">
            <v>1990IN</v>
          </cell>
          <cell r="D18">
            <v>1560</v>
          </cell>
          <cell r="E18">
            <v>703050</v>
          </cell>
          <cell r="F18">
            <v>50440</v>
          </cell>
          <cell r="G18">
            <v>0</v>
          </cell>
          <cell r="H18">
            <v>0</v>
          </cell>
          <cell r="I18">
            <v>4830</v>
          </cell>
          <cell r="J18">
            <v>124</v>
          </cell>
          <cell r="K18">
            <v>0</v>
          </cell>
          <cell r="L18">
            <v>0</v>
          </cell>
          <cell r="M18">
            <v>171380</v>
          </cell>
          <cell r="N18">
            <v>0</v>
          </cell>
          <cell r="O18">
            <v>0</v>
          </cell>
          <cell r="P18">
            <v>0</v>
          </cell>
          <cell r="Q18">
            <v>0</v>
          </cell>
          <cell r="R18">
            <v>0</v>
          </cell>
          <cell r="S18">
            <v>0</v>
          </cell>
          <cell r="T18">
            <v>0</v>
          </cell>
          <cell r="U18">
            <v>0</v>
          </cell>
          <cell r="V18">
            <v>0</v>
          </cell>
        </row>
        <row r="19">
          <cell r="C19" t="str">
            <v>1990IA</v>
          </cell>
          <cell r="D19">
            <v>6375</v>
          </cell>
          <cell r="E19">
            <v>1562400</v>
          </cell>
          <cell r="F19">
            <v>3375</v>
          </cell>
          <cell r="G19">
            <v>0</v>
          </cell>
          <cell r="H19">
            <v>0</v>
          </cell>
          <cell r="I19">
            <v>40800</v>
          </cell>
          <cell r="J19">
            <v>0</v>
          </cell>
          <cell r="K19">
            <v>0</v>
          </cell>
          <cell r="L19">
            <v>0</v>
          </cell>
          <cell r="M19">
            <v>327850</v>
          </cell>
          <cell r="N19">
            <v>0</v>
          </cell>
          <cell r="O19">
            <v>0</v>
          </cell>
          <cell r="P19">
            <v>0</v>
          </cell>
          <cell r="Q19">
            <v>0</v>
          </cell>
          <cell r="R19">
            <v>0</v>
          </cell>
          <cell r="S19">
            <v>0</v>
          </cell>
          <cell r="T19">
            <v>0</v>
          </cell>
          <cell r="U19">
            <v>0</v>
          </cell>
          <cell r="V19">
            <v>0</v>
          </cell>
        </row>
        <row r="20">
          <cell r="C20" t="str">
            <v>1990KS</v>
          </cell>
          <cell r="D20">
            <v>3040</v>
          </cell>
          <cell r="E20">
            <v>188500</v>
          </cell>
          <cell r="F20">
            <v>472000</v>
          </cell>
          <cell r="G20">
            <v>924</v>
          </cell>
          <cell r="H20">
            <v>184800</v>
          </cell>
          <cell r="I20">
            <v>6600</v>
          </cell>
          <cell r="J20">
            <v>130</v>
          </cell>
          <cell r="K20">
            <v>0</v>
          </cell>
          <cell r="L20">
            <v>0</v>
          </cell>
          <cell r="M20">
            <v>46800</v>
          </cell>
          <cell r="N20">
            <v>0</v>
          </cell>
          <cell r="O20">
            <v>0</v>
          </cell>
          <cell r="P20">
            <v>0</v>
          </cell>
          <cell r="Q20">
            <v>0</v>
          </cell>
          <cell r="R20">
            <v>0</v>
          </cell>
          <cell r="S20">
            <v>0</v>
          </cell>
          <cell r="T20">
            <v>0</v>
          </cell>
          <cell r="U20">
            <v>0</v>
          </cell>
          <cell r="V20">
            <v>0</v>
          </cell>
        </row>
        <row r="21">
          <cell r="C21" t="str">
            <v>1990KY</v>
          </cell>
          <cell r="D21">
            <v>1088</v>
          </cell>
          <cell r="E21">
            <v>120000</v>
          </cell>
          <cell r="F21">
            <v>20000</v>
          </cell>
          <cell r="G21">
            <v>1020</v>
          </cell>
          <cell r="H21">
            <v>2604</v>
          </cell>
          <cell r="I21">
            <v>0</v>
          </cell>
          <cell r="J21">
            <v>0</v>
          </cell>
          <cell r="K21">
            <v>0</v>
          </cell>
          <cell r="L21">
            <v>0</v>
          </cell>
          <cell r="M21">
            <v>39040</v>
          </cell>
          <cell r="N21">
            <v>0</v>
          </cell>
          <cell r="O21">
            <v>0</v>
          </cell>
          <cell r="P21">
            <v>0</v>
          </cell>
          <cell r="Q21">
            <v>0</v>
          </cell>
          <cell r="R21">
            <v>0</v>
          </cell>
          <cell r="S21">
            <v>0</v>
          </cell>
          <cell r="T21">
            <v>0</v>
          </cell>
          <cell r="U21">
            <v>0</v>
          </cell>
          <cell r="V21">
            <v>0</v>
          </cell>
        </row>
        <row r="22">
          <cell r="C22" t="str">
            <v>1990LA</v>
          </cell>
          <cell r="D22">
            <v>0</v>
          </cell>
          <cell r="E22">
            <v>21576</v>
          </cell>
          <cell r="F22">
            <v>12870</v>
          </cell>
          <cell r="G22">
            <v>0</v>
          </cell>
          <cell r="H22">
            <v>8320</v>
          </cell>
          <cell r="I22">
            <v>0</v>
          </cell>
          <cell r="J22">
            <v>0</v>
          </cell>
          <cell r="K22">
            <v>0</v>
          </cell>
          <cell r="L22">
            <v>26469</v>
          </cell>
          <cell r="M22">
            <v>42000</v>
          </cell>
          <cell r="N22">
            <v>0</v>
          </cell>
          <cell r="O22">
            <v>0</v>
          </cell>
          <cell r="P22">
            <v>0</v>
          </cell>
          <cell r="Q22">
            <v>0</v>
          </cell>
          <cell r="R22">
            <v>0</v>
          </cell>
          <cell r="S22">
            <v>0</v>
          </cell>
          <cell r="T22">
            <v>5056</v>
          </cell>
          <cell r="U22">
            <v>545</v>
          </cell>
          <cell r="V22">
            <v>164</v>
          </cell>
          <cell r="W22">
            <v>0.06</v>
          </cell>
        </row>
        <row r="23">
          <cell r="C23" t="str">
            <v>1990ME</v>
          </cell>
          <cell r="D23">
            <v>53</v>
          </cell>
          <cell r="E23">
            <v>0</v>
          </cell>
          <cell r="F23">
            <v>0</v>
          </cell>
          <cell r="G23">
            <v>0</v>
          </cell>
          <cell r="H23">
            <v>0</v>
          </cell>
          <cell r="I23">
            <v>2145</v>
          </cell>
          <cell r="J23">
            <v>0</v>
          </cell>
          <cell r="K23">
            <v>0</v>
          </cell>
          <cell r="L23">
            <v>0</v>
          </cell>
          <cell r="M23">
            <v>0</v>
          </cell>
          <cell r="N23">
            <v>0</v>
          </cell>
          <cell r="O23">
            <v>0</v>
          </cell>
          <cell r="P23">
            <v>0</v>
          </cell>
          <cell r="Q23">
            <v>0</v>
          </cell>
          <cell r="R23">
            <v>0</v>
          </cell>
          <cell r="S23">
            <v>0</v>
          </cell>
          <cell r="T23">
            <v>0</v>
          </cell>
          <cell r="U23">
            <v>0</v>
          </cell>
          <cell r="V23">
            <v>0</v>
          </cell>
        </row>
        <row r="24">
          <cell r="C24" t="str">
            <v>1990MD</v>
          </cell>
          <cell r="D24">
            <v>308</v>
          </cell>
          <cell r="E24">
            <v>53100</v>
          </cell>
          <cell r="F24">
            <v>9880</v>
          </cell>
          <cell r="G24">
            <v>4284</v>
          </cell>
          <cell r="H24">
            <v>0</v>
          </cell>
          <cell r="I24">
            <v>986</v>
          </cell>
          <cell r="J24">
            <v>210</v>
          </cell>
          <cell r="K24">
            <v>0</v>
          </cell>
          <cell r="L24">
            <v>0</v>
          </cell>
          <cell r="M24">
            <v>17820</v>
          </cell>
          <cell r="N24">
            <v>0</v>
          </cell>
          <cell r="O24">
            <v>0</v>
          </cell>
          <cell r="P24">
            <v>0</v>
          </cell>
          <cell r="Q24">
            <v>0</v>
          </cell>
          <cell r="R24">
            <v>0</v>
          </cell>
          <cell r="S24">
            <v>0</v>
          </cell>
          <cell r="T24">
            <v>0</v>
          </cell>
          <cell r="U24">
            <v>0</v>
          </cell>
          <cell r="V24">
            <v>0</v>
          </cell>
        </row>
        <row r="25">
          <cell r="C25" t="str">
            <v>1990MA</v>
          </cell>
          <cell r="D25">
            <v>78</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row>
        <row r="26">
          <cell r="C26" t="str">
            <v>1990MI</v>
          </cell>
          <cell r="D26">
            <v>4875</v>
          </cell>
          <cell r="E26">
            <v>238050</v>
          </cell>
          <cell r="F26">
            <v>41250</v>
          </cell>
          <cell r="G26">
            <v>2580</v>
          </cell>
          <cell r="H26">
            <v>0</v>
          </cell>
          <cell r="I26">
            <v>13050</v>
          </cell>
          <cell r="J26">
            <v>580</v>
          </cell>
          <cell r="K26">
            <v>0</v>
          </cell>
          <cell r="L26">
            <v>0</v>
          </cell>
          <cell r="M26">
            <v>43320</v>
          </cell>
          <cell r="N26">
            <v>0</v>
          </cell>
          <cell r="O26">
            <v>0</v>
          </cell>
          <cell r="P26">
            <v>0</v>
          </cell>
          <cell r="Q26">
            <v>0</v>
          </cell>
          <cell r="R26">
            <v>0</v>
          </cell>
          <cell r="S26">
            <v>0</v>
          </cell>
          <cell r="T26">
            <v>0</v>
          </cell>
          <cell r="U26">
            <v>0</v>
          </cell>
          <cell r="V26">
            <v>0</v>
          </cell>
        </row>
        <row r="27">
          <cell r="C27" t="str">
            <v>1990MN</v>
          </cell>
          <cell r="D27">
            <v>5120</v>
          </cell>
          <cell r="E27">
            <v>762600</v>
          </cell>
          <cell r="F27">
            <v>138620</v>
          </cell>
          <cell r="G27">
            <v>50400</v>
          </cell>
          <cell r="H27">
            <v>0</v>
          </cell>
          <cell r="I27">
            <v>48180</v>
          </cell>
          <cell r="J27">
            <v>868</v>
          </cell>
          <cell r="K27">
            <v>0</v>
          </cell>
          <cell r="L27">
            <v>0</v>
          </cell>
          <cell r="M27">
            <v>179400</v>
          </cell>
          <cell r="N27">
            <v>0</v>
          </cell>
          <cell r="O27">
            <v>0</v>
          </cell>
          <cell r="P27">
            <v>0</v>
          </cell>
          <cell r="Q27">
            <v>0</v>
          </cell>
          <cell r="R27">
            <v>0</v>
          </cell>
          <cell r="S27">
            <v>0</v>
          </cell>
          <cell r="T27">
            <v>0</v>
          </cell>
          <cell r="U27">
            <v>0</v>
          </cell>
          <cell r="V27">
            <v>0</v>
          </cell>
        </row>
        <row r="28">
          <cell r="C28" t="str">
            <v>1990MS</v>
          </cell>
          <cell r="D28">
            <v>0</v>
          </cell>
          <cell r="E28">
            <v>11200</v>
          </cell>
          <cell r="F28">
            <v>15600</v>
          </cell>
          <cell r="G28">
            <v>0</v>
          </cell>
          <cell r="H28">
            <v>5525</v>
          </cell>
          <cell r="I28">
            <v>0</v>
          </cell>
          <cell r="J28">
            <v>0</v>
          </cell>
          <cell r="K28">
            <v>0</v>
          </cell>
          <cell r="L28">
            <v>14250</v>
          </cell>
          <cell r="M28">
            <v>39900</v>
          </cell>
          <cell r="N28">
            <v>0</v>
          </cell>
          <cell r="O28">
            <v>0</v>
          </cell>
          <cell r="P28">
            <v>0</v>
          </cell>
          <cell r="Q28">
            <v>0</v>
          </cell>
          <cell r="R28">
            <v>0</v>
          </cell>
          <cell r="S28">
            <v>0</v>
          </cell>
          <cell r="T28">
            <v>0</v>
          </cell>
          <cell r="U28">
            <v>250</v>
          </cell>
          <cell r="V28">
            <v>0</v>
          </cell>
          <cell r="W28">
            <v>0.1</v>
          </cell>
        </row>
        <row r="29">
          <cell r="C29" t="str">
            <v>1990MO</v>
          </cell>
          <cell r="D29">
            <v>1440</v>
          </cell>
          <cell r="E29">
            <v>205800</v>
          </cell>
          <cell r="F29">
            <v>76000</v>
          </cell>
          <cell r="G29">
            <v>0</v>
          </cell>
          <cell r="H29">
            <v>42640</v>
          </cell>
          <cell r="I29">
            <v>2226</v>
          </cell>
          <cell r="J29">
            <v>0</v>
          </cell>
          <cell r="K29">
            <v>0</v>
          </cell>
          <cell r="L29">
            <v>3760</v>
          </cell>
          <cell r="M29">
            <v>124500</v>
          </cell>
          <cell r="N29">
            <v>0</v>
          </cell>
          <cell r="O29">
            <v>0</v>
          </cell>
          <cell r="P29">
            <v>0</v>
          </cell>
          <cell r="Q29">
            <v>0</v>
          </cell>
          <cell r="R29">
            <v>0</v>
          </cell>
          <cell r="S29">
            <v>0</v>
          </cell>
          <cell r="T29">
            <v>0</v>
          </cell>
          <cell r="U29">
            <v>80</v>
          </cell>
          <cell r="V29">
            <v>0</v>
          </cell>
          <cell r="W29">
            <v>0.05</v>
          </cell>
        </row>
        <row r="30">
          <cell r="C30" t="str">
            <v>1990MT</v>
          </cell>
          <cell r="D30">
            <v>3250</v>
          </cell>
          <cell r="E30">
            <v>855</v>
          </cell>
          <cell r="F30">
            <v>145865</v>
          </cell>
          <cell r="G30">
            <v>56580</v>
          </cell>
          <cell r="H30">
            <v>0</v>
          </cell>
          <cell r="I30">
            <v>2800</v>
          </cell>
          <cell r="J30">
            <v>0</v>
          </cell>
          <cell r="K30">
            <v>0</v>
          </cell>
          <cell r="L30">
            <v>0</v>
          </cell>
          <cell r="M30">
            <v>0</v>
          </cell>
          <cell r="N30">
            <v>0</v>
          </cell>
          <cell r="O30">
            <v>0</v>
          </cell>
          <cell r="P30">
            <v>0</v>
          </cell>
          <cell r="Q30">
            <v>0</v>
          </cell>
          <cell r="R30">
            <v>0</v>
          </cell>
          <cell r="S30">
            <v>0</v>
          </cell>
          <cell r="T30">
            <v>0</v>
          </cell>
          <cell r="U30">
            <v>0</v>
          </cell>
          <cell r="V30">
            <v>0</v>
          </cell>
        </row>
        <row r="31">
          <cell r="C31" t="str">
            <v>1990NE</v>
          </cell>
          <cell r="D31">
            <v>4785</v>
          </cell>
          <cell r="E31">
            <v>934400</v>
          </cell>
          <cell r="F31">
            <v>85500</v>
          </cell>
          <cell r="G31">
            <v>880</v>
          </cell>
          <cell r="H31">
            <v>108570</v>
          </cell>
          <cell r="I31">
            <v>13440</v>
          </cell>
          <cell r="J31">
            <v>750</v>
          </cell>
          <cell r="K31">
            <v>0</v>
          </cell>
          <cell r="L31">
            <v>0</v>
          </cell>
          <cell r="M31">
            <v>81420</v>
          </cell>
          <cell r="N31">
            <v>0</v>
          </cell>
          <cell r="O31">
            <v>0</v>
          </cell>
          <cell r="P31">
            <v>0</v>
          </cell>
          <cell r="Q31">
            <v>0</v>
          </cell>
          <cell r="R31">
            <v>0</v>
          </cell>
          <cell r="S31">
            <v>0</v>
          </cell>
          <cell r="T31">
            <v>0</v>
          </cell>
          <cell r="U31">
            <v>0</v>
          </cell>
          <cell r="V31">
            <v>0</v>
          </cell>
        </row>
        <row r="32">
          <cell r="C32" t="str">
            <v>1990NV</v>
          </cell>
          <cell r="D32">
            <v>984</v>
          </cell>
          <cell r="E32">
            <v>0</v>
          </cell>
          <cell r="F32">
            <v>980</v>
          </cell>
          <cell r="G32">
            <v>675</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row>
        <row r="33">
          <cell r="C33" t="str">
            <v>1990NH</v>
          </cell>
          <cell r="D33">
            <v>33</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row>
        <row r="34">
          <cell r="C34" t="str">
            <v>1990NJ</v>
          </cell>
          <cell r="D34">
            <v>78</v>
          </cell>
          <cell r="E34">
            <v>8850</v>
          </cell>
          <cell r="F34">
            <v>1247</v>
          </cell>
          <cell r="G34">
            <v>372</v>
          </cell>
          <cell r="H34">
            <v>0</v>
          </cell>
          <cell r="I34">
            <v>0</v>
          </cell>
          <cell r="J34">
            <v>144</v>
          </cell>
          <cell r="K34">
            <v>0</v>
          </cell>
          <cell r="L34">
            <v>0</v>
          </cell>
          <cell r="M34">
            <v>3996</v>
          </cell>
          <cell r="N34">
            <v>0</v>
          </cell>
          <cell r="O34">
            <v>0</v>
          </cell>
          <cell r="P34">
            <v>0</v>
          </cell>
          <cell r="Q34">
            <v>0</v>
          </cell>
          <cell r="R34">
            <v>0</v>
          </cell>
          <cell r="S34">
            <v>0</v>
          </cell>
          <cell r="T34">
            <v>0</v>
          </cell>
          <cell r="U34">
            <v>0</v>
          </cell>
          <cell r="V34">
            <v>0</v>
          </cell>
        </row>
        <row r="35">
          <cell r="C35" t="str">
            <v>1990NM</v>
          </cell>
          <cell r="D35">
            <v>1250</v>
          </cell>
          <cell r="E35">
            <v>7975</v>
          </cell>
          <cell r="F35">
            <v>8100</v>
          </cell>
          <cell r="G35">
            <v>0</v>
          </cell>
          <cell r="H35">
            <v>3250</v>
          </cell>
          <cell r="I35">
            <v>0</v>
          </cell>
          <cell r="J35">
            <v>0</v>
          </cell>
          <cell r="K35">
            <v>0</v>
          </cell>
          <cell r="L35">
            <v>0</v>
          </cell>
          <cell r="M35">
            <v>0</v>
          </cell>
          <cell r="N35">
            <v>50000</v>
          </cell>
          <cell r="O35">
            <v>0</v>
          </cell>
          <cell r="P35">
            <v>0</v>
          </cell>
          <cell r="Q35">
            <v>0</v>
          </cell>
          <cell r="R35">
            <v>0</v>
          </cell>
          <cell r="S35">
            <v>0</v>
          </cell>
          <cell r="T35">
            <v>0</v>
          </cell>
          <cell r="U35">
            <v>0</v>
          </cell>
          <cell r="V35">
            <v>0</v>
          </cell>
        </row>
        <row r="36">
          <cell r="C36" t="str">
            <v>1990NY</v>
          </cell>
          <cell r="D36">
            <v>2193</v>
          </cell>
          <cell r="E36">
            <v>60760</v>
          </cell>
          <cell r="F36">
            <v>7105</v>
          </cell>
          <cell r="G36">
            <v>0</v>
          </cell>
          <cell r="H36">
            <v>0</v>
          </cell>
          <cell r="I36">
            <v>8235</v>
          </cell>
          <cell r="J36">
            <v>260</v>
          </cell>
          <cell r="K36">
            <v>0</v>
          </cell>
          <cell r="L36">
            <v>0</v>
          </cell>
          <cell r="M36">
            <v>0</v>
          </cell>
          <cell r="N36">
            <v>0</v>
          </cell>
          <cell r="O36">
            <v>0</v>
          </cell>
          <cell r="P36">
            <v>0</v>
          </cell>
          <cell r="Q36">
            <v>0</v>
          </cell>
          <cell r="R36">
            <v>0</v>
          </cell>
          <cell r="S36">
            <v>0</v>
          </cell>
          <cell r="T36">
            <v>0</v>
          </cell>
          <cell r="U36">
            <v>0</v>
          </cell>
          <cell r="V36">
            <v>0</v>
          </cell>
        </row>
        <row r="37">
          <cell r="C37" t="str">
            <v>1990NC</v>
          </cell>
          <cell r="D37">
            <v>87</v>
          </cell>
          <cell r="E37">
            <v>72760</v>
          </cell>
          <cell r="F37">
            <v>22550</v>
          </cell>
          <cell r="G37">
            <v>1590</v>
          </cell>
          <cell r="H37">
            <v>1840</v>
          </cell>
          <cell r="I37">
            <v>2440</v>
          </cell>
          <cell r="J37">
            <v>345</v>
          </cell>
          <cell r="K37">
            <v>0</v>
          </cell>
          <cell r="L37">
            <v>0</v>
          </cell>
          <cell r="M37">
            <v>32400</v>
          </cell>
          <cell r="N37">
            <v>475600</v>
          </cell>
          <cell r="O37">
            <v>0</v>
          </cell>
          <cell r="P37">
            <v>0</v>
          </cell>
          <cell r="Q37">
            <v>0</v>
          </cell>
          <cell r="R37">
            <v>0</v>
          </cell>
          <cell r="S37">
            <v>0</v>
          </cell>
          <cell r="T37">
            <v>0</v>
          </cell>
          <cell r="U37">
            <v>0</v>
          </cell>
          <cell r="V37">
            <v>0</v>
          </cell>
        </row>
        <row r="38">
          <cell r="C38" t="str">
            <v>1990ND</v>
          </cell>
          <cell r="D38">
            <v>1540</v>
          </cell>
          <cell r="E38">
            <v>36800</v>
          </cell>
          <cell r="F38">
            <v>385220</v>
          </cell>
          <cell r="G38">
            <v>129850</v>
          </cell>
          <cell r="H38">
            <v>0</v>
          </cell>
          <cell r="I38">
            <v>30600</v>
          </cell>
          <cell r="J38">
            <v>780</v>
          </cell>
          <cell r="K38">
            <v>0</v>
          </cell>
          <cell r="L38">
            <v>0</v>
          </cell>
          <cell r="M38">
            <v>12870</v>
          </cell>
          <cell r="N38">
            <v>0</v>
          </cell>
          <cell r="O38">
            <v>5005</v>
          </cell>
          <cell r="P38">
            <v>0</v>
          </cell>
          <cell r="Q38">
            <v>0</v>
          </cell>
          <cell r="R38">
            <v>0</v>
          </cell>
          <cell r="S38">
            <v>0</v>
          </cell>
          <cell r="T38">
            <v>0</v>
          </cell>
          <cell r="U38">
            <v>0</v>
          </cell>
          <cell r="V38">
            <v>0</v>
          </cell>
        </row>
        <row r="39">
          <cell r="C39" t="str">
            <v>1990OH</v>
          </cell>
          <cell r="D39">
            <v>2800</v>
          </cell>
          <cell r="E39">
            <v>417450</v>
          </cell>
          <cell r="F39">
            <v>76200</v>
          </cell>
          <cell r="G39">
            <v>0</v>
          </cell>
          <cell r="H39">
            <v>0</v>
          </cell>
          <cell r="I39">
            <v>16100</v>
          </cell>
          <cell r="J39">
            <v>175</v>
          </cell>
          <cell r="K39">
            <v>0</v>
          </cell>
          <cell r="L39">
            <v>0</v>
          </cell>
          <cell r="M39">
            <v>135720</v>
          </cell>
          <cell r="N39">
            <v>0</v>
          </cell>
          <cell r="O39">
            <v>0</v>
          </cell>
          <cell r="P39">
            <v>0</v>
          </cell>
          <cell r="Q39">
            <v>0</v>
          </cell>
          <cell r="R39">
            <v>0</v>
          </cell>
          <cell r="S39">
            <v>0</v>
          </cell>
          <cell r="T39">
            <v>0</v>
          </cell>
          <cell r="U39">
            <v>0</v>
          </cell>
          <cell r="V39">
            <v>0</v>
          </cell>
        </row>
        <row r="40">
          <cell r="C40" t="str">
            <v>1990OK</v>
          </cell>
          <cell r="D40">
            <v>1376</v>
          </cell>
          <cell r="E40">
            <v>10032</v>
          </cell>
          <cell r="F40">
            <v>198400</v>
          </cell>
          <cell r="G40">
            <v>697</v>
          </cell>
          <cell r="H40">
            <v>16450</v>
          </cell>
          <cell r="I40">
            <v>2280</v>
          </cell>
          <cell r="J40">
            <v>420</v>
          </cell>
          <cell r="K40">
            <v>0</v>
          </cell>
          <cell r="L40">
            <v>0</v>
          </cell>
          <cell r="M40">
            <v>4620</v>
          </cell>
          <cell r="N40">
            <v>235320</v>
          </cell>
          <cell r="O40">
            <v>0</v>
          </cell>
          <cell r="P40">
            <v>0</v>
          </cell>
          <cell r="Q40">
            <v>0</v>
          </cell>
          <cell r="R40">
            <v>0</v>
          </cell>
          <cell r="S40">
            <v>0</v>
          </cell>
          <cell r="T40">
            <v>0</v>
          </cell>
          <cell r="U40">
            <v>1.5247999999999999</v>
          </cell>
          <cell r="V40">
            <v>0</v>
          </cell>
          <cell r="W40">
            <v>0.9</v>
          </cell>
        </row>
        <row r="41">
          <cell r="C41" t="str">
            <v>1990OR</v>
          </cell>
          <cell r="D41">
            <v>1806</v>
          </cell>
          <cell r="E41">
            <v>2700</v>
          </cell>
          <cell r="F41">
            <v>57616</v>
          </cell>
          <cell r="G41">
            <v>9100</v>
          </cell>
          <cell r="H41">
            <v>0</v>
          </cell>
          <cell r="I41">
            <v>4590</v>
          </cell>
          <cell r="J41">
            <v>0</v>
          </cell>
          <cell r="K41">
            <v>0</v>
          </cell>
          <cell r="L41">
            <v>0</v>
          </cell>
          <cell r="M41">
            <v>0</v>
          </cell>
          <cell r="N41">
            <v>0</v>
          </cell>
          <cell r="O41">
            <v>0</v>
          </cell>
          <cell r="P41">
            <v>0</v>
          </cell>
          <cell r="Q41">
            <v>0</v>
          </cell>
          <cell r="R41">
            <v>0</v>
          </cell>
          <cell r="S41">
            <v>0</v>
          </cell>
          <cell r="T41">
            <v>0</v>
          </cell>
          <cell r="U41">
            <v>0</v>
          </cell>
          <cell r="V41">
            <v>0</v>
          </cell>
        </row>
        <row r="42">
          <cell r="C42" t="str">
            <v>1990PA</v>
          </cell>
          <cell r="D42">
            <v>2430</v>
          </cell>
          <cell r="E42">
            <v>109610</v>
          </cell>
          <cell r="F42">
            <v>10500</v>
          </cell>
          <cell r="G42">
            <v>4140</v>
          </cell>
          <cell r="H42">
            <v>0</v>
          </cell>
          <cell r="I42">
            <v>15840</v>
          </cell>
          <cell r="J42">
            <v>496</v>
          </cell>
          <cell r="K42">
            <v>0</v>
          </cell>
          <cell r="L42">
            <v>0</v>
          </cell>
          <cell r="M42">
            <v>11275</v>
          </cell>
          <cell r="N42">
            <v>0</v>
          </cell>
          <cell r="O42">
            <v>0</v>
          </cell>
          <cell r="P42">
            <v>0</v>
          </cell>
          <cell r="Q42">
            <v>0</v>
          </cell>
          <cell r="R42">
            <v>0</v>
          </cell>
          <cell r="S42">
            <v>0</v>
          </cell>
          <cell r="T42">
            <v>0</v>
          </cell>
          <cell r="U42">
            <v>0</v>
          </cell>
          <cell r="V42">
            <v>0</v>
          </cell>
        </row>
        <row r="43">
          <cell r="C43" t="str">
            <v>1990RI</v>
          </cell>
          <cell r="D43">
            <v>8</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row>
        <row r="44">
          <cell r="C44" t="str">
            <v>1990SC</v>
          </cell>
          <cell r="D44">
            <v>0</v>
          </cell>
          <cell r="E44">
            <v>15360</v>
          </cell>
          <cell r="F44">
            <v>14440</v>
          </cell>
          <cell r="G44">
            <v>676</v>
          </cell>
          <cell r="H44">
            <v>264</v>
          </cell>
          <cell r="I44">
            <v>1824</v>
          </cell>
          <cell r="J44">
            <v>594</v>
          </cell>
          <cell r="K44">
            <v>0</v>
          </cell>
          <cell r="L44">
            <v>0</v>
          </cell>
          <cell r="M44">
            <v>13875</v>
          </cell>
          <cell r="N44">
            <v>30105</v>
          </cell>
          <cell r="O44">
            <v>0</v>
          </cell>
          <cell r="P44">
            <v>0</v>
          </cell>
          <cell r="Q44">
            <v>0</v>
          </cell>
          <cell r="R44">
            <v>0</v>
          </cell>
          <cell r="S44">
            <v>0</v>
          </cell>
          <cell r="T44">
            <v>0</v>
          </cell>
          <cell r="U44">
            <v>0</v>
          </cell>
          <cell r="V44">
            <v>0</v>
          </cell>
        </row>
        <row r="45">
          <cell r="C45" t="str">
            <v>1990SD</v>
          </cell>
          <cell r="D45">
            <v>3780</v>
          </cell>
          <cell r="E45">
            <v>234000</v>
          </cell>
          <cell r="F45">
            <v>128004</v>
          </cell>
          <cell r="G45">
            <v>24500</v>
          </cell>
          <cell r="H45">
            <v>14300</v>
          </cell>
          <cell r="I45">
            <v>53200</v>
          </cell>
          <cell r="J45">
            <v>1870</v>
          </cell>
          <cell r="K45">
            <v>0</v>
          </cell>
          <cell r="L45">
            <v>0</v>
          </cell>
          <cell r="M45">
            <v>53760</v>
          </cell>
          <cell r="N45">
            <v>0</v>
          </cell>
          <cell r="O45">
            <v>0</v>
          </cell>
          <cell r="P45">
            <v>0</v>
          </cell>
          <cell r="Q45">
            <v>0</v>
          </cell>
          <cell r="R45">
            <v>0</v>
          </cell>
          <cell r="S45">
            <v>0</v>
          </cell>
          <cell r="T45">
            <v>0</v>
          </cell>
          <cell r="U45">
            <v>0</v>
          </cell>
          <cell r="V45">
            <v>0</v>
          </cell>
        </row>
        <row r="46">
          <cell r="C46" t="str">
            <v>1990TN</v>
          </cell>
          <cell r="D46">
            <v>252</v>
          </cell>
          <cell r="E46">
            <v>43860</v>
          </cell>
          <cell r="F46">
            <v>17640</v>
          </cell>
          <cell r="G46">
            <v>0</v>
          </cell>
          <cell r="H46">
            <v>4235</v>
          </cell>
          <cell r="I46">
            <v>0</v>
          </cell>
          <cell r="J46">
            <v>0</v>
          </cell>
          <cell r="K46">
            <v>0</v>
          </cell>
          <cell r="L46">
            <v>0</v>
          </cell>
          <cell r="M46">
            <v>33750</v>
          </cell>
          <cell r="N46">
            <v>0</v>
          </cell>
          <cell r="O46">
            <v>0</v>
          </cell>
          <cell r="P46">
            <v>0</v>
          </cell>
          <cell r="Q46">
            <v>0</v>
          </cell>
          <cell r="R46">
            <v>0</v>
          </cell>
          <cell r="S46">
            <v>0</v>
          </cell>
          <cell r="T46">
            <v>0</v>
          </cell>
          <cell r="U46">
            <v>0</v>
          </cell>
          <cell r="V46">
            <v>0</v>
          </cell>
        </row>
        <row r="47">
          <cell r="C47" t="str">
            <v>1990TX</v>
          </cell>
          <cell r="D47">
            <v>400</v>
          </cell>
          <cell r="E47">
            <v>130500</v>
          </cell>
          <cell r="F47">
            <v>130200</v>
          </cell>
          <cell r="G47">
            <v>608</v>
          </cell>
          <cell r="H47">
            <v>135200</v>
          </cell>
          <cell r="I47">
            <v>9225</v>
          </cell>
          <cell r="J47">
            <v>140</v>
          </cell>
          <cell r="K47">
            <v>0</v>
          </cell>
          <cell r="L47">
            <v>21180</v>
          </cell>
          <cell r="M47">
            <v>5000</v>
          </cell>
          <cell r="N47">
            <v>534650</v>
          </cell>
          <cell r="O47">
            <v>0</v>
          </cell>
          <cell r="P47">
            <v>0</v>
          </cell>
          <cell r="Q47">
            <v>0</v>
          </cell>
          <cell r="R47">
            <v>0</v>
          </cell>
          <cell r="S47">
            <v>0</v>
          </cell>
          <cell r="T47">
            <v>950</v>
          </cell>
          <cell r="U47">
            <v>353</v>
          </cell>
          <cell r="V47">
            <v>141</v>
          </cell>
          <cell r="W47">
            <v>0.01</v>
          </cell>
        </row>
        <row r="48">
          <cell r="C48" t="str">
            <v>1990UT</v>
          </cell>
          <cell r="D48">
            <v>1843</v>
          </cell>
          <cell r="E48">
            <v>2660</v>
          </cell>
          <cell r="F48">
            <v>7170</v>
          </cell>
          <cell r="G48">
            <v>8505</v>
          </cell>
          <cell r="H48">
            <v>0</v>
          </cell>
          <cell r="I48">
            <v>816</v>
          </cell>
          <cell r="J48">
            <v>0</v>
          </cell>
          <cell r="K48">
            <v>0</v>
          </cell>
          <cell r="L48">
            <v>0</v>
          </cell>
          <cell r="M48">
            <v>0</v>
          </cell>
          <cell r="N48">
            <v>0</v>
          </cell>
          <cell r="O48">
            <v>0</v>
          </cell>
          <cell r="P48">
            <v>0</v>
          </cell>
          <cell r="Q48">
            <v>0</v>
          </cell>
          <cell r="R48">
            <v>0</v>
          </cell>
          <cell r="S48">
            <v>0</v>
          </cell>
          <cell r="T48">
            <v>0</v>
          </cell>
          <cell r="U48">
            <v>0</v>
          </cell>
          <cell r="V48">
            <v>0</v>
          </cell>
        </row>
        <row r="49">
          <cell r="C49" t="str">
            <v>1990VT</v>
          </cell>
          <cell r="D49">
            <v>240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row>
        <row r="50">
          <cell r="C50" t="str">
            <v>1990VA</v>
          </cell>
          <cell r="D50">
            <v>560</v>
          </cell>
          <cell r="E50">
            <v>36500</v>
          </cell>
          <cell r="F50">
            <v>12220</v>
          </cell>
          <cell r="G50">
            <v>5280</v>
          </cell>
          <cell r="H50">
            <v>0</v>
          </cell>
          <cell r="I50">
            <v>0</v>
          </cell>
          <cell r="J50">
            <v>256</v>
          </cell>
          <cell r="K50">
            <v>0</v>
          </cell>
          <cell r="L50">
            <v>0</v>
          </cell>
          <cell r="M50">
            <v>16800</v>
          </cell>
          <cell r="N50">
            <v>309915</v>
          </cell>
          <cell r="O50">
            <v>0</v>
          </cell>
          <cell r="P50">
            <v>0</v>
          </cell>
          <cell r="Q50">
            <v>0</v>
          </cell>
          <cell r="R50">
            <v>0</v>
          </cell>
          <cell r="S50">
            <v>0</v>
          </cell>
          <cell r="T50">
            <v>0</v>
          </cell>
          <cell r="U50">
            <v>0</v>
          </cell>
          <cell r="V50">
            <v>0</v>
          </cell>
        </row>
        <row r="51">
          <cell r="C51" t="str">
            <v>1990WA</v>
          </cell>
          <cell r="D51">
            <v>2256</v>
          </cell>
          <cell r="E51">
            <v>14000</v>
          </cell>
          <cell r="F51">
            <v>150080</v>
          </cell>
          <cell r="G51">
            <v>22620</v>
          </cell>
          <cell r="H51">
            <v>0</v>
          </cell>
          <cell r="I51">
            <v>2640</v>
          </cell>
          <cell r="J51">
            <v>0</v>
          </cell>
          <cell r="K51">
            <v>0</v>
          </cell>
          <cell r="L51">
            <v>0</v>
          </cell>
          <cell r="M51">
            <v>0</v>
          </cell>
          <cell r="N51">
            <v>0</v>
          </cell>
          <cell r="O51">
            <v>0</v>
          </cell>
          <cell r="P51">
            <v>0</v>
          </cell>
          <cell r="Q51">
            <v>0</v>
          </cell>
          <cell r="R51">
            <v>0</v>
          </cell>
          <cell r="S51">
            <v>0</v>
          </cell>
          <cell r="T51">
            <v>0</v>
          </cell>
          <cell r="U51">
            <v>0</v>
          </cell>
          <cell r="V51">
            <v>0</v>
          </cell>
        </row>
        <row r="52">
          <cell r="C52" t="str">
            <v>1990WV</v>
          </cell>
          <cell r="D52">
            <v>192</v>
          </cell>
          <cell r="E52">
            <v>5250</v>
          </cell>
          <cell r="F52">
            <v>552</v>
          </cell>
          <cell r="G52">
            <v>0</v>
          </cell>
          <cell r="H52">
            <v>0</v>
          </cell>
          <cell r="I52">
            <v>342</v>
          </cell>
          <cell r="J52">
            <v>0</v>
          </cell>
          <cell r="K52">
            <v>0</v>
          </cell>
          <cell r="L52">
            <v>0</v>
          </cell>
          <cell r="M52">
            <v>0</v>
          </cell>
          <cell r="N52">
            <v>0</v>
          </cell>
          <cell r="O52">
            <v>0</v>
          </cell>
          <cell r="P52">
            <v>0</v>
          </cell>
          <cell r="Q52">
            <v>0</v>
          </cell>
          <cell r="R52">
            <v>0</v>
          </cell>
          <cell r="S52">
            <v>0</v>
          </cell>
          <cell r="T52">
            <v>0</v>
          </cell>
          <cell r="U52">
            <v>0</v>
          </cell>
          <cell r="V52">
            <v>0</v>
          </cell>
        </row>
        <row r="53">
          <cell r="C53" t="str">
            <v>1990WI</v>
          </cell>
          <cell r="D53">
            <v>8400</v>
          </cell>
          <cell r="E53">
            <v>354000</v>
          </cell>
          <cell r="F53">
            <v>10085</v>
          </cell>
          <cell r="G53">
            <v>2700</v>
          </cell>
          <cell r="H53">
            <v>0</v>
          </cell>
          <cell r="I53">
            <v>47570</v>
          </cell>
          <cell r="J53">
            <v>465</v>
          </cell>
          <cell r="K53">
            <v>0</v>
          </cell>
          <cell r="L53">
            <v>0</v>
          </cell>
          <cell r="M53">
            <v>17630</v>
          </cell>
          <cell r="N53">
            <v>0</v>
          </cell>
          <cell r="O53">
            <v>0</v>
          </cell>
          <cell r="P53">
            <v>0</v>
          </cell>
          <cell r="Q53">
            <v>0</v>
          </cell>
          <cell r="R53">
            <v>0</v>
          </cell>
          <cell r="S53">
            <v>0</v>
          </cell>
          <cell r="T53">
            <v>0</v>
          </cell>
          <cell r="U53">
            <v>0</v>
          </cell>
          <cell r="V53">
            <v>0</v>
          </cell>
        </row>
        <row r="54">
          <cell r="C54" t="str">
            <v>1990WY</v>
          </cell>
          <cell r="D54">
            <v>1368</v>
          </cell>
          <cell r="E54">
            <v>6000</v>
          </cell>
          <cell r="F54">
            <v>6113</v>
          </cell>
          <cell r="G54">
            <v>9250</v>
          </cell>
          <cell r="H54">
            <v>0</v>
          </cell>
          <cell r="I54">
            <v>1540</v>
          </cell>
          <cell r="J54">
            <v>0</v>
          </cell>
          <cell r="K54">
            <v>0</v>
          </cell>
          <cell r="L54">
            <v>0</v>
          </cell>
          <cell r="M54">
            <v>0</v>
          </cell>
          <cell r="N54">
            <v>0</v>
          </cell>
          <cell r="O54">
            <v>0</v>
          </cell>
          <cell r="P54">
            <v>0</v>
          </cell>
          <cell r="Q54">
            <v>0</v>
          </cell>
          <cell r="R54">
            <v>0</v>
          </cell>
          <cell r="S54">
            <v>0</v>
          </cell>
          <cell r="T54">
            <v>0</v>
          </cell>
          <cell r="U54">
            <v>0</v>
          </cell>
          <cell r="V54">
            <v>0</v>
          </cell>
        </row>
        <row r="55">
          <cell r="C55" t="str">
            <v>1990US</v>
          </cell>
          <cell r="D55">
            <v>83413</v>
          </cell>
          <cell r="E55">
            <v>7934028</v>
          </cell>
          <cell r="F55">
            <v>2729778</v>
          </cell>
          <cell r="G55">
            <v>422196</v>
          </cell>
          <cell r="H55">
            <v>573303</v>
          </cell>
          <cell r="I55">
            <v>357654</v>
          </cell>
          <cell r="J55">
            <v>10176</v>
          </cell>
          <cell r="K55">
            <v>0</v>
          </cell>
          <cell r="L55">
            <v>156088</v>
          </cell>
          <cell r="M55">
            <v>1925947</v>
          </cell>
          <cell r="N55">
            <v>3603650</v>
          </cell>
          <cell r="O55">
            <v>0</v>
          </cell>
          <cell r="P55">
            <v>0</v>
          </cell>
          <cell r="Q55">
            <v>0</v>
          </cell>
          <cell r="R55">
            <v>0</v>
          </cell>
          <cell r="S55">
            <v>0</v>
          </cell>
          <cell r="T55">
            <v>28136</v>
          </cell>
        </row>
        <row r="56">
          <cell r="C56" t="str">
            <v>1991AL</v>
          </cell>
          <cell r="D56">
            <v>0</v>
          </cell>
          <cell r="E56">
            <v>16800</v>
          </cell>
          <cell r="F56">
            <v>2750</v>
          </cell>
          <cell r="G56">
            <v>0</v>
          </cell>
          <cell r="H56">
            <v>1265</v>
          </cell>
          <cell r="I56">
            <v>875</v>
          </cell>
          <cell r="J56">
            <v>0</v>
          </cell>
          <cell r="K56">
            <v>0</v>
          </cell>
          <cell r="L56">
            <v>0</v>
          </cell>
          <cell r="M56">
            <v>8050</v>
          </cell>
          <cell r="N56">
            <v>638485</v>
          </cell>
          <cell r="O56">
            <v>0</v>
          </cell>
          <cell r="P56">
            <v>0</v>
          </cell>
          <cell r="Q56">
            <v>0</v>
          </cell>
          <cell r="R56">
            <v>0</v>
          </cell>
          <cell r="S56">
            <v>0</v>
          </cell>
          <cell r="T56">
            <v>0</v>
          </cell>
          <cell r="U56">
            <v>0</v>
          </cell>
          <cell r="V56">
            <v>0</v>
          </cell>
        </row>
        <row r="57">
          <cell r="C57" t="str">
            <v>1991AK</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row>
        <row r="58">
          <cell r="C58" t="str">
            <v>1991AZ</v>
          </cell>
          <cell r="D58">
            <v>1309</v>
          </cell>
          <cell r="E58">
            <v>850</v>
          </cell>
          <cell r="F58">
            <v>6750</v>
          </cell>
          <cell r="G58">
            <v>2400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row>
        <row r="59">
          <cell r="C59" t="str">
            <v>1991AR</v>
          </cell>
          <cell r="D59">
            <v>90</v>
          </cell>
          <cell r="E59">
            <v>8000</v>
          </cell>
          <cell r="F59">
            <v>20460</v>
          </cell>
          <cell r="G59">
            <v>0</v>
          </cell>
          <cell r="H59">
            <v>15390</v>
          </cell>
          <cell r="I59">
            <v>1680</v>
          </cell>
          <cell r="J59">
            <v>0</v>
          </cell>
          <cell r="K59">
            <v>0</v>
          </cell>
          <cell r="L59">
            <v>66780</v>
          </cell>
          <cell r="M59">
            <v>89600</v>
          </cell>
          <cell r="N59">
            <v>0</v>
          </cell>
          <cell r="O59">
            <v>0</v>
          </cell>
          <cell r="P59">
            <v>0</v>
          </cell>
          <cell r="Q59">
            <v>0</v>
          </cell>
          <cell r="R59">
            <v>0</v>
          </cell>
          <cell r="S59">
            <v>0</v>
          </cell>
          <cell r="T59">
            <v>0</v>
          </cell>
          <cell r="U59">
            <v>1260</v>
          </cell>
          <cell r="V59">
            <v>0</v>
          </cell>
          <cell r="W59">
            <v>0.13</v>
          </cell>
        </row>
        <row r="60">
          <cell r="C60" t="str">
            <v>1991CA</v>
          </cell>
          <cell r="D60">
            <v>7035</v>
          </cell>
          <cell r="E60">
            <v>18400</v>
          </cell>
          <cell r="F60">
            <v>36160</v>
          </cell>
          <cell r="G60">
            <v>9440</v>
          </cell>
          <cell r="H60">
            <v>0</v>
          </cell>
          <cell r="I60">
            <v>3375</v>
          </cell>
          <cell r="J60">
            <v>0</v>
          </cell>
          <cell r="K60">
            <v>0</v>
          </cell>
          <cell r="L60">
            <v>30260</v>
          </cell>
          <cell r="M60">
            <v>0</v>
          </cell>
          <cell r="N60">
            <v>0</v>
          </cell>
          <cell r="O60">
            <v>0</v>
          </cell>
          <cell r="P60">
            <v>0</v>
          </cell>
          <cell r="Q60">
            <v>0</v>
          </cell>
          <cell r="R60">
            <v>0</v>
          </cell>
          <cell r="S60">
            <v>0</v>
          </cell>
          <cell r="T60">
            <v>0</v>
          </cell>
          <cell r="U60">
            <v>356</v>
          </cell>
          <cell r="V60">
            <v>0</v>
          </cell>
          <cell r="W60">
            <v>0.75</v>
          </cell>
        </row>
        <row r="61">
          <cell r="C61" t="str">
            <v>1991CO</v>
          </cell>
          <cell r="D61">
            <v>2736</v>
          </cell>
          <cell r="E61">
            <v>133110</v>
          </cell>
          <cell r="F61">
            <v>74000</v>
          </cell>
          <cell r="G61">
            <v>10400</v>
          </cell>
          <cell r="H61">
            <v>10800</v>
          </cell>
          <cell r="I61">
            <v>1800</v>
          </cell>
          <cell r="J61">
            <v>78</v>
          </cell>
          <cell r="K61">
            <v>0</v>
          </cell>
          <cell r="L61">
            <v>0</v>
          </cell>
          <cell r="M61">
            <v>0</v>
          </cell>
          <cell r="N61">
            <v>0</v>
          </cell>
          <cell r="O61">
            <v>0</v>
          </cell>
          <cell r="P61">
            <v>0</v>
          </cell>
          <cell r="Q61">
            <v>0</v>
          </cell>
          <cell r="R61">
            <v>0</v>
          </cell>
          <cell r="S61">
            <v>0</v>
          </cell>
          <cell r="T61">
            <v>0</v>
          </cell>
          <cell r="U61">
            <v>0</v>
          </cell>
          <cell r="V61">
            <v>0</v>
          </cell>
        </row>
        <row r="62">
          <cell r="C62" t="str">
            <v>1991CT</v>
          </cell>
          <cell r="D62">
            <v>51</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row>
        <row r="63">
          <cell r="C63" t="str">
            <v>1991DE</v>
          </cell>
          <cell r="D63">
            <v>21</v>
          </cell>
          <cell r="E63">
            <v>17914</v>
          </cell>
          <cell r="F63">
            <v>3551</v>
          </cell>
          <cell r="G63">
            <v>2516</v>
          </cell>
          <cell r="H63">
            <v>0</v>
          </cell>
          <cell r="I63">
            <v>0</v>
          </cell>
          <cell r="J63">
            <v>0</v>
          </cell>
          <cell r="K63">
            <v>0</v>
          </cell>
          <cell r="L63">
            <v>0</v>
          </cell>
          <cell r="M63">
            <v>8750</v>
          </cell>
          <cell r="N63">
            <v>0</v>
          </cell>
          <cell r="O63">
            <v>0</v>
          </cell>
          <cell r="P63">
            <v>0</v>
          </cell>
          <cell r="Q63">
            <v>0</v>
          </cell>
          <cell r="R63">
            <v>0</v>
          </cell>
          <cell r="S63">
            <v>0</v>
          </cell>
          <cell r="T63">
            <v>0</v>
          </cell>
          <cell r="U63">
            <v>0</v>
          </cell>
          <cell r="V63">
            <v>0</v>
          </cell>
        </row>
        <row r="64">
          <cell r="C64" t="str">
            <v>1991FL</v>
          </cell>
          <cell r="D64">
            <v>0</v>
          </cell>
          <cell r="E64">
            <v>5100</v>
          </cell>
          <cell r="F64">
            <v>575</v>
          </cell>
          <cell r="G64">
            <v>0</v>
          </cell>
          <cell r="H64">
            <v>0</v>
          </cell>
          <cell r="I64">
            <v>0</v>
          </cell>
          <cell r="J64">
            <v>0</v>
          </cell>
          <cell r="K64">
            <v>0</v>
          </cell>
          <cell r="L64">
            <v>941.99690759671296</v>
          </cell>
          <cell r="M64">
            <v>1161</v>
          </cell>
          <cell r="N64">
            <v>279660</v>
          </cell>
          <cell r="O64">
            <v>0</v>
          </cell>
          <cell r="P64">
            <v>0</v>
          </cell>
          <cell r="Q64">
            <v>0</v>
          </cell>
          <cell r="R64">
            <v>0</v>
          </cell>
          <cell r="S64">
            <v>0</v>
          </cell>
          <cell r="T64">
            <v>15461</v>
          </cell>
          <cell r="U64">
            <v>21</v>
          </cell>
          <cell r="V64">
            <v>11</v>
          </cell>
          <cell r="W64">
            <v>0</v>
          </cell>
        </row>
        <row r="65">
          <cell r="C65" t="str">
            <v>1991GA</v>
          </cell>
          <cell r="D65">
            <v>0</v>
          </cell>
          <cell r="E65">
            <v>55000</v>
          </cell>
          <cell r="F65">
            <v>14025</v>
          </cell>
          <cell r="G65">
            <v>0</v>
          </cell>
          <cell r="H65">
            <v>2500</v>
          </cell>
          <cell r="I65">
            <v>3000</v>
          </cell>
          <cell r="J65">
            <v>1300</v>
          </cell>
          <cell r="K65">
            <v>0</v>
          </cell>
          <cell r="L65">
            <v>0</v>
          </cell>
          <cell r="M65">
            <v>15930</v>
          </cell>
          <cell r="N65">
            <v>2228550</v>
          </cell>
          <cell r="O65">
            <v>0</v>
          </cell>
          <cell r="P65">
            <v>0</v>
          </cell>
          <cell r="Q65">
            <v>0</v>
          </cell>
          <cell r="R65">
            <v>0</v>
          </cell>
          <cell r="S65">
            <v>0</v>
          </cell>
          <cell r="T65">
            <v>0</v>
          </cell>
          <cell r="U65">
            <v>0</v>
          </cell>
          <cell r="V65">
            <v>0</v>
          </cell>
        </row>
        <row r="66">
          <cell r="C66" t="str">
            <v>1991HI</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6061</v>
          </cell>
          <cell r="U66">
            <v>0</v>
          </cell>
          <cell r="V66">
            <v>0</v>
          </cell>
        </row>
        <row r="67">
          <cell r="C67" t="str">
            <v>1991ID</v>
          </cell>
          <cell r="D67">
            <v>3914</v>
          </cell>
          <cell r="E67">
            <v>7875</v>
          </cell>
          <cell r="F67">
            <v>81660</v>
          </cell>
          <cell r="G67">
            <v>59250</v>
          </cell>
          <cell r="H67">
            <v>0</v>
          </cell>
          <cell r="I67">
            <v>3060</v>
          </cell>
          <cell r="J67">
            <v>0</v>
          </cell>
          <cell r="K67">
            <v>0</v>
          </cell>
          <cell r="L67">
            <v>0</v>
          </cell>
          <cell r="M67">
            <v>0</v>
          </cell>
          <cell r="N67">
            <v>0</v>
          </cell>
          <cell r="O67">
            <v>0</v>
          </cell>
          <cell r="P67">
            <v>0</v>
          </cell>
          <cell r="Q67">
            <v>0</v>
          </cell>
          <cell r="R67">
            <v>0</v>
          </cell>
          <cell r="S67">
            <v>0</v>
          </cell>
          <cell r="T67">
            <v>0</v>
          </cell>
          <cell r="U67">
            <v>0</v>
          </cell>
          <cell r="V67">
            <v>0</v>
          </cell>
        </row>
        <row r="68">
          <cell r="C68" t="str">
            <v>1991IL</v>
          </cell>
          <cell r="D68">
            <v>2546</v>
          </cell>
          <cell r="E68">
            <v>1177000</v>
          </cell>
          <cell r="F68">
            <v>44800</v>
          </cell>
          <cell r="G68">
            <v>0</v>
          </cell>
          <cell r="H68">
            <v>13840</v>
          </cell>
          <cell r="I68">
            <v>6600</v>
          </cell>
          <cell r="J68">
            <v>162</v>
          </cell>
          <cell r="K68">
            <v>0</v>
          </cell>
          <cell r="L68">
            <v>0</v>
          </cell>
          <cell r="M68">
            <v>341250</v>
          </cell>
          <cell r="N68">
            <v>0</v>
          </cell>
          <cell r="O68">
            <v>0</v>
          </cell>
          <cell r="P68">
            <v>0</v>
          </cell>
          <cell r="Q68">
            <v>0</v>
          </cell>
          <cell r="R68">
            <v>0</v>
          </cell>
          <cell r="S68">
            <v>0</v>
          </cell>
          <cell r="T68">
            <v>0</v>
          </cell>
          <cell r="U68">
            <v>0</v>
          </cell>
          <cell r="V68">
            <v>0</v>
          </cell>
        </row>
        <row r="69">
          <cell r="C69" t="str">
            <v>1991IN</v>
          </cell>
          <cell r="D69">
            <v>1125</v>
          </cell>
          <cell r="E69">
            <v>510600</v>
          </cell>
          <cell r="F69">
            <v>28800</v>
          </cell>
          <cell r="G69">
            <v>0</v>
          </cell>
          <cell r="H69">
            <v>0</v>
          </cell>
          <cell r="I69">
            <v>2565</v>
          </cell>
          <cell r="J69">
            <v>100</v>
          </cell>
          <cell r="K69">
            <v>0</v>
          </cell>
          <cell r="L69">
            <v>0</v>
          </cell>
          <cell r="M69">
            <v>171600</v>
          </cell>
          <cell r="N69">
            <v>0</v>
          </cell>
          <cell r="O69">
            <v>0</v>
          </cell>
          <cell r="P69">
            <v>0</v>
          </cell>
          <cell r="Q69">
            <v>0</v>
          </cell>
          <cell r="R69">
            <v>0</v>
          </cell>
          <cell r="S69">
            <v>0</v>
          </cell>
          <cell r="T69">
            <v>0</v>
          </cell>
          <cell r="U69">
            <v>0</v>
          </cell>
          <cell r="V69">
            <v>0</v>
          </cell>
        </row>
        <row r="70">
          <cell r="C70" t="str">
            <v>1991IA</v>
          </cell>
          <cell r="D70">
            <v>5550</v>
          </cell>
          <cell r="E70">
            <v>1427400</v>
          </cell>
          <cell r="F70">
            <v>1700</v>
          </cell>
          <cell r="G70">
            <v>0</v>
          </cell>
          <cell r="H70">
            <v>0</v>
          </cell>
          <cell r="I70">
            <v>21250</v>
          </cell>
          <cell r="J70">
            <v>0</v>
          </cell>
          <cell r="K70">
            <v>0</v>
          </cell>
          <cell r="L70">
            <v>0</v>
          </cell>
          <cell r="M70">
            <v>349515</v>
          </cell>
          <cell r="N70">
            <v>0</v>
          </cell>
          <cell r="O70">
            <v>0</v>
          </cell>
          <cell r="P70">
            <v>0</v>
          </cell>
          <cell r="Q70">
            <v>0</v>
          </cell>
          <cell r="R70">
            <v>0</v>
          </cell>
          <cell r="S70">
            <v>0</v>
          </cell>
          <cell r="T70">
            <v>0</v>
          </cell>
          <cell r="U70">
            <v>0</v>
          </cell>
          <cell r="V70">
            <v>0</v>
          </cell>
        </row>
        <row r="71">
          <cell r="C71" t="str">
            <v>1991KS</v>
          </cell>
          <cell r="D71">
            <v>2480</v>
          </cell>
          <cell r="E71">
            <v>206250</v>
          </cell>
          <cell r="F71">
            <v>363000</v>
          </cell>
          <cell r="G71">
            <v>759</v>
          </cell>
          <cell r="H71">
            <v>176400</v>
          </cell>
          <cell r="I71">
            <v>5830</v>
          </cell>
          <cell r="J71">
            <v>115</v>
          </cell>
          <cell r="K71">
            <v>0</v>
          </cell>
          <cell r="L71">
            <v>0</v>
          </cell>
          <cell r="M71">
            <v>43700</v>
          </cell>
          <cell r="N71">
            <v>0</v>
          </cell>
          <cell r="O71">
            <v>0</v>
          </cell>
          <cell r="P71">
            <v>0</v>
          </cell>
          <cell r="Q71">
            <v>0</v>
          </cell>
          <cell r="R71">
            <v>0</v>
          </cell>
          <cell r="S71">
            <v>0</v>
          </cell>
          <cell r="T71">
            <v>0</v>
          </cell>
          <cell r="U71">
            <v>0</v>
          </cell>
          <cell r="V71">
            <v>0</v>
          </cell>
        </row>
        <row r="72">
          <cell r="C72" t="str">
            <v>1991KY</v>
          </cell>
          <cell r="D72">
            <v>1225</v>
          </cell>
          <cell r="E72">
            <v>111250</v>
          </cell>
          <cell r="F72">
            <v>10800</v>
          </cell>
          <cell r="G72">
            <v>1210</v>
          </cell>
          <cell r="H72">
            <v>2044</v>
          </cell>
          <cell r="I72">
            <v>0</v>
          </cell>
          <cell r="J72">
            <v>0</v>
          </cell>
          <cell r="K72">
            <v>0</v>
          </cell>
          <cell r="L72">
            <v>0</v>
          </cell>
          <cell r="M72">
            <v>36725</v>
          </cell>
          <cell r="N72">
            <v>0</v>
          </cell>
          <cell r="O72">
            <v>0</v>
          </cell>
          <cell r="P72">
            <v>0</v>
          </cell>
          <cell r="Q72">
            <v>0</v>
          </cell>
          <cell r="R72">
            <v>0</v>
          </cell>
          <cell r="S72">
            <v>0</v>
          </cell>
          <cell r="T72">
            <v>0</v>
          </cell>
          <cell r="U72">
            <v>0</v>
          </cell>
          <cell r="V72">
            <v>0</v>
          </cell>
        </row>
        <row r="73">
          <cell r="C73" t="str">
            <v>1991LA</v>
          </cell>
          <cell r="D73">
            <v>0</v>
          </cell>
          <cell r="E73">
            <v>20995</v>
          </cell>
          <cell r="F73">
            <v>3800</v>
          </cell>
          <cell r="G73">
            <v>0</v>
          </cell>
          <cell r="H73">
            <v>10120</v>
          </cell>
          <cell r="I73">
            <v>0</v>
          </cell>
          <cell r="J73">
            <v>0</v>
          </cell>
          <cell r="K73">
            <v>0</v>
          </cell>
          <cell r="L73">
            <v>24735</v>
          </cell>
          <cell r="M73">
            <v>30740</v>
          </cell>
          <cell r="N73">
            <v>0</v>
          </cell>
          <cell r="O73">
            <v>0</v>
          </cell>
          <cell r="P73">
            <v>0</v>
          </cell>
          <cell r="Q73">
            <v>0</v>
          </cell>
          <cell r="R73">
            <v>0</v>
          </cell>
          <cell r="S73">
            <v>0</v>
          </cell>
          <cell r="T73">
            <v>7620</v>
          </cell>
          <cell r="U73">
            <v>510</v>
          </cell>
          <cell r="V73">
            <v>153</v>
          </cell>
          <cell r="W73">
            <v>0.06</v>
          </cell>
        </row>
        <row r="74">
          <cell r="C74" t="str">
            <v>1991ME</v>
          </cell>
          <cell r="D74">
            <v>42</v>
          </cell>
          <cell r="E74">
            <v>0</v>
          </cell>
          <cell r="F74">
            <v>0</v>
          </cell>
          <cell r="G74">
            <v>0</v>
          </cell>
          <cell r="H74">
            <v>0</v>
          </cell>
          <cell r="I74">
            <v>1380</v>
          </cell>
          <cell r="J74">
            <v>0</v>
          </cell>
          <cell r="K74">
            <v>0</v>
          </cell>
          <cell r="L74">
            <v>0</v>
          </cell>
          <cell r="M74">
            <v>0</v>
          </cell>
          <cell r="N74">
            <v>0</v>
          </cell>
          <cell r="O74">
            <v>0</v>
          </cell>
          <cell r="P74">
            <v>0</v>
          </cell>
          <cell r="Q74">
            <v>0</v>
          </cell>
          <cell r="R74">
            <v>0</v>
          </cell>
          <cell r="S74">
            <v>0</v>
          </cell>
          <cell r="T74">
            <v>0</v>
          </cell>
          <cell r="U74">
            <v>0</v>
          </cell>
          <cell r="V74">
            <v>0</v>
          </cell>
        </row>
        <row r="75">
          <cell r="C75" t="str">
            <v>1991MD</v>
          </cell>
          <cell r="D75">
            <v>225</v>
          </cell>
          <cell r="E75">
            <v>42750</v>
          </cell>
          <cell r="F75">
            <v>9750</v>
          </cell>
          <cell r="G75">
            <v>4992</v>
          </cell>
          <cell r="H75">
            <v>0</v>
          </cell>
          <cell r="I75">
            <v>420</v>
          </cell>
          <cell r="J75">
            <v>224</v>
          </cell>
          <cell r="K75">
            <v>0</v>
          </cell>
          <cell r="L75">
            <v>0</v>
          </cell>
          <cell r="M75">
            <v>17000</v>
          </cell>
          <cell r="N75">
            <v>0</v>
          </cell>
          <cell r="O75">
            <v>0</v>
          </cell>
          <cell r="P75">
            <v>0</v>
          </cell>
          <cell r="Q75">
            <v>0</v>
          </cell>
          <cell r="R75">
            <v>0</v>
          </cell>
          <cell r="S75">
            <v>0</v>
          </cell>
          <cell r="T75">
            <v>0</v>
          </cell>
          <cell r="U75">
            <v>0</v>
          </cell>
          <cell r="V75">
            <v>0</v>
          </cell>
        </row>
        <row r="76">
          <cell r="C76" t="str">
            <v>1991MA</v>
          </cell>
          <cell r="D76">
            <v>75</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row>
        <row r="77">
          <cell r="C77" t="str">
            <v>1991MI</v>
          </cell>
          <cell r="D77">
            <v>4485</v>
          </cell>
          <cell r="E77">
            <v>253000</v>
          </cell>
          <cell r="F77">
            <v>24080</v>
          </cell>
          <cell r="G77">
            <v>1419</v>
          </cell>
          <cell r="H77">
            <v>0</v>
          </cell>
          <cell r="I77">
            <v>5400</v>
          </cell>
          <cell r="J77">
            <v>360</v>
          </cell>
          <cell r="K77">
            <v>0</v>
          </cell>
          <cell r="L77">
            <v>0</v>
          </cell>
          <cell r="M77">
            <v>52820</v>
          </cell>
          <cell r="N77">
            <v>0</v>
          </cell>
          <cell r="O77">
            <v>0</v>
          </cell>
          <cell r="P77">
            <v>0</v>
          </cell>
          <cell r="Q77">
            <v>0</v>
          </cell>
          <cell r="R77">
            <v>0</v>
          </cell>
          <cell r="S77">
            <v>0</v>
          </cell>
          <cell r="T77">
            <v>0</v>
          </cell>
          <cell r="U77">
            <v>0</v>
          </cell>
          <cell r="V77">
            <v>0</v>
          </cell>
        </row>
        <row r="78">
          <cell r="C78" t="str">
            <v>1991MN</v>
          </cell>
          <cell r="D78">
            <v>6290</v>
          </cell>
          <cell r="E78">
            <v>720000</v>
          </cell>
          <cell r="F78">
            <v>67110</v>
          </cell>
          <cell r="G78">
            <v>43750</v>
          </cell>
          <cell r="H78">
            <v>0</v>
          </cell>
          <cell r="I78">
            <v>22800</v>
          </cell>
          <cell r="J78">
            <v>648</v>
          </cell>
          <cell r="K78">
            <v>0</v>
          </cell>
          <cell r="L78">
            <v>0</v>
          </cell>
          <cell r="M78">
            <v>195275</v>
          </cell>
          <cell r="N78">
            <v>0</v>
          </cell>
          <cell r="O78">
            <v>0</v>
          </cell>
          <cell r="P78">
            <v>0</v>
          </cell>
          <cell r="Q78">
            <v>0</v>
          </cell>
          <cell r="R78">
            <v>0</v>
          </cell>
          <cell r="S78">
            <v>0</v>
          </cell>
          <cell r="T78">
            <v>0</v>
          </cell>
          <cell r="U78">
            <v>0</v>
          </cell>
          <cell r="V78">
            <v>0</v>
          </cell>
        </row>
        <row r="79">
          <cell r="C79" t="str">
            <v>1991MS</v>
          </cell>
          <cell r="D79">
            <v>0</v>
          </cell>
          <cell r="E79">
            <v>11250</v>
          </cell>
          <cell r="F79">
            <v>4500</v>
          </cell>
          <cell r="G79">
            <v>0</v>
          </cell>
          <cell r="H79">
            <v>4760</v>
          </cell>
          <cell r="I79">
            <v>0</v>
          </cell>
          <cell r="J79">
            <v>0</v>
          </cell>
          <cell r="K79">
            <v>0</v>
          </cell>
          <cell r="L79">
            <v>12320</v>
          </cell>
          <cell r="M79">
            <v>46800</v>
          </cell>
          <cell r="N79">
            <v>0</v>
          </cell>
          <cell r="O79">
            <v>0</v>
          </cell>
          <cell r="P79">
            <v>0</v>
          </cell>
          <cell r="Q79">
            <v>0</v>
          </cell>
          <cell r="R79">
            <v>0</v>
          </cell>
          <cell r="S79">
            <v>0</v>
          </cell>
          <cell r="T79">
            <v>0</v>
          </cell>
          <cell r="U79">
            <v>220</v>
          </cell>
          <cell r="V79">
            <v>0</v>
          </cell>
          <cell r="W79">
            <v>0.1</v>
          </cell>
        </row>
        <row r="80">
          <cell r="C80" t="str">
            <v>1991MO</v>
          </cell>
          <cell r="D80">
            <v>1485</v>
          </cell>
          <cell r="E80">
            <v>213400</v>
          </cell>
          <cell r="F80">
            <v>48000</v>
          </cell>
          <cell r="G80">
            <v>0</v>
          </cell>
          <cell r="H80">
            <v>37440</v>
          </cell>
          <cell r="I80">
            <v>1632</v>
          </cell>
          <cell r="J80">
            <v>0</v>
          </cell>
          <cell r="K80">
            <v>0</v>
          </cell>
          <cell r="L80">
            <v>4692</v>
          </cell>
          <cell r="M80">
            <v>135115</v>
          </cell>
          <cell r="N80">
            <v>0</v>
          </cell>
          <cell r="O80">
            <v>0</v>
          </cell>
          <cell r="P80">
            <v>0</v>
          </cell>
          <cell r="Q80">
            <v>0</v>
          </cell>
          <cell r="R80">
            <v>0</v>
          </cell>
          <cell r="S80">
            <v>0</v>
          </cell>
          <cell r="T80">
            <v>0</v>
          </cell>
          <cell r="U80">
            <v>92</v>
          </cell>
          <cell r="V80">
            <v>0</v>
          </cell>
          <cell r="W80">
            <v>0.05</v>
          </cell>
        </row>
        <row r="81">
          <cell r="C81" t="str">
            <v>1991MT</v>
          </cell>
          <cell r="D81">
            <v>3375</v>
          </cell>
          <cell r="E81">
            <v>1800</v>
          </cell>
          <cell r="F81">
            <v>163507</v>
          </cell>
          <cell r="G81">
            <v>85800</v>
          </cell>
          <cell r="H81">
            <v>0</v>
          </cell>
          <cell r="I81">
            <v>6050</v>
          </cell>
          <cell r="J81">
            <v>0</v>
          </cell>
          <cell r="K81">
            <v>0</v>
          </cell>
          <cell r="L81">
            <v>0</v>
          </cell>
          <cell r="M81">
            <v>0</v>
          </cell>
          <cell r="N81">
            <v>0</v>
          </cell>
          <cell r="O81">
            <v>0</v>
          </cell>
          <cell r="P81">
            <v>0</v>
          </cell>
          <cell r="Q81">
            <v>0</v>
          </cell>
          <cell r="R81">
            <v>0</v>
          </cell>
          <cell r="S81">
            <v>0</v>
          </cell>
          <cell r="T81">
            <v>0</v>
          </cell>
          <cell r="U81">
            <v>0</v>
          </cell>
          <cell r="V81">
            <v>0</v>
          </cell>
        </row>
        <row r="82">
          <cell r="C82" t="str">
            <v>1991NE</v>
          </cell>
          <cell r="D82">
            <v>4785</v>
          </cell>
          <cell r="E82">
            <v>990600</v>
          </cell>
          <cell r="F82">
            <v>67200</v>
          </cell>
          <cell r="G82">
            <v>1026</v>
          </cell>
          <cell r="H82">
            <v>90450</v>
          </cell>
          <cell r="I82">
            <v>11880</v>
          </cell>
          <cell r="J82">
            <v>1000</v>
          </cell>
          <cell r="K82">
            <v>0</v>
          </cell>
          <cell r="L82">
            <v>0</v>
          </cell>
          <cell r="M82">
            <v>82410</v>
          </cell>
          <cell r="N82">
            <v>0</v>
          </cell>
          <cell r="O82">
            <v>0</v>
          </cell>
          <cell r="P82">
            <v>0</v>
          </cell>
          <cell r="Q82">
            <v>0</v>
          </cell>
          <cell r="R82">
            <v>0</v>
          </cell>
          <cell r="S82">
            <v>0</v>
          </cell>
          <cell r="T82">
            <v>0</v>
          </cell>
          <cell r="U82">
            <v>0</v>
          </cell>
          <cell r="V82">
            <v>0</v>
          </cell>
        </row>
        <row r="83">
          <cell r="C83" t="str">
            <v>1991NV</v>
          </cell>
          <cell r="D83">
            <v>858</v>
          </cell>
          <cell r="E83">
            <v>0</v>
          </cell>
          <cell r="F83">
            <v>660</v>
          </cell>
          <cell r="G83">
            <v>360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row>
        <row r="84">
          <cell r="C84" t="str">
            <v>1991NH</v>
          </cell>
          <cell r="D84">
            <v>34</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row>
        <row r="85">
          <cell r="C85" t="str">
            <v>1991NJ</v>
          </cell>
          <cell r="D85">
            <v>87</v>
          </cell>
          <cell r="E85">
            <v>8470</v>
          </cell>
          <cell r="F85">
            <v>1196</v>
          </cell>
          <cell r="G85">
            <v>488</v>
          </cell>
          <cell r="H85">
            <v>0</v>
          </cell>
          <cell r="I85">
            <v>0</v>
          </cell>
          <cell r="J85">
            <v>192</v>
          </cell>
          <cell r="K85">
            <v>0</v>
          </cell>
          <cell r="L85">
            <v>0</v>
          </cell>
          <cell r="M85">
            <v>4428</v>
          </cell>
          <cell r="N85">
            <v>0</v>
          </cell>
          <cell r="O85">
            <v>0</v>
          </cell>
          <cell r="P85">
            <v>0</v>
          </cell>
          <cell r="Q85">
            <v>0</v>
          </cell>
          <cell r="R85">
            <v>0</v>
          </cell>
          <cell r="S85">
            <v>0</v>
          </cell>
          <cell r="T85">
            <v>0</v>
          </cell>
          <cell r="U85">
            <v>0</v>
          </cell>
          <cell r="V85">
            <v>0</v>
          </cell>
        </row>
        <row r="86">
          <cell r="C86" t="str">
            <v>1991NM</v>
          </cell>
          <cell r="D86">
            <v>1274</v>
          </cell>
          <cell r="E86">
            <v>9900</v>
          </cell>
          <cell r="F86">
            <v>8000</v>
          </cell>
          <cell r="G86">
            <v>0</v>
          </cell>
          <cell r="H86">
            <v>10200</v>
          </cell>
          <cell r="I86">
            <v>0</v>
          </cell>
          <cell r="J86">
            <v>0</v>
          </cell>
          <cell r="K86">
            <v>0</v>
          </cell>
          <cell r="L86">
            <v>0</v>
          </cell>
          <cell r="M86">
            <v>0</v>
          </cell>
          <cell r="N86">
            <v>51075</v>
          </cell>
          <cell r="O86">
            <v>0</v>
          </cell>
          <cell r="P86">
            <v>0</v>
          </cell>
          <cell r="Q86">
            <v>0</v>
          </cell>
          <cell r="R86">
            <v>0</v>
          </cell>
          <cell r="S86">
            <v>0</v>
          </cell>
          <cell r="T86">
            <v>0</v>
          </cell>
          <cell r="U86">
            <v>0</v>
          </cell>
          <cell r="V86">
            <v>0</v>
          </cell>
        </row>
        <row r="87">
          <cell r="C87" t="str">
            <v>1991NY</v>
          </cell>
          <cell r="D87">
            <v>1900</v>
          </cell>
          <cell r="E87">
            <v>58800</v>
          </cell>
          <cell r="F87">
            <v>5390</v>
          </cell>
          <cell r="G87">
            <v>0</v>
          </cell>
          <cell r="H87">
            <v>0</v>
          </cell>
          <cell r="I87">
            <v>5000</v>
          </cell>
          <cell r="J87">
            <v>264</v>
          </cell>
          <cell r="K87">
            <v>0</v>
          </cell>
          <cell r="L87">
            <v>0</v>
          </cell>
          <cell r="M87">
            <v>0</v>
          </cell>
          <cell r="N87">
            <v>0</v>
          </cell>
          <cell r="O87">
            <v>0</v>
          </cell>
          <cell r="P87">
            <v>0</v>
          </cell>
          <cell r="Q87">
            <v>0</v>
          </cell>
          <cell r="R87">
            <v>0</v>
          </cell>
          <cell r="S87">
            <v>0</v>
          </cell>
          <cell r="T87">
            <v>0</v>
          </cell>
          <cell r="U87">
            <v>0</v>
          </cell>
          <cell r="V87">
            <v>0</v>
          </cell>
        </row>
        <row r="88">
          <cell r="C88" t="str">
            <v>1991NC</v>
          </cell>
          <cell r="D88">
            <v>120</v>
          </cell>
          <cell r="E88">
            <v>85500</v>
          </cell>
          <cell r="F88">
            <v>19200</v>
          </cell>
          <cell r="G88">
            <v>1645</v>
          </cell>
          <cell r="H88">
            <v>1250</v>
          </cell>
          <cell r="I88">
            <v>2200</v>
          </cell>
          <cell r="J88">
            <v>500</v>
          </cell>
          <cell r="K88">
            <v>0</v>
          </cell>
          <cell r="L88">
            <v>0</v>
          </cell>
          <cell r="M88">
            <v>38645</v>
          </cell>
          <cell r="N88">
            <v>461700</v>
          </cell>
          <cell r="O88">
            <v>0</v>
          </cell>
          <cell r="P88">
            <v>0</v>
          </cell>
          <cell r="Q88">
            <v>0</v>
          </cell>
          <cell r="R88">
            <v>0</v>
          </cell>
          <cell r="S88">
            <v>0</v>
          </cell>
          <cell r="T88">
            <v>0</v>
          </cell>
          <cell r="U88">
            <v>0</v>
          </cell>
          <cell r="V88">
            <v>0</v>
          </cell>
        </row>
        <row r="89">
          <cell r="C89" t="str">
            <v>1991ND</v>
          </cell>
          <cell r="D89">
            <v>2310</v>
          </cell>
          <cell r="E89">
            <v>51300</v>
          </cell>
          <cell r="F89">
            <v>303670</v>
          </cell>
          <cell r="G89">
            <v>138670</v>
          </cell>
          <cell r="H89">
            <v>0</v>
          </cell>
          <cell r="I89">
            <v>32500</v>
          </cell>
          <cell r="J89">
            <v>992</v>
          </cell>
          <cell r="K89">
            <v>0</v>
          </cell>
          <cell r="L89">
            <v>0</v>
          </cell>
          <cell r="M89">
            <v>19215</v>
          </cell>
          <cell r="N89">
            <v>0</v>
          </cell>
          <cell r="O89">
            <v>7548</v>
          </cell>
          <cell r="P89">
            <v>0</v>
          </cell>
          <cell r="Q89">
            <v>0</v>
          </cell>
          <cell r="R89">
            <v>0</v>
          </cell>
          <cell r="S89">
            <v>0</v>
          </cell>
          <cell r="T89">
            <v>0</v>
          </cell>
          <cell r="U89">
            <v>0</v>
          </cell>
          <cell r="V89">
            <v>0</v>
          </cell>
        </row>
        <row r="90">
          <cell r="C90" t="str">
            <v>1991OH</v>
          </cell>
          <cell r="D90">
            <v>1680</v>
          </cell>
          <cell r="E90">
            <v>326400</v>
          </cell>
          <cell r="F90">
            <v>52920</v>
          </cell>
          <cell r="G90">
            <v>0</v>
          </cell>
          <cell r="H90">
            <v>0</v>
          </cell>
          <cell r="I90">
            <v>10200</v>
          </cell>
          <cell r="J90">
            <v>155</v>
          </cell>
          <cell r="K90">
            <v>0</v>
          </cell>
          <cell r="L90">
            <v>0</v>
          </cell>
          <cell r="M90">
            <v>135720</v>
          </cell>
          <cell r="N90">
            <v>0</v>
          </cell>
          <cell r="O90">
            <v>0</v>
          </cell>
          <cell r="P90">
            <v>0</v>
          </cell>
          <cell r="Q90">
            <v>0</v>
          </cell>
          <cell r="R90">
            <v>0</v>
          </cell>
          <cell r="S90">
            <v>0</v>
          </cell>
          <cell r="T90">
            <v>0</v>
          </cell>
          <cell r="U90">
            <v>0</v>
          </cell>
          <cell r="V90">
            <v>0</v>
          </cell>
        </row>
        <row r="91">
          <cell r="C91" t="str">
            <v>1991OK</v>
          </cell>
          <cell r="D91">
            <v>1320</v>
          </cell>
          <cell r="E91">
            <v>10925</v>
          </cell>
          <cell r="F91">
            <v>135000</v>
          </cell>
          <cell r="G91">
            <v>390</v>
          </cell>
          <cell r="H91">
            <v>13800</v>
          </cell>
          <cell r="I91">
            <v>1292</v>
          </cell>
          <cell r="J91">
            <v>665</v>
          </cell>
          <cell r="K91">
            <v>0</v>
          </cell>
          <cell r="L91">
            <v>0</v>
          </cell>
          <cell r="M91">
            <v>5640</v>
          </cell>
          <cell r="N91">
            <v>243800</v>
          </cell>
          <cell r="O91">
            <v>0</v>
          </cell>
          <cell r="P91">
            <v>0</v>
          </cell>
          <cell r="Q91">
            <v>0</v>
          </cell>
          <cell r="R91">
            <v>0</v>
          </cell>
          <cell r="S91">
            <v>0</v>
          </cell>
          <cell r="T91">
            <v>0</v>
          </cell>
          <cell r="U91">
            <v>1.0662</v>
          </cell>
          <cell r="V91">
            <v>0</v>
          </cell>
          <cell r="W91">
            <v>0.9</v>
          </cell>
        </row>
        <row r="92">
          <cell r="C92" t="str">
            <v>1991OR</v>
          </cell>
          <cell r="D92">
            <v>1785</v>
          </cell>
          <cell r="E92">
            <v>2190</v>
          </cell>
          <cell r="F92">
            <v>43900</v>
          </cell>
          <cell r="G92">
            <v>12600</v>
          </cell>
          <cell r="H92">
            <v>0</v>
          </cell>
          <cell r="I92">
            <v>4725</v>
          </cell>
          <cell r="J92">
            <v>0</v>
          </cell>
          <cell r="K92">
            <v>0</v>
          </cell>
          <cell r="L92">
            <v>0</v>
          </cell>
          <cell r="M92">
            <v>0</v>
          </cell>
          <cell r="N92">
            <v>0</v>
          </cell>
          <cell r="O92">
            <v>0</v>
          </cell>
          <cell r="P92">
            <v>0</v>
          </cell>
          <cell r="Q92">
            <v>0</v>
          </cell>
          <cell r="R92">
            <v>0</v>
          </cell>
          <cell r="S92">
            <v>0</v>
          </cell>
          <cell r="T92">
            <v>0</v>
          </cell>
          <cell r="U92">
            <v>0</v>
          </cell>
          <cell r="V92">
            <v>0</v>
          </cell>
        </row>
        <row r="93">
          <cell r="C93" t="str">
            <v>1991PA</v>
          </cell>
          <cell r="D93">
            <v>2028</v>
          </cell>
          <cell r="E93">
            <v>64500</v>
          </cell>
          <cell r="F93">
            <v>7700</v>
          </cell>
          <cell r="G93">
            <v>4200</v>
          </cell>
          <cell r="H93">
            <v>0</v>
          </cell>
          <cell r="I93">
            <v>8800</v>
          </cell>
          <cell r="J93">
            <v>270</v>
          </cell>
          <cell r="K93">
            <v>0</v>
          </cell>
          <cell r="L93">
            <v>0</v>
          </cell>
          <cell r="M93">
            <v>9900</v>
          </cell>
          <cell r="N93">
            <v>0</v>
          </cell>
          <cell r="O93">
            <v>0</v>
          </cell>
          <cell r="P93">
            <v>0</v>
          </cell>
          <cell r="Q93">
            <v>0</v>
          </cell>
          <cell r="R93">
            <v>0</v>
          </cell>
          <cell r="S93">
            <v>0</v>
          </cell>
          <cell r="T93">
            <v>0</v>
          </cell>
          <cell r="U93">
            <v>0</v>
          </cell>
          <cell r="V93">
            <v>0</v>
          </cell>
        </row>
        <row r="94">
          <cell r="C94" t="str">
            <v>1991RI</v>
          </cell>
          <cell r="D94">
            <v>5</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row>
        <row r="95">
          <cell r="C95" t="str">
            <v>1991SC</v>
          </cell>
          <cell r="D95">
            <v>0</v>
          </cell>
          <cell r="E95">
            <v>21675</v>
          </cell>
          <cell r="F95">
            <v>8525</v>
          </cell>
          <cell r="G95">
            <v>279</v>
          </cell>
          <cell r="H95">
            <v>456</v>
          </cell>
          <cell r="I95">
            <v>2200</v>
          </cell>
          <cell r="J95">
            <v>630</v>
          </cell>
          <cell r="K95">
            <v>0</v>
          </cell>
          <cell r="L95">
            <v>0</v>
          </cell>
          <cell r="M95">
            <v>13860</v>
          </cell>
          <cell r="N95">
            <v>33600</v>
          </cell>
          <cell r="O95">
            <v>0</v>
          </cell>
          <cell r="P95">
            <v>0</v>
          </cell>
          <cell r="Q95">
            <v>0</v>
          </cell>
          <cell r="R95">
            <v>0</v>
          </cell>
          <cell r="S95">
            <v>0</v>
          </cell>
          <cell r="T95">
            <v>0</v>
          </cell>
          <cell r="U95">
            <v>0</v>
          </cell>
          <cell r="V95">
            <v>0</v>
          </cell>
        </row>
        <row r="96">
          <cell r="C96" t="str">
            <v>1991SD</v>
          </cell>
          <cell r="D96">
            <v>5405</v>
          </cell>
          <cell r="E96">
            <v>240500</v>
          </cell>
          <cell r="F96">
            <v>96175</v>
          </cell>
          <cell r="G96">
            <v>17940</v>
          </cell>
          <cell r="H96">
            <v>13020</v>
          </cell>
          <cell r="I96">
            <v>38500</v>
          </cell>
          <cell r="J96">
            <v>1152</v>
          </cell>
          <cell r="K96">
            <v>0</v>
          </cell>
          <cell r="L96">
            <v>0</v>
          </cell>
          <cell r="M96">
            <v>58320</v>
          </cell>
          <cell r="N96">
            <v>0</v>
          </cell>
          <cell r="O96">
            <v>0</v>
          </cell>
          <cell r="P96">
            <v>0</v>
          </cell>
          <cell r="Q96">
            <v>0</v>
          </cell>
          <cell r="R96">
            <v>0</v>
          </cell>
          <cell r="S96">
            <v>0</v>
          </cell>
          <cell r="T96">
            <v>0</v>
          </cell>
          <cell r="U96">
            <v>0</v>
          </cell>
          <cell r="V96">
            <v>0</v>
          </cell>
        </row>
        <row r="97">
          <cell r="C97" t="str">
            <v>1991TN</v>
          </cell>
          <cell r="D97">
            <v>280</v>
          </cell>
          <cell r="E97">
            <v>43860</v>
          </cell>
          <cell r="F97">
            <v>7680</v>
          </cell>
          <cell r="G97">
            <v>0</v>
          </cell>
          <cell r="H97">
            <v>4225</v>
          </cell>
          <cell r="I97">
            <v>0</v>
          </cell>
          <cell r="J97">
            <v>0</v>
          </cell>
          <cell r="K97">
            <v>0</v>
          </cell>
          <cell r="L97">
            <v>0</v>
          </cell>
          <cell r="M97">
            <v>31500</v>
          </cell>
          <cell r="N97">
            <v>0</v>
          </cell>
          <cell r="O97">
            <v>0</v>
          </cell>
          <cell r="P97">
            <v>0</v>
          </cell>
          <cell r="Q97">
            <v>0</v>
          </cell>
          <cell r="R97">
            <v>0</v>
          </cell>
          <cell r="S97">
            <v>0</v>
          </cell>
          <cell r="T97">
            <v>0</v>
          </cell>
          <cell r="U97">
            <v>0</v>
          </cell>
          <cell r="V97">
            <v>0</v>
          </cell>
        </row>
        <row r="98">
          <cell r="C98" t="str">
            <v>1991TX</v>
          </cell>
          <cell r="D98">
            <v>450</v>
          </cell>
          <cell r="E98">
            <v>165000</v>
          </cell>
          <cell r="F98">
            <v>84000</v>
          </cell>
          <cell r="G98">
            <v>320</v>
          </cell>
          <cell r="H98">
            <v>176900</v>
          </cell>
          <cell r="I98">
            <v>7200</v>
          </cell>
          <cell r="J98">
            <v>228</v>
          </cell>
          <cell r="K98">
            <v>0</v>
          </cell>
          <cell r="L98">
            <v>20580</v>
          </cell>
          <cell r="M98">
            <v>5270</v>
          </cell>
          <cell r="N98">
            <v>682500</v>
          </cell>
          <cell r="O98">
            <v>0</v>
          </cell>
          <cell r="P98">
            <v>0</v>
          </cell>
          <cell r="Q98">
            <v>0</v>
          </cell>
          <cell r="R98">
            <v>0</v>
          </cell>
          <cell r="S98">
            <v>0</v>
          </cell>
          <cell r="T98">
            <v>1110</v>
          </cell>
          <cell r="U98">
            <v>343</v>
          </cell>
          <cell r="V98">
            <v>137</v>
          </cell>
          <cell r="W98">
            <v>0.01</v>
          </cell>
        </row>
        <row r="99">
          <cell r="C99" t="str">
            <v>1991UT</v>
          </cell>
          <cell r="D99">
            <v>1960</v>
          </cell>
          <cell r="E99">
            <v>2940</v>
          </cell>
          <cell r="F99">
            <v>5807</v>
          </cell>
          <cell r="G99">
            <v>7885</v>
          </cell>
          <cell r="H99">
            <v>0</v>
          </cell>
          <cell r="I99">
            <v>616</v>
          </cell>
          <cell r="J99">
            <v>0</v>
          </cell>
          <cell r="K99">
            <v>0</v>
          </cell>
          <cell r="L99">
            <v>0</v>
          </cell>
          <cell r="M99">
            <v>0</v>
          </cell>
          <cell r="N99">
            <v>0</v>
          </cell>
          <cell r="O99">
            <v>0</v>
          </cell>
          <cell r="P99">
            <v>0</v>
          </cell>
          <cell r="Q99">
            <v>0</v>
          </cell>
          <cell r="R99">
            <v>0</v>
          </cell>
          <cell r="S99">
            <v>0</v>
          </cell>
          <cell r="T99">
            <v>0</v>
          </cell>
          <cell r="U99">
            <v>0</v>
          </cell>
          <cell r="V99">
            <v>0</v>
          </cell>
        </row>
        <row r="100">
          <cell r="C100" t="str">
            <v>1991VT</v>
          </cell>
          <cell r="D100">
            <v>252</v>
          </cell>
          <cell r="E100">
            <v>0</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row>
        <row r="101">
          <cell r="C101" t="str">
            <v>1991VA</v>
          </cell>
          <cell r="D101">
            <v>442</v>
          </cell>
          <cell r="E101">
            <v>28140</v>
          </cell>
          <cell r="F101">
            <v>12250</v>
          </cell>
          <cell r="G101">
            <v>5695</v>
          </cell>
          <cell r="H101">
            <v>0</v>
          </cell>
          <cell r="I101">
            <v>0</v>
          </cell>
          <cell r="J101">
            <v>264</v>
          </cell>
          <cell r="K101">
            <v>0</v>
          </cell>
          <cell r="L101">
            <v>0</v>
          </cell>
          <cell r="M101">
            <v>14500</v>
          </cell>
          <cell r="N101">
            <v>307200</v>
          </cell>
          <cell r="O101">
            <v>0</v>
          </cell>
          <cell r="P101">
            <v>0</v>
          </cell>
          <cell r="Q101">
            <v>0</v>
          </cell>
          <cell r="R101">
            <v>0</v>
          </cell>
          <cell r="S101">
            <v>0</v>
          </cell>
          <cell r="T101">
            <v>0</v>
          </cell>
          <cell r="U101">
            <v>0</v>
          </cell>
          <cell r="V101">
            <v>0</v>
          </cell>
        </row>
        <row r="102">
          <cell r="C102" t="str">
            <v>1991WA</v>
          </cell>
          <cell r="D102">
            <v>2160</v>
          </cell>
          <cell r="E102">
            <v>15840</v>
          </cell>
          <cell r="F102">
            <v>98600</v>
          </cell>
          <cell r="G102">
            <v>37050</v>
          </cell>
          <cell r="H102">
            <v>0</v>
          </cell>
          <cell r="I102">
            <v>2600</v>
          </cell>
          <cell r="J102">
            <v>0</v>
          </cell>
          <cell r="K102">
            <v>0</v>
          </cell>
          <cell r="L102">
            <v>0</v>
          </cell>
          <cell r="M102">
            <v>0</v>
          </cell>
          <cell r="N102">
            <v>0</v>
          </cell>
          <cell r="O102">
            <v>0</v>
          </cell>
          <cell r="P102">
            <v>0</v>
          </cell>
          <cell r="Q102">
            <v>0</v>
          </cell>
          <cell r="R102">
            <v>0</v>
          </cell>
          <cell r="S102">
            <v>0</v>
          </cell>
          <cell r="T102">
            <v>0</v>
          </cell>
          <cell r="U102">
            <v>0</v>
          </cell>
          <cell r="V102">
            <v>0</v>
          </cell>
        </row>
        <row r="103">
          <cell r="C103" t="str">
            <v>1991WV</v>
          </cell>
          <cell r="D103">
            <v>125</v>
          </cell>
          <cell r="E103">
            <v>2850</v>
          </cell>
          <cell r="F103">
            <v>450</v>
          </cell>
          <cell r="G103">
            <v>0</v>
          </cell>
          <cell r="H103">
            <v>0</v>
          </cell>
          <cell r="I103">
            <v>225</v>
          </cell>
          <cell r="J103">
            <v>0</v>
          </cell>
          <cell r="K103">
            <v>0</v>
          </cell>
          <cell r="L103">
            <v>0</v>
          </cell>
          <cell r="M103">
            <v>0</v>
          </cell>
          <cell r="N103">
            <v>0</v>
          </cell>
          <cell r="O103">
            <v>0</v>
          </cell>
          <cell r="P103">
            <v>0</v>
          </cell>
          <cell r="Q103">
            <v>0</v>
          </cell>
          <cell r="R103">
            <v>0</v>
          </cell>
          <cell r="S103">
            <v>0</v>
          </cell>
          <cell r="T103">
            <v>0</v>
          </cell>
          <cell r="U103">
            <v>0</v>
          </cell>
          <cell r="V103">
            <v>0</v>
          </cell>
        </row>
        <row r="104">
          <cell r="C104" t="str">
            <v>1991WI</v>
          </cell>
          <cell r="D104">
            <v>8400</v>
          </cell>
          <cell r="E104">
            <v>380800</v>
          </cell>
          <cell r="F104">
            <v>6118</v>
          </cell>
          <cell r="G104">
            <v>3312</v>
          </cell>
          <cell r="H104">
            <v>0</v>
          </cell>
          <cell r="I104">
            <v>26500</v>
          </cell>
          <cell r="J104">
            <v>435</v>
          </cell>
          <cell r="K104">
            <v>0</v>
          </cell>
          <cell r="L104">
            <v>0</v>
          </cell>
          <cell r="M104">
            <v>23100</v>
          </cell>
          <cell r="N104">
            <v>0</v>
          </cell>
          <cell r="O104">
            <v>0</v>
          </cell>
          <cell r="P104">
            <v>0</v>
          </cell>
          <cell r="Q104">
            <v>0</v>
          </cell>
          <cell r="R104">
            <v>0</v>
          </cell>
          <cell r="S104">
            <v>0</v>
          </cell>
          <cell r="T104">
            <v>0</v>
          </cell>
          <cell r="U104">
            <v>0</v>
          </cell>
          <cell r="V104">
            <v>0</v>
          </cell>
        </row>
        <row r="105">
          <cell r="C105" t="str">
            <v>1991WY</v>
          </cell>
          <cell r="D105">
            <v>1600</v>
          </cell>
          <cell r="E105">
            <v>5831</v>
          </cell>
          <cell r="F105">
            <v>5920</v>
          </cell>
          <cell r="G105">
            <v>10530</v>
          </cell>
          <cell r="H105">
            <v>0</v>
          </cell>
          <cell r="I105">
            <v>1696</v>
          </cell>
          <cell r="J105">
            <v>0</v>
          </cell>
          <cell r="K105">
            <v>0</v>
          </cell>
          <cell r="L105">
            <v>0</v>
          </cell>
          <cell r="M105">
            <v>0</v>
          </cell>
          <cell r="N105">
            <v>0</v>
          </cell>
          <cell r="O105">
            <v>0</v>
          </cell>
          <cell r="P105">
            <v>0</v>
          </cell>
          <cell r="Q105">
            <v>0</v>
          </cell>
          <cell r="R105">
            <v>0</v>
          </cell>
          <cell r="S105">
            <v>0</v>
          </cell>
          <cell r="T105">
            <v>0</v>
          </cell>
          <cell r="U105">
            <v>0</v>
          </cell>
          <cell r="V105">
            <v>0</v>
          </cell>
        </row>
        <row r="106">
          <cell r="C106" t="str">
            <v>1991US</v>
          </cell>
          <cell r="D106">
            <v>83319</v>
          </cell>
          <cell r="E106">
            <v>7474765</v>
          </cell>
          <cell r="F106">
            <v>1980139</v>
          </cell>
          <cell r="G106">
            <v>464326</v>
          </cell>
          <cell r="H106">
            <v>584860</v>
          </cell>
          <cell r="I106">
            <v>243851</v>
          </cell>
          <cell r="J106">
            <v>9734</v>
          </cell>
          <cell r="K106">
            <v>0</v>
          </cell>
          <cell r="L106">
            <v>159367</v>
          </cell>
          <cell r="M106">
            <v>1986539</v>
          </cell>
          <cell r="N106">
            <v>4926570</v>
          </cell>
          <cell r="O106">
            <v>0</v>
          </cell>
          <cell r="P106">
            <v>0</v>
          </cell>
          <cell r="Q106">
            <v>0</v>
          </cell>
          <cell r="R106">
            <v>0</v>
          </cell>
          <cell r="S106">
            <v>0</v>
          </cell>
          <cell r="T106">
            <v>30252</v>
          </cell>
        </row>
        <row r="107">
          <cell r="C107" t="str">
            <v>1992AL</v>
          </cell>
          <cell r="D107">
            <v>0</v>
          </cell>
          <cell r="E107">
            <v>27730</v>
          </cell>
          <cell r="F107">
            <v>4180</v>
          </cell>
          <cell r="G107">
            <v>0</v>
          </cell>
          <cell r="H107">
            <v>1250</v>
          </cell>
          <cell r="I107">
            <v>1500</v>
          </cell>
          <cell r="J107">
            <v>0</v>
          </cell>
          <cell r="K107">
            <v>0</v>
          </cell>
          <cell r="L107">
            <v>0</v>
          </cell>
          <cell r="M107">
            <v>7830</v>
          </cell>
          <cell r="N107">
            <v>591180</v>
          </cell>
          <cell r="O107">
            <v>0</v>
          </cell>
          <cell r="P107">
            <v>0</v>
          </cell>
          <cell r="Q107">
            <v>0</v>
          </cell>
          <cell r="R107">
            <v>0</v>
          </cell>
          <cell r="S107">
            <v>0</v>
          </cell>
          <cell r="T107">
            <v>0</v>
          </cell>
          <cell r="U107">
            <v>0</v>
          </cell>
          <cell r="V107">
            <v>0</v>
          </cell>
        </row>
        <row r="108">
          <cell r="C108" t="str">
            <v>1992AK</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row>
        <row r="109">
          <cell r="C109" t="str">
            <v>1992AZ</v>
          </cell>
          <cell r="D109">
            <v>1095</v>
          </cell>
          <cell r="E109">
            <v>1870</v>
          </cell>
          <cell r="F109">
            <v>7700</v>
          </cell>
          <cell r="G109">
            <v>2205</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row>
        <row r="110">
          <cell r="C110" t="str">
            <v>1992AR</v>
          </cell>
          <cell r="D110">
            <v>105</v>
          </cell>
          <cell r="E110">
            <v>12350</v>
          </cell>
          <cell r="F110">
            <v>39100</v>
          </cell>
          <cell r="G110">
            <v>0</v>
          </cell>
          <cell r="H110">
            <v>31160</v>
          </cell>
          <cell r="I110">
            <v>1600</v>
          </cell>
          <cell r="J110">
            <v>0</v>
          </cell>
          <cell r="K110">
            <v>0</v>
          </cell>
          <cell r="L110">
            <v>75914</v>
          </cell>
          <cell r="M110">
            <v>104280</v>
          </cell>
          <cell r="N110">
            <v>0</v>
          </cell>
          <cell r="O110">
            <v>0</v>
          </cell>
          <cell r="P110">
            <v>0</v>
          </cell>
          <cell r="Q110">
            <v>0</v>
          </cell>
          <cell r="R110">
            <v>0</v>
          </cell>
          <cell r="S110">
            <v>0</v>
          </cell>
          <cell r="T110">
            <v>0</v>
          </cell>
          <cell r="U110">
            <v>1380</v>
          </cell>
          <cell r="V110">
            <v>0</v>
          </cell>
          <cell r="W110">
            <v>0.13</v>
          </cell>
        </row>
        <row r="111">
          <cell r="C111" t="str">
            <v>1992CA</v>
          </cell>
          <cell r="D111">
            <v>6432</v>
          </cell>
          <cell r="E111">
            <v>24750</v>
          </cell>
          <cell r="F111">
            <v>43635</v>
          </cell>
          <cell r="G111">
            <v>11780</v>
          </cell>
          <cell r="H111">
            <v>0</v>
          </cell>
          <cell r="I111">
            <v>2800</v>
          </cell>
          <cell r="J111">
            <v>0</v>
          </cell>
          <cell r="K111">
            <v>0</v>
          </cell>
          <cell r="L111">
            <v>33490</v>
          </cell>
          <cell r="M111">
            <v>0</v>
          </cell>
          <cell r="N111">
            <v>0</v>
          </cell>
          <cell r="O111">
            <v>0</v>
          </cell>
          <cell r="P111">
            <v>0</v>
          </cell>
          <cell r="Q111">
            <v>0</v>
          </cell>
          <cell r="R111">
            <v>0</v>
          </cell>
          <cell r="S111">
            <v>0</v>
          </cell>
          <cell r="T111">
            <v>0</v>
          </cell>
          <cell r="U111">
            <v>394</v>
          </cell>
          <cell r="V111">
            <v>0</v>
          </cell>
          <cell r="W111">
            <v>0.66</v>
          </cell>
        </row>
        <row r="112">
          <cell r="C112" t="str">
            <v>1992CO</v>
          </cell>
          <cell r="D112">
            <v>2964</v>
          </cell>
          <cell r="E112">
            <v>130240</v>
          </cell>
          <cell r="F112">
            <v>74119</v>
          </cell>
          <cell r="G112">
            <v>9720</v>
          </cell>
          <cell r="H112">
            <v>6660</v>
          </cell>
          <cell r="I112">
            <v>1560</v>
          </cell>
          <cell r="J112">
            <v>50</v>
          </cell>
          <cell r="K112">
            <v>0</v>
          </cell>
          <cell r="L112">
            <v>0</v>
          </cell>
          <cell r="M112">
            <v>0</v>
          </cell>
          <cell r="N112">
            <v>0</v>
          </cell>
          <cell r="O112">
            <v>0</v>
          </cell>
          <cell r="P112">
            <v>0</v>
          </cell>
          <cell r="Q112">
            <v>0</v>
          </cell>
          <cell r="R112">
            <v>0</v>
          </cell>
          <cell r="S112">
            <v>0</v>
          </cell>
          <cell r="T112">
            <v>0</v>
          </cell>
          <cell r="U112">
            <v>0</v>
          </cell>
          <cell r="V112">
            <v>0</v>
          </cell>
        </row>
        <row r="113">
          <cell r="C113" t="str">
            <v>1992CT</v>
          </cell>
          <cell r="D113">
            <v>58</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row>
        <row r="114">
          <cell r="C114" t="str">
            <v>1992DE</v>
          </cell>
          <cell r="D114">
            <v>21</v>
          </cell>
          <cell r="E114">
            <v>19159</v>
          </cell>
          <cell r="F114">
            <v>4060</v>
          </cell>
          <cell r="G114">
            <v>2590</v>
          </cell>
          <cell r="H114">
            <v>0</v>
          </cell>
          <cell r="I114">
            <v>0</v>
          </cell>
          <cell r="J114">
            <v>0</v>
          </cell>
          <cell r="K114">
            <v>0</v>
          </cell>
          <cell r="L114">
            <v>0</v>
          </cell>
          <cell r="M114">
            <v>6880</v>
          </cell>
          <cell r="N114">
            <v>0</v>
          </cell>
          <cell r="O114">
            <v>0</v>
          </cell>
          <cell r="P114">
            <v>0</v>
          </cell>
          <cell r="Q114">
            <v>0</v>
          </cell>
          <cell r="R114">
            <v>0</v>
          </cell>
          <cell r="S114">
            <v>0</v>
          </cell>
          <cell r="T114">
            <v>0</v>
          </cell>
          <cell r="U114">
            <v>0</v>
          </cell>
          <cell r="V114">
            <v>0</v>
          </cell>
        </row>
        <row r="115">
          <cell r="C115" t="str">
            <v>1992FL</v>
          </cell>
          <cell r="D115">
            <v>0</v>
          </cell>
          <cell r="E115">
            <v>8250</v>
          </cell>
          <cell r="F115">
            <v>840</v>
          </cell>
          <cell r="G115">
            <v>0</v>
          </cell>
          <cell r="H115">
            <v>0</v>
          </cell>
          <cell r="I115">
            <v>0</v>
          </cell>
          <cell r="J115">
            <v>0</v>
          </cell>
          <cell r="K115">
            <v>0</v>
          </cell>
          <cell r="L115">
            <v>1021.9777771096414</v>
          </cell>
          <cell r="M115">
            <v>1500</v>
          </cell>
          <cell r="N115">
            <v>202510</v>
          </cell>
          <cell r="O115">
            <v>0</v>
          </cell>
          <cell r="P115">
            <v>0</v>
          </cell>
          <cell r="Q115">
            <v>0</v>
          </cell>
          <cell r="R115">
            <v>0</v>
          </cell>
          <cell r="S115">
            <v>0</v>
          </cell>
          <cell r="T115">
            <v>14707</v>
          </cell>
          <cell r="U115">
            <v>23</v>
          </cell>
          <cell r="V115">
            <v>12</v>
          </cell>
          <cell r="W115">
            <v>0</v>
          </cell>
        </row>
        <row r="116">
          <cell r="C116" t="str">
            <v>1992GA</v>
          </cell>
          <cell r="D116">
            <v>0</v>
          </cell>
          <cell r="E116">
            <v>69000</v>
          </cell>
          <cell r="F116">
            <v>16100</v>
          </cell>
          <cell r="G116">
            <v>0</v>
          </cell>
          <cell r="H116">
            <v>2640</v>
          </cell>
          <cell r="I116">
            <v>3685</v>
          </cell>
          <cell r="J116">
            <v>1560</v>
          </cell>
          <cell r="K116">
            <v>0</v>
          </cell>
          <cell r="L116">
            <v>0</v>
          </cell>
          <cell r="M116">
            <v>18560</v>
          </cell>
          <cell r="N116">
            <v>1820465</v>
          </cell>
          <cell r="O116">
            <v>0</v>
          </cell>
          <cell r="P116">
            <v>0</v>
          </cell>
          <cell r="Q116">
            <v>0</v>
          </cell>
          <cell r="R116">
            <v>0</v>
          </cell>
          <cell r="S116">
            <v>0</v>
          </cell>
          <cell r="T116">
            <v>0</v>
          </cell>
          <cell r="U116">
            <v>0</v>
          </cell>
          <cell r="V116">
            <v>0</v>
          </cell>
        </row>
        <row r="117">
          <cell r="C117" t="str">
            <v>1992HI</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5622</v>
          </cell>
          <cell r="U117">
            <v>0</v>
          </cell>
          <cell r="V117">
            <v>0</v>
          </cell>
        </row>
        <row r="118">
          <cell r="C118" t="str">
            <v>1992ID</v>
          </cell>
          <cell r="D118">
            <v>3367</v>
          </cell>
          <cell r="E118">
            <v>4290</v>
          </cell>
          <cell r="F118">
            <v>100090</v>
          </cell>
          <cell r="G118">
            <v>54000</v>
          </cell>
          <cell r="H118">
            <v>0</v>
          </cell>
          <cell r="I118">
            <v>1440</v>
          </cell>
          <cell r="J118">
            <v>0</v>
          </cell>
          <cell r="K118">
            <v>0</v>
          </cell>
          <cell r="L118">
            <v>0</v>
          </cell>
          <cell r="M118">
            <v>0</v>
          </cell>
          <cell r="N118">
            <v>0</v>
          </cell>
          <cell r="O118">
            <v>0</v>
          </cell>
          <cell r="P118">
            <v>0</v>
          </cell>
          <cell r="Q118">
            <v>0</v>
          </cell>
          <cell r="R118">
            <v>0</v>
          </cell>
          <cell r="S118">
            <v>397</v>
          </cell>
          <cell r="T118">
            <v>0</v>
          </cell>
          <cell r="U118">
            <v>0</v>
          </cell>
          <cell r="V118">
            <v>0</v>
          </cell>
        </row>
        <row r="119">
          <cell r="C119" t="str">
            <v>1992IL</v>
          </cell>
          <cell r="D119">
            <v>2590</v>
          </cell>
          <cell r="E119">
            <v>1646450</v>
          </cell>
          <cell r="F119">
            <v>62100</v>
          </cell>
          <cell r="G119">
            <v>0</v>
          </cell>
          <cell r="H119">
            <v>26780</v>
          </cell>
          <cell r="I119">
            <v>7930</v>
          </cell>
          <cell r="J119">
            <v>280</v>
          </cell>
          <cell r="K119">
            <v>0</v>
          </cell>
          <cell r="L119">
            <v>0</v>
          </cell>
          <cell r="M119">
            <v>405490</v>
          </cell>
          <cell r="N119">
            <v>0</v>
          </cell>
          <cell r="O119">
            <v>0</v>
          </cell>
          <cell r="P119">
            <v>0</v>
          </cell>
          <cell r="Q119">
            <v>0</v>
          </cell>
          <cell r="R119">
            <v>0</v>
          </cell>
          <cell r="S119">
            <v>0</v>
          </cell>
          <cell r="T119">
            <v>0</v>
          </cell>
          <cell r="U119">
            <v>0</v>
          </cell>
          <cell r="V119">
            <v>0</v>
          </cell>
        </row>
        <row r="120">
          <cell r="C120" t="str">
            <v>1992IN</v>
          </cell>
          <cell r="D120">
            <v>1221</v>
          </cell>
          <cell r="E120">
            <v>877590</v>
          </cell>
          <cell r="F120">
            <v>25000</v>
          </cell>
          <cell r="G120">
            <v>0</v>
          </cell>
          <cell r="H120">
            <v>0</v>
          </cell>
          <cell r="I120">
            <v>2800</v>
          </cell>
          <cell r="J120">
            <v>156</v>
          </cell>
          <cell r="K120">
            <v>0</v>
          </cell>
          <cell r="L120">
            <v>0</v>
          </cell>
          <cell r="M120">
            <v>194360</v>
          </cell>
          <cell r="N120">
            <v>0</v>
          </cell>
          <cell r="O120">
            <v>0</v>
          </cell>
          <cell r="P120">
            <v>0</v>
          </cell>
          <cell r="Q120">
            <v>0</v>
          </cell>
          <cell r="R120">
            <v>0</v>
          </cell>
          <cell r="S120">
            <v>0</v>
          </cell>
          <cell r="T120">
            <v>0</v>
          </cell>
          <cell r="U120">
            <v>0</v>
          </cell>
          <cell r="V120">
            <v>0</v>
          </cell>
        </row>
        <row r="121">
          <cell r="C121" t="str">
            <v>1992IA</v>
          </cell>
          <cell r="D121">
            <v>5735</v>
          </cell>
          <cell r="E121">
            <v>1903650</v>
          </cell>
          <cell r="F121">
            <v>1560</v>
          </cell>
          <cell r="G121">
            <v>0</v>
          </cell>
          <cell r="H121">
            <v>0</v>
          </cell>
          <cell r="I121">
            <v>25125</v>
          </cell>
          <cell r="J121">
            <v>0</v>
          </cell>
          <cell r="K121">
            <v>0</v>
          </cell>
          <cell r="L121">
            <v>0</v>
          </cell>
          <cell r="M121">
            <v>359480</v>
          </cell>
          <cell r="N121">
            <v>0</v>
          </cell>
          <cell r="O121">
            <v>0</v>
          </cell>
          <cell r="P121">
            <v>0</v>
          </cell>
          <cell r="Q121">
            <v>0</v>
          </cell>
          <cell r="R121">
            <v>0</v>
          </cell>
          <cell r="S121">
            <v>0</v>
          </cell>
          <cell r="T121">
            <v>0</v>
          </cell>
          <cell r="U121">
            <v>0</v>
          </cell>
          <cell r="V121">
            <v>0</v>
          </cell>
        </row>
        <row r="122">
          <cell r="C122" t="str">
            <v>1992KS</v>
          </cell>
          <cell r="D122">
            <v>3570</v>
          </cell>
          <cell r="E122">
            <v>259500</v>
          </cell>
          <cell r="F122">
            <v>363800</v>
          </cell>
          <cell r="G122">
            <v>920</v>
          </cell>
          <cell r="H122">
            <v>244000</v>
          </cell>
          <cell r="I122">
            <v>7840</v>
          </cell>
          <cell r="J122">
            <v>130</v>
          </cell>
          <cell r="K122">
            <v>0</v>
          </cell>
          <cell r="L122">
            <v>0</v>
          </cell>
          <cell r="M122">
            <v>68450</v>
          </cell>
          <cell r="N122">
            <v>0</v>
          </cell>
          <cell r="O122">
            <v>0</v>
          </cell>
          <cell r="P122">
            <v>0</v>
          </cell>
          <cell r="Q122">
            <v>0</v>
          </cell>
          <cell r="R122">
            <v>0</v>
          </cell>
          <cell r="S122">
            <v>0</v>
          </cell>
          <cell r="T122">
            <v>0</v>
          </cell>
          <cell r="U122">
            <v>0</v>
          </cell>
          <cell r="V122">
            <v>0</v>
          </cell>
        </row>
        <row r="123">
          <cell r="C123" t="str">
            <v>1992KY</v>
          </cell>
          <cell r="D123">
            <v>1120</v>
          </cell>
          <cell r="E123">
            <v>171600</v>
          </cell>
          <cell r="F123">
            <v>20350</v>
          </cell>
          <cell r="G123">
            <v>924</v>
          </cell>
          <cell r="H123">
            <v>1710</v>
          </cell>
          <cell r="I123">
            <v>0</v>
          </cell>
          <cell r="J123">
            <v>0</v>
          </cell>
          <cell r="K123">
            <v>0</v>
          </cell>
          <cell r="L123">
            <v>0</v>
          </cell>
          <cell r="M123">
            <v>42180</v>
          </cell>
          <cell r="N123">
            <v>0</v>
          </cell>
          <cell r="O123">
            <v>0</v>
          </cell>
          <cell r="P123">
            <v>0</v>
          </cell>
          <cell r="Q123">
            <v>0</v>
          </cell>
          <cell r="R123">
            <v>0</v>
          </cell>
          <cell r="S123">
            <v>0</v>
          </cell>
          <cell r="T123">
            <v>0</v>
          </cell>
          <cell r="U123">
            <v>0</v>
          </cell>
          <cell r="V123">
            <v>0</v>
          </cell>
        </row>
        <row r="124">
          <cell r="C124" t="str">
            <v>1992LA</v>
          </cell>
          <cell r="D124">
            <v>0</v>
          </cell>
          <cell r="E124">
            <v>37080</v>
          </cell>
          <cell r="F124">
            <v>6120</v>
          </cell>
          <cell r="G124">
            <v>0</v>
          </cell>
          <cell r="H124">
            <v>15232</v>
          </cell>
          <cell r="I124">
            <v>0</v>
          </cell>
          <cell r="J124">
            <v>0</v>
          </cell>
          <cell r="K124">
            <v>0</v>
          </cell>
          <cell r="L124">
            <v>28846</v>
          </cell>
          <cell r="M124">
            <v>35100</v>
          </cell>
          <cell r="N124">
            <v>0</v>
          </cell>
          <cell r="O124">
            <v>0</v>
          </cell>
          <cell r="P124">
            <v>0</v>
          </cell>
          <cell r="Q124">
            <v>0</v>
          </cell>
          <cell r="R124">
            <v>0</v>
          </cell>
          <cell r="S124">
            <v>0</v>
          </cell>
          <cell r="T124">
            <v>8706</v>
          </cell>
          <cell r="U124">
            <v>620</v>
          </cell>
          <cell r="V124">
            <v>186</v>
          </cell>
          <cell r="W124">
            <v>0.06</v>
          </cell>
        </row>
        <row r="125">
          <cell r="C125" t="str">
            <v>1992ME</v>
          </cell>
          <cell r="D125">
            <v>46</v>
          </cell>
          <cell r="E125">
            <v>0</v>
          </cell>
          <cell r="F125">
            <v>0</v>
          </cell>
          <cell r="G125">
            <v>0</v>
          </cell>
          <cell r="H125">
            <v>0</v>
          </cell>
          <cell r="I125">
            <v>2125</v>
          </cell>
          <cell r="J125">
            <v>0</v>
          </cell>
          <cell r="K125">
            <v>0</v>
          </cell>
          <cell r="L125">
            <v>0</v>
          </cell>
          <cell r="M125">
            <v>0</v>
          </cell>
          <cell r="N125">
            <v>0</v>
          </cell>
          <cell r="O125">
            <v>0</v>
          </cell>
          <cell r="P125">
            <v>0</v>
          </cell>
          <cell r="Q125">
            <v>0</v>
          </cell>
          <cell r="R125">
            <v>0</v>
          </cell>
          <cell r="S125">
            <v>0</v>
          </cell>
          <cell r="T125">
            <v>0</v>
          </cell>
          <cell r="U125">
            <v>0</v>
          </cell>
          <cell r="V125">
            <v>0</v>
          </cell>
        </row>
        <row r="126">
          <cell r="C126" t="str">
            <v>1992MD</v>
          </cell>
          <cell r="D126">
            <v>273</v>
          </cell>
          <cell r="E126">
            <v>58280</v>
          </cell>
          <cell r="F126">
            <v>12760</v>
          </cell>
          <cell r="G126">
            <v>4672</v>
          </cell>
          <cell r="H126">
            <v>0</v>
          </cell>
          <cell r="I126">
            <v>594</v>
          </cell>
          <cell r="J126">
            <v>185</v>
          </cell>
          <cell r="K126">
            <v>0</v>
          </cell>
          <cell r="L126">
            <v>0</v>
          </cell>
          <cell r="M126">
            <v>17985</v>
          </cell>
          <cell r="N126">
            <v>0</v>
          </cell>
          <cell r="O126">
            <v>0</v>
          </cell>
          <cell r="P126">
            <v>0</v>
          </cell>
          <cell r="Q126">
            <v>0</v>
          </cell>
          <cell r="R126">
            <v>0</v>
          </cell>
          <cell r="S126">
            <v>0</v>
          </cell>
          <cell r="T126">
            <v>0</v>
          </cell>
          <cell r="U126">
            <v>0</v>
          </cell>
          <cell r="V126">
            <v>0</v>
          </cell>
        </row>
        <row r="127">
          <cell r="C127" t="str">
            <v>1992MA</v>
          </cell>
          <cell r="D127">
            <v>78</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row>
        <row r="128">
          <cell r="C128" t="str">
            <v>1992MI</v>
          </cell>
          <cell r="D128">
            <v>3780</v>
          </cell>
          <cell r="E128">
            <v>241500</v>
          </cell>
          <cell r="F128">
            <v>35280</v>
          </cell>
          <cell r="G128">
            <v>1400</v>
          </cell>
          <cell r="H128">
            <v>0</v>
          </cell>
          <cell r="I128">
            <v>7800</v>
          </cell>
          <cell r="J128">
            <v>496</v>
          </cell>
          <cell r="K128">
            <v>0</v>
          </cell>
          <cell r="L128">
            <v>0</v>
          </cell>
          <cell r="M128">
            <v>47520</v>
          </cell>
          <cell r="N128">
            <v>0</v>
          </cell>
          <cell r="O128">
            <v>0</v>
          </cell>
          <cell r="P128">
            <v>0</v>
          </cell>
          <cell r="Q128">
            <v>0</v>
          </cell>
          <cell r="R128">
            <v>0</v>
          </cell>
          <cell r="S128">
            <v>0</v>
          </cell>
          <cell r="T128">
            <v>0</v>
          </cell>
          <cell r="U128">
            <v>0</v>
          </cell>
          <cell r="V128">
            <v>0</v>
          </cell>
        </row>
        <row r="129">
          <cell r="C129" t="str">
            <v>1992MN</v>
          </cell>
          <cell r="D129">
            <v>5250</v>
          </cell>
          <cell r="E129">
            <v>741000</v>
          </cell>
          <cell r="F129">
            <v>139860</v>
          </cell>
          <cell r="G129">
            <v>50625</v>
          </cell>
          <cell r="H129">
            <v>0</v>
          </cell>
          <cell r="I129">
            <v>35000</v>
          </cell>
          <cell r="J129">
            <v>720</v>
          </cell>
          <cell r="K129">
            <v>0</v>
          </cell>
          <cell r="L129">
            <v>0</v>
          </cell>
          <cell r="M129">
            <v>172800</v>
          </cell>
          <cell r="N129">
            <v>0</v>
          </cell>
          <cell r="O129">
            <v>0</v>
          </cell>
          <cell r="P129">
            <v>0</v>
          </cell>
          <cell r="Q129">
            <v>0</v>
          </cell>
          <cell r="R129">
            <v>0</v>
          </cell>
          <cell r="S129">
            <v>0</v>
          </cell>
          <cell r="T129">
            <v>0</v>
          </cell>
          <cell r="U129">
            <v>0</v>
          </cell>
          <cell r="V129">
            <v>0</v>
          </cell>
        </row>
        <row r="130">
          <cell r="C130" t="str">
            <v>1992MS</v>
          </cell>
          <cell r="D130">
            <v>0</v>
          </cell>
          <cell r="E130">
            <v>27000</v>
          </cell>
          <cell r="F130">
            <v>10500</v>
          </cell>
          <cell r="G130">
            <v>0</v>
          </cell>
          <cell r="H130">
            <v>10500</v>
          </cell>
          <cell r="I130">
            <v>0</v>
          </cell>
          <cell r="J130">
            <v>0</v>
          </cell>
          <cell r="K130">
            <v>0</v>
          </cell>
          <cell r="L130">
            <v>15675</v>
          </cell>
          <cell r="M130">
            <v>59500</v>
          </cell>
          <cell r="N130">
            <v>0</v>
          </cell>
          <cell r="O130">
            <v>0</v>
          </cell>
          <cell r="P130">
            <v>0</v>
          </cell>
          <cell r="Q130">
            <v>0</v>
          </cell>
          <cell r="R130">
            <v>0</v>
          </cell>
          <cell r="S130">
            <v>0</v>
          </cell>
          <cell r="T130">
            <v>0</v>
          </cell>
          <cell r="U130">
            <v>275</v>
          </cell>
          <cell r="V130">
            <v>0</v>
          </cell>
          <cell r="W130">
            <v>0.1</v>
          </cell>
        </row>
        <row r="131">
          <cell r="C131" t="str">
            <v>1992MO</v>
          </cell>
          <cell r="D131">
            <v>1680</v>
          </cell>
          <cell r="E131">
            <v>324000</v>
          </cell>
          <cell r="F131">
            <v>64800</v>
          </cell>
          <cell r="G131">
            <v>0</v>
          </cell>
          <cell r="H131">
            <v>62080</v>
          </cell>
          <cell r="I131">
            <v>2430</v>
          </cell>
          <cell r="J131">
            <v>0</v>
          </cell>
          <cell r="K131">
            <v>0</v>
          </cell>
          <cell r="L131">
            <v>5376</v>
          </cell>
          <cell r="M131">
            <v>161500</v>
          </cell>
          <cell r="N131">
            <v>0</v>
          </cell>
          <cell r="O131">
            <v>0</v>
          </cell>
          <cell r="P131">
            <v>0</v>
          </cell>
          <cell r="Q131">
            <v>0</v>
          </cell>
          <cell r="R131">
            <v>0</v>
          </cell>
          <cell r="S131">
            <v>0</v>
          </cell>
          <cell r="T131">
            <v>0</v>
          </cell>
          <cell r="U131">
            <v>112</v>
          </cell>
          <cell r="V131">
            <v>0</v>
          </cell>
          <cell r="W131">
            <v>0.05</v>
          </cell>
        </row>
        <row r="132">
          <cell r="C132" t="str">
            <v>1992MT</v>
          </cell>
          <cell r="D132">
            <v>2990</v>
          </cell>
          <cell r="E132">
            <v>2750</v>
          </cell>
          <cell r="F132">
            <v>149151</v>
          </cell>
          <cell r="G132">
            <v>52800</v>
          </cell>
          <cell r="H132">
            <v>0</v>
          </cell>
          <cell r="I132">
            <v>5040</v>
          </cell>
          <cell r="J132">
            <v>0</v>
          </cell>
          <cell r="K132">
            <v>0</v>
          </cell>
          <cell r="L132">
            <v>0</v>
          </cell>
          <cell r="M132">
            <v>0</v>
          </cell>
          <cell r="N132">
            <v>0</v>
          </cell>
          <cell r="O132">
            <v>0</v>
          </cell>
          <cell r="P132">
            <v>0</v>
          </cell>
          <cell r="Q132">
            <v>0</v>
          </cell>
          <cell r="R132">
            <v>0</v>
          </cell>
          <cell r="S132">
            <v>0</v>
          </cell>
          <cell r="T132">
            <v>0</v>
          </cell>
          <cell r="U132">
            <v>0</v>
          </cell>
          <cell r="V132">
            <v>0</v>
          </cell>
        </row>
        <row r="133">
          <cell r="C133" t="str">
            <v>1992NE</v>
          </cell>
          <cell r="D133">
            <v>5550</v>
          </cell>
          <cell r="E133">
            <v>1066500</v>
          </cell>
          <cell r="F133">
            <v>55500</v>
          </cell>
          <cell r="G133">
            <v>850</v>
          </cell>
          <cell r="H133">
            <v>143820</v>
          </cell>
          <cell r="I133">
            <v>15400</v>
          </cell>
          <cell r="J133">
            <v>702</v>
          </cell>
          <cell r="K133">
            <v>0</v>
          </cell>
          <cell r="L133">
            <v>0</v>
          </cell>
          <cell r="M133">
            <v>103320</v>
          </cell>
          <cell r="N133">
            <v>0</v>
          </cell>
          <cell r="O133">
            <v>0</v>
          </cell>
          <cell r="P133">
            <v>0</v>
          </cell>
          <cell r="Q133">
            <v>0</v>
          </cell>
          <cell r="R133">
            <v>0</v>
          </cell>
          <cell r="S133">
            <v>0</v>
          </cell>
          <cell r="T133">
            <v>0</v>
          </cell>
          <cell r="U133">
            <v>0</v>
          </cell>
          <cell r="V133">
            <v>0</v>
          </cell>
        </row>
        <row r="134">
          <cell r="C134" t="str">
            <v>1992NV</v>
          </cell>
          <cell r="D134">
            <v>874</v>
          </cell>
          <cell r="E134">
            <v>0</v>
          </cell>
          <cell r="F134">
            <v>800</v>
          </cell>
          <cell r="G134">
            <v>550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row>
        <row r="135">
          <cell r="C135" t="str">
            <v>1992NH</v>
          </cell>
          <cell r="D135">
            <v>31</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row>
        <row r="136">
          <cell r="C136" t="str">
            <v>1992NJ</v>
          </cell>
          <cell r="D136">
            <v>113</v>
          </cell>
          <cell r="E136">
            <v>9840</v>
          </cell>
          <cell r="F136">
            <v>1400</v>
          </cell>
          <cell r="G136">
            <v>448</v>
          </cell>
          <cell r="H136">
            <v>0</v>
          </cell>
          <cell r="I136">
            <v>0</v>
          </cell>
          <cell r="J136">
            <v>259</v>
          </cell>
          <cell r="K136">
            <v>0</v>
          </cell>
          <cell r="L136">
            <v>0</v>
          </cell>
          <cell r="M136">
            <v>4224</v>
          </cell>
          <cell r="N136">
            <v>0</v>
          </cell>
          <cell r="O136">
            <v>0</v>
          </cell>
          <cell r="P136">
            <v>0</v>
          </cell>
          <cell r="Q136">
            <v>0</v>
          </cell>
          <cell r="R136">
            <v>0</v>
          </cell>
          <cell r="S136">
            <v>0</v>
          </cell>
          <cell r="T136">
            <v>0</v>
          </cell>
          <cell r="U136">
            <v>0</v>
          </cell>
          <cell r="V136">
            <v>0</v>
          </cell>
        </row>
        <row r="137">
          <cell r="C137" t="str">
            <v>1992NM</v>
          </cell>
          <cell r="D137">
            <v>1275</v>
          </cell>
          <cell r="E137">
            <v>11360</v>
          </cell>
          <cell r="F137">
            <v>11220</v>
          </cell>
          <cell r="G137">
            <v>0</v>
          </cell>
          <cell r="H137">
            <v>12300</v>
          </cell>
          <cell r="I137">
            <v>0</v>
          </cell>
          <cell r="J137">
            <v>0</v>
          </cell>
          <cell r="K137">
            <v>0</v>
          </cell>
          <cell r="L137">
            <v>0</v>
          </cell>
          <cell r="M137">
            <v>0</v>
          </cell>
          <cell r="N137">
            <v>58236</v>
          </cell>
          <cell r="O137">
            <v>0</v>
          </cell>
          <cell r="P137">
            <v>0</v>
          </cell>
          <cell r="Q137">
            <v>0</v>
          </cell>
          <cell r="R137">
            <v>0</v>
          </cell>
          <cell r="S137">
            <v>0</v>
          </cell>
          <cell r="T137">
            <v>0</v>
          </cell>
          <cell r="U137">
            <v>0</v>
          </cell>
          <cell r="V137">
            <v>0</v>
          </cell>
        </row>
        <row r="138">
          <cell r="C138" t="str">
            <v>1992NY</v>
          </cell>
          <cell r="D138">
            <v>1880</v>
          </cell>
          <cell r="E138">
            <v>50600</v>
          </cell>
          <cell r="F138">
            <v>6160</v>
          </cell>
          <cell r="G138">
            <v>0</v>
          </cell>
          <cell r="H138">
            <v>0</v>
          </cell>
          <cell r="I138">
            <v>7700</v>
          </cell>
          <cell r="J138">
            <v>288</v>
          </cell>
          <cell r="K138">
            <v>0</v>
          </cell>
          <cell r="L138">
            <v>0</v>
          </cell>
          <cell r="M138">
            <v>0</v>
          </cell>
          <cell r="N138">
            <v>0</v>
          </cell>
          <cell r="O138">
            <v>0</v>
          </cell>
          <cell r="P138">
            <v>0</v>
          </cell>
          <cell r="Q138">
            <v>0</v>
          </cell>
          <cell r="R138">
            <v>0</v>
          </cell>
          <cell r="S138">
            <v>0</v>
          </cell>
          <cell r="T138">
            <v>0</v>
          </cell>
          <cell r="U138">
            <v>0</v>
          </cell>
          <cell r="V138">
            <v>0</v>
          </cell>
        </row>
        <row r="139">
          <cell r="C139" t="str">
            <v>1992NC</v>
          </cell>
          <cell r="D139">
            <v>84</v>
          </cell>
          <cell r="E139">
            <v>98800</v>
          </cell>
          <cell r="F139">
            <v>27750</v>
          </cell>
          <cell r="G139">
            <v>1980</v>
          </cell>
          <cell r="H139">
            <v>1000</v>
          </cell>
          <cell r="I139">
            <v>3000</v>
          </cell>
          <cell r="J139">
            <v>360</v>
          </cell>
          <cell r="K139">
            <v>0</v>
          </cell>
          <cell r="L139">
            <v>0</v>
          </cell>
          <cell r="M139">
            <v>36450</v>
          </cell>
          <cell r="N139">
            <v>406980</v>
          </cell>
          <cell r="O139">
            <v>0</v>
          </cell>
          <cell r="P139">
            <v>0</v>
          </cell>
          <cell r="Q139">
            <v>0</v>
          </cell>
          <cell r="R139">
            <v>0</v>
          </cell>
          <cell r="S139">
            <v>0</v>
          </cell>
          <cell r="T139">
            <v>0</v>
          </cell>
          <cell r="U139">
            <v>0</v>
          </cell>
          <cell r="V139">
            <v>0</v>
          </cell>
        </row>
        <row r="140">
          <cell r="C140" t="str">
            <v>1992ND</v>
          </cell>
          <cell r="D140">
            <v>1755</v>
          </cell>
          <cell r="E140">
            <v>36540</v>
          </cell>
          <cell r="F140">
            <v>472890</v>
          </cell>
          <cell r="G140">
            <v>172250</v>
          </cell>
          <cell r="H140">
            <v>0</v>
          </cell>
          <cell r="I140">
            <v>37400</v>
          </cell>
          <cell r="J140">
            <v>1394</v>
          </cell>
          <cell r="K140">
            <v>0</v>
          </cell>
          <cell r="L140">
            <v>0</v>
          </cell>
          <cell r="M140">
            <v>17250</v>
          </cell>
          <cell r="N140">
            <v>0</v>
          </cell>
          <cell r="O140">
            <v>4680</v>
          </cell>
          <cell r="P140">
            <v>0</v>
          </cell>
          <cell r="Q140">
            <v>0</v>
          </cell>
          <cell r="R140">
            <v>0</v>
          </cell>
          <cell r="S140">
            <v>0</v>
          </cell>
          <cell r="T140">
            <v>0</v>
          </cell>
          <cell r="U140">
            <v>0</v>
          </cell>
          <cell r="V140">
            <v>0</v>
          </cell>
        </row>
        <row r="141">
          <cell r="C141" t="str">
            <v>1992OH</v>
          </cell>
          <cell r="D141">
            <v>2800</v>
          </cell>
          <cell r="E141">
            <v>507650</v>
          </cell>
          <cell r="F141">
            <v>59095</v>
          </cell>
          <cell r="G141">
            <v>0</v>
          </cell>
          <cell r="H141">
            <v>0</v>
          </cell>
          <cell r="I141">
            <v>12070</v>
          </cell>
          <cell r="J141">
            <v>175</v>
          </cell>
          <cell r="K141">
            <v>0</v>
          </cell>
          <cell r="L141">
            <v>0</v>
          </cell>
          <cell r="M141">
            <v>147200</v>
          </cell>
          <cell r="N141">
            <v>0</v>
          </cell>
          <cell r="O141">
            <v>0</v>
          </cell>
          <cell r="P141">
            <v>0</v>
          </cell>
          <cell r="Q141">
            <v>0</v>
          </cell>
          <cell r="R141">
            <v>0</v>
          </cell>
          <cell r="S141">
            <v>0</v>
          </cell>
          <cell r="T141">
            <v>0</v>
          </cell>
          <cell r="U141">
            <v>0</v>
          </cell>
          <cell r="V141">
            <v>0</v>
          </cell>
        </row>
        <row r="142">
          <cell r="C142" t="str">
            <v>1992OK</v>
          </cell>
          <cell r="D142">
            <v>1330</v>
          </cell>
          <cell r="E142">
            <v>18225</v>
          </cell>
          <cell r="F142">
            <v>168150</v>
          </cell>
          <cell r="G142">
            <v>378</v>
          </cell>
          <cell r="H142">
            <v>17490</v>
          </cell>
          <cell r="I142">
            <v>2000</v>
          </cell>
          <cell r="J142">
            <v>798</v>
          </cell>
          <cell r="K142">
            <v>0</v>
          </cell>
          <cell r="L142">
            <v>0</v>
          </cell>
          <cell r="M142">
            <v>5940</v>
          </cell>
          <cell r="N142">
            <v>236180</v>
          </cell>
          <cell r="O142">
            <v>0</v>
          </cell>
          <cell r="P142">
            <v>0</v>
          </cell>
          <cell r="Q142">
            <v>0</v>
          </cell>
          <cell r="R142">
            <v>0</v>
          </cell>
          <cell r="S142">
            <v>0</v>
          </cell>
          <cell r="T142">
            <v>0</v>
          </cell>
          <cell r="U142">
            <v>0</v>
          </cell>
          <cell r="V142">
            <v>0</v>
          </cell>
          <cell r="W142">
            <v>0.9</v>
          </cell>
        </row>
        <row r="143">
          <cell r="C143" t="str">
            <v>1992OR</v>
          </cell>
          <cell r="D143">
            <v>1600</v>
          </cell>
          <cell r="E143">
            <v>2250</v>
          </cell>
          <cell r="F143">
            <v>47800</v>
          </cell>
          <cell r="G143">
            <v>9450</v>
          </cell>
          <cell r="H143">
            <v>0</v>
          </cell>
          <cell r="I143">
            <v>4230</v>
          </cell>
          <cell r="J143">
            <v>0</v>
          </cell>
          <cell r="K143">
            <v>0</v>
          </cell>
          <cell r="L143">
            <v>0</v>
          </cell>
          <cell r="M143">
            <v>0</v>
          </cell>
          <cell r="N143">
            <v>0</v>
          </cell>
          <cell r="O143">
            <v>0</v>
          </cell>
          <cell r="P143">
            <v>0</v>
          </cell>
          <cell r="Q143">
            <v>0</v>
          </cell>
          <cell r="R143">
            <v>0</v>
          </cell>
          <cell r="S143">
            <v>0</v>
          </cell>
          <cell r="T143">
            <v>0</v>
          </cell>
          <cell r="U143">
            <v>0</v>
          </cell>
          <cell r="V143">
            <v>0</v>
          </cell>
        </row>
        <row r="144">
          <cell r="C144" t="str">
            <v>1992PA</v>
          </cell>
          <cell r="D144">
            <v>2560</v>
          </cell>
          <cell r="E144">
            <v>118800</v>
          </cell>
          <cell r="F144">
            <v>9805</v>
          </cell>
          <cell r="G144">
            <v>6035</v>
          </cell>
          <cell r="H144">
            <v>0</v>
          </cell>
          <cell r="I144">
            <v>13065</v>
          </cell>
          <cell r="J144">
            <v>648</v>
          </cell>
          <cell r="K144">
            <v>0</v>
          </cell>
          <cell r="L144">
            <v>0</v>
          </cell>
          <cell r="M144">
            <v>11115</v>
          </cell>
          <cell r="N144">
            <v>0</v>
          </cell>
          <cell r="O144">
            <v>0</v>
          </cell>
          <cell r="P144">
            <v>0</v>
          </cell>
          <cell r="Q144">
            <v>0</v>
          </cell>
          <cell r="R144">
            <v>0</v>
          </cell>
          <cell r="S144">
            <v>0</v>
          </cell>
          <cell r="T144">
            <v>0</v>
          </cell>
          <cell r="U144">
            <v>0</v>
          </cell>
          <cell r="V144">
            <v>0</v>
          </cell>
        </row>
        <row r="145">
          <cell r="C145" t="str">
            <v>1992RI</v>
          </cell>
          <cell r="D145">
            <v>8</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row>
        <row r="146">
          <cell r="C146" t="str">
            <v>1992SC</v>
          </cell>
          <cell r="D146">
            <v>0</v>
          </cell>
          <cell r="E146">
            <v>30800</v>
          </cell>
          <cell r="F146">
            <v>12925</v>
          </cell>
          <cell r="G146">
            <v>558</v>
          </cell>
          <cell r="H146">
            <v>540</v>
          </cell>
          <cell r="I146">
            <v>2205</v>
          </cell>
          <cell r="J146">
            <v>675</v>
          </cell>
          <cell r="K146">
            <v>0</v>
          </cell>
          <cell r="L146">
            <v>0</v>
          </cell>
          <cell r="M146">
            <v>14740</v>
          </cell>
          <cell r="N146">
            <v>32500</v>
          </cell>
          <cell r="O146">
            <v>0</v>
          </cell>
          <cell r="P146">
            <v>0</v>
          </cell>
          <cell r="Q146">
            <v>0</v>
          </cell>
          <cell r="R146">
            <v>0</v>
          </cell>
          <cell r="S146">
            <v>0</v>
          </cell>
          <cell r="T146">
            <v>0</v>
          </cell>
          <cell r="U146">
            <v>0</v>
          </cell>
          <cell r="V146">
            <v>0</v>
          </cell>
        </row>
        <row r="147">
          <cell r="C147" t="str">
            <v>1992SD</v>
          </cell>
          <cell r="D147">
            <v>4620</v>
          </cell>
          <cell r="E147">
            <v>277200</v>
          </cell>
          <cell r="F147">
            <v>119590</v>
          </cell>
          <cell r="G147">
            <v>20520</v>
          </cell>
          <cell r="H147">
            <v>14060</v>
          </cell>
          <cell r="I147">
            <v>42900</v>
          </cell>
          <cell r="J147">
            <v>1666</v>
          </cell>
          <cell r="K147">
            <v>0</v>
          </cell>
          <cell r="L147">
            <v>0</v>
          </cell>
          <cell r="M147">
            <v>63000</v>
          </cell>
          <cell r="N147">
            <v>0</v>
          </cell>
          <cell r="O147">
            <v>0</v>
          </cell>
          <cell r="P147">
            <v>0</v>
          </cell>
          <cell r="Q147">
            <v>0</v>
          </cell>
          <cell r="R147">
            <v>0</v>
          </cell>
          <cell r="S147">
            <v>0</v>
          </cell>
          <cell r="T147">
            <v>0</v>
          </cell>
          <cell r="U147">
            <v>0</v>
          </cell>
          <cell r="V147">
            <v>0</v>
          </cell>
        </row>
        <row r="148">
          <cell r="C148" t="str">
            <v>1992TN</v>
          </cell>
          <cell r="D148">
            <v>252</v>
          </cell>
          <cell r="E148">
            <v>79360</v>
          </cell>
          <cell r="F148">
            <v>13440</v>
          </cell>
          <cell r="G148">
            <v>0</v>
          </cell>
          <cell r="H148">
            <v>4800</v>
          </cell>
          <cell r="I148">
            <v>0</v>
          </cell>
          <cell r="J148">
            <v>0</v>
          </cell>
          <cell r="K148">
            <v>0</v>
          </cell>
          <cell r="L148">
            <v>0</v>
          </cell>
          <cell r="M148">
            <v>33250</v>
          </cell>
          <cell r="N148">
            <v>0</v>
          </cell>
          <cell r="O148">
            <v>0</v>
          </cell>
          <cell r="P148">
            <v>0</v>
          </cell>
          <cell r="Q148">
            <v>0</v>
          </cell>
          <cell r="R148">
            <v>0</v>
          </cell>
          <cell r="S148">
            <v>0</v>
          </cell>
          <cell r="T148">
            <v>0</v>
          </cell>
          <cell r="U148">
            <v>0</v>
          </cell>
          <cell r="V148">
            <v>0</v>
          </cell>
        </row>
        <row r="149">
          <cell r="C149" t="str">
            <v>1992TX</v>
          </cell>
          <cell r="D149">
            <v>550</v>
          </cell>
          <cell r="E149">
            <v>202500</v>
          </cell>
          <cell r="F149">
            <v>129200</v>
          </cell>
          <cell r="G149">
            <v>270</v>
          </cell>
          <cell r="H149">
            <v>279000</v>
          </cell>
          <cell r="I149">
            <v>5720</v>
          </cell>
          <cell r="J149">
            <v>280</v>
          </cell>
          <cell r="K149">
            <v>0</v>
          </cell>
          <cell r="L149">
            <v>20357</v>
          </cell>
          <cell r="M149">
            <v>12870</v>
          </cell>
          <cell r="N149">
            <v>680150</v>
          </cell>
          <cell r="O149">
            <v>0</v>
          </cell>
          <cell r="P149">
            <v>0</v>
          </cell>
          <cell r="Q149">
            <v>0</v>
          </cell>
          <cell r="R149">
            <v>0</v>
          </cell>
          <cell r="S149">
            <v>0</v>
          </cell>
          <cell r="T149">
            <v>1328</v>
          </cell>
          <cell r="U149">
            <v>351</v>
          </cell>
          <cell r="V149">
            <v>140</v>
          </cell>
          <cell r="W149">
            <v>0.01</v>
          </cell>
        </row>
        <row r="150">
          <cell r="C150" t="str">
            <v>1992UT</v>
          </cell>
          <cell r="D150">
            <v>1960</v>
          </cell>
          <cell r="E150">
            <v>3240</v>
          </cell>
          <cell r="F150">
            <v>6456</v>
          </cell>
          <cell r="G150">
            <v>8970</v>
          </cell>
          <cell r="H150">
            <v>0</v>
          </cell>
          <cell r="I150">
            <v>1050</v>
          </cell>
          <cell r="J150">
            <v>0</v>
          </cell>
          <cell r="K150">
            <v>0</v>
          </cell>
          <cell r="L150">
            <v>0</v>
          </cell>
          <cell r="M150">
            <v>0</v>
          </cell>
          <cell r="N150">
            <v>0</v>
          </cell>
          <cell r="O150">
            <v>0</v>
          </cell>
          <cell r="P150">
            <v>0</v>
          </cell>
          <cell r="Q150">
            <v>0</v>
          </cell>
          <cell r="R150">
            <v>0</v>
          </cell>
          <cell r="S150">
            <v>0</v>
          </cell>
          <cell r="T150">
            <v>0</v>
          </cell>
          <cell r="U150">
            <v>0</v>
          </cell>
          <cell r="V150">
            <v>0</v>
          </cell>
        </row>
        <row r="151">
          <cell r="C151" t="str">
            <v>1992VT</v>
          </cell>
          <cell r="D151">
            <v>219</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row>
        <row r="152">
          <cell r="C152" t="str">
            <v>1992VA</v>
          </cell>
          <cell r="D152">
            <v>490</v>
          </cell>
          <cell r="E152">
            <v>41760</v>
          </cell>
          <cell r="F152">
            <v>15105</v>
          </cell>
          <cell r="G152">
            <v>7110</v>
          </cell>
          <cell r="H152">
            <v>0</v>
          </cell>
          <cell r="I152">
            <v>0</v>
          </cell>
          <cell r="J152">
            <v>288</v>
          </cell>
          <cell r="K152">
            <v>0</v>
          </cell>
          <cell r="L152">
            <v>0</v>
          </cell>
          <cell r="M152">
            <v>15500</v>
          </cell>
          <cell r="N152">
            <v>256215</v>
          </cell>
          <cell r="O152">
            <v>0</v>
          </cell>
          <cell r="P152">
            <v>0</v>
          </cell>
          <cell r="Q152">
            <v>0</v>
          </cell>
          <cell r="R152">
            <v>0</v>
          </cell>
          <cell r="S152">
            <v>0</v>
          </cell>
          <cell r="T152">
            <v>0</v>
          </cell>
          <cell r="U152">
            <v>0</v>
          </cell>
          <cell r="V152">
            <v>0</v>
          </cell>
        </row>
        <row r="153">
          <cell r="C153" t="str">
            <v>1992WA</v>
          </cell>
          <cell r="D153">
            <v>2208</v>
          </cell>
          <cell r="E153">
            <v>15840</v>
          </cell>
          <cell r="F153">
            <v>119640</v>
          </cell>
          <cell r="G153">
            <v>19800</v>
          </cell>
          <cell r="H153">
            <v>0</v>
          </cell>
          <cell r="I153">
            <v>1800</v>
          </cell>
          <cell r="J153">
            <v>0</v>
          </cell>
          <cell r="K153">
            <v>0</v>
          </cell>
          <cell r="L153">
            <v>0</v>
          </cell>
          <cell r="M153">
            <v>0</v>
          </cell>
          <cell r="N153">
            <v>0</v>
          </cell>
          <cell r="O153">
            <v>0</v>
          </cell>
          <cell r="P153">
            <v>0</v>
          </cell>
          <cell r="Q153">
            <v>0</v>
          </cell>
          <cell r="R153">
            <v>0</v>
          </cell>
          <cell r="S153">
            <v>140</v>
          </cell>
          <cell r="T153">
            <v>0</v>
          </cell>
          <cell r="U153">
            <v>0</v>
          </cell>
          <cell r="V153">
            <v>0</v>
          </cell>
        </row>
        <row r="154">
          <cell r="C154" t="str">
            <v>1992WV</v>
          </cell>
          <cell r="D154">
            <v>120</v>
          </cell>
          <cell r="E154">
            <v>5400</v>
          </cell>
          <cell r="F154">
            <v>539</v>
          </cell>
          <cell r="G154">
            <v>0</v>
          </cell>
          <cell r="H154">
            <v>0</v>
          </cell>
          <cell r="I154">
            <v>360</v>
          </cell>
          <cell r="J154">
            <v>0</v>
          </cell>
          <cell r="K154">
            <v>0</v>
          </cell>
          <cell r="L154">
            <v>0</v>
          </cell>
          <cell r="M154">
            <v>0</v>
          </cell>
          <cell r="N154">
            <v>0</v>
          </cell>
          <cell r="O154">
            <v>0</v>
          </cell>
          <cell r="P154">
            <v>0</v>
          </cell>
          <cell r="Q154">
            <v>0</v>
          </cell>
          <cell r="R154">
            <v>0</v>
          </cell>
          <cell r="S154">
            <v>0</v>
          </cell>
          <cell r="T154">
            <v>0</v>
          </cell>
          <cell r="U154">
            <v>0</v>
          </cell>
          <cell r="V154">
            <v>0</v>
          </cell>
        </row>
        <row r="155">
          <cell r="C155" t="str">
            <v>1992WI</v>
          </cell>
          <cell r="D155">
            <v>5290</v>
          </cell>
          <cell r="E155">
            <v>306800</v>
          </cell>
          <cell r="F155">
            <v>2640</v>
          </cell>
          <cell r="G155">
            <v>4160</v>
          </cell>
          <cell r="H155">
            <v>0</v>
          </cell>
          <cell r="I155">
            <v>34410</v>
          </cell>
          <cell r="J155">
            <v>330</v>
          </cell>
          <cell r="K155">
            <v>0</v>
          </cell>
          <cell r="L155">
            <v>0</v>
          </cell>
          <cell r="M155">
            <v>22080</v>
          </cell>
          <cell r="N155">
            <v>0</v>
          </cell>
          <cell r="O155">
            <v>0</v>
          </cell>
          <cell r="P155">
            <v>0</v>
          </cell>
          <cell r="Q155">
            <v>0</v>
          </cell>
          <cell r="R155">
            <v>0</v>
          </cell>
          <cell r="S155">
            <v>0</v>
          </cell>
          <cell r="T155">
            <v>0</v>
          </cell>
          <cell r="U155">
            <v>0</v>
          </cell>
          <cell r="V155">
            <v>0</v>
          </cell>
        </row>
        <row r="156">
          <cell r="C156" t="str">
            <v>1992WY</v>
          </cell>
          <cell r="D156">
            <v>1196</v>
          </cell>
          <cell r="E156">
            <v>5194</v>
          </cell>
          <cell r="F156">
            <v>5588</v>
          </cell>
          <cell r="G156">
            <v>10125</v>
          </cell>
          <cell r="H156">
            <v>0</v>
          </cell>
          <cell r="I156">
            <v>1650</v>
          </cell>
          <cell r="J156">
            <v>0</v>
          </cell>
          <cell r="K156">
            <v>0</v>
          </cell>
          <cell r="L156">
            <v>0</v>
          </cell>
          <cell r="M156">
            <v>0</v>
          </cell>
          <cell r="N156">
            <v>0</v>
          </cell>
          <cell r="O156">
            <v>0</v>
          </cell>
          <cell r="P156">
            <v>0</v>
          </cell>
          <cell r="Q156">
            <v>0</v>
          </cell>
          <cell r="R156">
            <v>0</v>
          </cell>
          <cell r="S156">
            <v>0</v>
          </cell>
          <cell r="T156">
            <v>0</v>
          </cell>
          <cell r="U156">
            <v>0</v>
          </cell>
          <cell r="V156">
            <v>0</v>
          </cell>
        </row>
        <row r="157">
          <cell r="C157" t="str">
            <v>1992US</v>
          </cell>
          <cell r="D157">
            <v>79140</v>
          </cell>
          <cell r="E157">
            <v>9476698</v>
          </cell>
          <cell r="F157">
            <v>2466798</v>
          </cell>
          <cell r="G157">
            <v>455090</v>
          </cell>
          <cell r="H157">
            <v>875022</v>
          </cell>
          <cell r="I157">
            <v>294229</v>
          </cell>
          <cell r="J157">
            <v>11440</v>
          </cell>
          <cell r="K157">
            <v>0</v>
          </cell>
          <cell r="L157">
            <v>179658</v>
          </cell>
          <cell r="M157">
            <v>2190354</v>
          </cell>
          <cell r="N157">
            <v>4284416</v>
          </cell>
          <cell r="O157">
            <v>0</v>
          </cell>
          <cell r="P157">
            <v>0</v>
          </cell>
          <cell r="Q157">
            <v>0</v>
          </cell>
          <cell r="R157">
            <v>0</v>
          </cell>
          <cell r="S157">
            <v>537</v>
          </cell>
          <cell r="T157">
            <v>30363</v>
          </cell>
        </row>
        <row r="158">
          <cell r="C158" t="str">
            <v>1993AL</v>
          </cell>
          <cell r="D158">
            <v>0</v>
          </cell>
          <cell r="E158">
            <v>13750</v>
          </cell>
          <cell r="F158">
            <v>3230</v>
          </cell>
          <cell r="G158">
            <v>0</v>
          </cell>
          <cell r="H158">
            <v>817</v>
          </cell>
          <cell r="I158">
            <v>1350</v>
          </cell>
          <cell r="J158">
            <v>0</v>
          </cell>
          <cell r="K158">
            <v>0</v>
          </cell>
          <cell r="L158">
            <v>0</v>
          </cell>
          <cell r="M158">
            <v>7080</v>
          </cell>
          <cell r="N158">
            <v>473220</v>
          </cell>
          <cell r="O158">
            <v>0</v>
          </cell>
          <cell r="P158">
            <v>0</v>
          </cell>
          <cell r="Q158">
            <v>0</v>
          </cell>
          <cell r="R158">
            <v>0</v>
          </cell>
          <cell r="S158">
            <v>0</v>
          </cell>
          <cell r="T158">
            <v>0</v>
          </cell>
          <cell r="U158">
            <v>0</v>
          </cell>
          <cell r="V158">
            <v>0</v>
          </cell>
        </row>
        <row r="159">
          <cell r="C159" t="str">
            <v>1993AK</v>
          </cell>
          <cell r="D159">
            <v>0</v>
          </cell>
          <cell r="E159">
            <v>0</v>
          </cell>
          <cell r="F159">
            <v>0</v>
          </cell>
          <cell r="G159">
            <v>164</v>
          </cell>
          <cell r="H159">
            <v>0</v>
          </cell>
          <cell r="I159">
            <v>46000</v>
          </cell>
          <cell r="J159">
            <v>0</v>
          </cell>
          <cell r="K159">
            <v>0</v>
          </cell>
          <cell r="L159">
            <v>0</v>
          </cell>
          <cell r="M159">
            <v>0</v>
          </cell>
          <cell r="N159">
            <v>0</v>
          </cell>
          <cell r="O159">
            <v>0</v>
          </cell>
          <cell r="P159">
            <v>0</v>
          </cell>
          <cell r="Q159">
            <v>0</v>
          </cell>
          <cell r="R159">
            <v>0</v>
          </cell>
          <cell r="S159">
            <v>0</v>
          </cell>
          <cell r="T159">
            <v>0</v>
          </cell>
          <cell r="U159">
            <v>0</v>
          </cell>
          <cell r="V159">
            <v>0</v>
          </cell>
        </row>
        <row r="160">
          <cell r="C160" t="str">
            <v>1993AZ</v>
          </cell>
          <cell r="D160">
            <v>1110</v>
          </cell>
          <cell r="E160">
            <v>1600</v>
          </cell>
          <cell r="F160">
            <v>7790</v>
          </cell>
          <cell r="G160">
            <v>2900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row>
        <row r="161">
          <cell r="C161" t="str">
            <v>1993AR</v>
          </cell>
          <cell r="D161">
            <v>90</v>
          </cell>
          <cell r="E161">
            <v>8190</v>
          </cell>
          <cell r="F161">
            <v>41600</v>
          </cell>
          <cell r="G161">
            <v>0</v>
          </cell>
          <cell r="H161">
            <v>12470</v>
          </cell>
          <cell r="I161">
            <v>1360</v>
          </cell>
          <cell r="J161">
            <v>0</v>
          </cell>
          <cell r="K161">
            <v>0</v>
          </cell>
          <cell r="L161">
            <v>62094</v>
          </cell>
          <cell r="M161">
            <v>92300</v>
          </cell>
          <cell r="N161">
            <v>0</v>
          </cell>
          <cell r="O161">
            <v>0</v>
          </cell>
          <cell r="P161">
            <v>0</v>
          </cell>
          <cell r="Q161">
            <v>0</v>
          </cell>
          <cell r="R161">
            <v>0</v>
          </cell>
          <cell r="S161">
            <v>0</v>
          </cell>
          <cell r="T161">
            <v>0</v>
          </cell>
          <cell r="U161">
            <v>1230</v>
          </cell>
          <cell r="V161">
            <v>0</v>
          </cell>
          <cell r="W161">
            <v>0.13</v>
          </cell>
        </row>
        <row r="162">
          <cell r="C162" t="str">
            <v>1993CA</v>
          </cell>
          <cell r="D162">
            <v>6348</v>
          </cell>
          <cell r="E162">
            <v>28050</v>
          </cell>
          <cell r="F162">
            <v>42300</v>
          </cell>
          <cell r="G162">
            <v>13000</v>
          </cell>
          <cell r="H162">
            <v>0</v>
          </cell>
          <cell r="I162">
            <v>2400</v>
          </cell>
          <cell r="J162">
            <v>0</v>
          </cell>
          <cell r="K162">
            <v>0</v>
          </cell>
          <cell r="L162">
            <v>36271</v>
          </cell>
          <cell r="M162">
            <v>0</v>
          </cell>
          <cell r="N162">
            <v>0</v>
          </cell>
          <cell r="O162">
            <v>2210</v>
          </cell>
          <cell r="P162">
            <v>0</v>
          </cell>
          <cell r="Q162">
            <v>0</v>
          </cell>
          <cell r="R162">
            <v>0</v>
          </cell>
          <cell r="S162">
            <v>0</v>
          </cell>
          <cell r="T162">
            <v>0</v>
          </cell>
          <cell r="U162">
            <v>437</v>
          </cell>
          <cell r="V162">
            <v>0</v>
          </cell>
          <cell r="W162">
            <v>0.6</v>
          </cell>
        </row>
        <row r="163">
          <cell r="C163" t="str">
            <v>1993CO</v>
          </cell>
          <cell r="D163">
            <v>3230</v>
          </cell>
          <cell r="E163">
            <v>106800</v>
          </cell>
          <cell r="F163">
            <v>96990</v>
          </cell>
          <cell r="G163">
            <v>7650</v>
          </cell>
          <cell r="H163">
            <v>7140</v>
          </cell>
          <cell r="I163">
            <v>1426</v>
          </cell>
          <cell r="J163">
            <v>25</v>
          </cell>
          <cell r="K163">
            <v>0</v>
          </cell>
          <cell r="L163">
            <v>0</v>
          </cell>
          <cell r="M163">
            <v>0</v>
          </cell>
          <cell r="N163">
            <v>0</v>
          </cell>
          <cell r="O163">
            <v>2609</v>
          </cell>
          <cell r="P163">
            <v>0</v>
          </cell>
          <cell r="Q163">
            <v>0</v>
          </cell>
          <cell r="R163">
            <v>0</v>
          </cell>
          <cell r="S163">
            <v>0</v>
          </cell>
          <cell r="T163">
            <v>0</v>
          </cell>
          <cell r="U163">
            <v>0</v>
          </cell>
          <cell r="V163">
            <v>0</v>
          </cell>
        </row>
        <row r="164">
          <cell r="C164" t="str">
            <v>1993CT</v>
          </cell>
          <cell r="D164">
            <v>48</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row>
        <row r="165">
          <cell r="C165" t="str">
            <v>1993DE</v>
          </cell>
          <cell r="D165">
            <v>19</v>
          </cell>
          <cell r="E165">
            <v>13600</v>
          </cell>
          <cell r="F165">
            <v>3591</v>
          </cell>
          <cell r="G165">
            <v>2275</v>
          </cell>
          <cell r="H165">
            <v>0</v>
          </cell>
          <cell r="I165">
            <v>0</v>
          </cell>
          <cell r="J165">
            <v>0</v>
          </cell>
          <cell r="K165">
            <v>0</v>
          </cell>
          <cell r="L165">
            <v>0</v>
          </cell>
          <cell r="M165">
            <v>4945</v>
          </cell>
          <cell r="N165">
            <v>0</v>
          </cell>
          <cell r="O165">
            <v>0</v>
          </cell>
          <cell r="P165">
            <v>0</v>
          </cell>
          <cell r="Q165">
            <v>0</v>
          </cell>
          <cell r="R165">
            <v>0</v>
          </cell>
          <cell r="S165">
            <v>0</v>
          </cell>
          <cell r="T165">
            <v>0</v>
          </cell>
          <cell r="U165">
            <v>0</v>
          </cell>
          <cell r="V165">
            <v>0</v>
          </cell>
        </row>
        <row r="166">
          <cell r="C166" t="str">
            <v>1993FL</v>
          </cell>
          <cell r="D166">
            <v>0</v>
          </cell>
          <cell r="E166">
            <v>6500</v>
          </cell>
          <cell r="F166">
            <v>825</v>
          </cell>
          <cell r="G166">
            <v>0</v>
          </cell>
          <cell r="H166">
            <v>0</v>
          </cell>
          <cell r="I166">
            <v>0</v>
          </cell>
          <cell r="J166">
            <v>0</v>
          </cell>
          <cell r="K166">
            <v>0</v>
          </cell>
          <cell r="L166">
            <v>1021.9777771096414</v>
          </cell>
          <cell r="M166">
            <v>1250</v>
          </cell>
          <cell r="N166">
            <v>194880</v>
          </cell>
          <cell r="O166">
            <v>0</v>
          </cell>
          <cell r="P166">
            <v>0</v>
          </cell>
          <cell r="Q166">
            <v>0</v>
          </cell>
          <cell r="R166">
            <v>0</v>
          </cell>
          <cell r="S166">
            <v>0</v>
          </cell>
          <cell r="T166">
            <v>15133</v>
          </cell>
          <cell r="U166">
            <v>23</v>
          </cell>
          <cell r="V166">
            <v>12</v>
          </cell>
          <cell r="W166">
            <v>0</v>
          </cell>
        </row>
        <row r="167">
          <cell r="C167" t="str">
            <v>1993GA</v>
          </cell>
          <cell r="D167">
            <v>0</v>
          </cell>
          <cell r="E167">
            <v>39200</v>
          </cell>
          <cell r="F167">
            <v>13680</v>
          </cell>
          <cell r="G167">
            <v>0</v>
          </cell>
          <cell r="H167">
            <v>1440</v>
          </cell>
          <cell r="I167">
            <v>3000</v>
          </cell>
          <cell r="J167">
            <v>1380</v>
          </cell>
          <cell r="K167">
            <v>0</v>
          </cell>
          <cell r="L167">
            <v>0</v>
          </cell>
          <cell r="M167">
            <v>8160</v>
          </cell>
          <cell r="N167">
            <v>1383545</v>
          </cell>
          <cell r="O167">
            <v>0</v>
          </cell>
          <cell r="P167">
            <v>0</v>
          </cell>
          <cell r="Q167">
            <v>0</v>
          </cell>
          <cell r="R167">
            <v>0</v>
          </cell>
          <cell r="S167">
            <v>0</v>
          </cell>
          <cell r="T167">
            <v>0</v>
          </cell>
          <cell r="U167">
            <v>0</v>
          </cell>
          <cell r="V167">
            <v>0</v>
          </cell>
        </row>
        <row r="168">
          <cell r="C168" t="str">
            <v>1993HI</v>
          </cell>
          <cell r="D168">
            <v>0</v>
          </cell>
          <cell r="E168">
            <v>0</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v>
          </cell>
          <cell r="T168">
            <v>5606</v>
          </cell>
          <cell r="U168">
            <v>0</v>
          </cell>
          <cell r="V168">
            <v>0</v>
          </cell>
        </row>
        <row r="169">
          <cell r="C169" t="str">
            <v>1993ID</v>
          </cell>
          <cell r="D169">
            <v>4200</v>
          </cell>
          <cell r="E169">
            <v>5625</v>
          </cell>
          <cell r="F169">
            <v>110350</v>
          </cell>
          <cell r="G169">
            <v>60000</v>
          </cell>
          <cell r="H169">
            <v>0</v>
          </cell>
          <cell r="I169">
            <v>1200</v>
          </cell>
          <cell r="J169">
            <v>0</v>
          </cell>
          <cell r="K169">
            <v>0</v>
          </cell>
          <cell r="L169">
            <v>0</v>
          </cell>
          <cell r="M169">
            <v>0</v>
          </cell>
          <cell r="N169">
            <v>0</v>
          </cell>
          <cell r="O169">
            <v>2091</v>
          </cell>
          <cell r="P169">
            <v>940</v>
          </cell>
          <cell r="Q169">
            <v>150</v>
          </cell>
          <cell r="R169">
            <v>840</v>
          </cell>
          <cell r="S169">
            <v>577</v>
          </cell>
          <cell r="T169">
            <v>0</v>
          </cell>
          <cell r="U169">
            <v>0</v>
          </cell>
          <cell r="V169">
            <v>0</v>
          </cell>
        </row>
        <row r="170">
          <cell r="C170" t="str">
            <v>1993IL</v>
          </cell>
          <cell r="D170">
            <v>2812</v>
          </cell>
          <cell r="E170">
            <v>1300000</v>
          </cell>
          <cell r="F170">
            <v>68200</v>
          </cell>
          <cell r="G170">
            <v>0</v>
          </cell>
          <cell r="H170">
            <v>17430</v>
          </cell>
          <cell r="I170">
            <v>4590</v>
          </cell>
          <cell r="J170">
            <v>224</v>
          </cell>
          <cell r="K170">
            <v>0</v>
          </cell>
          <cell r="L170">
            <v>0</v>
          </cell>
          <cell r="M170">
            <v>387000</v>
          </cell>
          <cell r="N170">
            <v>0</v>
          </cell>
          <cell r="O170">
            <v>0</v>
          </cell>
          <cell r="P170">
            <v>0</v>
          </cell>
          <cell r="Q170">
            <v>0</v>
          </cell>
          <cell r="R170">
            <v>0</v>
          </cell>
          <cell r="S170">
            <v>0</v>
          </cell>
          <cell r="T170">
            <v>0</v>
          </cell>
          <cell r="U170">
            <v>0</v>
          </cell>
          <cell r="V170">
            <v>0</v>
          </cell>
        </row>
        <row r="171">
          <cell r="C171" t="str">
            <v>1993IN</v>
          </cell>
          <cell r="D171">
            <v>1320</v>
          </cell>
          <cell r="E171">
            <v>712800</v>
          </cell>
          <cell r="F171">
            <v>34840</v>
          </cell>
          <cell r="G171">
            <v>0</v>
          </cell>
          <cell r="H171">
            <v>0</v>
          </cell>
          <cell r="I171">
            <v>2240</v>
          </cell>
          <cell r="J171">
            <v>150</v>
          </cell>
          <cell r="K171">
            <v>0</v>
          </cell>
          <cell r="L171">
            <v>0</v>
          </cell>
          <cell r="M171">
            <v>223100</v>
          </cell>
          <cell r="N171">
            <v>0</v>
          </cell>
          <cell r="O171">
            <v>0</v>
          </cell>
          <cell r="P171">
            <v>0</v>
          </cell>
          <cell r="Q171">
            <v>0</v>
          </cell>
          <cell r="R171">
            <v>0</v>
          </cell>
          <cell r="S171">
            <v>0</v>
          </cell>
          <cell r="T171">
            <v>0</v>
          </cell>
          <cell r="U171">
            <v>0</v>
          </cell>
          <cell r="V171">
            <v>0</v>
          </cell>
        </row>
        <row r="172">
          <cell r="C172" t="str">
            <v>1993IA</v>
          </cell>
          <cell r="D172">
            <v>3953</v>
          </cell>
          <cell r="E172">
            <v>880000</v>
          </cell>
          <cell r="F172">
            <v>625</v>
          </cell>
          <cell r="G172">
            <v>0</v>
          </cell>
          <cell r="H172">
            <v>0</v>
          </cell>
          <cell r="I172">
            <v>9000</v>
          </cell>
          <cell r="J172">
            <v>0</v>
          </cell>
          <cell r="K172">
            <v>0</v>
          </cell>
          <cell r="L172">
            <v>0</v>
          </cell>
          <cell r="M172">
            <v>257300</v>
          </cell>
          <cell r="N172">
            <v>0</v>
          </cell>
          <cell r="O172">
            <v>0</v>
          </cell>
          <cell r="P172">
            <v>0</v>
          </cell>
          <cell r="Q172">
            <v>0</v>
          </cell>
          <cell r="R172">
            <v>0</v>
          </cell>
          <cell r="S172">
            <v>0</v>
          </cell>
          <cell r="T172">
            <v>0</v>
          </cell>
          <cell r="U172">
            <v>0</v>
          </cell>
          <cell r="V172">
            <v>0</v>
          </cell>
        </row>
        <row r="173">
          <cell r="C173" t="str">
            <v>1993KS</v>
          </cell>
          <cell r="D173">
            <v>3230</v>
          </cell>
          <cell r="E173">
            <v>216000</v>
          </cell>
          <cell r="F173">
            <v>388500</v>
          </cell>
          <cell r="G173">
            <v>690</v>
          </cell>
          <cell r="H173">
            <v>176400</v>
          </cell>
          <cell r="I173">
            <v>1020</v>
          </cell>
          <cell r="J173">
            <v>693</v>
          </cell>
          <cell r="K173">
            <v>0</v>
          </cell>
          <cell r="L173">
            <v>0</v>
          </cell>
          <cell r="M173">
            <v>53200</v>
          </cell>
          <cell r="N173">
            <v>0</v>
          </cell>
          <cell r="O173">
            <v>378</v>
          </cell>
          <cell r="P173">
            <v>0</v>
          </cell>
          <cell r="Q173">
            <v>0</v>
          </cell>
          <cell r="R173">
            <v>0</v>
          </cell>
          <cell r="S173">
            <v>0</v>
          </cell>
          <cell r="T173">
            <v>0</v>
          </cell>
          <cell r="U173">
            <v>0</v>
          </cell>
          <cell r="V173">
            <v>0</v>
          </cell>
        </row>
        <row r="174">
          <cell r="C174" t="str">
            <v>1993KY</v>
          </cell>
          <cell r="D174">
            <v>1110</v>
          </cell>
          <cell r="E174">
            <v>126880</v>
          </cell>
          <cell r="F174">
            <v>20090</v>
          </cell>
          <cell r="G174">
            <v>1072</v>
          </cell>
          <cell r="H174">
            <v>750</v>
          </cell>
          <cell r="I174">
            <v>0</v>
          </cell>
          <cell r="J174">
            <v>0</v>
          </cell>
          <cell r="K174">
            <v>0</v>
          </cell>
          <cell r="L174">
            <v>0</v>
          </cell>
          <cell r="M174">
            <v>37950</v>
          </cell>
          <cell r="N174">
            <v>0</v>
          </cell>
          <cell r="O174">
            <v>0</v>
          </cell>
          <cell r="P174">
            <v>0</v>
          </cell>
          <cell r="Q174">
            <v>0</v>
          </cell>
          <cell r="R174">
            <v>0</v>
          </cell>
          <cell r="S174">
            <v>0</v>
          </cell>
          <cell r="T174">
            <v>0</v>
          </cell>
          <cell r="U174">
            <v>0</v>
          </cell>
          <cell r="V174">
            <v>0</v>
          </cell>
        </row>
        <row r="175">
          <cell r="C175" t="str">
            <v>1993LA</v>
          </cell>
          <cell r="D175">
            <v>0</v>
          </cell>
          <cell r="E175">
            <v>19950</v>
          </cell>
          <cell r="F175">
            <v>2375</v>
          </cell>
          <cell r="G175">
            <v>0</v>
          </cell>
          <cell r="H175">
            <v>7200</v>
          </cell>
          <cell r="I175">
            <v>0</v>
          </cell>
          <cell r="J175">
            <v>0</v>
          </cell>
          <cell r="K175">
            <v>0</v>
          </cell>
          <cell r="L175">
            <v>24108</v>
          </cell>
          <cell r="M175">
            <v>31200</v>
          </cell>
          <cell r="N175">
            <v>0</v>
          </cell>
          <cell r="O175">
            <v>0</v>
          </cell>
          <cell r="P175">
            <v>0</v>
          </cell>
          <cell r="Q175">
            <v>0</v>
          </cell>
          <cell r="R175">
            <v>0</v>
          </cell>
          <cell r="S175">
            <v>0</v>
          </cell>
          <cell r="T175">
            <v>8892</v>
          </cell>
          <cell r="U175">
            <v>530</v>
          </cell>
          <cell r="V175">
            <v>159</v>
          </cell>
          <cell r="W175">
            <v>0.06</v>
          </cell>
        </row>
        <row r="176">
          <cell r="C176" t="str">
            <v>1993ME</v>
          </cell>
          <cell r="D176">
            <v>53</v>
          </cell>
          <cell r="E176">
            <v>0</v>
          </cell>
          <cell r="F176">
            <v>0</v>
          </cell>
          <cell r="G176">
            <v>0</v>
          </cell>
          <cell r="H176">
            <v>0</v>
          </cell>
          <cell r="I176">
            <v>1875</v>
          </cell>
          <cell r="J176">
            <v>0</v>
          </cell>
          <cell r="K176">
            <v>0</v>
          </cell>
          <cell r="L176">
            <v>0</v>
          </cell>
          <cell r="M176">
            <v>0</v>
          </cell>
          <cell r="N176">
            <v>0</v>
          </cell>
          <cell r="O176">
            <v>0</v>
          </cell>
          <cell r="P176">
            <v>0</v>
          </cell>
          <cell r="Q176">
            <v>0</v>
          </cell>
          <cell r="R176">
            <v>0</v>
          </cell>
          <cell r="S176">
            <v>0</v>
          </cell>
          <cell r="T176">
            <v>0</v>
          </cell>
          <cell r="U176">
            <v>0</v>
          </cell>
          <cell r="V176">
            <v>0</v>
          </cell>
        </row>
        <row r="177">
          <cell r="C177" t="str">
            <v>1993MD</v>
          </cell>
          <cell r="D177">
            <v>202</v>
          </cell>
          <cell r="E177">
            <v>32760</v>
          </cell>
          <cell r="F177">
            <v>10800</v>
          </cell>
          <cell r="G177">
            <v>4761</v>
          </cell>
          <cell r="H177">
            <v>0</v>
          </cell>
          <cell r="I177">
            <v>424</v>
          </cell>
          <cell r="J177">
            <v>165</v>
          </cell>
          <cell r="K177">
            <v>0</v>
          </cell>
          <cell r="L177">
            <v>0</v>
          </cell>
          <cell r="M177">
            <v>14820</v>
          </cell>
          <cell r="N177">
            <v>0</v>
          </cell>
          <cell r="O177">
            <v>0</v>
          </cell>
          <cell r="P177">
            <v>0</v>
          </cell>
          <cell r="Q177">
            <v>0</v>
          </cell>
          <cell r="R177">
            <v>0</v>
          </cell>
          <cell r="S177">
            <v>0</v>
          </cell>
          <cell r="T177">
            <v>0</v>
          </cell>
          <cell r="U177">
            <v>0</v>
          </cell>
          <cell r="V177">
            <v>0</v>
          </cell>
        </row>
        <row r="178">
          <cell r="C178" t="str">
            <v>1993MA</v>
          </cell>
          <cell r="D178">
            <v>71</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row>
        <row r="179">
          <cell r="C179" t="str">
            <v>1993MI</v>
          </cell>
          <cell r="D179">
            <v>4620</v>
          </cell>
          <cell r="E179">
            <v>225500</v>
          </cell>
          <cell r="F179">
            <v>22140</v>
          </cell>
          <cell r="G179">
            <v>1512</v>
          </cell>
          <cell r="H179">
            <v>0</v>
          </cell>
          <cell r="I179">
            <v>7150</v>
          </cell>
          <cell r="J179">
            <v>420</v>
          </cell>
          <cell r="K179">
            <v>0</v>
          </cell>
          <cell r="L179">
            <v>0</v>
          </cell>
          <cell r="M179">
            <v>54720</v>
          </cell>
          <cell r="N179">
            <v>0</v>
          </cell>
          <cell r="O179">
            <v>6080</v>
          </cell>
          <cell r="P179">
            <v>0</v>
          </cell>
          <cell r="Q179">
            <v>0</v>
          </cell>
          <cell r="R179">
            <v>0</v>
          </cell>
          <cell r="S179">
            <v>0</v>
          </cell>
          <cell r="T179">
            <v>0</v>
          </cell>
          <cell r="U179">
            <v>0</v>
          </cell>
          <cell r="V179">
            <v>0</v>
          </cell>
        </row>
        <row r="180">
          <cell r="C180" t="str">
            <v>1993MN</v>
          </cell>
          <cell r="D180">
            <v>4800</v>
          </cell>
          <cell r="E180">
            <v>322000</v>
          </cell>
          <cell r="F180">
            <v>71190</v>
          </cell>
          <cell r="G180">
            <v>37700</v>
          </cell>
          <cell r="H180">
            <v>0</v>
          </cell>
          <cell r="I180">
            <v>23750</v>
          </cell>
          <cell r="J180">
            <v>667</v>
          </cell>
          <cell r="K180">
            <v>0</v>
          </cell>
          <cell r="L180">
            <v>0</v>
          </cell>
          <cell r="M180">
            <v>115000</v>
          </cell>
          <cell r="N180">
            <v>0</v>
          </cell>
          <cell r="O180">
            <v>836</v>
          </cell>
          <cell r="P180">
            <v>0</v>
          </cell>
          <cell r="Q180">
            <v>0</v>
          </cell>
          <cell r="R180">
            <v>0</v>
          </cell>
          <cell r="S180">
            <v>0</v>
          </cell>
          <cell r="T180">
            <v>0</v>
          </cell>
          <cell r="U180">
            <v>0</v>
          </cell>
          <cell r="V180">
            <v>0</v>
          </cell>
        </row>
        <row r="181">
          <cell r="C181" t="str">
            <v>1993MS</v>
          </cell>
          <cell r="D181">
            <v>0</v>
          </cell>
          <cell r="E181">
            <v>14820</v>
          </cell>
          <cell r="F181">
            <v>6930</v>
          </cell>
          <cell r="G181">
            <v>0</v>
          </cell>
          <cell r="H181">
            <v>4225</v>
          </cell>
          <cell r="I181">
            <v>0</v>
          </cell>
          <cell r="J181">
            <v>0</v>
          </cell>
          <cell r="K181">
            <v>0</v>
          </cell>
          <cell r="L181">
            <v>12985</v>
          </cell>
          <cell r="M181">
            <v>42900</v>
          </cell>
          <cell r="N181">
            <v>0</v>
          </cell>
          <cell r="O181">
            <v>0</v>
          </cell>
          <cell r="P181">
            <v>0</v>
          </cell>
          <cell r="Q181">
            <v>0</v>
          </cell>
          <cell r="R181">
            <v>0</v>
          </cell>
          <cell r="S181">
            <v>0</v>
          </cell>
          <cell r="T181">
            <v>0</v>
          </cell>
          <cell r="U181">
            <v>245</v>
          </cell>
          <cell r="V181">
            <v>0</v>
          </cell>
          <cell r="W181">
            <v>0.1</v>
          </cell>
        </row>
        <row r="182">
          <cell r="C182" t="str">
            <v>1993MO</v>
          </cell>
          <cell r="D182">
            <v>1485</v>
          </cell>
          <cell r="E182">
            <v>166500</v>
          </cell>
          <cell r="F182">
            <v>53200</v>
          </cell>
          <cell r="G182">
            <v>0</v>
          </cell>
          <cell r="H182">
            <v>39420</v>
          </cell>
          <cell r="I182">
            <v>686</v>
          </cell>
          <cell r="J182">
            <v>0</v>
          </cell>
          <cell r="K182">
            <v>0</v>
          </cell>
          <cell r="L182">
            <v>4557</v>
          </cell>
          <cell r="M182">
            <v>118800</v>
          </cell>
          <cell r="N182">
            <v>0</v>
          </cell>
          <cell r="O182">
            <v>0</v>
          </cell>
          <cell r="P182">
            <v>0</v>
          </cell>
          <cell r="Q182">
            <v>0</v>
          </cell>
          <cell r="R182">
            <v>0</v>
          </cell>
          <cell r="S182">
            <v>0</v>
          </cell>
          <cell r="T182">
            <v>0</v>
          </cell>
          <cell r="U182">
            <v>93</v>
          </cell>
          <cell r="V182">
            <v>0</v>
          </cell>
          <cell r="W182">
            <v>0.05</v>
          </cell>
        </row>
        <row r="183">
          <cell r="C183" t="str">
            <v>1993MT</v>
          </cell>
          <cell r="D183">
            <v>3480</v>
          </cell>
          <cell r="E183">
            <v>2100</v>
          </cell>
          <cell r="F183">
            <v>206334</v>
          </cell>
          <cell r="G183">
            <v>63800</v>
          </cell>
          <cell r="H183">
            <v>0</v>
          </cell>
          <cell r="I183">
            <v>5525</v>
          </cell>
          <cell r="J183">
            <v>0</v>
          </cell>
          <cell r="K183">
            <v>0</v>
          </cell>
          <cell r="L183">
            <v>0</v>
          </cell>
          <cell r="M183">
            <v>0</v>
          </cell>
          <cell r="N183">
            <v>0</v>
          </cell>
          <cell r="O183">
            <v>155</v>
          </cell>
          <cell r="P183">
            <v>0</v>
          </cell>
          <cell r="Q183">
            <v>0</v>
          </cell>
          <cell r="R183">
            <v>0</v>
          </cell>
          <cell r="S183">
            <v>0</v>
          </cell>
          <cell r="T183">
            <v>0</v>
          </cell>
          <cell r="U183">
            <v>0</v>
          </cell>
          <cell r="V183">
            <v>0</v>
          </cell>
        </row>
        <row r="184">
          <cell r="C184" t="str">
            <v>1993NE</v>
          </cell>
          <cell r="D184">
            <v>4760</v>
          </cell>
          <cell r="E184">
            <v>785200</v>
          </cell>
          <cell r="F184">
            <v>73500</v>
          </cell>
          <cell r="G184">
            <v>532</v>
          </cell>
          <cell r="H184">
            <v>73750</v>
          </cell>
          <cell r="I184">
            <v>6880</v>
          </cell>
          <cell r="J184">
            <v>500</v>
          </cell>
          <cell r="K184">
            <v>0</v>
          </cell>
          <cell r="L184">
            <v>0</v>
          </cell>
          <cell r="M184">
            <v>90000</v>
          </cell>
          <cell r="N184">
            <v>0</v>
          </cell>
          <cell r="O184">
            <v>2100</v>
          </cell>
          <cell r="P184">
            <v>0</v>
          </cell>
          <cell r="Q184">
            <v>0</v>
          </cell>
          <cell r="R184">
            <v>0</v>
          </cell>
          <cell r="S184">
            <v>0</v>
          </cell>
          <cell r="T184">
            <v>0</v>
          </cell>
          <cell r="U184">
            <v>0</v>
          </cell>
          <cell r="V184">
            <v>0</v>
          </cell>
        </row>
        <row r="185">
          <cell r="C185" t="str">
            <v>1993NV</v>
          </cell>
          <cell r="D185">
            <v>1034</v>
          </cell>
          <cell r="E185">
            <v>0</v>
          </cell>
          <cell r="F185">
            <v>800</v>
          </cell>
          <cell r="G185">
            <v>500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row>
        <row r="186">
          <cell r="C186" t="str">
            <v>1993NH</v>
          </cell>
          <cell r="D186">
            <v>37</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row>
        <row r="187">
          <cell r="C187" t="str">
            <v>1993NJ</v>
          </cell>
          <cell r="D187">
            <v>69</v>
          </cell>
          <cell r="E187">
            <v>7680</v>
          </cell>
          <cell r="F187">
            <v>1419</v>
          </cell>
          <cell r="G187">
            <v>300</v>
          </cell>
          <cell r="H187">
            <v>0</v>
          </cell>
          <cell r="I187">
            <v>0</v>
          </cell>
          <cell r="J187">
            <v>182</v>
          </cell>
          <cell r="K187">
            <v>0</v>
          </cell>
          <cell r="L187">
            <v>0</v>
          </cell>
          <cell r="M187">
            <v>4263</v>
          </cell>
          <cell r="N187">
            <v>0</v>
          </cell>
          <cell r="O187">
            <v>0</v>
          </cell>
          <cell r="P187">
            <v>0</v>
          </cell>
          <cell r="Q187">
            <v>0</v>
          </cell>
          <cell r="R187">
            <v>0</v>
          </cell>
          <cell r="S187">
            <v>0</v>
          </cell>
          <cell r="T187">
            <v>0</v>
          </cell>
          <cell r="U187">
            <v>0</v>
          </cell>
          <cell r="V187">
            <v>0</v>
          </cell>
        </row>
        <row r="188">
          <cell r="C188" t="str">
            <v>1993NM</v>
          </cell>
          <cell r="D188">
            <v>1301</v>
          </cell>
          <cell r="E188">
            <v>14025</v>
          </cell>
          <cell r="F188">
            <v>6210</v>
          </cell>
          <cell r="G188">
            <v>0</v>
          </cell>
          <cell r="H188">
            <v>7425</v>
          </cell>
          <cell r="I188">
            <v>0</v>
          </cell>
          <cell r="J188">
            <v>0</v>
          </cell>
          <cell r="K188">
            <v>0</v>
          </cell>
          <cell r="L188">
            <v>0</v>
          </cell>
          <cell r="M188">
            <v>0</v>
          </cell>
          <cell r="N188">
            <v>56680</v>
          </cell>
          <cell r="O188">
            <v>189</v>
          </cell>
          <cell r="P188">
            <v>0</v>
          </cell>
          <cell r="Q188">
            <v>0</v>
          </cell>
          <cell r="R188">
            <v>0</v>
          </cell>
          <cell r="S188">
            <v>0</v>
          </cell>
          <cell r="T188">
            <v>0</v>
          </cell>
          <cell r="U188">
            <v>0</v>
          </cell>
          <cell r="V188">
            <v>0</v>
          </cell>
        </row>
        <row r="189">
          <cell r="C189" t="str">
            <v>1993NY</v>
          </cell>
          <cell r="D189">
            <v>1715</v>
          </cell>
          <cell r="E189">
            <v>56700</v>
          </cell>
          <cell r="F189">
            <v>3910</v>
          </cell>
          <cell r="G189">
            <v>0</v>
          </cell>
          <cell r="H189">
            <v>0</v>
          </cell>
          <cell r="I189">
            <v>6510</v>
          </cell>
          <cell r="J189">
            <v>216</v>
          </cell>
          <cell r="K189">
            <v>0</v>
          </cell>
          <cell r="L189">
            <v>0</v>
          </cell>
          <cell r="M189">
            <v>0</v>
          </cell>
          <cell r="N189">
            <v>0</v>
          </cell>
          <cell r="O189">
            <v>459</v>
          </cell>
          <cell r="P189">
            <v>0</v>
          </cell>
          <cell r="Q189">
            <v>0</v>
          </cell>
          <cell r="R189">
            <v>0</v>
          </cell>
          <cell r="S189">
            <v>0</v>
          </cell>
          <cell r="T189">
            <v>0</v>
          </cell>
          <cell r="U189">
            <v>0</v>
          </cell>
          <cell r="V189">
            <v>0</v>
          </cell>
        </row>
        <row r="190">
          <cell r="C190" t="str">
            <v>1993NC</v>
          </cell>
          <cell r="D190">
            <v>40</v>
          </cell>
          <cell r="E190">
            <v>55250</v>
          </cell>
          <cell r="F190">
            <v>23520</v>
          </cell>
          <cell r="G190">
            <v>1200</v>
          </cell>
          <cell r="H190">
            <v>675</v>
          </cell>
          <cell r="I190">
            <v>1800</v>
          </cell>
          <cell r="J190">
            <v>750</v>
          </cell>
          <cell r="K190">
            <v>0</v>
          </cell>
          <cell r="L190">
            <v>0</v>
          </cell>
          <cell r="M190">
            <v>30000</v>
          </cell>
          <cell r="N190">
            <v>299585</v>
          </cell>
          <cell r="O190">
            <v>0</v>
          </cell>
          <cell r="P190">
            <v>0</v>
          </cell>
          <cell r="Q190">
            <v>0</v>
          </cell>
          <cell r="R190">
            <v>0</v>
          </cell>
          <cell r="S190">
            <v>0</v>
          </cell>
          <cell r="T190">
            <v>0</v>
          </cell>
          <cell r="U190">
            <v>0</v>
          </cell>
          <cell r="V190">
            <v>0</v>
          </cell>
        </row>
        <row r="191">
          <cell r="C191" t="str">
            <v>1993ND</v>
          </cell>
          <cell r="D191">
            <v>3230</v>
          </cell>
          <cell r="E191">
            <v>16425</v>
          </cell>
          <cell r="F191">
            <v>336610</v>
          </cell>
          <cell r="G191">
            <v>117600</v>
          </cell>
          <cell r="H191">
            <v>0</v>
          </cell>
          <cell r="I191">
            <v>37100</v>
          </cell>
          <cell r="J191">
            <v>1050</v>
          </cell>
          <cell r="K191">
            <v>0</v>
          </cell>
          <cell r="L191">
            <v>0</v>
          </cell>
          <cell r="M191">
            <v>9180</v>
          </cell>
          <cell r="N191">
            <v>0</v>
          </cell>
          <cell r="O191">
            <v>2964</v>
          </cell>
          <cell r="P191">
            <v>0</v>
          </cell>
          <cell r="Q191">
            <v>0</v>
          </cell>
          <cell r="R191">
            <v>0</v>
          </cell>
          <cell r="S191">
            <v>0</v>
          </cell>
          <cell r="T191">
            <v>0</v>
          </cell>
          <cell r="U191">
            <v>0</v>
          </cell>
          <cell r="V191">
            <v>0</v>
          </cell>
        </row>
        <row r="192">
          <cell r="C192" t="str">
            <v>1993OH</v>
          </cell>
          <cell r="D192">
            <v>2275</v>
          </cell>
          <cell r="E192">
            <v>360800</v>
          </cell>
          <cell r="F192">
            <v>52520</v>
          </cell>
          <cell r="G192">
            <v>0</v>
          </cell>
          <cell r="H192">
            <v>0</v>
          </cell>
          <cell r="I192">
            <v>9000</v>
          </cell>
          <cell r="J192">
            <v>150</v>
          </cell>
          <cell r="K192">
            <v>0</v>
          </cell>
          <cell r="L192">
            <v>0</v>
          </cell>
          <cell r="M192">
            <v>156180</v>
          </cell>
          <cell r="N192">
            <v>0</v>
          </cell>
          <cell r="O192">
            <v>0</v>
          </cell>
          <cell r="P192">
            <v>0</v>
          </cell>
          <cell r="Q192">
            <v>0</v>
          </cell>
          <cell r="R192">
            <v>0</v>
          </cell>
          <cell r="S192">
            <v>0</v>
          </cell>
          <cell r="T192">
            <v>0</v>
          </cell>
          <cell r="U192">
            <v>0</v>
          </cell>
          <cell r="V192">
            <v>0</v>
          </cell>
        </row>
        <row r="193">
          <cell r="C193" t="str">
            <v>1993OK</v>
          </cell>
          <cell r="D193">
            <v>1188</v>
          </cell>
          <cell r="E193">
            <v>15225</v>
          </cell>
          <cell r="F193">
            <v>156600</v>
          </cell>
          <cell r="G193">
            <v>280</v>
          </cell>
          <cell r="H193">
            <v>14500</v>
          </cell>
          <cell r="I193">
            <v>1050</v>
          </cell>
          <cell r="J193">
            <v>660</v>
          </cell>
          <cell r="K193">
            <v>0</v>
          </cell>
          <cell r="L193">
            <v>0</v>
          </cell>
          <cell r="M193">
            <v>6240</v>
          </cell>
          <cell r="N193">
            <v>233580</v>
          </cell>
          <cell r="O193">
            <v>0</v>
          </cell>
          <cell r="P193">
            <v>0</v>
          </cell>
          <cell r="Q193">
            <v>0</v>
          </cell>
          <cell r="R193">
            <v>0</v>
          </cell>
          <cell r="S193">
            <v>0</v>
          </cell>
          <cell r="T193">
            <v>0</v>
          </cell>
          <cell r="U193">
            <v>0.84489999999999998</v>
          </cell>
          <cell r="V193">
            <v>0</v>
          </cell>
          <cell r="W193">
            <v>0.9</v>
          </cell>
        </row>
        <row r="194">
          <cell r="C194" t="str">
            <v>1993OR</v>
          </cell>
          <cell r="D194">
            <v>1764</v>
          </cell>
          <cell r="E194">
            <v>2945</v>
          </cell>
          <cell r="F194">
            <v>64960</v>
          </cell>
          <cell r="G194">
            <v>9750</v>
          </cell>
          <cell r="H194">
            <v>0</v>
          </cell>
          <cell r="I194">
            <v>3000</v>
          </cell>
          <cell r="J194">
            <v>0</v>
          </cell>
          <cell r="K194">
            <v>0</v>
          </cell>
          <cell r="L194">
            <v>0</v>
          </cell>
          <cell r="M194">
            <v>0</v>
          </cell>
          <cell r="N194">
            <v>0</v>
          </cell>
          <cell r="O194">
            <v>174</v>
          </cell>
          <cell r="P194">
            <v>0</v>
          </cell>
          <cell r="Q194">
            <v>5</v>
          </cell>
          <cell r="R194">
            <v>0</v>
          </cell>
          <cell r="S194">
            <v>0</v>
          </cell>
          <cell r="T194">
            <v>0</v>
          </cell>
          <cell r="U194">
            <v>0</v>
          </cell>
          <cell r="V194">
            <v>0</v>
          </cell>
        </row>
        <row r="195">
          <cell r="C195" t="str">
            <v>1993PA</v>
          </cell>
          <cell r="D195">
            <v>2262</v>
          </cell>
          <cell r="E195">
            <v>93120</v>
          </cell>
          <cell r="F195">
            <v>7425</v>
          </cell>
          <cell r="G195">
            <v>5985</v>
          </cell>
          <cell r="H195">
            <v>0</v>
          </cell>
          <cell r="I195">
            <v>10000</v>
          </cell>
          <cell r="J195">
            <v>340</v>
          </cell>
          <cell r="K195">
            <v>0</v>
          </cell>
          <cell r="L195">
            <v>0</v>
          </cell>
          <cell r="M195">
            <v>11505</v>
          </cell>
          <cell r="N195">
            <v>0</v>
          </cell>
          <cell r="O195">
            <v>0</v>
          </cell>
          <cell r="P195">
            <v>0</v>
          </cell>
          <cell r="Q195">
            <v>0</v>
          </cell>
          <cell r="R195">
            <v>0</v>
          </cell>
          <cell r="S195">
            <v>0</v>
          </cell>
          <cell r="T195">
            <v>0</v>
          </cell>
          <cell r="U195">
            <v>0</v>
          </cell>
          <cell r="V195">
            <v>0</v>
          </cell>
        </row>
        <row r="196">
          <cell r="C196" t="str">
            <v>1993RI</v>
          </cell>
          <cell r="D196">
            <v>4</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row>
        <row r="197">
          <cell r="C197" t="str">
            <v>1993SC</v>
          </cell>
          <cell r="D197">
            <v>0</v>
          </cell>
          <cell r="E197">
            <v>9600</v>
          </cell>
          <cell r="F197">
            <v>9880</v>
          </cell>
          <cell r="G197">
            <v>266</v>
          </cell>
          <cell r="H197">
            <v>160</v>
          </cell>
          <cell r="I197">
            <v>1500</v>
          </cell>
          <cell r="J197">
            <v>380</v>
          </cell>
          <cell r="K197">
            <v>0</v>
          </cell>
          <cell r="L197">
            <v>0</v>
          </cell>
          <cell r="M197">
            <v>7800</v>
          </cell>
          <cell r="N197">
            <v>24500</v>
          </cell>
          <cell r="O197">
            <v>0</v>
          </cell>
          <cell r="P197">
            <v>0</v>
          </cell>
          <cell r="Q197">
            <v>0</v>
          </cell>
          <cell r="R197">
            <v>0</v>
          </cell>
          <cell r="S197">
            <v>0</v>
          </cell>
          <cell r="T197">
            <v>0</v>
          </cell>
          <cell r="U197">
            <v>0</v>
          </cell>
          <cell r="V197">
            <v>0</v>
          </cell>
        </row>
        <row r="198">
          <cell r="C198" t="str">
            <v>1993SD</v>
          </cell>
          <cell r="D198">
            <v>5980</v>
          </cell>
          <cell r="E198">
            <v>160650</v>
          </cell>
          <cell r="F198">
            <v>111522</v>
          </cell>
          <cell r="G198">
            <v>15120</v>
          </cell>
          <cell r="H198">
            <v>10500</v>
          </cell>
          <cell r="I198">
            <v>26520</v>
          </cell>
          <cell r="J198">
            <v>1600</v>
          </cell>
          <cell r="K198">
            <v>0</v>
          </cell>
          <cell r="L198">
            <v>0</v>
          </cell>
          <cell r="M198">
            <v>38500</v>
          </cell>
          <cell r="N198">
            <v>0</v>
          </cell>
          <cell r="O198">
            <v>0</v>
          </cell>
          <cell r="P198">
            <v>0</v>
          </cell>
          <cell r="Q198">
            <v>0</v>
          </cell>
          <cell r="R198">
            <v>0</v>
          </cell>
          <cell r="S198">
            <v>0</v>
          </cell>
          <cell r="T198">
            <v>0</v>
          </cell>
          <cell r="U198">
            <v>0</v>
          </cell>
          <cell r="V198">
            <v>0</v>
          </cell>
        </row>
        <row r="199">
          <cell r="C199" t="str">
            <v>1993TN</v>
          </cell>
          <cell r="D199">
            <v>198</v>
          </cell>
          <cell r="E199">
            <v>46200</v>
          </cell>
          <cell r="F199">
            <v>13940</v>
          </cell>
          <cell r="G199">
            <v>0</v>
          </cell>
          <cell r="H199">
            <v>3120</v>
          </cell>
          <cell r="I199">
            <v>0</v>
          </cell>
          <cell r="J199">
            <v>0</v>
          </cell>
          <cell r="K199">
            <v>0</v>
          </cell>
          <cell r="L199">
            <v>0</v>
          </cell>
          <cell r="M199">
            <v>31000</v>
          </cell>
          <cell r="N199">
            <v>0</v>
          </cell>
          <cell r="O199">
            <v>0</v>
          </cell>
          <cell r="P199">
            <v>0</v>
          </cell>
          <cell r="Q199">
            <v>0</v>
          </cell>
          <cell r="R199">
            <v>0</v>
          </cell>
          <cell r="S199">
            <v>0</v>
          </cell>
          <cell r="T199">
            <v>0</v>
          </cell>
          <cell r="U199">
            <v>0</v>
          </cell>
          <cell r="V199">
            <v>0</v>
          </cell>
        </row>
        <row r="200">
          <cell r="C200" t="str">
            <v>1993TX</v>
          </cell>
          <cell r="D200">
            <v>366</v>
          </cell>
          <cell r="E200">
            <v>212750</v>
          </cell>
          <cell r="F200">
            <v>118400</v>
          </cell>
          <cell r="G200">
            <v>308</v>
          </cell>
          <cell r="H200">
            <v>156750</v>
          </cell>
          <cell r="I200">
            <v>7420</v>
          </cell>
          <cell r="J200">
            <v>363</v>
          </cell>
          <cell r="K200">
            <v>0</v>
          </cell>
          <cell r="L200">
            <v>16095</v>
          </cell>
          <cell r="M200">
            <v>3895</v>
          </cell>
          <cell r="N200">
            <v>550175</v>
          </cell>
          <cell r="O200">
            <v>311</v>
          </cell>
          <cell r="P200">
            <v>0</v>
          </cell>
          <cell r="Q200">
            <v>0</v>
          </cell>
          <cell r="R200">
            <v>0</v>
          </cell>
          <cell r="S200">
            <v>0</v>
          </cell>
          <cell r="T200">
            <v>1441</v>
          </cell>
          <cell r="U200">
            <v>298</v>
          </cell>
          <cell r="V200">
            <v>119</v>
          </cell>
          <cell r="W200">
            <v>0.01</v>
          </cell>
        </row>
        <row r="201">
          <cell r="C201" t="str">
            <v>1993UT</v>
          </cell>
          <cell r="D201">
            <v>2200</v>
          </cell>
          <cell r="E201">
            <v>2860</v>
          </cell>
          <cell r="F201">
            <v>7270</v>
          </cell>
          <cell r="G201">
            <v>9350</v>
          </cell>
          <cell r="H201">
            <v>0</v>
          </cell>
          <cell r="I201">
            <v>975</v>
          </cell>
          <cell r="J201">
            <v>0</v>
          </cell>
          <cell r="K201">
            <v>0</v>
          </cell>
          <cell r="L201">
            <v>0</v>
          </cell>
          <cell r="M201">
            <v>0</v>
          </cell>
          <cell r="N201">
            <v>0</v>
          </cell>
          <cell r="O201">
            <v>24</v>
          </cell>
          <cell r="P201">
            <v>0</v>
          </cell>
          <cell r="Q201">
            <v>0</v>
          </cell>
          <cell r="R201">
            <v>0</v>
          </cell>
          <cell r="S201">
            <v>0</v>
          </cell>
          <cell r="T201">
            <v>0</v>
          </cell>
          <cell r="U201">
            <v>0</v>
          </cell>
          <cell r="V201">
            <v>0</v>
          </cell>
        </row>
        <row r="202">
          <cell r="C202" t="str">
            <v>1993VT</v>
          </cell>
          <cell r="D202">
            <v>212</v>
          </cell>
          <cell r="E202">
            <v>0</v>
          </cell>
          <cell r="F202">
            <v>0</v>
          </cell>
          <cell r="G202">
            <v>0</v>
          </cell>
          <cell r="H202">
            <v>0</v>
          </cell>
          <cell r="I202">
            <v>0</v>
          </cell>
          <cell r="J202">
            <v>0</v>
          </cell>
          <cell r="K202">
            <v>0</v>
          </cell>
          <cell r="L202">
            <v>0</v>
          </cell>
          <cell r="M202">
            <v>0</v>
          </cell>
          <cell r="N202">
            <v>0</v>
          </cell>
          <cell r="O202">
            <v>0</v>
          </cell>
          <cell r="P202">
            <v>0</v>
          </cell>
          <cell r="Q202">
            <v>0</v>
          </cell>
          <cell r="R202">
            <v>0</v>
          </cell>
          <cell r="S202">
            <v>0</v>
          </cell>
          <cell r="T202">
            <v>0</v>
          </cell>
          <cell r="U202">
            <v>0</v>
          </cell>
          <cell r="V202">
            <v>0</v>
          </cell>
        </row>
        <row r="203">
          <cell r="C203" t="str">
            <v>1993VA</v>
          </cell>
          <cell r="D203">
            <v>351</v>
          </cell>
          <cell r="E203">
            <v>17100</v>
          </cell>
          <cell r="F203">
            <v>13515</v>
          </cell>
          <cell r="G203">
            <v>5695</v>
          </cell>
          <cell r="H203">
            <v>0</v>
          </cell>
          <cell r="I203">
            <v>0</v>
          </cell>
          <cell r="J203">
            <v>165</v>
          </cell>
          <cell r="K203">
            <v>0</v>
          </cell>
          <cell r="L203">
            <v>0</v>
          </cell>
          <cell r="M203">
            <v>10780</v>
          </cell>
          <cell r="N203">
            <v>176250</v>
          </cell>
          <cell r="O203">
            <v>0</v>
          </cell>
          <cell r="P203">
            <v>0</v>
          </cell>
          <cell r="Q203">
            <v>0</v>
          </cell>
          <cell r="R203">
            <v>0</v>
          </cell>
          <cell r="S203">
            <v>0</v>
          </cell>
          <cell r="T203">
            <v>0</v>
          </cell>
          <cell r="U203">
            <v>0</v>
          </cell>
          <cell r="V203">
            <v>0</v>
          </cell>
        </row>
        <row r="204">
          <cell r="C204" t="str">
            <v>1993WA</v>
          </cell>
          <cell r="D204">
            <v>2160</v>
          </cell>
          <cell r="E204">
            <v>15200</v>
          </cell>
          <cell r="F204">
            <v>177580</v>
          </cell>
          <cell r="G204">
            <v>23115</v>
          </cell>
          <cell r="H204">
            <v>0</v>
          </cell>
          <cell r="I204">
            <v>2040</v>
          </cell>
          <cell r="J204">
            <v>0</v>
          </cell>
          <cell r="K204">
            <v>0</v>
          </cell>
          <cell r="L204">
            <v>0</v>
          </cell>
          <cell r="M204">
            <v>0</v>
          </cell>
          <cell r="N204">
            <v>0</v>
          </cell>
          <cell r="O204">
            <v>798</v>
          </cell>
          <cell r="P204">
            <v>2352</v>
          </cell>
          <cell r="Q204">
            <v>0</v>
          </cell>
          <cell r="R204">
            <v>1166</v>
          </cell>
          <cell r="S204">
            <v>272</v>
          </cell>
          <cell r="T204">
            <v>0</v>
          </cell>
          <cell r="U204">
            <v>0</v>
          </cell>
          <cell r="V204">
            <v>0</v>
          </cell>
        </row>
        <row r="205">
          <cell r="C205" t="str">
            <v>1993WV</v>
          </cell>
          <cell r="D205">
            <v>128</v>
          </cell>
          <cell r="E205">
            <v>3655</v>
          </cell>
          <cell r="F205">
            <v>473</v>
          </cell>
          <cell r="G205">
            <v>0</v>
          </cell>
          <cell r="H205">
            <v>0</v>
          </cell>
          <cell r="I205">
            <v>240</v>
          </cell>
          <cell r="J205">
            <v>0</v>
          </cell>
          <cell r="K205">
            <v>0</v>
          </cell>
          <cell r="L205">
            <v>0</v>
          </cell>
          <cell r="M205">
            <v>0</v>
          </cell>
          <cell r="N205">
            <v>0</v>
          </cell>
          <cell r="O205">
            <v>0</v>
          </cell>
          <cell r="P205">
            <v>0</v>
          </cell>
          <cell r="Q205">
            <v>0</v>
          </cell>
          <cell r="R205">
            <v>0</v>
          </cell>
          <cell r="S205">
            <v>0</v>
          </cell>
          <cell r="T205">
            <v>0</v>
          </cell>
          <cell r="U205">
            <v>0</v>
          </cell>
          <cell r="V205">
            <v>0</v>
          </cell>
        </row>
        <row r="206">
          <cell r="C206" t="str">
            <v>1993WI</v>
          </cell>
          <cell r="D206">
            <v>5060</v>
          </cell>
          <cell r="E206">
            <v>216200</v>
          </cell>
          <cell r="F206">
            <v>4660</v>
          </cell>
          <cell r="G206">
            <v>3220</v>
          </cell>
          <cell r="H206">
            <v>0</v>
          </cell>
          <cell r="I206">
            <v>24150</v>
          </cell>
          <cell r="J206">
            <v>260</v>
          </cell>
          <cell r="K206">
            <v>0</v>
          </cell>
          <cell r="L206">
            <v>0</v>
          </cell>
          <cell r="M206">
            <v>20650</v>
          </cell>
          <cell r="N206">
            <v>0</v>
          </cell>
          <cell r="O206">
            <v>145</v>
          </cell>
          <cell r="P206">
            <v>0</v>
          </cell>
          <cell r="Q206">
            <v>0</v>
          </cell>
          <cell r="R206">
            <v>0</v>
          </cell>
          <cell r="S206">
            <v>0</v>
          </cell>
          <cell r="T206">
            <v>0</v>
          </cell>
          <cell r="U206">
            <v>0</v>
          </cell>
          <cell r="V206">
            <v>0</v>
          </cell>
        </row>
        <row r="207">
          <cell r="C207" t="str">
            <v>1993WY</v>
          </cell>
          <cell r="D207">
            <v>1600</v>
          </cell>
          <cell r="E207">
            <v>3520</v>
          </cell>
          <cell r="F207">
            <v>6146</v>
          </cell>
          <cell r="G207">
            <v>9460</v>
          </cell>
          <cell r="H207">
            <v>0</v>
          </cell>
          <cell r="I207">
            <v>1550</v>
          </cell>
          <cell r="J207">
            <v>0</v>
          </cell>
          <cell r="K207">
            <v>0</v>
          </cell>
          <cell r="L207">
            <v>0</v>
          </cell>
          <cell r="M207">
            <v>0</v>
          </cell>
          <cell r="N207">
            <v>0</v>
          </cell>
          <cell r="O207">
            <v>339</v>
          </cell>
          <cell r="P207">
            <v>0</v>
          </cell>
          <cell r="Q207">
            <v>0</v>
          </cell>
          <cell r="R207">
            <v>0</v>
          </cell>
          <cell r="S207">
            <v>0</v>
          </cell>
          <cell r="T207">
            <v>0</v>
          </cell>
          <cell r="U207">
            <v>0</v>
          </cell>
          <cell r="V207">
            <v>0</v>
          </cell>
        </row>
        <row r="208">
          <cell r="C208" t="str">
            <v>1993US</v>
          </cell>
          <cell r="D208">
            <v>80115</v>
          </cell>
          <cell r="E208">
            <v>6337730</v>
          </cell>
          <cell r="F208">
            <v>2396440</v>
          </cell>
          <cell r="G208">
            <v>398205</v>
          </cell>
          <cell r="H208">
            <v>534172</v>
          </cell>
          <cell r="I208">
            <v>206731</v>
          </cell>
          <cell r="J208">
            <v>10340</v>
          </cell>
          <cell r="K208">
            <v>0</v>
          </cell>
          <cell r="L208">
            <v>156110</v>
          </cell>
          <cell r="M208">
            <v>1869718</v>
          </cell>
          <cell r="N208">
            <v>3392415</v>
          </cell>
          <cell r="O208">
            <v>21862</v>
          </cell>
          <cell r="P208">
            <v>3292</v>
          </cell>
          <cell r="Q208">
            <v>155</v>
          </cell>
          <cell r="R208">
            <v>2006</v>
          </cell>
          <cell r="S208">
            <v>849</v>
          </cell>
          <cell r="T208">
            <v>31072</v>
          </cell>
        </row>
        <row r="209">
          <cell r="C209" t="str">
            <v>1994AL</v>
          </cell>
          <cell r="D209">
            <v>0</v>
          </cell>
          <cell r="E209">
            <v>24960</v>
          </cell>
          <cell r="F209">
            <v>4560</v>
          </cell>
          <cell r="G209">
            <v>0</v>
          </cell>
          <cell r="H209">
            <v>900</v>
          </cell>
          <cell r="I209">
            <v>1650</v>
          </cell>
          <cell r="J209">
            <v>0</v>
          </cell>
          <cell r="K209">
            <v>0</v>
          </cell>
          <cell r="L209">
            <v>0</v>
          </cell>
          <cell r="M209">
            <v>9145</v>
          </cell>
          <cell r="N209">
            <v>446220</v>
          </cell>
          <cell r="O209">
            <v>0</v>
          </cell>
          <cell r="P209">
            <v>0</v>
          </cell>
          <cell r="Q209">
            <v>0</v>
          </cell>
          <cell r="R209">
            <v>0</v>
          </cell>
          <cell r="S209">
            <v>0</v>
          </cell>
          <cell r="T209">
            <v>0</v>
          </cell>
          <cell r="U209">
            <v>0</v>
          </cell>
          <cell r="V209">
            <v>0</v>
          </cell>
        </row>
        <row r="210">
          <cell r="C210" t="str">
            <v>1994AK</v>
          </cell>
          <cell r="D210">
            <v>0</v>
          </cell>
          <cell r="E210">
            <v>0</v>
          </cell>
          <cell r="F210">
            <v>0</v>
          </cell>
          <cell r="G210">
            <v>230</v>
          </cell>
          <cell r="H210">
            <v>0</v>
          </cell>
          <cell r="I210">
            <v>48000</v>
          </cell>
          <cell r="J210">
            <v>0</v>
          </cell>
          <cell r="K210">
            <v>0</v>
          </cell>
          <cell r="L210">
            <v>0</v>
          </cell>
          <cell r="M210">
            <v>0</v>
          </cell>
          <cell r="N210">
            <v>0</v>
          </cell>
          <cell r="O210">
            <v>0</v>
          </cell>
          <cell r="P210">
            <v>0</v>
          </cell>
          <cell r="Q210">
            <v>0</v>
          </cell>
          <cell r="R210">
            <v>0</v>
          </cell>
          <cell r="S210">
            <v>0</v>
          </cell>
          <cell r="T210">
            <v>0</v>
          </cell>
          <cell r="U210">
            <v>0</v>
          </cell>
          <cell r="V210">
            <v>0</v>
          </cell>
        </row>
        <row r="211">
          <cell r="C211" t="str">
            <v>1994AZ</v>
          </cell>
          <cell r="D211">
            <v>1200</v>
          </cell>
          <cell r="E211">
            <v>2550</v>
          </cell>
          <cell r="F211">
            <v>11186</v>
          </cell>
          <cell r="G211">
            <v>3135</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row>
        <row r="212">
          <cell r="C212" t="str">
            <v>1994AR</v>
          </cell>
          <cell r="D212">
            <v>85</v>
          </cell>
          <cell r="E212">
            <v>10800</v>
          </cell>
          <cell r="F212">
            <v>40480</v>
          </cell>
          <cell r="G212">
            <v>0</v>
          </cell>
          <cell r="H212">
            <v>18375</v>
          </cell>
          <cell r="I212">
            <v>1540</v>
          </cell>
          <cell r="J212">
            <v>0</v>
          </cell>
          <cell r="K212">
            <v>0</v>
          </cell>
          <cell r="L212">
            <v>80940</v>
          </cell>
          <cell r="M212">
            <v>115600</v>
          </cell>
          <cell r="N212">
            <v>0</v>
          </cell>
          <cell r="O212">
            <v>0</v>
          </cell>
          <cell r="P212">
            <v>0</v>
          </cell>
          <cell r="Q212">
            <v>0</v>
          </cell>
          <cell r="R212">
            <v>0</v>
          </cell>
          <cell r="S212">
            <v>0</v>
          </cell>
          <cell r="T212">
            <v>0</v>
          </cell>
          <cell r="U212">
            <v>1420</v>
          </cell>
          <cell r="V212">
            <v>0</v>
          </cell>
          <cell r="W212">
            <v>0.13</v>
          </cell>
        </row>
        <row r="213">
          <cell r="C213" t="str">
            <v>1994CA</v>
          </cell>
          <cell r="D213">
            <v>6650</v>
          </cell>
          <cell r="E213">
            <v>30600</v>
          </cell>
          <cell r="F213">
            <v>44365</v>
          </cell>
          <cell r="G213">
            <v>14300</v>
          </cell>
          <cell r="H213">
            <v>0</v>
          </cell>
          <cell r="I213">
            <v>2400</v>
          </cell>
          <cell r="J213">
            <v>0</v>
          </cell>
          <cell r="K213">
            <v>0</v>
          </cell>
          <cell r="L213">
            <v>41224</v>
          </cell>
          <cell r="M213">
            <v>0</v>
          </cell>
          <cell r="N213">
            <v>0</v>
          </cell>
          <cell r="O213">
            <v>2771</v>
          </cell>
          <cell r="P213">
            <v>0</v>
          </cell>
          <cell r="Q213">
            <v>0</v>
          </cell>
          <cell r="R213">
            <v>0</v>
          </cell>
          <cell r="S213">
            <v>0</v>
          </cell>
          <cell r="T213">
            <v>0</v>
          </cell>
          <cell r="U213">
            <v>485</v>
          </cell>
          <cell r="V213">
            <v>0</v>
          </cell>
          <cell r="W213">
            <v>0.69</v>
          </cell>
        </row>
        <row r="214">
          <cell r="C214" t="str">
            <v>1994CO</v>
          </cell>
          <cell r="D214">
            <v>3276</v>
          </cell>
          <cell r="E214">
            <v>126000</v>
          </cell>
          <cell r="F214">
            <v>79734</v>
          </cell>
          <cell r="G214">
            <v>7470</v>
          </cell>
          <cell r="H214">
            <v>7140</v>
          </cell>
          <cell r="I214">
            <v>1440</v>
          </cell>
          <cell r="J214">
            <v>54</v>
          </cell>
          <cell r="K214">
            <v>0</v>
          </cell>
          <cell r="L214">
            <v>0</v>
          </cell>
          <cell r="M214">
            <v>0</v>
          </cell>
          <cell r="N214">
            <v>0</v>
          </cell>
          <cell r="O214">
            <v>3140</v>
          </cell>
          <cell r="P214">
            <v>0</v>
          </cell>
          <cell r="Q214">
            <v>0</v>
          </cell>
          <cell r="R214">
            <v>0</v>
          </cell>
          <cell r="S214">
            <v>0</v>
          </cell>
          <cell r="T214">
            <v>0</v>
          </cell>
          <cell r="U214">
            <v>0</v>
          </cell>
          <cell r="V214">
            <v>0</v>
          </cell>
        </row>
        <row r="215">
          <cell r="C215" t="str">
            <v>1994CT</v>
          </cell>
          <cell r="D215">
            <v>70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row>
        <row r="216">
          <cell r="C216" t="str">
            <v>1994DE</v>
          </cell>
          <cell r="D216">
            <v>26</v>
          </cell>
          <cell r="E216">
            <v>18750</v>
          </cell>
          <cell r="F216">
            <v>3780</v>
          </cell>
          <cell r="G216">
            <v>1890</v>
          </cell>
          <cell r="H216">
            <v>0</v>
          </cell>
          <cell r="I216">
            <v>0</v>
          </cell>
          <cell r="J216">
            <v>0</v>
          </cell>
          <cell r="K216">
            <v>0</v>
          </cell>
          <cell r="L216">
            <v>0</v>
          </cell>
          <cell r="M216">
            <v>8030</v>
          </cell>
          <cell r="N216">
            <v>0</v>
          </cell>
          <cell r="O216">
            <v>0</v>
          </cell>
          <cell r="P216">
            <v>0</v>
          </cell>
          <cell r="Q216">
            <v>0</v>
          </cell>
          <cell r="R216">
            <v>0</v>
          </cell>
          <cell r="S216">
            <v>0</v>
          </cell>
          <cell r="T216">
            <v>0</v>
          </cell>
          <cell r="U216">
            <v>0</v>
          </cell>
          <cell r="V216">
            <v>0</v>
          </cell>
        </row>
        <row r="217">
          <cell r="C217" t="str">
            <v>1994FL</v>
          </cell>
          <cell r="D217">
            <v>0</v>
          </cell>
          <cell r="E217">
            <v>6800</v>
          </cell>
          <cell r="F217">
            <v>630</v>
          </cell>
          <cell r="G217">
            <v>0</v>
          </cell>
          <cell r="H217">
            <v>0</v>
          </cell>
          <cell r="I217">
            <v>0</v>
          </cell>
          <cell r="J217">
            <v>0</v>
          </cell>
          <cell r="K217">
            <v>0</v>
          </cell>
          <cell r="L217">
            <v>1066.4115935057127</v>
          </cell>
          <cell r="M217">
            <v>1302</v>
          </cell>
          <cell r="N217">
            <v>207480</v>
          </cell>
          <cell r="O217">
            <v>0</v>
          </cell>
          <cell r="P217">
            <v>0</v>
          </cell>
          <cell r="Q217">
            <v>0</v>
          </cell>
          <cell r="R217">
            <v>0</v>
          </cell>
          <cell r="S217">
            <v>0</v>
          </cell>
          <cell r="T217">
            <v>14933</v>
          </cell>
          <cell r="U217">
            <v>24</v>
          </cell>
          <cell r="V217">
            <v>12</v>
          </cell>
          <cell r="W217">
            <v>0</v>
          </cell>
        </row>
        <row r="218">
          <cell r="C218" t="str">
            <v>1994GA</v>
          </cell>
          <cell r="D218">
            <v>0</v>
          </cell>
          <cell r="E218">
            <v>57240</v>
          </cell>
          <cell r="F218">
            <v>20400</v>
          </cell>
          <cell r="G218">
            <v>0</v>
          </cell>
          <cell r="H218">
            <v>2000</v>
          </cell>
          <cell r="I218">
            <v>3350</v>
          </cell>
          <cell r="J218">
            <v>1890</v>
          </cell>
          <cell r="K218">
            <v>0</v>
          </cell>
          <cell r="L218">
            <v>0</v>
          </cell>
          <cell r="M218">
            <v>15500</v>
          </cell>
          <cell r="N218">
            <v>1862630</v>
          </cell>
          <cell r="O218">
            <v>0</v>
          </cell>
          <cell r="P218">
            <v>0</v>
          </cell>
          <cell r="Q218">
            <v>0</v>
          </cell>
          <cell r="R218">
            <v>0</v>
          </cell>
          <cell r="S218">
            <v>0</v>
          </cell>
          <cell r="T218">
            <v>0</v>
          </cell>
          <cell r="U218">
            <v>0</v>
          </cell>
          <cell r="V218">
            <v>0</v>
          </cell>
        </row>
        <row r="219">
          <cell r="C219" t="str">
            <v>1994HI</v>
          </cell>
          <cell r="D219">
            <v>0</v>
          </cell>
          <cell r="E219">
            <v>0</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5364</v>
          </cell>
          <cell r="U219">
            <v>0</v>
          </cell>
          <cell r="V219">
            <v>0</v>
          </cell>
        </row>
        <row r="220">
          <cell r="C220" t="str">
            <v>1994ID</v>
          </cell>
          <cell r="D220">
            <v>3978</v>
          </cell>
          <cell r="E220">
            <v>4900</v>
          </cell>
          <cell r="F220">
            <v>100280</v>
          </cell>
          <cell r="G220">
            <v>54000</v>
          </cell>
          <cell r="H220">
            <v>0</v>
          </cell>
          <cell r="I220">
            <v>1300</v>
          </cell>
          <cell r="J220">
            <v>0</v>
          </cell>
          <cell r="K220">
            <v>0</v>
          </cell>
          <cell r="L220">
            <v>0</v>
          </cell>
          <cell r="M220">
            <v>0</v>
          </cell>
          <cell r="N220">
            <v>0</v>
          </cell>
          <cell r="O220">
            <v>2691</v>
          </cell>
          <cell r="P220">
            <v>846</v>
          </cell>
          <cell r="Q220">
            <v>44</v>
          </cell>
          <cell r="R220">
            <v>935</v>
          </cell>
          <cell r="S220">
            <v>368</v>
          </cell>
          <cell r="T220">
            <v>0</v>
          </cell>
          <cell r="U220">
            <v>0</v>
          </cell>
          <cell r="V220">
            <v>0</v>
          </cell>
        </row>
        <row r="221">
          <cell r="C221" t="str">
            <v>1994IL</v>
          </cell>
          <cell r="D221">
            <v>2100</v>
          </cell>
          <cell r="E221">
            <v>1786200</v>
          </cell>
          <cell r="F221">
            <v>50400</v>
          </cell>
          <cell r="G221">
            <v>0</v>
          </cell>
          <cell r="H221">
            <v>14355</v>
          </cell>
          <cell r="I221">
            <v>5490</v>
          </cell>
          <cell r="J221">
            <v>144</v>
          </cell>
          <cell r="K221">
            <v>0</v>
          </cell>
          <cell r="L221">
            <v>0</v>
          </cell>
          <cell r="M221">
            <v>429065</v>
          </cell>
          <cell r="N221">
            <v>0</v>
          </cell>
          <cell r="O221">
            <v>0</v>
          </cell>
          <cell r="P221">
            <v>0</v>
          </cell>
          <cell r="Q221">
            <v>0</v>
          </cell>
          <cell r="R221">
            <v>0</v>
          </cell>
          <cell r="S221">
            <v>0</v>
          </cell>
          <cell r="T221">
            <v>0</v>
          </cell>
          <cell r="U221">
            <v>0</v>
          </cell>
          <cell r="V221">
            <v>0</v>
          </cell>
        </row>
        <row r="222">
          <cell r="C222" t="str">
            <v>1994IN</v>
          </cell>
          <cell r="D222">
            <v>1330</v>
          </cell>
          <cell r="E222">
            <v>858240</v>
          </cell>
          <cell r="F222">
            <v>38430</v>
          </cell>
          <cell r="G222">
            <v>0</v>
          </cell>
          <cell r="H222">
            <v>0</v>
          </cell>
          <cell r="I222">
            <v>1855</v>
          </cell>
          <cell r="J222">
            <v>120</v>
          </cell>
          <cell r="K222">
            <v>0</v>
          </cell>
          <cell r="L222">
            <v>0</v>
          </cell>
          <cell r="M222">
            <v>215260</v>
          </cell>
          <cell r="N222">
            <v>0</v>
          </cell>
          <cell r="O222">
            <v>0</v>
          </cell>
          <cell r="P222">
            <v>0</v>
          </cell>
          <cell r="Q222">
            <v>0</v>
          </cell>
          <cell r="R222">
            <v>0</v>
          </cell>
          <cell r="S222">
            <v>0</v>
          </cell>
          <cell r="T222">
            <v>0</v>
          </cell>
          <cell r="U222">
            <v>0</v>
          </cell>
          <cell r="V222">
            <v>0</v>
          </cell>
        </row>
        <row r="223">
          <cell r="C223" t="str">
            <v>1994IA</v>
          </cell>
          <cell r="D223">
            <v>4625</v>
          </cell>
          <cell r="E223">
            <v>1915200</v>
          </cell>
          <cell r="F223">
            <v>2115</v>
          </cell>
          <cell r="G223">
            <v>0</v>
          </cell>
          <cell r="H223">
            <v>0</v>
          </cell>
          <cell r="I223">
            <v>26660</v>
          </cell>
          <cell r="J223">
            <v>0</v>
          </cell>
          <cell r="K223">
            <v>0</v>
          </cell>
          <cell r="L223">
            <v>0</v>
          </cell>
          <cell r="M223">
            <v>442885</v>
          </cell>
          <cell r="N223">
            <v>0</v>
          </cell>
          <cell r="O223">
            <v>0</v>
          </cell>
          <cell r="P223">
            <v>0</v>
          </cell>
          <cell r="Q223">
            <v>0</v>
          </cell>
          <cell r="R223">
            <v>0</v>
          </cell>
          <cell r="S223">
            <v>0</v>
          </cell>
          <cell r="T223">
            <v>0</v>
          </cell>
          <cell r="U223">
            <v>0</v>
          </cell>
          <cell r="V223">
            <v>0</v>
          </cell>
        </row>
        <row r="224">
          <cell r="C224" t="str">
            <v>1994KS</v>
          </cell>
          <cell r="D224">
            <v>3120</v>
          </cell>
          <cell r="E224">
            <v>300300</v>
          </cell>
          <cell r="F224">
            <v>433200</v>
          </cell>
          <cell r="G224">
            <v>532</v>
          </cell>
          <cell r="H224">
            <v>231000</v>
          </cell>
          <cell r="I224">
            <v>5520</v>
          </cell>
          <cell r="J224">
            <v>325</v>
          </cell>
          <cell r="K224">
            <v>0</v>
          </cell>
          <cell r="L224">
            <v>0</v>
          </cell>
          <cell r="M224">
            <v>73500</v>
          </cell>
          <cell r="N224">
            <v>0</v>
          </cell>
          <cell r="O224">
            <v>560</v>
          </cell>
          <cell r="P224">
            <v>0</v>
          </cell>
          <cell r="Q224">
            <v>0</v>
          </cell>
          <cell r="R224">
            <v>0</v>
          </cell>
          <cell r="S224">
            <v>0</v>
          </cell>
          <cell r="T224">
            <v>0</v>
          </cell>
          <cell r="U224">
            <v>0</v>
          </cell>
          <cell r="V224">
            <v>0</v>
          </cell>
        </row>
        <row r="225">
          <cell r="C225" t="str">
            <v>1994KY</v>
          </cell>
          <cell r="D225">
            <v>1110</v>
          </cell>
          <cell r="E225">
            <v>156160</v>
          </cell>
          <cell r="F225">
            <v>25200</v>
          </cell>
          <cell r="G225">
            <v>1106</v>
          </cell>
          <cell r="H225">
            <v>1012</v>
          </cell>
          <cell r="I225">
            <v>0</v>
          </cell>
          <cell r="J225">
            <v>0</v>
          </cell>
          <cell r="K225">
            <v>0</v>
          </cell>
          <cell r="L225">
            <v>0</v>
          </cell>
          <cell r="M225">
            <v>42375</v>
          </cell>
          <cell r="N225">
            <v>0</v>
          </cell>
          <cell r="O225">
            <v>0</v>
          </cell>
          <cell r="P225">
            <v>0</v>
          </cell>
          <cell r="Q225">
            <v>0</v>
          </cell>
          <cell r="R225">
            <v>0</v>
          </cell>
          <cell r="S225">
            <v>0</v>
          </cell>
          <cell r="T225">
            <v>0</v>
          </cell>
          <cell r="U225">
            <v>0</v>
          </cell>
          <cell r="V225">
            <v>0</v>
          </cell>
        </row>
        <row r="226">
          <cell r="C226" t="str">
            <v>1994LA</v>
          </cell>
          <cell r="D226">
            <v>0</v>
          </cell>
          <cell r="E226">
            <v>35190</v>
          </cell>
          <cell r="F226">
            <v>2590</v>
          </cell>
          <cell r="G226">
            <v>0</v>
          </cell>
          <cell r="H226">
            <v>8364</v>
          </cell>
          <cell r="I226">
            <v>0</v>
          </cell>
          <cell r="J226">
            <v>0</v>
          </cell>
          <cell r="K226">
            <v>0</v>
          </cell>
          <cell r="L226">
            <v>29448</v>
          </cell>
          <cell r="M226">
            <v>31920</v>
          </cell>
          <cell r="N226">
            <v>0</v>
          </cell>
          <cell r="O226">
            <v>0</v>
          </cell>
          <cell r="P226">
            <v>0</v>
          </cell>
          <cell r="Q226">
            <v>0</v>
          </cell>
          <cell r="R226">
            <v>0</v>
          </cell>
          <cell r="S226">
            <v>0</v>
          </cell>
          <cell r="T226">
            <v>9272</v>
          </cell>
          <cell r="U226">
            <v>620</v>
          </cell>
          <cell r="V226">
            <v>186</v>
          </cell>
          <cell r="W226">
            <v>0.06</v>
          </cell>
        </row>
        <row r="227">
          <cell r="C227" t="str">
            <v>1994ME</v>
          </cell>
          <cell r="D227">
            <v>35</v>
          </cell>
          <cell r="E227">
            <v>0</v>
          </cell>
          <cell r="F227">
            <v>0</v>
          </cell>
          <cell r="G227">
            <v>0</v>
          </cell>
          <cell r="H227">
            <v>0</v>
          </cell>
          <cell r="I227">
            <v>1540</v>
          </cell>
          <cell r="J227">
            <v>0</v>
          </cell>
          <cell r="K227">
            <v>0</v>
          </cell>
          <cell r="L227">
            <v>0</v>
          </cell>
          <cell r="M227">
            <v>0</v>
          </cell>
          <cell r="N227">
            <v>0</v>
          </cell>
          <cell r="O227">
            <v>0</v>
          </cell>
          <cell r="P227">
            <v>0</v>
          </cell>
          <cell r="Q227">
            <v>0</v>
          </cell>
          <cell r="R227">
            <v>0</v>
          </cell>
          <cell r="S227">
            <v>0</v>
          </cell>
          <cell r="T227">
            <v>0</v>
          </cell>
          <cell r="U227">
            <v>0</v>
          </cell>
          <cell r="V227">
            <v>0</v>
          </cell>
        </row>
        <row r="228">
          <cell r="C228" t="str">
            <v>1994MD</v>
          </cell>
          <cell r="D228">
            <v>276</v>
          </cell>
          <cell r="E228">
            <v>46020</v>
          </cell>
          <cell r="F228">
            <v>12100</v>
          </cell>
          <cell r="G228">
            <v>4200</v>
          </cell>
          <cell r="H228">
            <v>0</v>
          </cell>
          <cell r="I228">
            <v>270</v>
          </cell>
          <cell r="J228">
            <v>140</v>
          </cell>
          <cell r="K228">
            <v>0</v>
          </cell>
          <cell r="L228">
            <v>0</v>
          </cell>
          <cell r="M228">
            <v>19525</v>
          </cell>
          <cell r="N228">
            <v>0</v>
          </cell>
          <cell r="O228">
            <v>0</v>
          </cell>
          <cell r="P228">
            <v>0</v>
          </cell>
          <cell r="Q228">
            <v>0</v>
          </cell>
          <cell r="R228">
            <v>0</v>
          </cell>
          <cell r="S228">
            <v>0</v>
          </cell>
          <cell r="T228">
            <v>0</v>
          </cell>
          <cell r="U228">
            <v>0</v>
          </cell>
          <cell r="V228">
            <v>0</v>
          </cell>
        </row>
        <row r="229">
          <cell r="C229" t="str">
            <v>1994MA</v>
          </cell>
          <cell r="D229">
            <v>65</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row>
        <row r="230">
          <cell r="C230" t="str">
            <v>1994MI</v>
          </cell>
          <cell r="D230">
            <v>4095</v>
          </cell>
          <cell r="E230">
            <v>255060</v>
          </cell>
          <cell r="F230">
            <v>30740</v>
          </cell>
          <cell r="G230">
            <v>1632</v>
          </cell>
          <cell r="H230">
            <v>0</v>
          </cell>
          <cell r="I230">
            <v>6270</v>
          </cell>
          <cell r="J230">
            <v>442</v>
          </cell>
          <cell r="K230">
            <v>0</v>
          </cell>
          <cell r="L230">
            <v>0</v>
          </cell>
          <cell r="M230">
            <v>56980</v>
          </cell>
          <cell r="N230">
            <v>0</v>
          </cell>
          <cell r="O230">
            <v>4680</v>
          </cell>
          <cell r="P230">
            <v>0</v>
          </cell>
          <cell r="Q230">
            <v>0</v>
          </cell>
          <cell r="R230">
            <v>0</v>
          </cell>
          <cell r="S230">
            <v>0</v>
          </cell>
          <cell r="T230">
            <v>0</v>
          </cell>
          <cell r="U230">
            <v>0</v>
          </cell>
          <cell r="V230">
            <v>0</v>
          </cell>
        </row>
        <row r="231">
          <cell r="C231" t="str">
            <v>1994MN</v>
          </cell>
          <cell r="D231">
            <v>5920</v>
          </cell>
          <cell r="E231">
            <v>915900</v>
          </cell>
          <cell r="F231">
            <v>71348</v>
          </cell>
          <cell r="G231">
            <v>30000</v>
          </cell>
          <cell r="H231">
            <v>0</v>
          </cell>
          <cell r="I231">
            <v>24750</v>
          </cell>
          <cell r="J231">
            <v>810</v>
          </cell>
          <cell r="K231">
            <v>0</v>
          </cell>
          <cell r="L231">
            <v>0</v>
          </cell>
          <cell r="M231">
            <v>224000</v>
          </cell>
          <cell r="N231">
            <v>0</v>
          </cell>
          <cell r="O231">
            <v>2079</v>
          </cell>
          <cell r="P231">
            <v>0</v>
          </cell>
          <cell r="Q231">
            <v>0</v>
          </cell>
          <cell r="R231">
            <v>0</v>
          </cell>
          <cell r="S231">
            <v>0</v>
          </cell>
          <cell r="T231">
            <v>0</v>
          </cell>
          <cell r="U231">
            <v>0</v>
          </cell>
          <cell r="V231">
            <v>0</v>
          </cell>
        </row>
        <row r="232">
          <cell r="C232" t="str">
            <v>1994MS</v>
          </cell>
          <cell r="D232">
            <v>0</v>
          </cell>
          <cell r="E232">
            <v>26500</v>
          </cell>
          <cell r="F232">
            <v>6400</v>
          </cell>
          <cell r="G232">
            <v>0</v>
          </cell>
          <cell r="H232">
            <v>5250</v>
          </cell>
          <cell r="I232">
            <v>0</v>
          </cell>
          <cell r="J232">
            <v>0</v>
          </cell>
          <cell r="K232">
            <v>0</v>
          </cell>
          <cell r="L232">
            <v>18467</v>
          </cell>
          <cell r="M232">
            <v>57035</v>
          </cell>
          <cell r="N232">
            <v>0</v>
          </cell>
          <cell r="O232">
            <v>0</v>
          </cell>
          <cell r="P232">
            <v>0</v>
          </cell>
          <cell r="Q232">
            <v>0</v>
          </cell>
          <cell r="R232">
            <v>0</v>
          </cell>
          <cell r="S232">
            <v>0</v>
          </cell>
          <cell r="T232">
            <v>0</v>
          </cell>
          <cell r="U232">
            <v>313</v>
          </cell>
          <cell r="V232">
            <v>0</v>
          </cell>
          <cell r="W232">
            <v>0.1</v>
          </cell>
        </row>
        <row r="233">
          <cell r="C233" t="str">
            <v>1994MO</v>
          </cell>
          <cell r="D233">
            <v>1260</v>
          </cell>
          <cell r="E233">
            <v>271400</v>
          </cell>
          <cell r="F233">
            <v>50400</v>
          </cell>
          <cell r="G233">
            <v>0</v>
          </cell>
          <cell r="H233">
            <v>49500</v>
          </cell>
          <cell r="I233">
            <v>1768</v>
          </cell>
          <cell r="J233">
            <v>0</v>
          </cell>
          <cell r="K233">
            <v>0</v>
          </cell>
          <cell r="L233">
            <v>6448</v>
          </cell>
          <cell r="M233">
            <v>173280</v>
          </cell>
          <cell r="N233">
            <v>0</v>
          </cell>
          <cell r="O233">
            <v>0</v>
          </cell>
          <cell r="P233">
            <v>0</v>
          </cell>
          <cell r="Q233">
            <v>0</v>
          </cell>
          <cell r="R233">
            <v>0</v>
          </cell>
          <cell r="S233">
            <v>0</v>
          </cell>
          <cell r="T233">
            <v>0</v>
          </cell>
          <cell r="U233">
            <v>124</v>
          </cell>
          <cell r="V233">
            <v>0</v>
          </cell>
          <cell r="W233">
            <v>0.05</v>
          </cell>
        </row>
        <row r="234">
          <cell r="C234" t="str">
            <v>1994MT</v>
          </cell>
          <cell r="D234">
            <v>3565</v>
          </cell>
          <cell r="E234">
            <v>2295</v>
          </cell>
          <cell r="F234">
            <v>170590</v>
          </cell>
          <cell r="G234">
            <v>52800</v>
          </cell>
          <cell r="H234">
            <v>0</v>
          </cell>
          <cell r="I234">
            <v>3600</v>
          </cell>
          <cell r="J234">
            <v>0</v>
          </cell>
          <cell r="K234">
            <v>0</v>
          </cell>
          <cell r="L234">
            <v>0</v>
          </cell>
          <cell r="M234">
            <v>0</v>
          </cell>
          <cell r="N234">
            <v>0</v>
          </cell>
          <cell r="O234">
            <v>220</v>
          </cell>
          <cell r="P234">
            <v>0</v>
          </cell>
          <cell r="Q234">
            <v>0</v>
          </cell>
          <cell r="R234">
            <v>0</v>
          </cell>
          <cell r="S234">
            <v>0</v>
          </cell>
          <cell r="T234">
            <v>0</v>
          </cell>
          <cell r="U234">
            <v>0</v>
          </cell>
          <cell r="V234">
            <v>0</v>
          </cell>
        </row>
        <row r="235">
          <cell r="C235" t="str">
            <v>1994NE</v>
          </cell>
          <cell r="D235">
            <v>5040</v>
          </cell>
          <cell r="E235">
            <v>1146750</v>
          </cell>
          <cell r="F235">
            <v>71400</v>
          </cell>
          <cell r="G235">
            <v>304</v>
          </cell>
          <cell r="H235">
            <v>117600</v>
          </cell>
          <cell r="I235">
            <v>7500</v>
          </cell>
          <cell r="J235">
            <v>546</v>
          </cell>
          <cell r="K235">
            <v>0</v>
          </cell>
          <cell r="L235">
            <v>0</v>
          </cell>
          <cell r="M235">
            <v>134420</v>
          </cell>
          <cell r="N235">
            <v>0</v>
          </cell>
          <cell r="O235">
            <v>3572</v>
          </cell>
          <cell r="P235">
            <v>0</v>
          </cell>
          <cell r="Q235">
            <v>0</v>
          </cell>
          <cell r="R235">
            <v>0</v>
          </cell>
          <cell r="S235">
            <v>0</v>
          </cell>
          <cell r="T235">
            <v>0</v>
          </cell>
          <cell r="U235">
            <v>0</v>
          </cell>
          <cell r="V235">
            <v>0</v>
          </cell>
        </row>
        <row r="236">
          <cell r="C236" t="str">
            <v>1994NV</v>
          </cell>
          <cell r="D236">
            <v>1032</v>
          </cell>
          <cell r="E236">
            <v>0</v>
          </cell>
          <cell r="F236">
            <v>670</v>
          </cell>
          <cell r="G236">
            <v>340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row>
        <row r="237">
          <cell r="C237" t="str">
            <v>1994NH</v>
          </cell>
          <cell r="D237">
            <v>40</v>
          </cell>
          <cell r="E237">
            <v>0</v>
          </cell>
          <cell r="F237">
            <v>0</v>
          </cell>
          <cell r="G237">
            <v>0</v>
          </cell>
          <cell r="H237">
            <v>0</v>
          </cell>
          <cell r="I237">
            <v>0</v>
          </cell>
          <cell r="J237">
            <v>0</v>
          </cell>
          <cell r="K237">
            <v>0</v>
          </cell>
          <cell r="L237">
            <v>0</v>
          </cell>
          <cell r="M237">
            <v>0</v>
          </cell>
          <cell r="N237">
            <v>0</v>
          </cell>
          <cell r="O237">
            <v>0</v>
          </cell>
          <cell r="P237">
            <v>0</v>
          </cell>
          <cell r="Q237">
            <v>0</v>
          </cell>
          <cell r="R237">
            <v>0</v>
          </cell>
          <cell r="S237">
            <v>0</v>
          </cell>
          <cell r="T237">
            <v>0</v>
          </cell>
          <cell r="U237">
            <v>0</v>
          </cell>
          <cell r="V237">
            <v>0</v>
          </cell>
        </row>
        <row r="238">
          <cell r="C238" t="str">
            <v>1994NJ</v>
          </cell>
          <cell r="D238">
            <v>111</v>
          </cell>
          <cell r="E238">
            <v>9639</v>
          </cell>
          <cell r="F238">
            <v>1344</v>
          </cell>
          <cell r="G238">
            <v>265</v>
          </cell>
          <cell r="H238">
            <v>0</v>
          </cell>
          <cell r="I238">
            <v>0</v>
          </cell>
          <cell r="J238">
            <v>190</v>
          </cell>
          <cell r="K238">
            <v>0</v>
          </cell>
          <cell r="L238">
            <v>0</v>
          </cell>
          <cell r="M238">
            <v>5072</v>
          </cell>
          <cell r="N238">
            <v>0</v>
          </cell>
          <cell r="O238">
            <v>0</v>
          </cell>
          <cell r="P238">
            <v>0</v>
          </cell>
          <cell r="Q238">
            <v>0</v>
          </cell>
          <cell r="R238">
            <v>0</v>
          </cell>
          <cell r="S238">
            <v>0</v>
          </cell>
          <cell r="T238">
            <v>0</v>
          </cell>
          <cell r="U238">
            <v>0</v>
          </cell>
          <cell r="V238">
            <v>0</v>
          </cell>
        </row>
        <row r="239">
          <cell r="C239" t="str">
            <v>1994NM</v>
          </cell>
          <cell r="D239">
            <v>1300</v>
          </cell>
          <cell r="E239">
            <v>12750</v>
          </cell>
          <cell r="F239">
            <v>5520</v>
          </cell>
          <cell r="G239">
            <v>0</v>
          </cell>
          <cell r="H239">
            <v>7410</v>
          </cell>
          <cell r="I239">
            <v>0</v>
          </cell>
          <cell r="J239">
            <v>0</v>
          </cell>
          <cell r="K239">
            <v>0</v>
          </cell>
          <cell r="L239">
            <v>0</v>
          </cell>
          <cell r="M239">
            <v>0</v>
          </cell>
          <cell r="N239">
            <v>51660</v>
          </cell>
          <cell r="O239">
            <v>283</v>
          </cell>
          <cell r="P239">
            <v>0</v>
          </cell>
          <cell r="Q239">
            <v>0</v>
          </cell>
          <cell r="R239">
            <v>0</v>
          </cell>
          <cell r="S239">
            <v>0</v>
          </cell>
          <cell r="T239">
            <v>0</v>
          </cell>
          <cell r="U239">
            <v>0</v>
          </cell>
          <cell r="V239">
            <v>0</v>
          </cell>
        </row>
        <row r="240">
          <cell r="C240" t="str">
            <v>1994NY</v>
          </cell>
          <cell r="D240">
            <v>1829</v>
          </cell>
          <cell r="E240">
            <v>66120</v>
          </cell>
          <cell r="F240">
            <v>6095</v>
          </cell>
          <cell r="G240">
            <v>0</v>
          </cell>
          <cell r="H240">
            <v>0</v>
          </cell>
          <cell r="I240">
            <v>7040</v>
          </cell>
          <cell r="J240">
            <v>248</v>
          </cell>
          <cell r="K240">
            <v>0</v>
          </cell>
          <cell r="L240">
            <v>0</v>
          </cell>
          <cell r="M240">
            <v>0</v>
          </cell>
          <cell r="N240">
            <v>0</v>
          </cell>
          <cell r="O240">
            <v>585</v>
          </cell>
          <cell r="P240">
            <v>0</v>
          </cell>
          <cell r="Q240">
            <v>0</v>
          </cell>
          <cell r="R240">
            <v>0</v>
          </cell>
          <cell r="S240">
            <v>0</v>
          </cell>
          <cell r="T240">
            <v>0</v>
          </cell>
          <cell r="U240">
            <v>0</v>
          </cell>
          <cell r="V240">
            <v>0</v>
          </cell>
        </row>
        <row r="241">
          <cell r="C241" t="str">
            <v>1994NC</v>
          </cell>
          <cell r="D241">
            <v>60</v>
          </cell>
          <cell r="E241">
            <v>81900</v>
          </cell>
          <cell r="F241">
            <v>30380</v>
          </cell>
          <cell r="G241">
            <v>1750</v>
          </cell>
          <cell r="H241">
            <v>1100</v>
          </cell>
          <cell r="I241">
            <v>2600</v>
          </cell>
          <cell r="J241">
            <v>650</v>
          </cell>
          <cell r="K241">
            <v>0</v>
          </cell>
          <cell r="L241">
            <v>0</v>
          </cell>
          <cell r="M241">
            <v>41850</v>
          </cell>
          <cell r="N241">
            <v>485465</v>
          </cell>
          <cell r="O241">
            <v>0</v>
          </cell>
          <cell r="P241">
            <v>0</v>
          </cell>
          <cell r="Q241">
            <v>0</v>
          </cell>
          <cell r="R241">
            <v>0</v>
          </cell>
          <cell r="S241">
            <v>0</v>
          </cell>
          <cell r="T241">
            <v>0</v>
          </cell>
          <cell r="U241">
            <v>0</v>
          </cell>
          <cell r="V241">
            <v>0</v>
          </cell>
        </row>
        <row r="242">
          <cell r="C242" t="str">
            <v>1994ND</v>
          </cell>
          <cell r="D242">
            <v>2755</v>
          </cell>
          <cell r="E242">
            <v>52000</v>
          </cell>
          <cell r="F242">
            <v>356404</v>
          </cell>
          <cell r="G242">
            <v>132000</v>
          </cell>
          <cell r="H242">
            <v>0</v>
          </cell>
          <cell r="I242">
            <v>33550</v>
          </cell>
          <cell r="J242">
            <v>700</v>
          </cell>
          <cell r="K242">
            <v>0</v>
          </cell>
          <cell r="L242">
            <v>0</v>
          </cell>
          <cell r="M242">
            <v>18910</v>
          </cell>
          <cell r="N242">
            <v>0</v>
          </cell>
          <cell r="O242">
            <v>6110</v>
          </cell>
          <cell r="P242">
            <v>0</v>
          </cell>
          <cell r="Q242">
            <v>0</v>
          </cell>
          <cell r="R242">
            <v>0</v>
          </cell>
          <cell r="S242">
            <v>0</v>
          </cell>
          <cell r="T242">
            <v>0</v>
          </cell>
          <cell r="U242">
            <v>0</v>
          </cell>
          <cell r="V242">
            <v>0</v>
          </cell>
        </row>
        <row r="243">
          <cell r="C243" t="str">
            <v>1994OH</v>
          </cell>
          <cell r="D243">
            <v>2772</v>
          </cell>
          <cell r="E243">
            <v>486500</v>
          </cell>
          <cell r="F243">
            <v>68440</v>
          </cell>
          <cell r="G243">
            <v>0</v>
          </cell>
          <cell r="H243">
            <v>0</v>
          </cell>
          <cell r="I243">
            <v>6720</v>
          </cell>
          <cell r="J243">
            <v>170</v>
          </cell>
          <cell r="K243">
            <v>0</v>
          </cell>
          <cell r="L243">
            <v>0</v>
          </cell>
          <cell r="M243">
            <v>173565</v>
          </cell>
          <cell r="N243">
            <v>0</v>
          </cell>
          <cell r="O243">
            <v>0</v>
          </cell>
          <cell r="P243">
            <v>0</v>
          </cell>
          <cell r="Q243">
            <v>0</v>
          </cell>
          <cell r="R243">
            <v>0</v>
          </cell>
          <cell r="S243">
            <v>0</v>
          </cell>
          <cell r="T243">
            <v>0</v>
          </cell>
          <cell r="U243">
            <v>0</v>
          </cell>
          <cell r="V243">
            <v>0</v>
          </cell>
        </row>
        <row r="244">
          <cell r="C244" t="str">
            <v>1994OK</v>
          </cell>
          <cell r="D244">
            <v>1190</v>
          </cell>
          <cell r="E244">
            <v>17655</v>
          </cell>
          <cell r="F244">
            <v>143100</v>
          </cell>
          <cell r="G244">
            <v>222</v>
          </cell>
          <cell r="H244">
            <v>14000</v>
          </cell>
          <cell r="I244">
            <v>1110</v>
          </cell>
          <cell r="J244">
            <v>945</v>
          </cell>
          <cell r="K244">
            <v>0</v>
          </cell>
          <cell r="L244">
            <v>0</v>
          </cell>
          <cell r="M244">
            <v>9280</v>
          </cell>
          <cell r="N244">
            <v>261000</v>
          </cell>
          <cell r="O244">
            <v>0</v>
          </cell>
          <cell r="P244">
            <v>0</v>
          </cell>
          <cell r="Q244">
            <v>0</v>
          </cell>
          <cell r="R244">
            <v>0</v>
          </cell>
          <cell r="S244">
            <v>0</v>
          </cell>
          <cell r="T244">
            <v>0</v>
          </cell>
          <cell r="U244">
            <v>0.89639999999999997</v>
          </cell>
          <cell r="V244">
            <v>0</v>
          </cell>
          <cell r="W244">
            <v>0.9</v>
          </cell>
        </row>
        <row r="245">
          <cell r="C245" t="str">
            <v>1994OR</v>
          </cell>
          <cell r="D245">
            <v>1640</v>
          </cell>
          <cell r="E245">
            <v>3400</v>
          </cell>
          <cell r="F245">
            <v>58580</v>
          </cell>
          <cell r="G245">
            <v>9490</v>
          </cell>
          <cell r="H245">
            <v>0</v>
          </cell>
          <cell r="I245">
            <v>4500</v>
          </cell>
          <cell r="J245">
            <v>0</v>
          </cell>
          <cell r="K245">
            <v>0</v>
          </cell>
          <cell r="L245">
            <v>0</v>
          </cell>
          <cell r="M245">
            <v>0</v>
          </cell>
          <cell r="N245">
            <v>0</v>
          </cell>
          <cell r="O245">
            <v>197</v>
          </cell>
          <cell r="P245">
            <v>0</v>
          </cell>
          <cell r="Q245">
            <v>7</v>
          </cell>
          <cell r="R245">
            <v>0</v>
          </cell>
          <cell r="S245">
            <v>0</v>
          </cell>
          <cell r="T245">
            <v>0</v>
          </cell>
          <cell r="U245">
            <v>0</v>
          </cell>
          <cell r="V245">
            <v>0</v>
          </cell>
        </row>
        <row r="246">
          <cell r="C246" t="str">
            <v>1994PA</v>
          </cell>
          <cell r="D246">
            <v>2400</v>
          </cell>
          <cell r="E246">
            <v>123600</v>
          </cell>
          <cell r="F246">
            <v>7920</v>
          </cell>
          <cell r="G246">
            <v>4875</v>
          </cell>
          <cell r="H246">
            <v>0</v>
          </cell>
          <cell r="I246">
            <v>8480</v>
          </cell>
          <cell r="J246">
            <v>320</v>
          </cell>
          <cell r="K246">
            <v>0</v>
          </cell>
          <cell r="L246">
            <v>0</v>
          </cell>
          <cell r="M246">
            <v>13230</v>
          </cell>
          <cell r="N246">
            <v>0</v>
          </cell>
          <cell r="O246">
            <v>0</v>
          </cell>
          <cell r="P246">
            <v>0</v>
          </cell>
          <cell r="Q246">
            <v>0</v>
          </cell>
          <cell r="R246">
            <v>0</v>
          </cell>
          <cell r="S246">
            <v>0</v>
          </cell>
          <cell r="T246">
            <v>0</v>
          </cell>
          <cell r="U246">
            <v>0</v>
          </cell>
          <cell r="V246">
            <v>0</v>
          </cell>
        </row>
        <row r="247">
          <cell r="C247" t="str">
            <v>1994RI</v>
          </cell>
          <cell r="D247">
            <v>5</v>
          </cell>
          <cell r="E247">
            <v>0</v>
          </cell>
          <cell r="F247">
            <v>0</v>
          </cell>
          <cell r="G247">
            <v>0</v>
          </cell>
          <cell r="H247">
            <v>0</v>
          </cell>
          <cell r="I247">
            <v>0</v>
          </cell>
          <cell r="J247">
            <v>0</v>
          </cell>
          <cell r="K247">
            <v>0</v>
          </cell>
          <cell r="L247">
            <v>0</v>
          </cell>
          <cell r="M247">
            <v>0</v>
          </cell>
          <cell r="N247">
            <v>0</v>
          </cell>
          <cell r="O247">
            <v>0</v>
          </cell>
          <cell r="P247">
            <v>0</v>
          </cell>
          <cell r="Q247">
            <v>0</v>
          </cell>
          <cell r="R247">
            <v>0</v>
          </cell>
          <cell r="S247">
            <v>0</v>
          </cell>
          <cell r="T247">
            <v>0</v>
          </cell>
          <cell r="U247">
            <v>0</v>
          </cell>
          <cell r="V247">
            <v>0</v>
          </cell>
        </row>
        <row r="248">
          <cell r="C248" t="str">
            <v>1994SC</v>
          </cell>
          <cell r="D248">
            <v>0</v>
          </cell>
          <cell r="E248">
            <v>29325</v>
          </cell>
          <cell r="F248">
            <v>18000</v>
          </cell>
          <cell r="G248">
            <v>504</v>
          </cell>
          <cell r="H248">
            <v>320</v>
          </cell>
          <cell r="I248">
            <v>2840</v>
          </cell>
          <cell r="J248">
            <v>600</v>
          </cell>
          <cell r="K248">
            <v>0</v>
          </cell>
          <cell r="L248">
            <v>0</v>
          </cell>
          <cell r="M248">
            <v>15660</v>
          </cell>
          <cell r="N248">
            <v>36250</v>
          </cell>
          <cell r="O248">
            <v>0</v>
          </cell>
          <cell r="P248">
            <v>0</v>
          </cell>
          <cell r="Q248">
            <v>0</v>
          </cell>
          <cell r="R248">
            <v>0</v>
          </cell>
          <cell r="S248">
            <v>0</v>
          </cell>
          <cell r="T248">
            <v>0</v>
          </cell>
          <cell r="U248">
            <v>0</v>
          </cell>
          <cell r="V248">
            <v>0</v>
          </cell>
        </row>
        <row r="249">
          <cell r="C249" t="str">
            <v>1994SD</v>
          </cell>
          <cell r="D249">
            <v>5250</v>
          </cell>
          <cell r="E249">
            <v>361800</v>
          </cell>
          <cell r="F249">
            <v>95278</v>
          </cell>
          <cell r="G249">
            <v>13020</v>
          </cell>
          <cell r="H249">
            <v>11375</v>
          </cell>
          <cell r="I249">
            <v>31360</v>
          </cell>
          <cell r="J249">
            <v>1485</v>
          </cell>
          <cell r="K249">
            <v>0</v>
          </cell>
          <cell r="L249">
            <v>0</v>
          </cell>
          <cell r="M249">
            <v>91200</v>
          </cell>
          <cell r="N249">
            <v>0</v>
          </cell>
          <cell r="O249">
            <v>0</v>
          </cell>
          <cell r="P249">
            <v>0</v>
          </cell>
          <cell r="Q249">
            <v>0</v>
          </cell>
          <cell r="R249">
            <v>0</v>
          </cell>
          <cell r="S249">
            <v>0</v>
          </cell>
          <cell r="T249">
            <v>0</v>
          </cell>
          <cell r="U249">
            <v>0</v>
          </cell>
          <cell r="V249">
            <v>0</v>
          </cell>
        </row>
        <row r="250">
          <cell r="C250" t="str">
            <v>1994TN</v>
          </cell>
          <cell r="D250">
            <v>165</v>
          </cell>
          <cell r="E250">
            <v>66120</v>
          </cell>
          <cell r="F250">
            <v>15000</v>
          </cell>
          <cell r="G250">
            <v>0</v>
          </cell>
          <cell r="H250">
            <v>2640</v>
          </cell>
          <cell r="I250">
            <v>0</v>
          </cell>
          <cell r="J250">
            <v>0</v>
          </cell>
          <cell r="K250">
            <v>0</v>
          </cell>
          <cell r="L250">
            <v>0</v>
          </cell>
          <cell r="M250">
            <v>36500</v>
          </cell>
          <cell r="N250">
            <v>0</v>
          </cell>
          <cell r="O250">
            <v>0</v>
          </cell>
          <cell r="P250">
            <v>0</v>
          </cell>
          <cell r="Q250">
            <v>0</v>
          </cell>
          <cell r="R250">
            <v>0</v>
          </cell>
          <cell r="S250">
            <v>0</v>
          </cell>
          <cell r="T250">
            <v>0</v>
          </cell>
          <cell r="U250">
            <v>0</v>
          </cell>
          <cell r="V250">
            <v>0</v>
          </cell>
        </row>
        <row r="251">
          <cell r="C251" t="str">
            <v>1994TX</v>
          </cell>
          <cell r="D251">
            <v>405</v>
          </cell>
          <cell r="E251">
            <v>238680</v>
          </cell>
          <cell r="F251">
            <v>75400</v>
          </cell>
          <cell r="G251">
            <v>264</v>
          </cell>
          <cell r="H251">
            <v>153400</v>
          </cell>
          <cell r="I251">
            <v>5200</v>
          </cell>
          <cell r="J251">
            <v>435</v>
          </cell>
          <cell r="K251">
            <v>0</v>
          </cell>
          <cell r="L251">
            <v>21252</v>
          </cell>
          <cell r="M251">
            <v>7035</v>
          </cell>
          <cell r="N251">
            <v>605570</v>
          </cell>
          <cell r="O251">
            <v>218</v>
          </cell>
          <cell r="P251">
            <v>0</v>
          </cell>
          <cell r="Q251">
            <v>0</v>
          </cell>
          <cell r="R251">
            <v>0</v>
          </cell>
          <cell r="S251">
            <v>0</v>
          </cell>
          <cell r="T251">
            <v>1358</v>
          </cell>
          <cell r="U251">
            <v>354</v>
          </cell>
          <cell r="V251">
            <v>142</v>
          </cell>
          <cell r="W251">
            <v>0.01</v>
          </cell>
        </row>
        <row r="252">
          <cell r="C252" t="str">
            <v>1994UT</v>
          </cell>
          <cell r="D252">
            <v>2205</v>
          </cell>
          <cell r="E252">
            <v>2860</v>
          </cell>
          <cell r="F252">
            <v>7012</v>
          </cell>
          <cell r="G252">
            <v>8025</v>
          </cell>
          <cell r="H252">
            <v>0</v>
          </cell>
          <cell r="I252">
            <v>576</v>
          </cell>
          <cell r="J252">
            <v>0</v>
          </cell>
          <cell r="K252">
            <v>0</v>
          </cell>
          <cell r="L252">
            <v>0</v>
          </cell>
          <cell r="M252">
            <v>0</v>
          </cell>
          <cell r="N252">
            <v>0</v>
          </cell>
          <cell r="O252">
            <v>24</v>
          </cell>
          <cell r="P252">
            <v>0</v>
          </cell>
          <cell r="Q252">
            <v>0</v>
          </cell>
          <cell r="R252">
            <v>0</v>
          </cell>
          <cell r="S252">
            <v>0</v>
          </cell>
          <cell r="T252">
            <v>0</v>
          </cell>
          <cell r="U252">
            <v>0</v>
          </cell>
          <cell r="V252">
            <v>0</v>
          </cell>
        </row>
        <row r="253">
          <cell r="C253" t="str">
            <v>1994VT</v>
          </cell>
          <cell r="D253">
            <v>220</v>
          </cell>
          <cell r="E253">
            <v>0</v>
          </cell>
          <cell r="F253">
            <v>0</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row>
        <row r="254">
          <cell r="C254" t="str">
            <v>1994VA</v>
          </cell>
          <cell r="D254">
            <v>403</v>
          </cell>
          <cell r="E254">
            <v>34300</v>
          </cell>
          <cell r="F254">
            <v>14000</v>
          </cell>
          <cell r="G254">
            <v>6351</v>
          </cell>
          <cell r="H254">
            <v>0</v>
          </cell>
          <cell r="I254">
            <v>0</v>
          </cell>
          <cell r="J254">
            <v>252</v>
          </cell>
          <cell r="K254">
            <v>0</v>
          </cell>
          <cell r="L254">
            <v>0</v>
          </cell>
          <cell r="M254">
            <v>16640</v>
          </cell>
          <cell r="N254">
            <v>291180</v>
          </cell>
          <cell r="O254">
            <v>0</v>
          </cell>
          <cell r="P254">
            <v>0</v>
          </cell>
          <cell r="Q254">
            <v>0</v>
          </cell>
          <cell r="R254">
            <v>0</v>
          </cell>
          <cell r="S254">
            <v>0</v>
          </cell>
          <cell r="T254">
            <v>0</v>
          </cell>
          <cell r="U254">
            <v>0</v>
          </cell>
          <cell r="V254">
            <v>0</v>
          </cell>
        </row>
        <row r="255">
          <cell r="C255" t="str">
            <v>1994WA</v>
          </cell>
          <cell r="D255">
            <v>2209</v>
          </cell>
          <cell r="E255">
            <v>19425</v>
          </cell>
          <cell r="F255">
            <v>134000</v>
          </cell>
          <cell r="G255">
            <v>14335</v>
          </cell>
          <cell r="H255">
            <v>0</v>
          </cell>
          <cell r="I255">
            <v>1160</v>
          </cell>
          <cell r="J255">
            <v>0</v>
          </cell>
          <cell r="K255">
            <v>0</v>
          </cell>
          <cell r="L255">
            <v>0</v>
          </cell>
          <cell r="M255">
            <v>0</v>
          </cell>
          <cell r="N255">
            <v>0</v>
          </cell>
          <cell r="O255">
            <v>840</v>
          </cell>
          <cell r="P255">
            <v>1409</v>
          </cell>
          <cell r="Q255">
            <v>0</v>
          </cell>
          <cell r="R255">
            <v>921</v>
          </cell>
          <cell r="S255">
            <v>386</v>
          </cell>
          <cell r="T255">
            <v>0</v>
          </cell>
          <cell r="U255">
            <v>0</v>
          </cell>
          <cell r="V255">
            <v>0</v>
          </cell>
        </row>
        <row r="256">
          <cell r="C256" t="str">
            <v>1994WV</v>
          </cell>
          <cell r="D256">
            <v>160</v>
          </cell>
          <cell r="E256">
            <v>3675</v>
          </cell>
          <cell r="F256">
            <v>550</v>
          </cell>
          <cell r="G256">
            <v>0</v>
          </cell>
          <cell r="H256">
            <v>0</v>
          </cell>
          <cell r="I256">
            <v>225</v>
          </cell>
          <cell r="J256">
            <v>0</v>
          </cell>
          <cell r="K256">
            <v>0</v>
          </cell>
          <cell r="L256">
            <v>0</v>
          </cell>
          <cell r="M256">
            <v>0</v>
          </cell>
          <cell r="N256">
            <v>0</v>
          </cell>
          <cell r="O256">
            <v>0</v>
          </cell>
          <cell r="P256">
            <v>0</v>
          </cell>
          <cell r="Q256">
            <v>0</v>
          </cell>
          <cell r="R256">
            <v>0</v>
          </cell>
          <cell r="S256">
            <v>0</v>
          </cell>
          <cell r="T256">
            <v>0</v>
          </cell>
          <cell r="U256">
            <v>0</v>
          </cell>
          <cell r="V256">
            <v>0</v>
          </cell>
        </row>
        <row r="257">
          <cell r="C257" t="str">
            <v>1994WI</v>
          </cell>
          <cell r="D257">
            <v>5750</v>
          </cell>
          <cell r="E257">
            <v>437100</v>
          </cell>
          <cell r="F257">
            <v>7940</v>
          </cell>
          <cell r="G257">
            <v>4452</v>
          </cell>
          <cell r="H257">
            <v>0</v>
          </cell>
          <cell r="I257">
            <v>25380</v>
          </cell>
          <cell r="J257">
            <v>875</v>
          </cell>
          <cell r="K257">
            <v>0</v>
          </cell>
          <cell r="L257">
            <v>0</v>
          </cell>
          <cell r="M257">
            <v>36105</v>
          </cell>
          <cell r="N257">
            <v>0</v>
          </cell>
          <cell r="O257">
            <v>237</v>
          </cell>
          <cell r="P257">
            <v>0</v>
          </cell>
          <cell r="Q257">
            <v>0</v>
          </cell>
          <cell r="R257">
            <v>0</v>
          </cell>
          <cell r="S257">
            <v>0</v>
          </cell>
          <cell r="T257">
            <v>0</v>
          </cell>
          <cell r="U257">
            <v>0</v>
          </cell>
          <cell r="V257">
            <v>0</v>
          </cell>
        </row>
        <row r="258">
          <cell r="C258" t="str">
            <v>1994WY</v>
          </cell>
          <cell r="D258">
            <v>1403</v>
          </cell>
          <cell r="E258">
            <v>5856</v>
          </cell>
          <cell r="F258">
            <v>5020</v>
          </cell>
          <cell r="G258">
            <v>7600</v>
          </cell>
          <cell r="H258">
            <v>0</v>
          </cell>
          <cell r="I258">
            <v>1200</v>
          </cell>
          <cell r="J258">
            <v>0</v>
          </cell>
          <cell r="K258">
            <v>0</v>
          </cell>
          <cell r="L258">
            <v>0</v>
          </cell>
          <cell r="M258">
            <v>0</v>
          </cell>
          <cell r="N258">
            <v>0</v>
          </cell>
          <cell r="O258">
            <v>743</v>
          </cell>
          <cell r="P258">
            <v>0</v>
          </cell>
          <cell r="Q258">
            <v>0</v>
          </cell>
          <cell r="R258">
            <v>0</v>
          </cell>
          <cell r="S258">
            <v>0</v>
          </cell>
          <cell r="T258">
            <v>0</v>
          </cell>
          <cell r="U258">
            <v>0</v>
          </cell>
          <cell r="V258">
            <v>0</v>
          </cell>
        </row>
        <row r="259">
          <cell r="C259" t="str">
            <v>1994US</v>
          </cell>
          <cell r="D259">
            <v>81130</v>
          </cell>
          <cell r="E259">
            <v>10050520</v>
          </cell>
          <cell r="F259">
            <v>2320981</v>
          </cell>
          <cell r="G259">
            <v>375092</v>
          </cell>
          <cell r="H259">
            <v>645741</v>
          </cell>
          <cell r="I259">
            <v>228844</v>
          </cell>
          <cell r="J259">
            <v>11341</v>
          </cell>
          <cell r="K259">
            <v>0</v>
          </cell>
          <cell r="L259">
            <v>197779</v>
          </cell>
          <cell r="M259">
            <v>2514869</v>
          </cell>
          <cell r="N259">
            <v>4247455</v>
          </cell>
          <cell r="O259">
            <v>28950</v>
          </cell>
          <cell r="P259">
            <v>2255</v>
          </cell>
          <cell r="Q259">
            <v>51</v>
          </cell>
          <cell r="R259">
            <v>1856</v>
          </cell>
          <cell r="S259">
            <v>754</v>
          </cell>
          <cell r="T259">
            <v>30927</v>
          </cell>
        </row>
        <row r="260">
          <cell r="C260" t="str">
            <v>1995AL</v>
          </cell>
          <cell r="D260">
            <v>0</v>
          </cell>
          <cell r="E260">
            <v>16500</v>
          </cell>
          <cell r="F260">
            <v>2880</v>
          </cell>
          <cell r="G260">
            <v>0</v>
          </cell>
          <cell r="H260">
            <v>320</v>
          </cell>
          <cell r="I260">
            <v>805</v>
          </cell>
          <cell r="J260">
            <v>0</v>
          </cell>
          <cell r="K260">
            <v>0</v>
          </cell>
          <cell r="L260">
            <v>0</v>
          </cell>
          <cell r="M260">
            <v>5400</v>
          </cell>
          <cell r="N260">
            <v>483360</v>
          </cell>
          <cell r="O260">
            <v>0</v>
          </cell>
          <cell r="P260">
            <v>0</v>
          </cell>
          <cell r="Q260">
            <v>0</v>
          </cell>
          <cell r="R260">
            <v>0</v>
          </cell>
          <cell r="S260">
            <v>0</v>
          </cell>
          <cell r="T260">
            <v>0</v>
          </cell>
          <cell r="U260">
            <v>0</v>
          </cell>
          <cell r="V260">
            <v>0</v>
          </cell>
        </row>
        <row r="261">
          <cell r="C261" t="str">
            <v>1995AK</v>
          </cell>
          <cell r="D261">
            <v>0</v>
          </cell>
          <cell r="E261">
            <v>0</v>
          </cell>
          <cell r="F261">
            <v>0</v>
          </cell>
          <cell r="G261">
            <v>372</v>
          </cell>
          <cell r="H261">
            <v>0</v>
          </cell>
          <cell r="I261">
            <v>70200</v>
          </cell>
          <cell r="J261">
            <v>0</v>
          </cell>
          <cell r="K261">
            <v>0</v>
          </cell>
          <cell r="L261">
            <v>0</v>
          </cell>
          <cell r="M261">
            <v>0</v>
          </cell>
          <cell r="N261">
            <v>0</v>
          </cell>
          <cell r="O261">
            <v>0</v>
          </cell>
          <cell r="P261">
            <v>0</v>
          </cell>
          <cell r="Q261">
            <v>0</v>
          </cell>
          <cell r="R261">
            <v>0</v>
          </cell>
          <cell r="S261">
            <v>0</v>
          </cell>
          <cell r="T261">
            <v>0</v>
          </cell>
          <cell r="U261">
            <v>0</v>
          </cell>
          <cell r="V261">
            <v>0</v>
          </cell>
        </row>
        <row r="262">
          <cell r="C262" t="str">
            <v>1995AZ</v>
          </cell>
          <cell r="D262">
            <v>1287</v>
          </cell>
          <cell r="E262">
            <v>3740</v>
          </cell>
          <cell r="F262">
            <v>10354</v>
          </cell>
          <cell r="G262">
            <v>1890</v>
          </cell>
          <cell r="H262">
            <v>0</v>
          </cell>
          <cell r="I262">
            <v>0</v>
          </cell>
          <cell r="J262">
            <v>0</v>
          </cell>
          <cell r="K262">
            <v>0</v>
          </cell>
          <cell r="L262">
            <v>0</v>
          </cell>
          <cell r="M262">
            <v>0</v>
          </cell>
          <cell r="N262">
            <v>0</v>
          </cell>
          <cell r="O262">
            <v>0</v>
          </cell>
          <cell r="P262">
            <v>0</v>
          </cell>
          <cell r="Q262">
            <v>0</v>
          </cell>
          <cell r="R262">
            <v>0</v>
          </cell>
          <cell r="S262">
            <v>0</v>
          </cell>
          <cell r="T262">
            <v>0</v>
          </cell>
          <cell r="U262">
            <v>0</v>
          </cell>
          <cell r="V262">
            <v>0</v>
          </cell>
        </row>
        <row r="263">
          <cell r="C263" t="str">
            <v>1995AR</v>
          </cell>
          <cell r="D263">
            <v>63</v>
          </cell>
          <cell r="E263">
            <v>9775</v>
          </cell>
          <cell r="F263">
            <v>47000</v>
          </cell>
          <cell r="G263">
            <v>0</v>
          </cell>
          <cell r="H263">
            <v>13135</v>
          </cell>
          <cell r="I263">
            <v>765</v>
          </cell>
          <cell r="J263">
            <v>0</v>
          </cell>
          <cell r="K263">
            <v>0</v>
          </cell>
          <cell r="L263">
            <v>73020</v>
          </cell>
          <cell r="M263">
            <v>88400</v>
          </cell>
          <cell r="N263">
            <v>0</v>
          </cell>
          <cell r="O263">
            <v>0</v>
          </cell>
          <cell r="P263">
            <v>0</v>
          </cell>
          <cell r="Q263">
            <v>0</v>
          </cell>
          <cell r="R263">
            <v>0</v>
          </cell>
          <cell r="S263">
            <v>0</v>
          </cell>
          <cell r="T263">
            <v>0</v>
          </cell>
          <cell r="U263">
            <v>1340</v>
          </cell>
          <cell r="V263">
            <v>0</v>
          </cell>
          <cell r="W263">
            <v>0.13</v>
          </cell>
        </row>
        <row r="264">
          <cell r="C264" t="str">
            <v>1995CA</v>
          </cell>
          <cell r="D264">
            <v>6486</v>
          </cell>
          <cell r="E264">
            <v>24000</v>
          </cell>
          <cell r="F264">
            <v>32725</v>
          </cell>
          <cell r="G264">
            <v>14000</v>
          </cell>
          <cell r="H264">
            <v>0</v>
          </cell>
          <cell r="I264">
            <v>2550</v>
          </cell>
          <cell r="J264">
            <v>0</v>
          </cell>
          <cell r="K264">
            <v>0</v>
          </cell>
          <cell r="L264">
            <v>35352</v>
          </cell>
          <cell r="M264">
            <v>0</v>
          </cell>
          <cell r="N264">
            <v>0</v>
          </cell>
          <cell r="O264">
            <v>2740</v>
          </cell>
          <cell r="P264">
            <v>0</v>
          </cell>
          <cell r="Q264">
            <v>0</v>
          </cell>
          <cell r="R264">
            <v>0</v>
          </cell>
          <cell r="S264">
            <v>0</v>
          </cell>
          <cell r="T264">
            <v>0</v>
          </cell>
          <cell r="U264">
            <v>465</v>
          </cell>
          <cell r="V264">
            <v>0</v>
          </cell>
          <cell r="W264">
            <v>0.59</v>
          </cell>
        </row>
        <row r="265">
          <cell r="C265" t="str">
            <v>1995CO</v>
          </cell>
          <cell r="D265">
            <v>3060</v>
          </cell>
          <cell r="E265">
            <v>92130</v>
          </cell>
          <cell r="F265">
            <v>105260</v>
          </cell>
          <cell r="G265">
            <v>10000</v>
          </cell>
          <cell r="H265">
            <v>4620</v>
          </cell>
          <cell r="I265">
            <v>2046</v>
          </cell>
          <cell r="J265">
            <v>60</v>
          </cell>
          <cell r="K265">
            <v>0</v>
          </cell>
          <cell r="L265">
            <v>0</v>
          </cell>
          <cell r="M265">
            <v>0</v>
          </cell>
          <cell r="N265">
            <v>0</v>
          </cell>
          <cell r="O265">
            <v>2558</v>
          </cell>
          <cell r="P265">
            <v>0</v>
          </cell>
          <cell r="Q265">
            <v>0</v>
          </cell>
          <cell r="R265">
            <v>0</v>
          </cell>
          <cell r="S265">
            <v>0</v>
          </cell>
          <cell r="T265">
            <v>0</v>
          </cell>
          <cell r="U265">
            <v>0</v>
          </cell>
          <cell r="V265">
            <v>0</v>
          </cell>
        </row>
        <row r="266">
          <cell r="C266" t="str">
            <v>1995CT</v>
          </cell>
          <cell r="D266">
            <v>32</v>
          </cell>
          <cell r="E266">
            <v>0</v>
          </cell>
          <cell r="F266">
            <v>0</v>
          </cell>
          <cell r="G266">
            <v>0</v>
          </cell>
          <cell r="H266">
            <v>0</v>
          </cell>
          <cell r="I266">
            <v>0</v>
          </cell>
          <cell r="J266">
            <v>0</v>
          </cell>
          <cell r="K266">
            <v>0</v>
          </cell>
          <cell r="L266">
            <v>0</v>
          </cell>
          <cell r="M266">
            <v>0</v>
          </cell>
          <cell r="N266">
            <v>0</v>
          </cell>
          <cell r="O266">
            <v>0</v>
          </cell>
          <cell r="P266">
            <v>0</v>
          </cell>
          <cell r="Q266">
            <v>0</v>
          </cell>
          <cell r="R266">
            <v>0</v>
          </cell>
          <cell r="S266">
            <v>0</v>
          </cell>
          <cell r="T266">
            <v>0</v>
          </cell>
          <cell r="U266">
            <v>0</v>
          </cell>
          <cell r="V266">
            <v>0</v>
          </cell>
        </row>
        <row r="267">
          <cell r="C267" t="str">
            <v>1995DE</v>
          </cell>
          <cell r="D267">
            <v>15</v>
          </cell>
          <cell r="E267">
            <v>15120</v>
          </cell>
          <cell r="F267">
            <v>4352</v>
          </cell>
          <cell r="G267">
            <v>2960</v>
          </cell>
          <cell r="H267">
            <v>0</v>
          </cell>
          <cell r="I267">
            <v>0</v>
          </cell>
          <cell r="J267">
            <v>0</v>
          </cell>
          <cell r="K267">
            <v>0</v>
          </cell>
          <cell r="L267">
            <v>0</v>
          </cell>
          <cell r="M267">
            <v>4660</v>
          </cell>
          <cell r="N267">
            <v>0</v>
          </cell>
          <cell r="O267">
            <v>0</v>
          </cell>
          <cell r="P267">
            <v>0</v>
          </cell>
          <cell r="Q267">
            <v>0</v>
          </cell>
          <cell r="R267">
            <v>0</v>
          </cell>
          <cell r="S267">
            <v>0</v>
          </cell>
          <cell r="T267">
            <v>0</v>
          </cell>
          <cell r="U267">
            <v>0</v>
          </cell>
          <cell r="V267">
            <v>0</v>
          </cell>
        </row>
        <row r="268">
          <cell r="C268" t="str">
            <v>1995FL</v>
          </cell>
          <cell r="D268">
            <v>0</v>
          </cell>
          <cell r="E268">
            <v>5400</v>
          </cell>
          <cell r="F268">
            <v>384</v>
          </cell>
          <cell r="G268">
            <v>0</v>
          </cell>
          <cell r="H268">
            <v>0</v>
          </cell>
          <cell r="I268">
            <v>0</v>
          </cell>
          <cell r="J268">
            <v>0</v>
          </cell>
          <cell r="K268">
            <v>0</v>
          </cell>
          <cell r="L268">
            <v>1066.4115935057127</v>
          </cell>
          <cell r="M268">
            <v>728</v>
          </cell>
          <cell r="N268">
            <v>193590</v>
          </cell>
          <cell r="O268">
            <v>0</v>
          </cell>
          <cell r="P268">
            <v>0</v>
          </cell>
          <cell r="Q268">
            <v>0</v>
          </cell>
          <cell r="R268">
            <v>0</v>
          </cell>
          <cell r="S268">
            <v>0</v>
          </cell>
          <cell r="T268">
            <v>15106</v>
          </cell>
          <cell r="U268">
            <v>24</v>
          </cell>
          <cell r="V268">
            <v>12</v>
          </cell>
          <cell r="W268">
            <v>0</v>
          </cell>
        </row>
        <row r="269">
          <cell r="C269" t="str">
            <v>1995GA</v>
          </cell>
          <cell r="D269">
            <v>0</v>
          </cell>
          <cell r="E269">
            <v>31500</v>
          </cell>
          <cell r="F269">
            <v>11400</v>
          </cell>
          <cell r="G269">
            <v>0</v>
          </cell>
          <cell r="H269">
            <v>1110</v>
          </cell>
          <cell r="I269">
            <v>1750</v>
          </cell>
          <cell r="J269">
            <v>1155</v>
          </cell>
          <cell r="K269">
            <v>0</v>
          </cell>
          <cell r="L269">
            <v>0</v>
          </cell>
          <cell r="M269">
            <v>8370</v>
          </cell>
          <cell r="N269">
            <v>1414880</v>
          </cell>
          <cell r="O269">
            <v>0</v>
          </cell>
          <cell r="P269">
            <v>0</v>
          </cell>
          <cell r="Q269">
            <v>0</v>
          </cell>
          <cell r="R269">
            <v>0</v>
          </cell>
          <cell r="S269">
            <v>0</v>
          </cell>
          <cell r="T269">
            <v>0</v>
          </cell>
          <cell r="U269">
            <v>0</v>
          </cell>
          <cell r="V269">
            <v>0</v>
          </cell>
        </row>
        <row r="270">
          <cell r="C270" t="str">
            <v>1995HI</v>
          </cell>
          <cell r="D270">
            <v>0</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4070</v>
          </cell>
          <cell r="U270">
            <v>0</v>
          </cell>
          <cell r="V270">
            <v>0</v>
          </cell>
        </row>
        <row r="271">
          <cell r="C271" t="str">
            <v>1995ID</v>
          </cell>
          <cell r="D271">
            <v>4510</v>
          </cell>
          <cell r="E271">
            <v>4900</v>
          </cell>
          <cell r="F271">
            <v>103320</v>
          </cell>
          <cell r="G271">
            <v>60800</v>
          </cell>
          <cell r="H271">
            <v>0</v>
          </cell>
          <cell r="I271">
            <v>1600</v>
          </cell>
          <cell r="J271">
            <v>0</v>
          </cell>
          <cell r="K271">
            <v>0</v>
          </cell>
          <cell r="L271">
            <v>0</v>
          </cell>
          <cell r="M271">
            <v>0</v>
          </cell>
          <cell r="N271">
            <v>0</v>
          </cell>
          <cell r="O271">
            <v>2160</v>
          </cell>
          <cell r="P271">
            <v>1564</v>
          </cell>
          <cell r="Q271">
            <v>105</v>
          </cell>
          <cell r="R271">
            <v>1015</v>
          </cell>
          <cell r="S271">
            <v>493</v>
          </cell>
          <cell r="T271">
            <v>0</v>
          </cell>
          <cell r="U271">
            <v>0</v>
          </cell>
          <cell r="V271">
            <v>0</v>
          </cell>
        </row>
        <row r="272">
          <cell r="C272" t="str">
            <v>1995IL</v>
          </cell>
          <cell r="D272">
            <v>2280</v>
          </cell>
          <cell r="E272">
            <v>1130000</v>
          </cell>
          <cell r="F272">
            <v>68110</v>
          </cell>
          <cell r="G272">
            <v>0</v>
          </cell>
          <cell r="H272">
            <v>10005</v>
          </cell>
          <cell r="I272">
            <v>5360</v>
          </cell>
          <cell r="J272">
            <v>240</v>
          </cell>
          <cell r="K272">
            <v>0</v>
          </cell>
          <cell r="L272">
            <v>0</v>
          </cell>
          <cell r="M272">
            <v>378300</v>
          </cell>
          <cell r="N272">
            <v>0</v>
          </cell>
          <cell r="O272">
            <v>0</v>
          </cell>
          <cell r="P272">
            <v>0</v>
          </cell>
          <cell r="Q272">
            <v>0</v>
          </cell>
          <cell r="R272">
            <v>0</v>
          </cell>
          <cell r="S272">
            <v>0</v>
          </cell>
          <cell r="T272">
            <v>0</v>
          </cell>
          <cell r="U272">
            <v>0</v>
          </cell>
          <cell r="V272">
            <v>0</v>
          </cell>
        </row>
        <row r="273">
          <cell r="C273" t="str">
            <v>1995IN</v>
          </cell>
          <cell r="D273">
            <v>1280</v>
          </cell>
          <cell r="E273">
            <v>598900</v>
          </cell>
          <cell r="F273">
            <v>39600</v>
          </cell>
          <cell r="G273">
            <v>0</v>
          </cell>
          <cell r="H273">
            <v>0</v>
          </cell>
          <cell r="I273">
            <v>2040</v>
          </cell>
          <cell r="J273">
            <v>116</v>
          </cell>
          <cell r="K273">
            <v>0</v>
          </cell>
          <cell r="L273">
            <v>0</v>
          </cell>
          <cell r="M273">
            <v>196710</v>
          </cell>
          <cell r="N273">
            <v>0</v>
          </cell>
          <cell r="O273">
            <v>0</v>
          </cell>
          <cell r="P273">
            <v>0</v>
          </cell>
          <cell r="Q273">
            <v>0</v>
          </cell>
          <cell r="R273">
            <v>0</v>
          </cell>
          <cell r="S273">
            <v>0</v>
          </cell>
          <cell r="T273">
            <v>0</v>
          </cell>
          <cell r="U273">
            <v>0</v>
          </cell>
          <cell r="V273">
            <v>0</v>
          </cell>
        </row>
        <row r="274">
          <cell r="C274" t="str">
            <v>1995IA</v>
          </cell>
          <cell r="D274">
            <v>4860</v>
          </cell>
          <cell r="E274">
            <v>1426800</v>
          </cell>
          <cell r="F274">
            <v>1225</v>
          </cell>
          <cell r="G274">
            <v>0</v>
          </cell>
          <cell r="H274">
            <v>0</v>
          </cell>
          <cell r="I274">
            <v>14625</v>
          </cell>
          <cell r="J274">
            <v>0</v>
          </cell>
          <cell r="K274">
            <v>0</v>
          </cell>
          <cell r="L274">
            <v>0</v>
          </cell>
          <cell r="M274">
            <v>407440</v>
          </cell>
          <cell r="N274">
            <v>0</v>
          </cell>
          <cell r="O274">
            <v>0</v>
          </cell>
          <cell r="P274">
            <v>0</v>
          </cell>
          <cell r="Q274">
            <v>0</v>
          </cell>
          <cell r="R274">
            <v>0</v>
          </cell>
          <cell r="S274">
            <v>0</v>
          </cell>
          <cell r="T274">
            <v>0</v>
          </cell>
          <cell r="U274">
            <v>0</v>
          </cell>
          <cell r="V274">
            <v>0</v>
          </cell>
        </row>
        <row r="275">
          <cell r="C275" t="str">
            <v>1995KS</v>
          </cell>
          <cell r="D275">
            <v>3230</v>
          </cell>
          <cell r="E275">
            <v>244280</v>
          </cell>
          <cell r="F275">
            <v>286000</v>
          </cell>
          <cell r="G275">
            <v>315</v>
          </cell>
          <cell r="H275">
            <v>173600</v>
          </cell>
          <cell r="I275">
            <v>3760</v>
          </cell>
          <cell r="J275">
            <v>400</v>
          </cell>
          <cell r="K275">
            <v>0</v>
          </cell>
          <cell r="L275">
            <v>0</v>
          </cell>
          <cell r="M275">
            <v>51250</v>
          </cell>
          <cell r="N275">
            <v>0</v>
          </cell>
          <cell r="O275">
            <v>481</v>
          </cell>
          <cell r="P275">
            <v>0</v>
          </cell>
          <cell r="Q275">
            <v>0</v>
          </cell>
          <cell r="R275">
            <v>0</v>
          </cell>
          <cell r="S275">
            <v>0</v>
          </cell>
          <cell r="T275">
            <v>0</v>
          </cell>
          <cell r="U275">
            <v>0</v>
          </cell>
          <cell r="V275">
            <v>0</v>
          </cell>
        </row>
        <row r="276">
          <cell r="C276" t="str">
            <v>1995KY</v>
          </cell>
          <cell r="D276">
            <v>1170</v>
          </cell>
          <cell r="E276">
            <v>123120</v>
          </cell>
          <cell r="F276">
            <v>24380</v>
          </cell>
          <cell r="G276">
            <v>1050</v>
          </cell>
          <cell r="H276">
            <v>1848</v>
          </cell>
          <cell r="I276">
            <v>0</v>
          </cell>
          <cell r="J276">
            <v>0</v>
          </cell>
          <cell r="K276">
            <v>0</v>
          </cell>
          <cell r="L276">
            <v>0</v>
          </cell>
          <cell r="M276">
            <v>41400</v>
          </cell>
          <cell r="N276">
            <v>0</v>
          </cell>
          <cell r="O276">
            <v>0</v>
          </cell>
          <cell r="P276">
            <v>0</v>
          </cell>
          <cell r="Q276">
            <v>0</v>
          </cell>
          <cell r="R276">
            <v>0</v>
          </cell>
          <cell r="S276">
            <v>0</v>
          </cell>
          <cell r="T276">
            <v>0</v>
          </cell>
          <cell r="U276">
            <v>0</v>
          </cell>
          <cell r="V276">
            <v>0</v>
          </cell>
        </row>
        <row r="277">
          <cell r="C277" t="str">
            <v>1995LA</v>
          </cell>
          <cell r="D277">
            <v>0</v>
          </cell>
          <cell r="E277">
            <v>23205</v>
          </cell>
          <cell r="F277">
            <v>2880</v>
          </cell>
          <cell r="G277">
            <v>0</v>
          </cell>
          <cell r="H277">
            <v>5880</v>
          </cell>
          <cell r="I277">
            <v>0</v>
          </cell>
          <cell r="J277">
            <v>0</v>
          </cell>
          <cell r="K277">
            <v>0</v>
          </cell>
          <cell r="L277">
            <v>26209</v>
          </cell>
          <cell r="M277">
            <v>26000</v>
          </cell>
          <cell r="N277">
            <v>0</v>
          </cell>
          <cell r="O277">
            <v>0</v>
          </cell>
          <cell r="P277">
            <v>0</v>
          </cell>
          <cell r="Q277">
            <v>0</v>
          </cell>
          <cell r="R277">
            <v>0</v>
          </cell>
          <cell r="S277">
            <v>0</v>
          </cell>
          <cell r="T277">
            <v>10240</v>
          </cell>
          <cell r="U277">
            <v>570</v>
          </cell>
          <cell r="V277">
            <v>171</v>
          </cell>
          <cell r="W277">
            <v>0.06</v>
          </cell>
        </row>
        <row r="278">
          <cell r="C278" t="str">
            <v>1995ME</v>
          </cell>
          <cell r="D278">
            <v>30</v>
          </cell>
          <cell r="E278">
            <v>0</v>
          </cell>
          <cell r="F278">
            <v>0</v>
          </cell>
          <cell r="G278">
            <v>0</v>
          </cell>
          <cell r="H278">
            <v>0</v>
          </cell>
          <cell r="I278">
            <v>1560</v>
          </cell>
          <cell r="J278">
            <v>0</v>
          </cell>
          <cell r="K278">
            <v>0</v>
          </cell>
          <cell r="L278">
            <v>0</v>
          </cell>
          <cell r="M278">
            <v>0</v>
          </cell>
          <cell r="N278">
            <v>0</v>
          </cell>
          <cell r="O278">
            <v>0</v>
          </cell>
          <cell r="P278">
            <v>0</v>
          </cell>
          <cell r="Q278">
            <v>0</v>
          </cell>
          <cell r="R278">
            <v>0</v>
          </cell>
          <cell r="S278">
            <v>0</v>
          </cell>
          <cell r="T278">
            <v>0</v>
          </cell>
          <cell r="U278">
            <v>0</v>
          </cell>
          <cell r="V278">
            <v>0</v>
          </cell>
        </row>
        <row r="279">
          <cell r="C279" t="str">
            <v>1995MD</v>
          </cell>
          <cell r="D279">
            <v>237</v>
          </cell>
          <cell r="E279">
            <v>42000</v>
          </cell>
          <cell r="F279">
            <v>14400</v>
          </cell>
          <cell r="G279">
            <v>5022</v>
          </cell>
          <cell r="H279">
            <v>0</v>
          </cell>
          <cell r="I279">
            <v>366</v>
          </cell>
          <cell r="J279">
            <v>170</v>
          </cell>
          <cell r="K279">
            <v>0</v>
          </cell>
          <cell r="L279">
            <v>0</v>
          </cell>
          <cell r="M279">
            <v>11730</v>
          </cell>
          <cell r="N279">
            <v>0</v>
          </cell>
          <cell r="O279">
            <v>0</v>
          </cell>
          <cell r="P279">
            <v>0</v>
          </cell>
          <cell r="Q279">
            <v>0</v>
          </cell>
          <cell r="R279">
            <v>0</v>
          </cell>
          <cell r="S279">
            <v>0</v>
          </cell>
          <cell r="T279">
            <v>0</v>
          </cell>
          <cell r="U279">
            <v>0</v>
          </cell>
          <cell r="V279">
            <v>0</v>
          </cell>
        </row>
        <row r="280">
          <cell r="C280" t="str">
            <v>1995MA</v>
          </cell>
          <cell r="D280">
            <v>48</v>
          </cell>
          <cell r="E280">
            <v>0</v>
          </cell>
          <cell r="F280">
            <v>0</v>
          </cell>
          <cell r="G280">
            <v>0</v>
          </cell>
          <cell r="H280">
            <v>0</v>
          </cell>
          <cell r="I280">
            <v>0</v>
          </cell>
          <cell r="J280">
            <v>0</v>
          </cell>
          <cell r="K280">
            <v>0</v>
          </cell>
          <cell r="L280">
            <v>0</v>
          </cell>
          <cell r="M280">
            <v>0</v>
          </cell>
          <cell r="N280">
            <v>0</v>
          </cell>
          <cell r="O280">
            <v>0</v>
          </cell>
          <cell r="P280">
            <v>0</v>
          </cell>
          <cell r="Q280">
            <v>0</v>
          </cell>
          <cell r="R280">
            <v>0</v>
          </cell>
          <cell r="S280">
            <v>0</v>
          </cell>
          <cell r="T280">
            <v>0</v>
          </cell>
          <cell r="U280">
            <v>0</v>
          </cell>
          <cell r="V280">
            <v>0</v>
          </cell>
        </row>
        <row r="281">
          <cell r="C281" t="str">
            <v>1995MI</v>
          </cell>
          <cell r="D281">
            <v>4305</v>
          </cell>
          <cell r="E281">
            <v>249550</v>
          </cell>
          <cell r="F281">
            <v>37200</v>
          </cell>
          <cell r="G281">
            <v>1150</v>
          </cell>
          <cell r="H281">
            <v>0</v>
          </cell>
          <cell r="I281">
            <v>5130</v>
          </cell>
          <cell r="J281">
            <v>544</v>
          </cell>
          <cell r="K281">
            <v>0</v>
          </cell>
          <cell r="L281">
            <v>0</v>
          </cell>
          <cell r="M281">
            <v>59600</v>
          </cell>
          <cell r="N281">
            <v>0</v>
          </cell>
          <cell r="O281">
            <v>6930</v>
          </cell>
          <cell r="P281">
            <v>0</v>
          </cell>
          <cell r="Q281">
            <v>0</v>
          </cell>
          <cell r="R281">
            <v>0</v>
          </cell>
          <cell r="S281">
            <v>0</v>
          </cell>
          <cell r="T281">
            <v>0</v>
          </cell>
          <cell r="U281">
            <v>0</v>
          </cell>
          <cell r="V281">
            <v>0</v>
          </cell>
        </row>
        <row r="282">
          <cell r="C282" t="str">
            <v>1995MN</v>
          </cell>
          <cell r="D282">
            <v>4988</v>
          </cell>
          <cell r="E282">
            <v>731850</v>
          </cell>
          <cell r="F282">
            <v>71849</v>
          </cell>
          <cell r="G282">
            <v>29000</v>
          </cell>
          <cell r="H282">
            <v>0</v>
          </cell>
          <cell r="I282">
            <v>18000</v>
          </cell>
          <cell r="J282">
            <v>609</v>
          </cell>
          <cell r="K282">
            <v>0</v>
          </cell>
          <cell r="L282">
            <v>0</v>
          </cell>
          <cell r="M282">
            <v>234900</v>
          </cell>
          <cell r="N282">
            <v>0</v>
          </cell>
          <cell r="O282">
            <v>2055</v>
          </cell>
          <cell r="P282">
            <v>0</v>
          </cell>
          <cell r="Q282">
            <v>0</v>
          </cell>
          <cell r="R282">
            <v>0</v>
          </cell>
          <cell r="S282">
            <v>0</v>
          </cell>
          <cell r="T282">
            <v>0</v>
          </cell>
          <cell r="U282">
            <v>0</v>
          </cell>
          <cell r="V282">
            <v>0</v>
          </cell>
        </row>
        <row r="283">
          <cell r="C283" t="str">
            <v>1995MS</v>
          </cell>
          <cell r="D283">
            <v>0</v>
          </cell>
          <cell r="E283">
            <v>26125</v>
          </cell>
          <cell r="F283">
            <v>6270</v>
          </cell>
          <cell r="G283">
            <v>0</v>
          </cell>
          <cell r="H283">
            <v>2665</v>
          </cell>
          <cell r="I283">
            <v>0</v>
          </cell>
          <cell r="J283">
            <v>0</v>
          </cell>
          <cell r="K283">
            <v>0</v>
          </cell>
          <cell r="L283">
            <v>15552</v>
          </cell>
          <cell r="M283">
            <v>37800</v>
          </cell>
          <cell r="N283">
            <v>0</v>
          </cell>
          <cell r="O283">
            <v>0</v>
          </cell>
          <cell r="P283">
            <v>0</v>
          </cell>
          <cell r="Q283">
            <v>0</v>
          </cell>
          <cell r="R283">
            <v>0</v>
          </cell>
          <cell r="S283">
            <v>0</v>
          </cell>
          <cell r="T283">
            <v>0</v>
          </cell>
          <cell r="U283">
            <v>288</v>
          </cell>
          <cell r="V283">
            <v>0</v>
          </cell>
          <cell r="W283">
            <v>0.1</v>
          </cell>
        </row>
        <row r="284">
          <cell r="C284" t="str">
            <v>1995MO</v>
          </cell>
          <cell r="D284">
            <v>1260</v>
          </cell>
          <cell r="E284">
            <v>149940</v>
          </cell>
          <cell r="F284">
            <v>47970</v>
          </cell>
          <cell r="G284">
            <v>0</v>
          </cell>
          <cell r="H284">
            <v>35770</v>
          </cell>
          <cell r="I284">
            <v>1363</v>
          </cell>
          <cell r="J284">
            <v>0</v>
          </cell>
          <cell r="K284">
            <v>0</v>
          </cell>
          <cell r="L284">
            <v>5936</v>
          </cell>
          <cell r="M284">
            <v>132750</v>
          </cell>
          <cell r="N284">
            <v>0</v>
          </cell>
          <cell r="O284">
            <v>0</v>
          </cell>
          <cell r="P284">
            <v>0</v>
          </cell>
          <cell r="Q284">
            <v>0</v>
          </cell>
          <cell r="R284">
            <v>0</v>
          </cell>
          <cell r="S284">
            <v>0</v>
          </cell>
          <cell r="T284">
            <v>0</v>
          </cell>
          <cell r="U284">
            <v>112</v>
          </cell>
          <cell r="V284">
            <v>0</v>
          </cell>
          <cell r="W284">
            <v>0.05</v>
          </cell>
        </row>
        <row r="285">
          <cell r="C285" t="str">
            <v>1995MT</v>
          </cell>
          <cell r="D285">
            <v>4000</v>
          </cell>
          <cell r="E285">
            <v>1920</v>
          </cell>
          <cell r="F285">
            <v>195750</v>
          </cell>
          <cell r="G285">
            <v>62400</v>
          </cell>
          <cell r="H285">
            <v>0</v>
          </cell>
          <cell r="I285">
            <v>4720</v>
          </cell>
          <cell r="J285">
            <v>0</v>
          </cell>
          <cell r="K285">
            <v>0</v>
          </cell>
          <cell r="L285">
            <v>0</v>
          </cell>
          <cell r="M285">
            <v>0</v>
          </cell>
          <cell r="N285">
            <v>0</v>
          </cell>
          <cell r="O285">
            <v>205</v>
          </cell>
          <cell r="P285">
            <v>0</v>
          </cell>
          <cell r="Q285">
            <v>0</v>
          </cell>
          <cell r="R285">
            <v>0</v>
          </cell>
          <cell r="S285">
            <v>0</v>
          </cell>
          <cell r="T285">
            <v>0</v>
          </cell>
          <cell r="U285">
            <v>0</v>
          </cell>
          <cell r="V285">
            <v>0</v>
          </cell>
        </row>
        <row r="286">
          <cell r="C286" t="str">
            <v>1995NE</v>
          </cell>
          <cell r="D286">
            <v>4860</v>
          </cell>
          <cell r="E286">
            <v>854700</v>
          </cell>
          <cell r="F286">
            <v>86100</v>
          </cell>
          <cell r="G286">
            <v>222</v>
          </cell>
          <cell r="H286">
            <v>56840</v>
          </cell>
          <cell r="I286">
            <v>4500</v>
          </cell>
          <cell r="J286">
            <v>480</v>
          </cell>
          <cell r="K286">
            <v>0</v>
          </cell>
          <cell r="L286">
            <v>0</v>
          </cell>
          <cell r="M286">
            <v>100980</v>
          </cell>
          <cell r="N286">
            <v>0</v>
          </cell>
          <cell r="O286">
            <v>3588</v>
          </cell>
          <cell r="P286">
            <v>0</v>
          </cell>
          <cell r="Q286">
            <v>0</v>
          </cell>
          <cell r="R286">
            <v>0</v>
          </cell>
          <cell r="S286">
            <v>0</v>
          </cell>
          <cell r="T286">
            <v>0</v>
          </cell>
          <cell r="U286">
            <v>0</v>
          </cell>
          <cell r="V286">
            <v>0</v>
          </cell>
        </row>
        <row r="287">
          <cell r="C287" t="str">
            <v>1995NV</v>
          </cell>
          <cell r="D287">
            <v>1125</v>
          </cell>
          <cell r="E287">
            <v>0</v>
          </cell>
          <cell r="F287">
            <v>850</v>
          </cell>
          <cell r="G287">
            <v>320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row>
        <row r="288">
          <cell r="C288" t="str">
            <v>1995NH</v>
          </cell>
          <cell r="D288">
            <v>27</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row>
        <row r="289">
          <cell r="C289" t="str">
            <v>1995NJ</v>
          </cell>
          <cell r="D289">
            <v>105</v>
          </cell>
          <cell r="E289">
            <v>7254</v>
          </cell>
          <cell r="F289">
            <v>1824</v>
          </cell>
          <cell r="G289">
            <v>325</v>
          </cell>
          <cell r="H289">
            <v>0</v>
          </cell>
          <cell r="I289">
            <v>0</v>
          </cell>
          <cell r="J289">
            <v>304</v>
          </cell>
          <cell r="K289">
            <v>0</v>
          </cell>
          <cell r="L289">
            <v>0</v>
          </cell>
          <cell r="M289">
            <v>3036</v>
          </cell>
          <cell r="N289">
            <v>0</v>
          </cell>
          <cell r="O289">
            <v>0</v>
          </cell>
          <cell r="P289">
            <v>0</v>
          </cell>
          <cell r="Q289">
            <v>0</v>
          </cell>
          <cell r="R289">
            <v>0</v>
          </cell>
          <cell r="S289">
            <v>0</v>
          </cell>
          <cell r="T289">
            <v>0</v>
          </cell>
          <cell r="U289">
            <v>0</v>
          </cell>
          <cell r="V289">
            <v>0</v>
          </cell>
        </row>
        <row r="290">
          <cell r="C290" t="str">
            <v>1995NM</v>
          </cell>
          <cell r="D290">
            <v>1250</v>
          </cell>
          <cell r="E290">
            <v>11680</v>
          </cell>
          <cell r="F290">
            <v>3300</v>
          </cell>
          <cell r="G290">
            <v>0</v>
          </cell>
          <cell r="H290">
            <v>3380</v>
          </cell>
          <cell r="I290">
            <v>0</v>
          </cell>
          <cell r="J290">
            <v>0</v>
          </cell>
          <cell r="K290">
            <v>0</v>
          </cell>
          <cell r="L290">
            <v>0</v>
          </cell>
          <cell r="M290">
            <v>0</v>
          </cell>
          <cell r="N290">
            <v>43000</v>
          </cell>
          <cell r="O290">
            <v>251</v>
          </cell>
          <cell r="P290">
            <v>0</v>
          </cell>
          <cell r="Q290">
            <v>0</v>
          </cell>
          <cell r="R290">
            <v>0</v>
          </cell>
          <cell r="S290">
            <v>0</v>
          </cell>
          <cell r="T290">
            <v>0</v>
          </cell>
          <cell r="U290">
            <v>0</v>
          </cell>
          <cell r="V290">
            <v>0</v>
          </cell>
        </row>
        <row r="291">
          <cell r="C291" t="str">
            <v>1995NY</v>
          </cell>
          <cell r="D291">
            <v>1690</v>
          </cell>
          <cell r="E291">
            <v>65100</v>
          </cell>
          <cell r="F291">
            <v>6875</v>
          </cell>
          <cell r="G291">
            <v>0</v>
          </cell>
          <cell r="H291">
            <v>0</v>
          </cell>
          <cell r="I291">
            <v>5220</v>
          </cell>
          <cell r="J291">
            <v>315</v>
          </cell>
          <cell r="K291">
            <v>0</v>
          </cell>
          <cell r="L291">
            <v>0</v>
          </cell>
          <cell r="M291">
            <v>0</v>
          </cell>
          <cell r="N291">
            <v>0</v>
          </cell>
          <cell r="O291">
            <v>538</v>
          </cell>
          <cell r="P291">
            <v>0</v>
          </cell>
          <cell r="Q291">
            <v>0</v>
          </cell>
          <cell r="R291">
            <v>0</v>
          </cell>
          <cell r="S291">
            <v>0</v>
          </cell>
          <cell r="T291">
            <v>0</v>
          </cell>
          <cell r="U291">
            <v>0</v>
          </cell>
          <cell r="V291">
            <v>0</v>
          </cell>
        </row>
        <row r="292">
          <cell r="C292" t="str">
            <v>1995NC</v>
          </cell>
          <cell r="D292">
            <v>62</v>
          </cell>
          <cell r="E292">
            <v>74900</v>
          </cell>
          <cell r="F292">
            <v>28160</v>
          </cell>
          <cell r="G292">
            <v>1800</v>
          </cell>
          <cell r="H292">
            <v>650</v>
          </cell>
          <cell r="I292">
            <v>1950</v>
          </cell>
          <cell r="J292">
            <v>500</v>
          </cell>
          <cell r="K292">
            <v>0</v>
          </cell>
          <cell r="L292">
            <v>0</v>
          </cell>
          <cell r="M292">
            <v>26750</v>
          </cell>
          <cell r="N292">
            <v>347040</v>
          </cell>
          <cell r="O292">
            <v>0</v>
          </cell>
          <cell r="P292">
            <v>0</v>
          </cell>
          <cell r="Q292">
            <v>0</v>
          </cell>
          <cell r="R292">
            <v>0</v>
          </cell>
          <cell r="S292">
            <v>0</v>
          </cell>
          <cell r="T292">
            <v>0</v>
          </cell>
          <cell r="U292">
            <v>0</v>
          </cell>
          <cell r="V292">
            <v>0</v>
          </cell>
        </row>
        <row r="293">
          <cell r="C293" t="str">
            <v>1995ND</v>
          </cell>
          <cell r="D293">
            <v>3080</v>
          </cell>
          <cell r="E293">
            <v>40290</v>
          </cell>
          <cell r="F293">
            <v>300300</v>
          </cell>
          <cell r="G293">
            <v>101250</v>
          </cell>
          <cell r="H293">
            <v>0</v>
          </cell>
          <cell r="I293">
            <v>21600</v>
          </cell>
          <cell r="J293">
            <v>726</v>
          </cell>
          <cell r="K293">
            <v>0</v>
          </cell>
          <cell r="L293">
            <v>0</v>
          </cell>
          <cell r="M293">
            <v>18560</v>
          </cell>
          <cell r="N293">
            <v>0</v>
          </cell>
          <cell r="O293">
            <v>7182</v>
          </cell>
          <cell r="P293">
            <v>0</v>
          </cell>
          <cell r="Q293">
            <v>0</v>
          </cell>
          <cell r="R293">
            <v>0</v>
          </cell>
          <cell r="S293">
            <v>0</v>
          </cell>
          <cell r="T293">
            <v>0</v>
          </cell>
          <cell r="U293">
            <v>0</v>
          </cell>
          <cell r="V293">
            <v>0</v>
          </cell>
        </row>
        <row r="294">
          <cell r="C294" t="str">
            <v>1995OH</v>
          </cell>
          <cell r="D294">
            <v>2660</v>
          </cell>
          <cell r="E294">
            <v>375100</v>
          </cell>
          <cell r="F294">
            <v>73810</v>
          </cell>
          <cell r="G294">
            <v>0</v>
          </cell>
          <cell r="H294">
            <v>0</v>
          </cell>
          <cell r="I294">
            <v>6900</v>
          </cell>
          <cell r="J294">
            <v>180</v>
          </cell>
          <cell r="K294">
            <v>0</v>
          </cell>
          <cell r="L294">
            <v>0</v>
          </cell>
          <cell r="M294">
            <v>153140</v>
          </cell>
          <cell r="N294">
            <v>0</v>
          </cell>
          <cell r="O294">
            <v>0</v>
          </cell>
          <cell r="P294">
            <v>0</v>
          </cell>
          <cell r="Q294">
            <v>0</v>
          </cell>
          <cell r="R294">
            <v>0</v>
          </cell>
          <cell r="S294">
            <v>0</v>
          </cell>
          <cell r="T294">
            <v>0</v>
          </cell>
          <cell r="U294">
            <v>0</v>
          </cell>
          <cell r="V294">
            <v>0</v>
          </cell>
        </row>
        <row r="295">
          <cell r="C295" t="str">
            <v>1995OK</v>
          </cell>
          <cell r="D295">
            <v>1330</v>
          </cell>
          <cell r="E295">
            <v>16250</v>
          </cell>
          <cell r="F295">
            <v>109200</v>
          </cell>
          <cell r="G295">
            <v>170</v>
          </cell>
          <cell r="H295">
            <v>12800</v>
          </cell>
          <cell r="I295">
            <v>780</v>
          </cell>
          <cell r="J295">
            <v>810</v>
          </cell>
          <cell r="K295">
            <v>0</v>
          </cell>
          <cell r="L295">
            <v>0</v>
          </cell>
          <cell r="M295">
            <v>5500</v>
          </cell>
          <cell r="N295">
            <v>201880</v>
          </cell>
          <cell r="O295">
            <v>0</v>
          </cell>
          <cell r="P295">
            <v>0</v>
          </cell>
          <cell r="Q295">
            <v>0</v>
          </cell>
          <cell r="R295">
            <v>0</v>
          </cell>
          <cell r="S295">
            <v>0</v>
          </cell>
          <cell r="T295">
            <v>0</v>
          </cell>
          <cell r="U295">
            <v>0.89900000000000002</v>
          </cell>
          <cell r="V295">
            <v>0</v>
          </cell>
          <cell r="W295">
            <v>0.9</v>
          </cell>
        </row>
        <row r="296">
          <cell r="C296" t="str">
            <v>1995OR</v>
          </cell>
          <cell r="D296">
            <v>1935</v>
          </cell>
          <cell r="E296">
            <v>3360</v>
          </cell>
          <cell r="F296">
            <v>60920</v>
          </cell>
          <cell r="G296">
            <v>7220</v>
          </cell>
          <cell r="H296">
            <v>0</v>
          </cell>
          <cell r="I296">
            <v>3395</v>
          </cell>
          <cell r="J296">
            <v>0</v>
          </cell>
          <cell r="K296">
            <v>0</v>
          </cell>
          <cell r="L296">
            <v>0</v>
          </cell>
          <cell r="M296">
            <v>0</v>
          </cell>
          <cell r="N296">
            <v>0</v>
          </cell>
          <cell r="O296">
            <v>208</v>
          </cell>
          <cell r="P296">
            <v>0</v>
          </cell>
          <cell r="Q296">
            <v>14</v>
          </cell>
          <cell r="R296">
            <v>0</v>
          </cell>
          <cell r="S296">
            <v>0</v>
          </cell>
          <cell r="T296">
            <v>0</v>
          </cell>
          <cell r="U296">
            <v>0</v>
          </cell>
          <cell r="V296">
            <v>0</v>
          </cell>
        </row>
        <row r="297">
          <cell r="C297" t="str">
            <v>1995PA</v>
          </cell>
          <cell r="D297">
            <v>2262</v>
          </cell>
          <cell r="E297">
            <v>94080</v>
          </cell>
          <cell r="F297">
            <v>10175</v>
          </cell>
          <cell r="G297">
            <v>5175</v>
          </cell>
          <cell r="H297">
            <v>0</v>
          </cell>
          <cell r="I297">
            <v>9440</v>
          </cell>
          <cell r="J297">
            <v>330</v>
          </cell>
          <cell r="K297">
            <v>0</v>
          </cell>
          <cell r="L297">
            <v>0</v>
          </cell>
          <cell r="M297">
            <v>9450</v>
          </cell>
          <cell r="N297">
            <v>0</v>
          </cell>
          <cell r="O297">
            <v>0</v>
          </cell>
          <cell r="P297">
            <v>0</v>
          </cell>
          <cell r="Q297">
            <v>0</v>
          </cell>
          <cell r="R297">
            <v>0</v>
          </cell>
          <cell r="S297">
            <v>0</v>
          </cell>
          <cell r="T297">
            <v>0</v>
          </cell>
          <cell r="U297">
            <v>0</v>
          </cell>
          <cell r="V297">
            <v>0</v>
          </cell>
        </row>
        <row r="298">
          <cell r="C298" t="str">
            <v>1995RI</v>
          </cell>
          <cell r="D298">
            <v>4</v>
          </cell>
          <cell r="E298">
            <v>0</v>
          </cell>
          <cell r="F298">
            <v>0</v>
          </cell>
          <cell r="G298">
            <v>0</v>
          </cell>
          <cell r="H298">
            <v>0</v>
          </cell>
          <cell r="I298">
            <v>0</v>
          </cell>
          <cell r="J298">
            <v>0</v>
          </cell>
          <cell r="K298">
            <v>0</v>
          </cell>
          <cell r="L298">
            <v>0</v>
          </cell>
          <cell r="M298">
            <v>0</v>
          </cell>
          <cell r="N298">
            <v>0</v>
          </cell>
          <cell r="O298">
            <v>0</v>
          </cell>
          <cell r="P298">
            <v>0</v>
          </cell>
          <cell r="Q298">
            <v>0</v>
          </cell>
          <cell r="R298">
            <v>0</v>
          </cell>
          <cell r="S298">
            <v>0</v>
          </cell>
          <cell r="T298">
            <v>0</v>
          </cell>
          <cell r="U298">
            <v>0</v>
          </cell>
          <cell r="V298">
            <v>0</v>
          </cell>
        </row>
        <row r="299">
          <cell r="C299" t="str">
            <v>1995SC</v>
          </cell>
          <cell r="D299">
            <v>0</v>
          </cell>
          <cell r="E299">
            <v>24115</v>
          </cell>
          <cell r="F299">
            <v>8960</v>
          </cell>
          <cell r="G299">
            <v>210</v>
          </cell>
          <cell r="H299">
            <v>320</v>
          </cell>
          <cell r="I299">
            <v>1575</v>
          </cell>
          <cell r="J299">
            <v>440</v>
          </cell>
          <cell r="K299">
            <v>0</v>
          </cell>
          <cell r="L299">
            <v>0</v>
          </cell>
          <cell r="M299">
            <v>12720</v>
          </cell>
          <cell r="N299">
            <v>30800</v>
          </cell>
          <cell r="O299">
            <v>0</v>
          </cell>
          <cell r="P299">
            <v>0</v>
          </cell>
          <cell r="Q299">
            <v>0</v>
          </cell>
          <cell r="R299">
            <v>0</v>
          </cell>
          <cell r="S299">
            <v>0</v>
          </cell>
          <cell r="T299">
            <v>0</v>
          </cell>
          <cell r="U299">
            <v>0</v>
          </cell>
          <cell r="V299">
            <v>0</v>
          </cell>
        </row>
        <row r="300">
          <cell r="C300" t="str">
            <v>1995SD</v>
          </cell>
          <cell r="D300">
            <v>6500</v>
          </cell>
          <cell r="E300">
            <v>193550</v>
          </cell>
          <cell r="F300">
            <v>90736</v>
          </cell>
          <cell r="G300">
            <v>6080</v>
          </cell>
          <cell r="H300">
            <v>4800</v>
          </cell>
          <cell r="I300">
            <v>11500</v>
          </cell>
          <cell r="J300">
            <v>1650</v>
          </cell>
          <cell r="K300">
            <v>0</v>
          </cell>
          <cell r="L300">
            <v>0</v>
          </cell>
          <cell r="M300">
            <v>75000</v>
          </cell>
          <cell r="N300">
            <v>0</v>
          </cell>
          <cell r="O300">
            <v>0</v>
          </cell>
          <cell r="P300">
            <v>0</v>
          </cell>
          <cell r="Q300">
            <v>0</v>
          </cell>
          <cell r="R300">
            <v>0</v>
          </cell>
          <cell r="S300">
            <v>0</v>
          </cell>
          <cell r="T300">
            <v>0</v>
          </cell>
          <cell r="U300">
            <v>0</v>
          </cell>
          <cell r="V300">
            <v>0</v>
          </cell>
        </row>
        <row r="301">
          <cell r="C301" t="str">
            <v>1995TN</v>
          </cell>
          <cell r="D301">
            <v>180</v>
          </cell>
          <cell r="E301">
            <v>63720</v>
          </cell>
          <cell r="F301">
            <v>15980</v>
          </cell>
          <cell r="G301">
            <v>0</v>
          </cell>
          <cell r="H301">
            <v>1305</v>
          </cell>
          <cell r="I301">
            <v>0</v>
          </cell>
          <cell r="J301">
            <v>0</v>
          </cell>
          <cell r="K301">
            <v>0</v>
          </cell>
          <cell r="L301">
            <v>0</v>
          </cell>
          <cell r="M301">
            <v>32000</v>
          </cell>
          <cell r="N301">
            <v>0</v>
          </cell>
          <cell r="O301">
            <v>0</v>
          </cell>
          <cell r="P301">
            <v>0</v>
          </cell>
          <cell r="Q301">
            <v>0</v>
          </cell>
          <cell r="R301">
            <v>0</v>
          </cell>
          <cell r="S301">
            <v>0</v>
          </cell>
          <cell r="T301">
            <v>0</v>
          </cell>
          <cell r="U301">
            <v>0</v>
          </cell>
          <cell r="V301">
            <v>0</v>
          </cell>
        </row>
        <row r="302">
          <cell r="C302" t="str">
            <v>1995TX</v>
          </cell>
          <cell r="D302">
            <v>576</v>
          </cell>
          <cell r="E302">
            <v>216600</v>
          </cell>
          <cell r="F302">
            <v>75600</v>
          </cell>
          <cell r="G302">
            <v>322</v>
          </cell>
          <cell r="H302">
            <v>129600</v>
          </cell>
          <cell r="I302">
            <v>5040</v>
          </cell>
          <cell r="J302">
            <v>380</v>
          </cell>
          <cell r="K302">
            <v>0</v>
          </cell>
          <cell r="L302">
            <v>17802</v>
          </cell>
          <cell r="M302">
            <v>6000</v>
          </cell>
          <cell r="N302">
            <v>540000</v>
          </cell>
          <cell r="O302">
            <v>225</v>
          </cell>
          <cell r="P302">
            <v>0</v>
          </cell>
          <cell r="Q302">
            <v>0</v>
          </cell>
          <cell r="R302">
            <v>0</v>
          </cell>
          <cell r="S302">
            <v>0</v>
          </cell>
          <cell r="T302">
            <v>1363</v>
          </cell>
          <cell r="U302">
            <v>318</v>
          </cell>
          <cell r="V302">
            <v>127</v>
          </cell>
          <cell r="W302">
            <v>0.01</v>
          </cell>
        </row>
        <row r="303">
          <cell r="C303" t="str">
            <v>1995UT</v>
          </cell>
          <cell r="D303">
            <v>2344</v>
          </cell>
          <cell r="E303">
            <v>2000</v>
          </cell>
          <cell r="F303">
            <v>8585</v>
          </cell>
          <cell r="G303">
            <v>8184</v>
          </cell>
          <cell r="H303">
            <v>0</v>
          </cell>
          <cell r="I303">
            <v>612</v>
          </cell>
          <cell r="J303">
            <v>0</v>
          </cell>
          <cell r="K303">
            <v>0</v>
          </cell>
          <cell r="L303">
            <v>0</v>
          </cell>
          <cell r="M303">
            <v>0</v>
          </cell>
          <cell r="N303">
            <v>0</v>
          </cell>
          <cell r="O303">
            <v>32</v>
          </cell>
          <cell r="P303">
            <v>0</v>
          </cell>
          <cell r="Q303">
            <v>0</v>
          </cell>
          <cell r="R303">
            <v>0</v>
          </cell>
          <cell r="S303">
            <v>0</v>
          </cell>
          <cell r="T303">
            <v>0</v>
          </cell>
          <cell r="U303">
            <v>0</v>
          </cell>
          <cell r="V303">
            <v>0</v>
          </cell>
        </row>
        <row r="304">
          <cell r="C304" t="str">
            <v>1995VT</v>
          </cell>
          <cell r="D304">
            <v>200</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cell r="S304">
            <v>0</v>
          </cell>
          <cell r="T304">
            <v>0</v>
          </cell>
          <cell r="U304">
            <v>0</v>
          </cell>
          <cell r="V304">
            <v>0</v>
          </cell>
        </row>
        <row r="305">
          <cell r="C305" t="str">
            <v>1995VA</v>
          </cell>
          <cell r="D305">
            <v>429</v>
          </cell>
          <cell r="E305">
            <v>30525</v>
          </cell>
          <cell r="F305">
            <v>17600</v>
          </cell>
          <cell r="G305">
            <v>6720</v>
          </cell>
          <cell r="H305">
            <v>0</v>
          </cell>
          <cell r="I305">
            <v>0</v>
          </cell>
          <cell r="J305">
            <v>175</v>
          </cell>
          <cell r="K305">
            <v>0</v>
          </cell>
          <cell r="L305">
            <v>0</v>
          </cell>
          <cell r="M305">
            <v>11280</v>
          </cell>
          <cell r="N305">
            <v>206925</v>
          </cell>
          <cell r="O305">
            <v>0</v>
          </cell>
          <cell r="P305">
            <v>0</v>
          </cell>
          <cell r="Q305">
            <v>0</v>
          </cell>
          <cell r="R305">
            <v>0</v>
          </cell>
          <cell r="S305">
            <v>0</v>
          </cell>
          <cell r="T305">
            <v>0</v>
          </cell>
          <cell r="U305">
            <v>0</v>
          </cell>
          <cell r="V305">
            <v>0</v>
          </cell>
        </row>
        <row r="306">
          <cell r="C306" t="str">
            <v>1995WA</v>
          </cell>
          <cell r="D306">
            <v>2550</v>
          </cell>
          <cell r="E306">
            <v>19380</v>
          </cell>
          <cell r="F306">
            <v>153770</v>
          </cell>
          <cell r="G306">
            <v>20880</v>
          </cell>
          <cell r="H306">
            <v>0</v>
          </cell>
          <cell r="I306">
            <v>1120</v>
          </cell>
          <cell r="J306">
            <v>0</v>
          </cell>
          <cell r="K306">
            <v>0</v>
          </cell>
          <cell r="L306">
            <v>0</v>
          </cell>
          <cell r="M306">
            <v>0</v>
          </cell>
          <cell r="N306">
            <v>0</v>
          </cell>
          <cell r="O306">
            <v>902</v>
          </cell>
          <cell r="P306">
            <v>2775</v>
          </cell>
          <cell r="Q306">
            <v>0</v>
          </cell>
          <cell r="R306">
            <v>1050</v>
          </cell>
          <cell r="S306">
            <v>555</v>
          </cell>
          <cell r="T306">
            <v>0</v>
          </cell>
          <cell r="U306">
            <v>0</v>
          </cell>
          <cell r="V306">
            <v>0</v>
          </cell>
        </row>
        <row r="307">
          <cell r="C307" t="str">
            <v>1995WV</v>
          </cell>
          <cell r="D307">
            <v>120</v>
          </cell>
          <cell r="E307">
            <v>4000</v>
          </cell>
          <cell r="F307">
            <v>624</v>
          </cell>
          <cell r="G307">
            <v>0</v>
          </cell>
          <cell r="H307">
            <v>0</v>
          </cell>
          <cell r="I307">
            <v>210</v>
          </cell>
          <cell r="J307">
            <v>0</v>
          </cell>
          <cell r="K307">
            <v>0</v>
          </cell>
          <cell r="L307">
            <v>0</v>
          </cell>
          <cell r="M307">
            <v>0</v>
          </cell>
          <cell r="N307">
            <v>0</v>
          </cell>
          <cell r="O307">
            <v>0</v>
          </cell>
          <cell r="P307">
            <v>0</v>
          </cell>
          <cell r="Q307">
            <v>0</v>
          </cell>
          <cell r="R307">
            <v>0</v>
          </cell>
          <cell r="S307">
            <v>0</v>
          </cell>
          <cell r="T307">
            <v>0</v>
          </cell>
          <cell r="U307">
            <v>0</v>
          </cell>
          <cell r="V307">
            <v>0</v>
          </cell>
        </row>
        <row r="308">
          <cell r="C308" t="str">
            <v>1995WI</v>
          </cell>
          <cell r="D308">
            <v>5980</v>
          </cell>
          <cell r="E308">
            <v>347700</v>
          </cell>
          <cell r="F308">
            <v>8070</v>
          </cell>
          <cell r="G308">
            <v>3456</v>
          </cell>
          <cell r="H308">
            <v>0</v>
          </cell>
          <cell r="I308">
            <v>18700</v>
          </cell>
          <cell r="J308">
            <v>480</v>
          </cell>
          <cell r="K308">
            <v>0</v>
          </cell>
          <cell r="L308">
            <v>0</v>
          </cell>
          <cell r="M308">
            <v>34400</v>
          </cell>
          <cell r="N308">
            <v>0</v>
          </cell>
          <cell r="O308">
            <v>130</v>
          </cell>
          <cell r="P308">
            <v>0</v>
          </cell>
          <cell r="Q308">
            <v>0</v>
          </cell>
          <cell r="R308">
            <v>0</v>
          </cell>
          <cell r="S308">
            <v>0</v>
          </cell>
          <cell r="T308">
            <v>0</v>
          </cell>
          <cell r="U308">
            <v>0</v>
          </cell>
          <cell r="V308">
            <v>0</v>
          </cell>
        </row>
        <row r="309">
          <cell r="C309" t="str">
            <v>1995WY</v>
          </cell>
          <cell r="D309">
            <v>1728</v>
          </cell>
          <cell r="E309">
            <v>4992</v>
          </cell>
          <cell r="F309">
            <v>7960</v>
          </cell>
          <cell r="G309">
            <v>8455</v>
          </cell>
          <cell r="H309">
            <v>0</v>
          </cell>
          <cell r="I309">
            <v>2112</v>
          </cell>
          <cell r="J309">
            <v>0</v>
          </cell>
          <cell r="K309">
            <v>0</v>
          </cell>
          <cell r="L309">
            <v>0</v>
          </cell>
          <cell r="M309">
            <v>0</v>
          </cell>
          <cell r="N309">
            <v>0</v>
          </cell>
          <cell r="O309">
            <v>504</v>
          </cell>
          <cell r="P309">
            <v>0</v>
          </cell>
          <cell r="Q309">
            <v>0</v>
          </cell>
          <cell r="R309">
            <v>0</v>
          </cell>
          <cell r="S309">
            <v>0</v>
          </cell>
          <cell r="T309">
            <v>0</v>
          </cell>
          <cell r="U309">
            <v>0</v>
          </cell>
          <cell r="V309">
            <v>0</v>
          </cell>
        </row>
        <row r="310">
          <cell r="C310" t="str">
            <v>1995US</v>
          </cell>
          <cell r="D310">
            <v>84138</v>
          </cell>
          <cell r="E310">
            <v>7400051</v>
          </cell>
          <cell r="F310">
            <v>2182708</v>
          </cell>
          <cell r="G310">
            <v>359748</v>
          </cell>
          <cell r="H310">
            <v>458648</v>
          </cell>
          <cell r="I310">
            <v>161094</v>
          </cell>
          <cell r="J310">
            <v>10064</v>
          </cell>
          <cell r="K310">
            <v>0</v>
          </cell>
          <cell r="L310">
            <v>173871</v>
          </cell>
          <cell r="M310">
            <v>2174254</v>
          </cell>
          <cell r="N310">
            <v>3461475</v>
          </cell>
          <cell r="O310">
            <v>30689</v>
          </cell>
          <cell r="P310">
            <v>4765</v>
          </cell>
          <cell r="Q310">
            <v>119</v>
          </cell>
          <cell r="R310">
            <v>2224</v>
          </cell>
          <cell r="S310">
            <v>1048</v>
          </cell>
          <cell r="T310">
            <v>30779</v>
          </cell>
        </row>
        <row r="311">
          <cell r="C311" t="str">
            <v>1996AL</v>
          </cell>
          <cell r="D311">
            <v>0</v>
          </cell>
          <cell r="E311">
            <v>22140</v>
          </cell>
          <cell r="F311">
            <v>3520</v>
          </cell>
          <cell r="G311">
            <v>0</v>
          </cell>
          <cell r="H311">
            <v>550</v>
          </cell>
          <cell r="I311">
            <v>675</v>
          </cell>
          <cell r="J311">
            <v>0</v>
          </cell>
          <cell r="K311">
            <v>0</v>
          </cell>
          <cell r="L311">
            <v>0</v>
          </cell>
          <cell r="M311">
            <v>10370</v>
          </cell>
          <cell r="N311">
            <v>449805</v>
          </cell>
          <cell r="O311">
            <v>0</v>
          </cell>
          <cell r="P311">
            <v>0</v>
          </cell>
          <cell r="Q311">
            <v>0</v>
          </cell>
          <cell r="R311">
            <v>0</v>
          </cell>
          <cell r="S311">
            <v>0</v>
          </cell>
          <cell r="T311">
            <v>0</v>
          </cell>
          <cell r="U311">
            <v>0</v>
          </cell>
          <cell r="V311">
            <v>0</v>
          </cell>
        </row>
        <row r="312">
          <cell r="C312" t="str">
            <v>1996AK</v>
          </cell>
          <cell r="D312">
            <v>0</v>
          </cell>
          <cell r="E312">
            <v>0</v>
          </cell>
          <cell r="F312">
            <v>0</v>
          </cell>
          <cell r="G312">
            <v>283</v>
          </cell>
          <cell r="H312">
            <v>0</v>
          </cell>
          <cell r="I312">
            <v>31500</v>
          </cell>
          <cell r="J312">
            <v>0</v>
          </cell>
          <cell r="K312">
            <v>0</v>
          </cell>
          <cell r="L312">
            <v>0</v>
          </cell>
          <cell r="M312">
            <v>0</v>
          </cell>
          <cell r="N312">
            <v>0</v>
          </cell>
          <cell r="O312">
            <v>0</v>
          </cell>
          <cell r="P312">
            <v>0</v>
          </cell>
          <cell r="Q312">
            <v>0</v>
          </cell>
          <cell r="R312">
            <v>0</v>
          </cell>
          <cell r="S312">
            <v>0</v>
          </cell>
          <cell r="T312">
            <v>0</v>
          </cell>
          <cell r="U312">
            <v>0</v>
          </cell>
          <cell r="V312">
            <v>0</v>
          </cell>
        </row>
        <row r="313">
          <cell r="C313" t="str">
            <v>1996AZ</v>
          </cell>
          <cell r="D313">
            <v>1280</v>
          </cell>
          <cell r="E313">
            <v>7000</v>
          </cell>
          <cell r="F313">
            <v>16090</v>
          </cell>
          <cell r="G313">
            <v>5670</v>
          </cell>
          <cell r="H313">
            <v>0</v>
          </cell>
          <cell r="I313">
            <v>0</v>
          </cell>
          <cell r="J313">
            <v>0</v>
          </cell>
          <cell r="K313">
            <v>0</v>
          </cell>
          <cell r="L313">
            <v>0</v>
          </cell>
          <cell r="M313">
            <v>0</v>
          </cell>
          <cell r="N313">
            <v>0</v>
          </cell>
          <cell r="O313">
            <v>0</v>
          </cell>
          <cell r="P313">
            <v>0</v>
          </cell>
          <cell r="Q313">
            <v>0</v>
          </cell>
          <cell r="R313">
            <v>0</v>
          </cell>
          <cell r="S313">
            <v>0</v>
          </cell>
          <cell r="T313">
            <v>0</v>
          </cell>
          <cell r="U313">
            <v>0</v>
          </cell>
          <cell r="V313">
            <v>0</v>
          </cell>
        </row>
        <row r="314">
          <cell r="C314" t="str">
            <v>1996AR</v>
          </cell>
          <cell r="D314">
            <v>60</v>
          </cell>
          <cell r="E314">
            <v>28750</v>
          </cell>
          <cell r="F314">
            <v>66960</v>
          </cell>
          <cell r="G314">
            <v>0</v>
          </cell>
          <cell r="H314">
            <v>16280</v>
          </cell>
          <cell r="I314">
            <v>1080</v>
          </cell>
          <cell r="J314">
            <v>0</v>
          </cell>
          <cell r="K314">
            <v>0</v>
          </cell>
          <cell r="L314">
            <v>71945</v>
          </cell>
          <cell r="M314">
            <v>112000</v>
          </cell>
          <cell r="N314">
            <v>0</v>
          </cell>
          <cell r="O314">
            <v>0</v>
          </cell>
          <cell r="P314">
            <v>0</v>
          </cell>
          <cell r="Q314">
            <v>0</v>
          </cell>
          <cell r="R314">
            <v>0</v>
          </cell>
          <cell r="S314">
            <v>0</v>
          </cell>
          <cell r="T314">
            <v>0</v>
          </cell>
          <cell r="U314">
            <v>1170</v>
          </cell>
          <cell r="V314">
            <v>0</v>
          </cell>
          <cell r="W314">
            <v>0.13</v>
          </cell>
        </row>
        <row r="315">
          <cell r="C315" t="str">
            <v>1996CA</v>
          </cell>
          <cell r="D315">
            <v>6580</v>
          </cell>
          <cell r="E315">
            <v>35200</v>
          </cell>
          <cell r="F315">
            <v>51750</v>
          </cell>
          <cell r="G315">
            <v>11400</v>
          </cell>
          <cell r="H315">
            <v>0</v>
          </cell>
          <cell r="I315">
            <v>2250</v>
          </cell>
          <cell r="J315">
            <v>0</v>
          </cell>
          <cell r="K315">
            <v>0</v>
          </cell>
          <cell r="L315">
            <v>37459</v>
          </cell>
          <cell r="M315">
            <v>0</v>
          </cell>
          <cell r="N315">
            <v>0</v>
          </cell>
          <cell r="O315">
            <v>2325</v>
          </cell>
          <cell r="P315">
            <v>0</v>
          </cell>
          <cell r="Q315">
            <v>0</v>
          </cell>
          <cell r="R315">
            <v>0</v>
          </cell>
          <cell r="S315">
            <v>0</v>
          </cell>
          <cell r="T315">
            <v>0</v>
          </cell>
          <cell r="U315">
            <v>500</v>
          </cell>
          <cell r="V315">
            <v>0</v>
          </cell>
          <cell r="W315">
            <v>0.63</v>
          </cell>
        </row>
        <row r="316">
          <cell r="C316" t="str">
            <v>1996CO</v>
          </cell>
          <cell r="D316">
            <v>3010</v>
          </cell>
          <cell r="E316">
            <v>126380</v>
          </cell>
          <cell r="F316">
            <v>75500</v>
          </cell>
          <cell r="G316">
            <v>9568</v>
          </cell>
          <cell r="H316">
            <v>13260</v>
          </cell>
          <cell r="I316">
            <v>1820</v>
          </cell>
          <cell r="J316">
            <v>50</v>
          </cell>
          <cell r="K316">
            <v>0</v>
          </cell>
          <cell r="L316">
            <v>0</v>
          </cell>
          <cell r="M316">
            <v>0</v>
          </cell>
          <cell r="N316">
            <v>0</v>
          </cell>
          <cell r="O316">
            <v>2250</v>
          </cell>
          <cell r="P316">
            <v>0</v>
          </cell>
          <cell r="Q316">
            <v>0</v>
          </cell>
          <cell r="R316">
            <v>0</v>
          </cell>
          <cell r="S316">
            <v>0</v>
          </cell>
          <cell r="T316">
            <v>0</v>
          </cell>
          <cell r="U316">
            <v>0</v>
          </cell>
          <cell r="V316">
            <v>0</v>
          </cell>
        </row>
        <row r="317">
          <cell r="C317" t="str">
            <v>1996CT</v>
          </cell>
          <cell r="D317">
            <v>38</v>
          </cell>
          <cell r="E317">
            <v>0</v>
          </cell>
          <cell r="F317">
            <v>0</v>
          </cell>
          <cell r="G317">
            <v>0</v>
          </cell>
          <cell r="H317">
            <v>0</v>
          </cell>
          <cell r="I317">
            <v>0</v>
          </cell>
          <cell r="J317">
            <v>0</v>
          </cell>
          <cell r="K317">
            <v>0</v>
          </cell>
          <cell r="L317">
            <v>0</v>
          </cell>
          <cell r="M317">
            <v>0</v>
          </cell>
          <cell r="N317">
            <v>0</v>
          </cell>
          <cell r="O317">
            <v>0</v>
          </cell>
          <cell r="P317">
            <v>0</v>
          </cell>
          <cell r="Q317">
            <v>0</v>
          </cell>
          <cell r="R317">
            <v>0</v>
          </cell>
          <cell r="S317">
            <v>0</v>
          </cell>
          <cell r="T317">
            <v>0</v>
          </cell>
          <cell r="U317">
            <v>0</v>
          </cell>
          <cell r="V317">
            <v>0</v>
          </cell>
        </row>
        <row r="318">
          <cell r="C318" t="str">
            <v>1996DE</v>
          </cell>
          <cell r="D318">
            <v>32</v>
          </cell>
          <cell r="E318">
            <v>22022</v>
          </cell>
          <cell r="F318">
            <v>4134</v>
          </cell>
          <cell r="G318">
            <v>1564</v>
          </cell>
          <cell r="H318">
            <v>0</v>
          </cell>
          <cell r="I318">
            <v>0</v>
          </cell>
          <cell r="J318">
            <v>0</v>
          </cell>
          <cell r="K318">
            <v>0</v>
          </cell>
          <cell r="L318">
            <v>0</v>
          </cell>
          <cell r="M318">
            <v>7595</v>
          </cell>
          <cell r="N318">
            <v>0</v>
          </cell>
          <cell r="O318">
            <v>0</v>
          </cell>
          <cell r="P318">
            <v>0</v>
          </cell>
          <cell r="Q318">
            <v>0</v>
          </cell>
          <cell r="R318">
            <v>0</v>
          </cell>
          <cell r="S318">
            <v>0</v>
          </cell>
          <cell r="T318">
            <v>0</v>
          </cell>
          <cell r="U318">
            <v>0</v>
          </cell>
          <cell r="V318">
            <v>0</v>
          </cell>
        </row>
        <row r="319">
          <cell r="C319" t="str">
            <v>1996FL</v>
          </cell>
          <cell r="D319">
            <v>0</v>
          </cell>
          <cell r="E319">
            <v>9856</v>
          </cell>
          <cell r="F319">
            <v>380</v>
          </cell>
          <cell r="G319">
            <v>0</v>
          </cell>
          <cell r="H319">
            <v>0</v>
          </cell>
          <cell r="I319">
            <v>0</v>
          </cell>
          <cell r="J319">
            <v>0</v>
          </cell>
          <cell r="K319">
            <v>0</v>
          </cell>
          <cell r="L319">
            <v>977.54396071356996</v>
          </cell>
          <cell r="M319">
            <v>1056</v>
          </cell>
          <cell r="N319">
            <v>236160</v>
          </cell>
          <cell r="O319">
            <v>0</v>
          </cell>
          <cell r="P319">
            <v>0</v>
          </cell>
          <cell r="Q319">
            <v>0</v>
          </cell>
          <cell r="R319">
            <v>0</v>
          </cell>
          <cell r="S319">
            <v>0</v>
          </cell>
          <cell r="T319">
            <v>14498</v>
          </cell>
          <cell r="U319">
            <v>22</v>
          </cell>
          <cell r="V319">
            <v>11</v>
          </cell>
          <cell r="W319">
            <v>0</v>
          </cell>
        </row>
        <row r="320">
          <cell r="C320" t="str">
            <v>1996GA</v>
          </cell>
          <cell r="D320">
            <v>0</v>
          </cell>
          <cell r="E320">
            <v>49875</v>
          </cell>
          <cell r="F320">
            <v>15840</v>
          </cell>
          <cell r="G320">
            <v>0</v>
          </cell>
          <cell r="H320">
            <v>1640</v>
          </cell>
          <cell r="I320">
            <v>1600</v>
          </cell>
          <cell r="J320">
            <v>1820</v>
          </cell>
          <cell r="K320">
            <v>0</v>
          </cell>
          <cell r="L320">
            <v>0</v>
          </cell>
          <cell r="M320">
            <v>10140</v>
          </cell>
          <cell r="N320">
            <v>1433770</v>
          </cell>
          <cell r="O320">
            <v>0</v>
          </cell>
          <cell r="P320">
            <v>0</v>
          </cell>
          <cell r="Q320">
            <v>0</v>
          </cell>
          <cell r="R320">
            <v>0</v>
          </cell>
          <cell r="S320">
            <v>0</v>
          </cell>
          <cell r="T320">
            <v>0</v>
          </cell>
          <cell r="U320">
            <v>0</v>
          </cell>
          <cell r="V320">
            <v>0</v>
          </cell>
        </row>
        <row r="321">
          <cell r="C321" t="str">
            <v>1996HI</v>
          </cell>
          <cell r="D321">
            <v>0</v>
          </cell>
          <cell r="E321">
            <v>0</v>
          </cell>
          <cell r="F321">
            <v>0</v>
          </cell>
          <cell r="G321">
            <v>0</v>
          </cell>
          <cell r="H321">
            <v>0</v>
          </cell>
          <cell r="I321">
            <v>0</v>
          </cell>
          <cell r="J321">
            <v>0</v>
          </cell>
          <cell r="K321">
            <v>0</v>
          </cell>
          <cell r="L321">
            <v>0</v>
          </cell>
          <cell r="M321">
            <v>0</v>
          </cell>
          <cell r="N321">
            <v>0</v>
          </cell>
          <cell r="O321">
            <v>0</v>
          </cell>
          <cell r="P321">
            <v>0</v>
          </cell>
          <cell r="Q321">
            <v>0</v>
          </cell>
          <cell r="R321">
            <v>0</v>
          </cell>
          <cell r="S321">
            <v>0</v>
          </cell>
          <cell r="T321">
            <v>3639</v>
          </cell>
          <cell r="U321">
            <v>0</v>
          </cell>
          <cell r="V321">
            <v>0</v>
          </cell>
        </row>
        <row r="322">
          <cell r="C322" t="str">
            <v>1996ID</v>
          </cell>
          <cell r="D322">
            <v>4200</v>
          </cell>
          <cell r="E322">
            <v>5400</v>
          </cell>
          <cell r="F322">
            <v>119200</v>
          </cell>
          <cell r="G322">
            <v>53290</v>
          </cell>
          <cell r="H322">
            <v>0</v>
          </cell>
          <cell r="I322">
            <v>1875</v>
          </cell>
          <cell r="J322">
            <v>0</v>
          </cell>
          <cell r="K322">
            <v>0</v>
          </cell>
          <cell r="L322">
            <v>0</v>
          </cell>
          <cell r="M322">
            <v>0</v>
          </cell>
          <cell r="N322">
            <v>0</v>
          </cell>
          <cell r="O322">
            <v>1907</v>
          </cell>
          <cell r="P322">
            <v>590</v>
          </cell>
          <cell r="Q322">
            <v>98</v>
          </cell>
          <cell r="R322">
            <v>440</v>
          </cell>
          <cell r="S322">
            <v>316</v>
          </cell>
          <cell r="T322">
            <v>0</v>
          </cell>
          <cell r="U322">
            <v>0</v>
          </cell>
          <cell r="V322">
            <v>0</v>
          </cell>
        </row>
        <row r="323">
          <cell r="C323" t="str">
            <v>1996IL</v>
          </cell>
          <cell r="D323">
            <v>1980</v>
          </cell>
          <cell r="E323">
            <v>1468800</v>
          </cell>
          <cell r="F323">
            <v>41800</v>
          </cell>
          <cell r="G323">
            <v>0</v>
          </cell>
          <cell r="H323">
            <v>12600</v>
          </cell>
          <cell r="I323">
            <v>4620</v>
          </cell>
          <cell r="J323">
            <v>186</v>
          </cell>
          <cell r="K323">
            <v>0</v>
          </cell>
          <cell r="L323">
            <v>0</v>
          </cell>
          <cell r="M323">
            <v>398925</v>
          </cell>
          <cell r="N323">
            <v>0</v>
          </cell>
          <cell r="O323">
            <v>0</v>
          </cell>
          <cell r="P323">
            <v>0</v>
          </cell>
          <cell r="Q323">
            <v>0</v>
          </cell>
          <cell r="R323">
            <v>0</v>
          </cell>
          <cell r="S323">
            <v>0</v>
          </cell>
          <cell r="T323">
            <v>0</v>
          </cell>
          <cell r="U323">
            <v>0</v>
          </cell>
          <cell r="V323">
            <v>0</v>
          </cell>
        </row>
        <row r="324">
          <cell r="C324" t="str">
            <v>1996IN</v>
          </cell>
          <cell r="D324">
            <v>1360</v>
          </cell>
          <cell r="E324">
            <v>670350</v>
          </cell>
          <cell r="F324">
            <v>27360</v>
          </cell>
          <cell r="G324">
            <v>0</v>
          </cell>
          <cell r="H324">
            <v>0</v>
          </cell>
          <cell r="I324">
            <v>1600</v>
          </cell>
          <cell r="J324">
            <v>44</v>
          </cell>
          <cell r="K324">
            <v>0</v>
          </cell>
          <cell r="L324">
            <v>0</v>
          </cell>
          <cell r="M324">
            <v>203680</v>
          </cell>
          <cell r="N324">
            <v>0</v>
          </cell>
          <cell r="O324">
            <v>0</v>
          </cell>
          <cell r="P324">
            <v>0</v>
          </cell>
          <cell r="Q324">
            <v>0</v>
          </cell>
          <cell r="R324">
            <v>0</v>
          </cell>
          <cell r="S324">
            <v>0</v>
          </cell>
          <cell r="T324">
            <v>0</v>
          </cell>
          <cell r="U324">
            <v>0</v>
          </cell>
          <cell r="V324">
            <v>0</v>
          </cell>
        </row>
        <row r="325">
          <cell r="C325" t="str">
            <v>1996IA</v>
          </cell>
          <cell r="D325">
            <v>4320</v>
          </cell>
          <cell r="E325">
            <v>1711200</v>
          </cell>
          <cell r="F325">
            <v>1400</v>
          </cell>
          <cell r="G325">
            <v>0</v>
          </cell>
          <cell r="H325">
            <v>0</v>
          </cell>
          <cell r="I325">
            <v>12920</v>
          </cell>
          <cell r="J325">
            <v>0</v>
          </cell>
          <cell r="K325">
            <v>0</v>
          </cell>
          <cell r="L325">
            <v>0</v>
          </cell>
          <cell r="M325">
            <v>415800</v>
          </cell>
          <cell r="N325">
            <v>0</v>
          </cell>
          <cell r="O325">
            <v>0</v>
          </cell>
          <cell r="P325">
            <v>0</v>
          </cell>
          <cell r="Q325">
            <v>0</v>
          </cell>
          <cell r="R325">
            <v>0</v>
          </cell>
          <cell r="S325">
            <v>0</v>
          </cell>
          <cell r="T325">
            <v>0</v>
          </cell>
          <cell r="U325">
            <v>0</v>
          </cell>
          <cell r="V325">
            <v>0</v>
          </cell>
        </row>
        <row r="326">
          <cell r="C326" t="str">
            <v>1996KS</v>
          </cell>
          <cell r="D326">
            <v>3440</v>
          </cell>
          <cell r="E326">
            <v>357200</v>
          </cell>
          <cell r="F326">
            <v>255200</v>
          </cell>
          <cell r="G326">
            <v>363</v>
          </cell>
          <cell r="H326">
            <v>354200</v>
          </cell>
          <cell r="I326">
            <v>4160</v>
          </cell>
          <cell r="J326">
            <v>150</v>
          </cell>
          <cell r="K326">
            <v>0</v>
          </cell>
          <cell r="L326">
            <v>0</v>
          </cell>
          <cell r="M326">
            <v>74000</v>
          </cell>
          <cell r="N326">
            <v>0</v>
          </cell>
          <cell r="O326">
            <v>444</v>
          </cell>
          <cell r="P326">
            <v>0</v>
          </cell>
          <cell r="Q326">
            <v>0</v>
          </cell>
          <cell r="R326">
            <v>0</v>
          </cell>
          <cell r="S326">
            <v>0</v>
          </cell>
          <cell r="T326">
            <v>0</v>
          </cell>
          <cell r="U326">
            <v>0</v>
          </cell>
          <cell r="V326">
            <v>0</v>
          </cell>
        </row>
        <row r="327">
          <cell r="C327" t="str">
            <v>1996KY</v>
          </cell>
          <cell r="D327">
            <v>1080</v>
          </cell>
          <cell r="E327">
            <v>148800</v>
          </cell>
          <cell r="F327">
            <v>28090</v>
          </cell>
          <cell r="G327">
            <v>1480</v>
          </cell>
          <cell r="H327">
            <v>2116</v>
          </cell>
          <cell r="I327">
            <v>0</v>
          </cell>
          <cell r="J327">
            <v>0</v>
          </cell>
          <cell r="K327">
            <v>0</v>
          </cell>
          <cell r="L327">
            <v>0</v>
          </cell>
          <cell r="M327">
            <v>44840</v>
          </cell>
          <cell r="N327">
            <v>0</v>
          </cell>
          <cell r="O327">
            <v>0</v>
          </cell>
          <cell r="P327">
            <v>0</v>
          </cell>
          <cell r="Q327">
            <v>0</v>
          </cell>
          <cell r="R327">
            <v>0</v>
          </cell>
          <cell r="S327">
            <v>0</v>
          </cell>
          <cell r="T327">
            <v>0</v>
          </cell>
          <cell r="U327">
            <v>0</v>
          </cell>
          <cell r="V327">
            <v>0</v>
          </cell>
        </row>
        <row r="328">
          <cell r="C328" t="str">
            <v>1996LA</v>
          </cell>
          <cell r="D328">
            <v>0</v>
          </cell>
          <cell r="E328">
            <v>65375</v>
          </cell>
          <cell r="F328">
            <v>5590</v>
          </cell>
          <cell r="G328">
            <v>0</v>
          </cell>
          <cell r="H328">
            <v>11628</v>
          </cell>
          <cell r="I328">
            <v>0</v>
          </cell>
          <cell r="J328">
            <v>0</v>
          </cell>
          <cell r="K328">
            <v>0</v>
          </cell>
          <cell r="L328">
            <v>25977</v>
          </cell>
          <cell r="M328">
            <v>35640</v>
          </cell>
          <cell r="N328">
            <v>0</v>
          </cell>
          <cell r="O328">
            <v>0</v>
          </cell>
          <cell r="P328">
            <v>0</v>
          </cell>
          <cell r="Q328">
            <v>0</v>
          </cell>
          <cell r="R328">
            <v>0</v>
          </cell>
          <cell r="S328">
            <v>0</v>
          </cell>
          <cell r="T328">
            <v>10324</v>
          </cell>
          <cell r="U328">
            <v>533</v>
          </cell>
          <cell r="V328">
            <v>160</v>
          </cell>
          <cell r="W328">
            <v>0.06</v>
          </cell>
        </row>
        <row r="329">
          <cell r="C329" t="str">
            <v>1996ME</v>
          </cell>
          <cell r="D329">
            <v>30</v>
          </cell>
          <cell r="E329">
            <v>0</v>
          </cell>
          <cell r="F329">
            <v>0</v>
          </cell>
          <cell r="G329">
            <v>0</v>
          </cell>
          <cell r="H329">
            <v>0</v>
          </cell>
          <cell r="I329">
            <v>2100</v>
          </cell>
          <cell r="J329">
            <v>0</v>
          </cell>
          <cell r="K329">
            <v>0</v>
          </cell>
          <cell r="L329">
            <v>0</v>
          </cell>
          <cell r="M329">
            <v>0</v>
          </cell>
          <cell r="N329">
            <v>0</v>
          </cell>
          <cell r="O329">
            <v>0</v>
          </cell>
          <cell r="P329">
            <v>0</v>
          </cell>
          <cell r="Q329">
            <v>0</v>
          </cell>
          <cell r="R329">
            <v>0</v>
          </cell>
          <cell r="S329">
            <v>0</v>
          </cell>
          <cell r="T329">
            <v>0</v>
          </cell>
          <cell r="U329">
            <v>0</v>
          </cell>
          <cell r="V329">
            <v>0</v>
          </cell>
        </row>
        <row r="330">
          <cell r="C330" t="str">
            <v>1996MD</v>
          </cell>
          <cell r="D330">
            <v>282</v>
          </cell>
          <cell r="E330">
            <v>64635</v>
          </cell>
          <cell r="F330">
            <v>11804</v>
          </cell>
          <cell r="G330">
            <v>2989</v>
          </cell>
          <cell r="H330">
            <v>0</v>
          </cell>
          <cell r="I330">
            <v>434</v>
          </cell>
          <cell r="J330">
            <v>50</v>
          </cell>
          <cell r="K330">
            <v>0</v>
          </cell>
          <cell r="L330">
            <v>0</v>
          </cell>
          <cell r="M330">
            <v>17760</v>
          </cell>
          <cell r="N330">
            <v>0</v>
          </cell>
          <cell r="O330">
            <v>0</v>
          </cell>
          <cell r="P330">
            <v>0</v>
          </cell>
          <cell r="Q330">
            <v>0</v>
          </cell>
          <cell r="R330">
            <v>0</v>
          </cell>
          <cell r="S330">
            <v>0</v>
          </cell>
          <cell r="T330">
            <v>0</v>
          </cell>
          <cell r="U330">
            <v>0</v>
          </cell>
          <cell r="V330">
            <v>0</v>
          </cell>
        </row>
        <row r="331">
          <cell r="C331" t="str">
            <v>1996MA</v>
          </cell>
          <cell r="D331">
            <v>30</v>
          </cell>
          <cell r="E331">
            <v>0</v>
          </cell>
          <cell r="F331">
            <v>0</v>
          </cell>
          <cell r="G331">
            <v>0</v>
          </cell>
          <cell r="H331">
            <v>0</v>
          </cell>
          <cell r="I331">
            <v>0</v>
          </cell>
          <cell r="J331">
            <v>0</v>
          </cell>
          <cell r="K331">
            <v>0</v>
          </cell>
          <cell r="L331">
            <v>0</v>
          </cell>
          <cell r="M331">
            <v>0</v>
          </cell>
          <cell r="N331">
            <v>0</v>
          </cell>
          <cell r="O331">
            <v>0</v>
          </cell>
          <cell r="P331">
            <v>0</v>
          </cell>
          <cell r="Q331">
            <v>0</v>
          </cell>
          <cell r="R331">
            <v>0</v>
          </cell>
          <cell r="S331">
            <v>0</v>
          </cell>
          <cell r="T331">
            <v>0</v>
          </cell>
          <cell r="U331">
            <v>0</v>
          </cell>
          <cell r="V331">
            <v>0</v>
          </cell>
        </row>
        <row r="332">
          <cell r="C332" t="str">
            <v>1996MI</v>
          </cell>
          <cell r="D332">
            <v>3420</v>
          </cell>
          <cell r="E332">
            <v>211500</v>
          </cell>
          <cell r="F332">
            <v>22800</v>
          </cell>
          <cell r="G332">
            <v>1200</v>
          </cell>
          <cell r="H332">
            <v>0</v>
          </cell>
          <cell r="I332">
            <v>3600</v>
          </cell>
          <cell r="J332">
            <v>351</v>
          </cell>
          <cell r="K332">
            <v>0</v>
          </cell>
          <cell r="L332">
            <v>0</v>
          </cell>
          <cell r="M332">
            <v>46740</v>
          </cell>
          <cell r="N332">
            <v>0</v>
          </cell>
          <cell r="O332">
            <v>4640</v>
          </cell>
          <cell r="P332">
            <v>0</v>
          </cell>
          <cell r="Q332">
            <v>0</v>
          </cell>
          <cell r="R332">
            <v>0</v>
          </cell>
          <cell r="S332">
            <v>0</v>
          </cell>
          <cell r="T332">
            <v>0</v>
          </cell>
          <cell r="U332">
            <v>0</v>
          </cell>
          <cell r="V332">
            <v>0</v>
          </cell>
        </row>
        <row r="333">
          <cell r="C333" t="str">
            <v>1996MN</v>
          </cell>
          <cell r="D333">
            <v>4573</v>
          </cell>
          <cell r="E333">
            <v>868750</v>
          </cell>
          <cell r="F333">
            <v>106582</v>
          </cell>
          <cell r="G333">
            <v>33280</v>
          </cell>
          <cell r="H333">
            <v>0</v>
          </cell>
          <cell r="I333">
            <v>15120</v>
          </cell>
          <cell r="J333">
            <v>480</v>
          </cell>
          <cell r="K333">
            <v>0</v>
          </cell>
          <cell r="L333">
            <v>0</v>
          </cell>
          <cell r="M333">
            <v>224200</v>
          </cell>
          <cell r="N333">
            <v>0</v>
          </cell>
          <cell r="O333">
            <v>2418</v>
          </cell>
          <cell r="P333">
            <v>0</v>
          </cell>
          <cell r="Q333">
            <v>0</v>
          </cell>
          <cell r="R333">
            <v>0</v>
          </cell>
          <cell r="S333">
            <v>0</v>
          </cell>
          <cell r="T333">
            <v>0</v>
          </cell>
          <cell r="U333">
            <v>0</v>
          </cell>
          <cell r="V333">
            <v>0</v>
          </cell>
        </row>
        <row r="334">
          <cell r="C334" t="str">
            <v>1996MS</v>
          </cell>
          <cell r="D334">
            <v>0</v>
          </cell>
          <cell r="E334">
            <v>60690</v>
          </cell>
          <cell r="F334">
            <v>11270</v>
          </cell>
          <cell r="G334">
            <v>0</v>
          </cell>
          <cell r="H334">
            <v>5040</v>
          </cell>
          <cell r="I334">
            <v>0</v>
          </cell>
          <cell r="J334">
            <v>0</v>
          </cell>
          <cell r="K334">
            <v>0</v>
          </cell>
          <cell r="L334">
            <v>12480</v>
          </cell>
          <cell r="M334">
            <v>54250</v>
          </cell>
          <cell r="N334">
            <v>0</v>
          </cell>
          <cell r="O334">
            <v>0</v>
          </cell>
          <cell r="P334">
            <v>0</v>
          </cell>
          <cell r="Q334">
            <v>0</v>
          </cell>
          <cell r="R334">
            <v>0</v>
          </cell>
          <cell r="S334">
            <v>0</v>
          </cell>
          <cell r="T334">
            <v>0</v>
          </cell>
          <cell r="U334">
            <v>208</v>
          </cell>
          <cell r="V334">
            <v>0</v>
          </cell>
          <cell r="W334">
            <v>0.1</v>
          </cell>
        </row>
        <row r="335">
          <cell r="C335" t="str">
            <v>1996MO</v>
          </cell>
          <cell r="D335">
            <v>1320</v>
          </cell>
          <cell r="E335">
            <v>340360</v>
          </cell>
          <cell r="F335">
            <v>48750</v>
          </cell>
          <cell r="G335">
            <v>0</v>
          </cell>
          <cell r="H335">
            <v>50960</v>
          </cell>
          <cell r="I335">
            <v>1537</v>
          </cell>
          <cell r="J335">
            <v>0</v>
          </cell>
          <cell r="K335">
            <v>0</v>
          </cell>
          <cell r="L335">
            <v>5273</v>
          </cell>
          <cell r="M335">
            <v>149850</v>
          </cell>
          <cell r="N335">
            <v>0</v>
          </cell>
          <cell r="O335">
            <v>0</v>
          </cell>
          <cell r="P335">
            <v>0</v>
          </cell>
          <cell r="Q335">
            <v>0</v>
          </cell>
          <cell r="R335">
            <v>0</v>
          </cell>
          <cell r="S335">
            <v>0</v>
          </cell>
          <cell r="T335">
            <v>0</v>
          </cell>
          <cell r="U335">
            <v>95</v>
          </cell>
          <cell r="V335">
            <v>0</v>
          </cell>
          <cell r="W335">
            <v>0.05</v>
          </cell>
        </row>
        <row r="336">
          <cell r="C336" t="str">
            <v>1996MT</v>
          </cell>
          <cell r="D336">
            <v>3570</v>
          </cell>
          <cell r="E336">
            <v>2055</v>
          </cell>
          <cell r="F336">
            <v>174980</v>
          </cell>
          <cell r="G336">
            <v>49450</v>
          </cell>
          <cell r="H336">
            <v>0</v>
          </cell>
          <cell r="I336">
            <v>2000</v>
          </cell>
          <cell r="J336">
            <v>0</v>
          </cell>
          <cell r="K336">
            <v>0</v>
          </cell>
          <cell r="L336">
            <v>0</v>
          </cell>
          <cell r="M336">
            <v>0</v>
          </cell>
          <cell r="N336">
            <v>0</v>
          </cell>
          <cell r="O336">
            <v>235</v>
          </cell>
          <cell r="P336">
            <v>0</v>
          </cell>
          <cell r="Q336">
            <v>0</v>
          </cell>
          <cell r="R336">
            <v>0</v>
          </cell>
          <cell r="S336">
            <v>0</v>
          </cell>
          <cell r="T336">
            <v>0</v>
          </cell>
          <cell r="U336">
            <v>0</v>
          </cell>
          <cell r="V336">
            <v>0</v>
          </cell>
        </row>
        <row r="337">
          <cell r="C337" t="str">
            <v>1996NE</v>
          </cell>
          <cell r="D337">
            <v>5180</v>
          </cell>
          <cell r="E337">
            <v>1179750</v>
          </cell>
          <cell r="F337">
            <v>73500</v>
          </cell>
          <cell r="G337">
            <v>901</v>
          </cell>
          <cell r="H337">
            <v>97850</v>
          </cell>
          <cell r="I337">
            <v>7455</v>
          </cell>
          <cell r="J337">
            <v>323</v>
          </cell>
          <cell r="K337">
            <v>0</v>
          </cell>
          <cell r="L337">
            <v>0</v>
          </cell>
          <cell r="M337">
            <v>135450</v>
          </cell>
          <cell r="N337">
            <v>0</v>
          </cell>
          <cell r="O337">
            <v>3705</v>
          </cell>
          <cell r="P337">
            <v>0</v>
          </cell>
          <cell r="Q337">
            <v>0</v>
          </cell>
          <cell r="R337">
            <v>0</v>
          </cell>
          <cell r="S337">
            <v>0</v>
          </cell>
          <cell r="T337">
            <v>0</v>
          </cell>
          <cell r="U337">
            <v>0</v>
          </cell>
          <cell r="V337">
            <v>0</v>
          </cell>
        </row>
        <row r="338">
          <cell r="C338" t="str">
            <v>1996NV</v>
          </cell>
          <cell r="D338">
            <v>1125</v>
          </cell>
          <cell r="E338">
            <v>0</v>
          </cell>
          <cell r="F338">
            <v>1650</v>
          </cell>
          <cell r="G338">
            <v>475</v>
          </cell>
          <cell r="H338">
            <v>0</v>
          </cell>
          <cell r="I338">
            <v>0</v>
          </cell>
          <cell r="J338">
            <v>0</v>
          </cell>
          <cell r="K338">
            <v>0</v>
          </cell>
          <cell r="L338">
            <v>0</v>
          </cell>
          <cell r="M338">
            <v>0</v>
          </cell>
          <cell r="N338">
            <v>0</v>
          </cell>
          <cell r="O338">
            <v>0</v>
          </cell>
          <cell r="P338">
            <v>0</v>
          </cell>
          <cell r="Q338">
            <v>0</v>
          </cell>
          <cell r="R338">
            <v>0</v>
          </cell>
          <cell r="S338">
            <v>0</v>
          </cell>
          <cell r="T338">
            <v>0</v>
          </cell>
          <cell r="U338">
            <v>0</v>
          </cell>
          <cell r="V338">
            <v>0</v>
          </cell>
        </row>
        <row r="339">
          <cell r="C339" t="str">
            <v>1996NH</v>
          </cell>
          <cell r="D339">
            <v>23</v>
          </cell>
          <cell r="E339">
            <v>0</v>
          </cell>
          <cell r="F339">
            <v>0</v>
          </cell>
          <cell r="G339">
            <v>0</v>
          </cell>
          <cell r="H339">
            <v>0</v>
          </cell>
          <cell r="I339">
            <v>0</v>
          </cell>
          <cell r="J339">
            <v>0</v>
          </cell>
          <cell r="K339">
            <v>0</v>
          </cell>
          <cell r="L339">
            <v>0</v>
          </cell>
          <cell r="M339">
            <v>0</v>
          </cell>
          <cell r="N339">
            <v>0</v>
          </cell>
          <cell r="O339">
            <v>0</v>
          </cell>
          <cell r="P339">
            <v>0</v>
          </cell>
          <cell r="Q339">
            <v>0</v>
          </cell>
          <cell r="R339">
            <v>0</v>
          </cell>
          <cell r="S339">
            <v>0</v>
          </cell>
          <cell r="T339">
            <v>0</v>
          </cell>
          <cell r="U339">
            <v>0</v>
          </cell>
          <cell r="V339">
            <v>0</v>
          </cell>
        </row>
        <row r="340">
          <cell r="C340" t="str">
            <v>1996NJ</v>
          </cell>
          <cell r="D340">
            <v>88</v>
          </cell>
          <cell r="E340">
            <v>11844</v>
          </cell>
          <cell r="F340">
            <v>1748</v>
          </cell>
          <cell r="G340">
            <v>180</v>
          </cell>
          <cell r="H340">
            <v>0</v>
          </cell>
          <cell r="I340">
            <v>0</v>
          </cell>
          <cell r="J340">
            <v>81</v>
          </cell>
          <cell r="K340">
            <v>0</v>
          </cell>
          <cell r="L340">
            <v>0</v>
          </cell>
          <cell r="M340">
            <v>4403</v>
          </cell>
          <cell r="N340">
            <v>0</v>
          </cell>
          <cell r="O340">
            <v>0</v>
          </cell>
          <cell r="P340">
            <v>0</v>
          </cell>
          <cell r="Q340">
            <v>0</v>
          </cell>
          <cell r="R340">
            <v>0</v>
          </cell>
          <cell r="S340">
            <v>0</v>
          </cell>
          <cell r="T340">
            <v>0</v>
          </cell>
          <cell r="U340">
            <v>0</v>
          </cell>
          <cell r="V340">
            <v>0</v>
          </cell>
        </row>
        <row r="341">
          <cell r="C341" t="str">
            <v>1996NM</v>
          </cell>
          <cell r="D341">
            <v>1275</v>
          </cell>
          <cell r="E341">
            <v>14700</v>
          </cell>
          <cell r="F341">
            <v>4070</v>
          </cell>
          <cell r="G341">
            <v>0</v>
          </cell>
          <cell r="H341">
            <v>7425</v>
          </cell>
          <cell r="I341">
            <v>0</v>
          </cell>
          <cell r="J341">
            <v>0</v>
          </cell>
          <cell r="K341">
            <v>0</v>
          </cell>
          <cell r="L341">
            <v>0</v>
          </cell>
          <cell r="M341">
            <v>0</v>
          </cell>
          <cell r="N341">
            <v>37950</v>
          </cell>
          <cell r="O341">
            <v>264</v>
          </cell>
          <cell r="P341">
            <v>0</v>
          </cell>
          <cell r="Q341">
            <v>0</v>
          </cell>
          <cell r="R341">
            <v>0</v>
          </cell>
          <cell r="S341">
            <v>0</v>
          </cell>
          <cell r="T341">
            <v>0</v>
          </cell>
          <cell r="U341">
            <v>0</v>
          </cell>
          <cell r="V341">
            <v>0</v>
          </cell>
        </row>
        <row r="342">
          <cell r="C342" t="str">
            <v>1996NY</v>
          </cell>
          <cell r="D342">
            <v>1728</v>
          </cell>
          <cell r="E342">
            <v>64890</v>
          </cell>
          <cell r="F342">
            <v>6450</v>
          </cell>
          <cell r="G342">
            <v>0</v>
          </cell>
          <cell r="H342">
            <v>0</v>
          </cell>
          <cell r="I342">
            <v>3850</v>
          </cell>
          <cell r="J342">
            <v>224</v>
          </cell>
          <cell r="K342">
            <v>0</v>
          </cell>
          <cell r="L342">
            <v>0</v>
          </cell>
          <cell r="M342">
            <v>0</v>
          </cell>
          <cell r="N342">
            <v>0</v>
          </cell>
          <cell r="O342">
            <v>377</v>
          </cell>
          <cell r="P342">
            <v>0</v>
          </cell>
          <cell r="Q342">
            <v>0</v>
          </cell>
          <cell r="R342">
            <v>0</v>
          </cell>
          <cell r="S342">
            <v>0</v>
          </cell>
          <cell r="T342">
            <v>0</v>
          </cell>
          <cell r="U342">
            <v>0</v>
          </cell>
          <cell r="V342">
            <v>0</v>
          </cell>
        </row>
        <row r="343">
          <cell r="C343" t="str">
            <v>1996NC</v>
          </cell>
          <cell r="D343">
            <v>42</v>
          </cell>
          <cell r="E343">
            <v>85500</v>
          </cell>
          <cell r="F343">
            <v>25960</v>
          </cell>
          <cell r="G343">
            <v>1300</v>
          </cell>
          <cell r="H343">
            <v>570</v>
          </cell>
          <cell r="I343">
            <v>1200</v>
          </cell>
          <cell r="J343">
            <v>500</v>
          </cell>
          <cell r="K343">
            <v>0</v>
          </cell>
          <cell r="L343">
            <v>0</v>
          </cell>
          <cell r="M343">
            <v>34800</v>
          </cell>
          <cell r="N343">
            <v>367500</v>
          </cell>
          <cell r="O343">
            <v>0</v>
          </cell>
          <cell r="P343">
            <v>0</v>
          </cell>
          <cell r="Q343">
            <v>0</v>
          </cell>
          <cell r="R343">
            <v>0</v>
          </cell>
          <cell r="S343">
            <v>0</v>
          </cell>
          <cell r="T343">
            <v>0</v>
          </cell>
          <cell r="U343">
            <v>0</v>
          </cell>
          <cell r="V343">
            <v>0</v>
          </cell>
        </row>
        <row r="344">
          <cell r="C344" t="str">
            <v>1996ND</v>
          </cell>
          <cell r="D344">
            <v>3145</v>
          </cell>
          <cell r="E344">
            <v>54600</v>
          </cell>
          <cell r="F344">
            <v>395130</v>
          </cell>
          <cell r="G344">
            <v>143000</v>
          </cell>
          <cell r="H344">
            <v>0</v>
          </cell>
          <cell r="I344">
            <v>19000</v>
          </cell>
          <cell r="J344">
            <v>528</v>
          </cell>
          <cell r="K344">
            <v>0</v>
          </cell>
          <cell r="L344">
            <v>0</v>
          </cell>
          <cell r="M344">
            <v>24505</v>
          </cell>
          <cell r="N344">
            <v>0</v>
          </cell>
          <cell r="O344">
            <v>7524</v>
          </cell>
          <cell r="P344">
            <v>0</v>
          </cell>
          <cell r="Q344">
            <v>0</v>
          </cell>
          <cell r="R344">
            <v>0</v>
          </cell>
          <cell r="S344">
            <v>0</v>
          </cell>
          <cell r="T344">
            <v>0</v>
          </cell>
          <cell r="U344">
            <v>0</v>
          </cell>
          <cell r="V344">
            <v>0</v>
          </cell>
        </row>
        <row r="345">
          <cell r="C345" t="str">
            <v>1996OH</v>
          </cell>
          <cell r="D345">
            <v>2100</v>
          </cell>
          <cell r="E345">
            <v>310800</v>
          </cell>
          <cell r="F345">
            <v>51870</v>
          </cell>
          <cell r="G345">
            <v>0</v>
          </cell>
          <cell r="H345">
            <v>0</v>
          </cell>
          <cell r="I345">
            <v>5130</v>
          </cell>
          <cell r="J345">
            <v>124</v>
          </cell>
          <cell r="K345">
            <v>0</v>
          </cell>
          <cell r="L345">
            <v>0</v>
          </cell>
          <cell r="M345">
            <v>157150</v>
          </cell>
          <cell r="N345">
            <v>0</v>
          </cell>
          <cell r="O345">
            <v>0</v>
          </cell>
          <cell r="P345">
            <v>0</v>
          </cell>
          <cell r="Q345">
            <v>0</v>
          </cell>
          <cell r="R345">
            <v>0</v>
          </cell>
          <cell r="S345">
            <v>0</v>
          </cell>
          <cell r="T345">
            <v>0</v>
          </cell>
          <cell r="U345">
            <v>0</v>
          </cell>
          <cell r="V345">
            <v>0</v>
          </cell>
        </row>
        <row r="346">
          <cell r="C346" t="str">
            <v>1996OK</v>
          </cell>
          <cell r="D346">
            <v>1260</v>
          </cell>
          <cell r="E346">
            <v>24650</v>
          </cell>
          <cell r="F346">
            <v>93100</v>
          </cell>
          <cell r="G346">
            <v>69</v>
          </cell>
          <cell r="H346">
            <v>28910</v>
          </cell>
          <cell r="I346">
            <v>648</v>
          </cell>
          <cell r="J346">
            <v>975</v>
          </cell>
          <cell r="K346">
            <v>0</v>
          </cell>
          <cell r="L346">
            <v>0</v>
          </cell>
          <cell r="M346">
            <v>7410</v>
          </cell>
          <cell r="N346">
            <v>195210</v>
          </cell>
          <cell r="O346">
            <v>0</v>
          </cell>
          <cell r="P346">
            <v>0</v>
          </cell>
          <cell r="Q346">
            <v>0</v>
          </cell>
          <cell r="R346">
            <v>0</v>
          </cell>
          <cell r="S346">
            <v>0</v>
          </cell>
          <cell r="T346">
            <v>0</v>
          </cell>
          <cell r="U346">
            <v>4.65E-2</v>
          </cell>
          <cell r="V346">
            <v>0</v>
          </cell>
          <cell r="W346">
            <v>0.9</v>
          </cell>
        </row>
        <row r="347">
          <cell r="C347" t="str">
            <v>1996OR</v>
          </cell>
          <cell r="D347">
            <v>2024</v>
          </cell>
          <cell r="E347">
            <v>6105</v>
          </cell>
          <cell r="F347">
            <v>65085</v>
          </cell>
          <cell r="G347">
            <v>9600</v>
          </cell>
          <cell r="H347">
            <v>0</v>
          </cell>
          <cell r="I347">
            <v>3395</v>
          </cell>
          <cell r="J347">
            <v>0</v>
          </cell>
          <cell r="K347">
            <v>0</v>
          </cell>
          <cell r="L347">
            <v>0</v>
          </cell>
          <cell r="M347">
            <v>0</v>
          </cell>
          <cell r="N347">
            <v>0</v>
          </cell>
          <cell r="O347">
            <v>158</v>
          </cell>
          <cell r="P347">
            <v>0</v>
          </cell>
          <cell r="Q347">
            <v>5</v>
          </cell>
          <cell r="R347">
            <v>0</v>
          </cell>
          <cell r="S347">
            <v>0</v>
          </cell>
          <cell r="T347">
            <v>0</v>
          </cell>
          <cell r="U347">
            <v>0</v>
          </cell>
          <cell r="V347">
            <v>0</v>
          </cell>
        </row>
        <row r="348">
          <cell r="C348" t="str">
            <v>1996PA</v>
          </cell>
          <cell r="D348">
            <v>2325</v>
          </cell>
          <cell r="E348">
            <v>127330</v>
          </cell>
          <cell r="F348">
            <v>9120</v>
          </cell>
          <cell r="G348">
            <v>5025</v>
          </cell>
          <cell r="H348">
            <v>0</v>
          </cell>
          <cell r="I348">
            <v>7560</v>
          </cell>
          <cell r="J348">
            <v>216</v>
          </cell>
          <cell r="K348">
            <v>0</v>
          </cell>
          <cell r="L348">
            <v>0</v>
          </cell>
          <cell r="M348">
            <v>11400</v>
          </cell>
          <cell r="N348">
            <v>0</v>
          </cell>
          <cell r="O348">
            <v>0</v>
          </cell>
          <cell r="P348">
            <v>0</v>
          </cell>
          <cell r="Q348">
            <v>0</v>
          </cell>
          <cell r="R348">
            <v>0</v>
          </cell>
          <cell r="S348">
            <v>0</v>
          </cell>
          <cell r="T348">
            <v>0</v>
          </cell>
          <cell r="U348">
            <v>0</v>
          </cell>
          <cell r="V348">
            <v>0</v>
          </cell>
        </row>
        <row r="349">
          <cell r="C349" t="str">
            <v>1996RI</v>
          </cell>
          <cell r="D349">
            <v>6</v>
          </cell>
          <cell r="E349">
            <v>0</v>
          </cell>
          <cell r="F349">
            <v>0</v>
          </cell>
          <cell r="G349">
            <v>0</v>
          </cell>
          <cell r="H349">
            <v>0</v>
          </cell>
          <cell r="I349">
            <v>0</v>
          </cell>
          <cell r="J349">
            <v>0</v>
          </cell>
          <cell r="K349">
            <v>0</v>
          </cell>
          <cell r="L349">
            <v>0</v>
          </cell>
          <cell r="M349">
            <v>0</v>
          </cell>
          <cell r="N349">
            <v>0</v>
          </cell>
          <cell r="O349">
            <v>0</v>
          </cell>
          <cell r="P349">
            <v>0</v>
          </cell>
          <cell r="Q349">
            <v>0</v>
          </cell>
          <cell r="R349">
            <v>0</v>
          </cell>
          <cell r="S349">
            <v>0</v>
          </cell>
          <cell r="T349">
            <v>0</v>
          </cell>
          <cell r="U349">
            <v>0</v>
          </cell>
          <cell r="V349">
            <v>0</v>
          </cell>
        </row>
        <row r="350">
          <cell r="C350" t="str">
            <v>1996SC</v>
          </cell>
          <cell r="D350">
            <v>0</v>
          </cell>
          <cell r="E350">
            <v>30020</v>
          </cell>
          <cell r="F350">
            <v>12150</v>
          </cell>
          <cell r="G350">
            <v>200</v>
          </cell>
          <cell r="H350">
            <v>250</v>
          </cell>
          <cell r="I350">
            <v>1620</v>
          </cell>
          <cell r="J350">
            <v>520</v>
          </cell>
          <cell r="K350">
            <v>0</v>
          </cell>
          <cell r="L350">
            <v>0</v>
          </cell>
          <cell r="M350">
            <v>13500</v>
          </cell>
          <cell r="N350">
            <v>32550</v>
          </cell>
          <cell r="O350">
            <v>0</v>
          </cell>
          <cell r="P350">
            <v>0</v>
          </cell>
          <cell r="Q350">
            <v>0</v>
          </cell>
          <cell r="R350">
            <v>0</v>
          </cell>
          <cell r="S350">
            <v>0</v>
          </cell>
          <cell r="T350">
            <v>0</v>
          </cell>
          <cell r="U350">
            <v>0</v>
          </cell>
          <cell r="V350">
            <v>0</v>
          </cell>
        </row>
        <row r="351">
          <cell r="C351" t="str">
            <v>1996SD</v>
          </cell>
          <cell r="D351">
            <v>5500</v>
          </cell>
          <cell r="E351">
            <v>365000</v>
          </cell>
          <cell r="F351">
            <v>139270</v>
          </cell>
          <cell r="G351">
            <v>6380</v>
          </cell>
          <cell r="H351">
            <v>7975</v>
          </cell>
          <cell r="I351">
            <v>21600</v>
          </cell>
          <cell r="J351">
            <v>1476</v>
          </cell>
          <cell r="K351">
            <v>0</v>
          </cell>
          <cell r="L351">
            <v>0</v>
          </cell>
          <cell r="M351">
            <v>90780</v>
          </cell>
          <cell r="N351">
            <v>0</v>
          </cell>
          <cell r="O351">
            <v>0</v>
          </cell>
          <cell r="P351">
            <v>0</v>
          </cell>
          <cell r="Q351">
            <v>0</v>
          </cell>
          <cell r="R351">
            <v>0</v>
          </cell>
          <cell r="S351">
            <v>0</v>
          </cell>
          <cell r="T351">
            <v>0</v>
          </cell>
          <cell r="U351">
            <v>0</v>
          </cell>
          <cell r="V351">
            <v>0</v>
          </cell>
        </row>
        <row r="352">
          <cell r="C352" t="str">
            <v>1996TN</v>
          </cell>
          <cell r="D352">
            <v>136</v>
          </cell>
          <cell r="E352">
            <v>75400</v>
          </cell>
          <cell r="F352">
            <v>16720</v>
          </cell>
          <cell r="G352">
            <v>0</v>
          </cell>
          <cell r="H352">
            <v>1620</v>
          </cell>
          <cell r="I352">
            <v>0</v>
          </cell>
          <cell r="J352">
            <v>0</v>
          </cell>
          <cell r="K352">
            <v>0</v>
          </cell>
          <cell r="L352">
            <v>0</v>
          </cell>
          <cell r="M352">
            <v>38500</v>
          </cell>
          <cell r="N352">
            <v>0</v>
          </cell>
          <cell r="O352">
            <v>0</v>
          </cell>
          <cell r="P352">
            <v>0</v>
          </cell>
          <cell r="Q352">
            <v>0</v>
          </cell>
          <cell r="R352">
            <v>0</v>
          </cell>
          <cell r="S352">
            <v>0</v>
          </cell>
          <cell r="T352">
            <v>0</v>
          </cell>
          <cell r="U352">
            <v>0</v>
          </cell>
          <cell r="V352">
            <v>0</v>
          </cell>
        </row>
        <row r="353">
          <cell r="C353" t="str">
            <v>1996TX</v>
          </cell>
          <cell r="D353">
            <v>675</v>
          </cell>
          <cell r="E353">
            <v>198240</v>
          </cell>
          <cell r="F353">
            <v>75400</v>
          </cell>
          <cell r="G353">
            <v>374</v>
          </cell>
          <cell r="H353">
            <v>182400</v>
          </cell>
          <cell r="I353">
            <v>3400</v>
          </cell>
          <cell r="J353">
            <v>190</v>
          </cell>
          <cell r="K353">
            <v>0</v>
          </cell>
          <cell r="L353">
            <v>18465</v>
          </cell>
          <cell r="M353">
            <v>7020</v>
          </cell>
          <cell r="N353">
            <v>689000</v>
          </cell>
          <cell r="O353">
            <v>84</v>
          </cell>
          <cell r="P353">
            <v>0</v>
          </cell>
          <cell r="Q353">
            <v>0</v>
          </cell>
          <cell r="R353">
            <v>0</v>
          </cell>
          <cell r="S353">
            <v>0</v>
          </cell>
          <cell r="T353">
            <v>1003</v>
          </cell>
          <cell r="U353">
            <v>298</v>
          </cell>
          <cell r="V353">
            <v>119</v>
          </cell>
          <cell r="W353">
            <v>0.01</v>
          </cell>
        </row>
        <row r="354">
          <cell r="C354" t="str">
            <v>1996UT</v>
          </cell>
          <cell r="D354">
            <v>2180</v>
          </cell>
          <cell r="E354">
            <v>2780</v>
          </cell>
          <cell r="F354">
            <v>7455</v>
          </cell>
          <cell r="G354">
            <v>8000</v>
          </cell>
          <cell r="H354">
            <v>0</v>
          </cell>
          <cell r="I354">
            <v>630</v>
          </cell>
          <cell r="J354">
            <v>0</v>
          </cell>
          <cell r="K354">
            <v>0</v>
          </cell>
          <cell r="L354">
            <v>0</v>
          </cell>
          <cell r="M354">
            <v>0</v>
          </cell>
          <cell r="N354">
            <v>0</v>
          </cell>
          <cell r="O354">
            <v>10</v>
          </cell>
          <cell r="P354">
            <v>0</v>
          </cell>
          <cell r="Q354">
            <v>0</v>
          </cell>
          <cell r="R354">
            <v>0</v>
          </cell>
          <cell r="S354">
            <v>0</v>
          </cell>
          <cell r="T354">
            <v>0</v>
          </cell>
          <cell r="U354">
            <v>0</v>
          </cell>
          <cell r="V354">
            <v>0</v>
          </cell>
        </row>
        <row r="355">
          <cell r="C355" t="str">
            <v>1996VT</v>
          </cell>
          <cell r="D355">
            <v>137</v>
          </cell>
          <cell r="E355">
            <v>0</v>
          </cell>
          <cell r="F355">
            <v>0</v>
          </cell>
          <cell r="G355">
            <v>0</v>
          </cell>
          <cell r="H355">
            <v>0</v>
          </cell>
          <cell r="I355">
            <v>0</v>
          </cell>
          <cell r="J355">
            <v>0</v>
          </cell>
          <cell r="K355">
            <v>0</v>
          </cell>
          <cell r="L355">
            <v>0</v>
          </cell>
          <cell r="M355">
            <v>0</v>
          </cell>
          <cell r="N355">
            <v>0</v>
          </cell>
          <cell r="O355">
            <v>0</v>
          </cell>
          <cell r="P355">
            <v>0</v>
          </cell>
          <cell r="Q355">
            <v>0</v>
          </cell>
          <cell r="R355">
            <v>0</v>
          </cell>
          <cell r="S355">
            <v>0</v>
          </cell>
          <cell r="T355">
            <v>0</v>
          </cell>
          <cell r="U355">
            <v>0</v>
          </cell>
          <cell r="V355">
            <v>0</v>
          </cell>
        </row>
        <row r="356">
          <cell r="C356" t="str">
            <v>1996VA</v>
          </cell>
          <cell r="D356">
            <v>432</v>
          </cell>
          <cell r="E356">
            <v>39060</v>
          </cell>
          <cell r="F356">
            <v>14575</v>
          </cell>
          <cell r="G356">
            <v>5100</v>
          </cell>
          <cell r="H356">
            <v>0</v>
          </cell>
          <cell r="I356">
            <v>0</v>
          </cell>
          <cell r="J356">
            <v>264</v>
          </cell>
          <cell r="K356">
            <v>0</v>
          </cell>
          <cell r="L356">
            <v>0</v>
          </cell>
          <cell r="M356">
            <v>16320</v>
          </cell>
          <cell r="N356">
            <v>219260</v>
          </cell>
          <cell r="O356">
            <v>0</v>
          </cell>
          <cell r="P356">
            <v>0</v>
          </cell>
          <cell r="Q356">
            <v>0</v>
          </cell>
          <cell r="R356">
            <v>0</v>
          </cell>
          <cell r="S356">
            <v>0</v>
          </cell>
          <cell r="T356">
            <v>0</v>
          </cell>
          <cell r="U356">
            <v>0</v>
          </cell>
          <cell r="V356">
            <v>0</v>
          </cell>
        </row>
        <row r="357">
          <cell r="C357" t="str">
            <v>1996WA</v>
          </cell>
          <cell r="D357">
            <v>2303</v>
          </cell>
          <cell r="E357">
            <v>22200</v>
          </cell>
          <cell r="F357">
            <v>182670</v>
          </cell>
          <cell r="G357">
            <v>27280</v>
          </cell>
          <cell r="H357">
            <v>0</v>
          </cell>
          <cell r="I357">
            <v>1120</v>
          </cell>
          <cell r="J357">
            <v>0</v>
          </cell>
          <cell r="K357">
            <v>0</v>
          </cell>
          <cell r="L357">
            <v>0</v>
          </cell>
          <cell r="M357">
            <v>0</v>
          </cell>
          <cell r="N357">
            <v>0</v>
          </cell>
          <cell r="O357">
            <v>710</v>
          </cell>
          <cell r="P357">
            <v>1404</v>
          </cell>
          <cell r="Q357">
            <v>0</v>
          </cell>
          <cell r="R357">
            <v>682</v>
          </cell>
          <cell r="S357">
            <v>232</v>
          </cell>
          <cell r="T357">
            <v>0</v>
          </cell>
          <cell r="U357">
            <v>0</v>
          </cell>
          <cell r="V357">
            <v>0</v>
          </cell>
        </row>
        <row r="358">
          <cell r="C358" t="str">
            <v>1996WV</v>
          </cell>
          <cell r="D358">
            <v>112</v>
          </cell>
          <cell r="E358">
            <v>4200</v>
          </cell>
          <cell r="F358">
            <v>495</v>
          </cell>
          <cell r="G358">
            <v>0</v>
          </cell>
          <cell r="H358">
            <v>0</v>
          </cell>
          <cell r="I358">
            <v>150</v>
          </cell>
          <cell r="J358">
            <v>0</v>
          </cell>
          <cell r="K358">
            <v>0</v>
          </cell>
          <cell r="L358">
            <v>0</v>
          </cell>
          <cell r="M358">
            <v>0</v>
          </cell>
          <cell r="N358">
            <v>0</v>
          </cell>
          <cell r="O358">
            <v>0</v>
          </cell>
          <cell r="P358">
            <v>0</v>
          </cell>
          <cell r="Q358">
            <v>0</v>
          </cell>
          <cell r="R358">
            <v>0</v>
          </cell>
          <cell r="S358">
            <v>0</v>
          </cell>
          <cell r="T358">
            <v>0</v>
          </cell>
          <cell r="U358">
            <v>0</v>
          </cell>
          <cell r="V358">
            <v>0</v>
          </cell>
        </row>
        <row r="359">
          <cell r="C359" t="str">
            <v>1996WI</v>
          </cell>
          <cell r="D359">
            <v>5250</v>
          </cell>
          <cell r="E359">
            <v>333000</v>
          </cell>
          <cell r="F359">
            <v>5940</v>
          </cell>
          <cell r="G359">
            <v>3975</v>
          </cell>
          <cell r="H359">
            <v>0</v>
          </cell>
          <cell r="I359">
            <v>17400</v>
          </cell>
          <cell r="J359">
            <v>384</v>
          </cell>
          <cell r="K359">
            <v>0</v>
          </cell>
          <cell r="L359">
            <v>0</v>
          </cell>
          <cell r="M359">
            <v>32190</v>
          </cell>
          <cell r="N359">
            <v>0</v>
          </cell>
          <cell r="O359">
            <v>162</v>
          </cell>
          <cell r="P359">
            <v>0</v>
          </cell>
          <cell r="Q359">
            <v>0</v>
          </cell>
          <cell r="R359">
            <v>0</v>
          </cell>
          <cell r="S359">
            <v>0</v>
          </cell>
          <cell r="T359">
            <v>0</v>
          </cell>
          <cell r="U359">
            <v>0</v>
          </cell>
          <cell r="V359">
            <v>0</v>
          </cell>
        </row>
        <row r="360">
          <cell r="C360" t="str">
            <v>1996WY</v>
          </cell>
          <cell r="D360">
            <v>1488</v>
          </cell>
          <cell r="E360">
            <v>6150</v>
          </cell>
          <cell r="F360">
            <v>6030</v>
          </cell>
          <cell r="G360">
            <v>10320</v>
          </cell>
          <cell r="H360">
            <v>0</v>
          </cell>
          <cell r="I360">
            <v>1696</v>
          </cell>
          <cell r="J360">
            <v>0</v>
          </cell>
          <cell r="K360">
            <v>0</v>
          </cell>
          <cell r="L360">
            <v>0</v>
          </cell>
          <cell r="M360">
            <v>0</v>
          </cell>
          <cell r="N360">
            <v>0</v>
          </cell>
          <cell r="O360">
            <v>699</v>
          </cell>
          <cell r="P360">
            <v>0</v>
          </cell>
          <cell r="Q360">
            <v>0</v>
          </cell>
          <cell r="R360">
            <v>0</v>
          </cell>
          <cell r="S360">
            <v>0</v>
          </cell>
          <cell r="T360">
            <v>0</v>
          </cell>
          <cell r="U360">
            <v>0</v>
          </cell>
          <cell r="V360">
            <v>0</v>
          </cell>
        </row>
        <row r="361">
          <cell r="C361" t="str">
            <v>1996US</v>
          </cell>
          <cell r="D361">
            <v>79139</v>
          </cell>
          <cell r="E361">
            <v>9232557</v>
          </cell>
          <cell r="F361">
            <v>2277388</v>
          </cell>
          <cell r="G361">
            <v>392716</v>
          </cell>
          <cell r="H361">
            <v>795274</v>
          </cell>
          <cell r="I361">
            <v>153245</v>
          </cell>
          <cell r="J361">
            <v>8936</v>
          </cell>
          <cell r="K361">
            <v>0</v>
          </cell>
          <cell r="L361">
            <v>171599</v>
          </cell>
          <cell r="M361">
            <v>2380274</v>
          </cell>
          <cell r="N361">
            <v>3661205</v>
          </cell>
          <cell r="O361">
            <v>27912</v>
          </cell>
          <cell r="P361">
            <v>2671</v>
          </cell>
          <cell r="Q361">
            <v>103</v>
          </cell>
          <cell r="R361">
            <v>1333</v>
          </cell>
          <cell r="S361">
            <v>548</v>
          </cell>
          <cell r="T361">
            <v>29464</v>
          </cell>
        </row>
        <row r="362">
          <cell r="C362" t="str">
            <v>1997AL</v>
          </cell>
          <cell r="D362">
            <v>0</v>
          </cell>
          <cell r="E362">
            <v>21750</v>
          </cell>
          <cell r="F362">
            <v>3780</v>
          </cell>
          <cell r="G362">
            <v>0</v>
          </cell>
          <cell r="H362">
            <v>300</v>
          </cell>
          <cell r="I362">
            <v>960</v>
          </cell>
          <cell r="J362">
            <v>0</v>
          </cell>
          <cell r="K362">
            <v>0</v>
          </cell>
          <cell r="L362">
            <v>0</v>
          </cell>
          <cell r="M362">
            <v>8500</v>
          </cell>
          <cell r="N362">
            <v>372490</v>
          </cell>
          <cell r="O362">
            <v>0</v>
          </cell>
          <cell r="P362">
            <v>0</v>
          </cell>
          <cell r="Q362">
            <v>0</v>
          </cell>
          <cell r="R362">
            <v>0</v>
          </cell>
          <cell r="S362">
            <v>0</v>
          </cell>
          <cell r="T362">
            <v>0</v>
          </cell>
          <cell r="U362">
            <v>0</v>
          </cell>
          <cell r="V362">
            <v>0</v>
          </cell>
        </row>
        <row r="363">
          <cell r="C363" t="str">
            <v>1997AK</v>
          </cell>
          <cell r="D363">
            <v>0</v>
          </cell>
          <cell r="E363">
            <v>0</v>
          </cell>
          <cell r="F363">
            <v>0</v>
          </cell>
          <cell r="G363">
            <v>164.5</v>
          </cell>
          <cell r="H363">
            <v>0</v>
          </cell>
          <cell r="I363">
            <v>65300</v>
          </cell>
          <cell r="J363">
            <v>0</v>
          </cell>
          <cell r="K363">
            <v>0</v>
          </cell>
          <cell r="L363">
            <v>0</v>
          </cell>
          <cell r="M363">
            <v>0</v>
          </cell>
          <cell r="N363">
            <v>0</v>
          </cell>
          <cell r="O363">
            <v>0</v>
          </cell>
          <cell r="P363">
            <v>0</v>
          </cell>
          <cell r="Q363">
            <v>0</v>
          </cell>
          <cell r="R363">
            <v>0</v>
          </cell>
          <cell r="S363">
            <v>0</v>
          </cell>
          <cell r="T363">
            <v>0</v>
          </cell>
          <cell r="U363">
            <v>0</v>
          </cell>
          <cell r="V363">
            <v>0</v>
          </cell>
        </row>
        <row r="364">
          <cell r="C364" t="str">
            <v>1997AZ</v>
          </cell>
          <cell r="D364">
            <v>1558</v>
          </cell>
          <cell r="E364">
            <v>6600</v>
          </cell>
          <cell r="F364">
            <v>8775</v>
          </cell>
          <cell r="G364">
            <v>6834</v>
          </cell>
          <cell r="H364">
            <v>0</v>
          </cell>
          <cell r="I364">
            <v>0</v>
          </cell>
          <cell r="J364">
            <v>0</v>
          </cell>
          <cell r="K364">
            <v>0</v>
          </cell>
          <cell r="L364">
            <v>0</v>
          </cell>
          <cell r="M364">
            <v>0</v>
          </cell>
          <cell r="N364">
            <v>0</v>
          </cell>
          <cell r="O364">
            <v>0</v>
          </cell>
          <cell r="P364">
            <v>0</v>
          </cell>
          <cell r="Q364">
            <v>0</v>
          </cell>
          <cell r="R364">
            <v>0</v>
          </cell>
          <cell r="S364">
            <v>0</v>
          </cell>
          <cell r="T364">
            <v>0</v>
          </cell>
          <cell r="U364">
            <v>0</v>
          </cell>
          <cell r="V364">
            <v>0</v>
          </cell>
        </row>
        <row r="365">
          <cell r="C365" t="str">
            <v>1997AR</v>
          </cell>
          <cell r="D365">
            <v>70</v>
          </cell>
          <cell r="E365">
            <v>23125</v>
          </cell>
          <cell r="F365">
            <v>39360</v>
          </cell>
          <cell r="G365">
            <v>0</v>
          </cell>
          <cell r="H365">
            <v>11100</v>
          </cell>
          <cell r="I365">
            <v>750</v>
          </cell>
          <cell r="J365">
            <v>0</v>
          </cell>
          <cell r="K365">
            <v>0</v>
          </cell>
          <cell r="L365">
            <v>79220</v>
          </cell>
          <cell r="M365">
            <v>109800</v>
          </cell>
          <cell r="N365">
            <v>0</v>
          </cell>
          <cell r="O365">
            <v>0</v>
          </cell>
          <cell r="P365">
            <v>0</v>
          </cell>
          <cell r="Q365">
            <v>0</v>
          </cell>
          <cell r="R365">
            <v>0</v>
          </cell>
          <cell r="S365">
            <v>0</v>
          </cell>
          <cell r="T365">
            <v>0</v>
          </cell>
          <cell r="U365">
            <v>1390</v>
          </cell>
          <cell r="V365">
            <v>0</v>
          </cell>
          <cell r="W365">
            <v>0.13</v>
          </cell>
        </row>
        <row r="366">
          <cell r="C366" t="str">
            <v>1997CA</v>
          </cell>
          <cell r="D366">
            <v>6840</v>
          </cell>
          <cell r="E366">
            <v>45050</v>
          </cell>
          <cell r="F366">
            <v>41680</v>
          </cell>
          <cell r="G366">
            <v>8550</v>
          </cell>
          <cell r="H366">
            <v>0</v>
          </cell>
          <cell r="I366">
            <v>2400</v>
          </cell>
          <cell r="J366">
            <v>0</v>
          </cell>
          <cell r="K366">
            <v>0</v>
          </cell>
          <cell r="L366">
            <v>42546</v>
          </cell>
          <cell r="M366">
            <v>0</v>
          </cell>
          <cell r="N366">
            <v>0</v>
          </cell>
          <cell r="O366">
            <v>3000</v>
          </cell>
          <cell r="P366">
            <v>0</v>
          </cell>
          <cell r="Q366">
            <v>0</v>
          </cell>
          <cell r="R366">
            <v>0</v>
          </cell>
          <cell r="S366">
            <v>0</v>
          </cell>
          <cell r="T366">
            <v>0</v>
          </cell>
          <cell r="U366">
            <v>516</v>
          </cell>
          <cell r="V366">
            <v>0</v>
          </cell>
          <cell r="W366">
            <v>0.34</v>
          </cell>
        </row>
        <row r="367">
          <cell r="C367" t="str">
            <v>1997CO</v>
          </cell>
          <cell r="D367">
            <v>3276</v>
          </cell>
          <cell r="E367">
            <v>143080</v>
          </cell>
          <cell r="F367">
            <v>90100</v>
          </cell>
          <cell r="G367">
            <v>9612</v>
          </cell>
          <cell r="H367">
            <v>6000</v>
          </cell>
          <cell r="I367">
            <v>1700</v>
          </cell>
          <cell r="J367">
            <v>54</v>
          </cell>
          <cell r="K367">
            <v>0</v>
          </cell>
          <cell r="L367">
            <v>0</v>
          </cell>
          <cell r="M367">
            <v>0</v>
          </cell>
          <cell r="N367">
            <v>0</v>
          </cell>
          <cell r="O367">
            <v>2280</v>
          </cell>
          <cell r="P367">
            <v>0</v>
          </cell>
          <cell r="Q367">
            <v>0</v>
          </cell>
          <cell r="R367">
            <v>0</v>
          </cell>
          <cell r="S367">
            <v>0</v>
          </cell>
          <cell r="T367">
            <v>0</v>
          </cell>
          <cell r="U367">
            <v>0</v>
          </cell>
          <cell r="V367">
            <v>0</v>
          </cell>
        </row>
        <row r="368">
          <cell r="C368" t="str">
            <v>1997CT</v>
          </cell>
          <cell r="D368">
            <v>29</v>
          </cell>
          <cell r="E368">
            <v>0</v>
          </cell>
          <cell r="F368">
            <v>0</v>
          </cell>
          <cell r="G368">
            <v>0</v>
          </cell>
          <cell r="H368">
            <v>0</v>
          </cell>
          <cell r="I368">
            <v>0</v>
          </cell>
          <cell r="J368">
            <v>0</v>
          </cell>
          <cell r="K368">
            <v>0</v>
          </cell>
          <cell r="L368">
            <v>0</v>
          </cell>
          <cell r="M368">
            <v>0</v>
          </cell>
          <cell r="N368">
            <v>0</v>
          </cell>
          <cell r="O368">
            <v>0</v>
          </cell>
          <cell r="P368">
            <v>0</v>
          </cell>
          <cell r="Q368">
            <v>0</v>
          </cell>
          <cell r="R368">
            <v>0</v>
          </cell>
          <cell r="S368">
            <v>0</v>
          </cell>
          <cell r="T368">
            <v>0</v>
          </cell>
          <cell r="U368">
            <v>0</v>
          </cell>
          <cell r="V368">
            <v>0</v>
          </cell>
        </row>
        <row r="369">
          <cell r="C369" t="str">
            <v>1997DE</v>
          </cell>
          <cell r="D369">
            <v>24</v>
          </cell>
          <cell r="E369">
            <v>16800</v>
          </cell>
          <cell r="F369">
            <v>5329</v>
          </cell>
          <cell r="G369">
            <v>3115</v>
          </cell>
          <cell r="H369">
            <v>0</v>
          </cell>
          <cell r="I369">
            <v>0</v>
          </cell>
          <cell r="J369">
            <v>0</v>
          </cell>
          <cell r="K369">
            <v>0</v>
          </cell>
          <cell r="L369">
            <v>0</v>
          </cell>
          <cell r="M369">
            <v>6525</v>
          </cell>
          <cell r="N369">
            <v>0</v>
          </cell>
          <cell r="O369">
            <v>0</v>
          </cell>
          <cell r="P369">
            <v>0</v>
          </cell>
          <cell r="Q369">
            <v>0</v>
          </cell>
          <cell r="R369">
            <v>0</v>
          </cell>
          <cell r="S369">
            <v>0</v>
          </cell>
          <cell r="T369">
            <v>0</v>
          </cell>
          <cell r="U369">
            <v>0</v>
          </cell>
          <cell r="V369">
            <v>0</v>
          </cell>
        </row>
        <row r="370">
          <cell r="C370" t="str">
            <v>1997FL</v>
          </cell>
          <cell r="D370">
            <v>0</v>
          </cell>
          <cell r="E370">
            <v>6000</v>
          </cell>
          <cell r="F370">
            <v>663</v>
          </cell>
          <cell r="G370">
            <v>0</v>
          </cell>
          <cell r="H370">
            <v>0</v>
          </cell>
          <cell r="I370">
            <v>0</v>
          </cell>
          <cell r="J370">
            <v>0</v>
          </cell>
          <cell r="K370">
            <v>0</v>
          </cell>
          <cell r="L370">
            <v>844.24251152535589</v>
          </cell>
          <cell r="M370">
            <v>1125</v>
          </cell>
          <cell r="N370">
            <v>228060</v>
          </cell>
          <cell r="O370">
            <v>0</v>
          </cell>
          <cell r="P370">
            <v>0</v>
          </cell>
          <cell r="Q370">
            <v>0</v>
          </cell>
          <cell r="R370">
            <v>0</v>
          </cell>
          <cell r="S370">
            <v>0</v>
          </cell>
          <cell r="T370">
            <v>16236</v>
          </cell>
          <cell r="U370">
            <v>19</v>
          </cell>
          <cell r="V370">
            <v>10</v>
          </cell>
          <cell r="W370">
            <v>0</v>
          </cell>
        </row>
        <row r="371">
          <cell r="C371" t="str">
            <v>1997GA</v>
          </cell>
          <cell r="D371">
            <v>0</v>
          </cell>
          <cell r="E371">
            <v>47250</v>
          </cell>
          <cell r="F371">
            <v>15400</v>
          </cell>
          <cell r="G371">
            <v>0</v>
          </cell>
          <cell r="H371">
            <v>1800</v>
          </cell>
          <cell r="I371">
            <v>1680</v>
          </cell>
          <cell r="J371">
            <v>1430</v>
          </cell>
          <cell r="K371">
            <v>0</v>
          </cell>
          <cell r="L371">
            <v>0</v>
          </cell>
          <cell r="M371">
            <v>7980</v>
          </cell>
          <cell r="N371">
            <v>1333830</v>
          </cell>
          <cell r="O371">
            <v>0</v>
          </cell>
          <cell r="P371">
            <v>0</v>
          </cell>
          <cell r="Q371">
            <v>0</v>
          </cell>
          <cell r="R371">
            <v>0</v>
          </cell>
          <cell r="S371">
            <v>0</v>
          </cell>
          <cell r="T371">
            <v>0</v>
          </cell>
          <cell r="U371">
            <v>0</v>
          </cell>
          <cell r="V371">
            <v>0</v>
          </cell>
        </row>
        <row r="372">
          <cell r="C372" t="str">
            <v>1997HI</v>
          </cell>
          <cell r="D372">
            <v>0</v>
          </cell>
          <cell r="E372">
            <v>0</v>
          </cell>
          <cell r="F372">
            <v>0</v>
          </cell>
          <cell r="G372">
            <v>0</v>
          </cell>
          <cell r="H372">
            <v>0</v>
          </cell>
          <cell r="I372">
            <v>0</v>
          </cell>
          <cell r="J372">
            <v>0</v>
          </cell>
          <cell r="K372">
            <v>0</v>
          </cell>
          <cell r="L372">
            <v>0</v>
          </cell>
          <cell r="M372">
            <v>0</v>
          </cell>
          <cell r="N372">
            <v>0</v>
          </cell>
          <cell r="O372">
            <v>0</v>
          </cell>
          <cell r="P372">
            <v>0</v>
          </cell>
          <cell r="Q372">
            <v>0</v>
          </cell>
          <cell r="R372">
            <v>0</v>
          </cell>
          <cell r="S372">
            <v>0</v>
          </cell>
          <cell r="T372">
            <v>3009</v>
          </cell>
          <cell r="U372">
            <v>0</v>
          </cell>
          <cell r="V372">
            <v>0</v>
          </cell>
        </row>
        <row r="373">
          <cell r="C373" t="str">
            <v>1997ID</v>
          </cell>
          <cell r="D373">
            <v>4100</v>
          </cell>
          <cell r="E373">
            <v>6665</v>
          </cell>
          <cell r="F373">
            <v>113830</v>
          </cell>
          <cell r="G373">
            <v>59250</v>
          </cell>
          <cell r="H373">
            <v>0</v>
          </cell>
          <cell r="I373">
            <v>1575</v>
          </cell>
          <cell r="J373">
            <v>0</v>
          </cell>
          <cell r="K373">
            <v>0</v>
          </cell>
          <cell r="L373">
            <v>0</v>
          </cell>
          <cell r="M373">
            <v>0</v>
          </cell>
          <cell r="N373">
            <v>0</v>
          </cell>
          <cell r="O373">
            <v>2156</v>
          </cell>
          <cell r="P373">
            <v>1554</v>
          </cell>
          <cell r="Q373">
            <v>108</v>
          </cell>
          <cell r="R373">
            <v>924</v>
          </cell>
          <cell r="S373">
            <v>286</v>
          </cell>
          <cell r="T373">
            <v>0</v>
          </cell>
          <cell r="U373">
            <v>0</v>
          </cell>
          <cell r="V373">
            <v>0</v>
          </cell>
        </row>
        <row r="374">
          <cell r="C374" t="str">
            <v>1997IL</v>
          </cell>
          <cell r="D374">
            <v>2262</v>
          </cell>
          <cell r="E374">
            <v>1425450</v>
          </cell>
          <cell r="F374">
            <v>66490</v>
          </cell>
          <cell r="G374">
            <v>0</v>
          </cell>
          <cell r="H374">
            <v>10465</v>
          </cell>
          <cell r="I374">
            <v>5550</v>
          </cell>
          <cell r="J374">
            <v>240</v>
          </cell>
          <cell r="K374">
            <v>0</v>
          </cell>
          <cell r="L374">
            <v>0</v>
          </cell>
          <cell r="M374">
            <v>427850</v>
          </cell>
          <cell r="N374">
            <v>0</v>
          </cell>
          <cell r="O374">
            <v>0</v>
          </cell>
          <cell r="P374">
            <v>0</v>
          </cell>
          <cell r="Q374">
            <v>0</v>
          </cell>
          <cell r="R374">
            <v>0</v>
          </cell>
          <cell r="S374">
            <v>0</v>
          </cell>
          <cell r="T374">
            <v>0</v>
          </cell>
          <cell r="U374">
            <v>0</v>
          </cell>
          <cell r="V374">
            <v>0</v>
          </cell>
        </row>
        <row r="375">
          <cell r="C375" t="str">
            <v>1997IN</v>
          </cell>
          <cell r="D375">
            <v>1520</v>
          </cell>
          <cell r="E375">
            <v>701500</v>
          </cell>
          <cell r="F375">
            <v>36540</v>
          </cell>
          <cell r="G375">
            <v>0</v>
          </cell>
          <cell r="H375">
            <v>0</v>
          </cell>
          <cell r="I375">
            <v>1800</v>
          </cell>
          <cell r="J375">
            <v>64</v>
          </cell>
          <cell r="K375">
            <v>0</v>
          </cell>
          <cell r="L375">
            <v>0</v>
          </cell>
          <cell r="M375">
            <v>230550</v>
          </cell>
          <cell r="N375">
            <v>0</v>
          </cell>
          <cell r="O375">
            <v>0</v>
          </cell>
          <cell r="P375">
            <v>0</v>
          </cell>
          <cell r="Q375">
            <v>0</v>
          </cell>
          <cell r="R375">
            <v>0</v>
          </cell>
          <cell r="S375">
            <v>0</v>
          </cell>
          <cell r="T375">
            <v>0</v>
          </cell>
          <cell r="U375">
            <v>0</v>
          </cell>
          <cell r="V375">
            <v>0</v>
          </cell>
        </row>
        <row r="376">
          <cell r="C376" t="str">
            <v>1997IA</v>
          </cell>
          <cell r="D376">
            <v>4200</v>
          </cell>
          <cell r="E376">
            <v>1642200</v>
          </cell>
          <cell r="F376">
            <v>1050</v>
          </cell>
          <cell r="G376">
            <v>0</v>
          </cell>
          <cell r="H376">
            <v>0</v>
          </cell>
          <cell r="I376">
            <v>16790</v>
          </cell>
          <cell r="J376">
            <v>0</v>
          </cell>
          <cell r="K376">
            <v>0</v>
          </cell>
          <cell r="L376">
            <v>0</v>
          </cell>
          <cell r="M376">
            <v>478400</v>
          </cell>
          <cell r="N376">
            <v>0</v>
          </cell>
          <cell r="O376">
            <v>0</v>
          </cell>
          <cell r="P376">
            <v>0</v>
          </cell>
          <cell r="Q376">
            <v>0</v>
          </cell>
          <cell r="R376">
            <v>0</v>
          </cell>
          <cell r="S376">
            <v>0</v>
          </cell>
          <cell r="T376">
            <v>0</v>
          </cell>
          <cell r="U376">
            <v>0</v>
          </cell>
          <cell r="V376">
            <v>0</v>
          </cell>
        </row>
        <row r="377">
          <cell r="C377" t="str">
            <v>1997KS</v>
          </cell>
          <cell r="D377">
            <v>3600</v>
          </cell>
          <cell r="E377">
            <v>371800</v>
          </cell>
          <cell r="F377">
            <v>501400</v>
          </cell>
          <cell r="G377">
            <v>336</v>
          </cell>
          <cell r="H377">
            <v>265200</v>
          </cell>
          <cell r="I377">
            <v>4720</v>
          </cell>
          <cell r="J377">
            <v>300</v>
          </cell>
          <cell r="K377">
            <v>0</v>
          </cell>
          <cell r="L377">
            <v>0</v>
          </cell>
          <cell r="M377">
            <v>86950</v>
          </cell>
          <cell r="N377">
            <v>0</v>
          </cell>
          <cell r="O377">
            <v>380</v>
          </cell>
          <cell r="P377">
            <v>0</v>
          </cell>
          <cell r="Q377">
            <v>0</v>
          </cell>
          <cell r="R377">
            <v>0</v>
          </cell>
          <cell r="S377">
            <v>0</v>
          </cell>
          <cell r="T377">
            <v>0</v>
          </cell>
          <cell r="U377">
            <v>0</v>
          </cell>
          <cell r="V377">
            <v>0</v>
          </cell>
        </row>
        <row r="378">
          <cell r="C378" t="str">
            <v>1997KY</v>
          </cell>
          <cell r="D378">
            <v>750</v>
          </cell>
          <cell r="E378">
            <v>118450</v>
          </cell>
          <cell r="F378">
            <v>22680</v>
          </cell>
          <cell r="G378">
            <v>490</v>
          </cell>
          <cell r="H378">
            <v>585</v>
          </cell>
          <cell r="I378">
            <v>0</v>
          </cell>
          <cell r="J378">
            <v>0</v>
          </cell>
          <cell r="K378">
            <v>0</v>
          </cell>
          <cell r="L378">
            <v>0</v>
          </cell>
          <cell r="M378">
            <v>42090</v>
          </cell>
          <cell r="N378">
            <v>0</v>
          </cell>
          <cell r="O378">
            <v>0</v>
          </cell>
          <cell r="P378">
            <v>0</v>
          </cell>
          <cell r="Q378">
            <v>0</v>
          </cell>
          <cell r="R378">
            <v>0</v>
          </cell>
          <cell r="S378">
            <v>0</v>
          </cell>
          <cell r="T378">
            <v>0</v>
          </cell>
          <cell r="U378">
            <v>0</v>
          </cell>
          <cell r="V378">
            <v>0</v>
          </cell>
        </row>
        <row r="379">
          <cell r="C379" t="str">
            <v>1997LA</v>
          </cell>
          <cell r="D379">
            <v>0</v>
          </cell>
          <cell r="E379">
            <v>48789</v>
          </cell>
          <cell r="F379">
            <v>4255</v>
          </cell>
          <cell r="G379">
            <v>0</v>
          </cell>
          <cell r="H379">
            <v>6600</v>
          </cell>
          <cell r="I379">
            <v>0</v>
          </cell>
          <cell r="J379">
            <v>0</v>
          </cell>
          <cell r="K379">
            <v>0</v>
          </cell>
          <cell r="L379">
            <v>26981</v>
          </cell>
          <cell r="M379">
            <v>39150</v>
          </cell>
          <cell r="N379">
            <v>0</v>
          </cell>
          <cell r="O379">
            <v>0</v>
          </cell>
          <cell r="P379">
            <v>0</v>
          </cell>
          <cell r="Q379">
            <v>0</v>
          </cell>
          <cell r="R379">
            <v>0</v>
          </cell>
          <cell r="S379">
            <v>0</v>
          </cell>
          <cell r="T379">
            <v>11562</v>
          </cell>
          <cell r="U379">
            <v>583</v>
          </cell>
          <cell r="V379">
            <v>175</v>
          </cell>
          <cell r="W379">
            <v>0.06</v>
          </cell>
        </row>
        <row r="380">
          <cell r="C380" t="str">
            <v>1997ME</v>
          </cell>
          <cell r="D380">
            <v>20</v>
          </cell>
          <cell r="E380">
            <v>0</v>
          </cell>
          <cell r="F380">
            <v>0</v>
          </cell>
          <cell r="G380">
            <v>0</v>
          </cell>
          <cell r="H380">
            <v>0</v>
          </cell>
          <cell r="I380">
            <v>1679</v>
          </cell>
          <cell r="J380">
            <v>0</v>
          </cell>
          <cell r="K380">
            <v>0</v>
          </cell>
          <cell r="L380">
            <v>0</v>
          </cell>
          <cell r="M380">
            <v>0</v>
          </cell>
          <cell r="N380">
            <v>0</v>
          </cell>
          <cell r="O380">
            <v>0</v>
          </cell>
          <cell r="P380">
            <v>0</v>
          </cell>
          <cell r="Q380">
            <v>0</v>
          </cell>
          <cell r="R380">
            <v>0</v>
          </cell>
          <cell r="S380">
            <v>0</v>
          </cell>
          <cell r="T380">
            <v>0</v>
          </cell>
          <cell r="U380">
            <v>0</v>
          </cell>
          <cell r="V380">
            <v>0</v>
          </cell>
        </row>
        <row r="381">
          <cell r="C381" t="str">
            <v>1997MD</v>
          </cell>
          <cell r="D381">
            <v>182</v>
          </cell>
          <cell r="E381">
            <v>36900</v>
          </cell>
          <cell r="F381">
            <v>14280</v>
          </cell>
          <cell r="G381">
            <v>4000</v>
          </cell>
          <cell r="H381">
            <v>0</v>
          </cell>
          <cell r="I381">
            <v>385</v>
          </cell>
          <cell r="J381">
            <v>75</v>
          </cell>
          <cell r="K381">
            <v>0</v>
          </cell>
          <cell r="L381">
            <v>0</v>
          </cell>
          <cell r="M381">
            <v>15600</v>
          </cell>
          <cell r="N381">
            <v>0</v>
          </cell>
          <cell r="O381">
            <v>0</v>
          </cell>
          <cell r="P381">
            <v>0</v>
          </cell>
          <cell r="Q381">
            <v>0</v>
          </cell>
          <cell r="R381">
            <v>0</v>
          </cell>
          <cell r="S381">
            <v>0</v>
          </cell>
          <cell r="T381">
            <v>0</v>
          </cell>
          <cell r="U381">
            <v>0</v>
          </cell>
          <cell r="V381">
            <v>0</v>
          </cell>
        </row>
        <row r="382">
          <cell r="C382" t="str">
            <v>1997MA</v>
          </cell>
          <cell r="D382">
            <v>39</v>
          </cell>
          <cell r="E382">
            <v>0</v>
          </cell>
          <cell r="F382">
            <v>0</v>
          </cell>
          <cell r="G382">
            <v>0</v>
          </cell>
          <cell r="H382">
            <v>0</v>
          </cell>
          <cell r="I382">
            <v>0</v>
          </cell>
          <cell r="J382">
            <v>0</v>
          </cell>
          <cell r="K382">
            <v>0</v>
          </cell>
          <cell r="L382">
            <v>0</v>
          </cell>
          <cell r="M382">
            <v>0</v>
          </cell>
          <cell r="N382">
            <v>0</v>
          </cell>
          <cell r="O382">
            <v>0</v>
          </cell>
          <cell r="P382">
            <v>0</v>
          </cell>
          <cell r="Q382">
            <v>0</v>
          </cell>
          <cell r="R382">
            <v>0</v>
          </cell>
          <cell r="S382">
            <v>0</v>
          </cell>
          <cell r="T382">
            <v>0</v>
          </cell>
          <cell r="U382">
            <v>0</v>
          </cell>
          <cell r="V382">
            <v>0</v>
          </cell>
        </row>
        <row r="383">
          <cell r="C383" t="str">
            <v>1997MI</v>
          </cell>
          <cell r="D383">
            <v>3060</v>
          </cell>
          <cell r="E383">
            <v>255060</v>
          </cell>
          <cell r="F383">
            <v>32240</v>
          </cell>
          <cell r="G383">
            <v>1276</v>
          </cell>
          <cell r="H383">
            <v>0</v>
          </cell>
          <cell r="I383">
            <v>4880</v>
          </cell>
          <cell r="J383">
            <v>450</v>
          </cell>
          <cell r="K383">
            <v>0</v>
          </cell>
          <cell r="L383">
            <v>0</v>
          </cell>
          <cell r="M383">
            <v>71610</v>
          </cell>
          <cell r="N383">
            <v>0</v>
          </cell>
          <cell r="O383">
            <v>4941</v>
          </cell>
          <cell r="P383">
            <v>0</v>
          </cell>
          <cell r="Q383">
            <v>0</v>
          </cell>
          <cell r="R383">
            <v>0</v>
          </cell>
          <cell r="S383">
            <v>0</v>
          </cell>
          <cell r="T383">
            <v>0</v>
          </cell>
          <cell r="U383">
            <v>0</v>
          </cell>
          <cell r="V383">
            <v>0</v>
          </cell>
        </row>
        <row r="384">
          <cell r="C384" t="str">
            <v>1997MN</v>
          </cell>
          <cell r="D384">
            <v>4868</v>
          </cell>
          <cell r="E384">
            <v>851400</v>
          </cell>
          <cell r="F384">
            <v>77300</v>
          </cell>
          <cell r="G384">
            <v>23460</v>
          </cell>
          <cell r="H384">
            <v>0</v>
          </cell>
          <cell r="I384">
            <v>17400</v>
          </cell>
          <cell r="J384">
            <v>400</v>
          </cell>
          <cell r="K384">
            <v>0</v>
          </cell>
          <cell r="L384">
            <v>0</v>
          </cell>
          <cell r="M384">
            <v>255450</v>
          </cell>
          <cell r="N384">
            <v>0</v>
          </cell>
          <cell r="O384">
            <v>2558</v>
          </cell>
          <cell r="P384">
            <v>0</v>
          </cell>
          <cell r="Q384">
            <v>0</v>
          </cell>
          <cell r="R384">
            <v>0</v>
          </cell>
          <cell r="S384">
            <v>0</v>
          </cell>
          <cell r="T384">
            <v>0</v>
          </cell>
          <cell r="U384">
            <v>0</v>
          </cell>
          <cell r="V384">
            <v>0</v>
          </cell>
        </row>
        <row r="385">
          <cell r="C385" t="str">
            <v>1997MS</v>
          </cell>
          <cell r="D385">
            <v>0</v>
          </cell>
          <cell r="E385">
            <v>46331</v>
          </cell>
          <cell r="F385">
            <v>7525</v>
          </cell>
          <cell r="G385">
            <v>0</v>
          </cell>
          <cell r="H385">
            <v>2475</v>
          </cell>
          <cell r="I385">
            <v>0</v>
          </cell>
          <cell r="J385">
            <v>0</v>
          </cell>
          <cell r="K385">
            <v>0</v>
          </cell>
          <cell r="L385">
            <v>13804</v>
          </cell>
          <cell r="M385">
            <v>64170</v>
          </cell>
          <cell r="N385">
            <v>0</v>
          </cell>
          <cell r="O385">
            <v>0</v>
          </cell>
          <cell r="P385">
            <v>0</v>
          </cell>
          <cell r="Q385">
            <v>0</v>
          </cell>
          <cell r="R385">
            <v>0</v>
          </cell>
          <cell r="S385">
            <v>0</v>
          </cell>
          <cell r="T385">
            <v>0</v>
          </cell>
          <cell r="U385">
            <v>238</v>
          </cell>
          <cell r="V385">
            <v>0</v>
          </cell>
          <cell r="W385">
            <v>0.1</v>
          </cell>
        </row>
        <row r="386">
          <cell r="C386" t="str">
            <v>1997MO</v>
          </cell>
          <cell r="D386">
            <v>1260</v>
          </cell>
          <cell r="E386">
            <v>299000</v>
          </cell>
          <cell r="F386">
            <v>58320</v>
          </cell>
          <cell r="G386">
            <v>0</v>
          </cell>
          <cell r="H386">
            <v>36800</v>
          </cell>
          <cell r="I386">
            <v>1525</v>
          </cell>
          <cell r="J386">
            <v>0</v>
          </cell>
          <cell r="K386">
            <v>0</v>
          </cell>
          <cell r="L386">
            <v>6201</v>
          </cell>
          <cell r="M386">
            <v>174600</v>
          </cell>
          <cell r="N386">
            <v>0</v>
          </cell>
          <cell r="O386">
            <v>0</v>
          </cell>
          <cell r="P386">
            <v>0</v>
          </cell>
          <cell r="Q386">
            <v>0</v>
          </cell>
          <cell r="R386">
            <v>0</v>
          </cell>
          <cell r="S386">
            <v>0</v>
          </cell>
          <cell r="T386">
            <v>0</v>
          </cell>
          <cell r="U386">
            <v>117</v>
          </cell>
          <cell r="V386">
            <v>0</v>
          </cell>
          <cell r="W386">
            <v>0.05</v>
          </cell>
        </row>
        <row r="387">
          <cell r="C387" t="str">
            <v>1997MT</v>
          </cell>
          <cell r="D387">
            <v>3960</v>
          </cell>
          <cell r="E387">
            <v>1890</v>
          </cell>
          <cell r="F387">
            <v>181540</v>
          </cell>
          <cell r="G387">
            <v>60950</v>
          </cell>
          <cell r="H387">
            <v>0</v>
          </cell>
          <cell r="I387">
            <v>3850</v>
          </cell>
          <cell r="J387">
            <v>0</v>
          </cell>
          <cell r="K387">
            <v>0</v>
          </cell>
          <cell r="L387">
            <v>0</v>
          </cell>
          <cell r="M387">
            <v>0</v>
          </cell>
          <cell r="N387">
            <v>0</v>
          </cell>
          <cell r="O387">
            <v>257</v>
          </cell>
          <cell r="P387">
            <v>0</v>
          </cell>
          <cell r="Q387">
            <v>0</v>
          </cell>
          <cell r="R387">
            <v>0</v>
          </cell>
          <cell r="S387">
            <v>0</v>
          </cell>
          <cell r="T387">
            <v>0</v>
          </cell>
          <cell r="U387">
            <v>0</v>
          </cell>
          <cell r="V387">
            <v>0</v>
          </cell>
        </row>
        <row r="388">
          <cell r="C388" t="str">
            <v>1997NE</v>
          </cell>
          <cell r="D388">
            <v>4225</v>
          </cell>
          <cell r="E388">
            <v>1135200</v>
          </cell>
          <cell r="F388">
            <v>70300</v>
          </cell>
          <cell r="G388">
            <v>459</v>
          </cell>
          <cell r="H388">
            <v>60750</v>
          </cell>
          <cell r="I388">
            <v>5850</v>
          </cell>
          <cell r="J388">
            <v>240</v>
          </cell>
          <cell r="K388">
            <v>0</v>
          </cell>
          <cell r="L388">
            <v>0</v>
          </cell>
          <cell r="M388">
            <v>143775</v>
          </cell>
          <cell r="N388">
            <v>0</v>
          </cell>
          <cell r="O388">
            <v>3708</v>
          </cell>
          <cell r="P388">
            <v>0</v>
          </cell>
          <cell r="Q388">
            <v>0</v>
          </cell>
          <cell r="R388">
            <v>0</v>
          </cell>
          <cell r="S388">
            <v>0</v>
          </cell>
          <cell r="T388">
            <v>0</v>
          </cell>
          <cell r="U388">
            <v>0</v>
          </cell>
          <cell r="V388">
            <v>0</v>
          </cell>
        </row>
        <row r="389">
          <cell r="C389" t="str">
            <v>1997NV</v>
          </cell>
          <cell r="D389">
            <v>1092</v>
          </cell>
          <cell r="E389">
            <v>0</v>
          </cell>
          <cell r="F389">
            <v>1875</v>
          </cell>
          <cell r="G389">
            <v>500</v>
          </cell>
          <cell r="H389">
            <v>0</v>
          </cell>
          <cell r="I389">
            <v>0</v>
          </cell>
          <cell r="J389">
            <v>0</v>
          </cell>
          <cell r="K389">
            <v>0</v>
          </cell>
          <cell r="L389">
            <v>0</v>
          </cell>
          <cell r="M389">
            <v>0</v>
          </cell>
          <cell r="N389">
            <v>0</v>
          </cell>
          <cell r="O389">
            <v>0</v>
          </cell>
          <cell r="P389">
            <v>0</v>
          </cell>
          <cell r="Q389">
            <v>0</v>
          </cell>
          <cell r="R389">
            <v>0</v>
          </cell>
          <cell r="S389">
            <v>0</v>
          </cell>
          <cell r="T389">
            <v>0</v>
          </cell>
          <cell r="U389">
            <v>0</v>
          </cell>
          <cell r="V389">
            <v>0</v>
          </cell>
        </row>
        <row r="390">
          <cell r="C390" t="str">
            <v>1997NH</v>
          </cell>
          <cell r="D390">
            <v>16</v>
          </cell>
          <cell r="E390">
            <v>0</v>
          </cell>
          <cell r="F390">
            <v>0</v>
          </cell>
          <cell r="G390">
            <v>0</v>
          </cell>
          <cell r="H390">
            <v>0</v>
          </cell>
          <cell r="I390">
            <v>0</v>
          </cell>
          <cell r="J390">
            <v>0</v>
          </cell>
          <cell r="K390">
            <v>0</v>
          </cell>
          <cell r="L390">
            <v>0</v>
          </cell>
          <cell r="M390">
            <v>0</v>
          </cell>
          <cell r="N390">
            <v>0</v>
          </cell>
          <cell r="O390">
            <v>0</v>
          </cell>
          <cell r="P390">
            <v>0</v>
          </cell>
          <cell r="Q390">
            <v>0</v>
          </cell>
          <cell r="R390">
            <v>0</v>
          </cell>
          <cell r="S390">
            <v>0</v>
          </cell>
          <cell r="T390">
            <v>0</v>
          </cell>
          <cell r="U390">
            <v>0</v>
          </cell>
          <cell r="V390">
            <v>0</v>
          </cell>
        </row>
        <row r="391">
          <cell r="C391" t="str">
            <v>1997NJ</v>
          </cell>
          <cell r="D391">
            <v>73</v>
          </cell>
          <cell r="E391">
            <v>10152</v>
          </cell>
          <cell r="F391">
            <v>2280</v>
          </cell>
          <cell r="G391">
            <v>296</v>
          </cell>
          <cell r="H391">
            <v>0</v>
          </cell>
          <cell r="I391">
            <v>0</v>
          </cell>
          <cell r="J391">
            <v>175</v>
          </cell>
          <cell r="K391">
            <v>0</v>
          </cell>
          <cell r="L391">
            <v>0</v>
          </cell>
          <cell r="M391">
            <v>4030</v>
          </cell>
          <cell r="N391">
            <v>0</v>
          </cell>
          <cell r="O391">
            <v>0</v>
          </cell>
          <cell r="P391">
            <v>0</v>
          </cell>
          <cell r="Q391">
            <v>0</v>
          </cell>
          <cell r="R391">
            <v>0</v>
          </cell>
          <cell r="S391">
            <v>0</v>
          </cell>
          <cell r="T391">
            <v>0</v>
          </cell>
          <cell r="U391">
            <v>0</v>
          </cell>
          <cell r="V391">
            <v>0</v>
          </cell>
        </row>
        <row r="392">
          <cell r="C392" t="str">
            <v>1997NM</v>
          </cell>
          <cell r="D392">
            <v>1326</v>
          </cell>
          <cell r="E392">
            <v>14875</v>
          </cell>
          <cell r="F392">
            <v>9975</v>
          </cell>
          <cell r="G392">
            <v>0</v>
          </cell>
          <cell r="H392">
            <v>9988</v>
          </cell>
          <cell r="I392">
            <v>0</v>
          </cell>
          <cell r="J392">
            <v>0</v>
          </cell>
          <cell r="K392">
            <v>0</v>
          </cell>
          <cell r="L392">
            <v>0</v>
          </cell>
          <cell r="M392">
            <v>0</v>
          </cell>
          <cell r="N392">
            <v>46710</v>
          </cell>
          <cell r="O392">
            <v>204</v>
          </cell>
          <cell r="P392">
            <v>0</v>
          </cell>
          <cell r="Q392">
            <v>0</v>
          </cell>
          <cell r="R392">
            <v>0</v>
          </cell>
          <cell r="S392">
            <v>0</v>
          </cell>
          <cell r="T392">
            <v>0</v>
          </cell>
          <cell r="U392">
            <v>0</v>
          </cell>
          <cell r="V392">
            <v>0</v>
          </cell>
        </row>
        <row r="393">
          <cell r="C393" t="str">
            <v>1997NY</v>
          </cell>
          <cell r="D393">
            <v>1664</v>
          </cell>
          <cell r="E393">
            <v>66000</v>
          </cell>
          <cell r="F393">
            <v>7280</v>
          </cell>
          <cell r="G393">
            <v>0</v>
          </cell>
          <cell r="H393">
            <v>0</v>
          </cell>
          <cell r="I393">
            <v>5850</v>
          </cell>
          <cell r="J393">
            <v>231</v>
          </cell>
          <cell r="K393">
            <v>0</v>
          </cell>
          <cell r="L393">
            <v>0</v>
          </cell>
          <cell r="M393">
            <v>0</v>
          </cell>
          <cell r="N393">
            <v>0</v>
          </cell>
          <cell r="O393">
            <v>679</v>
          </cell>
          <cell r="P393">
            <v>0</v>
          </cell>
          <cell r="Q393">
            <v>0</v>
          </cell>
          <cell r="R393">
            <v>0</v>
          </cell>
          <cell r="S393">
            <v>0</v>
          </cell>
          <cell r="T393">
            <v>0</v>
          </cell>
          <cell r="U393">
            <v>0</v>
          </cell>
          <cell r="V393">
            <v>0</v>
          </cell>
        </row>
        <row r="394">
          <cell r="C394" t="str">
            <v>1997NC</v>
          </cell>
          <cell r="D394">
            <v>60</v>
          </cell>
          <cell r="E394">
            <v>77430</v>
          </cell>
          <cell r="F394">
            <v>34170</v>
          </cell>
          <cell r="G394">
            <v>1360</v>
          </cell>
          <cell r="H394">
            <v>550</v>
          </cell>
          <cell r="I394">
            <v>1600</v>
          </cell>
          <cell r="J394">
            <v>420</v>
          </cell>
          <cell r="K394">
            <v>0</v>
          </cell>
          <cell r="L394">
            <v>0</v>
          </cell>
          <cell r="M394">
            <v>38570</v>
          </cell>
          <cell r="N394">
            <v>329640</v>
          </cell>
          <cell r="O394">
            <v>0</v>
          </cell>
          <cell r="P394">
            <v>0</v>
          </cell>
          <cell r="Q394">
            <v>0</v>
          </cell>
          <cell r="R394">
            <v>0</v>
          </cell>
          <cell r="S394">
            <v>0</v>
          </cell>
          <cell r="T394">
            <v>0</v>
          </cell>
          <cell r="U394">
            <v>0</v>
          </cell>
          <cell r="V394">
            <v>0</v>
          </cell>
        </row>
        <row r="395">
          <cell r="C395" t="str">
            <v>1997ND</v>
          </cell>
          <cell r="D395">
            <v>2625</v>
          </cell>
          <cell r="E395">
            <v>58410</v>
          </cell>
          <cell r="F395">
            <v>269290</v>
          </cell>
          <cell r="G395">
            <v>101250</v>
          </cell>
          <cell r="H395">
            <v>0</v>
          </cell>
          <cell r="I395">
            <v>18700</v>
          </cell>
          <cell r="J395">
            <v>513</v>
          </cell>
          <cell r="K395">
            <v>0</v>
          </cell>
          <cell r="L395">
            <v>0</v>
          </cell>
          <cell r="M395">
            <v>33630</v>
          </cell>
          <cell r="N395">
            <v>0</v>
          </cell>
          <cell r="O395">
            <v>7119</v>
          </cell>
          <cell r="P395">
            <v>0</v>
          </cell>
          <cell r="Q395">
            <v>0</v>
          </cell>
          <cell r="R395">
            <v>0</v>
          </cell>
          <cell r="S395">
            <v>0</v>
          </cell>
          <cell r="T395">
            <v>0</v>
          </cell>
          <cell r="U395">
            <v>0</v>
          </cell>
          <cell r="V395">
            <v>0</v>
          </cell>
        </row>
        <row r="396">
          <cell r="C396" t="str">
            <v>1997OH</v>
          </cell>
          <cell r="D396">
            <v>2160</v>
          </cell>
          <cell r="E396">
            <v>475700</v>
          </cell>
          <cell r="F396">
            <v>68670</v>
          </cell>
          <cell r="G396">
            <v>0</v>
          </cell>
          <cell r="H396">
            <v>0</v>
          </cell>
          <cell r="I396">
            <v>6660</v>
          </cell>
          <cell r="J396">
            <v>120</v>
          </cell>
          <cell r="K396">
            <v>0</v>
          </cell>
          <cell r="L396">
            <v>0</v>
          </cell>
          <cell r="M396">
            <v>190960</v>
          </cell>
          <cell r="N396">
            <v>0</v>
          </cell>
          <cell r="O396">
            <v>0</v>
          </cell>
          <cell r="P396">
            <v>0</v>
          </cell>
          <cell r="Q396">
            <v>0</v>
          </cell>
          <cell r="R396">
            <v>0</v>
          </cell>
          <cell r="S396">
            <v>0</v>
          </cell>
          <cell r="T396">
            <v>0</v>
          </cell>
          <cell r="U396">
            <v>0</v>
          </cell>
          <cell r="V396">
            <v>0</v>
          </cell>
        </row>
        <row r="397">
          <cell r="C397" t="str">
            <v>1997OK</v>
          </cell>
          <cell r="D397">
            <v>1368</v>
          </cell>
          <cell r="E397">
            <v>23460</v>
          </cell>
          <cell r="F397">
            <v>169600</v>
          </cell>
          <cell r="G397">
            <v>210</v>
          </cell>
          <cell r="H397">
            <v>22500</v>
          </cell>
          <cell r="I397">
            <v>1760</v>
          </cell>
          <cell r="J397">
            <v>1080</v>
          </cell>
          <cell r="K397">
            <v>0</v>
          </cell>
          <cell r="L397">
            <v>0</v>
          </cell>
          <cell r="M397">
            <v>9900</v>
          </cell>
          <cell r="N397">
            <v>184800</v>
          </cell>
          <cell r="O397">
            <v>0</v>
          </cell>
          <cell r="P397">
            <v>0</v>
          </cell>
          <cell r="Q397">
            <v>0</v>
          </cell>
          <cell r="R397">
            <v>0</v>
          </cell>
          <cell r="S397">
            <v>0</v>
          </cell>
          <cell r="T397">
            <v>0</v>
          </cell>
          <cell r="U397">
            <v>0.03</v>
          </cell>
          <cell r="V397">
            <v>0</v>
          </cell>
          <cell r="W397">
            <v>0.9</v>
          </cell>
        </row>
        <row r="398">
          <cell r="C398" t="str">
            <v>1997OR</v>
          </cell>
          <cell r="D398">
            <v>1974</v>
          </cell>
          <cell r="E398">
            <v>5265</v>
          </cell>
          <cell r="F398">
            <v>60390</v>
          </cell>
          <cell r="G398">
            <v>8004</v>
          </cell>
          <cell r="H398">
            <v>0</v>
          </cell>
          <cell r="I398">
            <v>2852</v>
          </cell>
          <cell r="J398">
            <v>0</v>
          </cell>
          <cell r="K398">
            <v>0</v>
          </cell>
          <cell r="L398">
            <v>0</v>
          </cell>
          <cell r="M398">
            <v>0</v>
          </cell>
          <cell r="N398">
            <v>0</v>
          </cell>
          <cell r="O398">
            <v>182</v>
          </cell>
          <cell r="P398">
            <v>0</v>
          </cell>
          <cell r="Q398">
            <v>7</v>
          </cell>
          <cell r="R398">
            <v>0</v>
          </cell>
          <cell r="S398">
            <v>0</v>
          </cell>
          <cell r="T398">
            <v>0</v>
          </cell>
          <cell r="U398">
            <v>0</v>
          </cell>
          <cell r="V398">
            <v>0</v>
          </cell>
        </row>
        <row r="399">
          <cell r="C399" t="str">
            <v>1997PA</v>
          </cell>
          <cell r="D399">
            <v>2072</v>
          </cell>
          <cell r="E399">
            <v>98980</v>
          </cell>
          <cell r="F399">
            <v>9100</v>
          </cell>
          <cell r="G399">
            <v>4556</v>
          </cell>
          <cell r="H399">
            <v>0</v>
          </cell>
          <cell r="I399">
            <v>8990</v>
          </cell>
          <cell r="J399">
            <v>400</v>
          </cell>
          <cell r="K399">
            <v>0</v>
          </cell>
          <cell r="L399">
            <v>0</v>
          </cell>
          <cell r="M399">
            <v>13690</v>
          </cell>
          <cell r="N399">
            <v>0</v>
          </cell>
          <cell r="O399">
            <v>0</v>
          </cell>
          <cell r="P399">
            <v>0</v>
          </cell>
          <cell r="Q399">
            <v>0</v>
          </cell>
          <cell r="R399">
            <v>0</v>
          </cell>
          <cell r="S399">
            <v>0</v>
          </cell>
          <cell r="T399">
            <v>0</v>
          </cell>
          <cell r="U399">
            <v>0</v>
          </cell>
          <cell r="V399">
            <v>0</v>
          </cell>
        </row>
        <row r="400">
          <cell r="C400" t="str">
            <v>1997RI</v>
          </cell>
          <cell r="D400">
            <v>5</v>
          </cell>
          <cell r="E400">
            <v>0</v>
          </cell>
          <cell r="F400">
            <v>0</v>
          </cell>
          <cell r="G400">
            <v>0</v>
          </cell>
          <cell r="H400">
            <v>0</v>
          </cell>
          <cell r="I400">
            <v>0</v>
          </cell>
          <cell r="J400">
            <v>0</v>
          </cell>
          <cell r="K400">
            <v>0</v>
          </cell>
          <cell r="L400">
            <v>0</v>
          </cell>
          <cell r="M400">
            <v>0</v>
          </cell>
          <cell r="N400">
            <v>0</v>
          </cell>
          <cell r="O400">
            <v>0</v>
          </cell>
          <cell r="P400">
            <v>0</v>
          </cell>
          <cell r="Q400">
            <v>0</v>
          </cell>
          <cell r="R400">
            <v>0</v>
          </cell>
          <cell r="S400">
            <v>0</v>
          </cell>
          <cell r="T400">
            <v>0</v>
          </cell>
          <cell r="U400">
            <v>0</v>
          </cell>
          <cell r="V400">
            <v>0</v>
          </cell>
        </row>
        <row r="401">
          <cell r="C401" t="str">
            <v>1997SC</v>
          </cell>
          <cell r="D401">
            <v>0</v>
          </cell>
          <cell r="E401">
            <v>30875</v>
          </cell>
          <cell r="F401">
            <v>15000</v>
          </cell>
          <cell r="G401">
            <v>180</v>
          </cell>
          <cell r="H401">
            <v>172</v>
          </cell>
          <cell r="I401">
            <v>1400</v>
          </cell>
          <cell r="J401">
            <v>250</v>
          </cell>
          <cell r="K401">
            <v>0</v>
          </cell>
          <cell r="L401">
            <v>0</v>
          </cell>
          <cell r="M401">
            <v>12825</v>
          </cell>
          <cell r="N401">
            <v>30450</v>
          </cell>
          <cell r="O401">
            <v>0</v>
          </cell>
          <cell r="P401">
            <v>0</v>
          </cell>
          <cell r="Q401">
            <v>0</v>
          </cell>
          <cell r="R401">
            <v>0</v>
          </cell>
          <cell r="S401">
            <v>0</v>
          </cell>
          <cell r="T401">
            <v>0</v>
          </cell>
          <cell r="U401">
            <v>0</v>
          </cell>
          <cell r="V401">
            <v>0</v>
          </cell>
        </row>
        <row r="402">
          <cell r="C402" t="str">
            <v>1997SD</v>
          </cell>
          <cell r="D402">
            <v>5290</v>
          </cell>
          <cell r="E402">
            <v>326400</v>
          </cell>
          <cell r="F402">
            <v>98013</v>
          </cell>
          <cell r="G402">
            <v>4560</v>
          </cell>
          <cell r="H402">
            <v>11360</v>
          </cell>
          <cell r="I402">
            <v>14850</v>
          </cell>
          <cell r="J402">
            <v>728</v>
          </cell>
          <cell r="K402">
            <v>0</v>
          </cell>
          <cell r="L402">
            <v>0</v>
          </cell>
          <cell r="M402">
            <v>113750</v>
          </cell>
          <cell r="N402">
            <v>0</v>
          </cell>
          <cell r="O402">
            <v>0</v>
          </cell>
          <cell r="P402">
            <v>0</v>
          </cell>
          <cell r="Q402">
            <v>0</v>
          </cell>
          <cell r="R402">
            <v>0</v>
          </cell>
          <cell r="S402">
            <v>0</v>
          </cell>
          <cell r="T402">
            <v>0</v>
          </cell>
          <cell r="U402">
            <v>0</v>
          </cell>
          <cell r="V402">
            <v>0</v>
          </cell>
        </row>
        <row r="403">
          <cell r="C403" t="str">
            <v>1997TN</v>
          </cell>
          <cell r="D403">
            <v>132</v>
          </cell>
          <cell r="E403">
            <v>63240</v>
          </cell>
          <cell r="F403">
            <v>16200</v>
          </cell>
          <cell r="G403">
            <v>0</v>
          </cell>
          <cell r="H403">
            <v>1050</v>
          </cell>
          <cell r="I403">
            <v>0</v>
          </cell>
          <cell r="J403">
            <v>0</v>
          </cell>
          <cell r="K403">
            <v>0</v>
          </cell>
          <cell r="L403">
            <v>0</v>
          </cell>
          <cell r="M403">
            <v>40800</v>
          </cell>
          <cell r="N403">
            <v>0</v>
          </cell>
          <cell r="O403">
            <v>0</v>
          </cell>
          <cell r="P403">
            <v>0</v>
          </cell>
          <cell r="Q403">
            <v>0</v>
          </cell>
          <cell r="R403">
            <v>0</v>
          </cell>
          <cell r="S403">
            <v>0</v>
          </cell>
          <cell r="T403">
            <v>0</v>
          </cell>
          <cell r="U403">
            <v>0</v>
          </cell>
          <cell r="V403">
            <v>0</v>
          </cell>
        </row>
        <row r="404">
          <cell r="C404" t="str">
            <v>1997TX</v>
          </cell>
          <cell r="D404">
            <v>635</v>
          </cell>
          <cell r="E404">
            <v>241500</v>
          </cell>
          <cell r="F404">
            <v>118900</v>
          </cell>
          <cell r="G404">
            <v>235</v>
          </cell>
          <cell r="H404">
            <v>185850</v>
          </cell>
          <cell r="I404">
            <v>6760</v>
          </cell>
          <cell r="J404">
            <v>330</v>
          </cell>
          <cell r="K404">
            <v>0</v>
          </cell>
          <cell r="L404">
            <v>14240</v>
          </cell>
          <cell r="M404">
            <v>11200</v>
          </cell>
          <cell r="N404">
            <v>822150</v>
          </cell>
          <cell r="O404">
            <v>143</v>
          </cell>
          <cell r="P404">
            <v>0</v>
          </cell>
          <cell r="Q404">
            <v>0</v>
          </cell>
          <cell r="R404">
            <v>0</v>
          </cell>
          <cell r="S404">
            <v>0</v>
          </cell>
          <cell r="T404">
            <v>902</v>
          </cell>
          <cell r="U404">
            <v>259</v>
          </cell>
          <cell r="V404">
            <v>104</v>
          </cell>
          <cell r="W404">
            <v>0.01</v>
          </cell>
        </row>
        <row r="405">
          <cell r="C405" t="str">
            <v>1997UT</v>
          </cell>
          <cell r="D405">
            <v>2344</v>
          </cell>
          <cell r="E405">
            <v>2940</v>
          </cell>
          <cell r="F405">
            <v>8742</v>
          </cell>
          <cell r="G405">
            <v>7980</v>
          </cell>
          <cell r="H405">
            <v>0</v>
          </cell>
          <cell r="I405">
            <v>720</v>
          </cell>
          <cell r="J405">
            <v>0</v>
          </cell>
          <cell r="K405">
            <v>0</v>
          </cell>
          <cell r="L405">
            <v>0</v>
          </cell>
          <cell r="M405">
            <v>0</v>
          </cell>
          <cell r="N405">
            <v>0</v>
          </cell>
          <cell r="O405">
            <v>42</v>
          </cell>
          <cell r="P405">
            <v>0</v>
          </cell>
          <cell r="Q405">
            <v>0</v>
          </cell>
          <cell r="R405">
            <v>0</v>
          </cell>
          <cell r="S405">
            <v>0</v>
          </cell>
          <cell r="T405">
            <v>0</v>
          </cell>
          <cell r="U405">
            <v>0</v>
          </cell>
          <cell r="V405">
            <v>0</v>
          </cell>
        </row>
        <row r="406">
          <cell r="C406" t="str">
            <v>1997VT</v>
          </cell>
          <cell r="D406">
            <v>104</v>
          </cell>
          <cell r="E406">
            <v>0</v>
          </cell>
          <cell r="F406">
            <v>0</v>
          </cell>
          <cell r="G406">
            <v>0</v>
          </cell>
          <cell r="H406">
            <v>0</v>
          </cell>
          <cell r="I406">
            <v>0</v>
          </cell>
          <cell r="J406">
            <v>0</v>
          </cell>
          <cell r="K406">
            <v>0</v>
          </cell>
          <cell r="L406">
            <v>0</v>
          </cell>
          <cell r="M406">
            <v>0</v>
          </cell>
          <cell r="N406">
            <v>0</v>
          </cell>
          <cell r="O406">
            <v>0</v>
          </cell>
          <cell r="P406">
            <v>0</v>
          </cell>
          <cell r="Q406">
            <v>0</v>
          </cell>
          <cell r="R406">
            <v>0</v>
          </cell>
          <cell r="S406">
            <v>0</v>
          </cell>
          <cell r="T406">
            <v>0</v>
          </cell>
          <cell r="U406">
            <v>0</v>
          </cell>
          <cell r="V406">
            <v>0</v>
          </cell>
        </row>
        <row r="407">
          <cell r="C407" t="str">
            <v>1997VA</v>
          </cell>
          <cell r="D407">
            <v>330</v>
          </cell>
          <cell r="E407">
            <v>30225</v>
          </cell>
          <cell r="F407">
            <v>17420</v>
          </cell>
          <cell r="G407">
            <v>4920</v>
          </cell>
          <cell r="H407">
            <v>0</v>
          </cell>
          <cell r="I407">
            <v>0</v>
          </cell>
          <cell r="J407">
            <v>200</v>
          </cell>
          <cell r="K407">
            <v>0</v>
          </cell>
          <cell r="L407">
            <v>0</v>
          </cell>
          <cell r="M407">
            <v>11270</v>
          </cell>
          <cell r="N407">
            <v>191250</v>
          </cell>
          <cell r="O407">
            <v>0</v>
          </cell>
          <cell r="P407">
            <v>0</v>
          </cell>
          <cell r="Q407">
            <v>0</v>
          </cell>
          <cell r="R407">
            <v>0</v>
          </cell>
          <cell r="S407">
            <v>0</v>
          </cell>
          <cell r="T407">
            <v>0</v>
          </cell>
          <cell r="U407">
            <v>0</v>
          </cell>
          <cell r="V407">
            <v>0</v>
          </cell>
        </row>
        <row r="408">
          <cell r="C408" t="str">
            <v>1997WA</v>
          </cell>
          <cell r="D408">
            <v>2304</v>
          </cell>
          <cell r="E408">
            <v>18050</v>
          </cell>
          <cell r="F408">
            <v>165120</v>
          </cell>
          <cell r="G408">
            <v>35520</v>
          </cell>
          <cell r="H408">
            <v>0</v>
          </cell>
          <cell r="I408">
            <v>1360</v>
          </cell>
          <cell r="J408">
            <v>0</v>
          </cell>
          <cell r="K408">
            <v>0</v>
          </cell>
          <cell r="L408">
            <v>0</v>
          </cell>
          <cell r="M408">
            <v>0</v>
          </cell>
          <cell r="N408">
            <v>0</v>
          </cell>
          <cell r="O408">
            <v>850</v>
          </cell>
          <cell r="P408">
            <v>2621</v>
          </cell>
          <cell r="Q408">
            <v>0</v>
          </cell>
          <cell r="R408">
            <v>1115</v>
          </cell>
          <cell r="S408">
            <v>396</v>
          </cell>
          <cell r="T408">
            <v>0</v>
          </cell>
          <cell r="U408">
            <v>0</v>
          </cell>
          <cell r="V408">
            <v>0</v>
          </cell>
        </row>
        <row r="409">
          <cell r="C409" t="str">
            <v>1997WV</v>
          </cell>
          <cell r="D409">
            <v>165</v>
          </cell>
          <cell r="E409">
            <v>3420</v>
          </cell>
          <cell r="F409">
            <v>486</v>
          </cell>
          <cell r="G409">
            <v>0</v>
          </cell>
          <cell r="H409">
            <v>0</v>
          </cell>
          <cell r="I409">
            <v>200</v>
          </cell>
          <cell r="J409">
            <v>0</v>
          </cell>
          <cell r="K409">
            <v>0</v>
          </cell>
          <cell r="L409">
            <v>0</v>
          </cell>
          <cell r="M409">
            <v>0</v>
          </cell>
          <cell r="N409">
            <v>0</v>
          </cell>
          <cell r="O409">
            <v>0</v>
          </cell>
          <cell r="P409">
            <v>0</v>
          </cell>
          <cell r="Q409">
            <v>0</v>
          </cell>
          <cell r="R409">
            <v>0</v>
          </cell>
          <cell r="S409">
            <v>0</v>
          </cell>
          <cell r="T409">
            <v>0</v>
          </cell>
          <cell r="U409">
            <v>0</v>
          </cell>
          <cell r="V409">
            <v>0</v>
          </cell>
        </row>
        <row r="410">
          <cell r="C410" t="str">
            <v>1997WI</v>
          </cell>
          <cell r="D410">
            <v>5225</v>
          </cell>
          <cell r="E410">
            <v>402600</v>
          </cell>
          <cell r="F410">
            <v>8531</v>
          </cell>
          <cell r="G410">
            <v>3575</v>
          </cell>
          <cell r="H410">
            <v>0</v>
          </cell>
          <cell r="I410">
            <v>20160</v>
          </cell>
          <cell r="J410">
            <v>432</v>
          </cell>
          <cell r="K410">
            <v>0</v>
          </cell>
          <cell r="L410">
            <v>0</v>
          </cell>
          <cell r="M410">
            <v>44000</v>
          </cell>
          <cell r="N410">
            <v>0</v>
          </cell>
          <cell r="O410">
            <v>171</v>
          </cell>
          <cell r="P410">
            <v>0</v>
          </cell>
          <cell r="Q410">
            <v>0</v>
          </cell>
          <cell r="R410">
            <v>0</v>
          </cell>
          <cell r="S410">
            <v>0</v>
          </cell>
          <cell r="T410">
            <v>0</v>
          </cell>
          <cell r="U410">
            <v>0</v>
          </cell>
          <cell r="V410">
            <v>0</v>
          </cell>
        </row>
        <row r="411">
          <cell r="C411" t="str">
            <v>1997WY</v>
          </cell>
          <cell r="D411">
            <v>1728</v>
          </cell>
          <cell r="E411">
            <v>7020</v>
          </cell>
          <cell r="F411">
            <v>7587</v>
          </cell>
          <cell r="G411">
            <v>8400</v>
          </cell>
          <cell r="H411">
            <v>0</v>
          </cell>
          <cell r="I411">
            <v>1890</v>
          </cell>
          <cell r="J411">
            <v>0</v>
          </cell>
          <cell r="K411">
            <v>0</v>
          </cell>
          <cell r="L411">
            <v>0</v>
          </cell>
          <cell r="M411">
            <v>0</v>
          </cell>
          <cell r="N411">
            <v>0</v>
          </cell>
          <cell r="O411">
            <v>700</v>
          </cell>
          <cell r="P411">
            <v>0</v>
          </cell>
          <cell r="Q411">
            <v>0</v>
          </cell>
          <cell r="R411">
            <v>0</v>
          </cell>
          <cell r="S411">
            <v>0</v>
          </cell>
          <cell r="T411">
            <v>0</v>
          </cell>
          <cell r="U411">
            <v>0</v>
          </cell>
          <cell r="V411">
            <v>0</v>
          </cell>
        </row>
        <row r="412">
          <cell r="C412" t="str">
            <v>1997US</v>
          </cell>
          <cell r="D412">
            <v>78535</v>
          </cell>
          <cell r="E412">
            <v>9206832</v>
          </cell>
          <cell r="F412">
            <v>2481466</v>
          </cell>
          <cell r="G412">
            <v>360042.5</v>
          </cell>
          <cell r="H412">
            <v>633545</v>
          </cell>
          <cell r="I412">
            <v>167246</v>
          </cell>
          <cell r="J412">
            <v>8132</v>
          </cell>
          <cell r="K412">
            <v>0</v>
          </cell>
          <cell r="L412">
            <v>182992</v>
          </cell>
          <cell r="M412">
            <v>2688750</v>
          </cell>
          <cell r="N412">
            <v>3539380</v>
          </cell>
          <cell r="O412">
            <v>29370</v>
          </cell>
          <cell r="P412">
            <v>5752</v>
          </cell>
          <cell r="Q412">
            <v>115</v>
          </cell>
          <cell r="R412">
            <v>2406</v>
          </cell>
          <cell r="S412">
            <v>682</v>
          </cell>
          <cell r="T412">
            <v>31709</v>
          </cell>
        </row>
        <row r="413">
          <cell r="C413" t="str">
            <v>1998AL</v>
          </cell>
          <cell r="D413">
            <v>0</v>
          </cell>
          <cell r="E413">
            <v>12600</v>
          </cell>
          <cell r="F413">
            <v>3570</v>
          </cell>
          <cell r="G413">
            <v>0</v>
          </cell>
          <cell r="H413">
            <v>270</v>
          </cell>
          <cell r="I413">
            <v>816</v>
          </cell>
          <cell r="J413">
            <v>0</v>
          </cell>
          <cell r="K413">
            <v>0</v>
          </cell>
          <cell r="L413">
            <v>0</v>
          </cell>
          <cell r="M413">
            <v>7040</v>
          </cell>
          <cell r="N413">
            <v>432415</v>
          </cell>
          <cell r="O413">
            <v>0</v>
          </cell>
          <cell r="P413">
            <v>0</v>
          </cell>
          <cell r="Q413">
            <v>0</v>
          </cell>
          <cell r="R413">
            <v>0</v>
          </cell>
          <cell r="S413">
            <v>0</v>
          </cell>
          <cell r="T413">
            <v>0</v>
          </cell>
          <cell r="U413">
            <v>0</v>
          </cell>
          <cell r="V413">
            <v>0</v>
          </cell>
        </row>
        <row r="414">
          <cell r="C414" t="str">
            <v>1998AK</v>
          </cell>
          <cell r="D414">
            <v>0</v>
          </cell>
          <cell r="E414">
            <v>0</v>
          </cell>
          <cell r="F414">
            <v>0</v>
          </cell>
          <cell r="G414">
            <v>122.9</v>
          </cell>
          <cell r="H414">
            <v>0</v>
          </cell>
          <cell r="I414">
            <v>45000</v>
          </cell>
          <cell r="J414">
            <v>0</v>
          </cell>
          <cell r="K414">
            <v>0</v>
          </cell>
          <cell r="L414">
            <v>0</v>
          </cell>
          <cell r="M414">
            <v>0</v>
          </cell>
          <cell r="N414">
            <v>0</v>
          </cell>
          <cell r="O414">
            <v>0</v>
          </cell>
          <cell r="P414">
            <v>0</v>
          </cell>
          <cell r="Q414">
            <v>0</v>
          </cell>
          <cell r="R414">
            <v>0</v>
          </cell>
          <cell r="S414">
            <v>0</v>
          </cell>
          <cell r="T414">
            <v>0</v>
          </cell>
          <cell r="U414">
            <v>0</v>
          </cell>
          <cell r="V414">
            <v>0</v>
          </cell>
        </row>
        <row r="415">
          <cell r="C415" t="str">
            <v>1998AZ</v>
          </cell>
          <cell r="D415">
            <v>1600</v>
          </cell>
          <cell r="E415">
            <v>5250</v>
          </cell>
          <cell r="F415">
            <v>15840</v>
          </cell>
          <cell r="G415">
            <v>6160</v>
          </cell>
          <cell r="H415">
            <v>0</v>
          </cell>
          <cell r="I415">
            <v>0</v>
          </cell>
          <cell r="J415">
            <v>0</v>
          </cell>
          <cell r="K415">
            <v>0</v>
          </cell>
          <cell r="L415">
            <v>0</v>
          </cell>
          <cell r="M415">
            <v>0</v>
          </cell>
          <cell r="N415">
            <v>0</v>
          </cell>
          <cell r="O415">
            <v>0</v>
          </cell>
          <cell r="P415">
            <v>0</v>
          </cell>
          <cell r="Q415">
            <v>0</v>
          </cell>
          <cell r="R415">
            <v>0</v>
          </cell>
          <cell r="S415">
            <v>0</v>
          </cell>
          <cell r="T415">
            <v>0</v>
          </cell>
          <cell r="U415">
            <v>0</v>
          </cell>
          <cell r="V415">
            <v>0</v>
          </cell>
        </row>
        <row r="416">
          <cell r="C416" t="str">
            <v>1998AR</v>
          </cell>
          <cell r="D416">
            <v>65</v>
          </cell>
          <cell r="E416">
            <v>21500</v>
          </cell>
          <cell r="F416">
            <v>45900</v>
          </cell>
          <cell r="G416">
            <v>0</v>
          </cell>
          <cell r="H416">
            <v>6890</v>
          </cell>
          <cell r="I416">
            <v>720</v>
          </cell>
          <cell r="J416">
            <v>0</v>
          </cell>
          <cell r="K416">
            <v>0</v>
          </cell>
          <cell r="L416">
            <v>86124</v>
          </cell>
          <cell r="M416">
            <v>85000</v>
          </cell>
          <cell r="N416">
            <v>0</v>
          </cell>
          <cell r="O416">
            <v>0</v>
          </cell>
          <cell r="P416">
            <v>0</v>
          </cell>
          <cell r="Q416">
            <v>0</v>
          </cell>
          <cell r="R416">
            <v>0</v>
          </cell>
          <cell r="S416">
            <v>0</v>
          </cell>
          <cell r="T416">
            <v>0</v>
          </cell>
          <cell r="U416">
            <v>1485</v>
          </cell>
          <cell r="V416">
            <v>0.5</v>
          </cell>
          <cell r="W416">
            <v>0.13</v>
          </cell>
        </row>
        <row r="417">
          <cell r="C417" t="str">
            <v>1998CA</v>
          </cell>
          <cell r="D417">
            <v>6930</v>
          </cell>
          <cell r="E417">
            <v>39200</v>
          </cell>
          <cell r="F417">
            <v>38550</v>
          </cell>
          <cell r="G417">
            <v>7500</v>
          </cell>
          <cell r="H417">
            <v>0</v>
          </cell>
          <cell r="I417">
            <v>2250</v>
          </cell>
          <cell r="J417">
            <v>0</v>
          </cell>
          <cell r="K417">
            <v>0</v>
          </cell>
          <cell r="L417">
            <v>31386</v>
          </cell>
          <cell r="M417">
            <v>0</v>
          </cell>
          <cell r="N417">
            <v>0</v>
          </cell>
          <cell r="O417">
            <v>1554</v>
          </cell>
          <cell r="P417">
            <v>0</v>
          </cell>
          <cell r="Q417">
            <v>0</v>
          </cell>
          <cell r="R417">
            <v>0</v>
          </cell>
          <cell r="S417">
            <v>0</v>
          </cell>
          <cell r="T417">
            <v>0</v>
          </cell>
          <cell r="U417">
            <v>458</v>
          </cell>
          <cell r="V417">
            <v>0</v>
          </cell>
          <cell r="W417">
            <v>0.33</v>
          </cell>
        </row>
        <row r="418">
          <cell r="C418" t="str">
            <v>1998CO</v>
          </cell>
          <cell r="D418">
            <v>3402</v>
          </cell>
          <cell r="E418">
            <v>155150</v>
          </cell>
          <cell r="F418">
            <v>103470</v>
          </cell>
          <cell r="G418">
            <v>9430</v>
          </cell>
          <cell r="H418">
            <v>10545</v>
          </cell>
          <cell r="I418">
            <v>1750</v>
          </cell>
          <cell r="J418">
            <v>84</v>
          </cell>
          <cell r="K418">
            <v>0</v>
          </cell>
          <cell r="L418">
            <v>0</v>
          </cell>
          <cell r="M418">
            <v>0</v>
          </cell>
          <cell r="N418">
            <v>0</v>
          </cell>
          <cell r="O418">
            <v>2868</v>
          </cell>
          <cell r="P418">
            <v>0</v>
          </cell>
          <cell r="Q418">
            <v>0</v>
          </cell>
          <cell r="R418">
            <v>0</v>
          </cell>
          <cell r="S418">
            <v>0</v>
          </cell>
          <cell r="T418">
            <v>0</v>
          </cell>
          <cell r="U418">
            <v>0</v>
          </cell>
          <cell r="V418">
            <v>0</v>
          </cell>
        </row>
        <row r="419">
          <cell r="C419" t="str">
            <v>1998CT</v>
          </cell>
          <cell r="D419">
            <v>18</v>
          </cell>
          <cell r="E419">
            <v>0</v>
          </cell>
          <cell r="F419">
            <v>0</v>
          </cell>
          <cell r="G419">
            <v>0</v>
          </cell>
          <cell r="H419">
            <v>0</v>
          </cell>
          <cell r="I419">
            <v>0</v>
          </cell>
          <cell r="J419">
            <v>0</v>
          </cell>
          <cell r="K419">
            <v>0</v>
          </cell>
          <cell r="L419">
            <v>0</v>
          </cell>
          <cell r="M419">
            <v>0</v>
          </cell>
          <cell r="N419">
            <v>0</v>
          </cell>
          <cell r="O419">
            <v>0</v>
          </cell>
          <cell r="P419">
            <v>0</v>
          </cell>
          <cell r="Q419">
            <v>0</v>
          </cell>
          <cell r="R419">
            <v>0</v>
          </cell>
          <cell r="S419">
            <v>0</v>
          </cell>
          <cell r="T419">
            <v>0</v>
          </cell>
          <cell r="U419">
            <v>0</v>
          </cell>
          <cell r="V419">
            <v>0</v>
          </cell>
        </row>
        <row r="420">
          <cell r="C420" t="str">
            <v>1998DE</v>
          </cell>
          <cell r="D420">
            <v>29</v>
          </cell>
          <cell r="E420">
            <v>15500</v>
          </cell>
          <cell r="F420">
            <v>3723</v>
          </cell>
          <cell r="G420">
            <v>1800</v>
          </cell>
          <cell r="H420">
            <v>0</v>
          </cell>
          <cell r="I420">
            <v>0</v>
          </cell>
          <cell r="J420">
            <v>0</v>
          </cell>
          <cell r="K420">
            <v>0</v>
          </cell>
          <cell r="L420">
            <v>0</v>
          </cell>
          <cell r="M420">
            <v>7128</v>
          </cell>
          <cell r="N420">
            <v>0</v>
          </cell>
          <cell r="O420">
            <v>0</v>
          </cell>
          <cell r="P420">
            <v>0</v>
          </cell>
          <cell r="Q420">
            <v>0</v>
          </cell>
          <cell r="R420">
            <v>0</v>
          </cell>
          <cell r="S420">
            <v>0</v>
          </cell>
          <cell r="T420">
            <v>0</v>
          </cell>
          <cell r="U420">
            <v>0</v>
          </cell>
          <cell r="V420">
            <v>0</v>
          </cell>
        </row>
        <row r="421">
          <cell r="C421" t="str">
            <v>1998FL</v>
          </cell>
          <cell r="D421">
            <v>0</v>
          </cell>
          <cell r="E421">
            <v>3410</v>
          </cell>
          <cell r="F421">
            <v>559</v>
          </cell>
          <cell r="G421">
            <v>0</v>
          </cell>
          <cell r="H421">
            <v>0</v>
          </cell>
          <cell r="I421">
            <v>0</v>
          </cell>
          <cell r="J421">
            <v>0</v>
          </cell>
          <cell r="K421">
            <v>0</v>
          </cell>
          <cell r="L421">
            <v>888.67632792142729</v>
          </cell>
          <cell r="M421">
            <v>690</v>
          </cell>
          <cell r="N421">
            <v>233100</v>
          </cell>
          <cell r="O421">
            <v>0</v>
          </cell>
          <cell r="P421">
            <v>0</v>
          </cell>
          <cell r="Q421">
            <v>0</v>
          </cell>
          <cell r="R421">
            <v>0</v>
          </cell>
          <cell r="S421">
            <v>0</v>
          </cell>
          <cell r="T421">
            <v>17925</v>
          </cell>
          <cell r="U421">
            <v>20</v>
          </cell>
          <cell r="V421">
            <v>10</v>
          </cell>
          <cell r="W421">
            <v>0</v>
          </cell>
        </row>
        <row r="422">
          <cell r="C422" t="str">
            <v>1998GA</v>
          </cell>
          <cell r="D422">
            <v>0</v>
          </cell>
          <cell r="E422">
            <v>22525</v>
          </cell>
          <cell r="F422">
            <v>10320</v>
          </cell>
          <cell r="G422">
            <v>0</v>
          </cell>
          <cell r="H422">
            <v>1140</v>
          </cell>
          <cell r="I422">
            <v>1325</v>
          </cell>
          <cell r="J422">
            <v>1050</v>
          </cell>
          <cell r="K422">
            <v>0</v>
          </cell>
          <cell r="L422">
            <v>0</v>
          </cell>
          <cell r="M422">
            <v>4620</v>
          </cell>
          <cell r="N422">
            <v>1511655</v>
          </cell>
          <cell r="O422">
            <v>0</v>
          </cell>
          <cell r="P422">
            <v>0</v>
          </cell>
          <cell r="Q422">
            <v>0</v>
          </cell>
          <cell r="R422">
            <v>0</v>
          </cell>
          <cell r="S422">
            <v>0</v>
          </cell>
          <cell r="T422">
            <v>0</v>
          </cell>
          <cell r="U422">
            <v>0</v>
          </cell>
          <cell r="V422">
            <v>0</v>
          </cell>
        </row>
        <row r="423">
          <cell r="C423" t="str">
            <v>1998HI</v>
          </cell>
          <cell r="D423">
            <v>0</v>
          </cell>
          <cell r="E423">
            <v>0</v>
          </cell>
          <cell r="F423">
            <v>0</v>
          </cell>
          <cell r="G423">
            <v>0</v>
          </cell>
          <cell r="H423">
            <v>0</v>
          </cell>
          <cell r="I423">
            <v>0</v>
          </cell>
          <cell r="J423">
            <v>0</v>
          </cell>
          <cell r="K423">
            <v>0</v>
          </cell>
          <cell r="L423">
            <v>0</v>
          </cell>
          <cell r="M423">
            <v>0</v>
          </cell>
          <cell r="N423">
            <v>0</v>
          </cell>
          <cell r="O423">
            <v>0</v>
          </cell>
          <cell r="P423">
            <v>0</v>
          </cell>
          <cell r="Q423">
            <v>0</v>
          </cell>
          <cell r="R423">
            <v>0</v>
          </cell>
          <cell r="S423">
            <v>0</v>
          </cell>
          <cell r="T423">
            <v>2798</v>
          </cell>
          <cell r="U423">
            <v>0</v>
          </cell>
          <cell r="V423">
            <v>0</v>
          </cell>
        </row>
        <row r="424">
          <cell r="C424" t="str">
            <v>1998ID</v>
          </cell>
          <cell r="D424">
            <v>4730</v>
          </cell>
          <cell r="E424">
            <v>7800</v>
          </cell>
          <cell r="F424">
            <v>102410</v>
          </cell>
          <cell r="G424">
            <v>59280</v>
          </cell>
          <cell r="H424">
            <v>0</v>
          </cell>
          <cell r="I424">
            <v>2250</v>
          </cell>
          <cell r="J424">
            <v>0</v>
          </cell>
          <cell r="K424">
            <v>0</v>
          </cell>
          <cell r="L424">
            <v>0</v>
          </cell>
          <cell r="M424">
            <v>0</v>
          </cell>
          <cell r="N424">
            <v>0</v>
          </cell>
          <cell r="O424">
            <v>2112</v>
          </cell>
          <cell r="P424">
            <v>1139</v>
          </cell>
          <cell r="Q424">
            <v>98</v>
          </cell>
          <cell r="R424">
            <v>644</v>
          </cell>
          <cell r="S424">
            <v>248</v>
          </cell>
          <cell r="T424">
            <v>0</v>
          </cell>
          <cell r="U424">
            <v>0</v>
          </cell>
          <cell r="V424">
            <v>0</v>
          </cell>
        </row>
        <row r="425">
          <cell r="C425" t="str">
            <v>1998IL</v>
          </cell>
          <cell r="D425">
            <v>2436</v>
          </cell>
          <cell r="E425">
            <v>1473450</v>
          </cell>
          <cell r="F425">
            <v>57600</v>
          </cell>
          <cell r="G425">
            <v>0</v>
          </cell>
          <cell r="H425">
            <v>7918</v>
          </cell>
          <cell r="I425">
            <v>3920</v>
          </cell>
          <cell r="J425">
            <v>333</v>
          </cell>
          <cell r="K425">
            <v>0</v>
          </cell>
          <cell r="L425">
            <v>0</v>
          </cell>
          <cell r="M425">
            <v>464200</v>
          </cell>
          <cell r="N425">
            <v>0</v>
          </cell>
          <cell r="O425">
            <v>0</v>
          </cell>
          <cell r="P425">
            <v>0</v>
          </cell>
          <cell r="Q425">
            <v>0</v>
          </cell>
          <cell r="R425">
            <v>0</v>
          </cell>
          <cell r="S425">
            <v>0</v>
          </cell>
          <cell r="T425">
            <v>0</v>
          </cell>
          <cell r="U425">
            <v>0</v>
          </cell>
          <cell r="V425">
            <v>0</v>
          </cell>
        </row>
        <row r="426">
          <cell r="C426" t="str">
            <v>1998IN</v>
          </cell>
          <cell r="D426">
            <v>1558</v>
          </cell>
          <cell r="E426">
            <v>760350</v>
          </cell>
          <cell r="F426">
            <v>35750</v>
          </cell>
          <cell r="G426">
            <v>0</v>
          </cell>
          <cell r="H426">
            <v>0</v>
          </cell>
          <cell r="I426">
            <v>1500</v>
          </cell>
          <cell r="J426">
            <v>76</v>
          </cell>
          <cell r="K426">
            <v>0</v>
          </cell>
          <cell r="L426">
            <v>0</v>
          </cell>
          <cell r="M426">
            <v>231000</v>
          </cell>
          <cell r="N426">
            <v>0</v>
          </cell>
          <cell r="O426">
            <v>0</v>
          </cell>
          <cell r="P426">
            <v>0</v>
          </cell>
          <cell r="Q426">
            <v>0</v>
          </cell>
          <cell r="R426">
            <v>0</v>
          </cell>
          <cell r="S426">
            <v>0</v>
          </cell>
          <cell r="T426">
            <v>0</v>
          </cell>
          <cell r="U426">
            <v>0</v>
          </cell>
          <cell r="V426">
            <v>0</v>
          </cell>
        </row>
        <row r="427">
          <cell r="C427" t="str">
            <v>1998IA</v>
          </cell>
          <cell r="D427">
            <v>4500</v>
          </cell>
          <cell r="E427">
            <v>1769000</v>
          </cell>
          <cell r="F427">
            <v>1408</v>
          </cell>
          <cell r="G427">
            <v>0</v>
          </cell>
          <cell r="H427">
            <v>0</v>
          </cell>
          <cell r="I427">
            <v>10915</v>
          </cell>
          <cell r="J427">
            <v>0</v>
          </cell>
          <cell r="K427">
            <v>0</v>
          </cell>
          <cell r="L427">
            <v>0</v>
          </cell>
          <cell r="M427">
            <v>496800</v>
          </cell>
          <cell r="N427">
            <v>0</v>
          </cell>
          <cell r="O427">
            <v>0</v>
          </cell>
          <cell r="P427">
            <v>0</v>
          </cell>
          <cell r="Q427">
            <v>0</v>
          </cell>
          <cell r="R427">
            <v>0</v>
          </cell>
          <cell r="S427">
            <v>0</v>
          </cell>
          <cell r="T427">
            <v>0</v>
          </cell>
          <cell r="U427">
            <v>0</v>
          </cell>
          <cell r="V427">
            <v>0</v>
          </cell>
        </row>
        <row r="428">
          <cell r="C428" t="str">
            <v>1998KS</v>
          </cell>
          <cell r="D428">
            <v>4600</v>
          </cell>
          <cell r="E428">
            <v>418950</v>
          </cell>
          <cell r="F428">
            <v>494900</v>
          </cell>
          <cell r="G428">
            <v>280</v>
          </cell>
          <cell r="H428">
            <v>264000</v>
          </cell>
          <cell r="I428">
            <v>2700</v>
          </cell>
          <cell r="J428">
            <v>375</v>
          </cell>
          <cell r="K428">
            <v>0</v>
          </cell>
          <cell r="L428">
            <v>0</v>
          </cell>
          <cell r="M428">
            <v>75000</v>
          </cell>
          <cell r="N428">
            <v>0</v>
          </cell>
          <cell r="O428">
            <v>380</v>
          </cell>
          <cell r="P428">
            <v>0</v>
          </cell>
          <cell r="Q428">
            <v>0</v>
          </cell>
          <cell r="R428">
            <v>0</v>
          </cell>
          <cell r="S428">
            <v>0</v>
          </cell>
          <cell r="T428">
            <v>0</v>
          </cell>
          <cell r="U428">
            <v>0</v>
          </cell>
          <cell r="V428">
            <v>0</v>
          </cell>
        </row>
        <row r="429">
          <cell r="C429" t="str">
            <v>1998KY</v>
          </cell>
          <cell r="D429">
            <v>875</v>
          </cell>
          <cell r="E429">
            <v>135700</v>
          </cell>
          <cell r="F429">
            <v>24750</v>
          </cell>
          <cell r="G429">
            <v>441</v>
          </cell>
          <cell r="H429">
            <v>640</v>
          </cell>
          <cell r="I429">
            <v>0</v>
          </cell>
          <cell r="J429">
            <v>0</v>
          </cell>
          <cell r="K429">
            <v>0</v>
          </cell>
          <cell r="L429">
            <v>0</v>
          </cell>
          <cell r="M429">
            <v>36000</v>
          </cell>
          <cell r="N429">
            <v>0</v>
          </cell>
          <cell r="O429">
            <v>0</v>
          </cell>
          <cell r="P429">
            <v>0</v>
          </cell>
          <cell r="Q429">
            <v>0</v>
          </cell>
          <cell r="R429">
            <v>0</v>
          </cell>
          <cell r="S429">
            <v>0</v>
          </cell>
          <cell r="T429">
            <v>0</v>
          </cell>
          <cell r="U429">
            <v>0</v>
          </cell>
          <cell r="V429">
            <v>0</v>
          </cell>
        </row>
        <row r="430">
          <cell r="C430" t="str">
            <v>1998LA</v>
          </cell>
          <cell r="D430">
            <v>0</v>
          </cell>
          <cell r="E430">
            <v>43740</v>
          </cell>
          <cell r="F430">
            <v>3960</v>
          </cell>
          <cell r="G430">
            <v>0</v>
          </cell>
          <cell r="H430">
            <v>7500</v>
          </cell>
          <cell r="I430">
            <v>0</v>
          </cell>
          <cell r="J430">
            <v>0</v>
          </cell>
          <cell r="K430">
            <v>0</v>
          </cell>
          <cell r="L430">
            <v>28107</v>
          </cell>
          <cell r="M430">
            <v>22470</v>
          </cell>
          <cell r="N430">
            <v>0</v>
          </cell>
          <cell r="O430">
            <v>0</v>
          </cell>
          <cell r="P430">
            <v>0</v>
          </cell>
          <cell r="Q430">
            <v>0</v>
          </cell>
          <cell r="R430">
            <v>0</v>
          </cell>
          <cell r="S430">
            <v>0</v>
          </cell>
          <cell r="T430">
            <v>12920</v>
          </cell>
          <cell r="U430">
            <v>620</v>
          </cell>
          <cell r="V430">
            <v>186</v>
          </cell>
          <cell r="W430">
            <v>0.06</v>
          </cell>
        </row>
        <row r="431">
          <cell r="C431" t="str">
            <v>1998ME</v>
          </cell>
          <cell r="D431">
            <v>33</v>
          </cell>
          <cell r="E431">
            <v>0</v>
          </cell>
          <cell r="F431">
            <v>0</v>
          </cell>
          <cell r="G431">
            <v>0</v>
          </cell>
          <cell r="H431">
            <v>0</v>
          </cell>
          <cell r="I431">
            <v>1679</v>
          </cell>
          <cell r="J431">
            <v>0</v>
          </cell>
          <cell r="K431">
            <v>0</v>
          </cell>
          <cell r="L431">
            <v>0</v>
          </cell>
          <cell r="M431">
            <v>0</v>
          </cell>
          <cell r="N431">
            <v>0</v>
          </cell>
          <cell r="O431">
            <v>0</v>
          </cell>
          <cell r="P431">
            <v>0</v>
          </cell>
          <cell r="Q431">
            <v>0</v>
          </cell>
          <cell r="R431">
            <v>0</v>
          </cell>
          <cell r="S431">
            <v>0</v>
          </cell>
          <cell r="T431">
            <v>0</v>
          </cell>
          <cell r="U431">
            <v>0</v>
          </cell>
          <cell r="V431">
            <v>0</v>
          </cell>
        </row>
        <row r="432">
          <cell r="C432" t="str">
            <v>1998MD</v>
          </cell>
          <cell r="D432">
            <v>226</v>
          </cell>
          <cell r="E432">
            <v>43600</v>
          </cell>
          <cell r="F432">
            <v>10750</v>
          </cell>
          <cell r="G432">
            <v>3200</v>
          </cell>
          <cell r="H432">
            <v>0</v>
          </cell>
          <cell r="I432">
            <v>350</v>
          </cell>
          <cell r="J432">
            <v>96</v>
          </cell>
          <cell r="K432">
            <v>0</v>
          </cell>
          <cell r="L432">
            <v>0</v>
          </cell>
          <cell r="M432">
            <v>14260</v>
          </cell>
          <cell r="N432">
            <v>0</v>
          </cell>
          <cell r="O432">
            <v>0</v>
          </cell>
          <cell r="P432">
            <v>0</v>
          </cell>
          <cell r="Q432">
            <v>0</v>
          </cell>
          <cell r="R432">
            <v>0</v>
          </cell>
          <cell r="S432">
            <v>0</v>
          </cell>
          <cell r="T432">
            <v>0</v>
          </cell>
          <cell r="U432">
            <v>0</v>
          </cell>
          <cell r="V432">
            <v>0</v>
          </cell>
        </row>
        <row r="433">
          <cell r="C433" t="str">
            <v>1998MA</v>
          </cell>
          <cell r="D433">
            <v>32</v>
          </cell>
          <cell r="E433">
            <v>0</v>
          </cell>
          <cell r="F433">
            <v>0</v>
          </cell>
          <cell r="G433">
            <v>0</v>
          </cell>
          <cell r="H433">
            <v>0</v>
          </cell>
          <cell r="I433">
            <v>0</v>
          </cell>
          <cell r="J433">
            <v>0</v>
          </cell>
          <cell r="K433">
            <v>0</v>
          </cell>
          <cell r="L433">
            <v>0</v>
          </cell>
          <cell r="M433">
            <v>0</v>
          </cell>
          <cell r="N433">
            <v>0</v>
          </cell>
          <cell r="O433">
            <v>0</v>
          </cell>
          <cell r="P433">
            <v>0</v>
          </cell>
          <cell r="Q433">
            <v>0</v>
          </cell>
          <cell r="R433">
            <v>0</v>
          </cell>
          <cell r="S433">
            <v>0</v>
          </cell>
          <cell r="T433">
            <v>0</v>
          </cell>
          <cell r="U433">
            <v>0</v>
          </cell>
          <cell r="V433">
            <v>0</v>
          </cell>
        </row>
        <row r="434">
          <cell r="C434" t="str">
            <v>1998MI</v>
          </cell>
          <cell r="D434">
            <v>2805</v>
          </cell>
          <cell r="E434">
            <v>227550</v>
          </cell>
          <cell r="F434">
            <v>30780</v>
          </cell>
          <cell r="G434">
            <v>850</v>
          </cell>
          <cell r="H434">
            <v>0</v>
          </cell>
          <cell r="I434">
            <v>4800</v>
          </cell>
          <cell r="J434">
            <v>420</v>
          </cell>
          <cell r="K434">
            <v>0</v>
          </cell>
          <cell r="L434">
            <v>0</v>
          </cell>
          <cell r="M434">
            <v>73710</v>
          </cell>
          <cell r="N434">
            <v>0</v>
          </cell>
          <cell r="O434">
            <v>4425</v>
          </cell>
          <cell r="P434">
            <v>0</v>
          </cell>
          <cell r="Q434">
            <v>0</v>
          </cell>
          <cell r="R434">
            <v>0</v>
          </cell>
          <cell r="S434">
            <v>0</v>
          </cell>
          <cell r="T434">
            <v>0</v>
          </cell>
          <cell r="U434">
            <v>0</v>
          </cell>
          <cell r="V434">
            <v>0</v>
          </cell>
        </row>
        <row r="435">
          <cell r="C435" t="str">
            <v>1998MN</v>
          </cell>
          <cell r="D435">
            <v>5580</v>
          </cell>
          <cell r="E435">
            <v>1032750</v>
          </cell>
          <cell r="F435">
            <v>80444</v>
          </cell>
          <cell r="G435">
            <v>22825</v>
          </cell>
          <cell r="H435">
            <v>0</v>
          </cell>
          <cell r="I435">
            <v>19530</v>
          </cell>
          <cell r="J435">
            <v>837</v>
          </cell>
          <cell r="K435">
            <v>0</v>
          </cell>
          <cell r="L435">
            <v>0</v>
          </cell>
          <cell r="M435">
            <v>285600</v>
          </cell>
          <cell r="N435">
            <v>0</v>
          </cell>
          <cell r="O435">
            <v>2538</v>
          </cell>
          <cell r="P435">
            <v>0</v>
          </cell>
          <cell r="Q435">
            <v>0</v>
          </cell>
          <cell r="R435">
            <v>0</v>
          </cell>
          <cell r="S435">
            <v>0</v>
          </cell>
          <cell r="T435">
            <v>0</v>
          </cell>
          <cell r="U435">
            <v>0</v>
          </cell>
          <cell r="V435">
            <v>0</v>
          </cell>
        </row>
        <row r="436">
          <cell r="C436" t="str">
            <v>1998MS</v>
          </cell>
          <cell r="D436">
            <v>0</v>
          </cell>
          <cell r="E436">
            <v>43000</v>
          </cell>
          <cell r="F436">
            <v>6750</v>
          </cell>
          <cell r="G436">
            <v>0</v>
          </cell>
          <cell r="H436">
            <v>2340</v>
          </cell>
          <cell r="I436">
            <v>0</v>
          </cell>
          <cell r="J436">
            <v>0</v>
          </cell>
          <cell r="K436">
            <v>0</v>
          </cell>
          <cell r="L436">
            <v>15544</v>
          </cell>
          <cell r="M436">
            <v>48000</v>
          </cell>
          <cell r="N436">
            <v>0</v>
          </cell>
          <cell r="O436">
            <v>0</v>
          </cell>
          <cell r="P436">
            <v>0</v>
          </cell>
          <cell r="Q436">
            <v>0</v>
          </cell>
          <cell r="R436">
            <v>0</v>
          </cell>
          <cell r="S436">
            <v>0</v>
          </cell>
          <cell r="T436">
            <v>0</v>
          </cell>
          <cell r="U436">
            <v>268</v>
          </cell>
          <cell r="V436">
            <v>0</v>
          </cell>
          <cell r="W436">
            <v>0.1</v>
          </cell>
        </row>
        <row r="437">
          <cell r="C437" t="str">
            <v>1998MO</v>
          </cell>
          <cell r="D437">
            <v>1300</v>
          </cell>
          <cell r="E437">
            <v>285000</v>
          </cell>
          <cell r="F437">
            <v>57500</v>
          </cell>
          <cell r="G437">
            <v>0</v>
          </cell>
          <cell r="H437">
            <v>26560</v>
          </cell>
          <cell r="I437">
            <v>611</v>
          </cell>
          <cell r="J437">
            <v>0</v>
          </cell>
          <cell r="K437">
            <v>0</v>
          </cell>
          <cell r="L437">
            <v>7436</v>
          </cell>
          <cell r="M437">
            <v>170000</v>
          </cell>
          <cell r="N437">
            <v>0</v>
          </cell>
          <cell r="O437">
            <v>0</v>
          </cell>
          <cell r="P437">
            <v>0</v>
          </cell>
          <cell r="Q437">
            <v>0</v>
          </cell>
          <cell r="R437">
            <v>0</v>
          </cell>
          <cell r="S437">
            <v>0</v>
          </cell>
          <cell r="T437">
            <v>0</v>
          </cell>
          <cell r="U437">
            <v>143</v>
          </cell>
          <cell r="V437">
            <v>0</v>
          </cell>
          <cell r="W437">
            <v>0.05</v>
          </cell>
        </row>
        <row r="438">
          <cell r="C438" t="str">
            <v>1998MT</v>
          </cell>
          <cell r="D438">
            <v>3740</v>
          </cell>
          <cell r="E438">
            <v>2070</v>
          </cell>
          <cell r="F438">
            <v>168790</v>
          </cell>
          <cell r="G438">
            <v>57600</v>
          </cell>
          <cell r="H438">
            <v>0</v>
          </cell>
          <cell r="I438">
            <v>3240</v>
          </cell>
          <cell r="J438">
            <v>0</v>
          </cell>
          <cell r="K438">
            <v>0</v>
          </cell>
          <cell r="L438">
            <v>0</v>
          </cell>
          <cell r="M438">
            <v>0</v>
          </cell>
          <cell r="N438">
            <v>0</v>
          </cell>
          <cell r="O438">
            <v>350</v>
          </cell>
          <cell r="P438">
            <v>666</v>
          </cell>
          <cell r="Q438">
            <v>0</v>
          </cell>
          <cell r="R438">
            <v>190</v>
          </cell>
          <cell r="S438">
            <v>0</v>
          </cell>
          <cell r="T438">
            <v>0</v>
          </cell>
          <cell r="U438">
            <v>0</v>
          </cell>
          <cell r="V438">
            <v>0</v>
          </cell>
        </row>
        <row r="439">
          <cell r="C439" t="str">
            <v>1998NE</v>
          </cell>
          <cell r="D439">
            <v>5250</v>
          </cell>
          <cell r="E439">
            <v>1239750</v>
          </cell>
          <cell r="F439">
            <v>82800</v>
          </cell>
          <cell r="G439">
            <v>400</v>
          </cell>
          <cell r="H439">
            <v>56400</v>
          </cell>
          <cell r="I439">
            <v>5320</v>
          </cell>
          <cell r="J439">
            <v>288</v>
          </cell>
          <cell r="K439">
            <v>0</v>
          </cell>
          <cell r="L439">
            <v>0</v>
          </cell>
          <cell r="M439">
            <v>165000</v>
          </cell>
          <cell r="N439">
            <v>0</v>
          </cell>
          <cell r="O439">
            <v>3666</v>
          </cell>
          <cell r="P439">
            <v>0</v>
          </cell>
          <cell r="Q439">
            <v>0</v>
          </cell>
          <cell r="R439">
            <v>0</v>
          </cell>
          <cell r="S439">
            <v>0</v>
          </cell>
          <cell r="T439">
            <v>0</v>
          </cell>
          <cell r="U439">
            <v>0</v>
          </cell>
          <cell r="V439">
            <v>0</v>
          </cell>
        </row>
        <row r="440">
          <cell r="C440" t="str">
            <v>1998NV</v>
          </cell>
          <cell r="D440">
            <v>1196</v>
          </cell>
          <cell r="E440">
            <v>0</v>
          </cell>
          <cell r="F440">
            <v>1240</v>
          </cell>
          <cell r="G440">
            <v>400</v>
          </cell>
          <cell r="H440">
            <v>0</v>
          </cell>
          <cell r="I440">
            <v>0</v>
          </cell>
          <cell r="J440">
            <v>0</v>
          </cell>
          <cell r="K440">
            <v>0</v>
          </cell>
          <cell r="L440">
            <v>0</v>
          </cell>
          <cell r="M440">
            <v>0</v>
          </cell>
          <cell r="N440">
            <v>0</v>
          </cell>
          <cell r="O440">
            <v>0</v>
          </cell>
          <cell r="P440">
            <v>0</v>
          </cell>
          <cell r="Q440">
            <v>0</v>
          </cell>
          <cell r="R440">
            <v>0</v>
          </cell>
          <cell r="S440">
            <v>0</v>
          </cell>
          <cell r="T440">
            <v>0</v>
          </cell>
          <cell r="U440">
            <v>0</v>
          </cell>
          <cell r="V440">
            <v>0</v>
          </cell>
        </row>
        <row r="441">
          <cell r="C441" t="str">
            <v>1998NH</v>
          </cell>
          <cell r="D441">
            <v>24</v>
          </cell>
          <cell r="E441">
            <v>0</v>
          </cell>
          <cell r="F441">
            <v>0</v>
          </cell>
          <cell r="G441">
            <v>0</v>
          </cell>
          <cell r="H441">
            <v>0</v>
          </cell>
          <cell r="I441">
            <v>0</v>
          </cell>
          <cell r="J441">
            <v>0</v>
          </cell>
          <cell r="K441">
            <v>0</v>
          </cell>
          <cell r="L441">
            <v>0</v>
          </cell>
          <cell r="M441">
            <v>0</v>
          </cell>
          <cell r="N441">
            <v>0</v>
          </cell>
          <cell r="O441">
            <v>0</v>
          </cell>
          <cell r="P441">
            <v>0</v>
          </cell>
          <cell r="Q441">
            <v>0</v>
          </cell>
          <cell r="R441">
            <v>0</v>
          </cell>
          <cell r="S441">
            <v>0</v>
          </cell>
          <cell r="T441">
            <v>0</v>
          </cell>
          <cell r="U441">
            <v>0</v>
          </cell>
          <cell r="V441">
            <v>0</v>
          </cell>
        </row>
        <row r="442">
          <cell r="C442" t="str">
            <v>1998NJ</v>
          </cell>
          <cell r="D442">
            <v>84</v>
          </cell>
          <cell r="E442">
            <v>9016</v>
          </cell>
          <cell r="F442">
            <v>2288</v>
          </cell>
          <cell r="G442">
            <v>232</v>
          </cell>
          <cell r="H442">
            <v>0</v>
          </cell>
          <cell r="I442">
            <v>0</v>
          </cell>
          <cell r="J442">
            <v>165</v>
          </cell>
          <cell r="K442">
            <v>0</v>
          </cell>
          <cell r="L442">
            <v>0</v>
          </cell>
          <cell r="M442">
            <v>3164</v>
          </cell>
          <cell r="N442">
            <v>0</v>
          </cell>
          <cell r="O442">
            <v>0</v>
          </cell>
          <cell r="P442">
            <v>0</v>
          </cell>
          <cell r="Q442">
            <v>0</v>
          </cell>
          <cell r="R442">
            <v>0</v>
          </cell>
          <cell r="S442">
            <v>0</v>
          </cell>
          <cell r="T442">
            <v>0</v>
          </cell>
          <cell r="U442">
            <v>0</v>
          </cell>
          <cell r="V442">
            <v>0</v>
          </cell>
        </row>
        <row r="443">
          <cell r="C443" t="str">
            <v>1998NM</v>
          </cell>
          <cell r="D443">
            <v>1377</v>
          </cell>
          <cell r="E443">
            <v>14025</v>
          </cell>
          <cell r="F443">
            <v>7950</v>
          </cell>
          <cell r="G443">
            <v>0</v>
          </cell>
          <cell r="H443">
            <v>2925</v>
          </cell>
          <cell r="I443">
            <v>0</v>
          </cell>
          <cell r="J443">
            <v>0</v>
          </cell>
          <cell r="K443">
            <v>0</v>
          </cell>
          <cell r="L443">
            <v>0</v>
          </cell>
          <cell r="M443">
            <v>0</v>
          </cell>
          <cell r="N443">
            <v>62040</v>
          </cell>
          <cell r="O443">
            <v>171</v>
          </cell>
          <cell r="P443">
            <v>0</v>
          </cell>
          <cell r="Q443">
            <v>0</v>
          </cell>
          <cell r="R443">
            <v>0</v>
          </cell>
          <cell r="S443">
            <v>0</v>
          </cell>
          <cell r="T443">
            <v>0</v>
          </cell>
          <cell r="U443">
            <v>0</v>
          </cell>
          <cell r="V443">
            <v>0</v>
          </cell>
        </row>
        <row r="444">
          <cell r="C444" t="str">
            <v>1998NY</v>
          </cell>
          <cell r="D444">
            <v>1470</v>
          </cell>
          <cell r="E444">
            <v>66120</v>
          </cell>
          <cell r="F444">
            <v>7020</v>
          </cell>
          <cell r="G444">
            <v>0</v>
          </cell>
          <cell r="H444">
            <v>0</v>
          </cell>
          <cell r="I444">
            <v>6510</v>
          </cell>
          <cell r="J444">
            <v>525</v>
          </cell>
          <cell r="K444">
            <v>0</v>
          </cell>
          <cell r="L444">
            <v>0</v>
          </cell>
          <cell r="M444">
            <v>3977</v>
          </cell>
          <cell r="N444">
            <v>0</v>
          </cell>
          <cell r="O444">
            <v>426</v>
          </cell>
          <cell r="P444">
            <v>0</v>
          </cell>
          <cell r="Q444">
            <v>0</v>
          </cell>
          <cell r="R444">
            <v>0</v>
          </cell>
          <cell r="S444">
            <v>0</v>
          </cell>
          <cell r="T444">
            <v>0</v>
          </cell>
          <cell r="U444">
            <v>0</v>
          </cell>
          <cell r="V444">
            <v>0</v>
          </cell>
        </row>
        <row r="445">
          <cell r="C445" t="str">
            <v>1998NC</v>
          </cell>
          <cell r="D445">
            <v>56</v>
          </cell>
          <cell r="E445">
            <v>53900</v>
          </cell>
          <cell r="F445">
            <v>27880</v>
          </cell>
          <cell r="G445">
            <v>1140</v>
          </cell>
          <cell r="H445">
            <v>540</v>
          </cell>
          <cell r="I445">
            <v>1160</v>
          </cell>
          <cell r="J445">
            <v>440</v>
          </cell>
          <cell r="K445">
            <v>0</v>
          </cell>
          <cell r="L445">
            <v>0</v>
          </cell>
          <cell r="M445">
            <v>38205</v>
          </cell>
          <cell r="N445">
            <v>397155</v>
          </cell>
          <cell r="O445">
            <v>0</v>
          </cell>
          <cell r="P445">
            <v>0</v>
          </cell>
          <cell r="Q445">
            <v>0</v>
          </cell>
          <cell r="R445">
            <v>0</v>
          </cell>
          <cell r="S445">
            <v>0</v>
          </cell>
          <cell r="T445">
            <v>0</v>
          </cell>
          <cell r="U445">
            <v>0</v>
          </cell>
          <cell r="V445">
            <v>0</v>
          </cell>
        </row>
        <row r="446">
          <cell r="C446" t="str">
            <v>1998ND</v>
          </cell>
          <cell r="D446">
            <v>2450</v>
          </cell>
          <cell r="E446">
            <v>88275</v>
          </cell>
          <cell r="F446">
            <v>307700</v>
          </cell>
          <cell r="G446">
            <v>106150</v>
          </cell>
          <cell r="H446">
            <v>0</v>
          </cell>
          <cell r="I446">
            <v>25200</v>
          </cell>
          <cell r="J446">
            <v>2562</v>
          </cell>
          <cell r="K446">
            <v>0</v>
          </cell>
          <cell r="L446">
            <v>0</v>
          </cell>
          <cell r="M446">
            <v>47200</v>
          </cell>
          <cell r="N446">
            <v>0</v>
          </cell>
          <cell r="O446">
            <v>9798</v>
          </cell>
          <cell r="P446">
            <v>1766</v>
          </cell>
          <cell r="Q446">
            <v>0</v>
          </cell>
          <cell r="R446">
            <v>267</v>
          </cell>
          <cell r="S446">
            <v>0</v>
          </cell>
          <cell r="T446">
            <v>0</v>
          </cell>
          <cell r="U446">
            <v>0</v>
          </cell>
          <cell r="V446">
            <v>0</v>
          </cell>
        </row>
        <row r="447">
          <cell r="C447" t="str">
            <v>1998OH</v>
          </cell>
          <cell r="D447">
            <v>2065</v>
          </cell>
          <cell r="E447">
            <v>470940</v>
          </cell>
          <cell r="F447">
            <v>74240</v>
          </cell>
          <cell r="G447">
            <v>0</v>
          </cell>
          <cell r="H447">
            <v>0</v>
          </cell>
          <cell r="I447">
            <v>6500</v>
          </cell>
          <cell r="J447">
            <v>140</v>
          </cell>
          <cell r="K447">
            <v>0</v>
          </cell>
          <cell r="L447">
            <v>0</v>
          </cell>
          <cell r="M447">
            <v>193160</v>
          </cell>
          <cell r="N447">
            <v>0</v>
          </cell>
          <cell r="O447">
            <v>0</v>
          </cell>
          <cell r="P447">
            <v>0</v>
          </cell>
          <cell r="Q447">
            <v>0</v>
          </cell>
          <cell r="R447">
            <v>0</v>
          </cell>
          <cell r="S447">
            <v>0</v>
          </cell>
          <cell r="T447">
            <v>0</v>
          </cell>
          <cell r="U447">
            <v>0</v>
          </cell>
          <cell r="V447">
            <v>0</v>
          </cell>
        </row>
        <row r="448">
          <cell r="C448" t="str">
            <v>1998OK</v>
          </cell>
          <cell r="D448">
            <v>910</v>
          </cell>
          <cell r="E448">
            <v>28600</v>
          </cell>
          <cell r="F448">
            <v>198900</v>
          </cell>
          <cell r="G448">
            <v>235</v>
          </cell>
          <cell r="H448">
            <v>15300</v>
          </cell>
          <cell r="I448">
            <v>820</v>
          </cell>
          <cell r="J448">
            <v>1540</v>
          </cell>
          <cell r="K448">
            <v>0</v>
          </cell>
          <cell r="L448">
            <v>0</v>
          </cell>
          <cell r="M448">
            <v>6120</v>
          </cell>
          <cell r="N448">
            <v>159750</v>
          </cell>
          <cell r="O448">
            <v>0</v>
          </cell>
          <cell r="P448">
            <v>0</v>
          </cell>
          <cell r="Q448">
            <v>0</v>
          </cell>
          <cell r="R448">
            <v>0</v>
          </cell>
          <cell r="S448">
            <v>0</v>
          </cell>
          <cell r="T448">
            <v>0</v>
          </cell>
          <cell r="U448">
            <v>4.65E-2</v>
          </cell>
          <cell r="V448">
            <v>0</v>
          </cell>
          <cell r="W448">
            <v>0.9</v>
          </cell>
        </row>
        <row r="449">
          <cell r="C449" t="str">
            <v>1998OR</v>
          </cell>
          <cell r="D449">
            <v>1920</v>
          </cell>
          <cell r="E449">
            <v>6270</v>
          </cell>
          <cell r="F449">
            <v>57490</v>
          </cell>
          <cell r="G449">
            <v>8060</v>
          </cell>
          <cell r="H449">
            <v>0</v>
          </cell>
          <cell r="I449">
            <v>3850</v>
          </cell>
          <cell r="J449">
            <v>0</v>
          </cell>
          <cell r="K449">
            <v>0</v>
          </cell>
          <cell r="L449">
            <v>0</v>
          </cell>
          <cell r="M449">
            <v>0</v>
          </cell>
          <cell r="N449">
            <v>0</v>
          </cell>
          <cell r="O449">
            <v>152</v>
          </cell>
          <cell r="P449">
            <v>0</v>
          </cell>
          <cell r="Q449">
            <v>6</v>
          </cell>
          <cell r="R449">
            <v>0</v>
          </cell>
          <cell r="S449">
            <v>0</v>
          </cell>
          <cell r="T449">
            <v>0</v>
          </cell>
          <cell r="U449">
            <v>0</v>
          </cell>
          <cell r="V449">
            <v>0</v>
          </cell>
        </row>
        <row r="450">
          <cell r="C450" t="str">
            <v>1998PA</v>
          </cell>
          <cell r="D450">
            <v>1960</v>
          </cell>
          <cell r="E450">
            <v>116550</v>
          </cell>
          <cell r="F450">
            <v>9690</v>
          </cell>
          <cell r="G450">
            <v>5025</v>
          </cell>
          <cell r="H450">
            <v>0</v>
          </cell>
          <cell r="I450">
            <v>8480</v>
          </cell>
          <cell r="J450">
            <v>495</v>
          </cell>
          <cell r="K450">
            <v>0</v>
          </cell>
          <cell r="L450">
            <v>0</v>
          </cell>
          <cell r="M450">
            <v>15800</v>
          </cell>
          <cell r="N450">
            <v>0</v>
          </cell>
          <cell r="O450">
            <v>0</v>
          </cell>
          <cell r="P450">
            <v>0</v>
          </cell>
          <cell r="Q450">
            <v>0</v>
          </cell>
          <cell r="R450">
            <v>0</v>
          </cell>
          <cell r="S450">
            <v>0</v>
          </cell>
          <cell r="T450">
            <v>0</v>
          </cell>
          <cell r="U450">
            <v>0</v>
          </cell>
          <cell r="V450">
            <v>0</v>
          </cell>
        </row>
        <row r="451">
          <cell r="C451" t="str">
            <v>1998RI</v>
          </cell>
          <cell r="D451">
            <v>6</v>
          </cell>
          <cell r="E451">
            <v>0</v>
          </cell>
          <cell r="F451">
            <v>0</v>
          </cell>
          <cell r="G451">
            <v>0</v>
          </cell>
          <cell r="H451">
            <v>0</v>
          </cell>
          <cell r="I451">
            <v>0</v>
          </cell>
          <cell r="J451">
            <v>0</v>
          </cell>
          <cell r="K451">
            <v>0</v>
          </cell>
          <cell r="L451">
            <v>0</v>
          </cell>
          <cell r="M451">
            <v>0</v>
          </cell>
          <cell r="N451">
            <v>0</v>
          </cell>
          <cell r="O451">
            <v>0</v>
          </cell>
          <cell r="P451">
            <v>0</v>
          </cell>
          <cell r="Q451">
            <v>0</v>
          </cell>
          <cell r="R451">
            <v>0</v>
          </cell>
          <cell r="S451">
            <v>0</v>
          </cell>
          <cell r="T451">
            <v>0</v>
          </cell>
          <cell r="U451">
            <v>0</v>
          </cell>
          <cell r="V451">
            <v>0</v>
          </cell>
        </row>
        <row r="452">
          <cell r="C452" t="str">
            <v>1998SC</v>
          </cell>
          <cell r="D452">
            <v>0</v>
          </cell>
          <cell r="E452">
            <v>11000</v>
          </cell>
          <cell r="F452">
            <v>7680</v>
          </cell>
          <cell r="G452">
            <v>141</v>
          </cell>
          <cell r="H452">
            <v>105</v>
          </cell>
          <cell r="I452">
            <v>1125</v>
          </cell>
          <cell r="J452">
            <v>400</v>
          </cell>
          <cell r="K452">
            <v>0</v>
          </cell>
          <cell r="L452">
            <v>0</v>
          </cell>
          <cell r="M452">
            <v>10500</v>
          </cell>
          <cell r="N452">
            <v>28175</v>
          </cell>
          <cell r="O452">
            <v>0</v>
          </cell>
          <cell r="P452">
            <v>0</v>
          </cell>
          <cell r="Q452">
            <v>0</v>
          </cell>
          <cell r="R452">
            <v>0</v>
          </cell>
          <cell r="S452">
            <v>0</v>
          </cell>
          <cell r="T452">
            <v>0</v>
          </cell>
          <cell r="U452">
            <v>0</v>
          </cell>
          <cell r="V452">
            <v>0</v>
          </cell>
        </row>
        <row r="453">
          <cell r="C453" t="str">
            <v>1998SD</v>
          </cell>
          <cell r="D453">
            <v>5760</v>
          </cell>
          <cell r="E453">
            <v>429550</v>
          </cell>
          <cell r="F453">
            <v>120884</v>
          </cell>
          <cell r="G453">
            <v>4560</v>
          </cell>
          <cell r="H453">
            <v>9940</v>
          </cell>
          <cell r="I453">
            <v>20100</v>
          </cell>
          <cell r="J453">
            <v>1400</v>
          </cell>
          <cell r="K453">
            <v>0</v>
          </cell>
          <cell r="L453">
            <v>0</v>
          </cell>
          <cell r="M453">
            <v>132600</v>
          </cell>
          <cell r="N453">
            <v>0</v>
          </cell>
          <cell r="O453">
            <v>0</v>
          </cell>
          <cell r="P453">
            <v>0</v>
          </cell>
          <cell r="Q453">
            <v>0</v>
          </cell>
          <cell r="R453">
            <v>0</v>
          </cell>
          <cell r="S453">
            <v>0</v>
          </cell>
          <cell r="T453">
            <v>0</v>
          </cell>
          <cell r="U453">
            <v>0</v>
          </cell>
          <cell r="V453">
            <v>0</v>
          </cell>
        </row>
        <row r="454">
          <cell r="C454" t="str">
            <v>1998TN</v>
          </cell>
          <cell r="D454">
            <v>119</v>
          </cell>
          <cell r="E454">
            <v>59520</v>
          </cell>
          <cell r="F454">
            <v>15170</v>
          </cell>
          <cell r="G454">
            <v>0</v>
          </cell>
          <cell r="H454">
            <v>1120</v>
          </cell>
          <cell r="I454">
            <v>0</v>
          </cell>
          <cell r="J454">
            <v>0</v>
          </cell>
          <cell r="K454">
            <v>0</v>
          </cell>
          <cell r="L454">
            <v>0</v>
          </cell>
          <cell r="M454">
            <v>35090</v>
          </cell>
          <cell r="N454">
            <v>0</v>
          </cell>
          <cell r="O454">
            <v>0</v>
          </cell>
          <cell r="P454">
            <v>0</v>
          </cell>
          <cell r="Q454">
            <v>0</v>
          </cell>
          <cell r="R454">
            <v>0</v>
          </cell>
          <cell r="S454">
            <v>0</v>
          </cell>
          <cell r="T454">
            <v>0</v>
          </cell>
          <cell r="U454">
            <v>0</v>
          </cell>
          <cell r="V454">
            <v>0</v>
          </cell>
        </row>
        <row r="455">
          <cell r="C455" t="str">
            <v>1998TX</v>
          </cell>
          <cell r="D455">
            <v>630</v>
          </cell>
          <cell r="E455">
            <v>185000</v>
          </cell>
          <cell r="F455">
            <v>136500</v>
          </cell>
          <cell r="G455">
            <v>215</v>
          </cell>
          <cell r="H455">
            <v>105800</v>
          </cell>
          <cell r="I455">
            <v>6890</v>
          </cell>
          <cell r="J455">
            <v>400</v>
          </cell>
          <cell r="K455">
            <v>0</v>
          </cell>
          <cell r="L455">
            <v>15846</v>
          </cell>
          <cell r="M455">
            <v>5940</v>
          </cell>
          <cell r="N455">
            <v>917900</v>
          </cell>
          <cell r="O455">
            <v>135</v>
          </cell>
          <cell r="P455">
            <v>0</v>
          </cell>
          <cell r="Q455">
            <v>0</v>
          </cell>
          <cell r="R455">
            <v>0</v>
          </cell>
          <cell r="S455">
            <v>0</v>
          </cell>
          <cell r="T455">
            <v>1064</v>
          </cell>
          <cell r="U455">
            <v>283</v>
          </cell>
          <cell r="V455">
            <v>113</v>
          </cell>
          <cell r="W455">
            <v>0.01</v>
          </cell>
        </row>
        <row r="456">
          <cell r="C456" t="str">
            <v>1998UT</v>
          </cell>
          <cell r="D456">
            <v>2398</v>
          </cell>
          <cell r="E456">
            <v>3384</v>
          </cell>
          <cell r="F456">
            <v>8834</v>
          </cell>
          <cell r="G456">
            <v>7055</v>
          </cell>
          <cell r="H456">
            <v>0</v>
          </cell>
          <cell r="I456">
            <v>490</v>
          </cell>
          <cell r="J456">
            <v>0</v>
          </cell>
          <cell r="K456">
            <v>0</v>
          </cell>
          <cell r="L456">
            <v>0</v>
          </cell>
          <cell r="M456">
            <v>0</v>
          </cell>
          <cell r="N456">
            <v>0</v>
          </cell>
          <cell r="O456">
            <v>30</v>
          </cell>
          <cell r="P456">
            <v>0</v>
          </cell>
          <cell r="Q456">
            <v>0</v>
          </cell>
          <cell r="R456">
            <v>0</v>
          </cell>
          <cell r="S456">
            <v>0</v>
          </cell>
          <cell r="T456">
            <v>0</v>
          </cell>
          <cell r="U456">
            <v>0</v>
          </cell>
          <cell r="V456">
            <v>0</v>
          </cell>
        </row>
        <row r="457">
          <cell r="C457" t="str">
            <v>1998VT</v>
          </cell>
          <cell r="D457">
            <v>104</v>
          </cell>
          <cell r="E457">
            <v>0</v>
          </cell>
          <cell r="F457">
            <v>0</v>
          </cell>
          <cell r="G457">
            <v>0</v>
          </cell>
          <cell r="H457">
            <v>0</v>
          </cell>
          <cell r="I457">
            <v>0</v>
          </cell>
          <cell r="J457">
            <v>0</v>
          </cell>
          <cell r="K457">
            <v>0</v>
          </cell>
          <cell r="L457">
            <v>0</v>
          </cell>
          <cell r="M457">
            <v>0</v>
          </cell>
          <cell r="N457">
            <v>0</v>
          </cell>
          <cell r="O457">
            <v>0</v>
          </cell>
          <cell r="P457">
            <v>0</v>
          </cell>
          <cell r="Q457">
            <v>0</v>
          </cell>
          <cell r="R457">
            <v>0</v>
          </cell>
          <cell r="S457">
            <v>0</v>
          </cell>
          <cell r="T457">
            <v>0</v>
          </cell>
          <cell r="U457">
            <v>0</v>
          </cell>
          <cell r="V457">
            <v>0</v>
          </cell>
        </row>
        <row r="458">
          <cell r="C458" t="str">
            <v>1998VA</v>
          </cell>
          <cell r="D458">
            <v>324</v>
          </cell>
          <cell r="E458">
            <v>25200</v>
          </cell>
          <cell r="F458">
            <v>11025</v>
          </cell>
          <cell r="G458">
            <v>4270</v>
          </cell>
          <cell r="H458">
            <v>0</v>
          </cell>
          <cell r="I458">
            <v>0</v>
          </cell>
          <cell r="J458">
            <v>175</v>
          </cell>
          <cell r="K458">
            <v>0</v>
          </cell>
          <cell r="L458">
            <v>0</v>
          </cell>
          <cell r="M458">
            <v>11040</v>
          </cell>
          <cell r="N458">
            <v>221250</v>
          </cell>
          <cell r="O458">
            <v>0</v>
          </cell>
          <cell r="P458">
            <v>0</v>
          </cell>
          <cell r="Q458">
            <v>0</v>
          </cell>
          <cell r="R458">
            <v>0</v>
          </cell>
          <cell r="S458">
            <v>0</v>
          </cell>
          <cell r="T458">
            <v>0</v>
          </cell>
          <cell r="U458">
            <v>0</v>
          </cell>
          <cell r="V458">
            <v>0</v>
          </cell>
        </row>
        <row r="459">
          <cell r="C459" t="str">
            <v>1998WA</v>
          </cell>
          <cell r="D459">
            <v>2400</v>
          </cell>
          <cell r="E459">
            <v>19000</v>
          </cell>
          <cell r="F459">
            <v>157425</v>
          </cell>
          <cell r="G459">
            <v>33800</v>
          </cell>
          <cell r="H459">
            <v>0</v>
          </cell>
          <cell r="I459">
            <v>1125</v>
          </cell>
          <cell r="J459">
            <v>0</v>
          </cell>
          <cell r="K459">
            <v>0</v>
          </cell>
          <cell r="L459">
            <v>0</v>
          </cell>
          <cell r="M459">
            <v>0</v>
          </cell>
          <cell r="N459">
            <v>0</v>
          </cell>
          <cell r="O459">
            <v>890</v>
          </cell>
          <cell r="P459">
            <v>2344</v>
          </cell>
          <cell r="Q459">
            <v>0</v>
          </cell>
          <cell r="R459">
            <v>837</v>
          </cell>
          <cell r="S459">
            <v>426</v>
          </cell>
          <cell r="T459">
            <v>0</v>
          </cell>
          <cell r="U459">
            <v>0</v>
          </cell>
          <cell r="V459">
            <v>0</v>
          </cell>
        </row>
        <row r="460">
          <cell r="C460" t="str">
            <v>1998WV</v>
          </cell>
          <cell r="D460">
            <v>150</v>
          </cell>
          <cell r="E460">
            <v>2720</v>
          </cell>
          <cell r="F460">
            <v>456</v>
          </cell>
          <cell r="G460">
            <v>0</v>
          </cell>
          <cell r="H460">
            <v>0</v>
          </cell>
          <cell r="I460">
            <v>200</v>
          </cell>
          <cell r="J460">
            <v>0</v>
          </cell>
          <cell r="K460">
            <v>0</v>
          </cell>
          <cell r="L460">
            <v>0</v>
          </cell>
          <cell r="M460">
            <v>0</v>
          </cell>
          <cell r="N460">
            <v>0</v>
          </cell>
          <cell r="O460">
            <v>0</v>
          </cell>
          <cell r="P460">
            <v>0</v>
          </cell>
          <cell r="Q460">
            <v>0</v>
          </cell>
          <cell r="R460">
            <v>0</v>
          </cell>
          <cell r="S460">
            <v>0</v>
          </cell>
          <cell r="T460">
            <v>0</v>
          </cell>
          <cell r="U460">
            <v>0</v>
          </cell>
          <cell r="V460">
            <v>0</v>
          </cell>
        </row>
        <row r="461">
          <cell r="C461" t="str">
            <v>1998WI</v>
          </cell>
          <cell r="D461">
            <v>5320</v>
          </cell>
          <cell r="E461">
            <v>404150</v>
          </cell>
          <cell r="F461">
            <v>7635</v>
          </cell>
          <cell r="G461">
            <v>3380</v>
          </cell>
          <cell r="H461">
            <v>0</v>
          </cell>
          <cell r="I461">
            <v>18300</v>
          </cell>
          <cell r="J461">
            <v>360</v>
          </cell>
          <cell r="K461">
            <v>0</v>
          </cell>
          <cell r="L461">
            <v>0</v>
          </cell>
          <cell r="M461">
            <v>51700</v>
          </cell>
          <cell r="N461">
            <v>0</v>
          </cell>
          <cell r="O461">
            <v>115</v>
          </cell>
          <cell r="P461">
            <v>0</v>
          </cell>
          <cell r="Q461">
            <v>0</v>
          </cell>
          <cell r="R461">
            <v>0</v>
          </cell>
          <cell r="S461">
            <v>0</v>
          </cell>
          <cell r="T461">
            <v>0</v>
          </cell>
          <cell r="U461">
            <v>0</v>
          </cell>
          <cell r="V461">
            <v>0</v>
          </cell>
        </row>
        <row r="462">
          <cell r="C462" t="str">
            <v>1998WY</v>
          </cell>
          <cell r="D462">
            <v>1560</v>
          </cell>
          <cell r="E462">
            <v>7620</v>
          </cell>
          <cell r="F462">
            <v>6790</v>
          </cell>
          <cell r="G462">
            <v>7140</v>
          </cell>
          <cell r="H462">
            <v>0</v>
          </cell>
          <cell r="I462">
            <v>1342</v>
          </cell>
          <cell r="J462">
            <v>0</v>
          </cell>
          <cell r="K462">
            <v>0</v>
          </cell>
          <cell r="L462">
            <v>0</v>
          </cell>
          <cell r="M462">
            <v>0</v>
          </cell>
          <cell r="N462">
            <v>0</v>
          </cell>
          <cell r="O462">
            <v>808</v>
          </cell>
          <cell r="P462">
            <v>0</v>
          </cell>
          <cell r="Q462">
            <v>0</v>
          </cell>
          <cell r="R462">
            <v>0</v>
          </cell>
          <cell r="S462">
            <v>0</v>
          </cell>
          <cell r="T462">
            <v>0</v>
          </cell>
          <cell r="U462">
            <v>0</v>
          </cell>
          <cell r="V462">
            <v>0</v>
          </cell>
        </row>
        <row r="463">
          <cell r="C463" t="str">
            <v>1998US</v>
          </cell>
          <cell r="D463">
            <v>81992</v>
          </cell>
          <cell r="E463">
            <v>9758685</v>
          </cell>
          <cell r="F463">
            <v>2547321</v>
          </cell>
          <cell r="G463">
            <v>351691.9</v>
          </cell>
          <cell r="H463">
            <v>519933</v>
          </cell>
          <cell r="I463">
            <v>165768</v>
          </cell>
          <cell r="J463">
            <v>12161</v>
          </cell>
          <cell r="K463">
            <v>0</v>
          </cell>
          <cell r="L463">
            <v>184443</v>
          </cell>
          <cell r="M463">
            <v>2741014</v>
          </cell>
          <cell r="N463">
            <v>3963440</v>
          </cell>
          <cell r="O463">
            <v>30418</v>
          </cell>
          <cell r="P463">
            <v>5934</v>
          </cell>
          <cell r="Q463">
            <v>104</v>
          </cell>
          <cell r="R463">
            <v>1938</v>
          </cell>
          <cell r="S463">
            <v>674</v>
          </cell>
          <cell r="T463">
            <v>34707</v>
          </cell>
        </row>
        <row r="464">
          <cell r="C464" t="str">
            <v>1999AL</v>
          </cell>
          <cell r="D464">
            <v>0</v>
          </cell>
          <cell r="E464">
            <v>20600</v>
          </cell>
          <cell r="F464">
            <v>4320</v>
          </cell>
          <cell r="G464">
            <v>0</v>
          </cell>
          <cell r="H464">
            <v>294</v>
          </cell>
          <cell r="I464">
            <v>880</v>
          </cell>
          <cell r="J464">
            <v>0</v>
          </cell>
          <cell r="K464">
            <v>0</v>
          </cell>
          <cell r="L464">
            <v>0</v>
          </cell>
          <cell r="M464">
            <v>3200</v>
          </cell>
          <cell r="N464">
            <v>448050</v>
          </cell>
          <cell r="O464">
            <v>0</v>
          </cell>
          <cell r="P464">
            <v>0</v>
          </cell>
          <cell r="Q464">
            <v>0</v>
          </cell>
          <cell r="R464">
            <v>0</v>
          </cell>
          <cell r="S464">
            <v>0</v>
          </cell>
          <cell r="T464">
            <v>0</v>
          </cell>
          <cell r="U464">
            <v>0</v>
          </cell>
          <cell r="V464">
            <v>0</v>
          </cell>
        </row>
        <row r="465">
          <cell r="C465" t="str">
            <v>1999AK</v>
          </cell>
          <cell r="D465">
            <v>0</v>
          </cell>
          <cell r="E465">
            <v>0</v>
          </cell>
          <cell r="F465">
            <v>0</v>
          </cell>
          <cell r="G465">
            <v>154.80000000000001</v>
          </cell>
          <cell r="H465">
            <v>0</v>
          </cell>
          <cell r="I465">
            <v>62100</v>
          </cell>
          <cell r="J465">
            <v>0</v>
          </cell>
          <cell r="K465">
            <v>0</v>
          </cell>
          <cell r="L465">
            <v>0</v>
          </cell>
          <cell r="M465">
            <v>0</v>
          </cell>
          <cell r="N465">
            <v>0</v>
          </cell>
          <cell r="O465">
            <v>0</v>
          </cell>
          <cell r="P465">
            <v>0</v>
          </cell>
          <cell r="Q465">
            <v>0</v>
          </cell>
          <cell r="R465">
            <v>0</v>
          </cell>
          <cell r="S465">
            <v>0</v>
          </cell>
          <cell r="T465">
            <v>0</v>
          </cell>
          <cell r="U465">
            <v>0</v>
          </cell>
          <cell r="V465">
            <v>0</v>
          </cell>
        </row>
        <row r="466">
          <cell r="C466" t="str">
            <v>1999AZ</v>
          </cell>
          <cell r="D466">
            <v>1580</v>
          </cell>
          <cell r="E466">
            <v>5850</v>
          </cell>
          <cell r="F466">
            <v>8325</v>
          </cell>
          <cell r="G466">
            <v>7068</v>
          </cell>
          <cell r="H466">
            <v>0</v>
          </cell>
          <cell r="I466">
            <v>0</v>
          </cell>
          <cell r="J466">
            <v>0</v>
          </cell>
          <cell r="K466">
            <v>0</v>
          </cell>
          <cell r="L466">
            <v>0</v>
          </cell>
          <cell r="M466">
            <v>0</v>
          </cell>
          <cell r="N466">
            <v>0</v>
          </cell>
          <cell r="O466">
            <v>0</v>
          </cell>
          <cell r="P466">
            <v>0</v>
          </cell>
          <cell r="Q466">
            <v>0</v>
          </cell>
          <cell r="R466">
            <v>0</v>
          </cell>
          <cell r="S466">
            <v>0</v>
          </cell>
          <cell r="T466">
            <v>0</v>
          </cell>
          <cell r="U466">
            <v>0</v>
          </cell>
          <cell r="V466">
            <v>0</v>
          </cell>
        </row>
        <row r="467">
          <cell r="C467" t="str">
            <v>1999AR</v>
          </cell>
          <cell r="D467">
            <v>50</v>
          </cell>
          <cell r="E467">
            <v>13000</v>
          </cell>
          <cell r="F467">
            <v>51520</v>
          </cell>
          <cell r="G467">
            <v>0</v>
          </cell>
          <cell r="H467">
            <v>9750</v>
          </cell>
          <cell r="I467">
            <v>1001</v>
          </cell>
          <cell r="J467">
            <v>0</v>
          </cell>
          <cell r="K467">
            <v>0</v>
          </cell>
          <cell r="L467">
            <v>95054</v>
          </cell>
          <cell r="M467">
            <v>92400</v>
          </cell>
          <cell r="N467">
            <v>0</v>
          </cell>
          <cell r="O467">
            <v>0</v>
          </cell>
          <cell r="P467">
            <v>0</v>
          </cell>
          <cell r="Q467">
            <v>0</v>
          </cell>
          <cell r="R467">
            <v>0</v>
          </cell>
          <cell r="S467">
            <v>0</v>
          </cell>
          <cell r="T467">
            <v>0</v>
          </cell>
          <cell r="U467">
            <v>1625</v>
          </cell>
          <cell r="V467">
            <v>0.5</v>
          </cell>
          <cell r="W467">
            <v>0.13</v>
          </cell>
        </row>
        <row r="468">
          <cell r="C468" t="str">
            <v>1999CA</v>
          </cell>
          <cell r="D468">
            <v>7245</v>
          </cell>
          <cell r="E468">
            <v>31450</v>
          </cell>
          <cell r="F468">
            <v>37785</v>
          </cell>
          <cell r="G468">
            <v>6400</v>
          </cell>
          <cell r="H468">
            <v>0</v>
          </cell>
          <cell r="I468">
            <v>2125</v>
          </cell>
          <cell r="J468">
            <v>0</v>
          </cell>
          <cell r="K468">
            <v>0</v>
          </cell>
          <cell r="L468">
            <v>36690</v>
          </cell>
          <cell r="M468">
            <v>0</v>
          </cell>
          <cell r="N468">
            <v>0</v>
          </cell>
          <cell r="O468">
            <v>2455</v>
          </cell>
          <cell r="P468">
            <v>0</v>
          </cell>
          <cell r="Q468">
            <v>0</v>
          </cell>
          <cell r="R468">
            <v>0</v>
          </cell>
          <cell r="S468">
            <v>0</v>
          </cell>
          <cell r="T468">
            <v>0</v>
          </cell>
          <cell r="U468">
            <v>505</v>
          </cell>
          <cell r="V468">
            <v>0</v>
          </cell>
          <cell r="W468">
            <v>0.27</v>
          </cell>
        </row>
        <row r="469">
          <cell r="C469" t="str">
            <v>1999CO</v>
          </cell>
          <cell r="D469">
            <v>3420</v>
          </cell>
          <cell r="E469">
            <v>159040</v>
          </cell>
          <cell r="F469">
            <v>107200</v>
          </cell>
          <cell r="G469">
            <v>9030</v>
          </cell>
          <cell r="H469">
            <v>8610</v>
          </cell>
          <cell r="I469">
            <v>1300</v>
          </cell>
          <cell r="J469">
            <v>66</v>
          </cell>
          <cell r="K469">
            <v>8160</v>
          </cell>
          <cell r="L469">
            <v>0</v>
          </cell>
          <cell r="M469">
            <v>0</v>
          </cell>
          <cell r="N469">
            <v>0</v>
          </cell>
          <cell r="O469">
            <v>2755</v>
          </cell>
          <cell r="P469">
            <v>0</v>
          </cell>
          <cell r="Q469">
            <v>0</v>
          </cell>
          <cell r="R469">
            <v>0</v>
          </cell>
          <cell r="S469">
            <v>0</v>
          </cell>
          <cell r="T469">
            <v>0</v>
          </cell>
          <cell r="U469">
            <v>0</v>
          </cell>
          <cell r="V469">
            <v>0</v>
          </cell>
        </row>
        <row r="470">
          <cell r="C470" t="str">
            <v>1999CT</v>
          </cell>
          <cell r="D470">
            <v>19</v>
          </cell>
          <cell r="E470">
            <v>0</v>
          </cell>
          <cell r="F470">
            <v>0</v>
          </cell>
          <cell r="G470">
            <v>0</v>
          </cell>
          <cell r="H470">
            <v>0</v>
          </cell>
          <cell r="I470">
            <v>0</v>
          </cell>
          <cell r="J470">
            <v>0</v>
          </cell>
          <cell r="K470">
            <v>0</v>
          </cell>
          <cell r="L470">
            <v>0</v>
          </cell>
          <cell r="M470">
            <v>0</v>
          </cell>
          <cell r="N470">
            <v>0</v>
          </cell>
          <cell r="O470">
            <v>0</v>
          </cell>
          <cell r="P470">
            <v>0</v>
          </cell>
          <cell r="Q470">
            <v>0</v>
          </cell>
          <cell r="R470">
            <v>0</v>
          </cell>
          <cell r="S470">
            <v>0</v>
          </cell>
          <cell r="T470">
            <v>0</v>
          </cell>
          <cell r="U470">
            <v>0</v>
          </cell>
          <cell r="V470">
            <v>0</v>
          </cell>
        </row>
        <row r="471">
          <cell r="C471" t="str">
            <v>1999DE</v>
          </cell>
          <cell r="D471">
            <v>27</v>
          </cell>
          <cell r="E471">
            <v>13706</v>
          </cell>
          <cell r="F471">
            <v>3990</v>
          </cell>
          <cell r="G471">
            <v>2184</v>
          </cell>
          <cell r="H471">
            <v>0</v>
          </cell>
          <cell r="I471">
            <v>0</v>
          </cell>
          <cell r="J471">
            <v>0</v>
          </cell>
          <cell r="K471">
            <v>0</v>
          </cell>
          <cell r="L471">
            <v>0</v>
          </cell>
          <cell r="M471">
            <v>5427</v>
          </cell>
          <cell r="N471">
            <v>0</v>
          </cell>
          <cell r="O471">
            <v>0</v>
          </cell>
          <cell r="P471">
            <v>0</v>
          </cell>
          <cell r="Q471">
            <v>0</v>
          </cell>
          <cell r="R471">
            <v>0</v>
          </cell>
          <cell r="S471">
            <v>0</v>
          </cell>
          <cell r="T471">
            <v>0</v>
          </cell>
          <cell r="U471">
            <v>0</v>
          </cell>
          <cell r="V471">
            <v>0</v>
          </cell>
        </row>
        <row r="472">
          <cell r="C472" t="str">
            <v>1999FL</v>
          </cell>
          <cell r="D472">
            <v>0</v>
          </cell>
          <cell r="E472">
            <v>3720</v>
          </cell>
          <cell r="F472">
            <v>520</v>
          </cell>
          <cell r="G472">
            <v>0</v>
          </cell>
          <cell r="H472">
            <v>0</v>
          </cell>
          <cell r="I472">
            <v>0</v>
          </cell>
          <cell r="J472">
            <v>0</v>
          </cell>
          <cell r="K472">
            <v>0</v>
          </cell>
          <cell r="L472">
            <v>793.76569609941885</v>
          </cell>
          <cell r="M472">
            <v>608</v>
          </cell>
          <cell r="N472">
            <v>260380</v>
          </cell>
          <cell r="O472">
            <v>0</v>
          </cell>
          <cell r="P472">
            <v>0</v>
          </cell>
          <cell r="Q472">
            <v>0</v>
          </cell>
          <cell r="R472">
            <v>0</v>
          </cell>
          <cell r="S472">
            <v>0</v>
          </cell>
          <cell r="T472">
            <v>16100</v>
          </cell>
          <cell r="U472">
            <v>18</v>
          </cell>
          <cell r="V472">
            <v>12</v>
          </cell>
          <cell r="W472">
            <v>0</v>
          </cell>
        </row>
        <row r="473">
          <cell r="C473" t="str">
            <v>1999GA</v>
          </cell>
          <cell r="D473">
            <v>0</v>
          </cell>
          <cell r="E473">
            <v>30900</v>
          </cell>
          <cell r="F473">
            <v>9675</v>
          </cell>
          <cell r="G473">
            <v>0</v>
          </cell>
          <cell r="H473">
            <v>1350</v>
          </cell>
          <cell r="I473">
            <v>1375</v>
          </cell>
          <cell r="J473">
            <v>1050</v>
          </cell>
          <cell r="K473">
            <v>0</v>
          </cell>
          <cell r="L473">
            <v>0</v>
          </cell>
          <cell r="M473">
            <v>3610</v>
          </cell>
          <cell r="N473">
            <v>1400800</v>
          </cell>
          <cell r="O473">
            <v>0</v>
          </cell>
          <cell r="P473">
            <v>0</v>
          </cell>
          <cell r="Q473">
            <v>0</v>
          </cell>
          <cell r="R473">
            <v>0</v>
          </cell>
          <cell r="S473">
            <v>0</v>
          </cell>
          <cell r="T473">
            <v>0</v>
          </cell>
          <cell r="U473">
            <v>0</v>
          </cell>
          <cell r="V473">
            <v>0</v>
          </cell>
        </row>
        <row r="474">
          <cell r="C474" t="str">
            <v>1999HI</v>
          </cell>
          <cell r="D474">
            <v>0</v>
          </cell>
          <cell r="E474">
            <v>0</v>
          </cell>
          <cell r="F474">
            <v>0</v>
          </cell>
          <cell r="G474">
            <v>0</v>
          </cell>
          <cell r="H474">
            <v>0</v>
          </cell>
          <cell r="I474">
            <v>0</v>
          </cell>
          <cell r="J474">
            <v>0</v>
          </cell>
          <cell r="K474">
            <v>0</v>
          </cell>
          <cell r="L474">
            <v>0</v>
          </cell>
          <cell r="M474">
            <v>0</v>
          </cell>
          <cell r="N474">
            <v>0</v>
          </cell>
          <cell r="O474">
            <v>0</v>
          </cell>
          <cell r="P474">
            <v>0</v>
          </cell>
          <cell r="Q474">
            <v>0</v>
          </cell>
          <cell r="R474">
            <v>0</v>
          </cell>
          <cell r="S474">
            <v>0</v>
          </cell>
          <cell r="T474">
            <v>2960</v>
          </cell>
          <cell r="U474">
            <v>0</v>
          </cell>
          <cell r="V474">
            <v>0</v>
          </cell>
        </row>
        <row r="475">
          <cell r="C475" t="str">
            <v>1999ID</v>
          </cell>
          <cell r="D475">
            <v>4600</v>
          </cell>
          <cell r="E475">
            <v>8525</v>
          </cell>
          <cell r="F475">
            <v>104520</v>
          </cell>
          <cell r="G475">
            <v>53820</v>
          </cell>
          <cell r="H475">
            <v>0</v>
          </cell>
          <cell r="I475">
            <v>1700</v>
          </cell>
          <cell r="J475">
            <v>0</v>
          </cell>
          <cell r="K475">
            <v>0</v>
          </cell>
          <cell r="L475">
            <v>0</v>
          </cell>
          <cell r="M475">
            <v>0</v>
          </cell>
          <cell r="N475">
            <v>0</v>
          </cell>
          <cell r="O475">
            <v>2112</v>
          </cell>
          <cell r="P475">
            <v>1007</v>
          </cell>
          <cell r="Q475">
            <v>56</v>
          </cell>
          <cell r="R475">
            <v>840</v>
          </cell>
          <cell r="S475">
            <v>340</v>
          </cell>
          <cell r="T475">
            <v>0</v>
          </cell>
          <cell r="U475">
            <v>0</v>
          </cell>
          <cell r="V475">
            <v>0</v>
          </cell>
        </row>
        <row r="476">
          <cell r="C476" t="str">
            <v>1999IL</v>
          </cell>
          <cell r="D476">
            <v>1880</v>
          </cell>
          <cell r="E476">
            <v>1491000</v>
          </cell>
          <cell r="F476">
            <v>60600</v>
          </cell>
          <cell r="G476">
            <v>0</v>
          </cell>
          <cell r="H476">
            <v>9215</v>
          </cell>
          <cell r="I476">
            <v>4260</v>
          </cell>
          <cell r="J476">
            <v>203</v>
          </cell>
          <cell r="K476">
            <v>0</v>
          </cell>
          <cell r="L476">
            <v>0</v>
          </cell>
          <cell r="M476">
            <v>443100</v>
          </cell>
          <cell r="N476">
            <v>0</v>
          </cell>
          <cell r="O476">
            <v>0</v>
          </cell>
          <cell r="P476">
            <v>0</v>
          </cell>
          <cell r="Q476">
            <v>0</v>
          </cell>
          <cell r="R476">
            <v>0</v>
          </cell>
          <cell r="S476">
            <v>0</v>
          </cell>
          <cell r="T476">
            <v>0</v>
          </cell>
          <cell r="U476">
            <v>0</v>
          </cell>
          <cell r="V476">
            <v>0</v>
          </cell>
        </row>
        <row r="477">
          <cell r="C477" t="str">
            <v>1999IN</v>
          </cell>
          <cell r="D477">
            <v>1480</v>
          </cell>
          <cell r="E477">
            <v>748440</v>
          </cell>
          <cell r="F477">
            <v>33660</v>
          </cell>
          <cell r="G477">
            <v>0</v>
          </cell>
          <cell r="H477">
            <v>0</v>
          </cell>
          <cell r="I477">
            <v>1625</v>
          </cell>
          <cell r="J477">
            <v>70</v>
          </cell>
          <cell r="K477">
            <v>0</v>
          </cell>
          <cell r="L477">
            <v>0</v>
          </cell>
          <cell r="M477">
            <v>216450</v>
          </cell>
          <cell r="N477">
            <v>0</v>
          </cell>
          <cell r="O477">
            <v>0</v>
          </cell>
          <cell r="P477">
            <v>0</v>
          </cell>
          <cell r="Q477">
            <v>0</v>
          </cell>
          <cell r="R477">
            <v>0</v>
          </cell>
          <cell r="S477">
            <v>0</v>
          </cell>
          <cell r="T477">
            <v>0</v>
          </cell>
          <cell r="U477">
            <v>0</v>
          </cell>
          <cell r="V477">
            <v>0</v>
          </cell>
        </row>
        <row r="478">
          <cell r="C478" t="str">
            <v>1999IA</v>
          </cell>
          <cell r="D478">
            <v>5070</v>
          </cell>
          <cell r="E478">
            <v>1758200</v>
          </cell>
          <cell r="F478">
            <v>1333</v>
          </cell>
          <cell r="G478">
            <v>0</v>
          </cell>
          <cell r="H478">
            <v>0</v>
          </cell>
          <cell r="I478">
            <v>11375</v>
          </cell>
          <cell r="J478">
            <v>0</v>
          </cell>
          <cell r="K478">
            <v>0</v>
          </cell>
          <cell r="L478">
            <v>0</v>
          </cell>
          <cell r="M478">
            <v>478375</v>
          </cell>
          <cell r="N478">
            <v>0</v>
          </cell>
          <cell r="O478">
            <v>0</v>
          </cell>
          <cell r="P478">
            <v>0</v>
          </cell>
          <cell r="Q478">
            <v>0</v>
          </cell>
          <cell r="R478">
            <v>0</v>
          </cell>
          <cell r="S478">
            <v>0</v>
          </cell>
          <cell r="T478">
            <v>0</v>
          </cell>
          <cell r="U478">
            <v>0</v>
          </cell>
          <cell r="V478">
            <v>0</v>
          </cell>
        </row>
        <row r="479">
          <cell r="C479" t="str">
            <v>1999KS</v>
          </cell>
          <cell r="D479">
            <v>3960</v>
          </cell>
          <cell r="E479">
            <v>420180</v>
          </cell>
          <cell r="F479">
            <v>432400</v>
          </cell>
          <cell r="G479">
            <v>585</v>
          </cell>
          <cell r="H479">
            <v>258400</v>
          </cell>
          <cell r="I479">
            <v>3290</v>
          </cell>
          <cell r="J479">
            <v>300</v>
          </cell>
          <cell r="K479">
            <v>0</v>
          </cell>
          <cell r="L479">
            <v>0</v>
          </cell>
          <cell r="M479">
            <v>81200</v>
          </cell>
          <cell r="N479">
            <v>0</v>
          </cell>
          <cell r="O479">
            <v>387</v>
          </cell>
          <cell r="P479">
            <v>0</v>
          </cell>
          <cell r="Q479">
            <v>0</v>
          </cell>
          <cell r="R479">
            <v>0</v>
          </cell>
          <cell r="S479">
            <v>0</v>
          </cell>
          <cell r="T479">
            <v>0</v>
          </cell>
          <cell r="U479">
            <v>0</v>
          </cell>
          <cell r="V479">
            <v>0</v>
          </cell>
        </row>
        <row r="480">
          <cell r="C480" t="str">
            <v>1999KY</v>
          </cell>
          <cell r="D480">
            <v>667</v>
          </cell>
          <cell r="E480">
            <v>123900</v>
          </cell>
          <cell r="F480">
            <v>24600</v>
          </cell>
          <cell r="G480">
            <v>640</v>
          </cell>
          <cell r="H480">
            <v>640</v>
          </cell>
          <cell r="I480">
            <v>0</v>
          </cell>
          <cell r="J480">
            <v>0</v>
          </cell>
          <cell r="K480">
            <v>0</v>
          </cell>
          <cell r="L480">
            <v>0</v>
          </cell>
          <cell r="M480">
            <v>24360</v>
          </cell>
          <cell r="N480">
            <v>0</v>
          </cell>
          <cell r="O480">
            <v>0</v>
          </cell>
          <cell r="P480">
            <v>0</v>
          </cell>
          <cell r="Q480">
            <v>0</v>
          </cell>
          <cell r="R480">
            <v>0</v>
          </cell>
          <cell r="S480">
            <v>0</v>
          </cell>
          <cell r="T480">
            <v>0</v>
          </cell>
          <cell r="U480">
            <v>0</v>
          </cell>
          <cell r="V480">
            <v>0</v>
          </cell>
        </row>
        <row r="481">
          <cell r="C481" t="str">
            <v>1999LA</v>
          </cell>
          <cell r="D481">
            <v>0</v>
          </cell>
          <cell r="E481">
            <v>39930</v>
          </cell>
          <cell r="F481">
            <v>4935</v>
          </cell>
          <cell r="G481">
            <v>0</v>
          </cell>
          <cell r="H481">
            <v>19270</v>
          </cell>
          <cell r="I481">
            <v>0</v>
          </cell>
          <cell r="J481">
            <v>0</v>
          </cell>
          <cell r="K481">
            <v>0</v>
          </cell>
          <cell r="L481">
            <v>30825</v>
          </cell>
          <cell r="M481">
            <v>26730</v>
          </cell>
          <cell r="N481">
            <v>0</v>
          </cell>
          <cell r="O481">
            <v>0</v>
          </cell>
          <cell r="P481">
            <v>0</v>
          </cell>
          <cell r="Q481">
            <v>0</v>
          </cell>
          <cell r="R481">
            <v>0</v>
          </cell>
          <cell r="S481">
            <v>0</v>
          </cell>
          <cell r="T481">
            <v>15206</v>
          </cell>
          <cell r="U481">
            <v>616</v>
          </cell>
          <cell r="V481">
            <v>185</v>
          </cell>
          <cell r="W481">
            <v>0</v>
          </cell>
        </row>
        <row r="482">
          <cell r="C482" t="str">
            <v>1999ME</v>
          </cell>
          <cell r="D482">
            <v>20</v>
          </cell>
          <cell r="E482">
            <v>0</v>
          </cell>
          <cell r="F482">
            <v>0</v>
          </cell>
          <cell r="G482">
            <v>0</v>
          </cell>
          <cell r="H482">
            <v>0</v>
          </cell>
          <cell r="I482">
            <v>2160</v>
          </cell>
          <cell r="J482">
            <v>0</v>
          </cell>
          <cell r="K482">
            <v>0</v>
          </cell>
          <cell r="L482">
            <v>0</v>
          </cell>
          <cell r="M482">
            <v>0</v>
          </cell>
          <cell r="N482">
            <v>0</v>
          </cell>
          <cell r="O482">
            <v>0</v>
          </cell>
          <cell r="P482">
            <v>0</v>
          </cell>
          <cell r="Q482">
            <v>0</v>
          </cell>
          <cell r="R482">
            <v>0</v>
          </cell>
          <cell r="S482">
            <v>0</v>
          </cell>
          <cell r="T482">
            <v>0</v>
          </cell>
          <cell r="U482">
            <v>0</v>
          </cell>
          <cell r="V482">
            <v>0</v>
          </cell>
        </row>
        <row r="483">
          <cell r="C483" t="str">
            <v>1999MD</v>
          </cell>
          <cell r="D483">
            <v>168</v>
          </cell>
          <cell r="E483">
            <v>33480</v>
          </cell>
          <cell r="F483">
            <v>12000</v>
          </cell>
          <cell r="G483">
            <v>3600</v>
          </cell>
          <cell r="H483">
            <v>0</v>
          </cell>
          <cell r="I483">
            <v>255</v>
          </cell>
          <cell r="J483">
            <v>155</v>
          </cell>
          <cell r="K483">
            <v>0</v>
          </cell>
          <cell r="L483">
            <v>0</v>
          </cell>
          <cell r="M483">
            <v>15360</v>
          </cell>
          <cell r="N483">
            <v>0</v>
          </cell>
          <cell r="O483">
            <v>0</v>
          </cell>
          <cell r="P483">
            <v>0</v>
          </cell>
          <cell r="Q483">
            <v>0</v>
          </cell>
          <cell r="R483">
            <v>0</v>
          </cell>
          <cell r="S483">
            <v>0</v>
          </cell>
          <cell r="T483">
            <v>0</v>
          </cell>
          <cell r="U483">
            <v>0</v>
          </cell>
          <cell r="V483">
            <v>0</v>
          </cell>
        </row>
        <row r="484">
          <cell r="C484" t="str">
            <v>1999MA</v>
          </cell>
          <cell r="D484">
            <v>32</v>
          </cell>
          <cell r="E484">
            <v>0</v>
          </cell>
          <cell r="F484">
            <v>0</v>
          </cell>
          <cell r="G484">
            <v>0</v>
          </cell>
          <cell r="H484">
            <v>0</v>
          </cell>
          <cell r="I484">
            <v>0</v>
          </cell>
          <cell r="J484">
            <v>0</v>
          </cell>
          <cell r="K484">
            <v>0</v>
          </cell>
          <cell r="L484">
            <v>0</v>
          </cell>
          <cell r="M484">
            <v>0</v>
          </cell>
          <cell r="N484">
            <v>0</v>
          </cell>
          <cell r="O484">
            <v>0</v>
          </cell>
          <cell r="P484">
            <v>0</v>
          </cell>
          <cell r="Q484">
            <v>0</v>
          </cell>
          <cell r="R484">
            <v>0</v>
          </cell>
          <cell r="S484">
            <v>0</v>
          </cell>
          <cell r="T484">
            <v>0</v>
          </cell>
          <cell r="U484">
            <v>0</v>
          </cell>
          <cell r="V484">
            <v>0</v>
          </cell>
        </row>
        <row r="485">
          <cell r="C485" t="str">
            <v>1999MI</v>
          </cell>
          <cell r="D485">
            <v>3610</v>
          </cell>
          <cell r="E485">
            <v>253500</v>
          </cell>
          <cell r="F485">
            <v>37950</v>
          </cell>
          <cell r="G485">
            <v>990</v>
          </cell>
          <cell r="H485">
            <v>0</v>
          </cell>
          <cell r="I485">
            <v>4875</v>
          </cell>
          <cell r="J485">
            <v>756</v>
          </cell>
          <cell r="K485">
            <v>0</v>
          </cell>
          <cell r="L485">
            <v>0</v>
          </cell>
          <cell r="M485">
            <v>77600</v>
          </cell>
          <cell r="N485">
            <v>0</v>
          </cell>
          <cell r="O485">
            <v>7350</v>
          </cell>
          <cell r="P485">
            <v>0</v>
          </cell>
          <cell r="Q485">
            <v>0</v>
          </cell>
          <cell r="R485">
            <v>0</v>
          </cell>
          <cell r="S485">
            <v>0</v>
          </cell>
          <cell r="T485">
            <v>0</v>
          </cell>
          <cell r="U485">
            <v>0</v>
          </cell>
          <cell r="V485">
            <v>0</v>
          </cell>
        </row>
        <row r="486">
          <cell r="C486" t="str">
            <v>1999MN</v>
          </cell>
          <cell r="D486">
            <v>5600</v>
          </cell>
          <cell r="E486">
            <v>990000</v>
          </cell>
          <cell r="F486">
            <v>79210</v>
          </cell>
          <cell r="G486">
            <v>8460</v>
          </cell>
          <cell r="H486">
            <v>0</v>
          </cell>
          <cell r="I486">
            <v>17700</v>
          </cell>
          <cell r="J486">
            <v>775</v>
          </cell>
          <cell r="K486">
            <v>0</v>
          </cell>
          <cell r="L486">
            <v>0</v>
          </cell>
          <cell r="M486">
            <v>289800</v>
          </cell>
          <cell r="N486">
            <v>0</v>
          </cell>
          <cell r="O486">
            <v>2558</v>
          </cell>
          <cell r="P486">
            <v>0</v>
          </cell>
          <cell r="Q486">
            <v>0</v>
          </cell>
          <cell r="R486">
            <v>0</v>
          </cell>
          <cell r="S486">
            <v>0</v>
          </cell>
          <cell r="T486">
            <v>0</v>
          </cell>
          <cell r="U486">
            <v>0</v>
          </cell>
          <cell r="V486">
            <v>0</v>
          </cell>
        </row>
        <row r="487">
          <cell r="C487" t="str">
            <v>1999MS</v>
          </cell>
          <cell r="D487">
            <v>0</v>
          </cell>
          <cell r="E487">
            <v>36270</v>
          </cell>
          <cell r="F487">
            <v>8250</v>
          </cell>
          <cell r="G487">
            <v>0</v>
          </cell>
          <cell r="H487">
            <v>4872</v>
          </cell>
          <cell r="I487">
            <v>0</v>
          </cell>
          <cell r="J487">
            <v>0</v>
          </cell>
          <cell r="K487">
            <v>0</v>
          </cell>
          <cell r="L487">
            <v>18250</v>
          </cell>
          <cell r="M487">
            <v>44650</v>
          </cell>
          <cell r="N487">
            <v>0</v>
          </cell>
          <cell r="O487">
            <v>0</v>
          </cell>
          <cell r="P487">
            <v>0</v>
          </cell>
          <cell r="Q487">
            <v>0</v>
          </cell>
          <cell r="R487">
            <v>0</v>
          </cell>
          <cell r="S487">
            <v>0</v>
          </cell>
          <cell r="T487">
            <v>0</v>
          </cell>
          <cell r="U487">
            <v>323</v>
          </cell>
          <cell r="V487">
            <v>0</v>
          </cell>
          <cell r="W487">
            <v>0.4</v>
          </cell>
        </row>
        <row r="488">
          <cell r="C488" t="str">
            <v>1999MO</v>
          </cell>
          <cell r="D488">
            <v>1131</v>
          </cell>
          <cell r="E488">
            <v>247350</v>
          </cell>
          <cell r="F488">
            <v>44160</v>
          </cell>
          <cell r="G488">
            <v>0</v>
          </cell>
          <cell r="H488">
            <v>22010</v>
          </cell>
          <cell r="I488">
            <v>1012</v>
          </cell>
          <cell r="J488">
            <v>0</v>
          </cell>
          <cell r="K488">
            <v>0</v>
          </cell>
          <cell r="L488">
            <v>9936</v>
          </cell>
          <cell r="M488">
            <v>147125</v>
          </cell>
          <cell r="N488">
            <v>0</v>
          </cell>
          <cell r="O488">
            <v>0</v>
          </cell>
          <cell r="P488">
            <v>0</v>
          </cell>
          <cell r="Q488">
            <v>0</v>
          </cell>
          <cell r="R488">
            <v>0</v>
          </cell>
          <cell r="S488">
            <v>0</v>
          </cell>
          <cell r="T488">
            <v>0</v>
          </cell>
          <cell r="U488">
            <v>184</v>
          </cell>
          <cell r="V488">
            <v>0</v>
          </cell>
          <cell r="W488">
            <v>0.05</v>
          </cell>
        </row>
        <row r="489">
          <cell r="C489" t="str">
            <v>1999MT</v>
          </cell>
          <cell r="D489">
            <v>3740</v>
          </cell>
          <cell r="E489">
            <v>1980</v>
          </cell>
          <cell r="F489">
            <v>154310</v>
          </cell>
          <cell r="G489">
            <v>50000</v>
          </cell>
          <cell r="H489">
            <v>0</v>
          </cell>
          <cell r="I489">
            <v>3220</v>
          </cell>
          <cell r="J489">
            <v>0</v>
          </cell>
          <cell r="K489">
            <v>0</v>
          </cell>
          <cell r="L489">
            <v>0</v>
          </cell>
          <cell r="M489">
            <v>0</v>
          </cell>
          <cell r="N489">
            <v>0</v>
          </cell>
          <cell r="O489">
            <v>484</v>
          </cell>
          <cell r="P489">
            <v>364</v>
          </cell>
          <cell r="Q489">
            <v>0</v>
          </cell>
          <cell r="R489">
            <v>192</v>
          </cell>
          <cell r="S489">
            <v>0</v>
          </cell>
          <cell r="T489">
            <v>0</v>
          </cell>
          <cell r="U489">
            <v>0</v>
          </cell>
          <cell r="V489">
            <v>0</v>
          </cell>
        </row>
        <row r="490">
          <cell r="C490" t="str">
            <v>1999NE</v>
          </cell>
          <cell r="D490">
            <v>5180</v>
          </cell>
          <cell r="E490">
            <v>1153700</v>
          </cell>
          <cell r="F490">
            <v>81600</v>
          </cell>
          <cell r="G490">
            <v>144</v>
          </cell>
          <cell r="H490">
            <v>42770</v>
          </cell>
          <cell r="I490">
            <v>4650</v>
          </cell>
          <cell r="J490">
            <v>405</v>
          </cell>
          <cell r="K490">
            <v>4950</v>
          </cell>
          <cell r="L490">
            <v>0</v>
          </cell>
          <cell r="M490">
            <v>180625</v>
          </cell>
          <cell r="N490">
            <v>0</v>
          </cell>
          <cell r="O490">
            <v>3740</v>
          </cell>
          <cell r="P490">
            <v>0</v>
          </cell>
          <cell r="Q490">
            <v>0</v>
          </cell>
          <cell r="R490">
            <v>0</v>
          </cell>
          <cell r="S490">
            <v>0</v>
          </cell>
          <cell r="T490">
            <v>0</v>
          </cell>
          <cell r="U490">
            <v>0</v>
          </cell>
          <cell r="V490">
            <v>0</v>
          </cell>
        </row>
        <row r="491">
          <cell r="C491" t="str">
            <v>1999NV</v>
          </cell>
          <cell r="D491">
            <v>1087</v>
          </cell>
          <cell r="E491">
            <v>0</v>
          </cell>
          <cell r="F491">
            <v>1375</v>
          </cell>
          <cell r="G491">
            <v>360</v>
          </cell>
          <cell r="H491">
            <v>0</v>
          </cell>
          <cell r="I491">
            <v>0</v>
          </cell>
          <cell r="J491">
            <v>0</v>
          </cell>
          <cell r="K491">
            <v>0</v>
          </cell>
          <cell r="L491">
            <v>0</v>
          </cell>
          <cell r="M491">
            <v>0</v>
          </cell>
          <cell r="N491">
            <v>0</v>
          </cell>
          <cell r="O491">
            <v>0</v>
          </cell>
          <cell r="P491">
            <v>0</v>
          </cell>
          <cell r="Q491">
            <v>0</v>
          </cell>
          <cell r="R491">
            <v>0</v>
          </cell>
          <cell r="S491">
            <v>0</v>
          </cell>
          <cell r="T491">
            <v>0</v>
          </cell>
          <cell r="U491">
            <v>0</v>
          </cell>
          <cell r="V491">
            <v>0</v>
          </cell>
        </row>
        <row r="492">
          <cell r="C492" t="str">
            <v>1999NH</v>
          </cell>
          <cell r="D492">
            <v>15</v>
          </cell>
          <cell r="E492">
            <v>0</v>
          </cell>
          <cell r="F492">
            <v>0</v>
          </cell>
          <cell r="G492">
            <v>0</v>
          </cell>
          <cell r="H492">
            <v>0</v>
          </cell>
          <cell r="I492">
            <v>0</v>
          </cell>
          <cell r="J492">
            <v>0</v>
          </cell>
          <cell r="K492">
            <v>0</v>
          </cell>
          <cell r="L492">
            <v>0</v>
          </cell>
          <cell r="M492">
            <v>0</v>
          </cell>
          <cell r="N492">
            <v>0</v>
          </cell>
          <cell r="O492">
            <v>0</v>
          </cell>
          <cell r="P492">
            <v>0</v>
          </cell>
          <cell r="Q492">
            <v>0</v>
          </cell>
          <cell r="R492">
            <v>0</v>
          </cell>
          <cell r="S492">
            <v>0</v>
          </cell>
          <cell r="T492">
            <v>0</v>
          </cell>
          <cell r="U492">
            <v>0</v>
          </cell>
          <cell r="V492">
            <v>0</v>
          </cell>
        </row>
        <row r="493">
          <cell r="C493" t="str">
            <v>1999NJ</v>
          </cell>
          <cell r="D493">
            <v>81</v>
          </cell>
          <cell r="E493">
            <v>2220</v>
          </cell>
          <cell r="F493">
            <v>1848</v>
          </cell>
          <cell r="G493">
            <v>316</v>
          </cell>
          <cell r="H493">
            <v>0</v>
          </cell>
          <cell r="I493">
            <v>0</v>
          </cell>
          <cell r="J493">
            <v>120</v>
          </cell>
          <cell r="K493">
            <v>0</v>
          </cell>
          <cell r="L493">
            <v>0</v>
          </cell>
          <cell r="M493">
            <v>2352</v>
          </cell>
          <cell r="N493">
            <v>0</v>
          </cell>
          <cell r="O493">
            <v>0</v>
          </cell>
          <cell r="P493">
            <v>0</v>
          </cell>
          <cell r="Q493">
            <v>0</v>
          </cell>
          <cell r="R493">
            <v>0</v>
          </cell>
          <cell r="S493">
            <v>0</v>
          </cell>
          <cell r="T493">
            <v>0</v>
          </cell>
          <cell r="U493">
            <v>0</v>
          </cell>
          <cell r="V493">
            <v>0</v>
          </cell>
        </row>
        <row r="494">
          <cell r="C494" t="str">
            <v>1999NM</v>
          </cell>
          <cell r="D494">
            <v>1508</v>
          </cell>
          <cell r="E494">
            <v>14940</v>
          </cell>
          <cell r="F494">
            <v>10640</v>
          </cell>
          <cell r="G494">
            <v>0</v>
          </cell>
          <cell r="H494">
            <v>7425</v>
          </cell>
          <cell r="I494">
            <v>0</v>
          </cell>
          <cell r="J494">
            <v>0</v>
          </cell>
          <cell r="K494">
            <v>0</v>
          </cell>
          <cell r="L494">
            <v>0</v>
          </cell>
          <cell r="M494">
            <v>0</v>
          </cell>
          <cell r="N494">
            <v>61600</v>
          </cell>
          <cell r="O494">
            <v>36</v>
          </cell>
          <cell r="P494">
            <v>0</v>
          </cell>
          <cell r="Q494">
            <v>0</v>
          </cell>
          <cell r="R494">
            <v>0</v>
          </cell>
          <cell r="S494">
            <v>0</v>
          </cell>
          <cell r="T494">
            <v>0</v>
          </cell>
          <cell r="U494">
            <v>0</v>
          </cell>
          <cell r="V494">
            <v>0</v>
          </cell>
        </row>
        <row r="495">
          <cell r="C495" t="str">
            <v>1999NY</v>
          </cell>
          <cell r="D495">
            <v>1265</v>
          </cell>
          <cell r="E495">
            <v>59590</v>
          </cell>
          <cell r="F495">
            <v>8125</v>
          </cell>
          <cell r="G495">
            <v>0</v>
          </cell>
          <cell r="H495">
            <v>0</v>
          </cell>
          <cell r="I495">
            <v>4760</v>
          </cell>
          <cell r="J495">
            <v>570</v>
          </cell>
          <cell r="K495">
            <v>0</v>
          </cell>
          <cell r="L495">
            <v>0</v>
          </cell>
          <cell r="M495">
            <v>4736</v>
          </cell>
          <cell r="N495">
            <v>0</v>
          </cell>
          <cell r="O495">
            <v>414</v>
          </cell>
          <cell r="P495">
            <v>0</v>
          </cell>
          <cell r="Q495">
            <v>0</v>
          </cell>
          <cell r="R495">
            <v>0</v>
          </cell>
          <cell r="S495">
            <v>0</v>
          </cell>
          <cell r="T495">
            <v>0</v>
          </cell>
          <cell r="U495">
            <v>0</v>
          </cell>
          <cell r="V495">
            <v>0</v>
          </cell>
        </row>
        <row r="496">
          <cell r="C496" t="str">
            <v>1999NC</v>
          </cell>
          <cell r="D496">
            <v>60</v>
          </cell>
          <cell r="E496">
            <v>51200</v>
          </cell>
          <cell r="F496">
            <v>28420</v>
          </cell>
          <cell r="G496">
            <v>1520</v>
          </cell>
          <cell r="H496">
            <v>552</v>
          </cell>
          <cell r="I496">
            <v>1700</v>
          </cell>
          <cell r="J496">
            <v>644</v>
          </cell>
          <cell r="K496">
            <v>0</v>
          </cell>
          <cell r="L496">
            <v>0</v>
          </cell>
          <cell r="M496">
            <v>29900</v>
          </cell>
          <cell r="N496">
            <v>298840</v>
          </cell>
          <cell r="O496">
            <v>0</v>
          </cell>
          <cell r="P496">
            <v>0</v>
          </cell>
          <cell r="Q496">
            <v>0</v>
          </cell>
          <cell r="R496">
            <v>0</v>
          </cell>
          <cell r="S496">
            <v>0</v>
          </cell>
          <cell r="T496">
            <v>0</v>
          </cell>
          <cell r="U496">
            <v>0</v>
          </cell>
          <cell r="V496">
            <v>0</v>
          </cell>
        </row>
        <row r="497">
          <cell r="C497" t="str">
            <v>1999ND</v>
          </cell>
          <cell r="D497">
            <v>3118</v>
          </cell>
          <cell r="E497">
            <v>76635</v>
          </cell>
          <cell r="F497">
            <v>242280</v>
          </cell>
          <cell r="G497">
            <v>59520</v>
          </cell>
          <cell r="H497">
            <v>0</v>
          </cell>
          <cell r="I497">
            <v>16830</v>
          </cell>
          <cell r="J497">
            <v>1517</v>
          </cell>
          <cell r="K497">
            <v>0</v>
          </cell>
          <cell r="L497">
            <v>0</v>
          </cell>
          <cell r="M497">
            <v>46900</v>
          </cell>
          <cell r="N497">
            <v>0</v>
          </cell>
          <cell r="O497">
            <v>8265</v>
          </cell>
          <cell r="P497">
            <v>1102</v>
          </cell>
          <cell r="Q497">
            <v>0</v>
          </cell>
          <cell r="R497">
            <v>364</v>
          </cell>
          <cell r="S497">
            <v>0</v>
          </cell>
          <cell r="T497">
            <v>0</v>
          </cell>
          <cell r="U497">
            <v>0</v>
          </cell>
          <cell r="V497">
            <v>0</v>
          </cell>
        </row>
        <row r="498">
          <cell r="C498" t="str">
            <v>1999OH</v>
          </cell>
          <cell r="D498">
            <v>1920</v>
          </cell>
          <cell r="E498">
            <v>403200</v>
          </cell>
          <cell r="F498">
            <v>72100</v>
          </cell>
          <cell r="G498">
            <v>0</v>
          </cell>
          <cell r="H498">
            <v>0</v>
          </cell>
          <cell r="I498">
            <v>7000</v>
          </cell>
          <cell r="J498">
            <v>144</v>
          </cell>
          <cell r="K498">
            <v>0</v>
          </cell>
          <cell r="L498">
            <v>0</v>
          </cell>
          <cell r="M498">
            <v>162000</v>
          </cell>
          <cell r="N498">
            <v>0</v>
          </cell>
          <cell r="O498">
            <v>0</v>
          </cell>
          <cell r="P498">
            <v>0</v>
          </cell>
          <cell r="Q498">
            <v>0</v>
          </cell>
          <cell r="R498">
            <v>0</v>
          </cell>
          <cell r="S498">
            <v>0</v>
          </cell>
          <cell r="T498">
            <v>0</v>
          </cell>
          <cell r="U498">
            <v>0</v>
          </cell>
          <cell r="V498">
            <v>0</v>
          </cell>
        </row>
        <row r="499">
          <cell r="C499" t="str">
            <v>1999OK</v>
          </cell>
          <cell r="D499">
            <v>1260</v>
          </cell>
          <cell r="E499">
            <v>40600</v>
          </cell>
          <cell r="F499">
            <v>150500</v>
          </cell>
          <cell r="G499">
            <v>156</v>
          </cell>
          <cell r="H499">
            <v>18000</v>
          </cell>
          <cell r="I499">
            <v>1290</v>
          </cell>
          <cell r="J499">
            <v>1045</v>
          </cell>
          <cell r="K499">
            <v>0</v>
          </cell>
          <cell r="L499">
            <v>0</v>
          </cell>
          <cell r="M499">
            <v>6840</v>
          </cell>
          <cell r="N499">
            <v>189600</v>
          </cell>
          <cell r="O499">
            <v>0</v>
          </cell>
          <cell r="P499">
            <v>0</v>
          </cell>
          <cell r="Q499">
            <v>0</v>
          </cell>
          <cell r="R499">
            <v>0</v>
          </cell>
          <cell r="S499">
            <v>0</v>
          </cell>
          <cell r="T499">
            <v>0</v>
          </cell>
          <cell r="U499">
            <v>0.54290000000000005</v>
          </cell>
          <cell r="V499">
            <v>0</v>
          </cell>
          <cell r="W499">
            <v>0.9</v>
          </cell>
        </row>
        <row r="500">
          <cell r="C500" t="str">
            <v>1999OR</v>
          </cell>
          <cell r="D500">
            <v>1848</v>
          </cell>
          <cell r="E500">
            <v>5250</v>
          </cell>
          <cell r="F500">
            <v>34659</v>
          </cell>
          <cell r="G500">
            <v>6885</v>
          </cell>
          <cell r="H500">
            <v>0</v>
          </cell>
          <cell r="I500">
            <v>2000</v>
          </cell>
          <cell r="J500">
            <v>0</v>
          </cell>
          <cell r="K500">
            <v>0</v>
          </cell>
          <cell r="L500">
            <v>0</v>
          </cell>
          <cell r="M500">
            <v>0</v>
          </cell>
          <cell r="N500">
            <v>0</v>
          </cell>
          <cell r="O500">
            <v>174</v>
          </cell>
          <cell r="P500">
            <v>0</v>
          </cell>
          <cell r="Q500">
            <v>12</v>
          </cell>
          <cell r="R500">
            <v>0</v>
          </cell>
          <cell r="S500">
            <v>0</v>
          </cell>
          <cell r="T500">
            <v>0</v>
          </cell>
          <cell r="U500">
            <v>0</v>
          </cell>
          <cell r="V500">
            <v>0</v>
          </cell>
        </row>
        <row r="501">
          <cell r="C501" t="str">
            <v>1999PA</v>
          </cell>
          <cell r="D501">
            <v>1680</v>
          </cell>
          <cell r="E501">
            <v>61600</v>
          </cell>
          <cell r="F501">
            <v>10260</v>
          </cell>
          <cell r="G501">
            <v>4970</v>
          </cell>
          <cell r="H501">
            <v>0</v>
          </cell>
          <cell r="I501">
            <v>7975</v>
          </cell>
          <cell r="J501">
            <v>600</v>
          </cell>
          <cell r="K501">
            <v>0</v>
          </cell>
          <cell r="L501">
            <v>0</v>
          </cell>
          <cell r="M501">
            <v>10150</v>
          </cell>
          <cell r="N501">
            <v>0</v>
          </cell>
          <cell r="O501">
            <v>0</v>
          </cell>
          <cell r="P501">
            <v>0</v>
          </cell>
          <cell r="Q501">
            <v>0</v>
          </cell>
          <cell r="R501">
            <v>0</v>
          </cell>
          <cell r="S501">
            <v>0</v>
          </cell>
          <cell r="T501">
            <v>0</v>
          </cell>
          <cell r="U501">
            <v>0</v>
          </cell>
          <cell r="V501">
            <v>0</v>
          </cell>
        </row>
        <row r="502">
          <cell r="C502" t="str">
            <v>1999RI</v>
          </cell>
          <cell r="D502">
            <v>4</v>
          </cell>
          <cell r="E502">
            <v>0</v>
          </cell>
          <cell r="F502">
            <v>0</v>
          </cell>
          <cell r="G502">
            <v>0</v>
          </cell>
          <cell r="H502">
            <v>0</v>
          </cell>
          <cell r="I502">
            <v>0</v>
          </cell>
          <cell r="J502">
            <v>0</v>
          </cell>
          <cell r="K502">
            <v>0</v>
          </cell>
          <cell r="L502">
            <v>0</v>
          </cell>
          <cell r="M502">
            <v>0</v>
          </cell>
          <cell r="N502">
            <v>0</v>
          </cell>
          <cell r="O502">
            <v>0</v>
          </cell>
          <cell r="P502">
            <v>0</v>
          </cell>
          <cell r="Q502">
            <v>0</v>
          </cell>
          <cell r="R502">
            <v>0</v>
          </cell>
          <cell r="S502">
            <v>0</v>
          </cell>
          <cell r="T502">
            <v>0</v>
          </cell>
          <cell r="U502">
            <v>0</v>
          </cell>
          <cell r="V502">
            <v>0</v>
          </cell>
        </row>
        <row r="503">
          <cell r="C503" t="str">
            <v>1999SC</v>
          </cell>
          <cell r="D503">
            <v>0</v>
          </cell>
          <cell r="E503">
            <v>19250</v>
          </cell>
          <cell r="F503">
            <v>9460</v>
          </cell>
          <cell r="G503">
            <v>120</v>
          </cell>
          <cell r="H503">
            <v>258</v>
          </cell>
          <cell r="I503">
            <v>1820</v>
          </cell>
          <cell r="J503">
            <v>500</v>
          </cell>
          <cell r="K503">
            <v>0</v>
          </cell>
          <cell r="L503">
            <v>0</v>
          </cell>
          <cell r="M503">
            <v>9000</v>
          </cell>
          <cell r="N503">
            <v>25300</v>
          </cell>
          <cell r="O503">
            <v>0</v>
          </cell>
          <cell r="P503">
            <v>0</v>
          </cell>
          <cell r="Q503">
            <v>0</v>
          </cell>
          <cell r="R503">
            <v>0</v>
          </cell>
          <cell r="S503">
            <v>0</v>
          </cell>
          <cell r="T503">
            <v>0</v>
          </cell>
          <cell r="U503">
            <v>0</v>
          </cell>
          <cell r="V503">
            <v>0</v>
          </cell>
        </row>
        <row r="504">
          <cell r="C504" t="str">
            <v>1999SD</v>
          </cell>
          <cell r="D504">
            <v>6720</v>
          </cell>
          <cell r="E504">
            <v>367250</v>
          </cell>
          <cell r="F504">
            <v>120582</v>
          </cell>
          <cell r="G504">
            <v>3552</v>
          </cell>
          <cell r="H504">
            <v>4640</v>
          </cell>
          <cell r="I504">
            <v>12800</v>
          </cell>
          <cell r="J504">
            <v>1012</v>
          </cell>
          <cell r="K504">
            <v>4800</v>
          </cell>
          <cell r="L504">
            <v>0</v>
          </cell>
          <cell r="M504">
            <v>146520</v>
          </cell>
          <cell r="N504">
            <v>0</v>
          </cell>
          <cell r="O504">
            <v>0</v>
          </cell>
          <cell r="P504">
            <v>0</v>
          </cell>
          <cell r="Q504">
            <v>0</v>
          </cell>
          <cell r="R504">
            <v>0</v>
          </cell>
          <cell r="S504">
            <v>0</v>
          </cell>
          <cell r="T504">
            <v>0</v>
          </cell>
          <cell r="U504">
            <v>0</v>
          </cell>
          <cell r="V504">
            <v>0</v>
          </cell>
        </row>
        <row r="505">
          <cell r="C505" t="str">
            <v>1999TN</v>
          </cell>
          <cell r="D505">
            <v>93</v>
          </cell>
          <cell r="E505">
            <v>58140</v>
          </cell>
          <cell r="F505">
            <v>19040</v>
          </cell>
          <cell r="G505">
            <v>0</v>
          </cell>
          <cell r="H505">
            <v>1260</v>
          </cell>
          <cell r="I505">
            <v>0</v>
          </cell>
          <cell r="J505">
            <v>0</v>
          </cell>
          <cell r="K505">
            <v>0</v>
          </cell>
          <cell r="L505">
            <v>0</v>
          </cell>
          <cell r="M505">
            <v>22800</v>
          </cell>
          <cell r="N505">
            <v>0</v>
          </cell>
          <cell r="O505">
            <v>0</v>
          </cell>
          <cell r="P505">
            <v>0</v>
          </cell>
          <cell r="Q505">
            <v>0</v>
          </cell>
          <cell r="R505">
            <v>0</v>
          </cell>
          <cell r="S505">
            <v>0</v>
          </cell>
          <cell r="T505">
            <v>0</v>
          </cell>
          <cell r="U505">
            <v>0</v>
          </cell>
          <cell r="V505">
            <v>0</v>
          </cell>
        </row>
        <row r="506">
          <cell r="C506" t="str">
            <v>1999TX</v>
          </cell>
          <cell r="D506">
            <v>770</v>
          </cell>
          <cell r="E506">
            <v>228330</v>
          </cell>
          <cell r="F506">
            <v>122400</v>
          </cell>
          <cell r="G506">
            <v>350</v>
          </cell>
          <cell r="H506">
            <v>185850</v>
          </cell>
          <cell r="I506">
            <v>4840</v>
          </cell>
          <cell r="J506">
            <v>450</v>
          </cell>
          <cell r="K506">
            <v>0</v>
          </cell>
          <cell r="L506">
            <v>15272</v>
          </cell>
          <cell r="M506">
            <v>10260</v>
          </cell>
          <cell r="N506">
            <v>926800</v>
          </cell>
          <cell r="O506">
            <v>701</v>
          </cell>
          <cell r="P506">
            <v>0</v>
          </cell>
          <cell r="Q506">
            <v>0</v>
          </cell>
          <cell r="R506">
            <v>0</v>
          </cell>
          <cell r="S506">
            <v>0</v>
          </cell>
          <cell r="T506">
            <v>1033</v>
          </cell>
          <cell r="U506">
            <v>259</v>
          </cell>
          <cell r="V506">
            <v>104</v>
          </cell>
          <cell r="W506">
            <v>0.02</v>
          </cell>
        </row>
        <row r="507">
          <cell r="C507" t="str">
            <v>1999UT</v>
          </cell>
          <cell r="D507">
            <v>2420</v>
          </cell>
          <cell r="E507">
            <v>2860</v>
          </cell>
          <cell r="F507">
            <v>8940</v>
          </cell>
          <cell r="G507">
            <v>6806</v>
          </cell>
          <cell r="H507">
            <v>0</v>
          </cell>
          <cell r="I507">
            <v>450</v>
          </cell>
          <cell r="J507">
            <v>0</v>
          </cell>
          <cell r="K507">
            <v>0</v>
          </cell>
          <cell r="L507">
            <v>0</v>
          </cell>
          <cell r="M507">
            <v>0</v>
          </cell>
          <cell r="N507">
            <v>0</v>
          </cell>
          <cell r="O507">
            <v>53</v>
          </cell>
          <cell r="P507">
            <v>0</v>
          </cell>
          <cell r="Q507">
            <v>0</v>
          </cell>
          <cell r="R507">
            <v>0</v>
          </cell>
          <cell r="S507">
            <v>0</v>
          </cell>
          <cell r="T507">
            <v>0</v>
          </cell>
          <cell r="U507">
            <v>0</v>
          </cell>
          <cell r="V507">
            <v>0</v>
          </cell>
        </row>
        <row r="508">
          <cell r="C508" t="str">
            <v>1999VT</v>
          </cell>
          <cell r="D508">
            <v>77</v>
          </cell>
          <cell r="E508">
            <v>0</v>
          </cell>
          <cell r="F508">
            <v>0</v>
          </cell>
          <cell r="G508">
            <v>0</v>
          </cell>
          <cell r="H508">
            <v>0</v>
          </cell>
          <cell r="I508">
            <v>0</v>
          </cell>
          <cell r="J508">
            <v>0</v>
          </cell>
          <cell r="K508">
            <v>0</v>
          </cell>
          <cell r="L508">
            <v>0</v>
          </cell>
          <cell r="M508">
            <v>0</v>
          </cell>
          <cell r="N508">
            <v>0</v>
          </cell>
          <cell r="O508">
            <v>0</v>
          </cell>
          <cell r="P508">
            <v>0</v>
          </cell>
          <cell r="Q508">
            <v>0</v>
          </cell>
          <cell r="R508">
            <v>0</v>
          </cell>
          <cell r="S508">
            <v>0</v>
          </cell>
          <cell r="T508">
            <v>0</v>
          </cell>
          <cell r="U508">
            <v>0</v>
          </cell>
          <cell r="V508">
            <v>0</v>
          </cell>
        </row>
        <row r="509">
          <cell r="C509" t="str">
            <v>1999VA</v>
          </cell>
          <cell r="D509">
            <v>300</v>
          </cell>
          <cell r="E509">
            <v>21840</v>
          </cell>
          <cell r="F509">
            <v>13680</v>
          </cell>
          <cell r="G509">
            <v>4920</v>
          </cell>
          <cell r="H509">
            <v>0</v>
          </cell>
          <cell r="I509">
            <v>0</v>
          </cell>
          <cell r="J509">
            <v>272</v>
          </cell>
          <cell r="K509">
            <v>0</v>
          </cell>
          <cell r="L509">
            <v>0</v>
          </cell>
          <cell r="M509">
            <v>11880</v>
          </cell>
          <cell r="N509">
            <v>218120</v>
          </cell>
          <cell r="O509">
            <v>0</v>
          </cell>
          <cell r="P509">
            <v>0</v>
          </cell>
          <cell r="Q509">
            <v>0</v>
          </cell>
          <cell r="R509">
            <v>0</v>
          </cell>
          <cell r="S509">
            <v>0</v>
          </cell>
          <cell r="T509">
            <v>0</v>
          </cell>
          <cell r="U509">
            <v>0</v>
          </cell>
          <cell r="V509">
            <v>0</v>
          </cell>
        </row>
        <row r="510">
          <cell r="C510" t="str">
            <v>1999WA</v>
          </cell>
          <cell r="D510">
            <v>2303</v>
          </cell>
          <cell r="E510">
            <v>18000</v>
          </cell>
          <cell r="F510">
            <v>124140</v>
          </cell>
          <cell r="G510">
            <v>28910</v>
          </cell>
          <cell r="H510">
            <v>0</v>
          </cell>
          <cell r="I510">
            <v>1125</v>
          </cell>
          <cell r="J510">
            <v>0</v>
          </cell>
          <cell r="K510">
            <v>0</v>
          </cell>
          <cell r="L510">
            <v>0</v>
          </cell>
          <cell r="M510">
            <v>0</v>
          </cell>
          <cell r="N510">
            <v>0</v>
          </cell>
          <cell r="O510">
            <v>750</v>
          </cell>
          <cell r="P510">
            <v>2222</v>
          </cell>
          <cell r="Q510">
            <v>0</v>
          </cell>
          <cell r="R510">
            <v>975</v>
          </cell>
          <cell r="S510">
            <v>318</v>
          </cell>
          <cell r="T510">
            <v>0</v>
          </cell>
          <cell r="U510">
            <v>0</v>
          </cell>
          <cell r="V510">
            <v>0</v>
          </cell>
        </row>
        <row r="511">
          <cell r="C511" t="str">
            <v>1999WV</v>
          </cell>
          <cell r="D511">
            <v>105</v>
          </cell>
          <cell r="E511">
            <v>1300</v>
          </cell>
          <cell r="F511">
            <v>399</v>
          </cell>
          <cell r="G511">
            <v>0</v>
          </cell>
          <cell r="H511">
            <v>0</v>
          </cell>
          <cell r="I511">
            <v>96</v>
          </cell>
          <cell r="J511">
            <v>0</v>
          </cell>
          <cell r="K511">
            <v>0</v>
          </cell>
          <cell r="L511">
            <v>0</v>
          </cell>
          <cell r="M511">
            <v>0</v>
          </cell>
          <cell r="N511">
            <v>0</v>
          </cell>
          <cell r="O511">
            <v>0</v>
          </cell>
          <cell r="P511">
            <v>0</v>
          </cell>
          <cell r="Q511">
            <v>0</v>
          </cell>
          <cell r="R511">
            <v>0</v>
          </cell>
          <cell r="S511">
            <v>0</v>
          </cell>
          <cell r="T511">
            <v>0</v>
          </cell>
          <cell r="U511">
            <v>0</v>
          </cell>
          <cell r="V511">
            <v>0</v>
          </cell>
        </row>
        <row r="512">
          <cell r="C512" t="str">
            <v>1999WI</v>
          </cell>
          <cell r="D512">
            <v>6510</v>
          </cell>
          <cell r="E512">
            <v>407550</v>
          </cell>
          <cell r="F512">
            <v>7480</v>
          </cell>
          <cell r="G512">
            <v>3380</v>
          </cell>
          <cell r="H512">
            <v>0</v>
          </cell>
          <cell r="I512">
            <v>18600</v>
          </cell>
          <cell r="J512">
            <v>384</v>
          </cell>
          <cell r="K512">
            <v>0</v>
          </cell>
          <cell r="L512">
            <v>0</v>
          </cell>
          <cell r="M512">
            <v>59800</v>
          </cell>
          <cell r="N512">
            <v>0</v>
          </cell>
          <cell r="O512">
            <v>124</v>
          </cell>
          <cell r="P512">
            <v>0</v>
          </cell>
          <cell r="Q512">
            <v>0</v>
          </cell>
          <cell r="R512">
            <v>0</v>
          </cell>
          <cell r="S512">
            <v>0</v>
          </cell>
          <cell r="T512">
            <v>0</v>
          </cell>
          <cell r="U512">
            <v>0</v>
          </cell>
          <cell r="V512">
            <v>0</v>
          </cell>
        </row>
        <row r="513">
          <cell r="C513" t="str">
            <v>1999WY</v>
          </cell>
          <cell r="D513">
            <v>1782</v>
          </cell>
          <cell r="E513">
            <v>6136</v>
          </cell>
          <cell r="F513">
            <v>6369</v>
          </cell>
          <cell r="G513">
            <v>7310</v>
          </cell>
          <cell r="H513">
            <v>0</v>
          </cell>
          <cell r="I513">
            <v>1539</v>
          </cell>
          <cell r="J513">
            <v>0</v>
          </cell>
          <cell r="K513">
            <v>0</v>
          </cell>
          <cell r="L513">
            <v>0</v>
          </cell>
          <cell r="M513">
            <v>0</v>
          </cell>
          <cell r="N513">
            <v>0</v>
          </cell>
          <cell r="O513">
            <v>788</v>
          </cell>
          <cell r="P513">
            <v>0</v>
          </cell>
          <cell r="Q513">
            <v>0</v>
          </cell>
          <cell r="R513">
            <v>0</v>
          </cell>
          <cell r="S513">
            <v>0</v>
          </cell>
          <cell r="T513">
            <v>0</v>
          </cell>
          <cell r="U513">
            <v>0</v>
          </cell>
          <cell r="V513">
            <v>0</v>
          </cell>
        </row>
        <row r="514">
          <cell r="C514" t="str">
            <v>1999US</v>
          </cell>
          <cell r="D514">
            <v>84405</v>
          </cell>
          <cell r="E514">
            <v>9430612</v>
          </cell>
          <cell r="F514">
            <v>2295560</v>
          </cell>
          <cell r="G514">
            <v>272150.8</v>
          </cell>
          <cell r="H514">
            <v>595166</v>
          </cell>
          <cell r="I514">
            <v>145628</v>
          </cell>
          <cell r="J514">
            <v>11038</v>
          </cell>
          <cell r="K514">
            <v>17910</v>
          </cell>
          <cell r="L514">
            <v>206027</v>
          </cell>
          <cell r="M514">
            <v>2653758</v>
          </cell>
          <cell r="N514">
            <v>3829490</v>
          </cell>
          <cell r="O514">
            <v>33146</v>
          </cell>
          <cell r="P514">
            <v>4731</v>
          </cell>
          <cell r="Q514">
            <v>68</v>
          </cell>
          <cell r="R514">
            <v>2371</v>
          </cell>
          <cell r="S514">
            <v>658</v>
          </cell>
          <cell r="T514">
            <v>35299</v>
          </cell>
        </row>
        <row r="515">
          <cell r="C515" t="str">
            <v>2000AL</v>
          </cell>
          <cell r="D515">
            <v>0</v>
          </cell>
          <cell r="E515">
            <v>10725</v>
          </cell>
          <cell r="F515">
            <v>4860</v>
          </cell>
          <cell r="G515">
            <v>0</v>
          </cell>
          <cell r="H515">
            <v>280</v>
          </cell>
          <cell r="I515">
            <v>0</v>
          </cell>
          <cell r="J515">
            <v>0</v>
          </cell>
          <cell r="K515">
            <v>0</v>
          </cell>
          <cell r="L515">
            <v>0</v>
          </cell>
          <cell r="M515">
            <v>2880</v>
          </cell>
          <cell r="N515">
            <v>271180</v>
          </cell>
          <cell r="O515">
            <v>0</v>
          </cell>
          <cell r="P515">
            <v>0</v>
          </cell>
          <cell r="Q515">
            <v>0</v>
          </cell>
          <cell r="R515">
            <v>0</v>
          </cell>
          <cell r="S515">
            <v>0</v>
          </cell>
          <cell r="T515">
            <v>0</v>
          </cell>
          <cell r="U515">
            <v>0</v>
          </cell>
          <cell r="V515">
            <v>0</v>
          </cell>
        </row>
        <row r="516">
          <cell r="C516" t="str">
            <v>2000AK</v>
          </cell>
          <cell r="D516">
            <v>0</v>
          </cell>
          <cell r="E516">
            <v>0</v>
          </cell>
          <cell r="F516">
            <v>0</v>
          </cell>
          <cell r="G516">
            <v>102.5</v>
          </cell>
          <cell r="H516">
            <v>0</v>
          </cell>
          <cell r="I516">
            <v>7000</v>
          </cell>
          <cell r="J516">
            <v>0</v>
          </cell>
          <cell r="K516">
            <v>0</v>
          </cell>
          <cell r="L516">
            <v>0</v>
          </cell>
          <cell r="M516">
            <v>0</v>
          </cell>
          <cell r="N516">
            <v>0</v>
          </cell>
          <cell r="O516">
            <v>0</v>
          </cell>
          <cell r="P516">
            <v>0</v>
          </cell>
          <cell r="Q516">
            <v>0</v>
          </cell>
          <cell r="R516">
            <v>0</v>
          </cell>
          <cell r="S516">
            <v>0</v>
          </cell>
          <cell r="T516">
            <v>0</v>
          </cell>
          <cell r="U516">
            <v>0</v>
          </cell>
          <cell r="V516">
            <v>0</v>
          </cell>
        </row>
        <row r="517">
          <cell r="C517" t="str">
            <v>2000AZ</v>
          </cell>
          <cell r="D517">
            <v>1702</v>
          </cell>
          <cell r="E517">
            <v>6468</v>
          </cell>
          <cell r="F517">
            <v>8775</v>
          </cell>
          <cell r="G517">
            <v>4104</v>
          </cell>
          <cell r="H517">
            <v>720</v>
          </cell>
          <cell r="I517">
            <v>0</v>
          </cell>
          <cell r="J517">
            <v>0</v>
          </cell>
          <cell r="K517">
            <v>0</v>
          </cell>
          <cell r="L517">
            <v>0</v>
          </cell>
          <cell r="M517">
            <v>0</v>
          </cell>
          <cell r="N517">
            <v>0</v>
          </cell>
          <cell r="O517">
            <v>0</v>
          </cell>
          <cell r="P517">
            <v>0</v>
          </cell>
          <cell r="Q517">
            <v>0</v>
          </cell>
          <cell r="R517">
            <v>0</v>
          </cell>
          <cell r="S517">
            <v>0</v>
          </cell>
          <cell r="T517">
            <v>0</v>
          </cell>
          <cell r="U517">
            <v>0</v>
          </cell>
          <cell r="V517">
            <v>0</v>
          </cell>
        </row>
        <row r="518">
          <cell r="C518" t="str">
            <v>2000AR</v>
          </cell>
          <cell r="D518">
            <v>50</v>
          </cell>
          <cell r="E518">
            <v>22750</v>
          </cell>
          <cell r="F518">
            <v>59400</v>
          </cell>
          <cell r="G518">
            <v>0</v>
          </cell>
          <cell r="H518">
            <v>9940</v>
          </cell>
          <cell r="I518">
            <v>0</v>
          </cell>
          <cell r="J518">
            <v>0</v>
          </cell>
          <cell r="K518">
            <v>0</v>
          </cell>
          <cell r="L518">
            <v>86112</v>
          </cell>
          <cell r="M518">
            <v>80325</v>
          </cell>
          <cell r="N518">
            <v>0</v>
          </cell>
          <cell r="O518">
            <v>0</v>
          </cell>
          <cell r="P518">
            <v>0</v>
          </cell>
          <cell r="Q518">
            <v>0</v>
          </cell>
          <cell r="R518">
            <v>0</v>
          </cell>
          <cell r="S518">
            <v>0</v>
          </cell>
          <cell r="T518">
            <v>0</v>
          </cell>
          <cell r="U518">
            <v>1410</v>
          </cell>
          <cell r="V518">
            <v>0</v>
          </cell>
          <cell r="W518">
            <v>0.13</v>
          </cell>
        </row>
        <row r="519">
          <cell r="C519" t="str">
            <v>2000CA</v>
          </cell>
          <cell r="D519">
            <v>7140</v>
          </cell>
          <cell r="E519">
            <v>34850</v>
          </cell>
          <cell r="F519">
            <v>37000</v>
          </cell>
          <cell r="G519">
            <v>6460</v>
          </cell>
          <cell r="H519">
            <v>600</v>
          </cell>
          <cell r="I519">
            <v>1875</v>
          </cell>
          <cell r="J519">
            <v>0</v>
          </cell>
          <cell r="K519">
            <v>0</v>
          </cell>
          <cell r="L519">
            <v>43521</v>
          </cell>
          <cell r="M519">
            <v>0</v>
          </cell>
          <cell r="N519">
            <v>0</v>
          </cell>
          <cell r="O519">
            <v>2059</v>
          </cell>
          <cell r="P519">
            <v>0</v>
          </cell>
          <cell r="Q519">
            <v>0</v>
          </cell>
          <cell r="R519">
            <v>0</v>
          </cell>
          <cell r="S519">
            <v>0</v>
          </cell>
          <cell r="T519">
            <v>0</v>
          </cell>
          <cell r="U519">
            <v>548</v>
          </cell>
          <cell r="V519">
            <v>0</v>
          </cell>
          <cell r="W519">
            <v>0.27</v>
          </cell>
        </row>
        <row r="520">
          <cell r="C520" t="str">
            <v>2000CO</v>
          </cell>
          <cell r="D520">
            <v>3515</v>
          </cell>
          <cell r="E520">
            <v>144900</v>
          </cell>
          <cell r="F520">
            <v>71370</v>
          </cell>
          <cell r="G520">
            <v>12075</v>
          </cell>
          <cell r="H520">
            <v>6720</v>
          </cell>
          <cell r="I520">
            <v>2205</v>
          </cell>
          <cell r="J520">
            <v>0</v>
          </cell>
          <cell r="K520">
            <v>2850</v>
          </cell>
          <cell r="L520">
            <v>0</v>
          </cell>
          <cell r="M520">
            <v>0</v>
          </cell>
          <cell r="N520">
            <v>0</v>
          </cell>
          <cell r="O520">
            <v>1980</v>
          </cell>
          <cell r="P520">
            <v>0</v>
          </cell>
          <cell r="Q520">
            <v>0</v>
          </cell>
          <cell r="R520">
            <v>0</v>
          </cell>
          <cell r="S520">
            <v>0</v>
          </cell>
          <cell r="T520">
            <v>0</v>
          </cell>
          <cell r="U520">
            <v>0</v>
          </cell>
          <cell r="V520">
            <v>0</v>
          </cell>
        </row>
        <row r="521">
          <cell r="C521" t="str">
            <v>2000CT</v>
          </cell>
          <cell r="D521">
            <v>26</v>
          </cell>
          <cell r="E521">
            <v>0</v>
          </cell>
          <cell r="F521">
            <v>0</v>
          </cell>
          <cell r="G521">
            <v>0</v>
          </cell>
          <cell r="H521">
            <v>0</v>
          </cell>
          <cell r="I521">
            <v>0</v>
          </cell>
          <cell r="J521">
            <v>0</v>
          </cell>
          <cell r="K521">
            <v>0</v>
          </cell>
          <cell r="L521">
            <v>0</v>
          </cell>
          <cell r="M521">
            <v>0</v>
          </cell>
          <cell r="N521">
            <v>0</v>
          </cell>
          <cell r="O521">
            <v>0</v>
          </cell>
          <cell r="P521">
            <v>0</v>
          </cell>
          <cell r="Q521">
            <v>0</v>
          </cell>
          <cell r="R521">
            <v>0</v>
          </cell>
          <cell r="S521">
            <v>0</v>
          </cell>
          <cell r="T521">
            <v>0</v>
          </cell>
          <cell r="U521">
            <v>0</v>
          </cell>
          <cell r="V521">
            <v>0</v>
          </cell>
        </row>
        <row r="522">
          <cell r="C522" t="str">
            <v>2000DE</v>
          </cell>
          <cell r="D522">
            <v>40</v>
          </cell>
          <cell r="E522">
            <v>25110</v>
          </cell>
          <cell r="F522">
            <v>4158</v>
          </cell>
          <cell r="G522">
            <v>2268</v>
          </cell>
          <cell r="H522">
            <v>166</v>
          </cell>
          <cell r="I522">
            <v>0</v>
          </cell>
          <cell r="J522">
            <v>0</v>
          </cell>
          <cell r="K522">
            <v>0</v>
          </cell>
          <cell r="L522">
            <v>0</v>
          </cell>
          <cell r="M522">
            <v>9159</v>
          </cell>
          <cell r="N522">
            <v>0</v>
          </cell>
          <cell r="O522">
            <v>0</v>
          </cell>
          <cell r="P522">
            <v>0</v>
          </cell>
          <cell r="Q522">
            <v>0</v>
          </cell>
          <cell r="R522">
            <v>0</v>
          </cell>
          <cell r="S522">
            <v>0</v>
          </cell>
          <cell r="T522">
            <v>0</v>
          </cell>
          <cell r="U522">
            <v>0</v>
          </cell>
          <cell r="V522">
            <v>0</v>
          </cell>
        </row>
        <row r="523">
          <cell r="C523" t="str">
            <v>2000FL</v>
          </cell>
          <cell r="D523">
            <v>0</v>
          </cell>
          <cell r="E523">
            <v>1875</v>
          </cell>
          <cell r="F523">
            <v>441</v>
          </cell>
          <cell r="G523">
            <v>0</v>
          </cell>
          <cell r="H523">
            <v>0</v>
          </cell>
          <cell r="I523">
            <v>0</v>
          </cell>
          <cell r="J523">
            <v>0</v>
          </cell>
          <cell r="K523">
            <v>0</v>
          </cell>
          <cell r="L523">
            <v>856.5506786670677</v>
          </cell>
          <cell r="M523">
            <v>285</v>
          </cell>
          <cell r="N523">
            <v>213710</v>
          </cell>
          <cell r="O523">
            <v>0</v>
          </cell>
          <cell r="P523">
            <v>0</v>
          </cell>
          <cell r="Q523">
            <v>0</v>
          </cell>
          <cell r="R523">
            <v>0</v>
          </cell>
          <cell r="S523">
            <v>0</v>
          </cell>
          <cell r="T523">
            <v>17041</v>
          </cell>
          <cell r="U523">
            <v>19</v>
          </cell>
          <cell r="V523">
            <v>8</v>
          </cell>
          <cell r="W523">
            <v>0</v>
          </cell>
        </row>
        <row r="524">
          <cell r="C524" t="str">
            <v>2000GA</v>
          </cell>
          <cell r="D524">
            <v>0</v>
          </cell>
          <cell r="E524">
            <v>25680</v>
          </cell>
          <cell r="F524">
            <v>10800</v>
          </cell>
          <cell r="G524">
            <v>0</v>
          </cell>
          <cell r="H524">
            <v>1350</v>
          </cell>
          <cell r="I524">
            <v>2520</v>
          </cell>
          <cell r="J524">
            <v>1170</v>
          </cell>
          <cell r="K524">
            <v>0</v>
          </cell>
          <cell r="L524">
            <v>0</v>
          </cell>
          <cell r="M524">
            <v>3360</v>
          </cell>
          <cell r="N524">
            <v>1328400</v>
          </cell>
          <cell r="O524">
            <v>0</v>
          </cell>
          <cell r="P524">
            <v>0</v>
          </cell>
          <cell r="Q524">
            <v>0</v>
          </cell>
          <cell r="R524">
            <v>0</v>
          </cell>
          <cell r="S524">
            <v>0</v>
          </cell>
          <cell r="T524">
            <v>0</v>
          </cell>
          <cell r="U524">
            <v>0</v>
          </cell>
          <cell r="V524">
            <v>0</v>
          </cell>
        </row>
        <row r="525">
          <cell r="C525" t="str">
            <v>2000HI</v>
          </cell>
          <cell r="D525">
            <v>0</v>
          </cell>
          <cell r="E525">
            <v>0</v>
          </cell>
          <cell r="F525">
            <v>0</v>
          </cell>
          <cell r="G525">
            <v>0</v>
          </cell>
          <cell r="H525">
            <v>0</v>
          </cell>
          <cell r="I525">
            <v>0</v>
          </cell>
          <cell r="J525">
            <v>0</v>
          </cell>
          <cell r="K525">
            <v>0</v>
          </cell>
          <cell r="L525">
            <v>0</v>
          </cell>
          <cell r="M525">
            <v>0</v>
          </cell>
          <cell r="N525">
            <v>0</v>
          </cell>
          <cell r="O525">
            <v>0</v>
          </cell>
          <cell r="P525">
            <v>0</v>
          </cell>
          <cell r="Q525">
            <v>0</v>
          </cell>
          <cell r="R525">
            <v>0</v>
          </cell>
          <cell r="S525">
            <v>0</v>
          </cell>
          <cell r="T525">
            <v>2433</v>
          </cell>
          <cell r="U525">
            <v>0</v>
          </cell>
          <cell r="V525">
            <v>0</v>
          </cell>
        </row>
        <row r="526">
          <cell r="C526" t="str">
            <v>2000ID</v>
          </cell>
          <cell r="D526">
            <v>4746</v>
          </cell>
          <cell r="E526">
            <v>9120</v>
          </cell>
          <cell r="F526">
            <v>106650</v>
          </cell>
          <cell r="G526">
            <v>55480</v>
          </cell>
          <cell r="H526">
            <v>0</v>
          </cell>
          <cell r="I526">
            <v>1400</v>
          </cell>
          <cell r="J526">
            <v>0</v>
          </cell>
          <cell r="K526">
            <v>0</v>
          </cell>
          <cell r="L526">
            <v>0</v>
          </cell>
          <cell r="M526">
            <v>0</v>
          </cell>
          <cell r="N526">
            <v>0</v>
          </cell>
          <cell r="O526">
            <v>1716</v>
          </cell>
          <cell r="P526">
            <v>456</v>
          </cell>
          <cell r="Q526">
            <v>67</v>
          </cell>
          <cell r="R526">
            <v>928</v>
          </cell>
          <cell r="S526">
            <v>331</v>
          </cell>
          <cell r="T526">
            <v>0</v>
          </cell>
          <cell r="U526">
            <v>0</v>
          </cell>
          <cell r="V526">
            <v>0</v>
          </cell>
        </row>
        <row r="527">
          <cell r="C527" t="str">
            <v>2000IL</v>
          </cell>
          <cell r="D527">
            <v>1824</v>
          </cell>
          <cell r="E527">
            <v>1668550</v>
          </cell>
          <cell r="F527">
            <v>52440</v>
          </cell>
          <cell r="G527">
            <v>0</v>
          </cell>
          <cell r="H527">
            <v>8075</v>
          </cell>
          <cell r="I527">
            <v>4015</v>
          </cell>
          <cell r="J527">
            <v>0</v>
          </cell>
          <cell r="K527">
            <v>0</v>
          </cell>
          <cell r="L527">
            <v>0</v>
          </cell>
          <cell r="M527">
            <v>459800</v>
          </cell>
          <cell r="N527">
            <v>0</v>
          </cell>
          <cell r="O527">
            <v>0</v>
          </cell>
          <cell r="P527">
            <v>0</v>
          </cell>
          <cell r="Q527">
            <v>0</v>
          </cell>
          <cell r="R527">
            <v>0</v>
          </cell>
          <cell r="S527">
            <v>0</v>
          </cell>
          <cell r="T527">
            <v>0</v>
          </cell>
          <cell r="U527">
            <v>0</v>
          </cell>
          <cell r="V527">
            <v>0</v>
          </cell>
        </row>
        <row r="528">
          <cell r="C528" t="str">
            <v>2000IN</v>
          </cell>
          <cell r="D528">
            <v>1763</v>
          </cell>
          <cell r="E528">
            <v>810300</v>
          </cell>
          <cell r="F528">
            <v>35190</v>
          </cell>
          <cell r="G528">
            <v>0</v>
          </cell>
          <cell r="H528">
            <v>0</v>
          </cell>
          <cell r="I528">
            <v>1950</v>
          </cell>
          <cell r="J528">
            <v>0</v>
          </cell>
          <cell r="K528">
            <v>0</v>
          </cell>
          <cell r="L528">
            <v>0</v>
          </cell>
          <cell r="M528">
            <v>252080</v>
          </cell>
          <cell r="N528">
            <v>0</v>
          </cell>
          <cell r="O528">
            <v>0</v>
          </cell>
          <cell r="P528">
            <v>0</v>
          </cell>
          <cell r="Q528">
            <v>0</v>
          </cell>
          <cell r="R528">
            <v>0</v>
          </cell>
          <cell r="S528">
            <v>0</v>
          </cell>
          <cell r="T528">
            <v>0</v>
          </cell>
          <cell r="U528">
            <v>0</v>
          </cell>
          <cell r="V528">
            <v>0</v>
          </cell>
        </row>
        <row r="529">
          <cell r="C529" t="str">
            <v>2000IA</v>
          </cell>
          <cell r="D529">
            <v>5070</v>
          </cell>
          <cell r="E529">
            <v>1728000</v>
          </cell>
          <cell r="F529">
            <v>846</v>
          </cell>
          <cell r="G529">
            <v>0</v>
          </cell>
          <cell r="H529">
            <v>0</v>
          </cell>
          <cell r="I529">
            <v>12060</v>
          </cell>
          <cell r="J529">
            <v>0</v>
          </cell>
          <cell r="K529">
            <v>0</v>
          </cell>
          <cell r="L529">
            <v>0</v>
          </cell>
          <cell r="M529">
            <v>464580</v>
          </cell>
          <cell r="N529">
            <v>0</v>
          </cell>
          <cell r="O529">
            <v>0</v>
          </cell>
          <cell r="P529">
            <v>0</v>
          </cell>
          <cell r="Q529">
            <v>0</v>
          </cell>
          <cell r="R529">
            <v>0</v>
          </cell>
          <cell r="S529">
            <v>0</v>
          </cell>
          <cell r="T529">
            <v>0</v>
          </cell>
          <cell r="U529">
            <v>0</v>
          </cell>
          <cell r="V529">
            <v>0</v>
          </cell>
        </row>
        <row r="530">
          <cell r="C530" t="str">
            <v>2000KS</v>
          </cell>
          <cell r="D530">
            <v>3895</v>
          </cell>
          <cell r="E530">
            <v>412100</v>
          </cell>
          <cell r="F530">
            <v>347800</v>
          </cell>
          <cell r="G530">
            <v>245</v>
          </cell>
          <cell r="H530">
            <v>188800</v>
          </cell>
          <cell r="I530">
            <v>2200</v>
          </cell>
          <cell r="J530">
            <v>0</v>
          </cell>
          <cell r="K530">
            <v>0</v>
          </cell>
          <cell r="L530">
            <v>0</v>
          </cell>
          <cell r="M530">
            <v>50000</v>
          </cell>
          <cell r="N530">
            <v>0</v>
          </cell>
          <cell r="O530">
            <v>289</v>
          </cell>
          <cell r="P530">
            <v>0</v>
          </cell>
          <cell r="Q530">
            <v>0</v>
          </cell>
          <cell r="R530">
            <v>0</v>
          </cell>
          <cell r="S530">
            <v>0</v>
          </cell>
          <cell r="T530">
            <v>0</v>
          </cell>
          <cell r="U530">
            <v>0</v>
          </cell>
          <cell r="V530">
            <v>0</v>
          </cell>
        </row>
        <row r="531">
          <cell r="C531" t="str">
            <v>2000KY</v>
          </cell>
          <cell r="D531">
            <v>897</v>
          </cell>
          <cell r="E531">
            <v>159900</v>
          </cell>
          <cell r="F531">
            <v>23940</v>
          </cell>
          <cell r="G531">
            <v>600</v>
          </cell>
          <cell r="H531">
            <v>765</v>
          </cell>
          <cell r="I531">
            <v>0</v>
          </cell>
          <cell r="J531">
            <v>0</v>
          </cell>
          <cell r="K531">
            <v>0</v>
          </cell>
          <cell r="L531">
            <v>0</v>
          </cell>
          <cell r="M531">
            <v>45240</v>
          </cell>
          <cell r="N531">
            <v>0</v>
          </cell>
          <cell r="O531">
            <v>0</v>
          </cell>
          <cell r="P531">
            <v>0</v>
          </cell>
          <cell r="Q531">
            <v>0</v>
          </cell>
          <cell r="R531">
            <v>0</v>
          </cell>
          <cell r="S531">
            <v>0</v>
          </cell>
          <cell r="T531">
            <v>0</v>
          </cell>
          <cell r="U531">
            <v>0</v>
          </cell>
          <cell r="V531">
            <v>0</v>
          </cell>
        </row>
        <row r="532">
          <cell r="C532" t="str">
            <v>2000LA</v>
          </cell>
          <cell r="D532">
            <v>0</v>
          </cell>
          <cell r="E532">
            <v>42920</v>
          </cell>
          <cell r="F532">
            <v>9805</v>
          </cell>
          <cell r="G532">
            <v>0</v>
          </cell>
          <cell r="H532">
            <v>17845</v>
          </cell>
          <cell r="I532">
            <v>0</v>
          </cell>
          <cell r="J532">
            <v>0</v>
          </cell>
          <cell r="K532">
            <v>0</v>
          </cell>
          <cell r="L532">
            <v>24402</v>
          </cell>
          <cell r="M532">
            <v>20400</v>
          </cell>
          <cell r="N532">
            <v>0</v>
          </cell>
          <cell r="O532">
            <v>0</v>
          </cell>
          <cell r="P532">
            <v>0</v>
          </cell>
          <cell r="Q532">
            <v>0</v>
          </cell>
          <cell r="R532">
            <v>0</v>
          </cell>
          <cell r="S532">
            <v>0</v>
          </cell>
          <cell r="T532">
            <v>14851</v>
          </cell>
          <cell r="U532">
            <v>480</v>
          </cell>
          <cell r="V532">
            <v>192</v>
          </cell>
          <cell r="W532">
            <v>0.05</v>
          </cell>
        </row>
        <row r="533">
          <cell r="C533" t="str">
            <v>2000ME</v>
          </cell>
          <cell r="D533">
            <v>26</v>
          </cell>
          <cell r="E533">
            <v>0</v>
          </cell>
          <cell r="F533">
            <v>0</v>
          </cell>
          <cell r="G533">
            <v>1750</v>
          </cell>
          <cell r="H533">
            <v>0</v>
          </cell>
          <cell r="I533">
            <v>1820</v>
          </cell>
          <cell r="J533">
            <v>0</v>
          </cell>
          <cell r="K533">
            <v>0</v>
          </cell>
          <cell r="L533">
            <v>0</v>
          </cell>
          <cell r="M533">
            <v>0</v>
          </cell>
          <cell r="N533">
            <v>0</v>
          </cell>
          <cell r="O533">
            <v>0</v>
          </cell>
          <cell r="P533">
            <v>0</v>
          </cell>
          <cell r="Q533">
            <v>0</v>
          </cell>
          <cell r="R533">
            <v>0</v>
          </cell>
          <cell r="S533">
            <v>0</v>
          </cell>
          <cell r="T533">
            <v>0</v>
          </cell>
          <cell r="U533">
            <v>0</v>
          </cell>
          <cell r="V533">
            <v>0</v>
          </cell>
        </row>
        <row r="534">
          <cell r="C534" t="str">
            <v>2000MD</v>
          </cell>
          <cell r="D534">
            <v>286</v>
          </cell>
          <cell r="E534">
            <v>62775</v>
          </cell>
          <cell r="F534">
            <v>12600</v>
          </cell>
          <cell r="G534">
            <v>3526</v>
          </cell>
          <cell r="H534">
            <v>756</v>
          </cell>
          <cell r="I534">
            <v>0</v>
          </cell>
          <cell r="J534">
            <v>0</v>
          </cell>
          <cell r="K534">
            <v>0</v>
          </cell>
          <cell r="L534">
            <v>0</v>
          </cell>
          <cell r="M534">
            <v>22145</v>
          </cell>
          <cell r="N534">
            <v>0</v>
          </cell>
          <cell r="O534">
            <v>0</v>
          </cell>
          <cell r="P534">
            <v>0</v>
          </cell>
          <cell r="Q534">
            <v>0</v>
          </cell>
          <cell r="R534">
            <v>0</v>
          </cell>
          <cell r="S534">
            <v>0</v>
          </cell>
          <cell r="T534">
            <v>0</v>
          </cell>
          <cell r="U534">
            <v>0</v>
          </cell>
          <cell r="V534">
            <v>0</v>
          </cell>
        </row>
        <row r="535">
          <cell r="C535" t="str">
            <v>2000MA</v>
          </cell>
          <cell r="D535">
            <v>37</v>
          </cell>
          <cell r="E535">
            <v>0</v>
          </cell>
          <cell r="F535">
            <v>0</v>
          </cell>
          <cell r="G535">
            <v>0</v>
          </cell>
          <cell r="H535">
            <v>0</v>
          </cell>
          <cell r="I535">
            <v>0</v>
          </cell>
          <cell r="J535">
            <v>0</v>
          </cell>
          <cell r="K535">
            <v>0</v>
          </cell>
          <cell r="L535">
            <v>0</v>
          </cell>
          <cell r="M535">
            <v>0</v>
          </cell>
          <cell r="N535">
            <v>0</v>
          </cell>
          <cell r="O535">
            <v>0</v>
          </cell>
          <cell r="P535">
            <v>0</v>
          </cell>
          <cell r="Q535">
            <v>0</v>
          </cell>
          <cell r="R535">
            <v>0</v>
          </cell>
          <cell r="S535">
            <v>0</v>
          </cell>
          <cell r="T535">
            <v>0</v>
          </cell>
          <cell r="U535">
            <v>0</v>
          </cell>
          <cell r="V535">
            <v>0</v>
          </cell>
        </row>
        <row r="536">
          <cell r="C536" t="str">
            <v>2000MI</v>
          </cell>
          <cell r="D536">
            <v>3700</v>
          </cell>
          <cell r="E536">
            <v>241800</v>
          </cell>
          <cell r="F536">
            <v>36000</v>
          </cell>
          <cell r="G536">
            <v>720</v>
          </cell>
          <cell r="H536">
            <v>0</v>
          </cell>
          <cell r="I536">
            <v>4800</v>
          </cell>
          <cell r="J536">
            <v>0</v>
          </cell>
          <cell r="K536">
            <v>0</v>
          </cell>
          <cell r="L536">
            <v>0</v>
          </cell>
          <cell r="M536">
            <v>73080</v>
          </cell>
          <cell r="N536">
            <v>0</v>
          </cell>
          <cell r="O536">
            <v>4125</v>
          </cell>
          <cell r="P536">
            <v>0</v>
          </cell>
          <cell r="Q536">
            <v>0</v>
          </cell>
          <cell r="R536">
            <v>0</v>
          </cell>
          <cell r="S536">
            <v>0</v>
          </cell>
          <cell r="T536">
            <v>0</v>
          </cell>
          <cell r="U536">
            <v>0</v>
          </cell>
          <cell r="V536">
            <v>0</v>
          </cell>
        </row>
        <row r="537">
          <cell r="C537" t="str">
            <v>2000MN</v>
          </cell>
          <cell r="D537">
            <v>5580</v>
          </cell>
          <cell r="E537">
            <v>964250</v>
          </cell>
          <cell r="F537">
            <v>96526</v>
          </cell>
          <cell r="G537">
            <v>15360</v>
          </cell>
          <cell r="H537">
            <v>0</v>
          </cell>
          <cell r="I537">
            <v>22320</v>
          </cell>
          <cell r="J537">
            <v>0</v>
          </cell>
          <cell r="K537">
            <v>0</v>
          </cell>
          <cell r="L537">
            <v>0</v>
          </cell>
          <cell r="M537">
            <v>293150</v>
          </cell>
          <cell r="N537">
            <v>0</v>
          </cell>
          <cell r="O537">
            <v>2400</v>
          </cell>
          <cell r="P537">
            <v>0</v>
          </cell>
          <cell r="Q537">
            <v>0</v>
          </cell>
          <cell r="R537">
            <v>0</v>
          </cell>
          <cell r="S537">
            <v>0</v>
          </cell>
          <cell r="T537">
            <v>0</v>
          </cell>
          <cell r="U537">
            <v>0</v>
          </cell>
          <cell r="V537">
            <v>0</v>
          </cell>
        </row>
        <row r="538">
          <cell r="C538" t="str">
            <v>2000MS</v>
          </cell>
          <cell r="D538">
            <v>0</v>
          </cell>
          <cell r="E538">
            <v>36500</v>
          </cell>
          <cell r="F538">
            <v>12925</v>
          </cell>
          <cell r="G538">
            <v>0</v>
          </cell>
          <cell r="H538">
            <v>6708</v>
          </cell>
          <cell r="I538">
            <v>0</v>
          </cell>
          <cell r="J538">
            <v>0</v>
          </cell>
          <cell r="K538">
            <v>0</v>
          </cell>
          <cell r="L538">
            <v>12862</v>
          </cell>
          <cell r="M538">
            <v>34760</v>
          </cell>
          <cell r="N538">
            <v>0</v>
          </cell>
          <cell r="O538">
            <v>0</v>
          </cell>
          <cell r="P538">
            <v>0</v>
          </cell>
          <cell r="Q538">
            <v>0</v>
          </cell>
          <cell r="R538">
            <v>0</v>
          </cell>
          <cell r="S538">
            <v>0</v>
          </cell>
          <cell r="T538">
            <v>0</v>
          </cell>
          <cell r="U538">
            <v>218</v>
          </cell>
          <cell r="V538">
            <v>0</v>
          </cell>
          <cell r="W538">
            <v>0.4</v>
          </cell>
        </row>
        <row r="539">
          <cell r="C539" t="str">
            <v>2000MO</v>
          </cell>
          <cell r="D539">
            <v>1209</v>
          </cell>
          <cell r="E539">
            <v>396110</v>
          </cell>
          <cell r="F539">
            <v>49400</v>
          </cell>
          <cell r="G539">
            <v>0</v>
          </cell>
          <cell r="H539">
            <v>24840</v>
          </cell>
          <cell r="I539">
            <v>1590</v>
          </cell>
          <cell r="J539">
            <v>0</v>
          </cell>
          <cell r="K539">
            <v>0</v>
          </cell>
          <cell r="L539">
            <v>9633</v>
          </cell>
          <cell r="M539">
            <v>175000</v>
          </cell>
          <cell r="N539">
            <v>0</v>
          </cell>
          <cell r="O539">
            <v>0</v>
          </cell>
          <cell r="P539">
            <v>0</v>
          </cell>
          <cell r="Q539">
            <v>0</v>
          </cell>
          <cell r="R539">
            <v>0</v>
          </cell>
          <cell r="S539">
            <v>0</v>
          </cell>
          <cell r="T539">
            <v>0</v>
          </cell>
          <cell r="U539">
            <v>174</v>
          </cell>
          <cell r="V539">
            <v>0</v>
          </cell>
          <cell r="W539">
            <v>0.18</v>
          </cell>
        </row>
        <row r="540">
          <cell r="C540" t="str">
            <v>2000MT</v>
          </cell>
          <cell r="D540">
            <v>2940</v>
          </cell>
          <cell r="E540">
            <v>2240</v>
          </cell>
          <cell r="F540">
            <v>135210</v>
          </cell>
          <cell r="G540">
            <v>38000</v>
          </cell>
          <cell r="H540">
            <v>0</v>
          </cell>
          <cell r="I540">
            <v>2500</v>
          </cell>
          <cell r="J540">
            <v>0</v>
          </cell>
          <cell r="K540">
            <v>0</v>
          </cell>
          <cell r="L540">
            <v>0</v>
          </cell>
          <cell r="M540">
            <v>0</v>
          </cell>
          <cell r="N540">
            <v>0</v>
          </cell>
          <cell r="O540">
            <v>512</v>
          </cell>
          <cell r="P540">
            <v>208</v>
          </cell>
          <cell r="Q540">
            <v>0</v>
          </cell>
          <cell r="R540">
            <v>210</v>
          </cell>
          <cell r="S540">
            <v>0</v>
          </cell>
          <cell r="T540">
            <v>0</v>
          </cell>
          <cell r="U540">
            <v>0</v>
          </cell>
          <cell r="V540">
            <v>0</v>
          </cell>
        </row>
        <row r="541">
          <cell r="C541" t="str">
            <v>2000NE</v>
          </cell>
          <cell r="D541">
            <v>4185</v>
          </cell>
          <cell r="E541">
            <v>1014300</v>
          </cell>
          <cell r="F541">
            <v>59400</v>
          </cell>
          <cell r="G541">
            <v>135</v>
          </cell>
          <cell r="H541">
            <v>35000</v>
          </cell>
          <cell r="I541">
            <v>1890</v>
          </cell>
          <cell r="J541">
            <v>0</v>
          </cell>
          <cell r="K541">
            <v>2430</v>
          </cell>
          <cell r="L541">
            <v>0</v>
          </cell>
          <cell r="M541">
            <v>173850</v>
          </cell>
          <cell r="N541">
            <v>0</v>
          </cell>
          <cell r="O541">
            <v>3230</v>
          </cell>
          <cell r="P541">
            <v>0</v>
          </cell>
          <cell r="Q541">
            <v>0</v>
          </cell>
          <cell r="R541">
            <v>0</v>
          </cell>
          <cell r="S541">
            <v>0</v>
          </cell>
          <cell r="T541">
            <v>0</v>
          </cell>
          <cell r="U541">
            <v>0</v>
          </cell>
          <cell r="V541">
            <v>0</v>
          </cell>
        </row>
        <row r="542">
          <cell r="C542" t="str">
            <v>2000NV</v>
          </cell>
          <cell r="D542">
            <v>1265</v>
          </cell>
          <cell r="E542">
            <v>0</v>
          </cell>
          <cell r="F542">
            <v>1470</v>
          </cell>
          <cell r="G542">
            <v>255</v>
          </cell>
          <cell r="H542">
            <v>0</v>
          </cell>
          <cell r="I542">
            <v>0</v>
          </cell>
          <cell r="J542">
            <v>0</v>
          </cell>
          <cell r="K542">
            <v>0</v>
          </cell>
          <cell r="L542">
            <v>0</v>
          </cell>
          <cell r="M542">
            <v>0</v>
          </cell>
          <cell r="N542">
            <v>0</v>
          </cell>
          <cell r="O542">
            <v>0</v>
          </cell>
          <cell r="P542">
            <v>0</v>
          </cell>
          <cell r="Q542">
            <v>0</v>
          </cell>
          <cell r="R542">
            <v>0</v>
          </cell>
          <cell r="S542">
            <v>0</v>
          </cell>
          <cell r="T542">
            <v>0</v>
          </cell>
          <cell r="U542">
            <v>0</v>
          </cell>
          <cell r="V542">
            <v>0</v>
          </cell>
        </row>
        <row r="543">
          <cell r="C543" t="str">
            <v>2000NH</v>
          </cell>
          <cell r="D543">
            <v>16</v>
          </cell>
          <cell r="E543">
            <v>0</v>
          </cell>
          <cell r="F543">
            <v>0</v>
          </cell>
          <cell r="G543">
            <v>0</v>
          </cell>
          <cell r="H543">
            <v>0</v>
          </cell>
          <cell r="I543">
            <v>0</v>
          </cell>
          <cell r="J543">
            <v>0</v>
          </cell>
          <cell r="K543">
            <v>0</v>
          </cell>
          <cell r="L543">
            <v>0</v>
          </cell>
          <cell r="M543">
            <v>0</v>
          </cell>
          <cell r="N543">
            <v>0</v>
          </cell>
          <cell r="O543">
            <v>0</v>
          </cell>
          <cell r="P543">
            <v>0</v>
          </cell>
          <cell r="Q543">
            <v>0</v>
          </cell>
          <cell r="R543">
            <v>0</v>
          </cell>
          <cell r="S543">
            <v>0</v>
          </cell>
          <cell r="T543">
            <v>0</v>
          </cell>
          <cell r="U543">
            <v>0</v>
          </cell>
          <cell r="V543">
            <v>0</v>
          </cell>
        </row>
        <row r="544">
          <cell r="C544" t="str">
            <v>2000NJ</v>
          </cell>
          <cell r="D544">
            <v>90</v>
          </cell>
          <cell r="E544">
            <v>10050</v>
          </cell>
          <cell r="F544">
            <v>1995</v>
          </cell>
          <cell r="G544">
            <v>312</v>
          </cell>
          <cell r="H544">
            <v>0</v>
          </cell>
          <cell r="I544">
            <v>0</v>
          </cell>
          <cell r="J544">
            <v>0</v>
          </cell>
          <cell r="K544">
            <v>0</v>
          </cell>
          <cell r="L544">
            <v>0</v>
          </cell>
          <cell r="M544">
            <v>3920</v>
          </cell>
          <cell r="N544">
            <v>0</v>
          </cell>
          <cell r="O544">
            <v>0</v>
          </cell>
          <cell r="P544">
            <v>0</v>
          </cell>
          <cell r="Q544">
            <v>0</v>
          </cell>
          <cell r="R544">
            <v>0</v>
          </cell>
          <cell r="S544">
            <v>0</v>
          </cell>
          <cell r="T544">
            <v>0</v>
          </cell>
          <cell r="U544">
            <v>0</v>
          </cell>
          <cell r="V544">
            <v>0</v>
          </cell>
        </row>
        <row r="545">
          <cell r="C545" t="str">
            <v>2000NM</v>
          </cell>
          <cell r="D545">
            <v>1508</v>
          </cell>
          <cell r="E545">
            <v>10560</v>
          </cell>
          <cell r="F545">
            <v>4200</v>
          </cell>
          <cell r="G545">
            <v>0</v>
          </cell>
          <cell r="H545">
            <v>1625</v>
          </cell>
          <cell r="I545">
            <v>0</v>
          </cell>
          <cell r="J545">
            <v>0</v>
          </cell>
          <cell r="K545">
            <v>0</v>
          </cell>
          <cell r="L545">
            <v>0</v>
          </cell>
          <cell r="M545">
            <v>0</v>
          </cell>
          <cell r="N545">
            <v>54990</v>
          </cell>
          <cell r="O545">
            <v>108</v>
          </cell>
          <cell r="P545">
            <v>0</v>
          </cell>
          <cell r="Q545">
            <v>0</v>
          </cell>
          <cell r="R545">
            <v>0</v>
          </cell>
          <cell r="S545">
            <v>0</v>
          </cell>
          <cell r="T545">
            <v>0</v>
          </cell>
          <cell r="U545">
            <v>0</v>
          </cell>
          <cell r="V545">
            <v>0</v>
          </cell>
        </row>
        <row r="546">
          <cell r="C546" t="str">
            <v>2000NY</v>
          </cell>
          <cell r="D546">
            <v>1080</v>
          </cell>
          <cell r="E546">
            <v>44100</v>
          </cell>
          <cell r="F546">
            <v>7420</v>
          </cell>
          <cell r="G546">
            <v>580</v>
          </cell>
          <cell r="H546">
            <v>0</v>
          </cell>
          <cell r="I546">
            <v>3900</v>
          </cell>
          <cell r="J546">
            <v>0</v>
          </cell>
          <cell r="K546">
            <v>0</v>
          </cell>
          <cell r="L546">
            <v>0</v>
          </cell>
          <cell r="M546">
            <v>4356</v>
          </cell>
          <cell r="N546">
            <v>0</v>
          </cell>
          <cell r="O546">
            <v>358</v>
          </cell>
          <cell r="P546">
            <v>0</v>
          </cell>
          <cell r="Q546">
            <v>0</v>
          </cell>
          <cell r="R546">
            <v>0</v>
          </cell>
          <cell r="S546">
            <v>0</v>
          </cell>
          <cell r="T546">
            <v>0</v>
          </cell>
          <cell r="U546">
            <v>0</v>
          </cell>
          <cell r="V546">
            <v>0</v>
          </cell>
        </row>
        <row r="547">
          <cell r="C547" t="str">
            <v>2000NC</v>
          </cell>
          <cell r="D547">
            <v>54</v>
          </cell>
          <cell r="E547">
            <v>74240</v>
          </cell>
          <cell r="F547">
            <v>25000</v>
          </cell>
          <cell r="G547">
            <v>1440</v>
          </cell>
          <cell r="H547">
            <v>600</v>
          </cell>
          <cell r="I547">
            <v>2100</v>
          </cell>
          <cell r="J547">
            <v>0</v>
          </cell>
          <cell r="K547">
            <v>0</v>
          </cell>
          <cell r="L547">
            <v>0</v>
          </cell>
          <cell r="M547">
            <v>44200</v>
          </cell>
          <cell r="N547">
            <v>338250</v>
          </cell>
          <cell r="O547">
            <v>0</v>
          </cell>
          <cell r="P547">
            <v>0</v>
          </cell>
          <cell r="Q547">
            <v>0</v>
          </cell>
          <cell r="R547">
            <v>0</v>
          </cell>
          <cell r="S547">
            <v>0</v>
          </cell>
          <cell r="T547">
            <v>0</v>
          </cell>
          <cell r="U547">
            <v>0</v>
          </cell>
          <cell r="V547">
            <v>0</v>
          </cell>
        </row>
        <row r="548">
          <cell r="C548" t="str">
            <v>2000ND</v>
          </cell>
          <cell r="D548">
            <v>3240</v>
          </cell>
          <cell r="E548">
            <v>104160</v>
          </cell>
          <cell r="F548">
            <v>316985</v>
          </cell>
          <cell r="G548">
            <v>97350</v>
          </cell>
          <cell r="H548">
            <v>0</v>
          </cell>
          <cell r="I548">
            <v>19845</v>
          </cell>
          <cell r="J548">
            <v>704</v>
          </cell>
          <cell r="K548">
            <v>0</v>
          </cell>
          <cell r="L548">
            <v>0</v>
          </cell>
          <cell r="M548">
            <v>59200</v>
          </cell>
          <cell r="N548">
            <v>0</v>
          </cell>
          <cell r="O548">
            <v>7613</v>
          </cell>
          <cell r="P548">
            <v>1345</v>
          </cell>
          <cell r="Q548">
            <v>0</v>
          </cell>
          <cell r="R548">
            <v>616</v>
          </cell>
          <cell r="S548">
            <v>0</v>
          </cell>
          <cell r="T548">
            <v>0</v>
          </cell>
          <cell r="U548">
            <v>0</v>
          </cell>
          <cell r="V548">
            <v>0</v>
          </cell>
        </row>
        <row r="549">
          <cell r="C549" t="str">
            <v>2000OH</v>
          </cell>
          <cell r="D549">
            <v>2560</v>
          </cell>
          <cell r="E549">
            <v>485100</v>
          </cell>
          <cell r="F549">
            <v>79920</v>
          </cell>
          <cell r="G549">
            <v>1014</v>
          </cell>
          <cell r="H549">
            <v>0</v>
          </cell>
          <cell r="I549">
            <v>6840</v>
          </cell>
          <cell r="J549">
            <v>0</v>
          </cell>
          <cell r="K549">
            <v>0</v>
          </cell>
          <cell r="L549">
            <v>0</v>
          </cell>
          <cell r="M549">
            <v>186480</v>
          </cell>
          <cell r="N549">
            <v>0</v>
          </cell>
          <cell r="O549">
            <v>0</v>
          </cell>
          <cell r="P549">
            <v>0</v>
          </cell>
          <cell r="Q549">
            <v>0</v>
          </cell>
          <cell r="R549">
            <v>0</v>
          </cell>
          <cell r="S549">
            <v>0</v>
          </cell>
          <cell r="T549">
            <v>0</v>
          </cell>
          <cell r="U549">
            <v>0</v>
          </cell>
          <cell r="V549">
            <v>0</v>
          </cell>
        </row>
        <row r="550">
          <cell r="C550" t="str">
            <v>2000OK</v>
          </cell>
          <cell r="D550">
            <v>1089</v>
          </cell>
          <cell r="E550">
            <v>33600</v>
          </cell>
          <cell r="F550">
            <v>142800</v>
          </cell>
          <cell r="G550">
            <v>0</v>
          </cell>
          <cell r="H550">
            <v>13680</v>
          </cell>
          <cell r="I550">
            <v>660</v>
          </cell>
          <cell r="J550">
            <v>1470</v>
          </cell>
          <cell r="K550">
            <v>0</v>
          </cell>
          <cell r="L550">
            <v>0</v>
          </cell>
          <cell r="M550">
            <v>4350</v>
          </cell>
          <cell r="N550">
            <v>120600</v>
          </cell>
          <cell r="O550">
            <v>0</v>
          </cell>
          <cell r="P550">
            <v>0</v>
          </cell>
          <cell r="Q550">
            <v>0</v>
          </cell>
          <cell r="R550">
            <v>0</v>
          </cell>
          <cell r="S550">
            <v>0</v>
          </cell>
          <cell r="T550">
            <v>0</v>
          </cell>
          <cell r="U550">
            <v>0.7</v>
          </cell>
          <cell r="V550">
            <v>0</v>
          </cell>
          <cell r="W550">
            <v>0.9</v>
          </cell>
        </row>
        <row r="551">
          <cell r="C551" t="str">
            <v>2000OR</v>
          </cell>
          <cell r="D551">
            <v>1638</v>
          </cell>
          <cell r="E551">
            <v>4860</v>
          </cell>
          <cell r="F551">
            <v>53540</v>
          </cell>
          <cell r="G551">
            <v>8400</v>
          </cell>
          <cell r="H551">
            <v>0</v>
          </cell>
          <cell r="I551">
            <v>2450</v>
          </cell>
          <cell r="J551">
            <v>0</v>
          </cell>
          <cell r="K551">
            <v>0</v>
          </cell>
          <cell r="L551">
            <v>0</v>
          </cell>
          <cell r="M551">
            <v>0</v>
          </cell>
          <cell r="N551">
            <v>0</v>
          </cell>
          <cell r="O551">
            <v>211</v>
          </cell>
          <cell r="P551">
            <v>100</v>
          </cell>
          <cell r="Q551">
            <v>6</v>
          </cell>
          <cell r="R551">
            <v>0</v>
          </cell>
          <cell r="S551">
            <v>0</v>
          </cell>
          <cell r="T551">
            <v>0</v>
          </cell>
          <cell r="U551">
            <v>0</v>
          </cell>
          <cell r="V551">
            <v>0</v>
          </cell>
        </row>
        <row r="552">
          <cell r="C552" t="str">
            <v>2000PA</v>
          </cell>
          <cell r="D552">
            <v>2015</v>
          </cell>
          <cell r="E552">
            <v>137160</v>
          </cell>
          <cell r="F552">
            <v>10335</v>
          </cell>
          <cell r="G552">
            <v>5325</v>
          </cell>
          <cell r="H552">
            <v>320</v>
          </cell>
          <cell r="I552">
            <v>8265</v>
          </cell>
          <cell r="J552">
            <v>0</v>
          </cell>
          <cell r="K552">
            <v>0</v>
          </cell>
          <cell r="L552">
            <v>0</v>
          </cell>
          <cell r="M552">
            <v>16555</v>
          </cell>
          <cell r="N552">
            <v>0</v>
          </cell>
          <cell r="O552">
            <v>0</v>
          </cell>
          <cell r="P552">
            <v>0</v>
          </cell>
          <cell r="Q552">
            <v>0</v>
          </cell>
          <cell r="R552">
            <v>0</v>
          </cell>
          <cell r="S552">
            <v>0</v>
          </cell>
          <cell r="T552">
            <v>0</v>
          </cell>
          <cell r="U552">
            <v>0</v>
          </cell>
          <cell r="V552">
            <v>0</v>
          </cell>
        </row>
        <row r="553">
          <cell r="C553" t="str">
            <v>2000RI</v>
          </cell>
          <cell r="D553">
            <v>5</v>
          </cell>
          <cell r="E553">
            <v>0</v>
          </cell>
          <cell r="F553">
            <v>0</v>
          </cell>
          <cell r="G553">
            <v>0</v>
          </cell>
          <cell r="H553">
            <v>0</v>
          </cell>
          <cell r="I553">
            <v>0</v>
          </cell>
          <cell r="J553">
            <v>0</v>
          </cell>
          <cell r="K553">
            <v>0</v>
          </cell>
          <cell r="L553">
            <v>0</v>
          </cell>
          <cell r="M553">
            <v>0</v>
          </cell>
          <cell r="N553">
            <v>0</v>
          </cell>
          <cell r="O553">
            <v>0</v>
          </cell>
          <cell r="P553">
            <v>0</v>
          </cell>
          <cell r="Q553">
            <v>0</v>
          </cell>
          <cell r="R553">
            <v>0</v>
          </cell>
          <cell r="S553">
            <v>0</v>
          </cell>
          <cell r="T553">
            <v>0</v>
          </cell>
          <cell r="U553">
            <v>0</v>
          </cell>
          <cell r="V553">
            <v>0</v>
          </cell>
        </row>
        <row r="554">
          <cell r="C554" t="str">
            <v>2000SC</v>
          </cell>
          <cell r="D554">
            <v>0</v>
          </cell>
          <cell r="E554">
            <v>18200</v>
          </cell>
          <cell r="F554">
            <v>9555</v>
          </cell>
          <cell r="G554">
            <v>0</v>
          </cell>
          <cell r="H554">
            <v>364</v>
          </cell>
          <cell r="I554">
            <v>2100</v>
          </cell>
          <cell r="J554">
            <v>0</v>
          </cell>
          <cell r="K554">
            <v>0</v>
          </cell>
          <cell r="L554">
            <v>0</v>
          </cell>
          <cell r="M554">
            <v>10750</v>
          </cell>
          <cell r="N554">
            <v>29500</v>
          </cell>
          <cell r="O554">
            <v>0</v>
          </cell>
          <cell r="P554">
            <v>0</v>
          </cell>
          <cell r="Q554">
            <v>0</v>
          </cell>
          <cell r="R554">
            <v>0</v>
          </cell>
          <cell r="S554">
            <v>0</v>
          </cell>
          <cell r="T554">
            <v>0</v>
          </cell>
          <cell r="U554">
            <v>0</v>
          </cell>
          <cell r="V554">
            <v>0</v>
          </cell>
        </row>
        <row r="555">
          <cell r="C555" t="str">
            <v>2000SD</v>
          </cell>
          <cell r="D555">
            <v>5433</v>
          </cell>
          <cell r="E555">
            <v>425600</v>
          </cell>
          <cell r="F555">
            <v>114268</v>
          </cell>
          <cell r="G555">
            <v>5775</v>
          </cell>
          <cell r="H555">
            <v>5880</v>
          </cell>
          <cell r="I555">
            <v>13420</v>
          </cell>
          <cell r="J555">
            <v>546</v>
          </cell>
          <cell r="K555">
            <v>2040</v>
          </cell>
          <cell r="L555">
            <v>0</v>
          </cell>
          <cell r="M555">
            <v>152950</v>
          </cell>
          <cell r="N555">
            <v>0</v>
          </cell>
          <cell r="O555">
            <v>226</v>
          </cell>
          <cell r="P555">
            <v>0</v>
          </cell>
          <cell r="Q555">
            <v>0</v>
          </cell>
          <cell r="R555">
            <v>0</v>
          </cell>
          <cell r="S555">
            <v>0</v>
          </cell>
          <cell r="T555">
            <v>0</v>
          </cell>
          <cell r="U555">
            <v>0</v>
          </cell>
          <cell r="V555">
            <v>0</v>
          </cell>
        </row>
        <row r="556">
          <cell r="C556" t="str">
            <v>2000TN</v>
          </cell>
          <cell r="D556">
            <v>137</v>
          </cell>
          <cell r="E556">
            <v>66120</v>
          </cell>
          <cell r="F556">
            <v>20900</v>
          </cell>
          <cell r="G556">
            <v>0</v>
          </cell>
          <cell r="H556">
            <v>1650</v>
          </cell>
          <cell r="I556">
            <v>0</v>
          </cell>
          <cell r="J556">
            <v>0</v>
          </cell>
          <cell r="K556">
            <v>0</v>
          </cell>
          <cell r="L556">
            <v>0</v>
          </cell>
          <cell r="M556">
            <v>28750</v>
          </cell>
          <cell r="N556">
            <v>0</v>
          </cell>
          <cell r="O556">
            <v>0</v>
          </cell>
          <cell r="P556">
            <v>0</v>
          </cell>
          <cell r="Q556">
            <v>0</v>
          </cell>
          <cell r="R556">
            <v>0</v>
          </cell>
          <cell r="S556">
            <v>0</v>
          </cell>
          <cell r="T556">
            <v>0</v>
          </cell>
          <cell r="U556">
            <v>0</v>
          </cell>
          <cell r="V556">
            <v>0</v>
          </cell>
        </row>
        <row r="557">
          <cell r="C557" t="str">
            <v>2000TX</v>
          </cell>
          <cell r="D557">
            <v>520</v>
          </cell>
          <cell r="E557">
            <v>235600</v>
          </cell>
          <cell r="F557">
            <v>66000</v>
          </cell>
          <cell r="G557">
            <v>0</v>
          </cell>
          <cell r="H557">
            <v>143350</v>
          </cell>
          <cell r="I557">
            <v>4300</v>
          </cell>
          <cell r="J557">
            <v>0</v>
          </cell>
          <cell r="K557">
            <v>0</v>
          </cell>
          <cell r="L557">
            <v>14342</v>
          </cell>
          <cell r="M557">
            <v>7020</v>
          </cell>
          <cell r="N557">
            <v>698500</v>
          </cell>
          <cell r="O557">
            <v>158</v>
          </cell>
          <cell r="P557">
            <v>0</v>
          </cell>
          <cell r="Q557">
            <v>0</v>
          </cell>
          <cell r="R557">
            <v>0</v>
          </cell>
          <cell r="S557">
            <v>0</v>
          </cell>
          <cell r="T557">
            <v>1789</v>
          </cell>
          <cell r="U557">
            <v>214</v>
          </cell>
          <cell r="V557">
            <v>107</v>
          </cell>
          <cell r="W557">
            <v>0</v>
          </cell>
        </row>
        <row r="558">
          <cell r="C558" t="str">
            <v>2000UT</v>
          </cell>
          <cell r="D558">
            <v>2300</v>
          </cell>
          <cell r="E558">
            <v>2592</v>
          </cell>
          <cell r="F558">
            <v>6850</v>
          </cell>
          <cell r="G558">
            <v>5460</v>
          </cell>
          <cell r="H558">
            <v>0</v>
          </cell>
          <cell r="I558">
            <v>490</v>
          </cell>
          <cell r="J558">
            <v>0</v>
          </cell>
          <cell r="K558">
            <v>0</v>
          </cell>
          <cell r="L558">
            <v>0</v>
          </cell>
          <cell r="M558">
            <v>0</v>
          </cell>
          <cell r="N558">
            <v>0</v>
          </cell>
          <cell r="O558">
            <v>10</v>
          </cell>
          <cell r="P558">
            <v>0</v>
          </cell>
          <cell r="Q558">
            <v>0</v>
          </cell>
          <cell r="R558">
            <v>0</v>
          </cell>
          <cell r="S558">
            <v>0</v>
          </cell>
          <cell r="T558">
            <v>0</v>
          </cell>
          <cell r="U558">
            <v>0</v>
          </cell>
          <cell r="V558">
            <v>0</v>
          </cell>
        </row>
        <row r="559">
          <cell r="C559" t="str">
            <v>2000VT</v>
          </cell>
          <cell r="D559">
            <v>100</v>
          </cell>
          <cell r="E559">
            <v>0</v>
          </cell>
          <cell r="F559">
            <v>0</v>
          </cell>
          <cell r="G559">
            <v>0</v>
          </cell>
          <cell r="H559">
            <v>0</v>
          </cell>
          <cell r="I559">
            <v>0</v>
          </cell>
          <cell r="J559">
            <v>0</v>
          </cell>
          <cell r="K559">
            <v>0</v>
          </cell>
          <cell r="L559">
            <v>0</v>
          </cell>
          <cell r="M559">
            <v>0</v>
          </cell>
          <cell r="N559">
            <v>0</v>
          </cell>
          <cell r="O559">
            <v>0</v>
          </cell>
          <cell r="P559">
            <v>0</v>
          </cell>
          <cell r="Q559">
            <v>0</v>
          </cell>
          <cell r="R559">
            <v>0</v>
          </cell>
          <cell r="S559">
            <v>0</v>
          </cell>
          <cell r="T559">
            <v>0</v>
          </cell>
          <cell r="U559">
            <v>0</v>
          </cell>
          <cell r="V559">
            <v>0</v>
          </cell>
        </row>
        <row r="560">
          <cell r="C560" t="str">
            <v>2000VA</v>
          </cell>
          <cell r="D560">
            <v>480</v>
          </cell>
          <cell r="E560">
            <v>48180</v>
          </cell>
          <cell r="F560">
            <v>12915</v>
          </cell>
          <cell r="G560">
            <v>5785</v>
          </cell>
          <cell r="H560">
            <v>492</v>
          </cell>
          <cell r="I560">
            <v>0</v>
          </cell>
          <cell r="J560">
            <v>0</v>
          </cell>
          <cell r="K560">
            <v>0</v>
          </cell>
          <cell r="L560">
            <v>0</v>
          </cell>
          <cell r="M560">
            <v>18480</v>
          </cell>
          <cell r="N560">
            <v>210375</v>
          </cell>
          <cell r="O560">
            <v>0</v>
          </cell>
          <cell r="P560">
            <v>0</v>
          </cell>
          <cell r="Q560">
            <v>0</v>
          </cell>
          <cell r="R560">
            <v>0</v>
          </cell>
          <cell r="S560">
            <v>0</v>
          </cell>
          <cell r="T560">
            <v>0</v>
          </cell>
          <cell r="U560">
            <v>0</v>
          </cell>
          <cell r="V560">
            <v>0</v>
          </cell>
        </row>
        <row r="561">
          <cell r="C561" t="str">
            <v>2000WA</v>
          </cell>
          <cell r="D561">
            <v>2350</v>
          </cell>
          <cell r="E561">
            <v>18500</v>
          </cell>
          <cell r="F561">
            <v>164880</v>
          </cell>
          <cell r="G561">
            <v>34300</v>
          </cell>
          <cell r="H561">
            <v>0</v>
          </cell>
          <cell r="I561">
            <v>1125</v>
          </cell>
          <cell r="J561">
            <v>0</v>
          </cell>
          <cell r="K561">
            <v>0</v>
          </cell>
          <cell r="L561">
            <v>0</v>
          </cell>
          <cell r="M561">
            <v>0</v>
          </cell>
          <cell r="N561">
            <v>0</v>
          </cell>
          <cell r="O561">
            <v>640</v>
          </cell>
          <cell r="P561">
            <v>1365</v>
          </cell>
          <cell r="Q561">
            <v>0</v>
          </cell>
          <cell r="R561">
            <v>1275</v>
          </cell>
          <cell r="S561">
            <v>349</v>
          </cell>
          <cell r="T561">
            <v>0</v>
          </cell>
          <cell r="U561">
            <v>0</v>
          </cell>
          <cell r="V561">
            <v>0</v>
          </cell>
        </row>
        <row r="562">
          <cell r="C562" t="str">
            <v>2000WV</v>
          </cell>
          <cell r="D562">
            <v>160</v>
          </cell>
          <cell r="E562">
            <v>4550</v>
          </cell>
          <cell r="F562">
            <v>549</v>
          </cell>
          <cell r="G562">
            <v>0</v>
          </cell>
          <cell r="H562">
            <v>0</v>
          </cell>
          <cell r="I562">
            <v>0</v>
          </cell>
          <cell r="J562">
            <v>0</v>
          </cell>
          <cell r="K562">
            <v>0</v>
          </cell>
          <cell r="L562">
            <v>0</v>
          </cell>
          <cell r="M562">
            <v>705</v>
          </cell>
          <cell r="N562">
            <v>0</v>
          </cell>
          <cell r="O562">
            <v>0</v>
          </cell>
          <cell r="P562">
            <v>0</v>
          </cell>
          <cell r="Q562">
            <v>0</v>
          </cell>
          <cell r="R562">
            <v>0</v>
          </cell>
          <cell r="S562">
            <v>0</v>
          </cell>
          <cell r="T562">
            <v>0</v>
          </cell>
          <cell r="U562">
            <v>0</v>
          </cell>
          <cell r="V562">
            <v>0</v>
          </cell>
        </row>
        <row r="563">
          <cell r="C563" t="str">
            <v>2000WI</v>
          </cell>
          <cell r="D563">
            <v>5400</v>
          </cell>
          <cell r="E563">
            <v>363000</v>
          </cell>
          <cell r="F563">
            <v>8730</v>
          </cell>
          <cell r="G563">
            <v>3200</v>
          </cell>
          <cell r="H563">
            <v>0</v>
          </cell>
          <cell r="I563">
            <v>19040</v>
          </cell>
          <cell r="J563">
            <v>0</v>
          </cell>
          <cell r="K563">
            <v>0</v>
          </cell>
          <cell r="L563">
            <v>0</v>
          </cell>
          <cell r="M563">
            <v>60000</v>
          </cell>
          <cell r="N563">
            <v>0</v>
          </cell>
          <cell r="O563">
            <v>146</v>
          </cell>
          <cell r="P563">
            <v>0</v>
          </cell>
          <cell r="Q563">
            <v>0</v>
          </cell>
          <cell r="R563">
            <v>0</v>
          </cell>
          <cell r="S563">
            <v>0</v>
          </cell>
          <cell r="T563">
            <v>0</v>
          </cell>
          <cell r="U563">
            <v>0</v>
          </cell>
          <cell r="V563">
            <v>0</v>
          </cell>
        </row>
        <row r="564">
          <cell r="C564" t="str">
            <v>2000WY</v>
          </cell>
          <cell r="D564">
            <v>1449</v>
          </cell>
          <cell r="E564">
            <v>7656</v>
          </cell>
          <cell r="F564">
            <v>4312</v>
          </cell>
          <cell r="G564">
            <v>7885</v>
          </cell>
          <cell r="H564">
            <v>0</v>
          </cell>
          <cell r="I564">
            <v>1485</v>
          </cell>
          <cell r="J564">
            <v>0</v>
          </cell>
          <cell r="K564">
            <v>0</v>
          </cell>
          <cell r="L564">
            <v>0</v>
          </cell>
          <cell r="M564">
            <v>0</v>
          </cell>
          <cell r="N564">
            <v>0</v>
          </cell>
          <cell r="O564">
            <v>762</v>
          </cell>
          <cell r="P564">
            <v>0</v>
          </cell>
          <cell r="Q564">
            <v>0</v>
          </cell>
          <cell r="R564">
            <v>0</v>
          </cell>
          <cell r="S564">
            <v>0</v>
          </cell>
          <cell r="T564">
            <v>0</v>
          </cell>
          <cell r="U564">
            <v>0</v>
          </cell>
          <cell r="V564">
            <v>0</v>
          </cell>
        </row>
        <row r="565">
          <cell r="C565" t="str">
            <v>2000US</v>
          </cell>
          <cell r="D565">
            <v>81520</v>
          </cell>
          <cell r="E565">
            <v>9915051</v>
          </cell>
          <cell r="F565">
            <v>2228160</v>
          </cell>
          <cell r="G565">
            <v>317906.5</v>
          </cell>
          <cell r="H565">
            <v>470526</v>
          </cell>
          <cell r="I565">
            <v>149165</v>
          </cell>
          <cell r="J565">
            <v>8386</v>
          </cell>
          <cell r="K565">
            <v>7320</v>
          </cell>
          <cell r="L565">
            <v>190872</v>
          </cell>
          <cell r="M565">
            <v>2757810</v>
          </cell>
          <cell r="N565">
            <v>3265505</v>
          </cell>
          <cell r="O565">
            <v>26543</v>
          </cell>
          <cell r="P565">
            <v>3474</v>
          </cell>
          <cell r="Q565">
            <v>73</v>
          </cell>
          <cell r="R565">
            <v>3029</v>
          </cell>
          <cell r="S565">
            <v>680</v>
          </cell>
          <cell r="T565">
            <v>36114</v>
          </cell>
          <cell r="U565">
            <v>0</v>
          </cell>
        </row>
        <row r="566">
          <cell r="C566" t="str">
            <v>2001AL</v>
          </cell>
          <cell r="D566">
            <v>0</v>
          </cell>
          <cell r="E566">
            <v>16050</v>
          </cell>
          <cell r="F566">
            <v>3360</v>
          </cell>
          <cell r="G566">
            <v>0</v>
          </cell>
          <cell r="H566">
            <v>420</v>
          </cell>
          <cell r="I566">
            <v>0</v>
          </cell>
          <cell r="J566">
            <v>0</v>
          </cell>
          <cell r="K566">
            <v>0</v>
          </cell>
          <cell r="L566">
            <v>0</v>
          </cell>
          <cell r="M566">
            <v>4725</v>
          </cell>
          <cell r="N566">
            <v>532325</v>
          </cell>
          <cell r="O566">
            <v>0</v>
          </cell>
          <cell r="P566">
            <v>0</v>
          </cell>
          <cell r="Q566">
            <v>0</v>
          </cell>
          <cell r="R566">
            <v>0</v>
          </cell>
          <cell r="S566">
            <v>0</v>
          </cell>
          <cell r="T566">
            <v>0</v>
          </cell>
          <cell r="U566">
            <v>0</v>
          </cell>
        </row>
        <row r="567">
          <cell r="C567" t="str">
            <v>2001AK</v>
          </cell>
          <cell r="D567">
            <v>0</v>
          </cell>
          <cell r="E567">
            <v>0</v>
          </cell>
          <cell r="F567">
            <v>0</v>
          </cell>
          <cell r="G567">
            <v>208</v>
          </cell>
          <cell r="H567">
            <v>0</v>
          </cell>
          <cell r="I567">
            <v>61000</v>
          </cell>
          <cell r="J567">
            <v>0</v>
          </cell>
          <cell r="K567">
            <v>0</v>
          </cell>
          <cell r="L567">
            <v>0</v>
          </cell>
          <cell r="M567">
            <v>0</v>
          </cell>
          <cell r="N567">
            <v>0</v>
          </cell>
          <cell r="O567">
            <v>0</v>
          </cell>
          <cell r="P567">
            <v>0</v>
          </cell>
          <cell r="Q567">
            <v>0</v>
          </cell>
          <cell r="R567">
            <v>0</v>
          </cell>
          <cell r="S567">
            <v>0</v>
          </cell>
          <cell r="T567">
            <v>0</v>
          </cell>
          <cell r="U567">
            <v>0</v>
          </cell>
        </row>
        <row r="568">
          <cell r="C568" t="str">
            <v>2001AZ</v>
          </cell>
          <cell r="D568">
            <v>1720</v>
          </cell>
          <cell r="E568">
            <v>5824</v>
          </cell>
          <cell r="F568">
            <v>8517</v>
          </cell>
          <cell r="G568">
            <v>4400</v>
          </cell>
          <cell r="H568">
            <v>480</v>
          </cell>
          <cell r="I568">
            <v>0</v>
          </cell>
          <cell r="J568">
            <v>0</v>
          </cell>
          <cell r="K568">
            <v>0</v>
          </cell>
          <cell r="L568">
            <v>0</v>
          </cell>
          <cell r="M568">
            <v>0</v>
          </cell>
          <cell r="N568">
            <v>0</v>
          </cell>
          <cell r="O568">
            <v>0</v>
          </cell>
          <cell r="P568">
            <v>0</v>
          </cell>
          <cell r="Q568">
            <v>0</v>
          </cell>
          <cell r="R568">
            <v>0</v>
          </cell>
          <cell r="S568">
            <v>0</v>
          </cell>
          <cell r="T568">
            <v>0</v>
          </cell>
          <cell r="U568">
            <v>0</v>
          </cell>
        </row>
        <row r="569">
          <cell r="C569" t="str">
            <v>2001AR</v>
          </cell>
          <cell r="D569">
            <v>62</v>
          </cell>
          <cell r="E569">
            <v>26825</v>
          </cell>
          <cell r="F569">
            <v>50440</v>
          </cell>
          <cell r="G569">
            <v>0</v>
          </cell>
          <cell r="H569">
            <v>14620</v>
          </cell>
          <cell r="I569">
            <v>0</v>
          </cell>
          <cell r="J569">
            <v>0</v>
          </cell>
          <cell r="K569">
            <v>0</v>
          </cell>
          <cell r="L569">
            <v>102858</v>
          </cell>
          <cell r="M569">
            <v>91200</v>
          </cell>
          <cell r="N569">
            <v>0</v>
          </cell>
          <cell r="O569">
            <v>0</v>
          </cell>
          <cell r="P569">
            <v>0</v>
          </cell>
          <cell r="Q569">
            <v>0</v>
          </cell>
          <cell r="R569">
            <v>0</v>
          </cell>
          <cell r="S569">
            <v>0</v>
          </cell>
          <cell r="T569">
            <v>0</v>
          </cell>
          <cell r="U569">
            <v>1621</v>
          </cell>
          <cell r="W569">
            <v>0.13</v>
          </cell>
        </row>
        <row r="570">
          <cell r="C570" t="str">
            <v>2001CA</v>
          </cell>
          <cell r="D570">
            <v>7070</v>
          </cell>
          <cell r="E570">
            <v>27200</v>
          </cell>
          <cell r="F570">
            <v>35105</v>
          </cell>
          <cell r="G570">
            <v>5830</v>
          </cell>
          <cell r="H570">
            <v>630</v>
          </cell>
          <cell r="I570">
            <v>1500</v>
          </cell>
          <cell r="J570">
            <v>0</v>
          </cell>
          <cell r="K570">
            <v>0</v>
          </cell>
          <cell r="L570">
            <v>38490</v>
          </cell>
          <cell r="M570">
            <v>0</v>
          </cell>
          <cell r="N570">
            <v>0</v>
          </cell>
          <cell r="O570">
            <v>1496</v>
          </cell>
          <cell r="P570">
            <v>0</v>
          </cell>
          <cell r="Q570">
            <v>0</v>
          </cell>
          <cell r="R570">
            <v>0</v>
          </cell>
          <cell r="S570">
            <v>0</v>
          </cell>
          <cell r="T570">
            <v>0</v>
          </cell>
          <cell r="U570">
            <v>471</v>
          </cell>
          <cell r="W570">
            <v>0.23</v>
          </cell>
        </row>
        <row r="571">
          <cell r="C571" t="str">
            <v>2001CO</v>
          </cell>
          <cell r="D571">
            <v>3610</v>
          </cell>
          <cell r="E571">
            <v>149800</v>
          </cell>
          <cell r="F571">
            <v>69168</v>
          </cell>
          <cell r="G571">
            <v>8560</v>
          </cell>
          <cell r="H571">
            <v>9460</v>
          </cell>
          <cell r="I571">
            <v>1920</v>
          </cell>
          <cell r="J571">
            <v>0</v>
          </cell>
          <cell r="K571">
            <v>8050</v>
          </cell>
          <cell r="L571">
            <v>0</v>
          </cell>
          <cell r="M571">
            <v>0</v>
          </cell>
          <cell r="N571">
            <v>0</v>
          </cell>
          <cell r="O571">
            <v>1785</v>
          </cell>
          <cell r="P571">
            <v>0</v>
          </cell>
          <cell r="Q571">
            <v>0</v>
          </cell>
          <cell r="R571">
            <v>0</v>
          </cell>
          <cell r="S571">
            <v>0</v>
          </cell>
          <cell r="T571">
            <v>0</v>
          </cell>
          <cell r="U571">
            <v>0</v>
          </cell>
        </row>
        <row r="572">
          <cell r="C572" t="str">
            <v>2001CT</v>
          </cell>
          <cell r="D572">
            <v>18</v>
          </cell>
          <cell r="E572">
            <v>0</v>
          </cell>
          <cell r="F572">
            <v>0</v>
          </cell>
          <cell r="G572">
            <v>0</v>
          </cell>
          <cell r="H572">
            <v>0</v>
          </cell>
          <cell r="I572">
            <v>0</v>
          </cell>
          <cell r="J572">
            <v>0</v>
          </cell>
          <cell r="K572">
            <v>0</v>
          </cell>
          <cell r="L572">
            <v>0</v>
          </cell>
          <cell r="M572">
            <v>0</v>
          </cell>
          <cell r="N572">
            <v>0</v>
          </cell>
          <cell r="O572">
            <v>0</v>
          </cell>
          <cell r="P572">
            <v>0</v>
          </cell>
          <cell r="Q572">
            <v>0</v>
          </cell>
          <cell r="R572">
            <v>0</v>
          </cell>
          <cell r="S572">
            <v>0</v>
          </cell>
          <cell r="T572">
            <v>0</v>
          </cell>
          <cell r="U572">
            <v>0</v>
          </cell>
        </row>
        <row r="573">
          <cell r="C573" t="str">
            <v>2001DE</v>
          </cell>
          <cell r="D573">
            <v>27</v>
          </cell>
          <cell r="E573">
            <v>23652</v>
          </cell>
          <cell r="F573">
            <v>3477</v>
          </cell>
          <cell r="G573">
            <v>2002</v>
          </cell>
          <cell r="H573">
            <v>85</v>
          </cell>
          <cell r="I573">
            <v>0</v>
          </cell>
          <cell r="J573">
            <v>0</v>
          </cell>
          <cell r="K573">
            <v>0</v>
          </cell>
          <cell r="L573">
            <v>0</v>
          </cell>
          <cell r="M573">
            <v>7839</v>
          </cell>
          <cell r="N573">
            <v>0</v>
          </cell>
          <cell r="O573">
            <v>0</v>
          </cell>
          <cell r="P573">
            <v>0</v>
          </cell>
          <cell r="Q573">
            <v>0</v>
          </cell>
          <cell r="R573">
            <v>0</v>
          </cell>
          <cell r="S573">
            <v>0</v>
          </cell>
          <cell r="T573">
            <v>0</v>
          </cell>
          <cell r="U573">
            <v>0</v>
          </cell>
        </row>
        <row r="574">
          <cell r="C574" t="str">
            <v>2001FL</v>
          </cell>
          <cell r="D574">
            <v>0</v>
          </cell>
          <cell r="E574">
            <v>2262</v>
          </cell>
          <cell r="F574">
            <v>369</v>
          </cell>
          <cell r="G574">
            <v>0</v>
          </cell>
          <cell r="H574">
            <v>0</v>
          </cell>
          <cell r="I574">
            <v>0</v>
          </cell>
          <cell r="J574">
            <v>0</v>
          </cell>
          <cell r="K574">
            <v>0</v>
          </cell>
          <cell r="L574">
            <v>0</v>
          </cell>
          <cell r="M574">
            <v>261</v>
          </cell>
          <cell r="N574">
            <v>250100</v>
          </cell>
          <cell r="O574">
            <v>0</v>
          </cell>
          <cell r="P574">
            <v>0</v>
          </cell>
          <cell r="Q574">
            <v>0</v>
          </cell>
          <cell r="R574">
            <v>0</v>
          </cell>
          <cell r="S574">
            <v>0</v>
          </cell>
          <cell r="T574">
            <v>16338</v>
          </cell>
          <cell r="U574">
            <v>11.273</v>
          </cell>
          <cell r="V574">
            <v>6.8</v>
          </cell>
          <cell r="W574">
            <v>0</v>
          </cell>
        </row>
        <row r="575">
          <cell r="C575" t="str">
            <v>2001GA</v>
          </cell>
          <cell r="D575">
            <v>0</v>
          </cell>
          <cell r="E575">
            <v>29480</v>
          </cell>
          <cell r="F575">
            <v>10600</v>
          </cell>
          <cell r="G575">
            <v>0</v>
          </cell>
          <cell r="H575">
            <v>1200</v>
          </cell>
          <cell r="I575">
            <v>2275</v>
          </cell>
          <cell r="J575">
            <v>750</v>
          </cell>
          <cell r="K575">
            <v>0</v>
          </cell>
          <cell r="L575">
            <v>0</v>
          </cell>
          <cell r="M575">
            <v>4030</v>
          </cell>
          <cell r="N575">
            <v>1711620</v>
          </cell>
          <cell r="O575">
            <v>0</v>
          </cell>
          <cell r="P575">
            <v>0</v>
          </cell>
          <cell r="Q575">
            <v>0</v>
          </cell>
          <cell r="R575">
            <v>0</v>
          </cell>
          <cell r="S575">
            <v>0</v>
          </cell>
          <cell r="T575">
            <v>0</v>
          </cell>
          <cell r="U575">
            <v>0</v>
          </cell>
        </row>
        <row r="576">
          <cell r="C576" t="str">
            <v>2001HI</v>
          </cell>
          <cell r="D576">
            <v>0</v>
          </cell>
          <cell r="E576">
            <v>0</v>
          </cell>
          <cell r="F576">
            <v>0</v>
          </cell>
          <cell r="G576">
            <v>0</v>
          </cell>
          <cell r="H576">
            <v>0</v>
          </cell>
          <cell r="I576">
            <v>0</v>
          </cell>
          <cell r="J576">
            <v>0</v>
          </cell>
          <cell r="K576">
            <v>0</v>
          </cell>
          <cell r="L576">
            <v>0</v>
          </cell>
          <cell r="M576">
            <v>0</v>
          </cell>
          <cell r="N576">
            <v>0</v>
          </cell>
          <cell r="O576">
            <v>0</v>
          </cell>
          <cell r="P576">
            <v>0</v>
          </cell>
          <cell r="Q576">
            <v>0</v>
          </cell>
          <cell r="R576">
            <v>0</v>
          </cell>
          <cell r="S576">
            <v>0</v>
          </cell>
          <cell r="T576">
            <v>1932</v>
          </cell>
          <cell r="U576">
            <v>0</v>
          </cell>
        </row>
        <row r="577">
          <cell r="C577" t="str">
            <v>2001ID</v>
          </cell>
          <cell r="D577">
            <v>4368</v>
          </cell>
          <cell r="E577">
            <v>6750</v>
          </cell>
          <cell r="F577">
            <v>80770</v>
          </cell>
          <cell r="G577">
            <v>50250</v>
          </cell>
          <cell r="H577">
            <v>0</v>
          </cell>
          <cell r="I577">
            <v>1360</v>
          </cell>
          <cell r="J577">
            <v>0</v>
          </cell>
          <cell r="K577">
            <v>0</v>
          </cell>
          <cell r="L577">
            <v>0</v>
          </cell>
          <cell r="M577">
            <v>0</v>
          </cell>
          <cell r="N577">
            <v>0</v>
          </cell>
          <cell r="O577">
            <v>1424</v>
          </cell>
          <cell r="P577">
            <v>460</v>
          </cell>
          <cell r="Q577">
            <v>68</v>
          </cell>
          <cell r="R577">
            <v>795</v>
          </cell>
          <cell r="S577">
            <v>202</v>
          </cell>
          <cell r="T577">
            <v>0</v>
          </cell>
          <cell r="U577">
            <v>0</v>
          </cell>
        </row>
        <row r="578">
          <cell r="C578" t="str">
            <v>2001IL</v>
          </cell>
          <cell r="D578">
            <v>1950</v>
          </cell>
          <cell r="E578">
            <v>1649200</v>
          </cell>
          <cell r="F578">
            <v>43920</v>
          </cell>
          <cell r="G578">
            <v>0</v>
          </cell>
          <cell r="H578">
            <v>8085</v>
          </cell>
          <cell r="I578">
            <v>3200</v>
          </cell>
          <cell r="J578">
            <v>0</v>
          </cell>
          <cell r="K578">
            <v>0</v>
          </cell>
          <cell r="L578">
            <v>0</v>
          </cell>
          <cell r="M578">
            <v>477900</v>
          </cell>
          <cell r="N578">
            <v>0</v>
          </cell>
          <cell r="O578">
            <v>0</v>
          </cell>
          <cell r="P578">
            <v>0</v>
          </cell>
          <cell r="Q578">
            <v>0</v>
          </cell>
          <cell r="R578">
            <v>0</v>
          </cell>
          <cell r="S578">
            <v>0</v>
          </cell>
          <cell r="T578">
            <v>0</v>
          </cell>
          <cell r="U578">
            <v>0</v>
          </cell>
        </row>
        <row r="579">
          <cell r="C579" t="str">
            <v>2001IN</v>
          </cell>
          <cell r="D579">
            <v>1320</v>
          </cell>
          <cell r="E579">
            <v>884520</v>
          </cell>
          <cell r="F579">
            <v>25080</v>
          </cell>
          <cell r="G579">
            <v>0</v>
          </cell>
          <cell r="H579">
            <v>0</v>
          </cell>
          <cell r="I579">
            <v>1280</v>
          </cell>
          <cell r="J579">
            <v>0</v>
          </cell>
          <cell r="K579">
            <v>0</v>
          </cell>
          <cell r="L579">
            <v>0</v>
          </cell>
          <cell r="M579">
            <v>273910</v>
          </cell>
          <cell r="N579">
            <v>0</v>
          </cell>
          <cell r="O579">
            <v>0</v>
          </cell>
          <cell r="P579">
            <v>0</v>
          </cell>
          <cell r="Q579">
            <v>0</v>
          </cell>
          <cell r="R579">
            <v>0</v>
          </cell>
          <cell r="S579">
            <v>0</v>
          </cell>
          <cell r="T579">
            <v>0</v>
          </cell>
          <cell r="U579">
            <v>0</v>
          </cell>
        </row>
        <row r="580">
          <cell r="C580" t="str">
            <v>2001IA</v>
          </cell>
          <cell r="D580">
            <v>4625</v>
          </cell>
          <cell r="E580">
            <v>1664400</v>
          </cell>
          <cell r="F580">
            <v>972</v>
          </cell>
          <cell r="G580">
            <v>0</v>
          </cell>
          <cell r="H580">
            <v>0</v>
          </cell>
          <cell r="I580">
            <v>9100</v>
          </cell>
          <cell r="J580">
            <v>0</v>
          </cell>
          <cell r="K580">
            <v>0</v>
          </cell>
          <cell r="L580">
            <v>0</v>
          </cell>
          <cell r="M580">
            <v>480480</v>
          </cell>
          <cell r="N580">
            <v>0</v>
          </cell>
          <cell r="O580">
            <v>0</v>
          </cell>
          <cell r="P580">
            <v>0</v>
          </cell>
          <cell r="Q580">
            <v>0</v>
          </cell>
          <cell r="R580">
            <v>0</v>
          </cell>
          <cell r="S580">
            <v>0</v>
          </cell>
          <cell r="T580">
            <v>0</v>
          </cell>
          <cell r="U580">
            <v>0</v>
          </cell>
        </row>
        <row r="581">
          <cell r="C581" t="str">
            <v>2001KS</v>
          </cell>
          <cell r="D581">
            <v>4140</v>
          </cell>
          <cell r="E581">
            <v>387350</v>
          </cell>
          <cell r="F581">
            <v>328000</v>
          </cell>
          <cell r="G581">
            <v>400</v>
          </cell>
          <cell r="H581">
            <v>232500</v>
          </cell>
          <cell r="I581">
            <v>2120</v>
          </cell>
          <cell r="J581">
            <v>0</v>
          </cell>
          <cell r="K581">
            <v>0</v>
          </cell>
          <cell r="L581">
            <v>0</v>
          </cell>
          <cell r="M581">
            <v>87360</v>
          </cell>
          <cell r="N581">
            <v>0</v>
          </cell>
          <cell r="O581">
            <v>277</v>
          </cell>
          <cell r="P581">
            <v>0</v>
          </cell>
          <cell r="Q581">
            <v>0</v>
          </cell>
          <cell r="R581">
            <v>0</v>
          </cell>
          <cell r="S581">
            <v>0</v>
          </cell>
          <cell r="T581">
            <v>0</v>
          </cell>
          <cell r="U581">
            <v>0</v>
          </cell>
        </row>
        <row r="582">
          <cell r="C582" t="str">
            <v>2001KY</v>
          </cell>
          <cell r="D582">
            <v>962</v>
          </cell>
          <cell r="E582">
            <v>156200</v>
          </cell>
          <cell r="F582">
            <v>23760</v>
          </cell>
          <cell r="G582">
            <v>680</v>
          </cell>
          <cell r="H582">
            <v>850</v>
          </cell>
          <cell r="I582">
            <v>0</v>
          </cell>
          <cell r="J582">
            <v>0</v>
          </cell>
          <cell r="K582">
            <v>0</v>
          </cell>
          <cell r="L582">
            <v>0</v>
          </cell>
          <cell r="M582">
            <v>48800</v>
          </cell>
          <cell r="N582">
            <v>0</v>
          </cell>
          <cell r="O582">
            <v>0</v>
          </cell>
          <cell r="P582">
            <v>0</v>
          </cell>
          <cell r="Q582">
            <v>0</v>
          </cell>
          <cell r="R582">
            <v>0</v>
          </cell>
          <cell r="S582">
            <v>0</v>
          </cell>
          <cell r="T582">
            <v>0</v>
          </cell>
          <cell r="U582">
            <v>0</v>
          </cell>
        </row>
        <row r="583">
          <cell r="C583" t="str">
            <v>2001LA</v>
          </cell>
          <cell r="D583">
            <v>0</v>
          </cell>
          <cell r="E583">
            <v>45436</v>
          </cell>
          <cell r="F583">
            <v>8000</v>
          </cell>
          <cell r="G583">
            <v>0</v>
          </cell>
          <cell r="H583">
            <v>17850</v>
          </cell>
          <cell r="I583">
            <v>0</v>
          </cell>
          <cell r="J583">
            <v>0</v>
          </cell>
          <cell r="K583">
            <v>0</v>
          </cell>
          <cell r="L583">
            <v>30014</v>
          </cell>
          <cell r="M583">
            <v>20130</v>
          </cell>
          <cell r="N583">
            <v>0</v>
          </cell>
          <cell r="O583">
            <v>0</v>
          </cell>
          <cell r="P583">
            <v>0</v>
          </cell>
          <cell r="Q583">
            <v>0</v>
          </cell>
          <cell r="R583">
            <v>0</v>
          </cell>
          <cell r="S583">
            <v>0</v>
          </cell>
          <cell r="T583">
            <v>14355</v>
          </cell>
          <cell r="U583">
            <v>546</v>
          </cell>
          <cell r="V583">
            <v>163.80000000000001</v>
          </cell>
          <cell r="W583">
            <v>0.04</v>
          </cell>
        </row>
        <row r="584">
          <cell r="C584" t="str">
            <v>2001ME</v>
          </cell>
          <cell r="D584">
            <v>22</v>
          </cell>
          <cell r="E584">
            <v>0</v>
          </cell>
          <cell r="F584">
            <v>0</v>
          </cell>
          <cell r="G584">
            <v>1890</v>
          </cell>
          <cell r="H584">
            <v>0</v>
          </cell>
          <cell r="I584">
            <v>2175</v>
          </cell>
          <cell r="J584">
            <v>0</v>
          </cell>
          <cell r="K584">
            <v>0</v>
          </cell>
          <cell r="L584">
            <v>0</v>
          </cell>
          <cell r="M584">
            <v>0</v>
          </cell>
          <cell r="N584">
            <v>0</v>
          </cell>
          <cell r="O584">
            <v>0</v>
          </cell>
          <cell r="P584">
            <v>0</v>
          </cell>
          <cell r="Q584">
            <v>0</v>
          </cell>
          <cell r="R584">
            <v>0</v>
          </cell>
          <cell r="S584">
            <v>0</v>
          </cell>
          <cell r="T584">
            <v>0</v>
          </cell>
          <cell r="U584">
            <v>0</v>
          </cell>
        </row>
        <row r="585">
          <cell r="C585" t="str">
            <v>2001MD</v>
          </cell>
          <cell r="D585">
            <v>202</v>
          </cell>
          <cell r="E585">
            <v>55760</v>
          </cell>
          <cell r="F585">
            <v>11025</v>
          </cell>
          <cell r="G585">
            <v>3000</v>
          </cell>
          <cell r="H585">
            <v>664</v>
          </cell>
          <cell r="I585">
            <v>0</v>
          </cell>
          <cell r="J585">
            <v>0</v>
          </cell>
          <cell r="K585">
            <v>0</v>
          </cell>
          <cell r="L585">
            <v>0</v>
          </cell>
          <cell r="M585">
            <v>20085</v>
          </cell>
          <cell r="N585">
            <v>0</v>
          </cell>
          <cell r="O585">
            <v>0</v>
          </cell>
          <cell r="P585">
            <v>0</v>
          </cell>
          <cell r="Q585">
            <v>0</v>
          </cell>
          <cell r="R585">
            <v>0</v>
          </cell>
          <cell r="S585">
            <v>0</v>
          </cell>
          <cell r="T585">
            <v>0</v>
          </cell>
          <cell r="U585">
            <v>0</v>
          </cell>
        </row>
        <row r="586">
          <cell r="C586" t="str">
            <v>2001MA</v>
          </cell>
          <cell r="D586">
            <v>39</v>
          </cell>
          <cell r="E586">
            <v>0</v>
          </cell>
          <cell r="F586">
            <v>0</v>
          </cell>
          <cell r="G586">
            <v>0</v>
          </cell>
          <cell r="H586">
            <v>0</v>
          </cell>
          <cell r="I586">
            <v>0</v>
          </cell>
          <cell r="J586">
            <v>0</v>
          </cell>
          <cell r="K586">
            <v>0</v>
          </cell>
          <cell r="L586">
            <v>0</v>
          </cell>
          <cell r="M586">
            <v>0</v>
          </cell>
          <cell r="N586">
            <v>0</v>
          </cell>
          <cell r="O586">
            <v>0</v>
          </cell>
          <cell r="P586">
            <v>0</v>
          </cell>
          <cell r="Q586">
            <v>0</v>
          </cell>
          <cell r="R586">
            <v>0</v>
          </cell>
          <cell r="S586">
            <v>0</v>
          </cell>
          <cell r="T586">
            <v>0</v>
          </cell>
          <cell r="U586">
            <v>0</v>
          </cell>
        </row>
        <row r="587">
          <cell r="C587" t="str">
            <v>2001MI</v>
          </cell>
          <cell r="D587">
            <v>3060</v>
          </cell>
          <cell r="E587">
            <v>199500</v>
          </cell>
          <cell r="F587">
            <v>32640</v>
          </cell>
          <cell r="G587">
            <v>672</v>
          </cell>
          <cell r="H587">
            <v>0</v>
          </cell>
          <cell r="I587">
            <v>3520</v>
          </cell>
          <cell r="J587">
            <v>0</v>
          </cell>
          <cell r="K587">
            <v>0</v>
          </cell>
          <cell r="L587">
            <v>0</v>
          </cell>
          <cell r="M587">
            <v>63900</v>
          </cell>
          <cell r="N587">
            <v>0</v>
          </cell>
          <cell r="O587">
            <v>780</v>
          </cell>
          <cell r="P587">
            <v>0</v>
          </cell>
          <cell r="Q587">
            <v>0</v>
          </cell>
          <cell r="R587">
            <v>0</v>
          </cell>
          <cell r="S587">
            <v>0</v>
          </cell>
          <cell r="T587">
            <v>0</v>
          </cell>
          <cell r="U587">
            <v>0</v>
          </cell>
        </row>
        <row r="588">
          <cell r="C588" t="str">
            <v>2001MN</v>
          </cell>
          <cell r="D588">
            <v>5075</v>
          </cell>
          <cell r="E588">
            <v>806000</v>
          </cell>
          <cell r="F588">
            <v>79655</v>
          </cell>
          <cell r="G588">
            <v>7975</v>
          </cell>
          <cell r="H588">
            <v>0</v>
          </cell>
          <cell r="I588">
            <v>12600</v>
          </cell>
          <cell r="J588">
            <v>0</v>
          </cell>
          <cell r="K588">
            <v>0</v>
          </cell>
          <cell r="L588">
            <v>0</v>
          </cell>
          <cell r="M588">
            <v>266400</v>
          </cell>
          <cell r="N588">
            <v>0</v>
          </cell>
          <cell r="O588">
            <v>1575</v>
          </cell>
          <cell r="P588">
            <v>0</v>
          </cell>
          <cell r="Q588">
            <v>0</v>
          </cell>
          <cell r="R588">
            <v>0</v>
          </cell>
          <cell r="S588">
            <v>0</v>
          </cell>
          <cell r="T588">
            <v>0</v>
          </cell>
          <cell r="U588">
            <v>0</v>
          </cell>
        </row>
        <row r="589">
          <cell r="C589" t="str">
            <v>2001MS</v>
          </cell>
          <cell r="D589">
            <v>0</v>
          </cell>
          <cell r="E589">
            <v>50050</v>
          </cell>
          <cell r="F589">
            <v>11700</v>
          </cell>
          <cell r="G589">
            <v>0</v>
          </cell>
          <cell r="H589">
            <v>7134</v>
          </cell>
          <cell r="I589">
            <v>0</v>
          </cell>
          <cell r="J589">
            <v>0</v>
          </cell>
          <cell r="K589">
            <v>0</v>
          </cell>
          <cell r="L589">
            <v>16698</v>
          </cell>
          <cell r="M589">
            <v>36960</v>
          </cell>
          <cell r="N589">
            <v>0</v>
          </cell>
          <cell r="O589">
            <v>0</v>
          </cell>
          <cell r="P589">
            <v>0</v>
          </cell>
          <cell r="Q589">
            <v>0</v>
          </cell>
          <cell r="R589">
            <v>0</v>
          </cell>
          <cell r="S589">
            <v>0</v>
          </cell>
          <cell r="T589">
            <v>0</v>
          </cell>
          <cell r="U589">
            <v>253</v>
          </cell>
          <cell r="W589">
            <v>0.4</v>
          </cell>
        </row>
        <row r="590">
          <cell r="C590" t="str">
            <v>2001MO</v>
          </cell>
          <cell r="D590">
            <v>1159</v>
          </cell>
          <cell r="E590">
            <v>345800</v>
          </cell>
          <cell r="F590">
            <v>41040</v>
          </cell>
          <cell r="G590">
            <v>0</v>
          </cell>
          <cell r="H590">
            <v>20680</v>
          </cell>
          <cell r="I590">
            <v>1000</v>
          </cell>
          <cell r="J590">
            <v>0</v>
          </cell>
          <cell r="K590">
            <v>0</v>
          </cell>
          <cell r="L590">
            <v>12420</v>
          </cell>
          <cell r="M590">
            <v>186200</v>
          </cell>
          <cell r="N590">
            <v>0</v>
          </cell>
          <cell r="O590">
            <v>0</v>
          </cell>
          <cell r="P590">
            <v>0</v>
          </cell>
          <cell r="Q590">
            <v>0</v>
          </cell>
          <cell r="R590">
            <v>0</v>
          </cell>
          <cell r="S590">
            <v>0</v>
          </cell>
          <cell r="T590">
            <v>0</v>
          </cell>
          <cell r="U590">
            <v>207</v>
          </cell>
          <cell r="W590">
            <v>0.18</v>
          </cell>
        </row>
        <row r="591">
          <cell r="C591" t="str">
            <v>2001MT</v>
          </cell>
          <cell r="D591">
            <v>3520</v>
          </cell>
          <cell r="E591">
            <v>1924</v>
          </cell>
          <cell r="F591">
            <v>96570</v>
          </cell>
          <cell r="G591">
            <v>29520</v>
          </cell>
          <cell r="H591">
            <v>0</v>
          </cell>
          <cell r="I591">
            <v>2640</v>
          </cell>
          <cell r="J591">
            <v>0</v>
          </cell>
          <cell r="K591">
            <v>0</v>
          </cell>
          <cell r="L591">
            <v>0</v>
          </cell>
          <cell r="M591">
            <v>0</v>
          </cell>
          <cell r="N591">
            <v>0</v>
          </cell>
          <cell r="O591">
            <v>376</v>
          </cell>
          <cell r="P591">
            <v>249</v>
          </cell>
          <cell r="Q591">
            <v>20</v>
          </cell>
          <cell r="R591">
            <v>220</v>
          </cell>
          <cell r="S591">
            <v>0</v>
          </cell>
          <cell r="T591">
            <v>0</v>
          </cell>
          <cell r="U591">
            <v>0</v>
          </cell>
        </row>
        <row r="592">
          <cell r="C592" t="str">
            <v>2001NE</v>
          </cell>
          <cell r="D592">
            <v>4970</v>
          </cell>
          <cell r="E592">
            <v>1139250</v>
          </cell>
          <cell r="F592">
            <v>59200</v>
          </cell>
          <cell r="G592">
            <v>180</v>
          </cell>
          <cell r="H592">
            <v>35700</v>
          </cell>
          <cell r="I592">
            <v>3660</v>
          </cell>
          <cell r="J592">
            <v>0</v>
          </cell>
          <cell r="K592">
            <v>5580</v>
          </cell>
          <cell r="L592">
            <v>0</v>
          </cell>
          <cell r="M592">
            <v>222950</v>
          </cell>
          <cell r="N592">
            <v>0</v>
          </cell>
          <cell r="O592">
            <v>3185</v>
          </cell>
          <cell r="P592">
            <v>0</v>
          </cell>
          <cell r="Q592">
            <v>0</v>
          </cell>
          <cell r="R592">
            <v>0</v>
          </cell>
          <cell r="S592">
            <v>0</v>
          </cell>
          <cell r="T592">
            <v>0</v>
          </cell>
          <cell r="U592">
            <v>0</v>
          </cell>
        </row>
        <row r="593">
          <cell r="C593" t="str">
            <v>2001NV</v>
          </cell>
          <cell r="D593">
            <v>1193</v>
          </cell>
          <cell r="E593">
            <v>0</v>
          </cell>
          <cell r="F593">
            <v>270</v>
          </cell>
          <cell r="G593">
            <v>90</v>
          </cell>
          <cell r="H593">
            <v>0</v>
          </cell>
          <cell r="I593">
            <v>0</v>
          </cell>
          <cell r="J593">
            <v>0</v>
          </cell>
          <cell r="K593">
            <v>0</v>
          </cell>
          <cell r="L593">
            <v>0</v>
          </cell>
          <cell r="M593">
            <v>0</v>
          </cell>
          <cell r="N593">
            <v>0</v>
          </cell>
          <cell r="O593">
            <v>0</v>
          </cell>
          <cell r="P593">
            <v>0</v>
          </cell>
          <cell r="Q593">
            <v>0</v>
          </cell>
          <cell r="R593">
            <v>0</v>
          </cell>
          <cell r="S593">
            <v>0</v>
          </cell>
          <cell r="T593">
            <v>0</v>
          </cell>
          <cell r="U593">
            <v>0</v>
          </cell>
        </row>
        <row r="594">
          <cell r="C594" t="str">
            <v>2001NH</v>
          </cell>
          <cell r="D594">
            <v>14</v>
          </cell>
          <cell r="E594">
            <v>0</v>
          </cell>
          <cell r="F594">
            <v>0</v>
          </cell>
          <cell r="G594">
            <v>0</v>
          </cell>
          <cell r="H594">
            <v>0</v>
          </cell>
          <cell r="I594">
            <v>0</v>
          </cell>
          <cell r="J594">
            <v>0</v>
          </cell>
          <cell r="K594">
            <v>0</v>
          </cell>
          <cell r="L594">
            <v>0</v>
          </cell>
          <cell r="M594">
            <v>0</v>
          </cell>
          <cell r="N594">
            <v>0</v>
          </cell>
          <cell r="O594">
            <v>0</v>
          </cell>
          <cell r="P594">
            <v>0</v>
          </cell>
          <cell r="Q594">
            <v>0</v>
          </cell>
          <cell r="R594">
            <v>0</v>
          </cell>
          <cell r="S594">
            <v>0</v>
          </cell>
          <cell r="T594">
            <v>0</v>
          </cell>
          <cell r="U594">
            <v>0</v>
          </cell>
        </row>
        <row r="595">
          <cell r="C595" t="str">
            <v>2001NJ</v>
          </cell>
          <cell r="D595">
            <v>102</v>
          </cell>
          <cell r="E595">
            <v>7392</v>
          </cell>
          <cell r="F595">
            <v>1215</v>
          </cell>
          <cell r="G595">
            <v>216</v>
          </cell>
          <cell r="H595">
            <v>0</v>
          </cell>
          <cell r="I595">
            <v>0</v>
          </cell>
          <cell r="J595">
            <v>0</v>
          </cell>
          <cell r="K595">
            <v>0</v>
          </cell>
          <cell r="L595">
            <v>0</v>
          </cell>
          <cell r="M595">
            <v>3131</v>
          </cell>
          <cell r="N595">
            <v>0</v>
          </cell>
          <cell r="O595">
            <v>0</v>
          </cell>
          <cell r="P595">
            <v>0</v>
          </cell>
          <cell r="Q595">
            <v>0</v>
          </cell>
          <cell r="R595">
            <v>0</v>
          </cell>
          <cell r="S595">
            <v>0</v>
          </cell>
          <cell r="T595">
            <v>0</v>
          </cell>
          <cell r="U595">
            <v>0</v>
          </cell>
        </row>
        <row r="596">
          <cell r="C596" t="str">
            <v>2001NM</v>
          </cell>
          <cell r="D596">
            <v>1300</v>
          </cell>
          <cell r="E596">
            <v>8280</v>
          </cell>
          <cell r="F596">
            <v>8160</v>
          </cell>
          <cell r="G596">
            <v>0</v>
          </cell>
          <cell r="H596">
            <v>6300</v>
          </cell>
          <cell r="I596">
            <v>0</v>
          </cell>
          <cell r="J596">
            <v>0</v>
          </cell>
          <cell r="K596">
            <v>0</v>
          </cell>
          <cell r="L596">
            <v>0</v>
          </cell>
          <cell r="M596">
            <v>0</v>
          </cell>
          <cell r="N596">
            <v>67044</v>
          </cell>
          <cell r="O596">
            <v>300</v>
          </cell>
          <cell r="P596">
            <v>0</v>
          </cell>
          <cell r="Q596">
            <v>0</v>
          </cell>
          <cell r="R596">
            <v>0</v>
          </cell>
          <cell r="S596">
            <v>0</v>
          </cell>
          <cell r="T596">
            <v>0</v>
          </cell>
          <cell r="U596">
            <v>0</v>
          </cell>
        </row>
        <row r="597">
          <cell r="C597" t="str">
            <v>2001NY</v>
          </cell>
          <cell r="D597">
            <v>1596</v>
          </cell>
          <cell r="E597">
            <v>56700</v>
          </cell>
          <cell r="F597">
            <v>6360</v>
          </cell>
          <cell r="G597">
            <v>612</v>
          </cell>
          <cell r="H597">
            <v>0</v>
          </cell>
          <cell r="I597">
            <v>5520</v>
          </cell>
          <cell r="J597">
            <v>0</v>
          </cell>
          <cell r="K597">
            <v>0</v>
          </cell>
          <cell r="L597">
            <v>0</v>
          </cell>
          <cell r="M597">
            <v>5214</v>
          </cell>
          <cell r="N597">
            <v>0</v>
          </cell>
          <cell r="O597">
            <v>194</v>
          </cell>
          <cell r="P597">
            <v>0</v>
          </cell>
          <cell r="Q597">
            <v>0</v>
          </cell>
          <cell r="R597">
            <v>0</v>
          </cell>
          <cell r="S597">
            <v>0</v>
          </cell>
          <cell r="T597">
            <v>0</v>
          </cell>
          <cell r="U597">
            <v>0</v>
          </cell>
        </row>
        <row r="598">
          <cell r="C598" t="str">
            <v>2001NC</v>
          </cell>
          <cell r="D598">
            <v>60</v>
          </cell>
          <cell r="E598">
            <v>78125</v>
          </cell>
          <cell r="F598">
            <v>17550</v>
          </cell>
          <cell r="G598">
            <v>1206</v>
          </cell>
          <cell r="H598">
            <v>770</v>
          </cell>
          <cell r="I598">
            <v>1568</v>
          </cell>
          <cell r="J598">
            <v>0</v>
          </cell>
          <cell r="K598">
            <v>0</v>
          </cell>
          <cell r="L598">
            <v>0</v>
          </cell>
          <cell r="M598">
            <v>43200</v>
          </cell>
          <cell r="N598">
            <v>356475</v>
          </cell>
          <cell r="O598">
            <v>0</v>
          </cell>
          <cell r="P598">
            <v>0</v>
          </cell>
          <cell r="Q598">
            <v>0</v>
          </cell>
          <cell r="R598">
            <v>0</v>
          </cell>
          <cell r="S598">
            <v>0</v>
          </cell>
          <cell r="T598">
            <v>0</v>
          </cell>
          <cell r="U598">
            <v>0</v>
          </cell>
        </row>
        <row r="599">
          <cell r="C599" t="str">
            <v>2001ND</v>
          </cell>
          <cell r="D599">
            <v>3360</v>
          </cell>
          <cell r="E599">
            <v>81075</v>
          </cell>
          <cell r="F599">
            <v>292400</v>
          </cell>
          <cell r="G599">
            <v>79750</v>
          </cell>
          <cell r="H599">
            <v>0</v>
          </cell>
          <cell r="I599">
            <v>14880</v>
          </cell>
          <cell r="J599">
            <v>340</v>
          </cell>
          <cell r="K599">
            <v>0</v>
          </cell>
          <cell r="L599">
            <v>0</v>
          </cell>
          <cell r="M599">
            <v>70685</v>
          </cell>
          <cell r="N599">
            <v>0</v>
          </cell>
          <cell r="O599">
            <v>6200</v>
          </cell>
          <cell r="P599">
            <v>1737</v>
          </cell>
          <cell r="Q599">
            <v>0</v>
          </cell>
          <cell r="R599">
            <v>603</v>
          </cell>
          <cell r="S599">
            <v>0</v>
          </cell>
          <cell r="T599">
            <v>0</v>
          </cell>
          <cell r="U599">
            <v>0</v>
          </cell>
        </row>
        <row r="600">
          <cell r="C600" t="str">
            <v>2001OH</v>
          </cell>
          <cell r="D600">
            <v>2135</v>
          </cell>
          <cell r="E600">
            <v>437460</v>
          </cell>
          <cell r="F600">
            <v>60300</v>
          </cell>
          <cell r="G600">
            <v>380</v>
          </cell>
          <cell r="H600">
            <v>0</v>
          </cell>
          <cell r="I600">
            <v>6205</v>
          </cell>
          <cell r="J600">
            <v>0</v>
          </cell>
          <cell r="K600">
            <v>0</v>
          </cell>
          <cell r="L600">
            <v>0</v>
          </cell>
          <cell r="M600">
            <v>187780</v>
          </cell>
          <cell r="N600">
            <v>0</v>
          </cell>
          <cell r="O600">
            <v>0</v>
          </cell>
          <cell r="P600">
            <v>0</v>
          </cell>
          <cell r="Q600">
            <v>0</v>
          </cell>
          <cell r="R600">
            <v>0</v>
          </cell>
          <cell r="S600">
            <v>0</v>
          </cell>
          <cell r="T600">
            <v>0</v>
          </cell>
          <cell r="U600">
            <v>0</v>
          </cell>
        </row>
        <row r="601">
          <cell r="C601" t="str">
            <v>2001OK</v>
          </cell>
          <cell r="D601">
            <v>972</v>
          </cell>
          <cell r="E601">
            <v>26250</v>
          </cell>
          <cell r="F601">
            <v>122100</v>
          </cell>
          <cell r="G601">
            <v>0</v>
          </cell>
          <cell r="H601">
            <v>15120</v>
          </cell>
          <cell r="I601">
            <v>380</v>
          </cell>
          <cell r="J601">
            <v>1150</v>
          </cell>
          <cell r="K601">
            <v>0</v>
          </cell>
          <cell r="L601">
            <v>0</v>
          </cell>
          <cell r="M601">
            <v>4845</v>
          </cell>
          <cell r="N601">
            <v>197890</v>
          </cell>
          <cell r="O601">
            <v>0</v>
          </cell>
          <cell r="P601">
            <v>0</v>
          </cell>
          <cell r="Q601">
            <v>0</v>
          </cell>
          <cell r="R601">
            <v>0</v>
          </cell>
          <cell r="S601">
            <v>0</v>
          </cell>
          <cell r="T601">
            <v>0</v>
          </cell>
          <cell r="U601">
            <v>0.65410000000000001</v>
          </cell>
          <cell r="W601">
            <v>0.9</v>
          </cell>
        </row>
        <row r="602">
          <cell r="C602" t="str">
            <v>2001OR</v>
          </cell>
          <cell r="D602">
            <v>1978</v>
          </cell>
          <cell r="E602">
            <v>2520</v>
          </cell>
          <cell r="F602">
            <v>32650</v>
          </cell>
          <cell r="G602">
            <v>4500</v>
          </cell>
          <cell r="H602">
            <v>0</v>
          </cell>
          <cell r="I602">
            <v>1925</v>
          </cell>
          <cell r="J602">
            <v>0</v>
          </cell>
          <cell r="K602">
            <v>0</v>
          </cell>
          <cell r="L602">
            <v>0</v>
          </cell>
          <cell r="M602">
            <v>0</v>
          </cell>
          <cell r="N602">
            <v>0</v>
          </cell>
          <cell r="O602">
            <v>172</v>
          </cell>
          <cell r="P602">
            <v>77</v>
          </cell>
          <cell r="Q602">
            <v>15</v>
          </cell>
          <cell r="R602">
            <v>0</v>
          </cell>
          <cell r="S602">
            <v>0</v>
          </cell>
          <cell r="T602">
            <v>0</v>
          </cell>
          <cell r="U602">
            <v>0</v>
          </cell>
        </row>
        <row r="603">
          <cell r="C603" t="str">
            <v>2001PA</v>
          </cell>
          <cell r="D603">
            <v>1675</v>
          </cell>
          <cell r="E603">
            <v>94080</v>
          </cell>
          <cell r="F603">
            <v>8320</v>
          </cell>
          <cell r="G603">
            <v>4200</v>
          </cell>
          <cell r="H603">
            <v>312</v>
          </cell>
          <cell r="I603">
            <v>7475</v>
          </cell>
          <cell r="J603">
            <v>0</v>
          </cell>
          <cell r="K603">
            <v>0</v>
          </cell>
          <cell r="L603">
            <v>0</v>
          </cell>
          <cell r="M603">
            <v>13825</v>
          </cell>
          <cell r="N603">
            <v>0</v>
          </cell>
          <cell r="O603">
            <v>0</v>
          </cell>
          <cell r="P603">
            <v>0</v>
          </cell>
          <cell r="Q603">
            <v>0</v>
          </cell>
          <cell r="R603">
            <v>0</v>
          </cell>
          <cell r="S603">
            <v>0</v>
          </cell>
          <cell r="T603">
            <v>0</v>
          </cell>
          <cell r="U603">
            <v>0</v>
          </cell>
        </row>
        <row r="604">
          <cell r="C604" t="str">
            <v>2001RI</v>
          </cell>
          <cell r="D604">
            <v>4</v>
          </cell>
          <cell r="E604">
            <v>0</v>
          </cell>
          <cell r="F604">
            <v>0</v>
          </cell>
          <cell r="G604">
            <v>0</v>
          </cell>
          <cell r="H604">
            <v>0</v>
          </cell>
          <cell r="I604">
            <v>0</v>
          </cell>
          <cell r="J604">
            <v>0</v>
          </cell>
          <cell r="K604">
            <v>0</v>
          </cell>
          <cell r="L604">
            <v>0</v>
          </cell>
          <cell r="M604">
            <v>0</v>
          </cell>
          <cell r="N604">
            <v>0</v>
          </cell>
          <cell r="O604">
            <v>0</v>
          </cell>
          <cell r="P604">
            <v>0</v>
          </cell>
          <cell r="Q604">
            <v>0</v>
          </cell>
          <cell r="R604">
            <v>0</v>
          </cell>
          <cell r="S604">
            <v>0</v>
          </cell>
          <cell r="T604">
            <v>0</v>
          </cell>
          <cell r="U604">
            <v>0</v>
          </cell>
        </row>
        <row r="605">
          <cell r="C605" t="str">
            <v>2001SC</v>
          </cell>
          <cell r="D605">
            <v>0</v>
          </cell>
          <cell r="E605">
            <v>25920</v>
          </cell>
          <cell r="F605">
            <v>9030</v>
          </cell>
          <cell r="G605">
            <v>0</v>
          </cell>
          <cell r="H605">
            <v>390</v>
          </cell>
          <cell r="I605">
            <v>1425</v>
          </cell>
          <cell r="J605">
            <v>0</v>
          </cell>
          <cell r="K605">
            <v>0</v>
          </cell>
          <cell r="L605">
            <v>0</v>
          </cell>
          <cell r="M605">
            <v>8820</v>
          </cell>
          <cell r="N605">
            <v>30600</v>
          </cell>
          <cell r="O605">
            <v>0</v>
          </cell>
          <cell r="P605">
            <v>0</v>
          </cell>
          <cell r="Q605">
            <v>0</v>
          </cell>
          <cell r="R605">
            <v>0</v>
          </cell>
          <cell r="S605">
            <v>0</v>
          </cell>
          <cell r="T605">
            <v>0</v>
          </cell>
          <cell r="U605">
            <v>0</v>
          </cell>
        </row>
        <row r="606">
          <cell r="C606" t="str">
            <v>2001SD</v>
          </cell>
          <cell r="D606">
            <v>6600</v>
          </cell>
          <cell r="E606">
            <v>370600</v>
          </cell>
          <cell r="F606">
            <v>76766</v>
          </cell>
          <cell r="G606">
            <v>4056</v>
          </cell>
          <cell r="H606">
            <v>8850</v>
          </cell>
          <cell r="I606">
            <v>7800</v>
          </cell>
          <cell r="J606">
            <v>350</v>
          </cell>
          <cell r="K606">
            <v>5775</v>
          </cell>
          <cell r="L606">
            <v>0</v>
          </cell>
          <cell r="M606">
            <v>143040</v>
          </cell>
          <cell r="N606">
            <v>0</v>
          </cell>
          <cell r="O606">
            <v>270</v>
          </cell>
          <cell r="P606">
            <v>0</v>
          </cell>
          <cell r="Q606">
            <v>0</v>
          </cell>
          <cell r="R606">
            <v>0</v>
          </cell>
          <cell r="S606">
            <v>0</v>
          </cell>
          <cell r="T606">
            <v>0</v>
          </cell>
          <cell r="U606">
            <v>0</v>
          </cell>
        </row>
        <row r="607">
          <cell r="C607" t="str">
            <v>2001TN</v>
          </cell>
          <cell r="D607">
            <v>130</v>
          </cell>
          <cell r="E607">
            <v>80520</v>
          </cell>
          <cell r="F607">
            <v>18360</v>
          </cell>
          <cell r="G607">
            <v>0</v>
          </cell>
          <cell r="H607">
            <v>1760</v>
          </cell>
          <cell r="I607">
            <v>0</v>
          </cell>
          <cell r="J607">
            <v>0</v>
          </cell>
          <cell r="K607">
            <v>0</v>
          </cell>
          <cell r="L607">
            <v>0</v>
          </cell>
          <cell r="M607">
            <v>35360</v>
          </cell>
          <cell r="N607">
            <v>0</v>
          </cell>
          <cell r="O607">
            <v>0</v>
          </cell>
          <cell r="P607">
            <v>0</v>
          </cell>
          <cell r="Q607">
            <v>0</v>
          </cell>
          <cell r="R607">
            <v>0</v>
          </cell>
          <cell r="S607">
            <v>0</v>
          </cell>
          <cell r="T607">
            <v>0</v>
          </cell>
          <cell r="U607">
            <v>0</v>
          </cell>
        </row>
        <row r="608">
          <cell r="C608" t="str">
            <v>2001TX</v>
          </cell>
          <cell r="D608">
            <v>686</v>
          </cell>
          <cell r="E608">
            <v>167560</v>
          </cell>
          <cell r="F608">
            <v>108800</v>
          </cell>
          <cell r="G608">
            <v>0</v>
          </cell>
          <cell r="H608">
            <v>130000</v>
          </cell>
          <cell r="I608">
            <v>7200</v>
          </cell>
          <cell r="J608">
            <v>0</v>
          </cell>
          <cell r="K608">
            <v>0</v>
          </cell>
          <cell r="L608">
            <v>14790</v>
          </cell>
          <cell r="M608">
            <v>5850</v>
          </cell>
          <cell r="N608">
            <v>895900</v>
          </cell>
          <cell r="O608">
            <v>348</v>
          </cell>
          <cell r="P608">
            <v>0</v>
          </cell>
          <cell r="Q608">
            <v>0</v>
          </cell>
          <cell r="R608">
            <v>0</v>
          </cell>
          <cell r="S608">
            <v>0</v>
          </cell>
          <cell r="T608">
            <v>1962</v>
          </cell>
          <cell r="U608">
            <v>216</v>
          </cell>
          <cell r="V608">
            <v>86.4</v>
          </cell>
          <cell r="W608">
            <v>0</v>
          </cell>
        </row>
        <row r="609">
          <cell r="C609" t="str">
            <v>2001UT</v>
          </cell>
          <cell r="D609">
            <v>2240</v>
          </cell>
          <cell r="E609">
            <v>2130</v>
          </cell>
          <cell r="F609">
            <v>6034</v>
          </cell>
          <cell r="G609">
            <v>4420</v>
          </cell>
          <cell r="H609">
            <v>0</v>
          </cell>
          <cell r="I609">
            <v>390</v>
          </cell>
          <cell r="J609">
            <v>0</v>
          </cell>
          <cell r="K609">
            <v>0</v>
          </cell>
          <cell r="L609">
            <v>0</v>
          </cell>
          <cell r="M609">
            <v>0</v>
          </cell>
          <cell r="N609">
            <v>0</v>
          </cell>
          <cell r="O609">
            <v>17</v>
          </cell>
          <cell r="P609">
            <v>0</v>
          </cell>
          <cell r="Q609">
            <v>0</v>
          </cell>
          <cell r="R609">
            <v>0</v>
          </cell>
          <cell r="S609">
            <v>0</v>
          </cell>
          <cell r="T609">
            <v>0</v>
          </cell>
          <cell r="U609">
            <v>0</v>
          </cell>
        </row>
        <row r="610">
          <cell r="C610" t="str">
            <v>2001VT</v>
          </cell>
          <cell r="D610">
            <v>80</v>
          </cell>
          <cell r="E610">
            <v>0</v>
          </cell>
          <cell r="F610">
            <v>0</v>
          </cell>
          <cell r="G610">
            <v>0</v>
          </cell>
          <cell r="H610">
            <v>0</v>
          </cell>
          <cell r="I610">
            <v>0</v>
          </cell>
          <cell r="J610">
            <v>0</v>
          </cell>
          <cell r="K610">
            <v>0</v>
          </cell>
          <cell r="L610">
            <v>0</v>
          </cell>
          <cell r="M610">
            <v>0</v>
          </cell>
          <cell r="N610">
            <v>0</v>
          </cell>
          <cell r="O610">
            <v>0</v>
          </cell>
          <cell r="P610">
            <v>0</v>
          </cell>
          <cell r="Q610">
            <v>0</v>
          </cell>
          <cell r="R610">
            <v>0</v>
          </cell>
          <cell r="S610">
            <v>0</v>
          </cell>
          <cell r="T610">
            <v>0</v>
          </cell>
          <cell r="U610">
            <v>0</v>
          </cell>
        </row>
        <row r="611">
          <cell r="C611" t="str">
            <v>2001VA</v>
          </cell>
          <cell r="D611">
            <v>403</v>
          </cell>
          <cell r="E611">
            <v>40590</v>
          </cell>
          <cell r="F611">
            <v>10200</v>
          </cell>
          <cell r="G611">
            <v>3750</v>
          </cell>
          <cell r="H611">
            <v>180</v>
          </cell>
          <cell r="I611">
            <v>0</v>
          </cell>
          <cell r="J611">
            <v>0</v>
          </cell>
          <cell r="K611">
            <v>0</v>
          </cell>
          <cell r="L611">
            <v>0</v>
          </cell>
          <cell r="M611">
            <v>17040</v>
          </cell>
          <cell r="N611">
            <v>234750</v>
          </cell>
          <cell r="O611">
            <v>0</v>
          </cell>
          <cell r="P611">
            <v>0</v>
          </cell>
          <cell r="Q611">
            <v>0</v>
          </cell>
          <cell r="R611">
            <v>0</v>
          </cell>
          <cell r="S611">
            <v>0</v>
          </cell>
          <cell r="T611">
            <v>0</v>
          </cell>
          <cell r="U611">
            <v>0</v>
          </cell>
        </row>
        <row r="612">
          <cell r="C612" t="str">
            <v>2001WA</v>
          </cell>
          <cell r="D612">
            <v>2256</v>
          </cell>
          <cell r="E612">
            <v>10450</v>
          </cell>
          <cell r="F612">
            <v>131350</v>
          </cell>
          <cell r="G612">
            <v>21000</v>
          </cell>
          <cell r="H612">
            <v>0</v>
          </cell>
          <cell r="I612">
            <v>660</v>
          </cell>
          <cell r="J612">
            <v>0</v>
          </cell>
          <cell r="K612">
            <v>0</v>
          </cell>
          <cell r="L612">
            <v>0</v>
          </cell>
          <cell r="M612">
            <v>0</v>
          </cell>
          <cell r="N612">
            <v>0</v>
          </cell>
          <cell r="O612">
            <v>578</v>
          </cell>
          <cell r="P612">
            <v>1240</v>
          </cell>
          <cell r="Q612">
            <v>0</v>
          </cell>
          <cell r="R612">
            <v>1280</v>
          </cell>
          <cell r="S612">
            <v>438</v>
          </cell>
          <cell r="T612">
            <v>0</v>
          </cell>
          <cell r="U612">
            <v>0</v>
          </cell>
        </row>
        <row r="613">
          <cell r="C613" t="str">
            <v>2001WV</v>
          </cell>
          <cell r="D613">
            <v>125</v>
          </cell>
          <cell r="E613">
            <v>3120</v>
          </cell>
          <cell r="F613">
            <v>464</v>
          </cell>
          <cell r="G613">
            <v>0</v>
          </cell>
          <cell r="H613">
            <v>0</v>
          </cell>
          <cell r="I613">
            <v>0</v>
          </cell>
          <cell r="J613">
            <v>0</v>
          </cell>
          <cell r="K613">
            <v>0</v>
          </cell>
          <cell r="L613">
            <v>0</v>
          </cell>
          <cell r="M613">
            <v>672</v>
          </cell>
          <cell r="N613">
            <v>0</v>
          </cell>
          <cell r="O613">
            <v>0</v>
          </cell>
          <cell r="P613">
            <v>0</v>
          </cell>
          <cell r="Q613">
            <v>0</v>
          </cell>
          <cell r="R613">
            <v>0</v>
          </cell>
          <cell r="S613">
            <v>0</v>
          </cell>
          <cell r="T613">
            <v>0</v>
          </cell>
          <cell r="U613">
            <v>0</v>
          </cell>
        </row>
        <row r="614">
          <cell r="C614" t="str">
            <v>2001WI</v>
          </cell>
          <cell r="D614">
            <v>4250</v>
          </cell>
          <cell r="E614">
            <v>330200</v>
          </cell>
          <cell r="F614">
            <v>10708</v>
          </cell>
          <cell r="G614">
            <v>1820</v>
          </cell>
          <cell r="H614">
            <v>0</v>
          </cell>
          <cell r="I614">
            <v>12480</v>
          </cell>
          <cell r="J614">
            <v>0</v>
          </cell>
          <cell r="K614">
            <v>0</v>
          </cell>
          <cell r="L614">
            <v>0</v>
          </cell>
          <cell r="M614">
            <v>58090</v>
          </cell>
          <cell r="N614">
            <v>0</v>
          </cell>
          <cell r="O614">
            <v>119</v>
          </cell>
          <cell r="P614">
            <v>0</v>
          </cell>
          <cell r="Q614">
            <v>0</v>
          </cell>
          <cell r="R614">
            <v>0</v>
          </cell>
          <cell r="S614">
            <v>0</v>
          </cell>
          <cell r="T614">
            <v>0</v>
          </cell>
          <cell r="U614">
            <v>0</v>
          </cell>
        </row>
        <row r="615">
          <cell r="C615" t="str">
            <v>2001WY</v>
          </cell>
          <cell r="D615">
            <v>1276</v>
          </cell>
          <cell r="E615">
            <v>6375</v>
          </cell>
          <cell r="F615">
            <v>3048</v>
          </cell>
          <cell r="G615">
            <v>6970</v>
          </cell>
          <cell r="H615">
            <v>0</v>
          </cell>
          <cell r="I615">
            <v>1344</v>
          </cell>
          <cell r="J615">
            <v>0</v>
          </cell>
          <cell r="K615">
            <v>0</v>
          </cell>
          <cell r="L615">
            <v>0</v>
          </cell>
          <cell r="M615">
            <v>0</v>
          </cell>
          <cell r="N615">
            <v>0</v>
          </cell>
          <cell r="O615">
            <v>514</v>
          </cell>
          <cell r="P615">
            <v>0</v>
          </cell>
          <cell r="Q615">
            <v>0</v>
          </cell>
          <cell r="R615">
            <v>0</v>
          </cell>
          <cell r="S615">
            <v>0</v>
          </cell>
          <cell r="T615">
            <v>0</v>
          </cell>
          <cell r="U615">
            <v>0</v>
          </cell>
        </row>
        <row r="616">
          <cell r="C616" t="str">
            <v>2001US</v>
          </cell>
          <cell r="D616">
            <v>80354</v>
          </cell>
          <cell r="E616">
            <v>9502580</v>
          </cell>
          <cell r="F616">
            <v>1947453</v>
          </cell>
          <cell r="G616">
            <v>248537</v>
          </cell>
          <cell r="H616">
            <v>514040</v>
          </cell>
          <cell r="I616">
            <v>117602</v>
          </cell>
          <cell r="J616">
            <v>6896</v>
          </cell>
          <cell r="K616">
            <v>19405</v>
          </cell>
          <cell r="L616">
            <v>215270</v>
          </cell>
          <cell r="M616">
            <v>2890682</v>
          </cell>
          <cell r="N616">
            <v>4276704</v>
          </cell>
          <cell r="O616">
            <v>19610</v>
          </cell>
          <cell r="P616">
            <v>3763</v>
          </cell>
          <cell r="Q616">
            <v>103</v>
          </cell>
          <cell r="R616">
            <v>2898</v>
          </cell>
          <cell r="S616">
            <v>640</v>
          </cell>
          <cell r="T616">
            <v>34587</v>
          </cell>
          <cell r="U616">
            <v>3325.9271000000003</v>
          </cell>
        </row>
        <row r="617">
          <cell r="C617" t="str">
            <v>2002AL</v>
          </cell>
          <cell r="D617">
            <v>0</v>
          </cell>
          <cell r="E617">
            <v>15840</v>
          </cell>
          <cell r="F617">
            <v>2400</v>
          </cell>
          <cell r="G617">
            <v>0</v>
          </cell>
          <cell r="H617">
            <v>280</v>
          </cell>
          <cell r="I617">
            <v>0</v>
          </cell>
          <cell r="J617">
            <v>0</v>
          </cell>
          <cell r="K617">
            <v>0</v>
          </cell>
          <cell r="L617">
            <v>0</v>
          </cell>
          <cell r="M617">
            <v>3720</v>
          </cell>
          <cell r="N617">
            <v>379800</v>
          </cell>
          <cell r="O617">
            <v>0</v>
          </cell>
          <cell r="P617">
            <v>0</v>
          </cell>
          <cell r="Q617">
            <v>0</v>
          </cell>
          <cell r="R617">
            <v>0</v>
          </cell>
          <cell r="S617">
            <v>0</v>
          </cell>
          <cell r="T617">
            <v>0</v>
          </cell>
          <cell r="U617">
            <v>0</v>
          </cell>
        </row>
        <row r="618">
          <cell r="C618" t="str">
            <v>2002AK</v>
          </cell>
          <cell r="D618">
            <v>0</v>
          </cell>
          <cell r="E618">
            <v>0</v>
          </cell>
          <cell r="F618">
            <v>0</v>
          </cell>
          <cell r="G618">
            <v>149</v>
          </cell>
          <cell r="H618">
            <v>0</v>
          </cell>
          <cell r="I618">
            <v>48000</v>
          </cell>
          <cell r="J618">
            <v>0</v>
          </cell>
          <cell r="K618">
            <v>0</v>
          </cell>
          <cell r="L618">
            <v>0</v>
          </cell>
          <cell r="M618">
            <v>0</v>
          </cell>
          <cell r="N618">
            <v>0</v>
          </cell>
          <cell r="O618">
            <v>0</v>
          </cell>
          <cell r="P618">
            <v>0</v>
          </cell>
          <cell r="Q618">
            <v>0</v>
          </cell>
          <cell r="R618">
            <v>0</v>
          </cell>
          <cell r="S618">
            <v>0</v>
          </cell>
          <cell r="T618">
            <v>0</v>
          </cell>
          <cell r="U618">
            <v>0</v>
          </cell>
        </row>
        <row r="619">
          <cell r="C619" t="str">
            <v>2002AZ</v>
          </cell>
          <cell r="D619">
            <v>1863</v>
          </cell>
          <cell r="E619">
            <v>5180</v>
          </cell>
          <cell r="F619">
            <v>9444</v>
          </cell>
          <cell r="G619">
            <v>4400</v>
          </cell>
          <cell r="H619">
            <v>420</v>
          </cell>
          <cell r="I619">
            <v>0</v>
          </cell>
          <cell r="J619">
            <v>0</v>
          </cell>
          <cell r="K619">
            <v>0</v>
          </cell>
          <cell r="L619">
            <v>0</v>
          </cell>
          <cell r="M619">
            <v>0</v>
          </cell>
          <cell r="N619">
            <v>0</v>
          </cell>
          <cell r="O619">
            <v>0</v>
          </cell>
          <cell r="P619">
            <v>0</v>
          </cell>
          <cell r="Q619">
            <v>0</v>
          </cell>
          <cell r="R619">
            <v>0</v>
          </cell>
          <cell r="S619">
            <v>0</v>
          </cell>
          <cell r="T619">
            <v>0</v>
          </cell>
          <cell r="U619">
            <v>0</v>
          </cell>
        </row>
        <row r="620">
          <cell r="C620" t="str">
            <v>2002AR</v>
          </cell>
          <cell r="D620">
            <v>60</v>
          </cell>
          <cell r="E620">
            <v>34170</v>
          </cell>
          <cell r="F620">
            <v>38180</v>
          </cell>
          <cell r="G620">
            <v>0</v>
          </cell>
          <cell r="H620">
            <v>17710</v>
          </cell>
          <cell r="I620">
            <v>0</v>
          </cell>
          <cell r="J620">
            <v>0</v>
          </cell>
          <cell r="K620">
            <v>0</v>
          </cell>
          <cell r="L620">
            <v>96752</v>
          </cell>
          <cell r="M620">
            <v>96480</v>
          </cell>
          <cell r="N620">
            <v>0</v>
          </cell>
          <cell r="O620">
            <v>0</v>
          </cell>
          <cell r="P620">
            <v>0</v>
          </cell>
          <cell r="Q620">
            <v>0</v>
          </cell>
          <cell r="R620">
            <v>0</v>
          </cell>
          <cell r="S620">
            <v>0</v>
          </cell>
          <cell r="T620">
            <v>0</v>
          </cell>
          <cell r="U620">
            <v>1503</v>
          </cell>
          <cell r="W620">
            <v>0.16</v>
          </cell>
        </row>
        <row r="621">
          <cell r="C621" t="str">
            <v>2002CA</v>
          </cell>
          <cell r="D621">
            <v>8004</v>
          </cell>
          <cell r="E621">
            <v>25500</v>
          </cell>
          <cell r="F621">
            <v>31800</v>
          </cell>
          <cell r="G621">
            <v>5325</v>
          </cell>
          <cell r="H621">
            <v>880</v>
          </cell>
          <cell r="I621">
            <v>2624</v>
          </cell>
          <cell r="J621">
            <v>0</v>
          </cell>
          <cell r="K621">
            <v>0</v>
          </cell>
          <cell r="L621">
            <v>42989</v>
          </cell>
          <cell r="M621">
            <v>0</v>
          </cell>
          <cell r="N621">
            <v>0</v>
          </cell>
          <cell r="O621">
            <v>1762</v>
          </cell>
          <cell r="P621">
            <v>0</v>
          </cell>
          <cell r="Q621">
            <v>0</v>
          </cell>
          <cell r="R621">
            <v>0</v>
          </cell>
          <cell r="S621">
            <v>0</v>
          </cell>
          <cell r="T621">
            <v>0</v>
          </cell>
          <cell r="U621">
            <v>528</v>
          </cell>
          <cell r="W621">
            <v>0.13</v>
          </cell>
        </row>
        <row r="622">
          <cell r="C622" t="str">
            <v>2002CO</v>
          </cell>
          <cell r="D622">
            <v>2262</v>
          </cell>
          <cell r="E622">
            <v>108000</v>
          </cell>
          <cell r="F622">
            <v>38100</v>
          </cell>
          <cell r="G622">
            <v>7488</v>
          </cell>
          <cell r="H622">
            <v>1800</v>
          </cell>
          <cell r="I622">
            <v>400</v>
          </cell>
          <cell r="J622">
            <v>0</v>
          </cell>
          <cell r="K622">
            <v>1208</v>
          </cell>
          <cell r="L622">
            <v>0</v>
          </cell>
          <cell r="M622">
            <v>0</v>
          </cell>
          <cell r="N622">
            <v>0</v>
          </cell>
          <cell r="O622">
            <v>1519</v>
          </cell>
          <cell r="P622">
            <v>0</v>
          </cell>
          <cell r="Q622">
            <v>0</v>
          </cell>
          <cell r="R622">
            <v>0</v>
          </cell>
          <cell r="S622">
            <v>0</v>
          </cell>
          <cell r="T622">
            <v>0</v>
          </cell>
          <cell r="U622">
            <v>0</v>
          </cell>
        </row>
        <row r="623">
          <cell r="C623" t="str">
            <v>2002CT</v>
          </cell>
          <cell r="D623">
            <v>22</v>
          </cell>
          <cell r="E623">
            <v>0</v>
          </cell>
          <cell r="F623">
            <v>0</v>
          </cell>
          <cell r="G623">
            <v>0</v>
          </cell>
          <cell r="H623">
            <v>0</v>
          </cell>
          <cell r="I623">
            <v>0</v>
          </cell>
          <cell r="J623">
            <v>0</v>
          </cell>
          <cell r="K623">
            <v>0</v>
          </cell>
          <cell r="L623">
            <v>0</v>
          </cell>
          <cell r="M623">
            <v>0</v>
          </cell>
          <cell r="N623">
            <v>0</v>
          </cell>
          <cell r="O623">
            <v>0</v>
          </cell>
          <cell r="P623">
            <v>0</v>
          </cell>
          <cell r="Q623">
            <v>0</v>
          </cell>
          <cell r="R623">
            <v>0</v>
          </cell>
          <cell r="S623">
            <v>0</v>
          </cell>
          <cell r="T623">
            <v>0</v>
          </cell>
          <cell r="U623">
            <v>0</v>
          </cell>
        </row>
        <row r="624">
          <cell r="C624" t="str">
            <v>2002DE</v>
          </cell>
          <cell r="D624">
            <v>19</v>
          </cell>
          <cell r="E624">
            <v>14028</v>
          </cell>
          <cell r="F624">
            <v>3710</v>
          </cell>
          <cell r="G624">
            <v>1909</v>
          </cell>
          <cell r="H624">
            <v>45</v>
          </cell>
          <cell r="I624">
            <v>0</v>
          </cell>
          <cell r="J624">
            <v>0</v>
          </cell>
          <cell r="K624">
            <v>0</v>
          </cell>
          <cell r="L624">
            <v>0</v>
          </cell>
          <cell r="M624">
            <v>4625</v>
          </cell>
          <cell r="N624">
            <v>0</v>
          </cell>
          <cell r="O624">
            <v>0</v>
          </cell>
          <cell r="P624">
            <v>0</v>
          </cell>
          <cell r="Q624">
            <v>0</v>
          </cell>
          <cell r="R624">
            <v>0</v>
          </cell>
          <cell r="S624">
            <v>0</v>
          </cell>
          <cell r="T624">
            <v>0</v>
          </cell>
          <cell r="U624">
            <v>0</v>
          </cell>
        </row>
        <row r="625">
          <cell r="C625" t="str">
            <v>2002FL</v>
          </cell>
          <cell r="D625">
            <v>0</v>
          </cell>
          <cell r="E625">
            <v>3552</v>
          </cell>
          <cell r="F625">
            <v>245</v>
          </cell>
          <cell r="G625">
            <v>0</v>
          </cell>
          <cell r="H625">
            <v>0</v>
          </cell>
          <cell r="I625">
            <v>0</v>
          </cell>
          <cell r="J625">
            <v>0</v>
          </cell>
          <cell r="K625">
            <v>0</v>
          </cell>
          <cell r="L625">
            <v>0</v>
          </cell>
          <cell r="M625">
            <v>297</v>
          </cell>
          <cell r="N625">
            <v>197800</v>
          </cell>
          <cell r="O625">
            <v>0</v>
          </cell>
          <cell r="P625">
            <v>0</v>
          </cell>
          <cell r="Q625">
            <v>0</v>
          </cell>
          <cell r="R625">
            <v>0</v>
          </cell>
          <cell r="S625">
            <v>0</v>
          </cell>
          <cell r="T625">
            <v>17653</v>
          </cell>
          <cell r="U625">
            <v>12.545</v>
          </cell>
          <cell r="V625">
            <v>6.7549999999999999</v>
          </cell>
          <cell r="W625">
            <v>0</v>
          </cell>
        </row>
        <row r="626">
          <cell r="C626" t="str">
            <v>2002GA</v>
          </cell>
          <cell r="D626">
            <v>0</v>
          </cell>
          <cell r="E626">
            <v>31900</v>
          </cell>
          <cell r="F626">
            <v>7980</v>
          </cell>
          <cell r="G626">
            <v>0</v>
          </cell>
          <cell r="H626">
            <v>1200</v>
          </cell>
          <cell r="I626">
            <v>1500</v>
          </cell>
          <cell r="J626">
            <v>560</v>
          </cell>
          <cell r="K626">
            <v>0</v>
          </cell>
          <cell r="L626">
            <v>0</v>
          </cell>
          <cell r="M626">
            <v>3220</v>
          </cell>
          <cell r="N626">
            <v>1313000</v>
          </cell>
          <cell r="O626">
            <v>0</v>
          </cell>
          <cell r="P626">
            <v>0</v>
          </cell>
          <cell r="Q626">
            <v>0</v>
          </cell>
          <cell r="R626">
            <v>0</v>
          </cell>
          <cell r="S626">
            <v>0</v>
          </cell>
          <cell r="T626">
            <v>0</v>
          </cell>
          <cell r="U626">
            <v>0</v>
          </cell>
        </row>
        <row r="627">
          <cell r="C627" t="str">
            <v>2002HI</v>
          </cell>
          <cell r="D627">
            <v>0</v>
          </cell>
          <cell r="E627">
            <v>0</v>
          </cell>
          <cell r="F627">
            <v>0</v>
          </cell>
          <cell r="G627">
            <v>0</v>
          </cell>
          <cell r="H627">
            <v>0</v>
          </cell>
          <cell r="I627">
            <v>0</v>
          </cell>
          <cell r="J627">
            <v>0</v>
          </cell>
          <cell r="K627">
            <v>0</v>
          </cell>
          <cell r="L627">
            <v>0</v>
          </cell>
          <cell r="M627">
            <v>0</v>
          </cell>
          <cell r="N627">
            <v>0</v>
          </cell>
          <cell r="O627">
            <v>0</v>
          </cell>
          <cell r="P627">
            <v>0</v>
          </cell>
          <cell r="Q627">
            <v>0</v>
          </cell>
          <cell r="R627">
            <v>0</v>
          </cell>
          <cell r="S627">
            <v>0</v>
          </cell>
          <cell r="T627">
            <v>2159</v>
          </cell>
          <cell r="U627">
            <v>0</v>
          </cell>
        </row>
        <row r="628">
          <cell r="C628" t="str">
            <v>2002ID</v>
          </cell>
          <cell r="D628">
            <v>4680</v>
          </cell>
          <cell r="E628">
            <v>6975</v>
          </cell>
          <cell r="F628">
            <v>78410</v>
          </cell>
          <cell r="G628">
            <v>54670</v>
          </cell>
          <cell r="H628">
            <v>0</v>
          </cell>
          <cell r="I628">
            <v>1750</v>
          </cell>
          <cell r="J628">
            <v>0</v>
          </cell>
          <cell r="K628">
            <v>0</v>
          </cell>
          <cell r="L628">
            <v>0</v>
          </cell>
          <cell r="M628">
            <v>0</v>
          </cell>
          <cell r="N628">
            <v>0</v>
          </cell>
          <cell r="O628">
            <v>1907</v>
          </cell>
          <cell r="P628">
            <v>720</v>
          </cell>
          <cell r="Q628">
            <v>128</v>
          </cell>
          <cell r="R628">
            <v>792</v>
          </cell>
          <cell r="S628">
            <v>157</v>
          </cell>
          <cell r="T628">
            <v>0</v>
          </cell>
          <cell r="U628">
            <v>0</v>
          </cell>
        </row>
        <row r="629">
          <cell r="C629" t="str">
            <v>2002IL</v>
          </cell>
          <cell r="D629">
            <v>1620</v>
          </cell>
          <cell r="E629">
            <v>1471500</v>
          </cell>
          <cell r="F629">
            <v>30870</v>
          </cell>
          <cell r="G629">
            <v>0</v>
          </cell>
          <cell r="H629">
            <v>6308</v>
          </cell>
          <cell r="I629">
            <v>3285</v>
          </cell>
          <cell r="J629">
            <v>0</v>
          </cell>
          <cell r="K629">
            <v>0</v>
          </cell>
          <cell r="L629">
            <v>0</v>
          </cell>
          <cell r="M629">
            <v>453650</v>
          </cell>
          <cell r="N629">
            <v>0</v>
          </cell>
          <cell r="O629">
            <v>0</v>
          </cell>
          <cell r="P629">
            <v>0</v>
          </cell>
          <cell r="Q629">
            <v>0</v>
          </cell>
          <cell r="R629">
            <v>0</v>
          </cell>
          <cell r="S629">
            <v>0</v>
          </cell>
          <cell r="T629">
            <v>0</v>
          </cell>
          <cell r="U629">
            <v>0</v>
          </cell>
        </row>
        <row r="630">
          <cell r="C630" t="str">
            <v>2002IN</v>
          </cell>
          <cell r="D630">
            <v>990</v>
          </cell>
          <cell r="E630">
            <v>631620</v>
          </cell>
          <cell r="F630">
            <v>16430</v>
          </cell>
          <cell r="G630">
            <v>0</v>
          </cell>
          <cell r="H630">
            <v>0</v>
          </cell>
          <cell r="I630">
            <v>868</v>
          </cell>
          <cell r="J630">
            <v>0</v>
          </cell>
          <cell r="K630">
            <v>0</v>
          </cell>
          <cell r="L630">
            <v>0</v>
          </cell>
          <cell r="M630">
            <v>239455</v>
          </cell>
          <cell r="N630">
            <v>0</v>
          </cell>
          <cell r="O630">
            <v>0</v>
          </cell>
          <cell r="P630">
            <v>0</v>
          </cell>
          <cell r="Q630">
            <v>0</v>
          </cell>
          <cell r="R630">
            <v>0</v>
          </cell>
          <cell r="S630">
            <v>0</v>
          </cell>
          <cell r="T630">
            <v>0</v>
          </cell>
          <cell r="U630">
            <v>0</v>
          </cell>
        </row>
        <row r="631">
          <cell r="C631" t="str">
            <v>2002IA</v>
          </cell>
          <cell r="D631">
            <v>4875</v>
          </cell>
          <cell r="E631">
            <v>1931550</v>
          </cell>
          <cell r="F631">
            <v>848</v>
          </cell>
          <cell r="G631">
            <v>0</v>
          </cell>
          <cell r="H631">
            <v>0</v>
          </cell>
          <cell r="I631">
            <v>13300</v>
          </cell>
          <cell r="J631">
            <v>0</v>
          </cell>
          <cell r="K631">
            <v>0</v>
          </cell>
          <cell r="L631">
            <v>0</v>
          </cell>
          <cell r="M631">
            <v>499200</v>
          </cell>
          <cell r="N631">
            <v>0</v>
          </cell>
          <cell r="O631">
            <v>0</v>
          </cell>
          <cell r="P631">
            <v>0</v>
          </cell>
          <cell r="Q631">
            <v>0</v>
          </cell>
          <cell r="R631">
            <v>0</v>
          </cell>
          <cell r="S631">
            <v>0</v>
          </cell>
          <cell r="T631">
            <v>0</v>
          </cell>
          <cell r="U631">
            <v>0</v>
          </cell>
        </row>
        <row r="632">
          <cell r="C632" t="str">
            <v>2002KS</v>
          </cell>
          <cell r="D632">
            <v>3515</v>
          </cell>
          <cell r="E632">
            <v>301600</v>
          </cell>
          <cell r="F632">
            <v>270600</v>
          </cell>
          <cell r="G632">
            <v>259</v>
          </cell>
          <cell r="H632">
            <v>135000</v>
          </cell>
          <cell r="I632">
            <v>3120</v>
          </cell>
          <cell r="J632">
            <v>0</v>
          </cell>
          <cell r="K632">
            <v>0</v>
          </cell>
          <cell r="L632">
            <v>0</v>
          </cell>
          <cell r="M632">
            <v>58420</v>
          </cell>
          <cell r="N632">
            <v>0</v>
          </cell>
          <cell r="O632">
            <v>280</v>
          </cell>
          <cell r="P632">
            <v>0</v>
          </cell>
          <cell r="Q632">
            <v>0</v>
          </cell>
          <cell r="R632">
            <v>0</v>
          </cell>
          <cell r="S632">
            <v>0</v>
          </cell>
          <cell r="T632">
            <v>0</v>
          </cell>
          <cell r="U632">
            <v>0</v>
          </cell>
        </row>
        <row r="633">
          <cell r="C633" t="str">
            <v>2002KY</v>
          </cell>
          <cell r="D633">
            <v>928</v>
          </cell>
          <cell r="E633">
            <v>111280</v>
          </cell>
          <cell r="F633">
            <v>17160</v>
          </cell>
          <cell r="G633">
            <v>455</v>
          </cell>
          <cell r="H633">
            <v>750</v>
          </cell>
          <cell r="I633">
            <v>0</v>
          </cell>
          <cell r="J633">
            <v>0</v>
          </cell>
          <cell r="K633">
            <v>0</v>
          </cell>
          <cell r="L633">
            <v>0</v>
          </cell>
          <cell r="M633">
            <v>42570</v>
          </cell>
          <cell r="N633">
            <v>0</v>
          </cell>
          <cell r="O633">
            <v>0</v>
          </cell>
          <cell r="P633">
            <v>0</v>
          </cell>
          <cell r="Q633">
            <v>0</v>
          </cell>
          <cell r="R633">
            <v>0</v>
          </cell>
          <cell r="S633">
            <v>0</v>
          </cell>
          <cell r="T633">
            <v>0</v>
          </cell>
          <cell r="U633">
            <v>0</v>
          </cell>
        </row>
        <row r="634">
          <cell r="C634" t="str">
            <v>2002LA</v>
          </cell>
          <cell r="D634">
            <v>0</v>
          </cell>
          <cell r="E634">
            <v>65340</v>
          </cell>
          <cell r="F634">
            <v>8800</v>
          </cell>
          <cell r="G634">
            <v>0</v>
          </cell>
          <cell r="H634">
            <v>13365</v>
          </cell>
          <cell r="I634">
            <v>0</v>
          </cell>
          <cell r="J634">
            <v>0</v>
          </cell>
          <cell r="K634">
            <v>0</v>
          </cell>
          <cell r="L634">
            <v>29400</v>
          </cell>
          <cell r="M634">
            <v>21120</v>
          </cell>
          <cell r="N634">
            <v>0</v>
          </cell>
          <cell r="O634">
            <v>0</v>
          </cell>
          <cell r="P634">
            <v>0</v>
          </cell>
          <cell r="Q634">
            <v>0</v>
          </cell>
          <cell r="R634">
            <v>0</v>
          </cell>
          <cell r="S634">
            <v>0</v>
          </cell>
          <cell r="T634">
            <v>14009</v>
          </cell>
          <cell r="U634">
            <v>535</v>
          </cell>
          <cell r="V634">
            <v>80.25</v>
          </cell>
          <cell r="W634">
            <v>0.03</v>
          </cell>
        </row>
        <row r="635">
          <cell r="C635" t="str">
            <v>2002ME</v>
          </cell>
          <cell r="D635">
            <v>24</v>
          </cell>
          <cell r="E635">
            <v>0</v>
          </cell>
          <cell r="F635">
            <v>0</v>
          </cell>
          <cell r="G635">
            <v>2160</v>
          </cell>
          <cell r="H635">
            <v>0</v>
          </cell>
          <cell r="I635">
            <v>2295</v>
          </cell>
          <cell r="J635">
            <v>0</v>
          </cell>
          <cell r="K635">
            <v>0</v>
          </cell>
          <cell r="L635">
            <v>0</v>
          </cell>
          <cell r="M635">
            <v>0</v>
          </cell>
          <cell r="N635">
            <v>0</v>
          </cell>
          <cell r="O635">
            <v>0</v>
          </cell>
          <cell r="P635">
            <v>0</v>
          </cell>
          <cell r="Q635">
            <v>0</v>
          </cell>
          <cell r="R635">
            <v>0</v>
          </cell>
          <cell r="S635">
            <v>0</v>
          </cell>
          <cell r="T635">
            <v>0</v>
          </cell>
          <cell r="U635">
            <v>0</v>
          </cell>
        </row>
        <row r="636">
          <cell r="C636" t="str">
            <v>2002MD</v>
          </cell>
          <cell r="D636">
            <v>174</v>
          </cell>
          <cell r="E636">
            <v>31450</v>
          </cell>
          <cell r="F636">
            <v>11220</v>
          </cell>
          <cell r="G636">
            <v>3198</v>
          </cell>
          <cell r="H636">
            <v>160</v>
          </cell>
          <cell r="I636">
            <v>0</v>
          </cell>
          <cell r="J636">
            <v>0</v>
          </cell>
          <cell r="K636">
            <v>0</v>
          </cell>
          <cell r="L636">
            <v>0</v>
          </cell>
          <cell r="M636">
            <v>10810</v>
          </cell>
          <cell r="N636">
            <v>0</v>
          </cell>
          <cell r="O636">
            <v>0</v>
          </cell>
          <cell r="P636">
            <v>0</v>
          </cell>
          <cell r="Q636">
            <v>0</v>
          </cell>
          <cell r="R636">
            <v>0</v>
          </cell>
          <cell r="S636">
            <v>0</v>
          </cell>
          <cell r="T636">
            <v>0</v>
          </cell>
          <cell r="U636">
            <v>0</v>
          </cell>
        </row>
        <row r="637">
          <cell r="C637" t="str">
            <v>2002MA</v>
          </cell>
          <cell r="D637">
            <v>38</v>
          </cell>
          <cell r="E637">
            <v>0</v>
          </cell>
          <cell r="F637">
            <v>0</v>
          </cell>
          <cell r="G637">
            <v>0</v>
          </cell>
          <cell r="H637">
            <v>0</v>
          </cell>
          <cell r="I637">
            <v>0</v>
          </cell>
          <cell r="J637">
            <v>0</v>
          </cell>
          <cell r="K637">
            <v>0</v>
          </cell>
          <cell r="L637">
            <v>0</v>
          </cell>
          <cell r="M637">
            <v>0</v>
          </cell>
          <cell r="N637">
            <v>0</v>
          </cell>
          <cell r="O637">
            <v>0</v>
          </cell>
          <cell r="P637">
            <v>0</v>
          </cell>
          <cell r="Q637">
            <v>0</v>
          </cell>
          <cell r="R637">
            <v>0</v>
          </cell>
          <cell r="S637">
            <v>0</v>
          </cell>
          <cell r="T637">
            <v>0</v>
          </cell>
          <cell r="U637">
            <v>0</v>
          </cell>
        </row>
        <row r="638">
          <cell r="C638" t="str">
            <v>2002MI</v>
          </cell>
          <cell r="D638">
            <v>3045</v>
          </cell>
          <cell r="E638">
            <v>234000</v>
          </cell>
          <cell r="F638">
            <v>29480</v>
          </cell>
          <cell r="G638">
            <v>663</v>
          </cell>
          <cell r="H638">
            <v>0</v>
          </cell>
          <cell r="I638">
            <v>4160</v>
          </cell>
          <cell r="J638">
            <v>0</v>
          </cell>
          <cell r="K638">
            <v>0</v>
          </cell>
          <cell r="L638">
            <v>0</v>
          </cell>
          <cell r="M638">
            <v>78540</v>
          </cell>
          <cell r="N638">
            <v>0</v>
          </cell>
          <cell r="O638">
            <v>4903</v>
          </cell>
          <cell r="P638">
            <v>0</v>
          </cell>
          <cell r="Q638">
            <v>0</v>
          </cell>
          <cell r="R638">
            <v>0</v>
          </cell>
          <cell r="S638">
            <v>0</v>
          </cell>
          <cell r="T638">
            <v>0</v>
          </cell>
          <cell r="U638">
            <v>0</v>
          </cell>
        </row>
        <row r="639">
          <cell r="C639" t="str">
            <v>2002MN</v>
          </cell>
          <cell r="D639">
            <v>4620</v>
          </cell>
          <cell r="E639">
            <v>1051900</v>
          </cell>
          <cell r="F639">
            <v>62420</v>
          </cell>
          <cell r="G639">
            <v>6150</v>
          </cell>
          <cell r="H639">
            <v>0</v>
          </cell>
          <cell r="I639">
            <v>14840</v>
          </cell>
          <cell r="J639">
            <v>0</v>
          </cell>
          <cell r="K639">
            <v>0</v>
          </cell>
          <cell r="L639">
            <v>0</v>
          </cell>
          <cell r="M639">
            <v>308850</v>
          </cell>
          <cell r="N639">
            <v>0</v>
          </cell>
          <cell r="O639">
            <v>2666</v>
          </cell>
          <cell r="P639">
            <v>0</v>
          </cell>
          <cell r="Q639">
            <v>0</v>
          </cell>
          <cell r="R639">
            <v>0</v>
          </cell>
          <cell r="S639">
            <v>0</v>
          </cell>
          <cell r="T639">
            <v>0</v>
          </cell>
          <cell r="U639">
            <v>0</v>
          </cell>
        </row>
        <row r="640">
          <cell r="C640" t="str">
            <v>2002MS</v>
          </cell>
          <cell r="D640">
            <v>0</v>
          </cell>
          <cell r="E640">
            <v>63600</v>
          </cell>
          <cell r="F640">
            <v>7200</v>
          </cell>
          <cell r="G640">
            <v>0</v>
          </cell>
          <cell r="H640">
            <v>6237</v>
          </cell>
          <cell r="I640">
            <v>0</v>
          </cell>
          <cell r="J640">
            <v>0</v>
          </cell>
          <cell r="K640">
            <v>0</v>
          </cell>
          <cell r="L640">
            <v>16192</v>
          </cell>
          <cell r="M640">
            <v>43840</v>
          </cell>
          <cell r="N640">
            <v>0</v>
          </cell>
          <cell r="O640">
            <v>0</v>
          </cell>
          <cell r="P640">
            <v>0</v>
          </cell>
          <cell r="Q640">
            <v>0</v>
          </cell>
          <cell r="R640">
            <v>0</v>
          </cell>
          <cell r="S640">
            <v>0</v>
          </cell>
          <cell r="T640">
            <v>0</v>
          </cell>
          <cell r="U640">
            <v>253</v>
          </cell>
          <cell r="W640">
            <v>0.08</v>
          </cell>
        </row>
        <row r="641">
          <cell r="C641" t="str">
            <v>2002MO</v>
          </cell>
          <cell r="D641">
            <v>1200</v>
          </cell>
          <cell r="E641">
            <v>283500</v>
          </cell>
          <cell r="F641">
            <v>33440</v>
          </cell>
          <cell r="G641">
            <v>0</v>
          </cell>
          <cell r="H641">
            <v>16150</v>
          </cell>
          <cell r="I641">
            <v>1785</v>
          </cell>
          <cell r="J641">
            <v>0</v>
          </cell>
          <cell r="K641">
            <v>0</v>
          </cell>
          <cell r="L641">
            <v>11011</v>
          </cell>
          <cell r="M641">
            <v>170000</v>
          </cell>
          <cell r="N641">
            <v>0</v>
          </cell>
          <cell r="O641">
            <v>0</v>
          </cell>
          <cell r="P641">
            <v>0</v>
          </cell>
          <cell r="Q641">
            <v>0</v>
          </cell>
          <cell r="R641">
            <v>0</v>
          </cell>
          <cell r="S641">
            <v>0</v>
          </cell>
          <cell r="T641">
            <v>0</v>
          </cell>
          <cell r="U641">
            <v>182</v>
          </cell>
          <cell r="W641">
            <v>0.18</v>
          </cell>
        </row>
        <row r="642">
          <cell r="C642" t="str">
            <v>2002MT</v>
          </cell>
          <cell r="D642">
            <v>3000</v>
          </cell>
          <cell r="E642">
            <v>1820</v>
          </cell>
          <cell r="F642">
            <v>110735</v>
          </cell>
          <cell r="G642">
            <v>39060</v>
          </cell>
          <cell r="H642">
            <v>0</v>
          </cell>
          <cell r="I642">
            <v>2300</v>
          </cell>
          <cell r="J642">
            <v>0</v>
          </cell>
          <cell r="K642">
            <v>0</v>
          </cell>
          <cell r="L642">
            <v>0</v>
          </cell>
          <cell r="M642">
            <v>0</v>
          </cell>
          <cell r="N642">
            <v>0</v>
          </cell>
          <cell r="O642">
            <v>367</v>
          </cell>
          <cell r="P642">
            <v>216</v>
          </cell>
          <cell r="Q642">
            <v>25</v>
          </cell>
          <cell r="R642">
            <v>165</v>
          </cell>
          <cell r="S642">
            <v>0</v>
          </cell>
          <cell r="T642">
            <v>0</v>
          </cell>
          <cell r="U642">
            <v>0</v>
          </cell>
        </row>
        <row r="643">
          <cell r="C643" t="str">
            <v>2002NE</v>
          </cell>
          <cell r="D643">
            <v>4050</v>
          </cell>
          <cell r="E643">
            <v>940800</v>
          </cell>
          <cell r="F643">
            <v>50160</v>
          </cell>
          <cell r="G643">
            <v>128</v>
          </cell>
          <cell r="H643">
            <v>16000</v>
          </cell>
          <cell r="I643">
            <v>2365</v>
          </cell>
          <cell r="J643">
            <v>0</v>
          </cell>
          <cell r="K643">
            <v>1200</v>
          </cell>
          <cell r="L643">
            <v>0</v>
          </cell>
          <cell r="M643">
            <v>176330</v>
          </cell>
          <cell r="N643">
            <v>0</v>
          </cell>
          <cell r="O643">
            <v>3465</v>
          </cell>
          <cell r="P643">
            <v>0</v>
          </cell>
          <cell r="Q643">
            <v>0</v>
          </cell>
          <cell r="R643">
            <v>0</v>
          </cell>
          <cell r="S643">
            <v>0</v>
          </cell>
          <cell r="T643">
            <v>0</v>
          </cell>
          <cell r="U643">
            <v>0</v>
          </cell>
        </row>
        <row r="644">
          <cell r="C644" t="str">
            <v>2002NV</v>
          </cell>
          <cell r="D644">
            <v>1183</v>
          </cell>
          <cell r="E644">
            <v>0</v>
          </cell>
          <cell r="F644">
            <v>408</v>
          </cell>
          <cell r="G644">
            <v>194</v>
          </cell>
          <cell r="H644">
            <v>0</v>
          </cell>
          <cell r="I644">
            <v>0</v>
          </cell>
          <cell r="J644">
            <v>0</v>
          </cell>
          <cell r="K644">
            <v>0</v>
          </cell>
          <cell r="L644">
            <v>0</v>
          </cell>
          <cell r="M644">
            <v>0</v>
          </cell>
          <cell r="N644">
            <v>0</v>
          </cell>
          <cell r="O644">
            <v>0</v>
          </cell>
          <cell r="P644">
            <v>0</v>
          </cell>
          <cell r="Q644">
            <v>0</v>
          </cell>
          <cell r="R644">
            <v>0</v>
          </cell>
          <cell r="S644">
            <v>0</v>
          </cell>
          <cell r="T644">
            <v>0</v>
          </cell>
          <cell r="U644">
            <v>0</v>
          </cell>
        </row>
        <row r="645">
          <cell r="C645" t="str">
            <v>2002NH</v>
          </cell>
          <cell r="D645">
            <v>18</v>
          </cell>
          <cell r="E645">
            <v>0</v>
          </cell>
          <cell r="F645">
            <v>0</v>
          </cell>
          <cell r="G645">
            <v>0</v>
          </cell>
          <cell r="H645">
            <v>0</v>
          </cell>
          <cell r="I645">
            <v>0</v>
          </cell>
          <cell r="J645">
            <v>0</v>
          </cell>
          <cell r="K645">
            <v>0</v>
          </cell>
          <cell r="L645">
            <v>0</v>
          </cell>
          <cell r="M645">
            <v>0</v>
          </cell>
          <cell r="N645">
            <v>0</v>
          </cell>
          <cell r="O645">
            <v>0</v>
          </cell>
          <cell r="P645">
            <v>0</v>
          </cell>
          <cell r="Q645">
            <v>0</v>
          </cell>
          <cell r="R645">
            <v>0</v>
          </cell>
          <cell r="S645">
            <v>0</v>
          </cell>
          <cell r="T645">
            <v>0</v>
          </cell>
          <cell r="U645">
            <v>0</v>
          </cell>
        </row>
        <row r="646">
          <cell r="C646" t="str">
            <v>2002NJ</v>
          </cell>
          <cell r="D646">
            <v>78</v>
          </cell>
          <cell r="E646">
            <v>4270</v>
          </cell>
          <cell r="F646">
            <v>1824</v>
          </cell>
          <cell r="G646">
            <v>210</v>
          </cell>
          <cell r="H646">
            <v>0</v>
          </cell>
          <cell r="I646">
            <v>0</v>
          </cell>
          <cell r="J646">
            <v>0</v>
          </cell>
          <cell r="K646">
            <v>0</v>
          </cell>
          <cell r="L646">
            <v>0</v>
          </cell>
          <cell r="M646">
            <v>2328</v>
          </cell>
          <cell r="N646">
            <v>0</v>
          </cell>
          <cell r="O646">
            <v>0</v>
          </cell>
          <cell r="P646">
            <v>0</v>
          </cell>
          <cell r="Q646">
            <v>0</v>
          </cell>
          <cell r="R646">
            <v>0</v>
          </cell>
          <cell r="S646">
            <v>0</v>
          </cell>
          <cell r="T646">
            <v>0</v>
          </cell>
          <cell r="U646">
            <v>0</v>
          </cell>
        </row>
        <row r="647">
          <cell r="C647" t="str">
            <v>2002NM</v>
          </cell>
          <cell r="D647">
            <v>1272</v>
          </cell>
          <cell r="E647">
            <v>8575</v>
          </cell>
          <cell r="F647">
            <v>3900</v>
          </cell>
          <cell r="G647">
            <v>0</v>
          </cell>
          <cell r="H647">
            <v>2450</v>
          </cell>
          <cell r="I647">
            <v>0</v>
          </cell>
          <cell r="J647">
            <v>0</v>
          </cell>
          <cell r="K647">
            <v>0</v>
          </cell>
          <cell r="L647">
            <v>0</v>
          </cell>
          <cell r="M647">
            <v>0</v>
          </cell>
          <cell r="N647">
            <v>54000</v>
          </cell>
          <cell r="O647">
            <v>153</v>
          </cell>
          <cell r="P647">
            <v>0</v>
          </cell>
          <cell r="Q647">
            <v>0</v>
          </cell>
          <cell r="R647">
            <v>0</v>
          </cell>
          <cell r="S647">
            <v>0</v>
          </cell>
          <cell r="T647">
            <v>0</v>
          </cell>
          <cell r="U647">
            <v>0</v>
          </cell>
        </row>
        <row r="648">
          <cell r="C648" t="str">
            <v>2002NY</v>
          </cell>
          <cell r="D648">
            <v>1525</v>
          </cell>
          <cell r="E648">
            <v>44620</v>
          </cell>
          <cell r="F648">
            <v>6844</v>
          </cell>
          <cell r="G648">
            <v>470</v>
          </cell>
          <cell r="H648">
            <v>0</v>
          </cell>
          <cell r="I648">
            <v>4160</v>
          </cell>
          <cell r="J648">
            <v>0</v>
          </cell>
          <cell r="K648">
            <v>0</v>
          </cell>
          <cell r="L648">
            <v>0</v>
          </cell>
          <cell r="M648">
            <v>4608</v>
          </cell>
          <cell r="N648">
            <v>0</v>
          </cell>
          <cell r="O648">
            <v>333</v>
          </cell>
          <cell r="P648">
            <v>0</v>
          </cell>
          <cell r="Q648">
            <v>0</v>
          </cell>
          <cell r="R648">
            <v>0</v>
          </cell>
          <cell r="S648">
            <v>0</v>
          </cell>
          <cell r="T648">
            <v>0</v>
          </cell>
          <cell r="U648">
            <v>0</v>
          </cell>
        </row>
        <row r="649">
          <cell r="C649" t="str">
            <v>2002NC</v>
          </cell>
          <cell r="D649">
            <v>40</v>
          </cell>
          <cell r="E649">
            <v>56440</v>
          </cell>
          <cell r="F649">
            <v>18060</v>
          </cell>
          <cell r="G649">
            <v>1020</v>
          </cell>
          <cell r="H649">
            <v>504</v>
          </cell>
          <cell r="I649">
            <v>1375</v>
          </cell>
          <cell r="J649">
            <v>0</v>
          </cell>
          <cell r="K649">
            <v>0</v>
          </cell>
          <cell r="L649">
            <v>0</v>
          </cell>
          <cell r="M649">
            <v>30960</v>
          </cell>
          <cell r="N649">
            <v>210000</v>
          </cell>
          <cell r="O649">
            <v>0</v>
          </cell>
          <cell r="P649">
            <v>0</v>
          </cell>
          <cell r="Q649">
            <v>0</v>
          </cell>
          <cell r="R649">
            <v>0</v>
          </cell>
          <cell r="S649">
            <v>0</v>
          </cell>
          <cell r="T649">
            <v>0</v>
          </cell>
          <cell r="U649">
            <v>0</v>
          </cell>
        </row>
        <row r="650">
          <cell r="C650" t="str">
            <v>2002ND</v>
          </cell>
          <cell r="D650">
            <v>1885</v>
          </cell>
          <cell r="E650">
            <v>113430</v>
          </cell>
          <cell r="F650">
            <v>216095</v>
          </cell>
          <cell r="G650">
            <v>58500</v>
          </cell>
          <cell r="H650">
            <v>0</v>
          </cell>
          <cell r="I650">
            <v>12600</v>
          </cell>
          <cell r="J650">
            <v>210</v>
          </cell>
          <cell r="K650">
            <v>0</v>
          </cell>
          <cell r="L650">
            <v>0</v>
          </cell>
          <cell r="M650">
            <v>86790</v>
          </cell>
          <cell r="N650">
            <v>0</v>
          </cell>
          <cell r="O650">
            <v>10626</v>
          </cell>
          <cell r="P650">
            <v>2208</v>
          </cell>
          <cell r="Q650">
            <v>0</v>
          </cell>
          <cell r="R650">
            <v>494</v>
          </cell>
          <cell r="S650">
            <v>0</v>
          </cell>
          <cell r="T650">
            <v>0</v>
          </cell>
          <cell r="U650">
            <v>0</v>
          </cell>
        </row>
        <row r="651">
          <cell r="C651" t="str">
            <v>2002OH</v>
          </cell>
          <cell r="D651">
            <v>1860</v>
          </cell>
          <cell r="E651">
            <v>264330</v>
          </cell>
          <cell r="F651">
            <v>50220</v>
          </cell>
          <cell r="G651">
            <v>330</v>
          </cell>
          <cell r="H651">
            <v>0</v>
          </cell>
          <cell r="I651">
            <v>3355</v>
          </cell>
          <cell r="J651">
            <v>0</v>
          </cell>
          <cell r="K651">
            <v>0</v>
          </cell>
          <cell r="L651">
            <v>0</v>
          </cell>
          <cell r="M651">
            <v>151040</v>
          </cell>
          <cell r="N651">
            <v>0</v>
          </cell>
          <cell r="O651">
            <v>0</v>
          </cell>
          <cell r="P651">
            <v>0</v>
          </cell>
          <cell r="Q651">
            <v>0</v>
          </cell>
          <cell r="R651">
            <v>0</v>
          </cell>
          <cell r="S651">
            <v>0</v>
          </cell>
          <cell r="T651">
            <v>0</v>
          </cell>
          <cell r="U651">
            <v>0</v>
          </cell>
        </row>
        <row r="652">
          <cell r="C652" t="str">
            <v>2002OK</v>
          </cell>
          <cell r="D652">
            <v>1225</v>
          </cell>
          <cell r="E652">
            <v>24700</v>
          </cell>
          <cell r="F652">
            <v>103600</v>
          </cell>
          <cell r="G652">
            <v>0</v>
          </cell>
          <cell r="H652">
            <v>13500</v>
          </cell>
          <cell r="I652">
            <v>740</v>
          </cell>
          <cell r="J652">
            <v>1300</v>
          </cell>
          <cell r="K652">
            <v>0</v>
          </cell>
          <cell r="L652">
            <v>0</v>
          </cell>
          <cell r="M652">
            <v>6760</v>
          </cell>
          <cell r="N652">
            <v>159600</v>
          </cell>
          <cell r="O652">
            <v>0</v>
          </cell>
          <cell r="P652">
            <v>0</v>
          </cell>
          <cell r="Q652">
            <v>0</v>
          </cell>
          <cell r="R652">
            <v>0</v>
          </cell>
          <cell r="S652">
            <v>0</v>
          </cell>
          <cell r="T652">
            <v>0</v>
          </cell>
          <cell r="U652">
            <v>0.67610000000000003</v>
          </cell>
          <cell r="W652">
            <v>0.9</v>
          </cell>
        </row>
        <row r="653">
          <cell r="C653" t="str">
            <v>2002OR</v>
          </cell>
          <cell r="D653">
            <v>2129</v>
          </cell>
          <cell r="E653">
            <v>3200</v>
          </cell>
          <cell r="F653">
            <v>34500</v>
          </cell>
          <cell r="G653">
            <v>3604</v>
          </cell>
          <cell r="H653">
            <v>0</v>
          </cell>
          <cell r="I653">
            <v>2520</v>
          </cell>
          <cell r="J653">
            <v>0</v>
          </cell>
          <cell r="K653">
            <v>0</v>
          </cell>
          <cell r="L653">
            <v>0</v>
          </cell>
          <cell r="M653">
            <v>0</v>
          </cell>
          <cell r="N653">
            <v>0</v>
          </cell>
          <cell r="O653">
            <v>146</v>
          </cell>
          <cell r="P653">
            <v>63</v>
          </cell>
          <cell r="Q653">
            <v>30</v>
          </cell>
          <cell r="R653">
            <v>0</v>
          </cell>
          <cell r="S653">
            <v>0</v>
          </cell>
          <cell r="T653">
            <v>0</v>
          </cell>
          <cell r="U653">
            <v>0</v>
          </cell>
        </row>
        <row r="654">
          <cell r="C654" t="str">
            <v>2002PA</v>
          </cell>
          <cell r="D654">
            <v>1768</v>
          </cell>
          <cell r="E654">
            <v>57120</v>
          </cell>
          <cell r="F654">
            <v>9805</v>
          </cell>
          <cell r="G654">
            <v>4440</v>
          </cell>
          <cell r="H654">
            <v>144</v>
          </cell>
          <cell r="I654">
            <v>7015</v>
          </cell>
          <cell r="J654">
            <v>0</v>
          </cell>
          <cell r="K654">
            <v>0</v>
          </cell>
          <cell r="L654">
            <v>0</v>
          </cell>
          <cell r="M654">
            <v>10140</v>
          </cell>
          <cell r="N654">
            <v>0</v>
          </cell>
          <cell r="O654">
            <v>0</v>
          </cell>
          <cell r="P654">
            <v>0</v>
          </cell>
          <cell r="Q654">
            <v>0</v>
          </cell>
          <cell r="R654">
            <v>0</v>
          </cell>
          <cell r="S654">
            <v>0</v>
          </cell>
          <cell r="T654">
            <v>0</v>
          </cell>
          <cell r="U654">
            <v>0</v>
          </cell>
        </row>
        <row r="655">
          <cell r="C655" t="str">
            <v>2002RI</v>
          </cell>
          <cell r="D655">
            <v>4</v>
          </cell>
          <cell r="E655">
            <v>0</v>
          </cell>
          <cell r="F655">
            <v>0</v>
          </cell>
          <cell r="G655">
            <v>0</v>
          </cell>
          <cell r="H655">
            <v>0</v>
          </cell>
          <cell r="I655">
            <v>0</v>
          </cell>
          <cell r="J655">
            <v>0</v>
          </cell>
          <cell r="K655">
            <v>0</v>
          </cell>
          <cell r="L655">
            <v>0</v>
          </cell>
          <cell r="M655">
            <v>0</v>
          </cell>
          <cell r="N655">
            <v>0</v>
          </cell>
          <cell r="O655">
            <v>0</v>
          </cell>
          <cell r="P655">
            <v>0</v>
          </cell>
          <cell r="Q655">
            <v>0</v>
          </cell>
          <cell r="R655">
            <v>0</v>
          </cell>
          <cell r="S655">
            <v>0</v>
          </cell>
          <cell r="T655">
            <v>0</v>
          </cell>
          <cell r="U655">
            <v>0</v>
          </cell>
        </row>
        <row r="656">
          <cell r="C656" t="str">
            <v>2002SC</v>
          </cell>
          <cell r="D656">
            <v>0</v>
          </cell>
          <cell r="E656">
            <v>12220</v>
          </cell>
          <cell r="F656">
            <v>6290</v>
          </cell>
          <cell r="G656">
            <v>0</v>
          </cell>
          <cell r="H656">
            <v>90</v>
          </cell>
          <cell r="I656">
            <v>1150</v>
          </cell>
          <cell r="J656">
            <v>0</v>
          </cell>
          <cell r="K656">
            <v>0</v>
          </cell>
          <cell r="L656">
            <v>0</v>
          </cell>
          <cell r="M656">
            <v>7055</v>
          </cell>
          <cell r="N656">
            <v>19140</v>
          </cell>
          <cell r="O656">
            <v>0</v>
          </cell>
          <cell r="P656">
            <v>0</v>
          </cell>
          <cell r="Q656">
            <v>0</v>
          </cell>
          <cell r="R656">
            <v>0</v>
          </cell>
          <cell r="S656">
            <v>0</v>
          </cell>
          <cell r="T656">
            <v>0</v>
          </cell>
          <cell r="U656">
            <v>0</v>
          </cell>
        </row>
        <row r="657">
          <cell r="C657" t="str">
            <v>2002SD</v>
          </cell>
          <cell r="D657">
            <v>3375</v>
          </cell>
          <cell r="E657">
            <v>308750</v>
          </cell>
          <cell r="F657">
            <v>44247</v>
          </cell>
          <cell r="G657">
            <v>1575</v>
          </cell>
          <cell r="H657">
            <v>3060</v>
          </cell>
          <cell r="I657">
            <v>5400</v>
          </cell>
          <cell r="J657">
            <v>270</v>
          </cell>
          <cell r="K657">
            <v>1260</v>
          </cell>
          <cell r="L657">
            <v>0</v>
          </cell>
          <cell r="M657">
            <v>126790</v>
          </cell>
          <cell r="N657">
            <v>0</v>
          </cell>
          <cell r="O657">
            <v>261</v>
          </cell>
          <cell r="P657">
            <v>0</v>
          </cell>
          <cell r="Q657">
            <v>0</v>
          </cell>
          <cell r="R657">
            <v>0</v>
          </cell>
          <cell r="S657">
            <v>0</v>
          </cell>
          <cell r="T657">
            <v>0</v>
          </cell>
          <cell r="U657">
            <v>0</v>
          </cell>
        </row>
        <row r="658">
          <cell r="C658" t="str">
            <v>2002TN</v>
          </cell>
          <cell r="D658">
            <v>105</v>
          </cell>
          <cell r="E658">
            <v>65270</v>
          </cell>
          <cell r="F658">
            <v>14100</v>
          </cell>
          <cell r="G658">
            <v>0</v>
          </cell>
          <cell r="H658">
            <v>2080</v>
          </cell>
          <cell r="I658">
            <v>0</v>
          </cell>
          <cell r="J658">
            <v>0</v>
          </cell>
          <cell r="K658">
            <v>0</v>
          </cell>
          <cell r="L658">
            <v>0</v>
          </cell>
          <cell r="M658">
            <v>34720</v>
          </cell>
          <cell r="N658">
            <v>0</v>
          </cell>
          <cell r="O658">
            <v>0</v>
          </cell>
          <cell r="P658">
            <v>0</v>
          </cell>
          <cell r="Q658">
            <v>0</v>
          </cell>
          <cell r="R658">
            <v>0</v>
          </cell>
          <cell r="S658">
            <v>0</v>
          </cell>
          <cell r="T658">
            <v>0</v>
          </cell>
          <cell r="U658">
            <v>0</v>
          </cell>
        </row>
        <row r="659">
          <cell r="C659" t="str">
            <v>2002TX</v>
          </cell>
          <cell r="D659">
            <v>690</v>
          </cell>
          <cell r="E659">
            <v>202270</v>
          </cell>
          <cell r="F659">
            <v>78300</v>
          </cell>
          <cell r="G659">
            <v>0</v>
          </cell>
          <cell r="H659">
            <v>122400</v>
          </cell>
          <cell r="I659">
            <v>6160</v>
          </cell>
          <cell r="J659">
            <v>0</v>
          </cell>
          <cell r="K659">
            <v>0</v>
          </cell>
          <cell r="L659">
            <v>14616</v>
          </cell>
          <cell r="M659">
            <v>5740</v>
          </cell>
          <cell r="N659">
            <v>868000</v>
          </cell>
          <cell r="O659">
            <v>315</v>
          </cell>
          <cell r="P659">
            <v>0</v>
          </cell>
          <cell r="Q659">
            <v>0</v>
          </cell>
          <cell r="R659">
            <v>0</v>
          </cell>
          <cell r="S659">
            <v>0</v>
          </cell>
          <cell r="T659">
            <v>1732</v>
          </cell>
          <cell r="U659">
            <v>206</v>
          </cell>
          <cell r="V659">
            <v>76.22</v>
          </cell>
          <cell r="W659">
            <v>0</v>
          </cell>
        </row>
        <row r="660">
          <cell r="C660" t="str">
            <v>2002UT</v>
          </cell>
          <cell r="D660">
            <v>2034</v>
          </cell>
          <cell r="E660">
            <v>2272</v>
          </cell>
          <cell r="F660">
            <v>3590</v>
          </cell>
          <cell r="G660">
            <v>2176</v>
          </cell>
          <cell r="H660">
            <v>0</v>
          </cell>
          <cell r="I660">
            <v>340</v>
          </cell>
          <cell r="J660">
            <v>0</v>
          </cell>
          <cell r="K660">
            <v>0</v>
          </cell>
          <cell r="L660">
            <v>0</v>
          </cell>
          <cell r="M660">
            <v>0</v>
          </cell>
          <cell r="N660">
            <v>0</v>
          </cell>
          <cell r="O660">
            <v>5</v>
          </cell>
          <cell r="P660">
            <v>0</v>
          </cell>
          <cell r="Q660">
            <v>0</v>
          </cell>
          <cell r="R660">
            <v>0</v>
          </cell>
          <cell r="S660">
            <v>0</v>
          </cell>
          <cell r="T660">
            <v>0</v>
          </cell>
          <cell r="U660">
            <v>0</v>
          </cell>
        </row>
        <row r="661">
          <cell r="C661" t="str">
            <v>2002VT</v>
          </cell>
          <cell r="D661">
            <v>90</v>
          </cell>
          <cell r="E661">
            <v>0</v>
          </cell>
          <cell r="F661">
            <v>0</v>
          </cell>
          <cell r="G661">
            <v>0</v>
          </cell>
          <cell r="H661">
            <v>0</v>
          </cell>
          <cell r="I661">
            <v>0</v>
          </cell>
          <cell r="J661">
            <v>0</v>
          </cell>
          <cell r="K661">
            <v>0</v>
          </cell>
          <cell r="L661">
            <v>0</v>
          </cell>
          <cell r="M661">
            <v>0</v>
          </cell>
          <cell r="N661">
            <v>0</v>
          </cell>
          <cell r="O661">
            <v>0</v>
          </cell>
          <cell r="P661">
            <v>0</v>
          </cell>
          <cell r="Q661">
            <v>0</v>
          </cell>
          <cell r="R661">
            <v>0</v>
          </cell>
          <cell r="S661">
            <v>0</v>
          </cell>
          <cell r="T661">
            <v>0</v>
          </cell>
          <cell r="U661">
            <v>0</v>
          </cell>
        </row>
        <row r="662">
          <cell r="C662" t="str">
            <v>2002VA</v>
          </cell>
          <cell r="D662">
            <v>350</v>
          </cell>
          <cell r="E662">
            <v>22100</v>
          </cell>
          <cell r="F662">
            <v>10370</v>
          </cell>
          <cell r="G662">
            <v>3157</v>
          </cell>
          <cell r="H662">
            <v>180</v>
          </cell>
          <cell r="I662">
            <v>0</v>
          </cell>
          <cell r="J662">
            <v>0</v>
          </cell>
          <cell r="K662">
            <v>0</v>
          </cell>
          <cell r="L662">
            <v>0</v>
          </cell>
          <cell r="M662">
            <v>10580</v>
          </cell>
          <cell r="N662">
            <v>119700</v>
          </cell>
          <cell r="O662">
            <v>0</v>
          </cell>
          <cell r="P662">
            <v>0</v>
          </cell>
          <cell r="Q662">
            <v>0</v>
          </cell>
          <cell r="R662">
            <v>0</v>
          </cell>
          <cell r="S662">
            <v>0</v>
          </cell>
          <cell r="T662">
            <v>0</v>
          </cell>
          <cell r="U662">
            <v>0</v>
          </cell>
        </row>
        <row r="663">
          <cell r="C663" t="str">
            <v>2002WA</v>
          </cell>
          <cell r="D663">
            <v>2499</v>
          </cell>
          <cell r="E663">
            <v>13300</v>
          </cell>
          <cell r="F663">
            <v>129770</v>
          </cell>
          <cell r="G663">
            <v>19040</v>
          </cell>
          <cell r="H663">
            <v>0</v>
          </cell>
          <cell r="I663">
            <v>845</v>
          </cell>
          <cell r="J663">
            <v>0</v>
          </cell>
          <cell r="K663">
            <v>0</v>
          </cell>
          <cell r="L663">
            <v>0</v>
          </cell>
          <cell r="M663">
            <v>0</v>
          </cell>
          <cell r="N663">
            <v>0</v>
          </cell>
          <cell r="O663">
            <v>830</v>
          </cell>
          <cell r="P663">
            <v>1520</v>
          </cell>
          <cell r="Q663">
            <v>0</v>
          </cell>
          <cell r="R663">
            <v>1120</v>
          </cell>
          <cell r="S663">
            <v>442</v>
          </cell>
          <cell r="T663">
            <v>0</v>
          </cell>
          <cell r="U663">
            <v>0</v>
          </cell>
        </row>
        <row r="664">
          <cell r="C664" t="str">
            <v>2002WV</v>
          </cell>
          <cell r="D664">
            <v>125</v>
          </cell>
          <cell r="E664">
            <v>3150</v>
          </cell>
          <cell r="F664">
            <v>336</v>
          </cell>
          <cell r="G664">
            <v>0</v>
          </cell>
          <cell r="H664">
            <v>0</v>
          </cell>
          <cell r="I664">
            <v>0</v>
          </cell>
          <cell r="J664">
            <v>0</v>
          </cell>
          <cell r="K664">
            <v>0</v>
          </cell>
          <cell r="L664">
            <v>0</v>
          </cell>
          <cell r="M664">
            <v>629</v>
          </cell>
          <cell r="N664">
            <v>0</v>
          </cell>
          <cell r="O664">
            <v>0</v>
          </cell>
          <cell r="P664">
            <v>0</v>
          </cell>
          <cell r="Q664">
            <v>0</v>
          </cell>
          <cell r="R664">
            <v>0</v>
          </cell>
          <cell r="S664">
            <v>0</v>
          </cell>
          <cell r="T664">
            <v>0</v>
          </cell>
          <cell r="U664">
            <v>0</v>
          </cell>
        </row>
        <row r="665">
          <cell r="C665" t="str">
            <v>2002WI</v>
          </cell>
          <cell r="D665">
            <v>4620</v>
          </cell>
          <cell r="E665">
            <v>391500</v>
          </cell>
          <cell r="F665">
            <v>11516</v>
          </cell>
          <cell r="G665">
            <v>1645</v>
          </cell>
          <cell r="H665">
            <v>0</v>
          </cell>
          <cell r="I665">
            <v>15000</v>
          </cell>
          <cell r="J665">
            <v>0</v>
          </cell>
          <cell r="K665">
            <v>0</v>
          </cell>
          <cell r="L665">
            <v>0</v>
          </cell>
          <cell r="M665">
            <v>66880</v>
          </cell>
          <cell r="N665">
            <v>0</v>
          </cell>
          <cell r="O665">
            <v>150</v>
          </cell>
          <cell r="P665">
            <v>0</v>
          </cell>
          <cell r="Q665">
            <v>0</v>
          </cell>
          <cell r="R665">
            <v>0</v>
          </cell>
          <cell r="S665">
            <v>0</v>
          </cell>
          <cell r="T665">
            <v>0</v>
          </cell>
          <cell r="U665">
            <v>0</v>
          </cell>
        </row>
        <row r="666">
          <cell r="C666" t="str">
            <v>2002WY</v>
          </cell>
          <cell r="D666">
            <v>1150</v>
          </cell>
          <cell r="E666">
            <v>4165</v>
          </cell>
          <cell r="F666">
            <v>2471</v>
          </cell>
          <cell r="G666">
            <v>4680</v>
          </cell>
          <cell r="H666">
            <v>0</v>
          </cell>
          <cell r="I666">
            <v>750</v>
          </cell>
          <cell r="J666">
            <v>0</v>
          </cell>
          <cell r="K666">
            <v>0</v>
          </cell>
          <cell r="L666">
            <v>0</v>
          </cell>
          <cell r="M666">
            <v>0</v>
          </cell>
          <cell r="N666">
            <v>0</v>
          </cell>
          <cell r="O666">
            <v>624</v>
          </cell>
          <cell r="P666">
            <v>0</v>
          </cell>
          <cell r="Q666">
            <v>0</v>
          </cell>
          <cell r="R666">
            <v>0</v>
          </cell>
          <cell r="S666">
            <v>0</v>
          </cell>
          <cell r="T666">
            <v>0</v>
          </cell>
          <cell r="U666">
            <v>0</v>
          </cell>
        </row>
        <row r="667">
          <cell r="C667" t="str">
            <v>2002US</v>
          </cell>
          <cell r="D667">
            <v>73014</v>
          </cell>
          <cell r="E667">
            <v>8966787</v>
          </cell>
          <cell r="F667">
            <v>1605878</v>
          </cell>
          <cell r="G667">
            <v>227055</v>
          </cell>
          <cell r="H667">
            <v>360713</v>
          </cell>
          <cell r="I667">
            <v>116002</v>
          </cell>
          <cell r="J667">
            <v>6488</v>
          </cell>
          <cell r="K667">
            <v>3668</v>
          </cell>
          <cell r="L667">
            <v>210960</v>
          </cell>
          <cell r="M667">
            <v>2756147</v>
          </cell>
          <cell r="N667">
            <v>3321040</v>
          </cell>
          <cell r="O667">
            <v>30312</v>
          </cell>
          <cell r="P667">
            <v>4727</v>
          </cell>
          <cell r="Q667">
            <v>183</v>
          </cell>
          <cell r="R667">
            <v>2571</v>
          </cell>
          <cell r="S667">
            <v>599</v>
          </cell>
          <cell r="T667">
            <v>35553</v>
          </cell>
          <cell r="U667">
            <v>3220.2211000000002</v>
          </cell>
        </row>
        <row r="668">
          <cell r="C668" t="str">
            <v>2003AL</v>
          </cell>
          <cell r="D668">
            <v>0</v>
          </cell>
          <cell r="E668">
            <v>23180</v>
          </cell>
          <cell r="F668">
            <v>3150</v>
          </cell>
          <cell r="G668">
            <v>0</v>
          </cell>
          <cell r="H668">
            <v>270</v>
          </cell>
          <cell r="I668">
            <v>0</v>
          </cell>
          <cell r="J668">
            <v>0</v>
          </cell>
          <cell r="K668">
            <v>0</v>
          </cell>
          <cell r="L668">
            <v>0</v>
          </cell>
          <cell r="M668">
            <v>5760</v>
          </cell>
          <cell r="N668">
            <v>508750</v>
          </cell>
          <cell r="O668">
            <v>0</v>
          </cell>
          <cell r="P668">
            <v>0</v>
          </cell>
          <cell r="Q668">
            <v>0</v>
          </cell>
          <cell r="R668">
            <v>0</v>
          </cell>
          <cell r="S668">
            <v>0</v>
          </cell>
          <cell r="T668">
            <v>0</v>
          </cell>
          <cell r="U668">
            <v>0</v>
          </cell>
          <cell r="V668">
            <v>0</v>
          </cell>
          <cell r="W668">
            <v>0</v>
          </cell>
        </row>
        <row r="669">
          <cell r="C669" t="str">
            <v>2003AK</v>
          </cell>
          <cell r="D669">
            <v>0</v>
          </cell>
          <cell r="E669">
            <v>0</v>
          </cell>
          <cell r="F669">
            <v>0</v>
          </cell>
          <cell r="G669">
            <v>135000</v>
          </cell>
          <cell r="H669">
            <v>0</v>
          </cell>
          <cell r="I669">
            <v>34000</v>
          </cell>
          <cell r="J669">
            <v>0</v>
          </cell>
          <cell r="K669">
            <v>0</v>
          </cell>
          <cell r="L669">
            <v>0</v>
          </cell>
          <cell r="M669">
            <v>0</v>
          </cell>
          <cell r="N669">
            <v>0</v>
          </cell>
          <cell r="O669">
            <v>0</v>
          </cell>
          <cell r="P669">
            <v>0</v>
          </cell>
          <cell r="Q669">
            <v>0</v>
          </cell>
          <cell r="R669">
            <v>0</v>
          </cell>
          <cell r="S669">
            <v>0</v>
          </cell>
          <cell r="T669">
            <v>0</v>
          </cell>
          <cell r="U669">
            <v>0</v>
          </cell>
          <cell r="V669">
            <v>0</v>
          </cell>
          <cell r="W669">
            <v>0</v>
          </cell>
        </row>
        <row r="670">
          <cell r="C670" t="str">
            <v>2003AZ</v>
          </cell>
          <cell r="D670">
            <v>1998</v>
          </cell>
          <cell r="E670">
            <v>4180</v>
          </cell>
          <cell r="F670">
            <v>11912</v>
          </cell>
          <cell r="G670">
            <v>3540</v>
          </cell>
          <cell r="H670">
            <v>540</v>
          </cell>
          <cell r="I670">
            <v>0</v>
          </cell>
          <cell r="J670">
            <v>0</v>
          </cell>
          <cell r="K670">
            <v>0</v>
          </cell>
          <cell r="L670">
            <v>0</v>
          </cell>
          <cell r="M670">
            <v>0</v>
          </cell>
          <cell r="N670">
            <v>0</v>
          </cell>
          <cell r="O670">
            <v>0</v>
          </cell>
          <cell r="P670">
            <v>0</v>
          </cell>
          <cell r="Q670">
            <v>0</v>
          </cell>
          <cell r="R670">
            <v>0</v>
          </cell>
          <cell r="S670">
            <v>0</v>
          </cell>
          <cell r="T670">
            <v>0</v>
          </cell>
          <cell r="U670">
            <v>0</v>
          </cell>
          <cell r="V670">
            <v>0</v>
          </cell>
          <cell r="W670">
            <v>0</v>
          </cell>
        </row>
        <row r="671">
          <cell r="C671" t="str">
            <v>2003AR</v>
          </cell>
          <cell r="D671">
            <v>70</v>
          </cell>
          <cell r="E671">
            <v>49000</v>
          </cell>
          <cell r="F671">
            <v>28500</v>
          </cell>
          <cell r="G671">
            <v>0</v>
          </cell>
          <cell r="H671">
            <v>17220</v>
          </cell>
          <cell r="I671">
            <v>0</v>
          </cell>
          <cell r="J671">
            <v>0</v>
          </cell>
          <cell r="K671">
            <v>0</v>
          </cell>
          <cell r="L671">
            <v>96188</v>
          </cell>
          <cell r="M671">
            <v>111265</v>
          </cell>
          <cell r="N671">
            <v>0</v>
          </cell>
          <cell r="O671">
            <v>0</v>
          </cell>
          <cell r="P671">
            <v>0</v>
          </cell>
          <cell r="Q671">
            <v>0</v>
          </cell>
          <cell r="R671">
            <v>0</v>
          </cell>
          <cell r="S671">
            <v>0</v>
          </cell>
          <cell r="T671">
            <v>0</v>
          </cell>
          <cell r="U671">
            <v>1455</v>
          </cell>
          <cell r="V671">
            <v>0</v>
          </cell>
          <cell r="W671">
            <v>0.22</v>
          </cell>
        </row>
        <row r="672">
          <cell r="C672" t="str">
            <v>2003CA</v>
          </cell>
          <cell r="D672">
            <v>7630</v>
          </cell>
          <cell r="E672">
            <v>22400</v>
          </cell>
          <cell r="F672">
            <v>36510</v>
          </cell>
          <cell r="G672">
            <v>3712</v>
          </cell>
          <cell r="H672">
            <v>900</v>
          </cell>
          <cell r="I672">
            <v>2800</v>
          </cell>
          <cell r="J672">
            <v>0</v>
          </cell>
          <cell r="K672">
            <v>0</v>
          </cell>
          <cell r="L672">
            <v>39036</v>
          </cell>
          <cell r="M672">
            <v>0</v>
          </cell>
          <cell r="N672">
            <v>0</v>
          </cell>
          <cell r="O672">
            <v>1380</v>
          </cell>
          <cell r="P672">
            <v>0</v>
          </cell>
          <cell r="Q672">
            <v>0</v>
          </cell>
          <cell r="R672">
            <v>0</v>
          </cell>
          <cell r="S672">
            <v>0</v>
          </cell>
          <cell r="T672">
            <v>0</v>
          </cell>
          <cell r="U672">
            <v>507</v>
          </cell>
          <cell r="V672">
            <v>0</v>
          </cell>
          <cell r="W672">
            <v>0.13968176104485391</v>
          </cell>
        </row>
        <row r="673">
          <cell r="C673" t="str">
            <v>2003CO</v>
          </cell>
          <cell r="D673">
            <v>2560</v>
          </cell>
          <cell r="E673">
            <v>120150</v>
          </cell>
          <cell r="F673">
            <v>78160</v>
          </cell>
          <cell r="G673">
            <v>8938</v>
          </cell>
          <cell r="H673">
            <v>4320</v>
          </cell>
          <cell r="I673">
            <v>975</v>
          </cell>
          <cell r="J673">
            <v>0</v>
          </cell>
          <cell r="K673">
            <v>5415</v>
          </cell>
          <cell r="L673">
            <v>0</v>
          </cell>
          <cell r="M673">
            <v>0</v>
          </cell>
          <cell r="N673">
            <v>0</v>
          </cell>
          <cell r="O673">
            <v>1168</v>
          </cell>
          <cell r="P673">
            <v>0</v>
          </cell>
          <cell r="Q673">
            <v>0</v>
          </cell>
          <cell r="R673">
            <v>0</v>
          </cell>
          <cell r="S673">
            <v>0</v>
          </cell>
          <cell r="T673">
            <v>0</v>
          </cell>
          <cell r="U673">
            <v>0</v>
          </cell>
          <cell r="V673">
            <v>0</v>
          </cell>
          <cell r="W673">
            <v>0</v>
          </cell>
        </row>
        <row r="674">
          <cell r="C674" t="str">
            <v>2003CT</v>
          </cell>
          <cell r="D674">
            <v>23</v>
          </cell>
          <cell r="E674">
            <v>0</v>
          </cell>
          <cell r="F674">
            <v>0</v>
          </cell>
          <cell r="G674">
            <v>0</v>
          </cell>
          <cell r="H674">
            <v>0</v>
          </cell>
          <cell r="I674">
            <v>0</v>
          </cell>
          <cell r="J674">
            <v>0</v>
          </cell>
          <cell r="K674">
            <v>0</v>
          </cell>
          <cell r="L674">
            <v>0</v>
          </cell>
          <cell r="M674">
            <v>0</v>
          </cell>
          <cell r="N674">
            <v>0</v>
          </cell>
          <cell r="O674">
            <v>0</v>
          </cell>
          <cell r="P674">
            <v>0</v>
          </cell>
          <cell r="Q674">
            <v>0</v>
          </cell>
          <cell r="R674">
            <v>0</v>
          </cell>
          <cell r="S674">
            <v>0</v>
          </cell>
          <cell r="T674">
            <v>0</v>
          </cell>
          <cell r="U674">
            <v>0</v>
          </cell>
          <cell r="V674">
            <v>0</v>
          </cell>
          <cell r="W674">
            <v>0</v>
          </cell>
        </row>
        <row r="675">
          <cell r="C675" t="str">
            <v>2003DE</v>
          </cell>
          <cell r="D675">
            <v>14</v>
          </cell>
          <cell r="E675">
            <v>19926</v>
          </cell>
          <cell r="F675">
            <v>1927</v>
          </cell>
          <cell r="G675">
            <v>1239</v>
          </cell>
          <cell r="H675">
            <v>70</v>
          </cell>
          <cell r="I675">
            <v>0</v>
          </cell>
          <cell r="J675">
            <v>0</v>
          </cell>
          <cell r="K675">
            <v>0</v>
          </cell>
          <cell r="L675">
            <v>0</v>
          </cell>
          <cell r="M675">
            <v>6408</v>
          </cell>
          <cell r="N675">
            <v>0</v>
          </cell>
          <cell r="O675">
            <v>0</v>
          </cell>
          <cell r="P675">
            <v>0</v>
          </cell>
          <cell r="Q675">
            <v>0</v>
          </cell>
          <cell r="R675">
            <v>0</v>
          </cell>
          <cell r="S675">
            <v>0</v>
          </cell>
          <cell r="T675">
            <v>0</v>
          </cell>
          <cell r="U675">
            <v>0</v>
          </cell>
          <cell r="V675">
            <v>0</v>
          </cell>
          <cell r="W675">
            <v>0</v>
          </cell>
        </row>
        <row r="676">
          <cell r="C676" t="str">
            <v>2003FL</v>
          </cell>
          <cell r="D676">
            <v>0</v>
          </cell>
          <cell r="E676">
            <v>3198</v>
          </cell>
          <cell r="F676">
            <v>492</v>
          </cell>
          <cell r="G676">
            <v>0</v>
          </cell>
          <cell r="H676">
            <v>0</v>
          </cell>
          <cell r="I676">
            <v>0</v>
          </cell>
          <cell r="J676">
            <v>0</v>
          </cell>
          <cell r="K676">
            <v>0</v>
          </cell>
          <cell r="L676">
            <v>0</v>
          </cell>
          <cell r="M676">
            <v>360</v>
          </cell>
          <cell r="N676">
            <v>345000</v>
          </cell>
          <cell r="O676">
            <v>0</v>
          </cell>
          <cell r="P676">
            <v>0</v>
          </cell>
          <cell r="Q676">
            <v>0</v>
          </cell>
          <cell r="R676">
            <v>0</v>
          </cell>
          <cell r="S676">
            <v>0</v>
          </cell>
          <cell r="T676">
            <v>17231</v>
          </cell>
          <cell r="U676">
            <v>5.8540703879645903</v>
          </cell>
          <cell r="V676">
            <v>5.8540703879645903</v>
          </cell>
          <cell r="W676">
            <v>0</v>
          </cell>
        </row>
        <row r="677">
          <cell r="C677" t="str">
            <v>2003GA</v>
          </cell>
          <cell r="D677">
            <v>0</v>
          </cell>
          <cell r="E677">
            <v>37410</v>
          </cell>
          <cell r="F677">
            <v>10580</v>
          </cell>
          <cell r="G677">
            <v>0</v>
          </cell>
          <cell r="H677">
            <v>1786</v>
          </cell>
          <cell r="I677">
            <v>1680</v>
          </cell>
          <cell r="J677">
            <v>800</v>
          </cell>
          <cell r="K677">
            <v>0</v>
          </cell>
          <cell r="L677">
            <v>0</v>
          </cell>
          <cell r="M677">
            <v>5940</v>
          </cell>
          <cell r="N677">
            <v>1863000</v>
          </cell>
          <cell r="O677">
            <v>0</v>
          </cell>
          <cell r="P677">
            <v>0</v>
          </cell>
          <cell r="Q677">
            <v>0</v>
          </cell>
          <cell r="R677">
            <v>0</v>
          </cell>
          <cell r="S677">
            <v>0</v>
          </cell>
          <cell r="T677">
            <v>0</v>
          </cell>
          <cell r="U677">
            <v>0</v>
          </cell>
          <cell r="V677">
            <v>0</v>
          </cell>
          <cell r="W677">
            <v>0</v>
          </cell>
        </row>
        <row r="678">
          <cell r="C678" t="str">
            <v>2003HI</v>
          </cell>
          <cell r="D678">
            <v>0</v>
          </cell>
          <cell r="E678">
            <v>0</v>
          </cell>
          <cell r="F678">
            <v>0</v>
          </cell>
          <cell r="G678">
            <v>0</v>
          </cell>
          <cell r="H678">
            <v>0</v>
          </cell>
          <cell r="I678">
            <v>0</v>
          </cell>
          <cell r="J678">
            <v>0</v>
          </cell>
          <cell r="K678">
            <v>0</v>
          </cell>
          <cell r="L678">
            <v>0</v>
          </cell>
          <cell r="M678">
            <v>0</v>
          </cell>
          <cell r="N678">
            <v>0</v>
          </cell>
          <cell r="O678">
            <v>0</v>
          </cell>
          <cell r="P678">
            <v>0</v>
          </cell>
          <cell r="Q678">
            <v>0</v>
          </cell>
          <cell r="R678">
            <v>0</v>
          </cell>
          <cell r="S678">
            <v>0</v>
          </cell>
          <cell r="T678">
            <v>2082</v>
          </cell>
          <cell r="U678">
            <v>0</v>
          </cell>
          <cell r="V678">
            <v>0</v>
          </cell>
          <cell r="W678">
            <v>0</v>
          </cell>
        </row>
        <row r="679">
          <cell r="C679" t="str">
            <v>2003ID</v>
          </cell>
          <cell r="D679">
            <v>4440</v>
          </cell>
          <cell r="E679">
            <v>7000</v>
          </cell>
          <cell r="F679">
            <v>84660</v>
          </cell>
          <cell r="G679">
            <v>47520</v>
          </cell>
          <cell r="H679">
            <v>0</v>
          </cell>
          <cell r="I679">
            <v>1625</v>
          </cell>
          <cell r="J679">
            <v>0</v>
          </cell>
          <cell r="K679">
            <v>0</v>
          </cell>
          <cell r="L679">
            <v>0</v>
          </cell>
          <cell r="M679">
            <v>0</v>
          </cell>
          <cell r="N679">
            <v>0</v>
          </cell>
          <cell r="O679">
            <v>1497</v>
          </cell>
          <cell r="P679">
            <v>648</v>
          </cell>
          <cell r="Q679">
            <v>112</v>
          </cell>
          <cell r="R679">
            <v>627</v>
          </cell>
          <cell r="S679">
            <v>163</v>
          </cell>
          <cell r="T679">
            <v>0</v>
          </cell>
          <cell r="U679">
            <v>0</v>
          </cell>
          <cell r="V679">
            <v>0</v>
          </cell>
          <cell r="W679">
            <v>0</v>
          </cell>
        </row>
        <row r="680">
          <cell r="C680" t="str">
            <v>2003IL</v>
          </cell>
          <cell r="D680">
            <v>1743</v>
          </cell>
          <cell r="E680">
            <v>1812200</v>
          </cell>
          <cell r="F680">
            <v>52650</v>
          </cell>
          <cell r="G680">
            <v>0</v>
          </cell>
          <cell r="H680">
            <v>8610</v>
          </cell>
          <cell r="I680">
            <v>4450</v>
          </cell>
          <cell r="J680">
            <v>0</v>
          </cell>
          <cell r="K680">
            <v>0</v>
          </cell>
          <cell r="L680">
            <v>0</v>
          </cell>
          <cell r="M680">
            <v>379620</v>
          </cell>
          <cell r="N680">
            <v>0</v>
          </cell>
          <cell r="O680">
            <v>0</v>
          </cell>
          <cell r="P680">
            <v>0</v>
          </cell>
          <cell r="Q680">
            <v>0</v>
          </cell>
          <cell r="R680">
            <v>0</v>
          </cell>
          <cell r="S680">
            <v>0</v>
          </cell>
          <cell r="T680">
            <v>0</v>
          </cell>
          <cell r="U680">
            <v>0</v>
          </cell>
          <cell r="V680">
            <v>0</v>
          </cell>
          <cell r="W680">
            <v>0</v>
          </cell>
        </row>
        <row r="681">
          <cell r="C681" t="str">
            <v>2003IN</v>
          </cell>
          <cell r="D681">
            <v>1330</v>
          </cell>
          <cell r="E681">
            <v>786940</v>
          </cell>
          <cell r="F681">
            <v>29670</v>
          </cell>
          <cell r="G681">
            <v>0</v>
          </cell>
          <cell r="H681">
            <v>0</v>
          </cell>
          <cell r="I681">
            <v>1050</v>
          </cell>
          <cell r="J681">
            <v>0</v>
          </cell>
          <cell r="K681">
            <v>0</v>
          </cell>
          <cell r="L681">
            <v>0</v>
          </cell>
          <cell r="M681">
            <v>204060</v>
          </cell>
          <cell r="N681">
            <v>0</v>
          </cell>
          <cell r="O681">
            <v>0</v>
          </cell>
          <cell r="P681">
            <v>0</v>
          </cell>
          <cell r="Q681">
            <v>0</v>
          </cell>
          <cell r="R681">
            <v>0</v>
          </cell>
          <cell r="S681">
            <v>0</v>
          </cell>
          <cell r="T681">
            <v>0</v>
          </cell>
          <cell r="U681">
            <v>0</v>
          </cell>
          <cell r="V681">
            <v>0</v>
          </cell>
          <cell r="W681">
            <v>0</v>
          </cell>
        </row>
        <row r="682">
          <cell r="C682" t="str">
            <v>2003IA</v>
          </cell>
          <cell r="D682">
            <v>4921</v>
          </cell>
          <cell r="E682">
            <v>1868300</v>
          </cell>
          <cell r="F682">
            <v>1281</v>
          </cell>
          <cell r="G682">
            <v>0</v>
          </cell>
          <cell r="H682">
            <v>0</v>
          </cell>
          <cell r="I682">
            <v>10790</v>
          </cell>
          <cell r="J682">
            <v>0</v>
          </cell>
          <cell r="K682">
            <v>0</v>
          </cell>
          <cell r="L682">
            <v>0</v>
          </cell>
          <cell r="M682">
            <v>342875</v>
          </cell>
          <cell r="N682">
            <v>0</v>
          </cell>
          <cell r="O682">
            <v>0</v>
          </cell>
          <cell r="P682">
            <v>0</v>
          </cell>
          <cell r="Q682">
            <v>0</v>
          </cell>
          <cell r="R682">
            <v>0</v>
          </cell>
          <cell r="S682">
            <v>0</v>
          </cell>
          <cell r="T682">
            <v>0</v>
          </cell>
          <cell r="U682">
            <v>0</v>
          </cell>
          <cell r="V682">
            <v>0</v>
          </cell>
          <cell r="W682">
            <v>0</v>
          </cell>
        </row>
        <row r="683">
          <cell r="C683" t="str">
            <v>2003KS</v>
          </cell>
          <cell r="D683">
            <v>3400</v>
          </cell>
          <cell r="E683">
            <v>300000</v>
          </cell>
          <cell r="F683">
            <v>480000</v>
          </cell>
          <cell r="G683">
            <v>456</v>
          </cell>
          <cell r="H683">
            <v>130500</v>
          </cell>
          <cell r="I683">
            <v>4550</v>
          </cell>
          <cell r="J683">
            <v>0</v>
          </cell>
          <cell r="K683">
            <v>0</v>
          </cell>
          <cell r="L683">
            <v>0</v>
          </cell>
          <cell r="M683">
            <v>57040</v>
          </cell>
          <cell r="N683">
            <v>0</v>
          </cell>
          <cell r="O683">
            <v>231</v>
          </cell>
          <cell r="P683">
            <v>0</v>
          </cell>
          <cell r="Q683">
            <v>0</v>
          </cell>
          <cell r="R683">
            <v>0</v>
          </cell>
          <cell r="S683">
            <v>0</v>
          </cell>
          <cell r="T683">
            <v>0</v>
          </cell>
          <cell r="U683">
            <v>0</v>
          </cell>
          <cell r="V683">
            <v>0</v>
          </cell>
          <cell r="W683">
            <v>0</v>
          </cell>
        </row>
        <row r="684">
          <cell r="C684" t="str">
            <v>2003KY</v>
          </cell>
          <cell r="D684">
            <v>875</v>
          </cell>
          <cell r="E684">
            <v>147960</v>
          </cell>
          <cell r="F684">
            <v>21700</v>
          </cell>
          <cell r="G684">
            <v>600</v>
          </cell>
          <cell r="H684">
            <v>3040</v>
          </cell>
          <cell r="I684">
            <v>0</v>
          </cell>
          <cell r="J684">
            <v>0</v>
          </cell>
          <cell r="K684">
            <v>0</v>
          </cell>
          <cell r="L684">
            <v>0</v>
          </cell>
          <cell r="M684">
            <v>53940</v>
          </cell>
          <cell r="N684">
            <v>0</v>
          </cell>
          <cell r="O684">
            <v>0</v>
          </cell>
          <cell r="P684">
            <v>0</v>
          </cell>
          <cell r="Q684">
            <v>0</v>
          </cell>
          <cell r="R684">
            <v>0</v>
          </cell>
          <cell r="S684">
            <v>0</v>
          </cell>
          <cell r="T684">
            <v>0</v>
          </cell>
          <cell r="U684">
            <v>0</v>
          </cell>
          <cell r="V684">
            <v>0</v>
          </cell>
          <cell r="W684">
            <v>0</v>
          </cell>
        </row>
        <row r="685">
          <cell r="C685" t="str">
            <v>2003LA</v>
          </cell>
          <cell r="D685">
            <v>0</v>
          </cell>
          <cell r="E685">
            <v>67000</v>
          </cell>
          <cell r="F685">
            <v>5740</v>
          </cell>
          <cell r="G685">
            <v>0</v>
          </cell>
          <cell r="H685">
            <v>14025</v>
          </cell>
          <cell r="I685">
            <v>0</v>
          </cell>
          <cell r="J685">
            <v>0</v>
          </cell>
          <cell r="K685">
            <v>0</v>
          </cell>
          <cell r="L685">
            <v>26397</v>
          </cell>
          <cell r="M685">
            <v>25160</v>
          </cell>
          <cell r="N685">
            <v>0</v>
          </cell>
          <cell r="O685">
            <v>0</v>
          </cell>
          <cell r="P685">
            <v>0</v>
          </cell>
          <cell r="Q685">
            <v>0</v>
          </cell>
          <cell r="R685">
            <v>0</v>
          </cell>
          <cell r="S685">
            <v>0</v>
          </cell>
          <cell r="T685">
            <v>12838</v>
          </cell>
          <cell r="U685">
            <v>450</v>
          </cell>
          <cell r="V685">
            <v>157.5</v>
          </cell>
          <cell r="W685">
            <v>0.03</v>
          </cell>
        </row>
        <row r="686">
          <cell r="C686" t="str">
            <v>2003ME</v>
          </cell>
          <cell r="D686">
            <v>21</v>
          </cell>
          <cell r="E686">
            <v>0</v>
          </cell>
          <cell r="F686">
            <v>0</v>
          </cell>
          <cell r="G686">
            <v>1755</v>
          </cell>
          <cell r="H686">
            <v>0</v>
          </cell>
          <cell r="I686">
            <v>2028</v>
          </cell>
          <cell r="J686">
            <v>0</v>
          </cell>
          <cell r="K686">
            <v>0</v>
          </cell>
          <cell r="L686">
            <v>0</v>
          </cell>
          <cell r="M686">
            <v>0</v>
          </cell>
          <cell r="N686">
            <v>0</v>
          </cell>
          <cell r="O686">
            <v>0</v>
          </cell>
          <cell r="P686">
            <v>0</v>
          </cell>
          <cell r="Q686">
            <v>0</v>
          </cell>
          <cell r="R686">
            <v>0</v>
          </cell>
          <cell r="S686">
            <v>0</v>
          </cell>
          <cell r="T686">
            <v>0</v>
          </cell>
          <cell r="U686">
            <v>0</v>
          </cell>
          <cell r="V686">
            <v>0</v>
          </cell>
          <cell r="W686">
            <v>0</v>
          </cell>
        </row>
        <row r="687">
          <cell r="C687" t="str">
            <v>2003MD</v>
          </cell>
          <cell r="D687">
            <v>149</v>
          </cell>
          <cell r="E687">
            <v>50430</v>
          </cell>
          <cell r="F687">
            <v>5365</v>
          </cell>
          <cell r="G687">
            <v>2052</v>
          </cell>
          <cell r="H687">
            <v>195</v>
          </cell>
          <cell r="I687">
            <v>0</v>
          </cell>
          <cell r="J687">
            <v>0</v>
          </cell>
          <cell r="K687">
            <v>0</v>
          </cell>
          <cell r="L687">
            <v>0</v>
          </cell>
          <cell r="M687">
            <v>15910</v>
          </cell>
          <cell r="N687">
            <v>0</v>
          </cell>
          <cell r="O687">
            <v>0</v>
          </cell>
          <cell r="P687">
            <v>0</v>
          </cell>
          <cell r="Q687">
            <v>0</v>
          </cell>
          <cell r="R687">
            <v>0</v>
          </cell>
          <cell r="S687">
            <v>0</v>
          </cell>
          <cell r="T687">
            <v>0</v>
          </cell>
          <cell r="U687">
            <v>0</v>
          </cell>
          <cell r="V687">
            <v>0</v>
          </cell>
          <cell r="W687">
            <v>0</v>
          </cell>
        </row>
        <row r="688">
          <cell r="C688" t="str">
            <v>2003MA</v>
          </cell>
          <cell r="D688">
            <v>34</v>
          </cell>
          <cell r="E688">
            <v>0</v>
          </cell>
          <cell r="F688">
            <v>0</v>
          </cell>
          <cell r="G688">
            <v>0</v>
          </cell>
          <cell r="H688">
            <v>0</v>
          </cell>
          <cell r="I688">
            <v>0</v>
          </cell>
          <cell r="J688">
            <v>0</v>
          </cell>
          <cell r="K688">
            <v>0</v>
          </cell>
          <cell r="L688">
            <v>0</v>
          </cell>
          <cell r="M688">
            <v>0</v>
          </cell>
          <cell r="N688">
            <v>0</v>
          </cell>
          <cell r="O688">
            <v>0</v>
          </cell>
          <cell r="P688">
            <v>0</v>
          </cell>
          <cell r="Q688">
            <v>0</v>
          </cell>
          <cell r="R688">
            <v>0</v>
          </cell>
          <cell r="S688">
            <v>0</v>
          </cell>
          <cell r="T688">
            <v>0</v>
          </cell>
          <cell r="U688">
            <v>0</v>
          </cell>
          <cell r="V688">
            <v>0</v>
          </cell>
          <cell r="W688">
            <v>0</v>
          </cell>
        </row>
        <row r="689">
          <cell r="C689" t="str">
            <v>2003MI</v>
          </cell>
          <cell r="D689">
            <v>2720</v>
          </cell>
          <cell r="E689">
            <v>259840</v>
          </cell>
          <cell r="F689">
            <v>44880</v>
          </cell>
          <cell r="G689">
            <v>784</v>
          </cell>
          <cell r="H689">
            <v>0</v>
          </cell>
          <cell r="I689">
            <v>5250</v>
          </cell>
          <cell r="J689">
            <v>0</v>
          </cell>
          <cell r="K689">
            <v>0</v>
          </cell>
          <cell r="L689">
            <v>0</v>
          </cell>
          <cell r="M689">
            <v>54725</v>
          </cell>
          <cell r="N689">
            <v>0</v>
          </cell>
          <cell r="O689">
            <v>2475</v>
          </cell>
          <cell r="P689">
            <v>0</v>
          </cell>
          <cell r="Q689">
            <v>0</v>
          </cell>
          <cell r="R689">
            <v>0</v>
          </cell>
          <cell r="S689">
            <v>0</v>
          </cell>
          <cell r="T689">
            <v>0</v>
          </cell>
          <cell r="U689">
            <v>0</v>
          </cell>
          <cell r="V689">
            <v>0</v>
          </cell>
          <cell r="W689">
            <v>0</v>
          </cell>
        </row>
        <row r="690">
          <cell r="C690" t="str">
            <v>2003MN</v>
          </cell>
          <cell r="D690">
            <v>4125</v>
          </cell>
          <cell r="E690">
            <v>970900</v>
          </cell>
          <cell r="F690">
            <v>105482</v>
          </cell>
          <cell r="G690">
            <v>12750</v>
          </cell>
          <cell r="H690">
            <v>0</v>
          </cell>
          <cell r="I690">
            <v>18815</v>
          </cell>
          <cell r="J690">
            <v>0</v>
          </cell>
          <cell r="K690">
            <v>0</v>
          </cell>
          <cell r="L690">
            <v>0</v>
          </cell>
          <cell r="M690">
            <v>238400</v>
          </cell>
          <cell r="N690">
            <v>0</v>
          </cell>
          <cell r="O690">
            <v>1870</v>
          </cell>
          <cell r="P690">
            <v>0</v>
          </cell>
          <cell r="Q690">
            <v>0</v>
          </cell>
          <cell r="R690">
            <v>0</v>
          </cell>
          <cell r="S690">
            <v>0</v>
          </cell>
          <cell r="T690">
            <v>0</v>
          </cell>
          <cell r="U690">
            <v>0</v>
          </cell>
          <cell r="V690">
            <v>0</v>
          </cell>
          <cell r="W690">
            <v>0</v>
          </cell>
        </row>
        <row r="691">
          <cell r="C691" t="str">
            <v>2003MS</v>
          </cell>
          <cell r="D691">
            <v>0</v>
          </cell>
          <cell r="E691">
            <v>71550</v>
          </cell>
          <cell r="F691">
            <v>6125</v>
          </cell>
          <cell r="G691">
            <v>0</v>
          </cell>
          <cell r="H691">
            <v>6132</v>
          </cell>
          <cell r="I691">
            <v>0</v>
          </cell>
          <cell r="J691">
            <v>0</v>
          </cell>
          <cell r="K691">
            <v>0</v>
          </cell>
          <cell r="L691">
            <v>15912</v>
          </cell>
          <cell r="M691">
            <v>55770</v>
          </cell>
          <cell r="N691">
            <v>0</v>
          </cell>
          <cell r="O691">
            <v>0</v>
          </cell>
          <cell r="P691">
            <v>0</v>
          </cell>
          <cell r="Q691">
            <v>0</v>
          </cell>
          <cell r="R691">
            <v>0</v>
          </cell>
          <cell r="S691">
            <v>0</v>
          </cell>
          <cell r="T691">
            <v>0</v>
          </cell>
          <cell r="U691">
            <v>234</v>
          </cell>
          <cell r="V691">
            <v>0</v>
          </cell>
          <cell r="W691">
            <v>0.65</v>
          </cell>
        </row>
        <row r="692">
          <cell r="C692" t="str">
            <v>2003MO</v>
          </cell>
          <cell r="D692">
            <v>1210</v>
          </cell>
          <cell r="E692">
            <v>302400</v>
          </cell>
          <cell r="F692">
            <v>53070</v>
          </cell>
          <cell r="G692">
            <v>0</v>
          </cell>
          <cell r="H692">
            <v>16170</v>
          </cell>
          <cell r="I692">
            <v>1206</v>
          </cell>
          <cell r="J692">
            <v>0</v>
          </cell>
          <cell r="K692">
            <v>0</v>
          </cell>
          <cell r="L692">
            <v>10484</v>
          </cell>
          <cell r="M692">
            <v>146025</v>
          </cell>
          <cell r="N692">
            <v>0</v>
          </cell>
          <cell r="O692">
            <v>0</v>
          </cell>
          <cell r="P692">
            <v>0</v>
          </cell>
          <cell r="Q692">
            <v>0</v>
          </cell>
          <cell r="R692">
            <v>0</v>
          </cell>
          <cell r="S692">
            <v>0</v>
          </cell>
          <cell r="T692">
            <v>0</v>
          </cell>
          <cell r="U692">
            <v>171</v>
          </cell>
          <cell r="V692">
            <v>0</v>
          </cell>
          <cell r="W692">
            <v>0.17499999999999999</v>
          </cell>
        </row>
        <row r="693">
          <cell r="C693" t="str">
            <v>2003MT</v>
          </cell>
          <cell r="D693">
            <v>3360</v>
          </cell>
          <cell r="E693">
            <v>2380</v>
          </cell>
          <cell r="F693">
            <v>142330</v>
          </cell>
          <cell r="G693">
            <v>34000</v>
          </cell>
          <cell r="H693">
            <v>0</v>
          </cell>
          <cell r="I693">
            <v>1980</v>
          </cell>
          <cell r="J693">
            <v>0</v>
          </cell>
          <cell r="K693">
            <v>0</v>
          </cell>
          <cell r="L693">
            <v>0</v>
          </cell>
          <cell r="M693">
            <v>0</v>
          </cell>
          <cell r="N693">
            <v>0</v>
          </cell>
          <cell r="O693">
            <v>233</v>
          </cell>
          <cell r="P693">
            <v>450</v>
          </cell>
          <cell r="Q693">
            <v>56</v>
          </cell>
          <cell r="R693">
            <v>273</v>
          </cell>
          <cell r="S693">
            <v>0</v>
          </cell>
          <cell r="T693">
            <v>0</v>
          </cell>
          <cell r="U693">
            <v>0</v>
          </cell>
          <cell r="V693">
            <v>0</v>
          </cell>
          <cell r="W693">
            <v>0</v>
          </cell>
        </row>
        <row r="694">
          <cell r="C694" t="str">
            <v>2003NE</v>
          </cell>
          <cell r="D694">
            <v>5220</v>
          </cell>
          <cell r="E694">
            <v>1124200</v>
          </cell>
          <cell r="F694">
            <v>83720</v>
          </cell>
          <cell r="G694">
            <v>200</v>
          </cell>
          <cell r="H694">
            <v>31000</v>
          </cell>
          <cell r="I694">
            <v>6570</v>
          </cell>
          <cell r="J694">
            <v>0</v>
          </cell>
          <cell r="K694">
            <v>3230</v>
          </cell>
          <cell r="L694">
            <v>0</v>
          </cell>
          <cell r="M694">
            <v>182250</v>
          </cell>
          <cell r="N694">
            <v>0</v>
          </cell>
          <cell r="O694">
            <v>3151</v>
          </cell>
          <cell r="P694">
            <v>0</v>
          </cell>
          <cell r="Q694">
            <v>0</v>
          </cell>
          <cell r="R694">
            <v>0</v>
          </cell>
          <cell r="S694">
            <v>0</v>
          </cell>
          <cell r="T694">
            <v>0</v>
          </cell>
          <cell r="U694">
            <v>0</v>
          </cell>
          <cell r="V694">
            <v>0</v>
          </cell>
          <cell r="W694">
            <v>0</v>
          </cell>
        </row>
        <row r="695">
          <cell r="C695" t="str">
            <v>2003NV</v>
          </cell>
          <cell r="D695">
            <v>1166</v>
          </cell>
          <cell r="E695">
            <v>0</v>
          </cell>
          <cell r="F695">
            <v>549</v>
          </cell>
          <cell r="G695">
            <v>240</v>
          </cell>
          <cell r="H695">
            <v>0</v>
          </cell>
          <cell r="I695">
            <v>0</v>
          </cell>
          <cell r="J695">
            <v>0</v>
          </cell>
          <cell r="K695">
            <v>0</v>
          </cell>
          <cell r="L695">
            <v>0</v>
          </cell>
          <cell r="M695">
            <v>0</v>
          </cell>
          <cell r="N695">
            <v>0</v>
          </cell>
          <cell r="O695">
            <v>0</v>
          </cell>
          <cell r="P695">
            <v>0</v>
          </cell>
          <cell r="Q695">
            <v>0</v>
          </cell>
          <cell r="R695">
            <v>0</v>
          </cell>
          <cell r="S695">
            <v>0</v>
          </cell>
          <cell r="T695">
            <v>0</v>
          </cell>
          <cell r="U695">
            <v>0</v>
          </cell>
          <cell r="V695">
            <v>0</v>
          </cell>
          <cell r="W695">
            <v>0</v>
          </cell>
        </row>
        <row r="696">
          <cell r="C696" t="str">
            <v>2003NH</v>
          </cell>
          <cell r="D696">
            <v>19</v>
          </cell>
          <cell r="E696">
            <v>0</v>
          </cell>
          <cell r="F696">
            <v>0</v>
          </cell>
          <cell r="G696">
            <v>0</v>
          </cell>
          <cell r="H696">
            <v>0</v>
          </cell>
          <cell r="I696">
            <v>0</v>
          </cell>
          <cell r="J696">
            <v>0</v>
          </cell>
          <cell r="K696">
            <v>0</v>
          </cell>
          <cell r="L696">
            <v>0</v>
          </cell>
          <cell r="M696">
            <v>0</v>
          </cell>
          <cell r="N696">
            <v>0</v>
          </cell>
          <cell r="O696">
            <v>0</v>
          </cell>
          <cell r="P696">
            <v>0</v>
          </cell>
          <cell r="Q696">
            <v>0</v>
          </cell>
          <cell r="R696">
            <v>0</v>
          </cell>
          <cell r="S696">
            <v>0</v>
          </cell>
          <cell r="T696">
            <v>0</v>
          </cell>
          <cell r="U696">
            <v>0</v>
          </cell>
          <cell r="V696">
            <v>0</v>
          </cell>
          <cell r="W696">
            <v>0</v>
          </cell>
        </row>
        <row r="697">
          <cell r="C697" t="str">
            <v>2003NJ</v>
          </cell>
          <cell r="D697">
            <v>105</v>
          </cell>
          <cell r="E697">
            <v>6893</v>
          </cell>
          <cell r="F697">
            <v>1092</v>
          </cell>
          <cell r="G697">
            <v>135</v>
          </cell>
          <cell r="H697">
            <v>0</v>
          </cell>
          <cell r="I697">
            <v>0</v>
          </cell>
          <cell r="J697">
            <v>0</v>
          </cell>
          <cell r="K697">
            <v>0</v>
          </cell>
          <cell r="L697">
            <v>0</v>
          </cell>
          <cell r="M697">
            <v>2992</v>
          </cell>
          <cell r="N697">
            <v>0</v>
          </cell>
          <cell r="O697">
            <v>0</v>
          </cell>
          <cell r="P697">
            <v>0</v>
          </cell>
          <cell r="Q697">
            <v>0</v>
          </cell>
          <cell r="R697">
            <v>0</v>
          </cell>
          <cell r="S697">
            <v>0</v>
          </cell>
          <cell r="T697">
            <v>0</v>
          </cell>
          <cell r="U697">
            <v>0</v>
          </cell>
          <cell r="V697">
            <v>0</v>
          </cell>
          <cell r="W697">
            <v>0</v>
          </cell>
        </row>
        <row r="698">
          <cell r="C698" t="str">
            <v>2003NM</v>
          </cell>
          <cell r="D698">
            <v>1127</v>
          </cell>
          <cell r="E698">
            <v>8640</v>
          </cell>
          <cell r="F698">
            <v>4200</v>
          </cell>
          <cell r="G698">
            <v>0</v>
          </cell>
          <cell r="H698">
            <v>1674</v>
          </cell>
          <cell r="I698">
            <v>0</v>
          </cell>
          <cell r="J698">
            <v>0</v>
          </cell>
          <cell r="K698">
            <v>0</v>
          </cell>
          <cell r="L698">
            <v>0</v>
          </cell>
          <cell r="M698">
            <v>0</v>
          </cell>
          <cell r="N698">
            <v>45900</v>
          </cell>
          <cell r="O698">
            <v>186</v>
          </cell>
          <cell r="P698">
            <v>0</v>
          </cell>
          <cell r="Q698">
            <v>0</v>
          </cell>
          <cell r="R698">
            <v>0</v>
          </cell>
          <cell r="S698">
            <v>0</v>
          </cell>
          <cell r="T698">
            <v>0</v>
          </cell>
          <cell r="U698">
            <v>0</v>
          </cell>
          <cell r="V698">
            <v>0</v>
          </cell>
          <cell r="W698">
            <v>0</v>
          </cell>
        </row>
        <row r="699">
          <cell r="C699" t="str">
            <v>2003NY</v>
          </cell>
          <cell r="D699">
            <v>1680</v>
          </cell>
          <cell r="E699">
            <v>53240</v>
          </cell>
          <cell r="F699">
            <v>6360</v>
          </cell>
          <cell r="G699">
            <v>650</v>
          </cell>
          <cell r="H699">
            <v>0</v>
          </cell>
          <cell r="I699">
            <v>4410</v>
          </cell>
          <cell r="J699">
            <v>0</v>
          </cell>
          <cell r="K699">
            <v>0</v>
          </cell>
          <cell r="L699">
            <v>0</v>
          </cell>
          <cell r="M699">
            <v>4830</v>
          </cell>
          <cell r="N699">
            <v>0</v>
          </cell>
          <cell r="O699">
            <v>446</v>
          </cell>
          <cell r="P699">
            <v>0</v>
          </cell>
          <cell r="Q699">
            <v>0</v>
          </cell>
          <cell r="R699">
            <v>0</v>
          </cell>
          <cell r="S699">
            <v>0</v>
          </cell>
          <cell r="T699">
            <v>0</v>
          </cell>
          <cell r="U699">
            <v>0</v>
          </cell>
          <cell r="V699">
            <v>0</v>
          </cell>
          <cell r="W699">
            <v>0</v>
          </cell>
        </row>
        <row r="700">
          <cell r="C700" t="str">
            <v>2003NC</v>
          </cell>
          <cell r="D700">
            <v>54</v>
          </cell>
          <cell r="E700">
            <v>72080</v>
          </cell>
          <cell r="F700">
            <v>14760</v>
          </cell>
          <cell r="G700">
            <v>784</v>
          </cell>
          <cell r="H700">
            <v>700</v>
          </cell>
          <cell r="I700">
            <v>1298</v>
          </cell>
          <cell r="J700">
            <v>0</v>
          </cell>
          <cell r="K700">
            <v>0</v>
          </cell>
          <cell r="L700">
            <v>0</v>
          </cell>
          <cell r="M700">
            <v>42000</v>
          </cell>
          <cell r="N700">
            <v>320000</v>
          </cell>
          <cell r="O700">
            <v>0</v>
          </cell>
          <cell r="P700">
            <v>0</v>
          </cell>
          <cell r="Q700">
            <v>0</v>
          </cell>
          <cell r="R700">
            <v>0</v>
          </cell>
          <cell r="S700">
            <v>0</v>
          </cell>
          <cell r="T700">
            <v>0</v>
          </cell>
          <cell r="U700">
            <v>0</v>
          </cell>
          <cell r="V700">
            <v>0</v>
          </cell>
          <cell r="W700">
            <v>0</v>
          </cell>
        </row>
        <row r="701">
          <cell r="C701" t="str">
            <v>2003ND</v>
          </cell>
          <cell r="D701">
            <v>2640</v>
          </cell>
          <cell r="E701">
            <v>131040</v>
          </cell>
          <cell r="F701">
            <v>317090</v>
          </cell>
          <cell r="G701">
            <v>118800</v>
          </cell>
          <cell r="H701">
            <v>0</v>
          </cell>
          <cell r="I701">
            <v>21240</v>
          </cell>
          <cell r="J701">
            <v>750</v>
          </cell>
          <cell r="K701">
            <v>0</v>
          </cell>
          <cell r="L701">
            <v>0</v>
          </cell>
          <cell r="M701">
            <v>88450</v>
          </cell>
          <cell r="N701">
            <v>0</v>
          </cell>
          <cell r="O701">
            <v>7800</v>
          </cell>
          <cell r="P701">
            <v>2744</v>
          </cell>
          <cell r="Q701">
            <v>0</v>
          </cell>
          <cell r="R701">
            <v>632</v>
          </cell>
          <cell r="S701">
            <v>0</v>
          </cell>
          <cell r="T701">
            <v>0</v>
          </cell>
          <cell r="U701">
            <v>0</v>
          </cell>
          <cell r="V701">
            <v>0</v>
          </cell>
          <cell r="W701">
            <v>0</v>
          </cell>
        </row>
        <row r="702">
          <cell r="C702" t="str">
            <v>2003OH</v>
          </cell>
          <cell r="D702">
            <v>1972</v>
          </cell>
          <cell r="E702">
            <v>478920</v>
          </cell>
          <cell r="F702">
            <v>68000</v>
          </cell>
          <cell r="G702">
            <v>348</v>
          </cell>
          <cell r="H702">
            <v>0</v>
          </cell>
          <cell r="I702">
            <v>3960</v>
          </cell>
          <cell r="J702">
            <v>0</v>
          </cell>
          <cell r="K702">
            <v>0</v>
          </cell>
          <cell r="L702">
            <v>0</v>
          </cell>
          <cell r="M702">
            <v>164780</v>
          </cell>
          <cell r="N702">
            <v>0</v>
          </cell>
          <cell r="O702">
            <v>0</v>
          </cell>
          <cell r="P702">
            <v>0</v>
          </cell>
          <cell r="Q702">
            <v>0</v>
          </cell>
          <cell r="R702">
            <v>0</v>
          </cell>
          <cell r="S702">
            <v>0</v>
          </cell>
          <cell r="T702">
            <v>0</v>
          </cell>
          <cell r="U702">
            <v>0</v>
          </cell>
          <cell r="V702">
            <v>0</v>
          </cell>
          <cell r="W702">
            <v>0</v>
          </cell>
        </row>
        <row r="703">
          <cell r="C703" t="str">
            <v>2003OK</v>
          </cell>
          <cell r="D703">
            <v>1054</v>
          </cell>
          <cell r="E703">
            <v>23750</v>
          </cell>
          <cell r="F703">
            <v>179400</v>
          </cell>
          <cell r="G703">
            <v>0</v>
          </cell>
          <cell r="H703">
            <v>9250</v>
          </cell>
          <cell r="I703">
            <v>900</v>
          </cell>
          <cell r="J703">
            <v>1540</v>
          </cell>
          <cell r="K703">
            <v>0</v>
          </cell>
          <cell r="L703">
            <v>0</v>
          </cell>
          <cell r="M703">
            <v>6370</v>
          </cell>
          <cell r="N703">
            <v>98000</v>
          </cell>
          <cell r="O703">
            <v>0</v>
          </cell>
          <cell r="P703">
            <v>0</v>
          </cell>
          <cell r="Q703">
            <v>0</v>
          </cell>
          <cell r="R703">
            <v>0</v>
          </cell>
          <cell r="S703">
            <v>0</v>
          </cell>
          <cell r="T703">
            <v>0</v>
          </cell>
          <cell r="U703">
            <v>0.13100000000000001</v>
          </cell>
          <cell r="V703">
            <v>0</v>
          </cell>
          <cell r="W703">
            <v>1</v>
          </cell>
        </row>
        <row r="704">
          <cell r="C704" t="str">
            <v>2003OR</v>
          </cell>
          <cell r="D704">
            <v>2208</v>
          </cell>
          <cell r="E704">
            <v>5100</v>
          </cell>
          <cell r="F704">
            <v>53540</v>
          </cell>
          <cell r="G704">
            <v>3840</v>
          </cell>
          <cell r="H704">
            <v>0</v>
          </cell>
          <cell r="I704">
            <v>1500</v>
          </cell>
          <cell r="J704">
            <v>0</v>
          </cell>
          <cell r="K704">
            <v>0</v>
          </cell>
          <cell r="L704">
            <v>0</v>
          </cell>
          <cell r="M704">
            <v>0</v>
          </cell>
          <cell r="N704">
            <v>0</v>
          </cell>
          <cell r="O704">
            <v>99</v>
          </cell>
          <cell r="P704">
            <v>130</v>
          </cell>
          <cell r="Q704">
            <v>6</v>
          </cell>
          <cell r="R704">
            <v>0</v>
          </cell>
          <cell r="S704">
            <v>0</v>
          </cell>
          <cell r="T704">
            <v>0</v>
          </cell>
          <cell r="U704">
            <v>0</v>
          </cell>
          <cell r="V704">
            <v>0</v>
          </cell>
          <cell r="W704">
            <v>0</v>
          </cell>
        </row>
        <row r="705">
          <cell r="C705" t="str">
            <v>2003PA</v>
          </cell>
          <cell r="D705">
            <v>1650</v>
          </cell>
          <cell r="E705">
            <v>102350</v>
          </cell>
          <cell r="F705">
            <v>7095</v>
          </cell>
          <cell r="G705">
            <v>3965</v>
          </cell>
          <cell r="H705">
            <v>435</v>
          </cell>
          <cell r="I705">
            <v>6490</v>
          </cell>
          <cell r="J705">
            <v>0</v>
          </cell>
          <cell r="K705">
            <v>0</v>
          </cell>
          <cell r="L705">
            <v>0</v>
          </cell>
          <cell r="M705">
            <v>15375</v>
          </cell>
          <cell r="N705">
            <v>0</v>
          </cell>
          <cell r="O705">
            <v>0</v>
          </cell>
          <cell r="P705">
            <v>0</v>
          </cell>
          <cell r="Q705">
            <v>0</v>
          </cell>
          <cell r="R705">
            <v>0</v>
          </cell>
          <cell r="S705">
            <v>0</v>
          </cell>
          <cell r="T705">
            <v>0</v>
          </cell>
          <cell r="U705">
            <v>0</v>
          </cell>
          <cell r="V705">
            <v>0</v>
          </cell>
          <cell r="W705">
            <v>0</v>
          </cell>
        </row>
        <row r="706">
          <cell r="C706" t="str">
            <v>2003RI</v>
          </cell>
          <cell r="D706">
            <v>5</v>
          </cell>
          <cell r="E706">
            <v>0</v>
          </cell>
          <cell r="F706">
            <v>0</v>
          </cell>
          <cell r="G706">
            <v>0</v>
          </cell>
          <cell r="H706">
            <v>0</v>
          </cell>
          <cell r="I706">
            <v>0</v>
          </cell>
          <cell r="J706">
            <v>0</v>
          </cell>
          <cell r="K706">
            <v>0</v>
          </cell>
          <cell r="L706">
            <v>0</v>
          </cell>
          <cell r="M706">
            <v>0</v>
          </cell>
          <cell r="N706">
            <v>0</v>
          </cell>
          <cell r="O706">
            <v>0</v>
          </cell>
          <cell r="P706">
            <v>0</v>
          </cell>
          <cell r="Q706">
            <v>0</v>
          </cell>
          <cell r="R706">
            <v>0</v>
          </cell>
          <cell r="S706">
            <v>0</v>
          </cell>
          <cell r="T706">
            <v>0</v>
          </cell>
          <cell r="U706">
            <v>0</v>
          </cell>
          <cell r="V706">
            <v>0</v>
          </cell>
          <cell r="W706">
            <v>0</v>
          </cell>
        </row>
        <row r="707">
          <cell r="C707" t="str">
            <v>2003SC</v>
          </cell>
          <cell r="D707">
            <v>0</v>
          </cell>
          <cell r="E707">
            <v>22575</v>
          </cell>
          <cell r="F707">
            <v>7215</v>
          </cell>
          <cell r="G707">
            <v>0</v>
          </cell>
          <cell r="H707">
            <v>260</v>
          </cell>
          <cell r="I707">
            <v>1120</v>
          </cell>
          <cell r="J707">
            <v>0</v>
          </cell>
          <cell r="K707">
            <v>0</v>
          </cell>
          <cell r="L707">
            <v>0</v>
          </cell>
          <cell r="M707">
            <v>11760</v>
          </cell>
          <cell r="N707">
            <v>57800</v>
          </cell>
          <cell r="O707">
            <v>0</v>
          </cell>
          <cell r="P707">
            <v>0</v>
          </cell>
          <cell r="Q707">
            <v>0</v>
          </cell>
          <cell r="R707">
            <v>0</v>
          </cell>
          <cell r="S707">
            <v>0</v>
          </cell>
          <cell r="T707">
            <v>0</v>
          </cell>
          <cell r="U707">
            <v>0</v>
          </cell>
          <cell r="V707">
            <v>0</v>
          </cell>
          <cell r="W707">
            <v>0</v>
          </cell>
        </row>
        <row r="708">
          <cell r="C708" t="str">
            <v>2003SD</v>
          </cell>
          <cell r="D708">
            <v>5130</v>
          </cell>
          <cell r="E708">
            <v>427350</v>
          </cell>
          <cell r="F708">
            <v>118391</v>
          </cell>
          <cell r="G708">
            <v>2915</v>
          </cell>
          <cell r="H708">
            <v>6750</v>
          </cell>
          <cell r="I708">
            <v>15640</v>
          </cell>
          <cell r="J708">
            <v>672</v>
          </cell>
          <cell r="K708">
            <v>2805</v>
          </cell>
          <cell r="L708">
            <v>0</v>
          </cell>
          <cell r="M708">
            <v>115500</v>
          </cell>
          <cell r="N708">
            <v>0</v>
          </cell>
          <cell r="O708">
            <v>133</v>
          </cell>
          <cell r="P708">
            <v>0</v>
          </cell>
          <cell r="Q708">
            <v>0</v>
          </cell>
          <cell r="R708">
            <v>0</v>
          </cell>
          <cell r="S708">
            <v>0</v>
          </cell>
          <cell r="T708">
            <v>0</v>
          </cell>
          <cell r="U708">
            <v>0</v>
          </cell>
          <cell r="V708">
            <v>0</v>
          </cell>
          <cell r="W708">
            <v>0</v>
          </cell>
        </row>
        <row r="709">
          <cell r="C709" t="str">
            <v>2003TN</v>
          </cell>
          <cell r="D709">
            <v>126</v>
          </cell>
          <cell r="E709">
            <v>81220</v>
          </cell>
          <cell r="F709">
            <v>13500</v>
          </cell>
          <cell r="G709">
            <v>0</v>
          </cell>
          <cell r="H709">
            <v>3280</v>
          </cell>
          <cell r="I709">
            <v>0</v>
          </cell>
          <cell r="J709">
            <v>0</v>
          </cell>
          <cell r="K709">
            <v>0</v>
          </cell>
          <cell r="L709">
            <v>0</v>
          </cell>
          <cell r="M709">
            <v>47040</v>
          </cell>
          <cell r="N709">
            <v>0</v>
          </cell>
          <cell r="O709">
            <v>0</v>
          </cell>
          <cell r="P709">
            <v>0</v>
          </cell>
          <cell r="Q709">
            <v>0</v>
          </cell>
          <cell r="R709">
            <v>0</v>
          </cell>
          <cell r="S709">
            <v>0</v>
          </cell>
          <cell r="T709">
            <v>0</v>
          </cell>
          <cell r="U709">
            <v>0</v>
          </cell>
          <cell r="V709">
            <v>0</v>
          </cell>
          <cell r="W709">
            <v>0</v>
          </cell>
        </row>
        <row r="710">
          <cell r="C710" t="str">
            <v>2003TX</v>
          </cell>
          <cell r="D710">
            <v>658</v>
          </cell>
          <cell r="E710">
            <v>194700</v>
          </cell>
          <cell r="F710">
            <v>96600</v>
          </cell>
          <cell r="G710">
            <v>0</v>
          </cell>
          <cell r="H710">
            <v>153900</v>
          </cell>
          <cell r="I710">
            <v>6300</v>
          </cell>
          <cell r="J710">
            <v>0</v>
          </cell>
          <cell r="K710">
            <v>0</v>
          </cell>
          <cell r="L710">
            <v>11880</v>
          </cell>
          <cell r="M710">
            <v>5365</v>
          </cell>
          <cell r="N710">
            <v>810000</v>
          </cell>
          <cell r="O710">
            <v>513</v>
          </cell>
          <cell r="P710">
            <v>0</v>
          </cell>
          <cell r="Q710">
            <v>0</v>
          </cell>
          <cell r="R710">
            <v>0</v>
          </cell>
          <cell r="S710">
            <v>0</v>
          </cell>
          <cell r="T710">
            <v>1707</v>
          </cell>
          <cell r="U710">
            <v>180</v>
          </cell>
          <cell r="V710">
            <v>68.400000000000006</v>
          </cell>
          <cell r="W710">
            <v>0</v>
          </cell>
        </row>
        <row r="711">
          <cell r="C711" t="str">
            <v>2003UT</v>
          </cell>
          <cell r="D711">
            <v>2180</v>
          </cell>
          <cell r="E711">
            <v>2015</v>
          </cell>
          <cell r="F711">
            <v>5677</v>
          </cell>
          <cell r="G711">
            <v>2800</v>
          </cell>
          <cell r="H711">
            <v>0</v>
          </cell>
          <cell r="I711">
            <v>492</v>
          </cell>
          <cell r="J711">
            <v>0</v>
          </cell>
          <cell r="K711">
            <v>0</v>
          </cell>
          <cell r="L711">
            <v>0</v>
          </cell>
          <cell r="M711">
            <v>0</v>
          </cell>
          <cell r="N711">
            <v>0</v>
          </cell>
          <cell r="O711">
            <v>16</v>
          </cell>
          <cell r="P711">
            <v>0</v>
          </cell>
          <cell r="Q711">
            <v>0</v>
          </cell>
          <cell r="R711">
            <v>0</v>
          </cell>
          <cell r="S711">
            <v>0</v>
          </cell>
          <cell r="T711">
            <v>0</v>
          </cell>
          <cell r="U711">
            <v>0</v>
          </cell>
          <cell r="V711">
            <v>0</v>
          </cell>
          <cell r="W711">
            <v>0</v>
          </cell>
        </row>
        <row r="712">
          <cell r="C712" t="str">
            <v>2003VT</v>
          </cell>
          <cell r="D712">
            <v>80</v>
          </cell>
          <cell r="E712">
            <v>0</v>
          </cell>
          <cell r="F712">
            <v>0</v>
          </cell>
          <cell r="G712">
            <v>0</v>
          </cell>
          <cell r="H712">
            <v>0</v>
          </cell>
          <cell r="I712">
            <v>0</v>
          </cell>
          <cell r="J712">
            <v>0</v>
          </cell>
          <cell r="K712">
            <v>0</v>
          </cell>
          <cell r="L712">
            <v>0</v>
          </cell>
          <cell r="M712">
            <v>0</v>
          </cell>
          <cell r="N712">
            <v>0</v>
          </cell>
          <cell r="O712">
            <v>0</v>
          </cell>
          <cell r="P712">
            <v>0</v>
          </cell>
          <cell r="Q712">
            <v>0</v>
          </cell>
          <cell r="R712">
            <v>0</v>
          </cell>
          <cell r="S712">
            <v>0</v>
          </cell>
          <cell r="T712">
            <v>0</v>
          </cell>
          <cell r="U712">
            <v>0</v>
          </cell>
          <cell r="V712">
            <v>0</v>
          </cell>
          <cell r="W712">
            <v>0</v>
          </cell>
        </row>
        <row r="713">
          <cell r="C713" t="str">
            <v>2003VA</v>
          </cell>
          <cell r="D713">
            <v>455</v>
          </cell>
          <cell r="E713">
            <v>37950</v>
          </cell>
          <cell r="F713">
            <v>7360</v>
          </cell>
          <cell r="G713">
            <v>2790</v>
          </cell>
          <cell r="H713">
            <v>210</v>
          </cell>
          <cell r="I713">
            <v>0</v>
          </cell>
          <cell r="J713">
            <v>0</v>
          </cell>
          <cell r="K713">
            <v>0</v>
          </cell>
          <cell r="L713">
            <v>0</v>
          </cell>
          <cell r="M713">
            <v>16320</v>
          </cell>
          <cell r="N713">
            <v>95700</v>
          </cell>
          <cell r="O713">
            <v>0</v>
          </cell>
          <cell r="P713">
            <v>0</v>
          </cell>
          <cell r="Q713">
            <v>0</v>
          </cell>
          <cell r="R713">
            <v>0</v>
          </cell>
          <cell r="S713">
            <v>0</v>
          </cell>
          <cell r="T713">
            <v>0</v>
          </cell>
          <cell r="U713">
            <v>0</v>
          </cell>
          <cell r="V713">
            <v>0</v>
          </cell>
          <cell r="W713">
            <v>0</v>
          </cell>
        </row>
        <row r="714">
          <cell r="C714" t="str">
            <v>2003WA</v>
          </cell>
          <cell r="D714">
            <v>2703</v>
          </cell>
          <cell r="E714">
            <v>13650</v>
          </cell>
          <cell r="F714">
            <v>139345</v>
          </cell>
          <cell r="G714">
            <v>14570</v>
          </cell>
          <cell r="H714">
            <v>0</v>
          </cell>
          <cell r="I714">
            <v>750</v>
          </cell>
          <cell r="J714">
            <v>0</v>
          </cell>
          <cell r="K714">
            <v>0</v>
          </cell>
          <cell r="L714">
            <v>0</v>
          </cell>
          <cell r="M714">
            <v>0</v>
          </cell>
          <cell r="N714">
            <v>0</v>
          </cell>
          <cell r="O714">
            <v>525</v>
          </cell>
          <cell r="P714">
            <v>1230</v>
          </cell>
          <cell r="Q714">
            <v>0</v>
          </cell>
          <cell r="R714">
            <v>910</v>
          </cell>
          <cell r="S714">
            <v>510</v>
          </cell>
          <cell r="T714">
            <v>0</v>
          </cell>
          <cell r="U714">
            <v>0</v>
          </cell>
          <cell r="V714">
            <v>0</v>
          </cell>
          <cell r="W714">
            <v>0</v>
          </cell>
        </row>
        <row r="715">
          <cell r="C715" t="str">
            <v>2003WV</v>
          </cell>
          <cell r="D715">
            <v>113</v>
          </cell>
          <cell r="E715">
            <v>3105</v>
          </cell>
          <cell r="F715">
            <v>287</v>
          </cell>
          <cell r="G715">
            <v>0</v>
          </cell>
          <cell r="H715">
            <v>0</v>
          </cell>
          <cell r="I715">
            <v>0</v>
          </cell>
          <cell r="J715">
            <v>0</v>
          </cell>
          <cell r="K715">
            <v>0</v>
          </cell>
          <cell r="L715">
            <v>0</v>
          </cell>
          <cell r="M715">
            <v>615</v>
          </cell>
          <cell r="N715">
            <v>0</v>
          </cell>
          <cell r="O715">
            <v>0</v>
          </cell>
          <cell r="P715">
            <v>0</v>
          </cell>
          <cell r="Q715">
            <v>0</v>
          </cell>
          <cell r="R715">
            <v>0</v>
          </cell>
          <cell r="S715">
            <v>0</v>
          </cell>
          <cell r="T715">
            <v>0</v>
          </cell>
          <cell r="U715">
            <v>0</v>
          </cell>
          <cell r="V715">
            <v>0</v>
          </cell>
          <cell r="W715">
            <v>0</v>
          </cell>
        </row>
        <row r="716">
          <cell r="C716" t="str">
            <v>2003WI</v>
          </cell>
          <cell r="D716">
            <v>3680</v>
          </cell>
          <cell r="E716">
            <v>367650</v>
          </cell>
          <cell r="F716">
            <v>12300</v>
          </cell>
          <cell r="G716">
            <v>1925</v>
          </cell>
          <cell r="H716">
            <v>0</v>
          </cell>
          <cell r="I716">
            <v>15410</v>
          </cell>
          <cell r="J716">
            <v>0</v>
          </cell>
          <cell r="K716">
            <v>0</v>
          </cell>
          <cell r="L716">
            <v>0</v>
          </cell>
          <cell r="M716">
            <v>46760</v>
          </cell>
          <cell r="N716">
            <v>0</v>
          </cell>
          <cell r="O716">
            <v>124</v>
          </cell>
          <cell r="P716">
            <v>0</v>
          </cell>
          <cell r="Q716">
            <v>0</v>
          </cell>
          <cell r="R716">
            <v>0</v>
          </cell>
          <cell r="S716">
            <v>0</v>
          </cell>
          <cell r="T716">
            <v>0</v>
          </cell>
          <cell r="U716">
            <v>0</v>
          </cell>
          <cell r="V716">
            <v>0</v>
          </cell>
          <cell r="W716">
            <v>0</v>
          </cell>
        </row>
        <row r="717">
          <cell r="C717" t="str">
            <v>2003WY</v>
          </cell>
          <cell r="D717">
            <v>1625</v>
          </cell>
          <cell r="E717">
            <v>6450</v>
          </cell>
          <cell r="F717">
            <v>4095</v>
          </cell>
          <cell r="G717">
            <v>6975</v>
          </cell>
          <cell r="H717">
            <v>0</v>
          </cell>
          <cell r="I717">
            <v>1104</v>
          </cell>
          <cell r="J717">
            <v>0</v>
          </cell>
          <cell r="K717">
            <v>0</v>
          </cell>
          <cell r="L717">
            <v>0</v>
          </cell>
          <cell r="M717">
            <v>0</v>
          </cell>
          <cell r="N717">
            <v>0</v>
          </cell>
          <cell r="O717">
            <v>645</v>
          </cell>
          <cell r="P717">
            <v>0</v>
          </cell>
          <cell r="Q717">
            <v>0</v>
          </cell>
          <cell r="R717">
            <v>0</v>
          </cell>
          <cell r="S717">
            <v>0</v>
          </cell>
          <cell r="T717">
            <v>0</v>
          </cell>
          <cell r="U717">
            <v>0</v>
          </cell>
          <cell r="V717">
            <v>0</v>
          </cell>
          <cell r="W717">
            <v>0</v>
          </cell>
        </row>
        <row r="718">
          <cell r="C718" t="str">
            <v>2003US</v>
          </cell>
          <cell r="D718">
            <v>76273</v>
          </cell>
          <cell r="E718">
            <v>10089222</v>
          </cell>
          <cell r="F718">
            <v>2344760</v>
          </cell>
          <cell r="G718">
            <v>278283</v>
          </cell>
          <cell r="H718">
            <v>411237</v>
          </cell>
          <cell r="I718">
            <v>144383</v>
          </cell>
          <cell r="J718">
            <v>8634</v>
          </cell>
          <cell r="K718">
            <v>11450</v>
          </cell>
          <cell r="L718">
            <v>199897</v>
          </cell>
          <cell r="M718">
            <v>2453665</v>
          </cell>
          <cell r="N718">
            <v>4144150</v>
          </cell>
          <cell r="O718">
            <v>22492</v>
          </cell>
          <cell r="P718">
            <v>5202</v>
          </cell>
          <cell r="Q718">
            <v>174</v>
          </cell>
          <cell r="R718">
            <v>2442</v>
          </cell>
          <cell r="S718">
            <v>673</v>
          </cell>
          <cell r="T718">
            <v>33858</v>
          </cell>
          <cell r="U718">
            <v>3002.9850703879642</v>
          </cell>
          <cell r="V718">
            <v>231.75407038796459</v>
          </cell>
          <cell r="W718">
            <v>0</v>
          </cell>
        </row>
        <row r="719">
          <cell r="C719" t="str">
            <v>2004AL</v>
          </cell>
          <cell r="D719">
            <v>0</v>
          </cell>
          <cell r="E719">
            <v>23985</v>
          </cell>
          <cell r="F719">
            <v>2880</v>
          </cell>
          <cell r="G719">
            <v>0</v>
          </cell>
          <cell r="H719">
            <v>258</v>
          </cell>
          <cell r="I719">
            <v>0</v>
          </cell>
          <cell r="J719">
            <v>0</v>
          </cell>
          <cell r="K719">
            <v>0</v>
          </cell>
          <cell r="L719">
            <v>0</v>
          </cell>
          <cell r="M719">
            <v>6650</v>
          </cell>
          <cell r="N719">
            <v>557200</v>
          </cell>
          <cell r="O719">
            <v>0</v>
          </cell>
          <cell r="P719">
            <v>0</v>
          </cell>
          <cell r="Q719">
            <v>0</v>
          </cell>
          <cell r="R719">
            <v>0</v>
          </cell>
          <cell r="S719">
            <v>0</v>
          </cell>
          <cell r="T719">
            <v>0</v>
          </cell>
          <cell r="U719">
            <v>0</v>
          </cell>
          <cell r="V719">
            <v>0</v>
          </cell>
          <cell r="W719">
            <v>0</v>
          </cell>
        </row>
        <row r="720">
          <cell r="C720" t="str">
            <v>2004AK</v>
          </cell>
          <cell r="D720">
            <v>0</v>
          </cell>
          <cell r="E720">
            <v>0</v>
          </cell>
          <cell r="F720">
            <v>0</v>
          </cell>
          <cell r="G720">
            <v>145000</v>
          </cell>
          <cell r="H720">
            <v>0</v>
          </cell>
          <cell r="I720">
            <v>41000</v>
          </cell>
          <cell r="J720">
            <v>0</v>
          </cell>
          <cell r="K720">
            <v>0</v>
          </cell>
          <cell r="L720">
            <v>0</v>
          </cell>
          <cell r="M720">
            <v>0</v>
          </cell>
          <cell r="N720">
            <v>0</v>
          </cell>
          <cell r="O720">
            <v>0</v>
          </cell>
          <cell r="P720">
            <v>0</v>
          </cell>
          <cell r="Q720">
            <v>0</v>
          </cell>
          <cell r="R720">
            <v>0</v>
          </cell>
          <cell r="S720">
            <v>0</v>
          </cell>
          <cell r="T720">
            <v>0</v>
          </cell>
          <cell r="U720">
            <v>0</v>
          </cell>
          <cell r="V720">
            <v>0</v>
          </cell>
          <cell r="W720">
            <v>0</v>
          </cell>
        </row>
        <row r="721">
          <cell r="C721" t="str">
            <v>2004AZ</v>
          </cell>
          <cell r="D721">
            <v>1968</v>
          </cell>
          <cell r="E721">
            <v>4860</v>
          </cell>
          <cell r="F721">
            <v>9963</v>
          </cell>
          <cell r="G721">
            <v>4180</v>
          </cell>
          <cell r="H721">
            <v>570</v>
          </cell>
          <cell r="I721">
            <v>0</v>
          </cell>
          <cell r="J721">
            <v>0</v>
          </cell>
          <cell r="K721">
            <v>0</v>
          </cell>
          <cell r="L721">
            <v>0</v>
          </cell>
          <cell r="M721">
            <v>0</v>
          </cell>
          <cell r="N721">
            <v>0</v>
          </cell>
          <cell r="O721">
            <v>0</v>
          </cell>
          <cell r="P721">
            <v>0</v>
          </cell>
          <cell r="Q721">
            <v>0</v>
          </cell>
          <cell r="R721">
            <v>0</v>
          </cell>
          <cell r="S721">
            <v>0</v>
          </cell>
          <cell r="T721">
            <v>0</v>
          </cell>
          <cell r="U721">
            <v>0</v>
          </cell>
          <cell r="V721">
            <v>0</v>
          </cell>
          <cell r="W721">
            <v>0</v>
          </cell>
        </row>
        <row r="722">
          <cell r="C722" t="str">
            <v>2004AR</v>
          </cell>
          <cell r="D722">
            <v>70</v>
          </cell>
          <cell r="E722">
            <v>42700</v>
          </cell>
          <cell r="F722">
            <v>32860</v>
          </cell>
          <cell r="G722">
            <v>0</v>
          </cell>
          <cell r="H722">
            <v>4704</v>
          </cell>
          <cell r="I722">
            <v>0</v>
          </cell>
          <cell r="J722">
            <v>0</v>
          </cell>
          <cell r="K722">
            <v>0</v>
          </cell>
          <cell r="L722">
            <v>108560</v>
          </cell>
          <cell r="M722">
            <v>122850</v>
          </cell>
          <cell r="N722">
            <v>0</v>
          </cell>
          <cell r="O722">
            <v>0</v>
          </cell>
          <cell r="P722">
            <v>0</v>
          </cell>
          <cell r="Q722">
            <v>0</v>
          </cell>
          <cell r="R722">
            <v>0</v>
          </cell>
          <cell r="S722">
            <v>0</v>
          </cell>
          <cell r="T722">
            <v>0</v>
          </cell>
          <cell r="U722">
            <v>1555</v>
          </cell>
          <cell r="V722">
            <v>0</v>
          </cell>
          <cell r="W722">
            <v>0.17</v>
          </cell>
        </row>
        <row r="723">
          <cell r="C723" t="str">
            <v>2004CA</v>
          </cell>
          <cell r="D723">
            <v>7350</v>
          </cell>
          <cell r="E723">
            <v>26250</v>
          </cell>
          <cell r="F723">
            <v>36200</v>
          </cell>
          <cell r="G723">
            <v>4500</v>
          </cell>
          <cell r="H723">
            <v>1080</v>
          </cell>
          <cell r="I723">
            <v>2125</v>
          </cell>
          <cell r="J723">
            <v>0</v>
          </cell>
          <cell r="K723">
            <v>0</v>
          </cell>
          <cell r="L723">
            <v>50759</v>
          </cell>
          <cell r="M723">
            <v>0</v>
          </cell>
          <cell r="N723">
            <v>0</v>
          </cell>
          <cell r="O723">
            <v>1152</v>
          </cell>
          <cell r="P723">
            <v>0</v>
          </cell>
          <cell r="Q723">
            <v>0</v>
          </cell>
          <cell r="R723">
            <v>0</v>
          </cell>
          <cell r="S723">
            <v>0</v>
          </cell>
          <cell r="T723">
            <v>0</v>
          </cell>
          <cell r="U723">
            <v>590</v>
          </cell>
          <cell r="V723">
            <v>0</v>
          </cell>
          <cell r="W723">
            <v>0.11282339509967505</v>
          </cell>
        </row>
        <row r="724">
          <cell r="C724" t="str">
            <v>2004CO</v>
          </cell>
          <cell r="D724">
            <v>2541</v>
          </cell>
          <cell r="E724">
            <v>140400</v>
          </cell>
          <cell r="F724">
            <v>46880</v>
          </cell>
          <cell r="G724">
            <v>9086</v>
          </cell>
          <cell r="H724">
            <v>5400</v>
          </cell>
          <cell r="I724">
            <v>1100</v>
          </cell>
          <cell r="J724">
            <v>0</v>
          </cell>
          <cell r="K724">
            <v>7920</v>
          </cell>
          <cell r="L724">
            <v>0</v>
          </cell>
          <cell r="M724">
            <v>0</v>
          </cell>
          <cell r="N724">
            <v>0</v>
          </cell>
          <cell r="O724">
            <v>1039</v>
          </cell>
          <cell r="P724">
            <v>0</v>
          </cell>
          <cell r="Q724">
            <v>0</v>
          </cell>
          <cell r="R724">
            <v>0</v>
          </cell>
          <cell r="S724">
            <v>0</v>
          </cell>
          <cell r="T724">
            <v>0</v>
          </cell>
          <cell r="U724">
            <v>0</v>
          </cell>
          <cell r="V724">
            <v>0</v>
          </cell>
          <cell r="W724">
            <v>0</v>
          </cell>
        </row>
        <row r="725">
          <cell r="C725" t="str">
            <v>2004CT</v>
          </cell>
          <cell r="D725">
            <v>19</v>
          </cell>
          <cell r="E725">
            <v>0</v>
          </cell>
          <cell r="F725">
            <v>0</v>
          </cell>
          <cell r="G725">
            <v>0</v>
          </cell>
          <cell r="H725">
            <v>0</v>
          </cell>
          <cell r="I725">
            <v>0</v>
          </cell>
          <cell r="J725">
            <v>0</v>
          </cell>
          <cell r="K725">
            <v>0</v>
          </cell>
          <cell r="L725">
            <v>0</v>
          </cell>
          <cell r="M725">
            <v>0</v>
          </cell>
          <cell r="N725">
            <v>0</v>
          </cell>
          <cell r="O725">
            <v>0</v>
          </cell>
          <cell r="P725">
            <v>0</v>
          </cell>
          <cell r="Q725">
            <v>0</v>
          </cell>
          <cell r="R725">
            <v>0</v>
          </cell>
          <cell r="S725">
            <v>0</v>
          </cell>
          <cell r="T725">
            <v>0</v>
          </cell>
          <cell r="U725">
            <v>0</v>
          </cell>
          <cell r="V725">
            <v>0</v>
          </cell>
          <cell r="W725">
            <v>0</v>
          </cell>
        </row>
        <row r="726">
          <cell r="C726" t="str">
            <v>2004DE</v>
          </cell>
          <cell r="D726">
            <v>23</v>
          </cell>
          <cell r="E726">
            <v>23256</v>
          </cell>
          <cell r="F726">
            <v>2726</v>
          </cell>
          <cell r="G726">
            <v>2080</v>
          </cell>
          <cell r="H726">
            <v>83</v>
          </cell>
          <cell r="I726">
            <v>0</v>
          </cell>
          <cell r="J726">
            <v>0</v>
          </cell>
          <cell r="K726">
            <v>0</v>
          </cell>
          <cell r="L726">
            <v>0</v>
          </cell>
          <cell r="M726">
            <v>8736</v>
          </cell>
          <cell r="N726">
            <v>0</v>
          </cell>
          <cell r="O726">
            <v>0</v>
          </cell>
          <cell r="P726">
            <v>0</v>
          </cell>
          <cell r="Q726">
            <v>0</v>
          </cell>
          <cell r="R726">
            <v>0</v>
          </cell>
          <cell r="S726">
            <v>0</v>
          </cell>
          <cell r="T726">
            <v>0</v>
          </cell>
          <cell r="U726">
            <v>0</v>
          </cell>
          <cell r="V726">
            <v>0</v>
          </cell>
          <cell r="W726">
            <v>0</v>
          </cell>
        </row>
        <row r="727">
          <cell r="C727" t="str">
            <v>2004FL</v>
          </cell>
          <cell r="D727">
            <v>0</v>
          </cell>
          <cell r="E727">
            <v>2880</v>
          </cell>
          <cell r="F727">
            <v>675</v>
          </cell>
          <cell r="G727">
            <v>0</v>
          </cell>
          <cell r="H727">
            <v>0</v>
          </cell>
          <cell r="I727">
            <v>0</v>
          </cell>
          <cell r="J727">
            <v>0</v>
          </cell>
          <cell r="K727">
            <v>0</v>
          </cell>
          <cell r="L727">
            <v>0</v>
          </cell>
          <cell r="M727">
            <v>578</v>
          </cell>
          <cell r="N727">
            <v>364000</v>
          </cell>
          <cell r="O727">
            <v>0</v>
          </cell>
          <cell r="P727">
            <v>0</v>
          </cell>
          <cell r="Q727">
            <v>0</v>
          </cell>
          <cell r="R727">
            <v>0</v>
          </cell>
          <cell r="S727">
            <v>0</v>
          </cell>
          <cell r="T727">
            <v>14281</v>
          </cell>
          <cell r="U727">
            <v>9.2795203160270887</v>
          </cell>
          <cell r="V727">
            <v>7.1637896839729125</v>
          </cell>
          <cell r="W727">
            <v>0</v>
          </cell>
        </row>
        <row r="728">
          <cell r="C728" t="str">
            <v>2004GA</v>
          </cell>
          <cell r="D728">
            <v>0</v>
          </cell>
          <cell r="E728">
            <v>36400</v>
          </cell>
          <cell r="F728">
            <v>8550</v>
          </cell>
          <cell r="G728">
            <v>0</v>
          </cell>
          <cell r="H728">
            <v>1175</v>
          </cell>
          <cell r="I728">
            <v>1250</v>
          </cell>
          <cell r="J728">
            <v>600</v>
          </cell>
          <cell r="K728">
            <v>0</v>
          </cell>
          <cell r="L728">
            <v>0</v>
          </cell>
          <cell r="M728">
            <v>8370</v>
          </cell>
          <cell r="N728">
            <v>1817800</v>
          </cell>
          <cell r="O728">
            <v>0</v>
          </cell>
          <cell r="P728">
            <v>0</v>
          </cell>
          <cell r="Q728">
            <v>0</v>
          </cell>
          <cell r="R728">
            <v>0</v>
          </cell>
          <cell r="S728">
            <v>0</v>
          </cell>
          <cell r="T728">
            <v>0</v>
          </cell>
          <cell r="U728">
            <v>0</v>
          </cell>
          <cell r="V728">
            <v>0</v>
          </cell>
          <cell r="W728">
            <v>0</v>
          </cell>
        </row>
        <row r="729">
          <cell r="C729" t="str">
            <v>2004HI</v>
          </cell>
          <cell r="D729">
            <v>0</v>
          </cell>
          <cell r="E729">
            <v>0</v>
          </cell>
          <cell r="F729">
            <v>0</v>
          </cell>
          <cell r="G729">
            <v>0</v>
          </cell>
          <cell r="H729">
            <v>0</v>
          </cell>
          <cell r="I729">
            <v>0</v>
          </cell>
          <cell r="J729">
            <v>0</v>
          </cell>
          <cell r="K729">
            <v>0</v>
          </cell>
          <cell r="L729">
            <v>0</v>
          </cell>
          <cell r="M729">
            <v>0</v>
          </cell>
          <cell r="N729">
            <v>0</v>
          </cell>
          <cell r="O729">
            <v>0</v>
          </cell>
          <cell r="P729">
            <v>0</v>
          </cell>
          <cell r="Q729">
            <v>0</v>
          </cell>
          <cell r="R729">
            <v>0</v>
          </cell>
          <cell r="S729">
            <v>0</v>
          </cell>
          <cell r="T729">
            <v>2026</v>
          </cell>
          <cell r="U729">
            <v>0</v>
          </cell>
          <cell r="V729">
            <v>0</v>
          </cell>
          <cell r="W729">
            <v>0</v>
          </cell>
        </row>
        <row r="730">
          <cell r="C730" t="str">
            <v>2004ID</v>
          </cell>
          <cell r="D730">
            <v>4720</v>
          </cell>
          <cell r="E730">
            <v>12750</v>
          </cell>
          <cell r="F730">
            <v>101710</v>
          </cell>
          <cell r="G730">
            <v>59800</v>
          </cell>
          <cell r="H730">
            <v>0</v>
          </cell>
          <cell r="I730">
            <v>1440</v>
          </cell>
          <cell r="J730">
            <v>0</v>
          </cell>
          <cell r="K730">
            <v>0</v>
          </cell>
          <cell r="L730">
            <v>0</v>
          </cell>
          <cell r="M730">
            <v>0</v>
          </cell>
          <cell r="N730">
            <v>0</v>
          </cell>
          <cell r="O730">
            <v>1638</v>
          </cell>
          <cell r="P730">
            <v>935</v>
          </cell>
          <cell r="Q730">
            <v>168</v>
          </cell>
          <cell r="R730">
            <v>770</v>
          </cell>
          <cell r="S730">
            <v>174</v>
          </cell>
          <cell r="T730">
            <v>0</v>
          </cell>
          <cell r="U730">
            <v>0</v>
          </cell>
          <cell r="V730">
            <v>0</v>
          </cell>
          <cell r="W730">
            <v>0</v>
          </cell>
        </row>
        <row r="731">
          <cell r="C731" t="str">
            <v>2004IL</v>
          </cell>
          <cell r="D731">
            <v>1720</v>
          </cell>
          <cell r="E731">
            <v>2088000</v>
          </cell>
          <cell r="F731">
            <v>53100</v>
          </cell>
          <cell r="G731">
            <v>0</v>
          </cell>
          <cell r="H731">
            <v>8938</v>
          </cell>
          <cell r="I731">
            <v>2450</v>
          </cell>
          <cell r="J731">
            <v>0</v>
          </cell>
          <cell r="K731">
            <v>0</v>
          </cell>
          <cell r="L731">
            <v>0</v>
          </cell>
          <cell r="M731">
            <v>495000</v>
          </cell>
          <cell r="N731">
            <v>0</v>
          </cell>
          <cell r="O731">
            <v>0</v>
          </cell>
          <cell r="P731">
            <v>0</v>
          </cell>
          <cell r="Q731">
            <v>0</v>
          </cell>
          <cell r="R731">
            <v>0</v>
          </cell>
          <cell r="S731">
            <v>0</v>
          </cell>
          <cell r="T731">
            <v>0</v>
          </cell>
          <cell r="U731">
            <v>0</v>
          </cell>
          <cell r="V731">
            <v>0</v>
          </cell>
          <cell r="W731">
            <v>0</v>
          </cell>
        </row>
        <row r="732">
          <cell r="C732" t="str">
            <v>2004IN</v>
          </cell>
          <cell r="D732">
            <v>1435</v>
          </cell>
          <cell r="E732">
            <v>929040</v>
          </cell>
          <cell r="F732">
            <v>27280</v>
          </cell>
          <cell r="G732">
            <v>0</v>
          </cell>
          <cell r="H732">
            <v>0</v>
          </cell>
          <cell r="I732">
            <v>900</v>
          </cell>
          <cell r="J732">
            <v>0</v>
          </cell>
          <cell r="K732">
            <v>0</v>
          </cell>
          <cell r="L732">
            <v>0</v>
          </cell>
          <cell r="M732">
            <v>284280</v>
          </cell>
          <cell r="N732">
            <v>0</v>
          </cell>
          <cell r="O732">
            <v>0</v>
          </cell>
          <cell r="P732">
            <v>0</v>
          </cell>
          <cell r="Q732">
            <v>0</v>
          </cell>
          <cell r="R732">
            <v>0</v>
          </cell>
          <cell r="S732">
            <v>0</v>
          </cell>
          <cell r="T732">
            <v>0</v>
          </cell>
          <cell r="U732">
            <v>0</v>
          </cell>
          <cell r="V732">
            <v>0</v>
          </cell>
          <cell r="W732">
            <v>0</v>
          </cell>
        </row>
        <row r="733">
          <cell r="C733" t="str">
            <v>2004IA</v>
          </cell>
          <cell r="D733">
            <v>5460</v>
          </cell>
          <cell r="E733">
            <v>2244400</v>
          </cell>
          <cell r="F733">
            <v>1320</v>
          </cell>
          <cell r="G733">
            <v>0</v>
          </cell>
          <cell r="H733">
            <v>0</v>
          </cell>
          <cell r="I733">
            <v>10080</v>
          </cell>
          <cell r="J733">
            <v>0</v>
          </cell>
          <cell r="K733">
            <v>0</v>
          </cell>
          <cell r="L733">
            <v>0</v>
          </cell>
          <cell r="M733">
            <v>497350</v>
          </cell>
          <cell r="N733">
            <v>0</v>
          </cell>
          <cell r="O733">
            <v>0</v>
          </cell>
          <cell r="P733">
            <v>0</v>
          </cell>
          <cell r="Q733">
            <v>0</v>
          </cell>
          <cell r="R733">
            <v>0</v>
          </cell>
          <cell r="S733">
            <v>0</v>
          </cell>
          <cell r="T733">
            <v>0</v>
          </cell>
          <cell r="U733">
            <v>0</v>
          </cell>
          <cell r="V733">
            <v>0</v>
          </cell>
          <cell r="W733">
            <v>0</v>
          </cell>
        </row>
        <row r="734">
          <cell r="C734" t="str">
            <v>2004KS</v>
          </cell>
          <cell r="D734">
            <v>3800</v>
          </cell>
          <cell r="E734">
            <v>432000</v>
          </cell>
          <cell r="F734">
            <v>314500</v>
          </cell>
          <cell r="G734">
            <v>336</v>
          </cell>
          <cell r="H734">
            <v>220400</v>
          </cell>
          <cell r="I734">
            <v>1720</v>
          </cell>
          <cell r="J734">
            <v>0</v>
          </cell>
          <cell r="K734">
            <v>0</v>
          </cell>
          <cell r="L734">
            <v>0</v>
          </cell>
          <cell r="M734">
            <v>111110</v>
          </cell>
          <cell r="N734">
            <v>0</v>
          </cell>
          <cell r="O734">
            <v>153</v>
          </cell>
          <cell r="P734">
            <v>0</v>
          </cell>
          <cell r="Q734">
            <v>0</v>
          </cell>
          <cell r="R734">
            <v>0</v>
          </cell>
          <cell r="S734">
            <v>0</v>
          </cell>
          <cell r="T734">
            <v>0</v>
          </cell>
          <cell r="U734">
            <v>0</v>
          </cell>
          <cell r="V734">
            <v>0</v>
          </cell>
          <cell r="W734">
            <v>0</v>
          </cell>
        </row>
        <row r="735">
          <cell r="C735" t="str">
            <v>2004KY</v>
          </cell>
          <cell r="D735">
            <v>888</v>
          </cell>
          <cell r="E735">
            <v>173280</v>
          </cell>
          <cell r="F735">
            <v>20520</v>
          </cell>
          <cell r="G735">
            <v>616</v>
          </cell>
          <cell r="H735">
            <v>1040</v>
          </cell>
          <cell r="I735">
            <v>0</v>
          </cell>
          <cell r="J735">
            <v>0</v>
          </cell>
          <cell r="K735">
            <v>0</v>
          </cell>
          <cell r="L735">
            <v>0</v>
          </cell>
          <cell r="M735">
            <v>57200</v>
          </cell>
          <cell r="N735">
            <v>0</v>
          </cell>
          <cell r="O735">
            <v>0</v>
          </cell>
          <cell r="P735">
            <v>0</v>
          </cell>
          <cell r="Q735">
            <v>0</v>
          </cell>
          <cell r="R735">
            <v>0</v>
          </cell>
          <cell r="S735">
            <v>0</v>
          </cell>
          <cell r="T735">
            <v>0</v>
          </cell>
          <cell r="U735">
            <v>0</v>
          </cell>
          <cell r="V735">
            <v>0</v>
          </cell>
          <cell r="W735">
            <v>0</v>
          </cell>
        </row>
        <row r="736">
          <cell r="C736" t="str">
            <v>2004LA</v>
          </cell>
          <cell r="D736">
            <v>0</v>
          </cell>
          <cell r="E736">
            <v>55350</v>
          </cell>
          <cell r="F736">
            <v>8250</v>
          </cell>
          <cell r="G736">
            <v>0</v>
          </cell>
          <cell r="H736">
            <v>5200</v>
          </cell>
          <cell r="I736">
            <v>0</v>
          </cell>
          <cell r="J736">
            <v>0</v>
          </cell>
          <cell r="K736">
            <v>0</v>
          </cell>
          <cell r="L736">
            <v>28730</v>
          </cell>
          <cell r="M736">
            <v>32670</v>
          </cell>
          <cell r="N736">
            <v>0</v>
          </cell>
          <cell r="O736">
            <v>0</v>
          </cell>
          <cell r="P736">
            <v>0</v>
          </cell>
          <cell r="Q736">
            <v>0</v>
          </cell>
          <cell r="R736">
            <v>0</v>
          </cell>
          <cell r="S736">
            <v>0</v>
          </cell>
          <cell r="T736">
            <v>11067</v>
          </cell>
          <cell r="U736">
            <v>533</v>
          </cell>
          <cell r="V736">
            <v>159.9</v>
          </cell>
          <cell r="W736">
            <v>0.03</v>
          </cell>
        </row>
        <row r="737">
          <cell r="C737" t="str">
            <v>2004ME</v>
          </cell>
          <cell r="D737">
            <v>20</v>
          </cell>
          <cell r="E737">
            <v>0</v>
          </cell>
          <cell r="F737">
            <v>0</v>
          </cell>
          <cell r="G737">
            <v>1320</v>
          </cell>
          <cell r="H737">
            <v>0</v>
          </cell>
          <cell r="I737">
            <v>2560</v>
          </cell>
          <cell r="J737">
            <v>0</v>
          </cell>
          <cell r="K737">
            <v>0</v>
          </cell>
          <cell r="L737">
            <v>0</v>
          </cell>
          <cell r="M737">
            <v>0</v>
          </cell>
          <cell r="N737">
            <v>0</v>
          </cell>
          <cell r="O737">
            <v>0</v>
          </cell>
          <cell r="P737">
            <v>0</v>
          </cell>
          <cell r="Q737">
            <v>0</v>
          </cell>
          <cell r="R737">
            <v>0</v>
          </cell>
          <cell r="S737">
            <v>0</v>
          </cell>
          <cell r="T737">
            <v>0</v>
          </cell>
          <cell r="U737">
            <v>0</v>
          </cell>
          <cell r="V737">
            <v>0</v>
          </cell>
          <cell r="W737">
            <v>0</v>
          </cell>
        </row>
        <row r="738">
          <cell r="C738" t="str">
            <v>2004MD</v>
          </cell>
          <cell r="D738">
            <v>132</v>
          </cell>
          <cell r="E738">
            <v>65025</v>
          </cell>
          <cell r="F738">
            <v>8555</v>
          </cell>
          <cell r="G738">
            <v>2847</v>
          </cell>
          <cell r="H738">
            <v>336</v>
          </cell>
          <cell r="I738">
            <v>0</v>
          </cell>
          <cell r="J738">
            <v>0</v>
          </cell>
          <cell r="K738">
            <v>0</v>
          </cell>
          <cell r="L738">
            <v>0</v>
          </cell>
          <cell r="M738">
            <v>21285</v>
          </cell>
          <cell r="N738">
            <v>0</v>
          </cell>
          <cell r="O738">
            <v>0</v>
          </cell>
          <cell r="P738">
            <v>0</v>
          </cell>
          <cell r="Q738">
            <v>0</v>
          </cell>
          <cell r="R738">
            <v>0</v>
          </cell>
          <cell r="S738">
            <v>0</v>
          </cell>
          <cell r="T738">
            <v>0</v>
          </cell>
          <cell r="U738">
            <v>0</v>
          </cell>
          <cell r="V738">
            <v>0</v>
          </cell>
          <cell r="W738">
            <v>0</v>
          </cell>
        </row>
        <row r="739">
          <cell r="C739" t="str">
            <v>2004MA</v>
          </cell>
          <cell r="D739">
            <v>31</v>
          </cell>
          <cell r="E739">
            <v>0</v>
          </cell>
          <cell r="F739">
            <v>0</v>
          </cell>
          <cell r="G739">
            <v>0</v>
          </cell>
          <cell r="H739">
            <v>0</v>
          </cell>
          <cell r="I739">
            <v>0</v>
          </cell>
          <cell r="J739">
            <v>0</v>
          </cell>
          <cell r="K739">
            <v>0</v>
          </cell>
          <cell r="L739">
            <v>0</v>
          </cell>
          <cell r="M739">
            <v>0</v>
          </cell>
          <cell r="N739">
            <v>0</v>
          </cell>
          <cell r="O739">
            <v>0</v>
          </cell>
          <cell r="P739">
            <v>0</v>
          </cell>
          <cell r="Q739">
            <v>0</v>
          </cell>
          <cell r="R739">
            <v>0</v>
          </cell>
          <cell r="S739">
            <v>0</v>
          </cell>
          <cell r="T739">
            <v>0</v>
          </cell>
          <cell r="U739">
            <v>0</v>
          </cell>
          <cell r="V739">
            <v>0</v>
          </cell>
          <cell r="W739">
            <v>0</v>
          </cell>
        </row>
        <row r="740">
          <cell r="C740" t="str">
            <v>2004MI</v>
          </cell>
          <cell r="D740">
            <v>2720</v>
          </cell>
          <cell r="E740">
            <v>257280</v>
          </cell>
          <cell r="F740">
            <v>40960</v>
          </cell>
          <cell r="G740">
            <v>612</v>
          </cell>
          <cell r="H740">
            <v>0</v>
          </cell>
          <cell r="I740">
            <v>4420</v>
          </cell>
          <cell r="J740">
            <v>0</v>
          </cell>
          <cell r="K740">
            <v>0</v>
          </cell>
          <cell r="L740">
            <v>0</v>
          </cell>
          <cell r="M740">
            <v>75240</v>
          </cell>
          <cell r="N740">
            <v>0</v>
          </cell>
          <cell r="O740">
            <v>3145</v>
          </cell>
          <cell r="P740">
            <v>0</v>
          </cell>
          <cell r="Q740">
            <v>0</v>
          </cell>
          <cell r="R740">
            <v>0</v>
          </cell>
          <cell r="S740">
            <v>0</v>
          </cell>
          <cell r="T740">
            <v>0</v>
          </cell>
          <cell r="U740">
            <v>0</v>
          </cell>
          <cell r="V740">
            <v>0</v>
          </cell>
          <cell r="W740">
            <v>0</v>
          </cell>
        </row>
        <row r="741">
          <cell r="C741" t="str">
            <v>2004MN</v>
          </cell>
          <cell r="D741">
            <v>4725</v>
          </cell>
          <cell r="E741">
            <v>1120950</v>
          </cell>
          <cell r="F741">
            <v>89605</v>
          </cell>
          <cell r="G741">
            <v>7820</v>
          </cell>
          <cell r="H741">
            <v>0</v>
          </cell>
          <cell r="I741">
            <v>13300</v>
          </cell>
          <cell r="J741">
            <v>0</v>
          </cell>
          <cell r="K741">
            <v>0</v>
          </cell>
          <cell r="L741">
            <v>0</v>
          </cell>
          <cell r="M741">
            <v>232650</v>
          </cell>
          <cell r="N741">
            <v>0</v>
          </cell>
          <cell r="O741">
            <v>1150</v>
          </cell>
          <cell r="P741">
            <v>0</v>
          </cell>
          <cell r="Q741">
            <v>0</v>
          </cell>
          <cell r="R741">
            <v>0</v>
          </cell>
          <cell r="S741">
            <v>0</v>
          </cell>
          <cell r="T741">
            <v>0</v>
          </cell>
          <cell r="U741">
            <v>0</v>
          </cell>
          <cell r="V741">
            <v>0</v>
          </cell>
          <cell r="W741">
            <v>0</v>
          </cell>
        </row>
        <row r="742">
          <cell r="C742" t="str">
            <v>2004MS</v>
          </cell>
          <cell r="D742">
            <v>0</v>
          </cell>
          <cell r="E742">
            <v>59840</v>
          </cell>
          <cell r="F742">
            <v>7155</v>
          </cell>
          <cell r="G742">
            <v>0</v>
          </cell>
          <cell r="H742">
            <v>1422</v>
          </cell>
          <cell r="I742">
            <v>0</v>
          </cell>
          <cell r="J742">
            <v>0</v>
          </cell>
          <cell r="K742">
            <v>0</v>
          </cell>
          <cell r="L742">
            <v>16146</v>
          </cell>
          <cell r="M742">
            <v>61500</v>
          </cell>
          <cell r="N742">
            <v>0</v>
          </cell>
          <cell r="O742">
            <v>0</v>
          </cell>
          <cell r="P742">
            <v>0</v>
          </cell>
          <cell r="Q742">
            <v>0</v>
          </cell>
          <cell r="R742">
            <v>0</v>
          </cell>
          <cell r="S742">
            <v>0</v>
          </cell>
          <cell r="T742">
            <v>0</v>
          </cell>
          <cell r="U742">
            <v>234</v>
          </cell>
          <cell r="V742">
            <v>0</v>
          </cell>
          <cell r="W742">
            <v>0.22500000000000001</v>
          </cell>
        </row>
        <row r="743">
          <cell r="C743" t="str">
            <v>2004MO</v>
          </cell>
          <cell r="D743">
            <v>1520</v>
          </cell>
          <cell r="E743">
            <v>466560</v>
          </cell>
          <cell r="F743">
            <v>48360</v>
          </cell>
          <cell r="G743">
            <v>0</v>
          </cell>
          <cell r="H743">
            <v>15660</v>
          </cell>
          <cell r="I743">
            <v>650</v>
          </cell>
          <cell r="J743">
            <v>0</v>
          </cell>
          <cell r="K743">
            <v>0</v>
          </cell>
          <cell r="L743">
            <v>13261</v>
          </cell>
          <cell r="M743">
            <v>223200</v>
          </cell>
          <cell r="N743">
            <v>0</v>
          </cell>
          <cell r="O743">
            <v>0</v>
          </cell>
          <cell r="P743">
            <v>0</v>
          </cell>
          <cell r="Q743">
            <v>0</v>
          </cell>
          <cell r="R743">
            <v>0</v>
          </cell>
          <cell r="S743">
            <v>0</v>
          </cell>
          <cell r="T743">
            <v>0</v>
          </cell>
          <cell r="U743">
            <v>195</v>
          </cell>
          <cell r="V743">
            <v>0</v>
          </cell>
          <cell r="W743">
            <v>0.17499999999999999</v>
          </cell>
        </row>
        <row r="744">
          <cell r="C744" t="str">
            <v>2004MT</v>
          </cell>
          <cell r="D744">
            <v>3220</v>
          </cell>
          <cell r="E744">
            <v>2145</v>
          </cell>
          <cell r="F744">
            <v>173165</v>
          </cell>
          <cell r="G744">
            <v>48970</v>
          </cell>
          <cell r="H744">
            <v>0</v>
          </cell>
          <cell r="I744">
            <v>2400</v>
          </cell>
          <cell r="J744">
            <v>0</v>
          </cell>
          <cell r="K744">
            <v>0</v>
          </cell>
          <cell r="L744">
            <v>0</v>
          </cell>
          <cell r="M744">
            <v>0</v>
          </cell>
          <cell r="N744">
            <v>0</v>
          </cell>
          <cell r="O744">
            <v>285</v>
          </cell>
          <cell r="P744">
            <v>1266</v>
          </cell>
          <cell r="Q744">
            <v>99</v>
          </cell>
          <cell r="R744">
            <v>1008</v>
          </cell>
          <cell r="S744">
            <v>0</v>
          </cell>
          <cell r="T744">
            <v>0</v>
          </cell>
          <cell r="U744">
            <v>0</v>
          </cell>
          <cell r="V744">
            <v>0</v>
          </cell>
          <cell r="W744">
            <v>0</v>
          </cell>
        </row>
        <row r="745">
          <cell r="C745" t="str">
            <v>2004NE</v>
          </cell>
          <cell r="D745">
            <v>4563</v>
          </cell>
          <cell r="E745">
            <v>1319700</v>
          </cell>
          <cell r="F745">
            <v>61050</v>
          </cell>
          <cell r="G745">
            <v>162</v>
          </cell>
          <cell r="H745">
            <v>32370</v>
          </cell>
          <cell r="I745">
            <v>3400</v>
          </cell>
          <cell r="J745">
            <v>0</v>
          </cell>
          <cell r="K745">
            <v>3375</v>
          </cell>
          <cell r="L745">
            <v>0</v>
          </cell>
          <cell r="M745">
            <v>218500</v>
          </cell>
          <cell r="N745">
            <v>0</v>
          </cell>
          <cell r="O745">
            <v>2376</v>
          </cell>
          <cell r="P745">
            <v>0</v>
          </cell>
          <cell r="Q745">
            <v>0</v>
          </cell>
          <cell r="R745">
            <v>0</v>
          </cell>
          <cell r="S745">
            <v>0</v>
          </cell>
          <cell r="T745">
            <v>0</v>
          </cell>
          <cell r="U745">
            <v>0</v>
          </cell>
          <cell r="V745">
            <v>0</v>
          </cell>
          <cell r="W745">
            <v>0</v>
          </cell>
        </row>
        <row r="746">
          <cell r="C746" t="str">
            <v>2004NV</v>
          </cell>
          <cell r="D746">
            <v>1175</v>
          </cell>
          <cell r="E746">
            <v>0</v>
          </cell>
          <cell r="F746">
            <v>960</v>
          </cell>
          <cell r="G746">
            <v>210</v>
          </cell>
          <cell r="H746">
            <v>0</v>
          </cell>
          <cell r="I746">
            <v>0</v>
          </cell>
          <cell r="J746">
            <v>0</v>
          </cell>
          <cell r="K746">
            <v>0</v>
          </cell>
          <cell r="L746">
            <v>0</v>
          </cell>
          <cell r="M746">
            <v>0</v>
          </cell>
          <cell r="N746">
            <v>0</v>
          </cell>
          <cell r="O746">
            <v>0</v>
          </cell>
          <cell r="P746">
            <v>0</v>
          </cell>
          <cell r="Q746">
            <v>0</v>
          </cell>
          <cell r="R746">
            <v>0</v>
          </cell>
          <cell r="S746">
            <v>0</v>
          </cell>
          <cell r="T746">
            <v>0</v>
          </cell>
          <cell r="U746">
            <v>0</v>
          </cell>
          <cell r="V746">
            <v>0</v>
          </cell>
          <cell r="W746">
            <v>0</v>
          </cell>
        </row>
        <row r="747">
          <cell r="C747" t="str">
            <v>2004NH</v>
          </cell>
          <cell r="D747">
            <v>15</v>
          </cell>
          <cell r="E747">
            <v>0</v>
          </cell>
          <cell r="F747">
            <v>0</v>
          </cell>
          <cell r="G747">
            <v>0</v>
          </cell>
          <cell r="H747">
            <v>0</v>
          </cell>
          <cell r="I747">
            <v>0</v>
          </cell>
          <cell r="J747">
            <v>0</v>
          </cell>
          <cell r="K747">
            <v>0</v>
          </cell>
          <cell r="L747">
            <v>0</v>
          </cell>
          <cell r="M747">
            <v>0</v>
          </cell>
          <cell r="N747">
            <v>0</v>
          </cell>
          <cell r="O747">
            <v>0</v>
          </cell>
          <cell r="P747">
            <v>0</v>
          </cell>
          <cell r="Q747">
            <v>0</v>
          </cell>
          <cell r="R747">
            <v>0</v>
          </cell>
          <cell r="S747">
            <v>0</v>
          </cell>
          <cell r="T747">
            <v>0</v>
          </cell>
          <cell r="U747">
            <v>0</v>
          </cell>
          <cell r="V747">
            <v>0</v>
          </cell>
          <cell r="W747">
            <v>0</v>
          </cell>
        </row>
        <row r="748">
          <cell r="C748" t="str">
            <v>2004NJ</v>
          </cell>
          <cell r="D748">
            <v>111</v>
          </cell>
          <cell r="E748">
            <v>10296</v>
          </cell>
          <cell r="F748">
            <v>1128</v>
          </cell>
          <cell r="G748">
            <v>126</v>
          </cell>
          <cell r="H748">
            <v>0</v>
          </cell>
          <cell r="I748">
            <v>0</v>
          </cell>
          <cell r="J748">
            <v>0</v>
          </cell>
          <cell r="K748">
            <v>0</v>
          </cell>
          <cell r="L748">
            <v>0</v>
          </cell>
          <cell r="M748">
            <v>4326</v>
          </cell>
          <cell r="N748">
            <v>0</v>
          </cell>
          <cell r="O748">
            <v>0</v>
          </cell>
          <cell r="P748">
            <v>0</v>
          </cell>
          <cell r="Q748">
            <v>0</v>
          </cell>
          <cell r="R748">
            <v>0</v>
          </cell>
          <cell r="S748">
            <v>0</v>
          </cell>
          <cell r="T748">
            <v>0</v>
          </cell>
          <cell r="U748">
            <v>0</v>
          </cell>
          <cell r="V748">
            <v>0</v>
          </cell>
          <cell r="W748">
            <v>0</v>
          </cell>
        </row>
        <row r="749">
          <cell r="C749" t="str">
            <v>2004NM</v>
          </cell>
          <cell r="D749">
            <v>1176</v>
          </cell>
          <cell r="E749">
            <v>10440</v>
          </cell>
          <cell r="F749">
            <v>7800</v>
          </cell>
          <cell r="G749">
            <v>0</v>
          </cell>
          <cell r="H749">
            <v>4232</v>
          </cell>
          <cell r="I749">
            <v>0</v>
          </cell>
          <cell r="J749">
            <v>0</v>
          </cell>
          <cell r="K749">
            <v>0</v>
          </cell>
          <cell r="L749">
            <v>0</v>
          </cell>
          <cell r="M749">
            <v>0</v>
          </cell>
          <cell r="N749">
            <v>59500</v>
          </cell>
          <cell r="O749">
            <v>156</v>
          </cell>
          <cell r="P749">
            <v>0</v>
          </cell>
          <cell r="Q749">
            <v>0</v>
          </cell>
          <cell r="R749">
            <v>0</v>
          </cell>
          <cell r="S749">
            <v>0</v>
          </cell>
          <cell r="T749">
            <v>0</v>
          </cell>
          <cell r="U749">
            <v>0</v>
          </cell>
          <cell r="V749">
            <v>0</v>
          </cell>
          <cell r="W749">
            <v>0</v>
          </cell>
        </row>
        <row r="750">
          <cell r="C750" t="str">
            <v>2004NY</v>
          </cell>
          <cell r="D750">
            <v>1316</v>
          </cell>
          <cell r="E750">
            <v>61000</v>
          </cell>
          <cell r="F750">
            <v>5300</v>
          </cell>
          <cell r="G750">
            <v>530</v>
          </cell>
          <cell r="H750">
            <v>0</v>
          </cell>
          <cell r="I750">
            <v>3250</v>
          </cell>
          <cell r="J750">
            <v>0</v>
          </cell>
          <cell r="K750">
            <v>0</v>
          </cell>
          <cell r="L750">
            <v>0</v>
          </cell>
          <cell r="M750">
            <v>6708</v>
          </cell>
          <cell r="N750">
            <v>0</v>
          </cell>
          <cell r="O750">
            <v>247</v>
          </cell>
          <cell r="P750">
            <v>0</v>
          </cell>
          <cell r="Q750">
            <v>0</v>
          </cell>
          <cell r="R750">
            <v>0</v>
          </cell>
          <cell r="S750">
            <v>0</v>
          </cell>
          <cell r="T750">
            <v>0</v>
          </cell>
          <cell r="U750">
            <v>0</v>
          </cell>
          <cell r="V750">
            <v>0</v>
          </cell>
          <cell r="W750">
            <v>0</v>
          </cell>
        </row>
        <row r="751">
          <cell r="C751" t="str">
            <v>2004NC</v>
          </cell>
          <cell r="D751">
            <v>26</v>
          </cell>
          <cell r="E751">
            <v>86580</v>
          </cell>
          <cell r="F751">
            <v>23000</v>
          </cell>
          <cell r="G751">
            <v>960</v>
          </cell>
          <cell r="H751">
            <v>728</v>
          </cell>
          <cell r="I751">
            <v>1750</v>
          </cell>
          <cell r="J751">
            <v>0</v>
          </cell>
          <cell r="K751">
            <v>0</v>
          </cell>
          <cell r="L751">
            <v>0</v>
          </cell>
          <cell r="M751">
            <v>51000</v>
          </cell>
          <cell r="N751">
            <v>367500</v>
          </cell>
          <cell r="O751">
            <v>0</v>
          </cell>
          <cell r="P751">
            <v>0</v>
          </cell>
          <cell r="Q751">
            <v>0</v>
          </cell>
          <cell r="R751">
            <v>0</v>
          </cell>
          <cell r="S751">
            <v>0</v>
          </cell>
          <cell r="T751">
            <v>0</v>
          </cell>
          <cell r="U751">
            <v>0</v>
          </cell>
          <cell r="V751">
            <v>0</v>
          </cell>
          <cell r="W751">
            <v>0</v>
          </cell>
        </row>
        <row r="752">
          <cell r="C752" t="str">
            <v>2004ND</v>
          </cell>
          <cell r="D752">
            <v>1950</v>
          </cell>
          <cell r="E752">
            <v>120750</v>
          </cell>
          <cell r="F752">
            <v>306650</v>
          </cell>
          <cell r="G752">
            <v>91760</v>
          </cell>
          <cell r="H752">
            <v>0</v>
          </cell>
          <cell r="I752">
            <v>14080</v>
          </cell>
          <cell r="J752">
            <v>780</v>
          </cell>
          <cell r="K752">
            <v>0</v>
          </cell>
          <cell r="L752">
            <v>0</v>
          </cell>
          <cell r="M752">
            <v>82110</v>
          </cell>
          <cell r="N752">
            <v>0</v>
          </cell>
          <cell r="O752">
            <v>4750</v>
          </cell>
          <cell r="P752">
            <v>6926</v>
          </cell>
          <cell r="Q752">
            <v>0</v>
          </cell>
          <cell r="R752">
            <v>1288</v>
          </cell>
          <cell r="S752">
            <v>0</v>
          </cell>
          <cell r="T752">
            <v>0</v>
          </cell>
          <cell r="U752">
            <v>0</v>
          </cell>
          <cell r="V752">
            <v>0</v>
          </cell>
          <cell r="W752">
            <v>0</v>
          </cell>
        </row>
        <row r="753">
          <cell r="C753" t="str">
            <v>2004OH</v>
          </cell>
          <cell r="D753">
            <v>1504</v>
          </cell>
          <cell r="E753">
            <v>491380</v>
          </cell>
          <cell r="F753">
            <v>55180</v>
          </cell>
          <cell r="G753">
            <v>200</v>
          </cell>
          <cell r="H753">
            <v>0</v>
          </cell>
          <cell r="I753">
            <v>3150</v>
          </cell>
          <cell r="J753">
            <v>0</v>
          </cell>
          <cell r="K753">
            <v>0</v>
          </cell>
          <cell r="L753">
            <v>0</v>
          </cell>
          <cell r="M753">
            <v>207740</v>
          </cell>
          <cell r="N753">
            <v>0</v>
          </cell>
          <cell r="O753">
            <v>0</v>
          </cell>
          <cell r="P753">
            <v>0</v>
          </cell>
          <cell r="Q753">
            <v>0</v>
          </cell>
          <cell r="R753">
            <v>0</v>
          </cell>
          <cell r="S753">
            <v>0</v>
          </cell>
          <cell r="T753">
            <v>0</v>
          </cell>
          <cell r="U753">
            <v>0</v>
          </cell>
          <cell r="V753">
            <v>0</v>
          </cell>
          <cell r="W753">
            <v>0</v>
          </cell>
        </row>
        <row r="754">
          <cell r="C754" t="str">
            <v>2004OK</v>
          </cell>
          <cell r="D754">
            <v>1368</v>
          </cell>
          <cell r="E754">
            <v>30000</v>
          </cell>
          <cell r="F754">
            <v>164500</v>
          </cell>
          <cell r="G754">
            <v>0</v>
          </cell>
          <cell r="H754">
            <v>14400</v>
          </cell>
          <cell r="I754">
            <v>555</v>
          </cell>
          <cell r="J754">
            <v>1620</v>
          </cell>
          <cell r="K754">
            <v>0</v>
          </cell>
          <cell r="L754">
            <v>0</v>
          </cell>
          <cell r="M754">
            <v>8700</v>
          </cell>
          <cell r="N754">
            <v>102300</v>
          </cell>
          <cell r="O754">
            <v>0</v>
          </cell>
          <cell r="P754">
            <v>0</v>
          </cell>
          <cell r="Q754">
            <v>0</v>
          </cell>
          <cell r="R754">
            <v>0</v>
          </cell>
          <cell r="S754">
            <v>0</v>
          </cell>
          <cell r="T754">
            <v>0</v>
          </cell>
          <cell r="U754">
            <v>0.39105000000000001</v>
          </cell>
          <cell r="V754">
            <v>0</v>
          </cell>
          <cell r="W754">
            <v>0.88</v>
          </cell>
        </row>
        <row r="755">
          <cell r="C755" t="str">
            <v>2004OR</v>
          </cell>
          <cell r="D755">
            <v>2064</v>
          </cell>
          <cell r="E755">
            <v>4760</v>
          </cell>
          <cell r="F755">
            <v>55980</v>
          </cell>
          <cell r="G755">
            <v>4818</v>
          </cell>
          <cell r="H755">
            <v>0</v>
          </cell>
          <cell r="I755">
            <v>1940</v>
          </cell>
          <cell r="J755">
            <v>0</v>
          </cell>
          <cell r="K755">
            <v>0</v>
          </cell>
          <cell r="L755">
            <v>0</v>
          </cell>
          <cell r="M755">
            <v>0</v>
          </cell>
          <cell r="N755">
            <v>0</v>
          </cell>
          <cell r="O755">
            <v>116</v>
          </cell>
          <cell r="P755">
            <v>204</v>
          </cell>
          <cell r="Q755">
            <v>24</v>
          </cell>
          <cell r="R755">
            <v>0</v>
          </cell>
          <cell r="S755">
            <v>0</v>
          </cell>
          <cell r="T755">
            <v>0</v>
          </cell>
          <cell r="U755">
            <v>0</v>
          </cell>
          <cell r="V755">
            <v>0</v>
          </cell>
          <cell r="W755">
            <v>0</v>
          </cell>
        </row>
        <row r="756">
          <cell r="C756" t="str">
            <v>2004PA</v>
          </cell>
          <cell r="D756">
            <v>1512</v>
          </cell>
          <cell r="E756">
            <v>137200</v>
          </cell>
          <cell r="F756">
            <v>6615</v>
          </cell>
          <cell r="G756">
            <v>3410</v>
          </cell>
          <cell r="H756">
            <v>332</v>
          </cell>
          <cell r="I756">
            <v>6050</v>
          </cell>
          <cell r="J756">
            <v>0</v>
          </cell>
          <cell r="K756">
            <v>0</v>
          </cell>
          <cell r="L756">
            <v>0</v>
          </cell>
          <cell r="M756">
            <v>19550</v>
          </cell>
          <cell r="N756">
            <v>0</v>
          </cell>
          <cell r="O756">
            <v>0</v>
          </cell>
          <cell r="P756">
            <v>0</v>
          </cell>
          <cell r="Q756">
            <v>0</v>
          </cell>
          <cell r="R756">
            <v>0</v>
          </cell>
          <cell r="S756">
            <v>0</v>
          </cell>
          <cell r="T756">
            <v>0</v>
          </cell>
          <cell r="U756">
            <v>0</v>
          </cell>
          <cell r="V756">
            <v>0</v>
          </cell>
          <cell r="W756">
            <v>0</v>
          </cell>
        </row>
        <row r="757">
          <cell r="C757" t="str">
            <v>2004RI</v>
          </cell>
          <cell r="D757">
            <v>5</v>
          </cell>
          <cell r="E757">
            <v>0</v>
          </cell>
          <cell r="F757">
            <v>0</v>
          </cell>
          <cell r="G757">
            <v>0</v>
          </cell>
          <cell r="H757">
            <v>0</v>
          </cell>
          <cell r="I757">
            <v>0</v>
          </cell>
          <cell r="J757">
            <v>0</v>
          </cell>
          <cell r="K757">
            <v>0</v>
          </cell>
          <cell r="L757">
            <v>0</v>
          </cell>
          <cell r="M757">
            <v>0</v>
          </cell>
          <cell r="N757">
            <v>0</v>
          </cell>
          <cell r="O757">
            <v>0</v>
          </cell>
          <cell r="P757">
            <v>0</v>
          </cell>
          <cell r="Q757">
            <v>0</v>
          </cell>
          <cell r="R757">
            <v>0</v>
          </cell>
          <cell r="S757">
            <v>0</v>
          </cell>
          <cell r="T757">
            <v>0</v>
          </cell>
          <cell r="U757">
            <v>0</v>
          </cell>
          <cell r="V757">
            <v>0</v>
          </cell>
          <cell r="W757">
            <v>0</v>
          </cell>
        </row>
        <row r="758">
          <cell r="C758" t="str">
            <v>2004SC</v>
          </cell>
          <cell r="D758">
            <v>0</v>
          </cell>
          <cell r="E758">
            <v>29500</v>
          </cell>
          <cell r="F758">
            <v>7920</v>
          </cell>
          <cell r="G758">
            <v>0</v>
          </cell>
          <cell r="H758">
            <v>260</v>
          </cell>
          <cell r="I758">
            <v>1100</v>
          </cell>
          <cell r="J758">
            <v>0</v>
          </cell>
          <cell r="K758">
            <v>0</v>
          </cell>
          <cell r="L758">
            <v>0</v>
          </cell>
          <cell r="M758">
            <v>14310</v>
          </cell>
          <cell r="N758">
            <v>112200</v>
          </cell>
          <cell r="O758">
            <v>0</v>
          </cell>
          <cell r="P758">
            <v>0</v>
          </cell>
          <cell r="Q758">
            <v>0</v>
          </cell>
          <cell r="R758">
            <v>0</v>
          </cell>
          <cell r="S758">
            <v>0</v>
          </cell>
          <cell r="T758">
            <v>0</v>
          </cell>
          <cell r="U758">
            <v>0</v>
          </cell>
          <cell r="V758">
            <v>0</v>
          </cell>
          <cell r="W758">
            <v>0</v>
          </cell>
        </row>
        <row r="759">
          <cell r="C759" t="str">
            <v>2004SD</v>
          </cell>
          <cell r="D759">
            <v>4725</v>
          </cell>
          <cell r="E759">
            <v>539500</v>
          </cell>
          <cell r="F759">
            <v>128610</v>
          </cell>
          <cell r="G759">
            <v>3150</v>
          </cell>
          <cell r="H759">
            <v>6300</v>
          </cell>
          <cell r="I759">
            <v>13940</v>
          </cell>
          <cell r="J759">
            <v>649</v>
          </cell>
          <cell r="K759">
            <v>3770</v>
          </cell>
          <cell r="L759">
            <v>0</v>
          </cell>
          <cell r="M759">
            <v>140080</v>
          </cell>
          <cell r="N759">
            <v>0</v>
          </cell>
          <cell r="O759">
            <v>164</v>
          </cell>
          <cell r="P759">
            <v>0</v>
          </cell>
          <cell r="Q759">
            <v>0</v>
          </cell>
          <cell r="R759">
            <v>0</v>
          </cell>
          <cell r="S759">
            <v>0</v>
          </cell>
          <cell r="T759">
            <v>0</v>
          </cell>
          <cell r="U759">
            <v>0</v>
          </cell>
          <cell r="V759">
            <v>0</v>
          </cell>
          <cell r="W759">
            <v>0</v>
          </cell>
        </row>
        <row r="760">
          <cell r="C760" t="str">
            <v>2004TN</v>
          </cell>
          <cell r="D760">
            <v>133</v>
          </cell>
          <cell r="E760">
            <v>86100</v>
          </cell>
          <cell r="F760">
            <v>13720</v>
          </cell>
          <cell r="G760">
            <v>0</v>
          </cell>
          <cell r="H760">
            <v>1530</v>
          </cell>
          <cell r="I760">
            <v>0</v>
          </cell>
          <cell r="J760">
            <v>0</v>
          </cell>
          <cell r="K760">
            <v>0</v>
          </cell>
          <cell r="L760">
            <v>0</v>
          </cell>
          <cell r="M760">
            <v>48380</v>
          </cell>
          <cell r="N760">
            <v>0</v>
          </cell>
          <cell r="O760">
            <v>0</v>
          </cell>
          <cell r="P760">
            <v>0</v>
          </cell>
          <cell r="Q760">
            <v>0</v>
          </cell>
          <cell r="R760">
            <v>0</v>
          </cell>
          <cell r="S760">
            <v>0</v>
          </cell>
          <cell r="T760">
            <v>0</v>
          </cell>
          <cell r="U760">
            <v>0</v>
          </cell>
          <cell r="V760">
            <v>0</v>
          </cell>
          <cell r="W760">
            <v>0</v>
          </cell>
        </row>
        <row r="761">
          <cell r="C761" t="str">
            <v>2004TX</v>
          </cell>
          <cell r="D761">
            <v>855</v>
          </cell>
          <cell r="E761">
            <v>233520</v>
          </cell>
          <cell r="F761">
            <v>108500</v>
          </cell>
          <cell r="G761">
            <v>0</v>
          </cell>
          <cell r="H761">
            <v>127100</v>
          </cell>
          <cell r="I761">
            <v>6400</v>
          </cell>
          <cell r="J761">
            <v>0</v>
          </cell>
          <cell r="K761">
            <v>0</v>
          </cell>
          <cell r="L761">
            <v>14906</v>
          </cell>
          <cell r="M761">
            <v>8640</v>
          </cell>
          <cell r="N761">
            <v>803700</v>
          </cell>
          <cell r="O761">
            <v>140</v>
          </cell>
          <cell r="P761">
            <v>0</v>
          </cell>
          <cell r="Q761">
            <v>0</v>
          </cell>
          <cell r="R761">
            <v>0</v>
          </cell>
          <cell r="S761">
            <v>0</v>
          </cell>
          <cell r="T761">
            <v>1639</v>
          </cell>
          <cell r="U761">
            <v>218</v>
          </cell>
          <cell r="V761">
            <v>76.3</v>
          </cell>
          <cell r="W761">
            <v>0</v>
          </cell>
        </row>
        <row r="762">
          <cell r="C762" t="str">
            <v>2004UT</v>
          </cell>
          <cell r="D762">
            <v>2128</v>
          </cell>
          <cell r="E762">
            <v>1860</v>
          </cell>
          <cell r="F762">
            <v>5856</v>
          </cell>
          <cell r="G762">
            <v>3440</v>
          </cell>
          <cell r="H762">
            <v>0</v>
          </cell>
          <cell r="I762">
            <v>624</v>
          </cell>
          <cell r="J762">
            <v>0</v>
          </cell>
          <cell r="K762">
            <v>0</v>
          </cell>
          <cell r="L762">
            <v>0</v>
          </cell>
          <cell r="M762">
            <v>0</v>
          </cell>
          <cell r="N762">
            <v>0</v>
          </cell>
          <cell r="O762">
            <v>14</v>
          </cell>
          <cell r="P762">
            <v>0</v>
          </cell>
          <cell r="Q762">
            <v>0</v>
          </cell>
          <cell r="R762">
            <v>0</v>
          </cell>
          <cell r="S762">
            <v>0</v>
          </cell>
          <cell r="T762">
            <v>0</v>
          </cell>
          <cell r="U762">
            <v>0</v>
          </cell>
          <cell r="V762">
            <v>0</v>
          </cell>
          <cell r="W762">
            <v>0</v>
          </cell>
        </row>
        <row r="763">
          <cell r="C763" t="str">
            <v>2004VT</v>
          </cell>
          <cell r="D763">
            <v>80</v>
          </cell>
          <cell r="E763">
            <v>0</v>
          </cell>
          <cell r="F763">
            <v>0</v>
          </cell>
          <cell r="G763">
            <v>0</v>
          </cell>
          <cell r="H763">
            <v>0</v>
          </cell>
          <cell r="I763">
            <v>0</v>
          </cell>
          <cell r="J763">
            <v>0</v>
          </cell>
          <cell r="K763">
            <v>0</v>
          </cell>
          <cell r="L763">
            <v>0</v>
          </cell>
          <cell r="M763">
            <v>0</v>
          </cell>
          <cell r="N763">
            <v>0</v>
          </cell>
          <cell r="O763">
            <v>0</v>
          </cell>
          <cell r="P763">
            <v>0</v>
          </cell>
          <cell r="Q763">
            <v>0</v>
          </cell>
          <cell r="R763">
            <v>0</v>
          </cell>
          <cell r="S763">
            <v>0</v>
          </cell>
          <cell r="T763">
            <v>0</v>
          </cell>
          <cell r="U763">
            <v>0</v>
          </cell>
          <cell r="V763">
            <v>0</v>
          </cell>
          <cell r="W763">
            <v>0</v>
          </cell>
        </row>
        <row r="764">
          <cell r="C764" t="str">
            <v>2004VA</v>
          </cell>
          <cell r="D764">
            <v>440</v>
          </cell>
          <cell r="E764">
            <v>52200</v>
          </cell>
          <cell r="F764">
            <v>9900</v>
          </cell>
          <cell r="G764">
            <v>2960</v>
          </cell>
          <cell r="H764">
            <v>136</v>
          </cell>
          <cell r="I764">
            <v>0</v>
          </cell>
          <cell r="J764">
            <v>0</v>
          </cell>
          <cell r="K764">
            <v>0</v>
          </cell>
          <cell r="L764">
            <v>0</v>
          </cell>
          <cell r="M764">
            <v>20670</v>
          </cell>
          <cell r="N764">
            <v>104000</v>
          </cell>
          <cell r="O764">
            <v>0</v>
          </cell>
          <cell r="P764">
            <v>0</v>
          </cell>
          <cell r="Q764">
            <v>0</v>
          </cell>
          <cell r="R764">
            <v>0</v>
          </cell>
          <cell r="S764">
            <v>0</v>
          </cell>
          <cell r="T764">
            <v>0</v>
          </cell>
          <cell r="U764">
            <v>0</v>
          </cell>
          <cell r="V764">
            <v>0</v>
          </cell>
          <cell r="W764">
            <v>0</v>
          </cell>
        </row>
        <row r="765">
          <cell r="C765" t="str">
            <v>2004WA</v>
          </cell>
          <cell r="D765">
            <v>2400</v>
          </cell>
          <cell r="E765">
            <v>21000</v>
          </cell>
          <cell r="F765">
            <v>143500</v>
          </cell>
          <cell r="G765">
            <v>17150</v>
          </cell>
          <cell r="H765">
            <v>0</v>
          </cell>
          <cell r="I765">
            <v>616</v>
          </cell>
          <cell r="J765">
            <v>0</v>
          </cell>
          <cell r="K765">
            <v>0</v>
          </cell>
          <cell r="L765">
            <v>0</v>
          </cell>
          <cell r="M765">
            <v>0</v>
          </cell>
          <cell r="N765">
            <v>0</v>
          </cell>
          <cell r="O765">
            <v>609</v>
          </cell>
          <cell r="P765">
            <v>2088</v>
          </cell>
          <cell r="Q765">
            <v>0</v>
          </cell>
          <cell r="R765">
            <v>1116</v>
          </cell>
          <cell r="S765">
            <v>725</v>
          </cell>
          <cell r="T765">
            <v>0</v>
          </cell>
          <cell r="U765">
            <v>0</v>
          </cell>
          <cell r="V765">
            <v>0</v>
          </cell>
          <cell r="W765">
            <v>0</v>
          </cell>
        </row>
        <row r="766">
          <cell r="C766" t="str">
            <v>2004WV</v>
          </cell>
          <cell r="D766">
            <v>108</v>
          </cell>
          <cell r="E766">
            <v>3799</v>
          </cell>
          <cell r="F766">
            <v>260</v>
          </cell>
          <cell r="G766">
            <v>0</v>
          </cell>
          <cell r="H766">
            <v>0</v>
          </cell>
          <cell r="I766">
            <v>0</v>
          </cell>
          <cell r="J766">
            <v>0</v>
          </cell>
          <cell r="K766">
            <v>0</v>
          </cell>
          <cell r="L766">
            <v>0</v>
          </cell>
          <cell r="M766">
            <v>828</v>
          </cell>
          <cell r="N766">
            <v>0</v>
          </cell>
          <cell r="O766">
            <v>0</v>
          </cell>
          <cell r="P766">
            <v>0</v>
          </cell>
          <cell r="Q766">
            <v>0</v>
          </cell>
          <cell r="R766">
            <v>0</v>
          </cell>
          <cell r="S766">
            <v>0</v>
          </cell>
          <cell r="T766">
            <v>0</v>
          </cell>
          <cell r="U766">
            <v>0</v>
          </cell>
          <cell r="V766">
            <v>0</v>
          </cell>
          <cell r="W766">
            <v>0</v>
          </cell>
        </row>
        <row r="767">
          <cell r="C767" t="str">
            <v>2004WI</v>
          </cell>
          <cell r="D767">
            <v>4160</v>
          </cell>
          <cell r="E767">
            <v>353600</v>
          </cell>
          <cell r="F767">
            <v>12852</v>
          </cell>
          <cell r="G767">
            <v>1650</v>
          </cell>
          <cell r="H767">
            <v>0</v>
          </cell>
          <cell r="I767">
            <v>13650</v>
          </cell>
          <cell r="J767">
            <v>0</v>
          </cell>
          <cell r="K767">
            <v>0</v>
          </cell>
          <cell r="L767">
            <v>0</v>
          </cell>
          <cell r="M767">
            <v>53475</v>
          </cell>
          <cell r="N767">
            <v>0</v>
          </cell>
          <cell r="O767">
            <v>113</v>
          </cell>
          <cell r="P767">
            <v>0</v>
          </cell>
          <cell r="Q767">
            <v>0</v>
          </cell>
          <cell r="R767">
            <v>0</v>
          </cell>
          <cell r="S767">
            <v>0</v>
          </cell>
          <cell r="T767">
            <v>0</v>
          </cell>
          <cell r="U767">
            <v>0</v>
          </cell>
          <cell r="V767">
            <v>0</v>
          </cell>
          <cell r="W767">
            <v>0</v>
          </cell>
        </row>
        <row r="768">
          <cell r="C768" t="str">
            <v>2004WY</v>
          </cell>
          <cell r="D768">
            <v>1305</v>
          </cell>
          <cell r="E768">
            <v>6550</v>
          </cell>
          <cell r="F768">
            <v>3750</v>
          </cell>
          <cell r="G768">
            <v>7050</v>
          </cell>
          <cell r="H768">
            <v>0</v>
          </cell>
          <cell r="I768">
            <v>795</v>
          </cell>
          <cell r="J768">
            <v>0</v>
          </cell>
          <cell r="K768">
            <v>0</v>
          </cell>
          <cell r="L768">
            <v>0</v>
          </cell>
          <cell r="M768">
            <v>0</v>
          </cell>
          <cell r="N768">
            <v>0</v>
          </cell>
          <cell r="O768">
            <v>541</v>
          </cell>
          <cell r="P768">
            <v>0</v>
          </cell>
          <cell r="Q768">
            <v>0</v>
          </cell>
          <cell r="R768">
            <v>0</v>
          </cell>
          <cell r="S768">
            <v>0</v>
          </cell>
          <cell r="T768">
            <v>0</v>
          </cell>
          <cell r="U768">
            <v>0</v>
          </cell>
          <cell r="V768">
            <v>0</v>
          </cell>
          <cell r="W768">
            <v>0</v>
          </cell>
        </row>
        <row r="769">
          <cell r="C769" t="str">
            <v>2004US</v>
          </cell>
          <cell r="D769">
            <v>75481</v>
          </cell>
          <cell r="E769">
            <v>11807086</v>
          </cell>
          <cell r="F769">
            <v>2158245</v>
          </cell>
          <cell r="G769">
            <v>279743</v>
          </cell>
          <cell r="H769">
            <v>453654</v>
          </cell>
          <cell r="I769">
            <v>115695</v>
          </cell>
          <cell r="J769">
            <v>8255</v>
          </cell>
          <cell r="K769">
            <v>15065</v>
          </cell>
          <cell r="L769">
            <v>232362</v>
          </cell>
          <cell r="M769">
            <v>3123686</v>
          </cell>
          <cell r="N769">
            <v>4288200</v>
          </cell>
          <cell r="O769">
            <v>17788</v>
          </cell>
          <cell r="P769">
            <v>11419</v>
          </cell>
          <cell r="Q769">
            <v>291</v>
          </cell>
          <cell r="R769">
            <v>4182</v>
          </cell>
          <cell r="S769">
            <v>899</v>
          </cell>
          <cell r="T769">
            <v>29013</v>
          </cell>
          <cell r="U769">
            <v>3334.6705703160274</v>
          </cell>
          <cell r="V769">
            <v>243.36378968397293</v>
          </cell>
          <cell r="W769">
            <v>0</v>
          </cell>
        </row>
        <row r="770">
          <cell r="C770" t="str">
            <v>2005AL</v>
          </cell>
          <cell r="D770">
            <v>0</v>
          </cell>
          <cell r="E770">
            <v>23800</v>
          </cell>
          <cell r="F770">
            <v>2250</v>
          </cell>
          <cell r="G770">
            <v>0</v>
          </cell>
          <cell r="H770">
            <v>318</v>
          </cell>
          <cell r="I770">
            <v>1100</v>
          </cell>
          <cell r="J770">
            <v>0</v>
          </cell>
          <cell r="K770">
            <v>0</v>
          </cell>
          <cell r="L770">
            <v>0</v>
          </cell>
          <cell r="M770">
            <v>4785</v>
          </cell>
          <cell r="N770">
            <v>613250</v>
          </cell>
          <cell r="O770">
            <v>0</v>
          </cell>
          <cell r="P770">
            <v>0</v>
          </cell>
          <cell r="Q770">
            <v>0</v>
          </cell>
          <cell r="R770">
            <v>0</v>
          </cell>
          <cell r="S770">
            <v>0</v>
          </cell>
          <cell r="T770">
            <v>0</v>
          </cell>
          <cell r="U770">
            <v>0</v>
          </cell>
          <cell r="V770">
            <v>0</v>
          </cell>
          <cell r="W770">
            <v>0</v>
          </cell>
        </row>
        <row r="771">
          <cell r="C771" t="str">
            <v>2005AK</v>
          </cell>
          <cell r="D771">
            <v>0</v>
          </cell>
          <cell r="E771">
            <v>0</v>
          </cell>
          <cell r="F771">
            <v>0</v>
          </cell>
          <cell r="G771">
            <v>208000</v>
          </cell>
          <cell r="H771">
            <v>0</v>
          </cell>
          <cell r="I771">
            <v>58000</v>
          </cell>
          <cell r="J771">
            <v>0</v>
          </cell>
          <cell r="K771">
            <v>0</v>
          </cell>
          <cell r="L771">
            <v>0</v>
          </cell>
          <cell r="M771">
            <v>0</v>
          </cell>
          <cell r="N771">
            <v>0</v>
          </cell>
          <cell r="O771">
            <v>0</v>
          </cell>
          <cell r="P771">
            <v>0</v>
          </cell>
          <cell r="Q771">
            <v>0</v>
          </cell>
          <cell r="R771">
            <v>0</v>
          </cell>
          <cell r="S771">
            <v>0</v>
          </cell>
          <cell r="T771">
            <v>0</v>
          </cell>
          <cell r="U771">
            <v>0</v>
          </cell>
          <cell r="V771">
            <v>0</v>
          </cell>
          <cell r="W771">
            <v>0</v>
          </cell>
        </row>
        <row r="772">
          <cell r="C772" t="str">
            <v>2005AZ</v>
          </cell>
          <cell r="D772">
            <v>2184</v>
          </cell>
          <cell r="E772">
            <v>4290</v>
          </cell>
          <cell r="F772">
            <v>8060</v>
          </cell>
          <cell r="G772">
            <v>3000</v>
          </cell>
          <cell r="H772">
            <v>665</v>
          </cell>
          <cell r="I772">
            <v>0</v>
          </cell>
          <cell r="J772">
            <v>0</v>
          </cell>
          <cell r="K772">
            <v>0</v>
          </cell>
          <cell r="L772">
            <v>0</v>
          </cell>
          <cell r="M772">
            <v>0</v>
          </cell>
          <cell r="N772">
            <v>0</v>
          </cell>
          <cell r="O772">
            <v>0</v>
          </cell>
          <cell r="P772">
            <v>0</v>
          </cell>
          <cell r="Q772">
            <v>0</v>
          </cell>
          <cell r="R772">
            <v>0</v>
          </cell>
          <cell r="S772">
            <v>0</v>
          </cell>
          <cell r="T772">
            <v>0</v>
          </cell>
          <cell r="U772">
            <v>0</v>
          </cell>
          <cell r="V772">
            <v>0</v>
          </cell>
          <cell r="W772">
            <v>0</v>
          </cell>
        </row>
        <row r="773">
          <cell r="C773" t="str">
            <v>2005AR</v>
          </cell>
          <cell r="D773">
            <v>46</v>
          </cell>
          <cell r="E773">
            <v>30130</v>
          </cell>
          <cell r="F773">
            <v>8320</v>
          </cell>
          <cell r="G773">
            <v>0</v>
          </cell>
          <cell r="H773">
            <v>4960</v>
          </cell>
          <cell r="I773">
            <v>0</v>
          </cell>
          <cell r="J773">
            <v>0</v>
          </cell>
          <cell r="K773">
            <v>0</v>
          </cell>
          <cell r="L773">
            <v>108792</v>
          </cell>
          <cell r="M773">
            <v>102000</v>
          </cell>
          <cell r="N773">
            <v>0</v>
          </cell>
          <cell r="O773">
            <v>0</v>
          </cell>
          <cell r="P773">
            <v>0</v>
          </cell>
          <cell r="Q773">
            <v>0</v>
          </cell>
          <cell r="R773">
            <v>0</v>
          </cell>
          <cell r="S773">
            <v>0</v>
          </cell>
          <cell r="T773">
            <v>0</v>
          </cell>
          <cell r="U773">
            <v>1635</v>
          </cell>
          <cell r="V773">
            <v>1.635</v>
          </cell>
          <cell r="W773">
            <v>0.222</v>
          </cell>
        </row>
        <row r="774">
          <cell r="C774" t="str">
            <v>2005CA</v>
          </cell>
          <cell r="D774">
            <v>7176</v>
          </cell>
          <cell r="E774">
            <v>22360</v>
          </cell>
          <cell r="F774">
            <v>28155</v>
          </cell>
          <cell r="G774">
            <v>3780</v>
          </cell>
          <cell r="H774">
            <v>900</v>
          </cell>
          <cell r="I774">
            <v>1500</v>
          </cell>
          <cell r="J774">
            <v>0</v>
          </cell>
          <cell r="K774">
            <v>0</v>
          </cell>
          <cell r="L774">
            <v>38836</v>
          </cell>
          <cell r="M774">
            <v>0</v>
          </cell>
          <cell r="N774">
            <v>0</v>
          </cell>
          <cell r="O774">
            <v>1385</v>
          </cell>
          <cell r="P774">
            <v>0</v>
          </cell>
          <cell r="Q774">
            <v>0</v>
          </cell>
          <cell r="R774">
            <v>0</v>
          </cell>
          <cell r="S774">
            <v>0</v>
          </cell>
          <cell r="T774">
            <v>0</v>
          </cell>
          <cell r="U774">
            <v>526</v>
          </cell>
          <cell r="V774">
            <v>0</v>
          </cell>
          <cell r="W774">
            <v>0.16117043282964594</v>
          </cell>
        </row>
        <row r="775">
          <cell r="C775" t="str">
            <v>2005CO</v>
          </cell>
          <cell r="D775">
            <v>2960</v>
          </cell>
          <cell r="E775">
            <v>140600</v>
          </cell>
          <cell r="F775">
            <v>54035</v>
          </cell>
          <cell r="G775">
            <v>7670</v>
          </cell>
          <cell r="H775">
            <v>3410</v>
          </cell>
          <cell r="I775">
            <v>1125</v>
          </cell>
          <cell r="J775">
            <v>0</v>
          </cell>
          <cell r="K775">
            <v>5500</v>
          </cell>
          <cell r="L775">
            <v>0</v>
          </cell>
          <cell r="M775">
            <v>0</v>
          </cell>
          <cell r="N775">
            <v>0</v>
          </cell>
          <cell r="O775">
            <v>1320</v>
          </cell>
          <cell r="P775">
            <v>0</v>
          </cell>
          <cell r="Q775">
            <v>0</v>
          </cell>
          <cell r="R775">
            <v>0</v>
          </cell>
          <cell r="S775">
            <v>0</v>
          </cell>
          <cell r="T775">
            <v>0</v>
          </cell>
          <cell r="U775">
            <v>0</v>
          </cell>
          <cell r="V775">
            <v>0</v>
          </cell>
          <cell r="W775">
            <v>0</v>
          </cell>
        </row>
        <row r="776">
          <cell r="C776" t="str">
            <v>2005CT</v>
          </cell>
          <cell r="D776">
            <v>19</v>
          </cell>
          <cell r="E776">
            <v>0</v>
          </cell>
          <cell r="F776">
            <v>0</v>
          </cell>
          <cell r="G776">
            <v>0</v>
          </cell>
          <cell r="H776">
            <v>0</v>
          </cell>
          <cell r="I776">
            <v>0</v>
          </cell>
          <cell r="J776">
            <v>0</v>
          </cell>
          <cell r="K776">
            <v>0</v>
          </cell>
          <cell r="L776">
            <v>0</v>
          </cell>
          <cell r="M776">
            <v>0</v>
          </cell>
          <cell r="N776">
            <v>0</v>
          </cell>
          <cell r="O776">
            <v>0</v>
          </cell>
          <cell r="P776">
            <v>0</v>
          </cell>
          <cell r="Q776">
            <v>0</v>
          </cell>
          <cell r="R776">
            <v>0</v>
          </cell>
          <cell r="S776">
            <v>0</v>
          </cell>
          <cell r="T776">
            <v>0</v>
          </cell>
          <cell r="U776">
            <v>0</v>
          </cell>
          <cell r="V776">
            <v>0</v>
          </cell>
          <cell r="W776">
            <v>0</v>
          </cell>
        </row>
        <row r="777">
          <cell r="C777" t="str">
            <v>2005DE</v>
          </cell>
          <cell r="D777">
            <v>18</v>
          </cell>
          <cell r="E777">
            <v>22022</v>
          </cell>
          <cell r="F777">
            <v>3570</v>
          </cell>
          <cell r="G777">
            <v>2187</v>
          </cell>
          <cell r="H777">
            <v>0</v>
          </cell>
          <cell r="I777">
            <v>0</v>
          </cell>
          <cell r="J777">
            <v>0</v>
          </cell>
          <cell r="K777">
            <v>0</v>
          </cell>
          <cell r="L777">
            <v>0</v>
          </cell>
          <cell r="M777">
            <v>4732</v>
          </cell>
          <cell r="N777">
            <v>0</v>
          </cell>
          <cell r="O777">
            <v>0</v>
          </cell>
          <cell r="P777">
            <v>0</v>
          </cell>
          <cell r="Q777">
            <v>0</v>
          </cell>
          <cell r="R777">
            <v>0</v>
          </cell>
          <cell r="S777">
            <v>0</v>
          </cell>
          <cell r="T777">
            <v>0</v>
          </cell>
          <cell r="U777">
            <v>0</v>
          </cell>
          <cell r="V777">
            <v>0</v>
          </cell>
          <cell r="W777">
            <v>0</v>
          </cell>
        </row>
        <row r="778">
          <cell r="C778" t="str">
            <v>2005FL</v>
          </cell>
          <cell r="D778">
            <v>0</v>
          </cell>
          <cell r="E778">
            <v>2632</v>
          </cell>
          <cell r="F778">
            <v>360</v>
          </cell>
          <cell r="G778">
            <v>0</v>
          </cell>
          <cell r="H778">
            <v>0</v>
          </cell>
          <cell r="I778">
            <v>0</v>
          </cell>
          <cell r="J778">
            <v>0</v>
          </cell>
          <cell r="K778">
            <v>0</v>
          </cell>
          <cell r="L778">
            <v>0</v>
          </cell>
          <cell r="M778">
            <v>256</v>
          </cell>
          <cell r="N778">
            <v>410400</v>
          </cell>
          <cell r="O778">
            <v>0</v>
          </cell>
          <cell r="P778">
            <v>0</v>
          </cell>
          <cell r="Q778">
            <v>0</v>
          </cell>
          <cell r="R778">
            <v>0</v>
          </cell>
          <cell r="S778">
            <v>0</v>
          </cell>
          <cell r="T778">
            <v>12746</v>
          </cell>
          <cell r="U778">
            <v>11.28</v>
          </cell>
          <cell r="V778">
            <v>0</v>
          </cell>
          <cell r="W778">
            <v>0</v>
          </cell>
        </row>
        <row r="779">
          <cell r="C779" t="str">
            <v>2005GA</v>
          </cell>
          <cell r="D779">
            <v>0</v>
          </cell>
          <cell r="E779">
            <v>29670</v>
          </cell>
          <cell r="F779">
            <v>7280</v>
          </cell>
          <cell r="G779">
            <v>0</v>
          </cell>
          <cell r="H779">
            <v>1350</v>
          </cell>
          <cell r="I779">
            <v>1200</v>
          </cell>
          <cell r="J779">
            <v>810</v>
          </cell>
          <cell r="K779">
            <v>0</v>
          </cell>
          <cell r="L779">
            <v>0</v>
          </cell>
          <cell r="M779">
            <v>4550</v>
          </cell>
          <cell r="N779">
            <v>2130000</v>
          </cell>
          <cell r="O779">
            <v>0</v>
          </cell>
          <cell r="P779">
            <v>0</v>
          </cell>
          <cell r="Q779">
            <v>0</v>
          </cell>
          <cell r="R779">
            <v>0</v>
          </cell>
          <cell r="S779">
            <v>0</v>
          </cell>
          <cell r="T779">
            <v>0</v>
          </cell>
          <cell r="U779">
            <v>0</v>
          </cell>
          <cell r="V779">
            <v>0</v>
          </cell>
          <cell r="W779">
            <v>0</v>
          </cell>
        </row>
        <row r="780">
          <cell r="C780" t="str">
            <v>2005HI</v>
          </cell>
          <cell r="D780">
            <v>0</v>
          </cell>
          <cell r="E780">
            <v>0</v>
          </cell>
          <cell r="F780">
            <v>0</v>
          </cell>
          <cell r="G780">
            <v>0</v>
          </cell>
          <cell r="H780">
            <v>0</v>
          </cell>
          <cell r="I780">
            <v>0</v>
          </cell>
          <cell r="J780">
            <v>0</v>
          </cell>
          <cell r="K780">
            <v>0</v>
          </cell>
          <cell r="L780">
            <v>0</v>
          </cell>
          <cell r="M780">
            <v>0</v>
          </cell>
          <cell r="N780">
            <v>0</v>
          </cell>
          <cell r="O780">
            <v>0</v>
          </cell>
          <cell r="P780">
            <v>0</v>
          </cell>
          <cell r="Q780">
            <v>0</v>
          </cell>
          <cell r="R780">
            <v>0</v>
          </cell>
          <cell r="S780">
            <v>0</v>
          </cell>
          <cell r="T780">
            <v>1816</v>
          </cell>
          <cell r="U780">
            <v>0</v>
          </cell>
          <cell r="V780">
            <v>0</v>
          </cell>
          <cell r="W780">
            <v>0</v>
          </cell>
        </row>
        <row r="781">
          <cell r="C781" t="str">
            <v>2005ID</v>
          </cell>
          <cell r="D781">
            <v>4788</v>
          </cell>
          <cell r="E781">
            <v>10200</v>
          </cell>
          <cell r="F781">
            <v>100590</v>
          </cell>
          <cell r="G781">
            <v>52200</v>
          </cell>
          <cell r="H781">
            <v>0</v>
          </cell>
          <cell r="I781">
            <v>1280</v>
          </cell>
          <cell r="J781">
            <v>0</v>
          </cell>
          <cell r="K781">
            <v>0</v>
          </cell>
          <cell r="L781">
            <v>0</v>
          </cell>
          <cell r="M781">
            <v>0</v>
          </cell>
          <cell r="N781">
            <v>0</v>
          </cell>
          <cell r="O781">
            <v>1862</v>
          </cell>
          <cell r="P781">
            <v>598</v>
          </cell>
          <cell r="Q781">
            <v>88</v>
          </cell>
          <cell r="R781">
            <v>567</v>
          </cell>
          <cell r="S781">
            <v>140</v>
          </cell>
          <cell r="T781">
            <v>0</v>
          </cell>
          <cell r="U781">
            <v>0</v>
          </cell>
          <cell r="V781">
            <v>0</v>
          </cell>
          <cell r="W781">
            <v>0</v>
          </cell>
        </row>
        <row r="782">
          <cell r="C782" t="str">
            <v>2005IL</v>
          </cell>
          <cell r="D782">
            <v>1400</v>
          </cell>
          <cell r="E782">
            <v>1708850</v>
          </cell>
          <cell r="F782">
            <v>36600</v>
          </cell>
          <cell r="G782">
            <v>0</v>
          </cell>
          <cell r="H782">
            <v>7636</v>
          </cell>
          <cell r="I782">
            <v>3160</v>
          </cell>
          <cell r="J782">
            <v>0</v>
          </cell>
          <cell r="K782">
            <v>0</v>
          </cell>
          <cell r="L782">
            <v>0</v>
          </cell>
          <cell r="M782">
            <v>439425</v>
          </cell>
          <cell r="N782">
            <v>0</v>
          </cell>
          <cell r="O782">
            <v>0</v>
          </cell>
          <cell r="P782">
            <v>0</v>
          </cell>
          <cell r="Q782">
            <v>0</v>
          </cell>
          <cell r="R782">
            <v>0</v>
          </cell>
          <cell r="S782">
            <v>0</v>
          </cell>
          <cell r="T782">
            <v>0</v>
          </cell>
          <cell r="U782">
            <v>0</v>
          </cell>
          <cell r="V782">
            <v>0</v>
          </cell>
          <cell r="W782">
            <v>0</v>
          </cell>
        </row>
        <row r="783">
          <cell r="C783" t="str">
            <v>2005IN</v>
          </cell>
          <cell r="D783">
            <v>1292</v>
          </cell>
          <cell r="E783">
            <v>888580</v>
          </cell>
          <cell r="F783">
            <v>24480</v>
          </cell>
          <cell r="G783">
            <v>0</v>
          </cell>
          <cell r="H783">
            <v>0</v>
          </cell>
          <cell r="I783">
            <v>621</v>
          </cell>
          <cell r="J783">
            <v>0</v>
          </cell>
          <cell r="K783">
            <v>0</v>
          </cell>
          <cell r="L783">
            <v>0</v>
          </cell>
          <cell r="M783">
            <v>263620</v>
          </cell>
          <cell r="N783">
            <v>0</v>
          </cell>
          <cell r="O783">
            <v>0</v>
          </cell>
          <cell r="P783">
            <v>0</v>
          </cell>
          <cell r="Q783">
            <v>0</v>
          </cell>
          <cell r="R783">
            <v>0</v>
          </cell>
          <cell r="S783">
            <v>0</v>
          </cell>
          <cell r="T783">
            <v>0</v>
          </cell>
          <cell r="U783">
            <v>0</v>
          </cell>
          <cell r="V783">
            <v>0</v>
          </cell>
          <cell r="W783">
            <v>0</v>
          </cell>
        </row>
        <row r="784">
          <cell r="C784" t="str">
            <v>2005IA</v>
          </cell>
          <cell r="D784">
            <v>5125</v>
          </cell>
          <cell r="E784">
            <v>2162500</v>
          </cell>
          <cell r="F784">
            <v>750</v>
          </cell>
          <cell r="G784">
            <v>0</v>
          </cell>
          <cell r="H784">
            <v>0</v>
          </cell>
          <cell r="I784">
            <v>9875</v>
          </cell>
          <cell r="J784">
            <v>0</v>
          </cell>
          <cell r="K784">
            <v>0</v>
          </cell>
          <cell r="L784">
            <v>0</v>
          </cell>
          <cell r="M784">
            <v>525000</v>
          </cell>
          <cell r="N784">
            <v>0</v>
          </cell>
          <cell r="O784">
            <v>0</v>
          </cell>
          <cell r="P784">
            <v>0</v>
          </cell>
          <cell r="Q784">
            <v>0</v>
          </cell>
          <cell r="R784">
            <v>0</v>
          </cell>
          <cell r="S784">
            <v>0</v>
          </cell>
          <cell r="T784">
            <v>0</v>
          </cell>
          <cell r="U784">
            <v>0</v>
          </cell>
          <cell r="V784">
            <v>0</v>
          </cell>
          <cell r="W784">
            <v>0</v>
          </cell>
        </row>
        <row r="785">
          <cell r="C785" t="str">
            <v>2005KS</v>
          </cell>
          <cell r="D785">
            <v>3400</v>
          </cell>
          <cell r="E785">
            <v>465750</v>
          </cell>
          <cell r="F785">
            <v>380000</v>
          </cell>
          <cell r="G785">
            <v>588</v>
          </cell>
          <cell r="H785">
            <v>195000</v>
          </cell>
          <cell r="I785">
            <v>2360</v>
          </cell>
          <cell r="J785">
            <v>0</v>
          </cell>
          <cell r="K785">
            <v>0</v>
          </cell>
          <cell r="L785">
            <v>0</v>
          </cell>
          <cell r="M785">
            <v>105450</v>
          </cell>
          <cell r="N785">
            <v>0</v>
          </cell>
          <cell r="O785">
            <v>275</v>
          </cell>
          <cell r="P785">
            <v>0</v>
          </cell>
          <cell r="Q785">
            <v>0</v>
          </cell>
          <cell r="R785">
            <v>0</v>
          </cell>
          <cell r="S785">
            <v>0</v>
          </cell>
          <cell r="T785">
            <v>0</v>
          </cell>
          <cell r="U785">
            <v>0</v>
          </cell>
          <cell r="V785">
            <v>0</v>
          </cell>
          <cell r="W785">
            <v>0</v>
          </cell>
        </row>
        <row r="786">
          <cell r="C786" t="str">
            <v>2005KY</v>
          </cell>
          <cell r="D786">
            <v>832</v>
          </cell>
          <cell r="E786">
            <v>155760</v>
          </cell>
          <cell r="F786">
            <v>20400</v>
          </cell>
          <cell r="G786">
            <v>747</v>
          </cell>
          <cell r="H786">
            <v>2160</v>
          </cell>
          <cell r="I786">
            <v>0</v>
          </cell>
          <cell r="J786">
            <v>0</v>
          </cell>
          <cell r="K786">
            <v>0</v>
          </cell>
          <cell r="L786">
            <v>0</v>
          </cell>
          <cell r="M786">
            <v>53320</v>
          </cell>
          <cell r="N786">
            <v>0</v>
          </cell>
          <cell r="O786">
            <v>0</v>
          </cell>
          <cell r="P786">
            <v>0</v>
          </cell>
          <cell r="Q786">
            <v>0</v>
          </cell>
          <cell r="R786">
            <v>0</v>
          </cell>
          <cell r="S786">
            <v>0</v>
          </cell>
          <cell r="T786">
            <v>0</v>
          </cell>
          <cell r="U786">
            <v>0</v>
          </cell>
          <cell r="V786">
            <v>0</v>
          </cell>
          <cell r="W786">
            <v>0</v>
          </cell>
        </row>
        <row r="787">
          <cell r="C787" t="str">
            <v>2005LA</v>
          </cell>
          <cell r="D787">
            <v>0</v>
          </cell>
          <cell r="E787">
            <v>44880</v>
          </cell>
          <cell r="F787">
            <v>4800</v>
          </cell>
          <cell r="G787">
            <v>0</v>
          </cell>
          <cell r="H787">
            <v>8712</v>
          </cell>
          <cell r="I787">
            <v>0</v>
          </cell>
          <cell r="J787">
            <v>0</v>
          </cell>
          <cell r="K787">
            <v>0</v>
          </cell>
          <cell r="L787">
            <v>30983</v>
          </cell>
          <cell r="M787">
            <v>28900</v>
          </cell>
          <cell r="N787">
            <v>0</v>
          </cell>
          <cell r="O787">
            <v>0</v>
          </cell>
          <cell r="P787">
            <v>0</v>
          </cell>
          <cell r="Q787">
            <v>0</v>
          </cell>
          <cell r="R787">
            <v>0</v>
          </cell>
          <cell r="S787">
            <v>0</v>
          </cell>
          <cell r="T787">
            <v>10420</v>
          </cell>
          <cell r="U787">
            <v>525</v>
          </cell>
          <cell r="V787">
            <v>68.25</v>
          </cell>
          <cell r="W787">
            <v>0.03</v>
          </cell>
        </row>
        <row r="788">
          <cell r="C788" t="str">
            <v>2005ME</v>
          </cell>
          <cell r="D788">
            <v>30</v>
          </cell>
          <cell r="E788">
            <v>0</v>
          </cell>
          <cell r="F788">
            <v>0</v>
          </cell>
          <cell r="G788">
            <v>1320</v>
          </cell>
          <cell r="H788">
            <v>0</v>
          </cell>
          <cell r="I788">
            <v>1960</v>
          </cell>
          <cell r="J788">
            <v>0</v>
          </cell>
          <cell r="K788">
            <v>0</v>
          </cell>
          <cell r="L788">
            <v>0</v>
          </cell>
          <cell r="M788">
            <v>0</v>
          </cell>
          <cell r="N788">
            <v>0</v>
          </cell>
          <cell r="O788">
            <v>0</v>
          </cell>
          <cell r="P788">
            <v>0</v>
          </cell>
          <cell r="Q788">
            <v>0</v>
          </cell>
          <cell r="R788">
            <v>0</v>
          </cell>
          <cell r="S788">
            <v>0</v>
          </cell>
          <cell r="T788">
            <v>0</v>
          </cell>
          <cell r="U788">
            <v>0</v>
          </cell>
          <cell r="V788">
            <v>0</v>
          </cell>
          <cell r="W788">
            <v>0</v>
          </cell>
        </row>
        <row r="789">
          <cell r="C789" t="str">
            <v>2005MD</v>
          </cell>
          <cell r="D789">
            <v>156</v>
          </cell>
          <cell r="E789">
            <v>54000</v>
          </cell>
          <cell r="F789">
            <v>9240</v>
          </cell>
          <cell r="G789">
            <v>3526</v>
          </cell>
          <cell r="H789">
            <v>0</v>
          </cell>
          <cell r="I789">
            <v>0</v>
          </cell>
          <cell r="J789">
            <v>0</v>
          </cell>
          <cell r="K789">
            <v>0</v>
          </cell>
          <cell r="L789">
            <v>0</v>
          </cell>
          <cell r="M789">
            <v>15980</v>
          </cell>
          <cell r="N789">
            <v>0</v>
          </cell>
          <cell r="O789">
            <v>0</v>
          </cell>
          <cell r="P789">
            <v>0</v>
          </cell>
          <cell r="Q789">
            <v>0</v>
          </cell>
          <cell r="R789">
            <v>0</v>
          </cell>
          <cell r="S789">
            <v>0</v>
          </cell>
          <cell r="T789">
            <v>0</v>
          </cell>
          <cell r="U789">
            <v>0</v>
          </cell>
          <cell r="V789">
            <v>0</v>
          </cell>
          <cell r="W789">
            <v>0</v>
          </cell>
        </row>
        <row r="790">
          <cell r="C790" t="str">
            <v>2005MA</v>
          </cell>
          <cell r="D790">
            <v>31</v>
          </cell>
          <cell r="E790">
            <v>0</v>
          </cell>
          <cell r="F790">
            <v>0</v>
          </cell>
          <cell r="G790">
            <v>0</v>
          </cell>
          <cell r="H790">
            <v>0</v>
          </cell>
          <cell r="I790">
            <v>0</v>
          </cell>
          <cell r="J790">
            <v>0</v>
          </cell>
          <cell r="K790">
            <v>0</v>
          </cell>
          <cell r="L790">
            <v>0</v>
          </cell>
          <cell r="M790">
            <v>0</v>
          </cell>
          <cell r="N790">
            <v>0</v>
          </cell>
          <cell r="O790">
            <v>0</v>
          </cell>
          <cell r="P790">
            <v>0</v>
          </cell>
          <cell r="Q790">
            <v>0</v>
          </cell>
          <cell r="R790">
            <v>0</v>
          </cell>
          <cell r="S790">
            <v>0</v>
          </cell>
          <cell r="T790">
            <v>0</v>
          </cell>
          <cell r="U790">
            <v>0</v>
          </cell>
          <cell r="V790">
            <v>0</v>
          </cell>
          <cell r="W790">
            <v>0</v>
          </cell>
        </row>
        <row r="791">
          <cell r="C791" t="str">
            <v>2005MI</v>
          </cell>
          <cell r="D791">
            <v>2790</v>
          </cell>
          <cell r="E791">
            <v>287430</v>
          </cell>
          <cell r="F791">
            <v>38940</v>
          </cell>
          <cell r="G791">
            <v>517</v>
          </cell>
          <cell r="H791">
            <v>0</v>
          </cell>
          <cell r="I791">
            <v>4575</v>
          </cell>
          <cell r="J791">
            <v>0</v>
          </cell>
          <cell r="K791">
            <v>0</v>
          </cell>
          <cell r="L791">
            <v>0</v>
          </cell>
          <cell r="M791">
            <v>76615</v>
          </cell>
          <cell r="N791">
            <v>0</v>
          </cell>
          <cell r="O791">
            <v>3910</v>
          </cell>
          <cell r="P791">
            <v>0</v>
          </cell>
          <cell r="Q791">
            <v>0</v>
          </cell>
          <cell r="R791">
            <v>0</v>
          </cell>
          <cell r="S791">
            <v>0</v>
          </cell>
          <cell r="T791">
            <v>0</v>
          </cell>
          <cell r="U791">
            <v>0</v>
          </cell>
          <cell r="V791">
            <v>0</v>
          </cell>
          <cell r="W791">
            <v>0</v>
          </cell>
        </row>
        <row r="792">
          <cell r="C792" t="str">
            <v>2005MN</v>
          </cell>
          <cell r="D792">
            <v>4725</v>
          </cell>
          <cell r="E792">
            <v>1191900</v>
          </cell>
          <cell r="F792">
            <v>71470</v>
          </cell>
          <cell r="G792">
            <v>3870</v>
          </cell>
          <cell r="H792">
            <v>0</v>
          </cell>
          <cell r="I792">
            <v>12710</v>
          </cell>
          <cell r="J792">
            <v>0</v>
          </cell>
          <cell r="K792">
            <v>0</v>
          </cell>
          <cell r="L792">
            <v>0</v>
          </cell>
          <cell r="M792">
            <v>306000</v>
          </cell>
          <cell r="N792">
            <v>0</v>
          </cell>
          <cell r="O792">
            <v>2430</v>
          </cell>
          <cell r="P792">
            <v>0</v>
          </cell>
          <cell r="Q792">
            <v>0</v>
          </cell>
          <cell r="R792">
            <v>0</v>
          </cell>
          <cell r="S792">
            <v>0</v>
          </cell>
          <cell r="T792">
            <v>0</v>
          </cell>
          <cell r="U792">
            <v>0</v>
          </cell>
          <cell r="V792">
            <v>0</v>
          </cell>
          <cell r="W792">
            <v>0</v>
          </cell>
        </row>
        <row r="793">
          <cell r="C793" t="str">
            <v>2005MS</v>
          </cell>
          <cell r="D793">
            <v>0</v>
          </cell>
          <cell r="E793">
            <v>47085</v>
          </cell>
          <cell r="F793">
            <v>3250</v>
          </cell>
          <cell r="G793">
            <v>0</v>
          </cell>
          <cell r="H793">
            <v>1840</v>
          </cell>
          <cell r="I793">
            <v>0</v>
          </cell>
          <cell r="J793">
            <v>0</v>
          </cell>
          <cell r="K793">
            <v>0</v>
          </cell>
          <cell r="L793">
            <v>16832</v>
          </cell>
          <cell r="M793">
            <v>58035</v>
          </cell>
          <cell r="N793">
            <v>44800</v>
          </cell>
          <cell r="O793">
            <v>0</v>
          </cell>
          <cell r="P793">
            <v>0</v>
          </cell>
          <cell r="Q793">
            <v>0</v>
          </cell>
          <cell r="R793">
            <v>0</v>
          </cell>
          <cell r="S793">
            <v>0</v>
          </cell>
          <cell r="T793">
            <v>0</v>
          </cell>
          <cell r="U793">
            <v>263</v>
          </cell>
          <cell r="V793">
            <v>0</v>
          </cell>
          <cell r="W793">
            <v>0.22500000000000001</v>
          </cell>
        </row>
        <row r="794">
          <cell r="C794" t="str">
            <v>2005MO</v>
          </cell>
          <cell r="D794">
            <v>1215</v>
          </cell>
          <cell r="E794">
            <v>329670</v>
          </cell>
          <cell r="F794">
            <v>29160</v>
          </cell>
          <cell r="G794">
            <v>0</v>
          </cell>
          <cell r="H794">
            <v>9880</v>
          </cell>
          <cell r="I794">
            <v>1300</v>
          </cell>
          <cell r="J794">
            <v>0</v>
          </cell>
          <cell r="K794">
            <v>0</v>
          </cell>
          <cell r="L794">
            <v>14124</v>
          </cell>
          <cell r="M794">
            <v>181670</v>
          </cell>
          <cell r="N794">
            <v>0</v>
          </cell>
          <cell r="O794">
            <v>0</v>
          </cell>
          <cell r="P794">
            <v>0</v>
          </cell>
          <cell r="Q794">
            <v>0</v>
          </cell>
          <cell r="R794">
            <v>0</v>
          </cell>
          <cell r="S794">
            <v>0</v>
          </cell>
          <cell r="T794">
            <v>0</v>
          </cell>
          <cell r="U794">
            <v>214</v>
          </cell>
          <cell r="V794">
            <v>0</v>
          </cell>
          <cell r="W794">
            <v>0.17499999999999999</v>
          </cell>
        </row>
        <row r="795">
          <cell r="C795" t="str">
            <v>2005MT</v>
          </cell>
          <cell r="D795">
            <v>3850</v>
          </cell>
          <cell r="E795">
            <v>2516</v>
          </cell>
          <cell r="F795">
            <v>192480</v>
          </cell>
          <cell r="G795">
            <v>39200</v>
          </cell>
          <cell r="H795">
            <v>0</v>
          </cell>
          <cell r="I795">
            <v>1855</v>
          </cell>
          <cell r="J795">
            <v>0</v>
          </cell>
          <cell r="K795">
            <v>0</v>
          </cell>
          <cell r="L795">
            <v>0</v>
          </cell>
          <cell r="M795">
            <v>0</v>
          </cell>
          <cell r="N795">
            <v>0</v>
          </cell>
          <cell r="O795">
            <v>282</v>
          </cell>
          <cell r="P795">
            <v>2196</v>
          </cell>
          <cell r="Q795">
            <v>159</v>
          </cell>
          <cell r="R795">
            <v>1869</v>
          </cell>
          <cell r="S795">
            <v>0</v>
          </cell>
          <cell r="T795">
            <v>0</v>
          </cell>
          <cell r="U795">
            <v>0</v>
          </cell>
          <cell r="V795">
            <v>0</v>
          </cell>
          <cell r="W795">
            <v>0</v>
          </cell>
        </row>
        <row r="796">
          <cell r="C796" t="str">
            <v>2005NE</v>
          </cell>
          <cell r="D796">
            <v>4625</v>
          </cell>
          <cell r="E796">
            <v>1270500</v>
          </cell>
          <cell r="F796">
            <v>68640</v>
          </cell>
          <cell r="G796">
            <v>0</v>
          </cell>
          <cell r="H796">
            <v>21750</v>
          </cell>
          <cell r="I796">
            <v>4380</v>
          </cell>
          <cell r="J796">
            <v>0</v>
          </cell>
          <cell r="K796">
            <v>4375</v>
          </cell>
          <cell r="L796">
            <v>0</v>
          </cell>
          <cell r="M796">
            <v>235330</v>
          </cell>
          <cell r="N796">
            <v>0</v>
          </cell>
          <cell r="O796">
            <v>3870</v>
          </cell>
          <cell r="P796">
            <v>0</v>
          </cell>
          <cell r="Q796">
            <v>0</v>
          </cell>
          <cell r="R796">
            <v>0</v>
          </cell>
          <cell r="S796">
            <v>0</v>
          </cell>
          <cell r="T796">
            <v>0</v>
          </cell>
          <cell r="U796">
            <v>0</v>
          </cell>
          <cell r="V796">
            <v>0</v>
          </cell>
          <cell r="W796">
            <v>0</v>
          </cell>
        </row>
        <row r="797">
          <cell r="C797" t="str">
            <v>2005NV</v>
          </cell>
          <cell r="D797">
            <v>1248</v>
          </cell>
          <cell r="E797">
            <v>0</v>
          </cell>
          <cell r="F797">
            <v>805</v>
          </cell>
          <cell r="G797">
            <v>170</v>
          </cell>
          <cell r="H797">
            <v>0</v>
          </cell>
          <cell r="I797">
            <v>0</v>
          </cell>
          <cell r="J797">
            <v>0</v>
          </cell>
          <cell r="K797">
            <v>0</v>
          </cell>
          <cell r="L797">
            <v>0</v>
          </cell>
          <cell r="M797">
            <v>0</v>
          </cell>
          <cell r="N797">
            <v>0</v>
          </cell>
          <cell r="O797">
            <v>0</v>
          </cell>
          <cell r="P797">
            <v>0</v>
          </cell>
          <cell r="Q797">
            <v>0</v>
          </cell>
          <cell r="R797">
            <v>0</v>
          </cell>
          <cell r="S797">
            <v>0</v>
          </cell>
          <cell r="T797">
            <v>0</v>
          </cell>
          <cell r="U797">
            <v>0</v>
          </cell>
          <cell r="V797">
            <v>0</v>
          </cell>
          <cell r="W797">
            <v>0</v>
          </cell>
        </row>
        <row r="798">
          <cell r="C798" t="str">
            <v>2005NH</v>
          </cell>
          <cell r="D798">
            <v>17</v>
          </cell>
          <cell r="E798">
            <v>0</v>
          </cell>
          <cell r="F798">
            <v>0</v>
          </cell>
          <cell r="G798">
            <v>0</v>
          </cell>
          <cell r="H798">
            <v>0</v>
          </cell>
          <cell r="I798">
            <v>0</v>
          </cell>
          <cell r="J798">
            <v>0</v>
          </cell>
          <cell r="K798">
            <v>0</v>
          </cell>
          <cell r="L798">
            <v>0</v>
          </cell>
          <cell r="M798">
            <v>0</v>
          </cell>
          <cell r="N798">
            <v>0</v>
          </cell>
          <cell r="O798">
            <v>0</v>
          </cell>
          <cell r="P798">
            <v>0</v>
          </cell>
          <cell r="Q798">
            <v>0</v>
          </cell>
          <cell r="R798">
            <v>0</v>
          </cell>
          <cell r="S798">
            <v>0</v>
          </cell>
          <cell r="T798">
            <v>0</v>
          </cell>
          <cell r="U798">
            <v>0</v>
          </cell>
          <cell r="V798">
            <v>0</v>
          </cell>
          <cell r="W798">
            <v>0</v>
          </cell>
        </row>
        <row r="799">
          <cell r="C799" t="str">
            <v>2005NJ</v>
          </cell>
          <cell r="D799">
            <v>68</v>
          </cell>
          <cell r="E799">
            <v>7564</v>
          </cell>
          <cell r="F799">
            <v>1219</v>
          </cell>
          <cell r="G799">
            <v>142</v>
          </cell>
          <cell r="H799">
            <v>0</v>
          </cell>
          <cell r="I799">
            <v>0</v>
          </cell>
          <cell r="J799">
            <v>0</v>
          </cell>
          <cell r="K799">
            <v>0</v>
          </cell>
          <cell r="L799">
            <v>0</v>
          </cell>
          <cell r="M799">
            <v>2548</v>
          </cell>
          <cell r="N799">
            <v>0</v>
          </cell>
          <cell r="O799">
            <v>0</v>
          </cell>
          <cell r="P799">
            <v>0</v>
          </cell>
          <cell r="Q799">
            <v>0</v>
          </cell>
          <cell r="R799">
            <v>0</v>
          </cell>
          <cell r="S799">
            <v>0</v>
          </cell>
          <cell r="T799">
            <v>0</v>
          </cell>
          <cell r="U799">
            <v>0</v>
          </cell>
          <cell r="V799">
            <v>0</v>
          </cell>
          <cell r="W799">
            <v>0</v>
          </cell>
        </row>
        <row r="800">
          <cell r="C800" t="str">
            <v>2005NM</v>
          </cell>
          <cell r="D800">
            <v>1224</v>
          </cell>
          <cell r="E800">
            <v>9625</v>
          </cell>
          <cell r="F800">
            <v>9720</v>
          </cell>
          <cell r="G800">
            <v>0</v>
          </cell>
          <cell r="H800">
            <v>4365</v>
          </cell>
          <cell r="I800">
            <v>0</v>
          </cell>
          <cell r="J800">
            <v>0</v>
          </cell>
          <cell r="K800">
            <v>0</v>
          </cell>
          <cell r="L800">
            <v>0</v>
          </cell>
          <cell r="M800">
            <v>0</v>
          </cell>
          <cell r="N800">
            <v>66500</v>
          </cell>
          <cell r="O800">
            <v>139</v>
          </cell>
          <cell r="P800">
            <v>0</v>
          </cell>
          <cell r="Q800">
            <v>0</v>
          </cell>
          <cell r="R800">
            <v>0</v>
          </cell>
          <cell r="S800">
            <v>0</v>
          </cell>
          <cell r="T800">
            <v>0</v>
          </cell>
          <cell r="U800">
            <v>0</v>
          </cell>
          <cell r="V800">
            <v>0</v>
          </cell>
          <cell r="W800">
            <v>0</v>
          </cell>
        </row>
        <row r="801">
          <cell r="C801" t="str">
            <v>2005NY</v>
          </cell>
          <cell r="D801">
            <v>945</v>
          </cell>
          <cell r="E801">
            <v>57040</v>
          </cell>
          <cell r="F801">
            <v>5130</v>
          </cell>
          <cell r="G801">
            <v>735</v>
          </cell>
          <cell r="H801">
            <v>0</v>
          </cell>
          <cell r="I801">
            <v>4050</v>
          </cell>
          <cell r="J801">
            <v>0</v>
          </cell>
          <cell r="K801">
            <v>0</v>
          </cell>
          <cell r="L801">
            <v>0</v>
          </cell>
          <cell r="M801">
            <v>7896</v>
          </cell>
          <cell r="N801">
            <v>0</v>
          </cell>
          <cell r="O801">
            <v>282</v>
          </cell>
          <cell r="P801">
            <v>0</v>
          </cell>
          <cell r="Q801">
            <v>0</v>
          </cell>
          <cell r="R801">
            <v>0</v>
          </cell>
          <cell r="S801">
            <v>0</v>
          </cell>
          <cell r="T801">
            <v>0</v>
          </cell>
          <cell r="U801">
            <v>0</v>
          </cell>
          <cell r="V801">
            <v>0</v>
          </cell>
          <cell r="W801">
            <v>0</v>
          </cell>
        </row>
        <row r="802">
          <cell r="C802" t="str">
            <v>2005NC</v>
          </cell>
          <cell r="D802">
            <v>28</v>
          </cell>
          <cell r="E802">
            <v>84000</v>
          </cell>
          <cell r="F802">
            <v>24795</v>
          </cell>
          <cell r="G802">
            <v>1482</v>
          </cell>
          <cell r="H802">
            <v>650</v>
          </cell>
          <cell r="I802">
            <v>1679</v>
          </cell>
          <cell r="J802">
            <v>0</v>
          </cell>
          <cell r="K802">
            <v>0</v>
          </cell>
          <cell r="L802">
            <v>0</v>
          </cell>
          <cell r="M802">
            <v>39420</v>
          </cell>
          <cell r="N802">
            <v>288000</v>
          </cell>
          <cell r="O802">
            <v>0</v>
          </cell>
          <cell r="P802">
            <v>0</v>
          </cell>
          <cell r="Q802">
            <v>0</v>
          </cell>
          <cell r="R802">
            <v>0</v>
          </cell>
          <cell r="S802">
            <v>0</v>
          </cell>
          <cell r="T802">
            <v>0</v>
          </cell>
          <cell r="U802">
            <v>0</v>
          </cell>
          <cell r="V802">
            <v>0</v>
          </cell>
          <cell r="W802">
            <v>0</v>
          </cell>
        </row>
        <row r="803">
          <cell r="C803" t="str">
            <v>2005ND</v>
          </cell>
          <cell r="D803">
            <v>3300</v>
          </cell>
          <cell r="E803">
            <v>154800</v>
          </cell>
          <cell r="F803">
            <v>303765</v>
          </cell>
          <cell r="G803">
            <v>57240</v>
          </cell>
          <cell r="H803">
            <v>0</v>
          </cell>
          <cell r="I803">
            <v>14160</v>
          </cell>
          <cell r="J803">
            <v>0</v>
          </cell>
          <cell r="K803">
            <v>0</v>
          </cell>
          <cell r="L803">
            <v>0</v>
          </cell>
          <cell r="M803">
            <v>104400</v>
          </cell>
          <cell r="N803">
            <v>0</v>
          </cell>
          <cell r="O803">
            <v>8588</v>
          </cell>
          <cell r="P803">
            <v>9785</v>
          </cell>
          <cell r="Q803">
            <v>0</v>
          </cell>
          <cell r="R803">
            <v>1971</v>
          </cell>
          <cell r="S803">
            <v>0</v>
          </cell>
          <cell r="T803">
            <v>0</v>
          </cell>
          <cell r="U803">
            <v>0</v>
          </cell>
          <cell r="V803">
            <v>0</v>
          </cell>
          <cell r="W803">
            <v>0</v>
          </cell>
        </row>
        <row r="804">
          <cell r="C804" t="str">
            <v>2005OH</v>
          </cell>
          <cell r="D804">
            <v>1836</v>
          </cell>
          <cell r="E804">
            <v>464750</v>
          </cell>
          <cell r="F804">
            <v>58930</v>
          </cell>
          <cell r="G804">
            <v>300</v>
          </cell>
          <cell r="H804">
            <v>0</v>
          </cell>
          <cell r="I804">
            <v>3600</v>
          </cell>
          <cell r="J804">
            <v>0</v>
          </cell>
          <cell r="K804">
            <v>0</v>
          </cell>
          <cell r="L804">
            <v>0</v>
          </cell>
          <cell r="M804">
            <v>201600</v>
          </cell>
          <cell r="N804">
            <v>0</v>
          </cell>
          <cell r="O804">
            <v>0</v>
          </cell>
          <cell r="P804">
            <v>0</v>
          </cell>
          <cell r="Q804">
            <v>0</v>
          </cell>
          <cell r="R804">
            <v>0</v>
          </cell>
          <cell r="S804">
            <v>0</v>
          </cell>
          <cell r="T804">
            <v>0</v>
          </cell>
          <cell r="U804">
            <v>0</v>
          </cell>
          <cell r="V804">
            <v>0</v>
          </cell>
          <cell r="W804">
            <v>0</v>
          </cell>
        </row>
        <row r="805">
          <cell r="C805" t="str">
            <v>2005OK</v>
          </cell>
          <cell r="D805">
            <v>1184</v>
          </cell>
          <cell r="E805">
            <v>28750</v>
          </cell>
          <cell r="F805">
            <v>128000</v>
          </cell>
          <cell r="G805">
            <v>0</v>
          </cell>
          <cell r="H805">
            <v>11520</v>
          </cell>
          <cell r="I805">
            <v>410</v>
          </cell>
          <cell r="J805">
            <v>1400</v>
          </cell>
          <cell r="K805">
            <v>0</v>
          </cell>
          <cell r="L805">
            <v>0</v>
          </cell>
          <cell r="M805">
            <v>7930</v>
          </cell>
          <cell r="N805">
            <v>107910</v>
          </cell>
          <cell r="O805">
            <v>0</v>
          </cell>
          <cell r="P805">
            <v>0</v>
          </cell>
          <cell r="Q805">
            <v>0</v>
          </cell>
          <cell r="R805">
            <v>0</v>
          </cell>
          <cell r="S805">
            <v>0</v>
          </cell>
          <cell r="T805">
            <v>0</v>
          </cell>
          <cell r="U805">
            <v>0.66889999999999994</v>
          </cell>
          <cell r="V805">
            <v>0</v>
          </cell>
          <cell r="W805">
            <v>0.94020032889819105</v>
          </cell>
        </row>
        <row r="806">
          <cell r="C806" t="str">
            <v>2005OR</v>
          </cell>
          <cell r="D806">
            <v>1760</v>
          </cell>
          <cell r="E806">
            <v>4000</v>
          </cell>
          <cell r="F806">
            <v>53560</v>
          </cell>
          <cell r="G806">
            <v>2025</v>
          </cell>
          <cell r="H806">
            <v>0</v>
          </cell>
          <cell r="I806">
            <v>1404</v>
          </cell>
          <cell r="J806">
            <v>0</v>
          </cell>
          <cell r="K806">
            <v>0</v>
          </cell>
          <cell r="L806">
            <v>0</v>
          </cell>
          <cell r="M806">
            <v>0</v>
          </cell>
          <cell r="N806">
            <v>0</v>
          </cell>
          <cell r="O806">
            <v>176</v>
          </cell>
          <cell r="P806">
            <v>98</v>
          </cell>
          <cell r="Q806">
            <v>60</v>
          </cell>
          <cell r="R806">
            <v>0</v>
          </cell>
          <cell r="S806">
            <v>0</v>
          </cell>
          <cell r="T806">
            <v>0</v>
          </cell>
          <cell r="U806">
            <v>0</v>
          </cell>
          <cell r="V806">
            <v>0</v>
          </cell>
          <cell r="W806">
            <v>0</v>
          </cell>
        </row>
        <row r="807">
          <cell r="C807" t="str">
            <v>2005PA</v>
          </cell>
          <cell r="D807">
            <v>1326</v>
          </cell>
          <cell r="E807">
            <v>117120</v>
          </cell>
          <cell r="F807">
            <v>7830</v>
          </cell>
          <cell r="G807">
            <v>3384</v>
          </cell>
          <cell r="H807">
            <v>200</v>
          </cell>
          <cell r="I807">
            <v>6050</v>
          </cell>
          <cell r="J807">
            <v>0</v>
          </cell>
          <cell r="K807">
            <v>0</v>
          </cell>
          <cell r="L807">
            <v>0</v>
          </cell>
          <cell r="M807">
            <v>17220</v>
          </cell>
          <cell r="N807">
            <v>0</v>
          </cell>
          <cell r="O807">
            <v>0</v>
          </cell>
          <cell r="P807">
            <v>0</v>
          </cell>
          <cell r="Q807">
            <v>0</v>
          </cell>
          <cell r="R807">
            <v>0</v>
          </cell>
          <cell r="S807">
            <v>0</v>
          </cell>
          <cell r="T807">
            <v>0</v>
          </cell>
          <cell r="U807">
            <v>0</v>
          </cell>
          <cell r="V807">
            <v>0</v>
          </cell>
          <cell r="W807">
            <v>0</v>
          </cell>
        </row>
        <row r="808">
          <cell r="C808" t="str">
            <v>2005RI</v>
          </cell>
          <cell r="D808">
            <v>6</v>
          </cell>
          <cell r="E808">
            <v>0</v>
          </cell>
          <cell r="F808">
            <v>0</v>
          </cell>
          <cell r="G808">
            <v>0</v>
          </cell>
          <cell r="H808">
            <v>0</v>
          </cell>
          <cell r="I808">
            <v>0</v>
          </cell>
          <cell r="J808">
            <v>0</v>
          </cell>
          <cell r="K808">
            <v>0</v>
          </cell>
          <cell r="L808">
            <v>0</v>
          </cell>
          <cell r="M808">
            <v>0</v>
          </cell>
          <cell r="N808">
            <v>0</v>
          </cell>
          <cell r="O808">
            <v>0</v>
          </cell>
          <cell r="P808">
            <v>0</v>
          </cell>
          <cell r="Q808">
            <v>0</v>
          </cell>
          <cell r="R808">
            <v>0</v>
          </cell>
          <cell r="S808">
            <v>0</v>
          </cell>
          <cell r="T808">
            <v>0</v>
          </cell>
          <cell r="U808">
            <v>0</v>
          </cell>
          <cell r="V808">
            <v>0</v>
          </cell>
          <cell r="W808">
            <v>0</v>
          </cell>
        </row>
        <row r="809">
          <cell r="C809" t="str">
            <v>2005SC</v>
          </cell>
          <cell r="D809">
            <v>0</v>
          </cell>
          <cell r="E809">
            <v>33060</v>
          </cell>
          <cell r="F809">
            <v>8580</v>
          </cell>
          <cell r="G809">
            <v>0</v>
          </cell>
          <cell r="H809">
            <v>357</v>
          </cell>
          <cell r="I809">
            <v>1180</v>
          </cell>
          <cell r="J809">
            <v>0</v>
          </cell>
          <cell r="K809">
            <v>0</v>
          </cell>
          <cell r="L809">
            <v>0</v>
          </cell>
          <cell r="M809">
            <v>8610</v>
          </cell>
          <cell r="N809">
            <v>168000</v>
          </cell>
          <cell r="O809">
            <v>0</v>
          </cell>
          <cell r="P809">
            <v>0</v>
          </cell>
          <cell r="Q809">
            <v>0</v>
          </cell>
          <cell r="R809">
            <v>0</v>
          </cell>
          <cell r="S809">
            <v>0</v>
          </cell>
          <cell r="T809">
            <v>0</v>
          </cell>
          <cell r="U809">
            <v>0</v>
          </cell>
          <cell r="V809">
            <v>0</v>
          </cell>
          <cell r="W809">
            <v>0</v>
          </cell>
        </row>
        <row r="810">
          <cell r="C810" t="str">
            <v>2005SD</v>
          </cell>
          <cell r="D810">
            <v>5160</v>
          </cell>
          <cell r="E810">
            <v>470050</v>
          </cell>
          <cell r="F810">
            <v>133420</v>
          </cell>
          <cell r="G810">
            <v>2303</v>
          </cell>
          <cell r="H810">
            <v>4420</v>
          </cell>
          <cell r="I810">
            <v>12960</v>
          </cell>
          <cell r="J810">
            <v>0</v>
          </cell>
          <cell r="K810">
            <v>3795</v>
          </cell>
          <cell r="L810">
            <v>0</v>
          </cell>
          <cell r="M810">
            <v>134750</v>
          </cell>
          <cell r="N810">
            <v>0</v>
          </cell>
          <cell r="O810">
            <v>301</v>
          </cell>
          <cell r="P810">
            <v>0</v>
          </cell>
          <cell r="Q810">
            <v>0</v>
          </cell>
          <cell r="R810">
            <v>0</v>
          </cell>
          <cell r="S810">
            <v>0</v>
          </cell>
          <cell r="T810">
            <v>0</v>
          </cell>
          <cell r="U810">
            <v>0</v>
          </cell>
          <cell r="V810">
            <v>0</v>
          </cell>
          <cell r="W810">
            <v>0</v>
          </cell>
        </row>
        <row r="811">
          <cell r="C811" t="str">
            <v>2005TN</v>
          </cell>
          <cell r="D811">
            <v>112</v>
          </cell>
          <cell r="E811">
            <v>77350</v>
          </cell>
          <cell r="F811">
            <v>8400</v>
          </cell>
          <cell r="G811">
            <v>0</v>
          </cell>
          <cell r="H811">
            <v>1840</v>
          </cell>
          <cell r="I811">
            <v>0</v>
          </cell>
          <cell r="J811">
            <v>0</v>
          </cell>
          <cell r="K811">
            <v>0</v>
          </cell>
          <cell r="L811">
            <v>0</v>
          </cell>
          <cell r="M811">
            <v>41800</v>
          </cell>
          <cell r="N811">
            <v>0</v>
          </cell>
          <cell r="O811">
            <v>0</v>
          </cell>
          <cell r="P811">
            <v>0</v>
          </cell>
          <cell r="Q811">
            <v>0</v>
          </cell>
          <cell r="R811">
            <v>0</v>
          </cell>
          <cell r="S811">
            <v>0</v>
          </cell>
          <cell r="T811">
            <v>0</v>
          </cell>
          <cell r="U811">
            <v>0</v>
          </cell>
          <cell r="V811">
            <v>0</v>
          </cell>
          <cell r="W811">
            <v>0</v>
          </cell>
        </row>
        <row r="812">
          <cell r="C812" t="str">
            <v>2005TX</v>
          </cell>
          <cell r="D812">
            <v>810</v>
          </cell>
          <cell r="E812">
            <v>210900</v>
          </cell>
          <cell r="F812">
            <v>96000</v>
          </cell>
          <cell r="G812">
            <v>0</v>
          </cell>
          <cell r="H812">
            <v>111000</v>
          </cell>
          <cell r="I812">
            <v>4730</v>
          </cell>
          <cell r="J812">
            <v>0</v>
          </cell>
          <cell r="K812">
            <v>0</v>
          </cell>
          <cell r="L812">
            <v>13668</v>
          </cell>
          <cell r="M812">
            <v>5980</v>
          </cell>
          <cell r="N812">
            <v>975000</v>
          </cell>
          <cell r="O812">
            <v>233</v>
          </cell>
          <cell r="P812">
            <v>0</v>
          </cell>
          <cell r="Q812">
            <v>0</v>
          </cell>
          <cell r="R812">
            <v>0</v>
          </cell>
          <cell r="S812">
            <v>0</v>
          </cell>
          <cell r="T812">
            <v>1624</v>
          </cell>
          <cell r="U812">
            <v>201</v>
          </cell>
          <cell r="V812">
            <v>54.27</v>
          </cell>
          <cell r="W812">
            <v>0</v>
          </cell>
        </row>
        <row r="813">
          <cell r="C813" t="str">
            <v>2005UT</v>
          </cell>
          <cell r="D813">
            <v>2268</v>
          </cell>
          <cell r="E813">
            <v>1956</v>
          </cell>
          <cell r="F813">
            <v>7099</v>
          </cell>
          <cell r="G813">
            <v>1920</v>
          </cell>
          <cell r="H813">
            <v>0</v>
          </cell>
          <cell r="I813">
            <v>511</v>
          </cell>
          <cell r="J813">
            <v>0</v>
          </cell>
          <cell r="K813">
            <v>0</v>
          </cell>
          <cell r="L813">
            <v>0</v>
          </cell>
          <cell r="M813">
            <v>0</v>
          </cell>
          <cell r="N813">
            <v>0</v>
          </cell>
          <cell r="O813">
            <v>23</v>
          </cell>
          <cell r="P813">
            <v>0</v>
          </cell>
          <cell r="Q813">
            <v>0</v>
          </cell>
          <cell r="R813">
            <v>0</v>
          </cell>
          <cell r="S813">
            <v>0</v>
          </cell>
          <cell r="T813">
            <v>0</v>
          </cell>
          <cell r="U813">
            <v>0</v>
          </cell>
          <cell r="V813">
            <v>0</v>
          </cell>
          <cell r="W813">
            <v>0</v>
          </cell>
        </row>
        <row r="814">
          <cell r="C814" t="str">
            <v>2005VT</v>
          </cell>
          <cell r="D814">
            <v>81</v>
          </cell>
          <cell r="E814">
            <v>0</v>
          </cell>
          <cell r="F814">
            <v>0</v>
          </cell>
          <cell r="G814">
            <v>0</v>
          </cell>
          <cell r="H814">
            <v>0</v>
          </cell>
          <cell r="I814">
            <v>0</v>
          </cell>
          <cell r="J814">
            <v>0</v>
          </cell>
          <cell r="K814">
            <v>0</v>
          </cell>
          <cell r="L814">
            <v>0</v>
          </cell>
          <cell r="M814">
            <v>0</v>
          </cell>
          <cell r="N814">
            <v>0</v>
          </cell>
          <cell r="O814">
            <v>0</v>
          </cell>
          <cell r="P814">
            <v>0</v>
          </cell>
          <cell r="Q814">
            <v>0</v>
          </cell>
          <cell r="R814">
            <v>0</v>
          </cell>
          <cell r="S814">
            <v>0</v>
          </cell>
          <cell r="T814">
            <v>0</v>
          </cell>
          <cell r="U814">
            <v>0</v>
          </cell>
          <cell r="V814">
            <v>0</v>
          </cell>
          <cell r="W814">
            <v>0</v>
          </cell>
        </row>
        <row r="815">
          <cell r="C815" t="str">
            <v>2005VA</v>
          </cell>
          <cell r="D815">
            <v>396</v>
          </cell>
          <cell r="E815">
            <v>42480</v>
          </cell>
          <cell r="F815">
            <v>10080</v>
          </cell>
          <cell r="G815">
            <v>3915</v>
          </cell>
          <cell r="H815">
            <v>0</v>
          </cell>
          <cell r="I815">
            <v>183</v>
          </cell>
          <cell r="J815">
            <v>0</v>
          </cell>
          <cell r="K815">
            <v>0</v>
          </cell>
          <cell r="L815">
            <v>0</v>
          </cell>
          <cell r="M815">
            <v>15300</v>
          </cell>
          <cell r="N815">
            <v>66000</v>
          </cell>
          <cell r="O815">
            <v>0</v>
          </cell>
          <cell r="P815">
            <v>0</v>
          </cell>
          <cell r="Q815">
            <v>0</v>
          </cell>
          <cell r="R815">
            <v>0</v>
          </cell>
          <cell r="S815">
            <v>0</v>
          </cell>
          <cell r="T815">
            <v>0</v>
          </cell>
          <cell r="U815">
            <v>0</v>
          </cell>
          <cell r="V815">
            <v>0</v>
          </cell>
          <cell r="W815">
            <v>0</v>
          </cell>
        </row>
        <row r="816">
          <cell r="C816" t="str">
            <v>2005WA</v>
          </cell>
          <cell r="D816">
            <v>2340</v>
          </cell>
          <cell r="E816">
            <v>16400</v>
          </cell>
          <cell r="F816">
            <v>139300</v>
          </cell>
          <cell r="G816">
            <v>12505</v>
          </cell>
          <cell r="H816">
            <v>0</v>
          </cell>
          <cell r="I816">
            <v>600</v>
          </cell>
          <cell r="J816">
            <v>0</v>
          </cell>
          <cell r="K816">
            <v>0</v>
          </cell>
          <cell r="L816">
            <v>0</v>
          </cell>
          <cell r="M816">
            <v>0</v>
          </cell>
          <cell r="N816">
            <v>0</v>
          </cell>
          <cell r="O816">
            <v>792</v>
          </cell>
          <cell r="P816">
            <v>1326</v>
          </cell>
          <cell r="Q816">
            <v>0</v>
          </cell>
          <cell r="R816">
            <v>756</v>
          </cell>
          <cell r="S816">
            <v>525</v>
          </cell>
          <cell r="T816">
            <v>0</v>
          </cell>
          <cell r="U816">
            <v>0</v>
          </cell>
          <cell r="V816">
            <v>0</v>
          </cell>
          <cell r="W816">
            <v>0</v>
          </cell>
        </row>
        <row r="817">
          <cell r="C817" t="str">
            <v>2005WV</v>
          </cell>
          <cell r="D817">
            <v>98</v>
          </cell>
          <cell r="E817">
            <v>3052</v>
          </cell>
          <cell r="F817">
            <v>300</v>
          </cell>
          <cell r="G817">
            <v>0</v>
          </cell>
          <cell r="H817">
            <v>0</v>
          </cell>
          <cell r="I817">
            <v>0</v>
          </cell>
          <cell r="J817">
            <v>0</v>
          </cell>
          <cell r="K817">
            <v>0</v>
          </cell>
          <cell r="L817">
            <v>0</v>
          </cell>
          <cell r="M817">
            <v>595</v>
          </cell>
          <cell r="N817">
            <v>0</v>
          </cell>
          <cell r="O817">
            <v>0</v>
          </cell>
          <cell r="P817">
            <v>0</v>
          </cell>
          <cell r="Q817">
            <v>0</v>
          </cell>
          <cell r="R817">
            <v>0</v>
          </cell>
          <cell r="S817">
            <v>0</v>
          </cell>
          <cell r="T817">
            <v>0</v>
          </cell>
          <cell r="U817">
            <v>0</v>
          </cell>
          <cell r="V817">
            <v>0</v>
          </cell>
          <cell r="W817">
            <v>0</v>
          </cell>
        </row>
        <row r="818">
          <cell r="C818" t="str">
            <v>2005WI</v>
          </cell>
          <cell r="D818">
            <v>3720</v>
          </cell>
          <cell r="E818">
            <v>429200</v>
          </cell>
          <cell r="F818">
            <v>10262</v>
          </cell>
          <cell r="G818">
            <v>1590</v>
          </cell>
          <cell r="H818">
            <v>0</v>
          </cell>
          <cell r="I818">
            <v>13760</v>
          </cell>
          <cell r="J818">
            <v>0</v>
          </cell>
          <cell r="K818">
            <v>0</v>
          </cell>
          <cell r="L818">
            <v>0</v>
          </cell>
          <cell r="M818">
            <v>69520</v>
          </cell>
          <cell r="N818">
            <v>0</v>
          </cell>
          <cell r="O818">
            <v>128</v>
          </cell>
          <cell r="P818">
            <v>0</v>
          </cell>
          <cell r="Q818">
            <v>0</v>
          </cell>
          <cell r="R818">
            <v>0</v>
          </cell>
          <cell r="S818">
            <v>0</v>
          </cell>
          <cell r="T818">
            <v>0</v>
          </cell>
          <cell r="U818">
            <v>0</v>
          </cell>
          <cell r="V818">
            <v>0</v>
          </cell>
          <cell r="W818">
            <v>0</v>
          </cell>
        </row>
        <row r="819">
          <cell r="C819" t="str">
            <v>2005WY</v>
          </cell>
          <cell r="D819">
            <v>1560</v>
          </cell>
          <cell r="E819">
            <v>6860</v>
          </cell>
          <cell r="F819">
            <v>4665</v>
          </cell>
          <cell r="G819">
            <v>5580</v>
          </cell>
          <cell r="H819">
            <v>0</v>
          </cell>
          <cell r="I819">
            <v>600</v>
          </cell>
          <cell r="J819">
            <v>0</v>
          </cell>
          <cell r="K819">
            <v>0</v>
          </cell>
          <cell r="L819">
            <v>0</v>
          </cell>
          <cell r="M819">
            <v>0</v>
          </cell>
          <cell r="N819">
            <v>0</v>
          </cell>
          <cell r="O819">
            <v>776</v>
          </cell>
          <cell r="P819">
            <v>0</v>
          </cell>
          <cell r="Q819">
            <v>0</v>
          </cell>
          <cell r="R819">
            <v>0</v>
          </cell>
          <cell r="S819">
            <v>0</v>
          </cell>
          <cell r="T819">
            <v>0</v>
          </cell>
          <cell r="U819">
            <v>0</v>
          </cell>
          <cell r="V819">
            <v>0</v>
          </cell>
          <cell r="W819">
            <v>0</v>
          </cell>
        </row>
        <row r="820">
          <cell r="C820" t="str">
            <v>2005US</v>
          </cell>
          <cell r="D820">
            <v>76149</v>
          </cell>
          <cell r="E820">
            <v>11114082</v>
          </cell>
          <cell r="F820">
            <v>2104690</v>
          </cell>
          <cell r="G820">
            <v>211896</v>
          </cell>
          <cell r="H820">
            <v>392933</v>
          </cell>
          <cell r="I820">
            <v>114878</v>
          </cell>
          <cell r="J820">
            <v>7537</v>
          </cell>
          <cell r="K820">
            <v>13670</v>
          </cell>
          <cell r="L820">
            <v>223235</v>
          </cell>
          <cell r="M820">
            <v>3063237</v>
          </cell>
          <cell r="N820">
            <v>4869860</v>
          </cell>
          <cell r="O820">
            <v>26772</v>
          </cell>
          <cell r="P820">
            <v>14003</v>
          </cell>
          <cell r="Q820">
            <v>307</v>
          </cell>
          <cell r="R820">
            <v>5163</v>
          </cell>
          <cell r="S820">
            <v>665</v>
          </cell>
          <cell r="T820">
            <v>26606</v>
          </cell>
          <cell r="U820">
            <v>3375.9489000000003</v>
          </cell>
          <cell r="V820">
            <v>124.155</v>
          </cell>
          <cell r="W820">
            <v>0</v>
          </cell>
        </row>
        <row r="821">
          <cell r="C821" t="str">
            <v>2006AL</v>
          </cell>
          <cell r="D821">
            <v>0</v>
          </cell>
          <cell r="E821">
            <v>11880</v>
          </cell>
          <cell r="F821">
            <v>2610</v>
          </cell>
          <cell r="G821">
            <v>0</v>
          </cell>
          <cell r="H821">
            <v>215</v>
          </cell>
          <cell r="I821">
            <v>400</v>
          </cell>
          <cell r="J821">
            <v>0</v>
          </cell>
          <cell r="K821">
            <v>0</v>
          </cell>
          <cell r="L821">
            <v>0</v>
          </cell>
          <cell r="M821">
            <v>3000</v>
          </cell>
          <cell r="N821">
            <v>407500</v>
          </cell>
          <cell r="O821">
            <v>0</v>
          </cell>
          <cell r="P821">
            <v>0</v>
          </cell>
          <cell r="Q821">
            <v>0</v>
          </cell>
          <cell r="R821">
            <v>0</v>
          </cell>
          <cell r="S821">
            <v>0</v>
          </cell>
          <cell r="T821">
            <v>0</v>
          </cell>
          <cell r="U821">
            <v>0</v>
          </cell>
          <cell r="V821">
            <v>0</v>
          </cell>
          <cell r="W821">
            <v>0</v>
          </cell>
        </row>
        <row r="822">
          <cell r="C822" t="str">
            <v>2006AK</v>
          </cell>
          <cell r="D822">
            <v>0</v>
          </cell>
          <cell r="E822">
            <v>0</v>
          </cell>
          <cell r="F822">
            <v>0</v>
          </cell>
          <cell r="G822">
            <v>157000</v>
          </cell>
          <cell r="H822">
            <v>0</v>
          </cell>
          <cell r="I822">
            <v>28000</v>
          </cell>
          <cell r="J822">
            <v>0</v>
          </cell>
          <cell r="K822">
            <v>0</v>
          </cell>
          <cell r="L822">
            <v>0</v>
          </cell>
          <cell r="M822">
            <v>0</v>
          </cell>
          <cell r="N822">
            <v>0</v>
          </cell>
          <cell r="O822">
            <v>0</v>
          </cell>
          <cell r="P822">
            <v>0</v>
          </cell>
          <cell r="Q822">
            <v>0</v>
          </cell>
          <cell r="R822">
            <v>0</v>
          </cell>
          <cell r="S822">
            <v>0</v>
          </cell>
          <cell r="T822">
            <v>0</v>
          </cell>
          <cell r="U822">
            <v>0</v>
          </cell>
          <cell r="V822">
            <v>0</v>
          </cell>
          <cell r="W822">
            <v>0</v>
          </cell>
        </row>
        <row r="823">
          <cell r="C823" t="str">
            <v>2006AZ</v>
          </cell>
          <cell r="D823">
            <v>2075</v>
          </cell>
          <cell r="E823">
            <v>3060</v>
          </cell>
          <cell r="F823">
            <v>7580</v>
          </cell>
          <cell r="G823">
            <v>2530</v>
          </cell>
          <cell r="H823">
            <v>665</v>
          </cell>
          <cell r="I823">
            <v>0</v>
          </cell>
          <cell r="J823">
            <v>0</v>
          </cell>
          <cell r="K823">
            <v>0</v>
          </cell>
          <cell r="L823">
            <v>0</v>
          </cell>
          <cell r="M823">
            <v>0</v>
          </cell>
          <cell r="N823">
            <v>0</v>
          </cell>
          <cell r="O823">
            <v>0</v>
          </cell>
          <cell r="P823">
            <v>0</v>
          </cell>
          <cell r="Q823">
            <v>0</v>
          </cell>
          <cell r="R823">
            <v>0</v>
          </cell>
          <cell r="S823">
            <v>0</v>
          </cell>
          <cell r="T823">
            <v>0</v>
          </cell>
          <cell r="U823">
            <v>0</v>
          </cell>
          <cell r="V823">
            <v>0</v>
          </cell>
          <cell r="W823">
            <v>0</v>
          </cell>
        </row>
        <row r="824">
          <cell r="C824" t="str">
            <v>2006AR</v>
          </cell>
          <cell r="D824">
            <v>54</v>
          </cell>
          <cell r="E824">
            <v>26280</v>
          </cell>
          <cell r="F824">
            <v>18605</v>
          </cell>
          <cell r="G824">
            <v>0</v>
          </cell>
          <cell r="H824">
            <v>5100</v>
          </cell>
          <cell r="I824">
            <v>0</v>
          </cell>
          <cell r="J824">
            <v>0</v>
          </cell>
          <cell r="K824">
            <v>0</v>
          </cell>
          <cell r="L824">
            <v>95917</v>
          </cell>
          <cell r="M824">
            <v>107450</v>
          </cell>
          <cell r="N824">
            <v>0</v>
          </cell>
          <cell r="O824">
            <v>0</v>
          </cell>
          <cell r="P824">
            <v>0</v>
          </cell>
          <cell r="Q824">
            <v>0</v>
          </cell>
          <cell r="R824">
            <v>0</v>
          </cell>
          <cell r="S824">
            <v>0</v>
          </cell>
          <cell r="T824">
            <v>0</v>
          </cell>
          <cell r="U824">
            <v>1400</v>
          </cell>
          <cell r="V824">
            <v>1.4E-2</v>
          </cell>
          <cell r="W824">
            <v>0.26800000000000002</v>
          </cell>
        </row>
        <row r="825">
          <cell r="C825" t="str">
            <v>2006CA</v>
          </cell>
          <cell r="D825">
            <v>7480</v>
          </cell>
          <cell r="E825">
            <v>18150</v>
          </cell>
          <cell r="F825">
            <v>20935</v>
          </cell>
          <cell r="G825">
            <v>3575</v>
          </cell>
          <cell r="H825">
            <v>1050</v>
          </cell>
          <cell r="I825">
            <v>1720</v>
          </cell>
          <cell r="J825">
            <v>0</v>
          </cell>
          <cell r="K825">
            <v>0</v>
          </cell>
          <cell r="L825">
            <v>40040</v>
          </cell>
          <cell r="M825">
            <v>0</v>
          </cell>
          <cell r="N825">
            <v>0</v>
          </cell>
          <cell r="O825">
            <v>1209</v>
          </cell>
          <cell r="P825">
            <v>0</v>
          </cell>
          <cell r="Q825">
            <v>0</v>
          </cell>
          <cell r="R825">
            <v>0</v>
          </cell>
          <cell r="S825">
            <v>0</v>
          </cell>
          <cell r="T825">
            <v>0</v>
          </cell>
          <cell r="U825">
            <v>523</v>
          </cell>
          <cell r="V825">
            <v>0</v>
          </cell>
          <cell r="W825">
            <v>9.6524039271243034E-2</v>
          </cell>
        </row>
        <row r="826">
          <cell r="C826" t="str">
            <v>2006CO</v>
          </cell>
          <cell r="D826">
            <v>2964</v>
          </cell>
          <cell r="E826">
            <v>134160</v>
          </cell>
          <cell r="F826">
            <v>41515</v>
          </cell>
          <cell r="G826">
            <v>4830</v>
          </cell>
          <cell r="H826">
            <v>3380</v>
          </cell>
          <cell r="I826">
            <v>700</v>
          </cell>
          <cell r="J826">
            <v>0</v>
          </cell>
          <cell r="K826">
            <v>5355</v>
          </cell>
          <cell r="L826">
            <v>0</v>
          </cell>
          <cell r="M826">
            <v>0</v>
          </cell>
          <cell r="N826">
            <v>0</v>
          </cell>
          <cell r="O826">
            <v>1140</v>
          </cell>
          <cell r="P826">
            <v>0</v>
          </cell>
          <cell r="Q826">
            <v>0</v>
          </cell>
          <cell r="R826">
            <v>0</v>
          </cell>
          <cell r="S826">
            <v>0</v>
          </cell>
          <cell r="T826">
            <v>0</v>
          </cell>
          <cell r="U826">
            <v>0</v>
          </cell>
          <cell r="V826">
            <v>0</v>
          </cell>
          <cell r="W826">
            <v>0</v>
          </cell>
        </row>
        <row r="827">
          <cell r="C827" t="str">
            <v>2006CT</v>
          </cell>
          <cell r="D827">
            <v>15</v>
          </cell>
          <cell r="E827">
            <v>0</v>
          </cell>
          <cell r="F827">
            <v>0</v>
          </cell>
          <cell r="G827">
            <v>0</v>
          </cell>
          <cell r="H827">
            <v>0</v>
          </cell>
          <cell r="I827">
            <v>0</v>
          </cell>
          <cell r="J827">
            <v>0</v>
          </cell>
          <cell r="K827">
            <v>0</v>
          </cell>
          <cell r="L827">
            <v>0</v>
          </cell>
          <cell r="M827">
            <v>0</v>
          </cell>
          <cell r="N827">
            <v>0</v>
          </cell>
          <cell r="O827">
            <v>0</v>
          </cell>
          <cell r="P827">
            <v>0</v>
          </cell>
          <cell r="Q827">
            <v>0</v>
          </cell>
          <cell r="R827">
            <v>0</v>
          </cell>
          <cell r="S827">
            <v>0</v>
          </cell>
          <cell r="T827">
            <v>0</v>
          </cell>
          <cell r="U827">
            <v>0</v>
          </cell>
          <cell r="V827">
            <v>0</v>
          </cell>
          <cell r="W827">
            <v>0</v>
          </cell>
        </row>
        <row r="828">
          <cell r="C828" t="str">
            <v>2006DE</v>
          </cell>
          <cell r="D828">
            <v>20</v>
          </cell>
          <cell r="E828">
            <v>23345</v>
          </cell>
          <cell r="F828">
            <v>3015</v>
          </cell>
          <cell r="G828">
            <v>1920</v>
          </cell>
          <cell r="H828">
            <v>0</v>
          </cell>
          <cell r="I828">
            <v>0</v>
          </cell>
          <cell r="J828">
            <v>0</v>
          </cell>
          <cell r="K828">
            <v>0</v>
          </cell>
          <cell r="L828">
            <v>0</v>
          </cell>
          <cell r="M828">
            <v>5487</v>
          </cell>
          <cell r="N828">
            <v>0</v>
          </cell>
          <cell r="O828">
            <v>0</v>
          </cell>
          <cell r="P828">
            <v>0</v>
          </cell>
          <cell r="Q828">
            <v>0</v>
          </cell>
          <cell r="R828">
            <v>0</v>
          </cell>
          <cell r="S828">
            <v>0</v>
          </cell>
          <cell r="T828">
            <v>0</v>
          </cell>
          <cell r="U828">
            <v>0</v>
          </cell>
          <cell r="V828">
            <v>0</v>
          </cell>
          <cell r="W828">
            <v>0</v>
          </cell>
        </row>
        <row r="829">
          <cell r="C829" t="str">
            <v>2006FL</v>
          </cell>
          <cell r="D829">
            <v>0</v>
          </cell>
          <cell r="E829">
            <v>2460</v>
          </cell>
          <cell r="F829">
            <v>210</v>
          </cell>
          <cell r="G829">
            <v>0</v>
          </cell>
          <cell r="H829">
            <v>0</v>
          </cell>
          <cell r="I829">
            <v>0</v>
          </cell>
          <cell r="J829">
            <v>0</v>
          </cell>
          <cell r="K829">
            <v>0</v>
          </cell>
          <cell r="L829">
            <v>555.06039999999996</v>
          </cell>
          <cell r="M829">
            <v>135</v>
          </cell>
          <cell r="N829">
            <v>300000</v>
          </cell>
          <cell r="O829">
            <v>0</v>
          </cell>
          <cell r="P829">
            <v>0</v>
          </cell>
          <cell r="Q829">
            <v>0</v>
          </cell>
          <cell r="R829">
            <v>0</v>
          </cell>
          <cell r="S829">
            <v>0</v>
          </cell>
          <cell r="T829">
            <v>14346</v>
          </cell>
          <cell r="U829">
            <v>11.305999999999999</v>
          </cell>
          <cell r="V829">
            <v>3.1998000000000002</v>
          </cell>
          <cell r="W829">
            <v>0</v>
          </cell>
        </row>
        <row r="830">
          <cell r="C830" t="str">
            <v>2006GA</v>
          </cell>
          <cell r="D830">
            <v>0</v>
          </cell>
          <cell r="E830">
            <v>25200</v>
          </cell>
          <cell r="F830">
            <v>5880</v>
          </cell>
          <cell r="G830">
            <v>0</v>
          </cell>
          <cell r="H830">
            <v>1170</v>
          </cell>
          <cell r="I830">
            <v>1590</v>
          </cell>
          <cell r="J830">
            <v>650</v>
          </cell>
          <cell r="K830">
            <v>0</v>
          </cell>
          <cell r="L830">
            <v>0</v>
          </cell>
          <cell r="M830">
            <v>3500</v>
          </cell>
          <cell r="N830">
            <v>1598500</v>
          </cell>
          <cell r="O830">
            <v>0</v>
          </cell>
          <cell r="P830">
            <v>0</v>
          </cell>
          <cell r="Q830">
            <v>0</v>
          </cell>
          <cell r="R830">
            <v>0</v>
          </cell>
          <cell r="S830">
            <v>0</v>
          </cell>
          <cell r="T830">
            <v>0</v>
          </cell>
          <cell r="U830">
            <v>0</v>
          </cell>
          <cell r="V830">
            <v>0</v>
          </cell>
          <cell r="W830">
            <v>0</v>
          </cell>
        </row>
        <row r="831">
          <cell r="C831" t="str">
            <v>2006HI</v>
          </cell>
          <cell r="D831">
            <v>0</v>
          </cell>
          <cell r="E831">
            <v>0</v>
          </cell>
          <cell r="F831">
            <v>0</v>
          </cell>
          <cell r="G831">
            <v>0</v>
          </cell>
          <cell r="H831">
            <v>0</v>
          </cell>
          <cell r="I831">
            <v>0</v>
          </cell>
          <cell r="J831">
            <v>0</v>
          </cell>
          <cell r="K831">
            <v>0</v>
          </cell>
          <cell r="L831">
            <v>0</v>
          </cell>
          <cell r="M831">
            <v>0</v>
          </cell>
          <cell r="N831">
            <v>0</v>
          </cell>
          <cell r="O831">
            <v>0</v>
          </cell>
          <cell r="P831">
            <v>0</v>
          </cell>
          <cell r="Q831">
            <v>0</v>
          </cell>
          <cell r="R831">
            <v>0</v>
          </cell>
          <cell r="S831">
            <v>0</v>
          </cell>
          <cell r="T831">
            <v>1665</v>
          </cell>
          <cell r="U831">
            <v>0</v>
          </cell>
          <cell r="V831">
            <v>0</v>
          </cell>
          <cell r="W831">
            <v>0</v>
          </cell>
        </row>
        <row r="832">
          <cell r="C832" t="str">
            <v>2006ID</v>
          </cell>
          <cell r="D832">
            <v>4859</v>
          </cell>
          <cell r="E832">
            <v>11050</v>
          </cell>
          <cell r="F832">
            <v>90315</v>
          </cell>
          <cell r="G832">
            <v>42840</v>
          </cell>
          <cell r="H832">
            <v>0</v>
          </cell>
          <cell r="I832">
            <v>1440</v>
          </cell>
          <cell r="J832">
            <v>0</v>
          </cell>
          <cell r="K832">
            <v>0</v>
          </cell>
          <cell r="L832">
            <v>0</v>
          </cell>
          <cell r="M832">
            <v>0</v>
          </cell>
          <cell r="N832">
            <v>0</v>
          </cell>
          <cell r="O832">
            <v>1906</v>
          </cell>
          <cell r="P832">
            <v>464</v>
          </cell>
          <cell r="Q832">
            <v>104</v>
          </cell>
          <cell r="R832">
            <v>466</v>
          </cell>
          <cell r="S832">
            <v>80</v>
          </cell>
          <cell r="T832">
            <v>0</v>
          </cell>
          <cell r="U832">
            <v>0</v>
          </cell>
          <cell r="V832">
            <v>0</v>
          </cell>
          <cell r="W832">
            <v>0</v>
          </cell>
        </row>
        <row r="833">
          <cell r="C833" t="str">
            <v>2006IL</v>
          </cell>
          <cell r="D833">
            <v>1681</v>
          </cell>
          <cell r="E833">
            <v>1817450</v>
          </cell>
          <cell r="F833">
            <v>60970</v>
          </cell>
          <cell r="G833">
            <v>0</v>
          </cell>
          <cell r="H833">
            <v>6408</v>
          </cell>
          <cell r="I833">
            <v>3080</v>
          </cell>
          <cell r="J833">
            <v>0</v>
          </cell>
          <cell r="K833">
            <v>0</v>
          </cell>
          <cell r="L833">
            <v>0</v>
          </cell>
          <cell r="M833">
            <v>482400</v>
          </cell>
          <cell r="N833">
            <v>0</v>
          </cell>
          <cell r="O833">
            <v>0</v>
          </cell>
          <cell r="P833">
            <v>0</v>
          </cell>
          <cell r="Q833">
            <v>0</v>
          </cell>
          <cell r="R833">
            <v>0</v>
          </cell>
          <cell r="S833">
            <v>0</v>
          </cell>
          <cell r="T833">
            <v>0</v>
          </cell>
          <cell r="U833">
            <v>0</v>
          </cell>
          <cell r="V833">
            <v>0</v>
          </cell>
          <cell r="W833">
            <v>0</v>
          </cell>
        </row>
        <row r="834">
          <cell r="C834" t="str">
            <v>2006IN</v>
          </cell>
          <cell r="D834">
            <v>1394</v>
          </cell>
          <cell r="E834">
            <v>844660</v>
          </cell>
          <cell r="F834">
            <v>31740</v>
          </cell>
          <cell r="G834">
            <v>0</v>
          </cell>
          <cell r="H834">
            <v>0</v>
          </cell>
          <cell r="I834">
            <v>1120</v>
          </cell>
          <cell r="J834">
            <v>0</v>
          </cell>
          <cell r="K834">
            <v>0</v>
          </cell>
          <cell r="L834">
            <v>0</v>
          </cell>
          <cell r="M834">
            <v>284000</v>
          </cell>
          <cell r="N834">
            <v>0</v>
          </cell>
          <cell r="O834">
            <v>0</v>
          </cell>
          <cell r="P834">
            <v>0</v>
          </cell>
          <cell r="Q834">
            <v>0</v>
          </cell>
          <cell r="R834">
            <v>0</v>
          </cell>
          <cell r="S834">
            <v>0</v>
          </cell>
          <cell r="T834">
            <v>0</v>
          </cell>
          <cell r="U834">
            <v>0</v>
          </cell>
          <cell r="V834">
            <v>0</v>
          </cell>
          <cell r="W834">
            <v>0</v>
          </cell>
        </row>
        <row r="835">
          <cell r="C835" t="str">
            <v>2006IA</v>
          </cell>
          <cell r="D835">
            <v>4485</v>
          </cell>
          <cell r="E835">
            <v>2050100</v>
          </cell>
          <cell r="F835">
            <v>1188</v>
          </cell>
          <cell r="G835">
            <v>0</v>
          </cell>
          <cell r="H835">
            <v>0</v>
          </cell>
          <cell r="I835">
            <v>8360</v>
          </cell>
          <cell r="J835">
            <v>0</v>
          </cell>
          <cell r="K835">
            <v>0</v>
          </cell>
          <cell r="L835">
            <v>0</v>
          </cell>
          <cell r="M835">
            <v>510050</v>
          </cell>
          <cell r="N835">
            <v>0</v>
          </cell>
          <cell r="O835">
            <v>0</v>
          </cell>
          <cell r="P835">
            <v>0</v>
          </cell>
          <cell r="Q835">
            <v>0</v>
          </cell>
          <cell r="R835">
            <v>0</v>
          </cell>
          <cell r="S835">
            <v>0</v>
          </cell>
          <cell r="T835">
            <v>0</v>
          </cell>
          <cell r="U835">
            <v>0</v>
          </cell>
          <cell r="V835">
            <v>0</v>
          </cell>
          <cell r="W835">
            <v>0</v>
          </cell>
        </row>
        <row r="836">
          <cell r="C836" t="str">
            <v>2006KS</v>
          </cell>
          <cell r="D836">
            <v>3610</v>
          </cell>
          <cell r="E836">
            <v>345000</v>
          </cell>
          <cell r="F836">
            <v>291200</v>
          </cell>
          <cell r="G836">
            <v>486</v>
          </cell>
          <cell r="H836">
            <v>145000</v>
          </cell>
          <cell r="I836">
            <v>1800</v>
          </cell>
          <cell r="J836">
            <v>0</v>
          </cell>
          <cell r="K836">
            <v>0</v>
          </cell>
          <cell r="L836">
            <v>0</v>
          </cell>
          <cell r="M836">
            <v>98560</v>
          </cell>
          <cell r="N836">
            <v>0</v>
          </cell>
          <cell r="O836">
            <v>210</v>
          </cell>
          <cell r="P836">
            <v>0</v>
          </cell>
          <cell r="Q836">
            <v>0</v>
          </cell>
          <cell r="R836">
            <v>0</v>
          </cell>
          <cell r="S836">
            <v>0</v>
          </cell>
          <cell r="T836">
            <v>0</v>
          </cell>
          <cell r="U836">
            <v>0</v>
          </cell>
          <cell r="V836">
            <v>0</v>
          </cell>
          <cell r="W836">
            <v>0</v>
          </cell>
        </row>
        <row r="837">
          <cell r="C837" t="str">
            <v>2006KY</v>
          </cell>
          <cell r="D837">
            <v>1036</v>
          </cell>
          <cell r="E837">
            <v>151840</v>
          </cell>
          <cell r="F837">
            <v>22720</v>
          </cell>
          <cell r="G837">
            <v>1232</v>
          </cell>
          <cell r="H837">
            <v>1360</v>
          </cell>
          <cell r="I837">
            <v>0</v>
          </cell>
          <cell r="J837">
            <v>0</v>
          </cell>
          <cell r="K837">
            <v>0</v>
          </cell>
          <cell r="L837">
            <v>0</v>
          </cell>
          <cell r="M837">
            <v>60280</v>
          </cell>
          <cell r="N837">
            <v>0</v>
          </cell>
          <cell r="O837">
            <v>0</v>
          </cell>
          <cell r="P837">
            <v>0</v>
          </cell>
          <cell r="Q837">
            <v>0</v>
          </cell>
          <cell r="R837">
            <v>0</v>
          </cell>
          <cell r="S837">
            <v>0</v>
          </cell>
          <cell r="T837">
            <v>0</v>
          </cell>
          <cell r="U837">
            <v>0</v>
          </cell>
          <cell r="V837">
            <v>0</v>
          </cell>
          <cell r="W837">
            <v>0</v>
          </cell>
        </row>
        <row r="838">
          <cell r="C838" t="str">
            <v>2006LA</v>
          </cell>
          <cell r="D838">
            <v>0</v>
          </cell>
          <cell r="E838">
            <v>40600</v>
          </cell>
          <cell r="F838">
            <v>5565</v>
          </cell>
          <cell r="G838">
            <v>0</v>
          </cell>
          <cell r="H838">
            <v>8352</v>
          </cell>
          <cell r="I838">
            <v>0</v>
          </cell>
          <cell r="J838">
            <v>0</v>
          </cell>
          <cell r="K838">
            <v>0</v>
          </cell>
          <cell r="L838">
            <v>20093</v>
          </cell>
          <cell r="M838">
            <v>29400</v>
          </cell>
          <cell r="N838">
            <v>0</v>
          </cell>
          <cell r="O838">
            <v>0</v>
          </cell>
          <cell r="P838">
            <v>0</v>
          </cell>
          <cell r="Q838">
            <v>0</v>
          </cell>
          <cell r="R838">
            <v>0</v>
          </cell>
          <cell r="S838">
            <v>0</v>
          </cell>
          <cell r="T838">
            <v>11876</v>
          </cell>
          <cell r="U838">
            <v>345</v>
          </cell>
          <cell r="V838">
            <v>69</v>
          </cell>
          <cell r="W838">
            <v>0.05</v>
          </cell>
        </row>
        <row r="839">
          <cell r="C839" t="str">
            <v>2006ME</v>
          </cell>
          <cell r="D839">
            <v>19</v>
          </cell>
          <cell r="E839">
            <v>0</v>
          </cell>
          <cell r="F839">
            <v>0</v>
          </cell>
          <cell r="G839">
            <v>850</v>
          </cell>
          <cell r="H839">
            <v>0</v>
          </cell>
          <cell r="I839">
            <v>1650</v>
          </cell>
          <cell r="J839">
            <v>0</v>
          </cell>
          <cell r="K839">
            <v>0</v>
          </cell>
          <cell r="L839">
            <v>0</v>
          </cell>
          <cell r="M839">
            <v>0</v>
          </cell>
          <cell r="N839">
            <v>0</v>
          </cell>
          <cell r="O839">
            <v>0</v>
          </cell>
          <cell r="P839">
            <v>0</v>
          </cell>
          <cell r="Q839">
            <v>0</v>
          </cell>
          <cell r="R839">
            <v>0</v>
          </cell>
          <cell r="S839">
            <v>0</v>
          </cell>
          <cell r="T839">
            <v>0</v>
          </cell>
          <cell r="U839">
            <v>0</v>
          </cell>
          <cell r="V839">
            <v>0</v>
          </cell>
          <cell r="W839">
            <v>0</v>
          </cell>
        </row>
        <row r="840">
          <cell r="C840" t="str">
            <v>2006MD</v>
          </cell>
          <cell r="D840">
            <v>156</v>
          </cell>
          <cell r="E840">
            <v>60350</v>
          </cell>
          <cell r="F840">
            <v>8500</v>
          </cell>
          <cell r="G840">
            <v>2784</v>
          </cell>
          <cell r="H840">
            <v>0</v>
          </cell>
          <cell r="I840">
            <v>0</v>
          </cell>
          <cell r="J840">
            <v>0</v>
          </cell>
          <cell r="K840">
            <v>0</v>
          </cell>
          <cell r="L840">
            <v>0</v>
          </cell>
          <cell r="M840">
            <v>15810</v>
          </cell>
          <cell r="N840">
            <v>0</v>
          </cell>
          <cell r="O840">
            <v>0</v>
          </cell>
          <cell r="P840">
            <v>0</v>
          </cell>
          <cell r="Q840">
            <v>0</v>
          </cell>
          <cell r="R840">
            <v>0</v>
          </cell>
          <cell r="S840">
            <v>0</v>
          </cell>
          <cell r="T840">
            <v>0</v>
          </cell>
          <cell r="U840">
            <v>0</v>
          </cell>
          <cell r="V840">
            <v>0</v>
          </cell>
          <cell r="W840">
            <v>0</v>
          </cell>
        </row>
        <row r="841">
          <cell r="C841" t="str">
            <v>2006MA</v>
          </cell>
          <cell r="D841">
            <v>18</v>
          </cell>
          <cell r="E841">
            <v>0</v>
          </cell>
          <cell r="F841">
            <v>0</v>
          </cell>
          <cell r="G841">
            <v>0</v>
          </cell>
          <cell r="H841">
            <v>0</v>
          </cell>
          <cell r="I841">
            <v>0</v>
          </cell>
          <cell r="J841">
            <v>0</v>
          </cell>
          <cell r="K841">
            <v>0</v>
          </cell>
          <cell r="L841">
            <v>0</v>
          </cell>
          <cell r="M841">
            <v>0</v>
          </cell>
          <cell r="N841">
            <v>0</v>
          </cell>
          <cell r="O841">
            <v>0</v>
          </cell>
          <cell r="P841">
            <v>0</v>
          </cell>
          <cell r="Q841">
            <v>0</v>
          </cell>
          <cell r="R841">
            <v>0</v>
          </cell>
          <cell r="S841">
            <v>0</v>
          </cell>
          <cell r="T841">
            <v>0</v>
          </cell>
          <cell r="U841">
            <v>0</v>
          </cell>
          <cell r="V841">
            <v>0</v>
          </cell>
          <cell r="W841">
            <v>0</v>
          </cell>
        </row>
        <row r="842">
          <cell r="C842" t="str">
            <v>2006MI</v>
          </cell>
          <cell r="D842">
            <v>2592</v>
          </cell>
          <cell r="E842">
            <v>288120</v>
          </cell>
          <cell r="F842">
            <v>47450</v>
          </cell>
          <cell r="G842">
            <v>686</v>
          </cell>
          <cell r="H842">
            <v>0</v>
          </cell>
          <cell r="I842">
            <v>4030</v>
          </cell>
          <cell r="J842">
            <v>0</v>
          </cell>
          <cell r="K842">
            <v>0</v>
          </cell>
          <cell r="L842">
            <v>0</v>
          </cell>
          <cell r="M842">
            <v>89550</v>
          </cell>
          <cell r="N842">
            <v>0</v>
          </cell>
          <cell r="O842">
            <v>4085</v>
          </cell>
          <cell r="P842">
            <v>0</v>
          </cell>
          <cell r="Q842">
            <v>0</v>
          </cell>
          <cell r="R842">
            <v>0</v>
          </cell>
          <cell r="S842">
            <v>0</v>
          </cell>
          <cell r="T842">
            <v>0</v>
          </cell>
          <cell r="U842">
            <v>0</v>
          </cell>
          <cell r="V842">
            <v>0</v>
          </cell>
          <cell r="W842">
            <v>0</v>
          </cell>
        </row>
        <row r="843">
          <cell r="C843" t="str">
            <v>2006MN</v>
          </cell>
          <cell r="D843">
            <v>4455</v>
          </cell>
          <cell r="E843">
            <v>1102850</v>
          </cell>
          <cell r="F843">
            <v>80340</v>
          </cell>
          <cell r="G843">
            <v>5400</v>
          </cell>
          <cell r="H843">
            <v>0</v>
          </cell>
          <cell r="I843">
            <v>11200</v>
          </cell>
          <cell r="J843">
            <v>0</v>
          </cell>
          <cell r="K843">
            <v>0</v>
          </cell>
          <cell r="L843">
            <v>0</v>
          </cell>
          <cell r="M843">
            <v>319000</v>
          </cell>
          <cell r="N843">
            <v>0</v>
          </cell>
          <cell r="O843">
            <v>2228</v>
          </cell>
          <cell r="P843">
            <v>0</v>
          </cell>
          <cell r="Q843">
            <v>0</v>
          </cell>
          <cell r="R843">
            <v>0</v>
          </cell>
          <cell r="S843">
            <v>0</v>
          </cell>
          <cell r="T843">
            <v>0</v>
          </cell>
          <cell r="U843">
            <v>0</v>
          </cell>
          <cell r="V843">
            <v>0</v>
          </cell>
          <cell r="W843">
            <v>0</v>
          </cell>
        </row>
        <row r="844">
          <cell r="C844" t="str">
            <v>2006MS</v>
          </cell>
          <cell r="D844">
            <v>0</v>
          </cell>
          <cell r="E844">
            <v>35750</v>
          </cell>
          <cell r="F844">
            <v>4307</v>
          </cell>
          <cell r="G844">
            <v>0</v>
          </cell>
          <cell r="H844">
            <v>1040</v>
          </cell>
          <cell r="I844">
            <v>0</v>
          </cell>
          <cell r="J844">
            <v>0</v>
          </cell>
          <cell r="K844">
            <v>0</v>
          </cell>
          <cell r="L844">
            <v>13230</v>
          </cell>
          <cell r="M844">
            <v>42900</v>
          </cell>
          <cell r="N844">
            <v>46400</v>
          </cell>
          <cell r="O844">
            <v>0</v>
          </cell>
          <cell r="P844">
            <v>0</v>
          </cell>
          <cell r="Q844">
            <v>0</v>
          </cell>
          <cell r="R844">
            <v>0</v>
          </cell>
          <cell r="S844">
            <v>0</v>
          </cell>
          <cell r="T844">
            <v>0</v>
          </cell>
          <cell r="U844">
            <v>189</v>
          </cell>
          <cell r="V844">
            <v>0</v>
          </cell>
          <cell r="W844">
            <v>0.25</v>
          </cell>
        </row>
        <row r="845">
          <cell r="C845" t="str">
            <v>2006MO</v>
          </cell>
          <cell r="D845">
            <v>1131</v>
          </cell>
          <cell r="E845">
            <v>362940</v>
          </cell>
          <cell r="F845">
            <v>49140</v>
          </cell>
          <cell r="G845">
            <v>0</v>
          </cell>
          <cell r="H845">
            <v>8075</v>
          </cell>
          <cell r="I845">
            <v>1820</v>
          </cell>
          <cell r="J845">
            <v>0</v>
          </cell>
          <cell r="K845">
            <v>0</v>
          </cell>
          <cell r="L845">
            <v>13696</v>
          </cell>
          <cell r="M845">
            <v>194180</v>
          </cell>
          <cell r="N845">
            <v>0</v>
          </cell>
          <cell r="O845">
            <v>0</v>
          </cell>
          <cell r="P845">
            <v>0</v>
          </cell>
          <cell r="Q845">
            <v>0</v>
          </cell>
          <cell r="R845">
            <v>0</v>
          </cell>
          <cell r="S845">
            <v>0</v>
          </cell>
          <cell r="T845">
            <v>0</v>
          </cell>
          <cell r="U845">
            <v>214</v>
          </cell>
          <cell r="V845">
            <v>0</v>
          </cell>
          <cell r="W845">
            <v>0.03</v>
          </cell>
        </row>
        <row r="846">
          <cell r="C846" t="str">
            <v>2006MT</v>
          </cell>
          <cell r="D846">
            <v>3255</v>
          </cell>
          <cell r="E846">
            <v>2628</v>
          </cell>
          <cell r="F846">
            <v>153075</v>
          </cell>
          <cell r="G846">
            <v>31000</v>
          </cell>
          <cell r="H846">
            <v>0</v>
          </cell>
          <cell r="I846">
            <v>1104</v>
          </cell>
          <cell r="J846">
            <v>0</v>
          </cell>
          <cell r="K846">
            <v>0</v>
          </cell>
          <cell r="L846">
            <v>0</v>
          </cell>
          <cell r="M846">
            <v>0</v>
          </cell>
          <cell r="N846">
            <v>0</v>
          </cell>
          <cell r="O846">
            <v>305</v>
          </cell>
          <cell r="P846">
            <v>2063</v>
          </cell>
          <cell r="Q846">
            <v>110</v>
          </cell>
          <cell r="R846">
            <v>804</v>
          </cell>
          <cell r="S846">
            <v>0</v>
          </cell>
          <cell r="T846">
            <v>0</v>
          </cell>
          <cell r="U846">
            <v>0</v>
          </cell>
          <cell r="V846">
            <v>0</v>
          </cell>
          <cell r="W846">
            <v>0</v>
          </cell>
        </row>
        <row r="847">
          <cell r="C847" t="str">
            <v>2006NE</v>
          </cell>
          <cell r="D847">
            <v>3960</v>
          </cell>
          <cell r="E847">
            <v>1178000</v>
          </cell>
          <cell r="F847">
            <v>61200</v>
          </cell>
          <cell r="G847">
            <v>0</v>
          </cell>
          <cell r="H847">
            <v>19200</v>
          </cell>
          <cell r="I847">
            <v>2025</v>
          </cell>
          <cell r="J847">
            <v>0</v>
          </cell>
          <cell r="K847">
            <v>2420</v>
          </cell>
          <cell r="L847">
            <v>0</v>
          </cell>
          <cell r="M847">
            <v>250500</v>
          </cell>
          <cell r="N847">
            <v>0</v>
          </cell>
          <cell r="O847">
            <v>2728</v>
          </cell>
          <cell r="P847">
            <v>0</v>
          </cell>
          <cell r="Q847">
            <v>0</v>
          </cell>
          <cell r="R847">
            <v>0</v>
          </cell>
          <cell r="S847">
            <v>0</v>
          </cell>
          <cell r="T847">
            <v>0</v>
          </cell>
          <cell r="U847">
            <v>0</v>
          </cell>
          <cell r="V847">
            <v>0</v>
          </cell>
          <cell r="W847">
            <v>0</v>
          </cell>
        </row>
        <row r="848">
          <cell r="C848" t="str">
            <v>2006NV</v>
          </cell>
          <cell r="D848">
            <v>1269</v>
          </cell>
          <cell r="E848">
            <v>0</v>
          </cell>
          <cell r="F848">
            <v>1056</v>
          </cell>
          <cell r="G848">
            <v>200</v>
          </cell>
          <cell r="H848">
            <v>0</v>
          </cell>
          <cell r="I848">
            <v>0</v>
          </cell>
          <cell r="J848">
            <v>0</v>
          </cell>
          <cell r="K848">
            <v>0</v>
          </cell>
          <cell r="L848">
            <v>0</v>
          </cell>
          <cell r="M848">
            <v>0</v>
          </cell>
          <cell r="N848">
            <v>0</v>
          </cell>
          <cell r="O848">
            <v>0</v>
          </cell>
          <cell r="P848">
            <v>0</v>
          </cell>
          <cell r="Q848">
            <v>0</v>
          </cell>
          <cell r="R848">
            <v>0</v>
          </cell>
          <cell r="S848">
            <v>0</v>
          </cell>
          <cell r="T848">
            <v>0</v>
          </cell>
          <cell r="U848">
            <v>0</v>
          </cell>
          <cell r="V848">
            <v>0</v>
          </cell>
          <cell r="W848">
            <v>0</v>
          </cell>
        </row>
        <row r="849">
          <cell r="C849" t="str">
            <v>2006NH</v>
          </cell>
          <cell r="D849">
            <v>17</v>
          </cell>
          <cell r="E849">
            <v>0</v>
          </cell>
          <cell r="F849">
            <v>0</v>
          </cell>
          <cell r="G849">
            <v>0</v>
          </cell>
          <cell r="H849">
            <v>0</v>
          </cell>
          <cell r="I849">
            <v>0</v>
          </cell>
          <cell r="J849">
            <v>0</v>
          </cell>
          <cell r="K849">
            <v>0</v>
          </cell>
          <cell r="L849">
            <v>0</v>
          </cell>
          <cell r="M849">
            <v>0</v>
          </cell>
          <cell r="N849">
            <v>0</v>
          </cell>
          <cell r="O849">
            <v>0</v>
          </cell>
          <cell r="P849">
            <v>0</v>
          </cell>
          <cell r="Q849">
            <v>0</v>
          </cell>
          <cell r="R849">
            <v>0</v>
          </cell>
          <cell r="S849">
            <v>0</v>
          </cell>
          <cell r="T849">
            <v>0</v>
          </cell>
          <cell r="U849">
            <v>0</v>
          </cell>
          <cell r="V849">
            <v>0</v>
          </cell>
          <cell r="W849">
            <v>0</v>
          </cell>
        </row>
        <row r="850">
          <cell r="C850" t="str">
            <v>2006NJ</v>
          </cell>
          <cell r="D850">
            <v>63</v>
          </cell>
          <cell r="E850">
            <v>8256</v>
          </cell>
          <cell r="F850">
            <v>1320</v>
          </cell>
          <cell r="G850">
            <v>114</v>
          </cell>
          <cell r="H850">
            <v>0</v>
          </cell>
          <cell r="I850">
            <v>0</v>
          </cell>
          <cell r="J850">
            <v>0</v>
          </cell>
          <cell r="K850">
            <v>0</v>
          </cell>
          <cell r="L850">
            <v>0</v>
          </cell>
          <cell r="M850">
            <v>3010</v>
          </cell>
          <cell r="N850">
            <v>0</v>
          </cell>
          <cell r="O850">
            <v>0</v>
          </cell>
          <cell r="P850">
            <v>0</v>
          </cell>
          <cell r="Q850">
            <v>0</v>
          </cell>
          <cell r="R850">
            <v>0</v>
          </cell>
          <cell r="S850">
            <v>0</v>
          </cell>
          <cell r="T850">
            <v>0</v>
          </cell>
          <cell r="U850">
            <v>0</v>
          </cell>
          <cell r="V850">
            <v>0</v>
          </cell>
          <cell r="W850">
            <v>0</v>
          </cell>
        </row>
        <row r="851">
          <cell r="C851" t="str">
            <v>2006NM</v>
          </cell>
          <cell r="D851">
            <v>1122</v>
          </cell>
          <cell r="E851">
            <v>8325</v>
          </cell>
          <cell r="F851">
            <v>3840</v>
          </cell>
          <cell r="G851">
            <v>0</v>
          </cell>
          <cell r="H851">
            <v>2100</v>
          </cell>
          <cell r="I851">
            <v>0</v>
          </cell>
          <cell r="J851">
            <v>0</v>
          </cell>
          <cell r="K851">
            <v>0</v>
          </cell>
          <cell r="L851">
            <v>0</v>
          </cell>
          <cell r="M851">
            <v>0</v>
          </cell>
          <cell r="N851">
            <v>43200</v>
          </cell>
          <cell r="O851">
            <v>197</v>
          </cell>
          <cell r="P851">
            <v>0</v>
          </cell>
          <cell r="Q851">
            <v>0</v>
          </cell>
          <cell r="R851">
            <v>0</v>
          </cell>
          <cell r="S851">
            <v>0</v>
          </cell>
          <cell r="T851">
            <v>0</v>
          </cell>
          <cell r="U851">
            <v>0</v>
          </cell>
          <cell r="V851">
            <v>0</v>
          </cell>
          <cell r="W851">
            <v>0</v>
          </cell>
        </row>
        <row r="852">
          <cell r="C852" t="str">
            <v>2006NY</v>
          </cell>
          <cell r="D852">
            <v>777</v>
          </cell>
          <cell r="E852">
            <v>61920</v>
          </cell>
          <cell r="F852">
            <v>5795</v>
          </cell>
          <cell r="G852">
            <v>660</v>
          </cell>
          <cell r="H852">
            <v>0</v>
          </cell>
          <cell r="I852">
            <v>4958</v>
          </cell>
          <cell r="J852">
            <v>0</v>
          </cell>
          <cell r="K852">
            <v>0</v>
          </cell>
          <cell r="L852">
            <v>0</v>
          </cell>
          <cell r="M852">
            <v>9108</v>
          </cell>
          <cell r="N852">
            <v>0</v>
          </cell>
          <cell r="O852">
            <v>239</v>
          </cell>
          <cell r="P852">
            <v>0</v>
          </cell>
          <cell r="Q852">
            <v>0</v>
          </cell>
          <cell r="R852">
            <v>0</v>
          </cell>
          <cell r="S852">
            <v>0</v>
          </cell>
          <cell r="T852">
            <v>0</v>
          </cell>
          <cell r="U852">
            <v>0</v>
          </cell>
          <cell r="V852">
            <v>0</v>
          </cell>
          <cell r="W852">
            <v>0</v>
          </cell>
        </row>
        <row r="853">
          <cell r="C853" t="str">
            <v>2006NC</v>
          </cell>
          <cell r="D853">
            <v>31</v>
          </cell>
          <cell r="E853">
            <v>97680</v>
          </cell>
          <cell r="F853">
            <v>24780</v>
          </cell>
          <cell r="G853">
            <v>1360</v>
          </cell>
          <cell r="H853">
            <v>611</v>
          </cell>
          <cell r="I853">
            <v>1690</v>
          </cell>
          <cell r="J853">
            <v>0</v>
          </cell>
          <cell r="K853">
            <v>0</v>
          </cell>
          <cell r="L853">
            <v>0</v>
          </cell>
          <cell r="M853">
            <v>43520</v>
          </cell>
          <cell r="N853">
            <v>268800</v>
          </cell>
          <cell r="O853">
            <v>0</v>
          </cell>
          <cell r="P853">
            <v>0</v>
          </cell>
          <cell r="Q853">
            <v>0</v>
          </cell>
          <cell r="R853">
            <v>0</v>
          </cell>
          <cell r="S853">
            <v>0</v>
          </cell>
          <cell r="T853">
            <v>0</v>
          </cell>
          <cell r="U853">
            <v>0</v>
          </cell>
          <cell r="V853">
            <v>0</v>
          </cell>
          <cell r="W853">
            <v>0</v>
          </cell>
        </row>
        <row r="854">
          <cell r="C854" t="str">
            <v>2006ND</v>
          </cell>
          <cell r="D854">
            <v>1740</v>
          </cell>
          <cell r="E854">
            <v>155400</v>
          </cell>
          <cell r="F854">
            <v>251770</v>
          </cell>
          <cell r="G854">
            <v>48755</v>
          </cell>
          <cell r="H854">
            <v>0</v>
          </cell>
          <cell r="I854">
            <v>4920</v>
          </cell>
          <cell r="J854">
            <v>0</v>
          </cell>
          <cell r="K854">
            <v>0</v>
          </cell>
          <cell r="L854">
            <v>0</v>
          </cell>
          <cell r="M854">
            <v>119970</v>
          </cell>
          <cell r="N854">
            <v>0</v>
          </cell>
          <cell r="O854">
            <v>7680</v>
          </cell>
          <cell r="P854">
            <v>9322</v>
          </cell>
          <cell r="Q854">
            <v>0</v>
          </cell>
          <cell r="R854">
            <v>1214</v>
          </cell>
          <cell r="S854">
            <v>0</v>
          </cell>
          <cell r="T854">
            <v>0</v>
          </cell>
          <cell r="U854">
            <v>0</v>
          </cell>
          <cell r="V854">
            <v>0</v>
          </cell>
          <cell r="W854">
            <v>0</v>
          </cell>
        </row>
        <row r="855">
          <cell r="C855" t="str">
            <v>2006OH</v>
          </cell>
          <cell r="D855">
            <v>1645</v>
          </cell>
          <cell r="E855">
            <v>470640</v>
          </cell>
          <cell r="F855">
            <v>65280</v>
          </cell>
          <cell r="G855">
            <v>272</v>
          </cell>
          <cell r="H855">
            <v>0</v>
          </cell>
          <cell r="I855">
            <v>4125</v>
          </cell>
          <cell r="J855">
            <v>0</v>
          </cell>
          <cell r="K855">
            <v>0</v>
          </cell>
          <cell r="L855">
            <v>0</v>
          </cell>
          <cell r="M855">
            <v>217140</v>
          </cell>
          <cell r="N855">
            <v>0</v>
          </cell>
          <cell r="O855">
            <v>0</v>
          </cell>
          <cell r="P855">
            <v>0</v>
          </cell>
          <cell r="Q855">
            <v>0</v>
          </cell>
          <cell r="R855">
            <v>0</v>
          </cell>
          <cell r="S855">
            <v>0</v>
          </cell>
          <cell r="T855">
            <v>0</v>
          </cell>
          <cell r="U855">
            <v>0</v>
          </cell>
          <cell r="V855">
            <v>0</v>
          </cell>
          <cell r="W855">
            <v>0</v>
          </cell>
        </row>
        <row r="856">
          <cell r="C856" t="str">
            <v>2006OK</v>
          </cell>
          <cell r="D856">
            <v>756</v>
          </cell>
          <cell r="E856">
            <v>23100</v>
          </cell>
          <cell r="F856">
            <v>81600</v>
          </cell>
          <cell r="G856">
            <v>0</v>
          </cell>
          <cell r="H856">
            <v>6800</v>
          </cell>
          <cell r="I856">
            <v>240</v>
          </cell>
          <cell r="J856">
            <v>1040</v>
          </cell>
          <cell r="K856">
            <v>0</v>
          </cell>
          <cell r="L856">
            <v>2.4923095651969351</v>
          </cell>
          <cell r="M856">
            <v>3655</v>
          </cell>
          <cell r="N856">
            <v>62700</v>
          </cell>
          <cell r="O856">
            <v>0</v>
          </cell>
          <cell r="P856">
            <v>0</v>
          </cell>
          <cell r="Q856">
            <v>0</v>
          </cell>
          <cell r="R856">
            <v>0</v>
          </cell>
          <cell r="S856">
            <v>0</v>
          </cell>
          <cell r="T856">
            <v>0</v>
          </cell>
          <cell r="U856">
            <v>4.1750000000000002E-2</v>
          </cell>
          <cell r="V856">
            <v>0</v>
          </cell>
          <cell r="W856">
            <v>0</v>
          </cell>
        </row>
        <row r="857">
          <cell r="C857" t="str">
            <v>2006OR</v>
          </cell>
          <cell r="D857">
            <v>1892</v>
          </cell>
          <cell r="E857">
            <v>5220</v>
          </cell>
          <cell r="F857">
            <v>44440</v>
          </cell>
          <cell r="G857">
            <v>2436</v>
          </cell>
          <cell r="H857">
            <v>0</v>
          </cell>
          <cell r="I857">
            <v>1900</v>
          </cell>
          <cell r="J857">
            <v>0</v>
          </cell>
          <cell r="K857">
            <v>0</v>
          </cell>
          <cell r="L857">
            <v>0</v>
          </cell>
          <cell r="M857">
            <v>0</v>
          </cell>
          <cell r="N857">
            <v>0</v>
          </cell>
          <cell r="O857">
            <v>190</v>
          </cell>
          <cell r="P857">
            <v>166</v>
          </cell>
          <cell r="Q857">
            <v>45</v>
          </cell>
          <cell r="R857">
            <v>0</v>
          </cell>
          <cell r="S857">
            <v>0</v>
          </cell>
          <cell r="T857">
            <v>0</v>
          </cell>
          <cell r="U857">
            <v>0</v>
          </cell>
          <cell r="V857">
            <v>0</v>
          </cell>
          <cell r="W857">
            <v>0</v>
          </cell>
        </row>
        <row r="858">
          <cell r="C858" t="str">
            <v>2006PA</v>
          </cell>
          <cell r="D858">
            <v>1500</v>
          </cell>
          <cell r="E858">
            <v>117120</v>
          </cell>
          <cell r="F858">
            <v>8850</v>
          </cell>
          <cell r="G858">
            <v>3726</v>
          </cell>
          <cell r="H858">
            <v>330</v>
          </cell>
          <cell r="I858">
            <v>7040</v>
          </cell>
          <cell r="J858">
            <v>0</v>
          </cell>
          <cell r="K858">
            <v>0</v>
          </cell>
          <cell r="L858">
            <v>0</v>
          </cell>
          <cell r="M858">
            <v>17000</v>
          </cell>
          <cell r="N858">
            <v>0</v>
          </cell>
          <cell r="O858">
            <v>0</v>
          </cell>
          <cell r="P858">
            <v>0</v>
          </cell>
          <cell r="Q858">
            <v>0</v>
          </cell>
          <cell r="R858">
            <v>0</v>
          </cell>
          <cell r="S858">
            <v>0</v>
          </cell>
          <cell r="T858">
            <v>0</v>
          </cell>
          <cell r="U858">
            <v>0</v>
          </cell>
          <cell r="V858">
            <v>0</v>
          </cell>
          <cell r="W858">
            <v>0</v>
          </cell>
        </row>
        <row r="859">
          <cell r="C859" t="str">
            <v>2006RI</v>
          </cell>
          <cell r="D859">
            <v>3</v>
          </cell>
          <cell r="E859">
            <v>0</v>
          </cell>
          <cell r="F859">
            <v>0</v>
          </cell>
          <cell r="G859">
            <v>0</v>
          </cell>
          <cell r="H859">
            <v>0</v>
          </cell>
          <cell r="I859">
            <v>0</v>
          </cell>
          <cell r="J859">
            <v>0</v>
          </cell>
          <cell r="K859">
            <v>0</v>
          </cell>
          <cell r="L859">
            <v>0</v>
          </cell>
          <cell r="M859">
            <v>0</v>
          </cell>
          <cell r="N859">
            <v>0</v>
          </cell>
          <cell r="O859">
            <v>0</v>
          </cell>
          <cell r="P859">
            <v>0</v>
          </cell>
          <cell r="Q859">
            <v>0</v>
          </cell>
          <cell r="R859">
            <v>0</v>
          </cell>
          <cell r="S859">
            <v>0</v>
          </cell>
          <cell r="T859">
            <v>0</v>
          </cell>
          <cell r="U859">
            <v>0</v>
          </cell>
          <cell r="V859">
            <v>0</v>
          </cell>
          <cell r="W859">
            <v>0</v>
          </cell>
        </row>
        <row r="860">
          <cell r="C860" t="str">
            <v>2006SC</v>
          </cell>
          <cell r="D860">
            <v>0</v>
          </cell>
          <cell r="E860">
            <v>31900</v>
          </cell>
          <cell r="F860">
            <v>6150</v>
          </cell>
          <cell r="G860">
            <v>0</v>
          </cell>
          <cell r="H860">
            <v>357</v>
          </cell>
          <cell r="I860">
            <v>990</v>
          </cell>
          <cell r="J860">
            <v>0</v>
          </cell>
          <cell r="K860">
            <v>0</v>
          </cell>
          <cell r="L860">
            <v>0</v>
          </cell>
          <cell r="M860">
            <v>11310</v>
          </cell>
          <cell r="N860">
            <v>168000</v>
          </cell>
          <cell r="O860">
            <v>0</v>
          </cell>
          <cell r="P860">
            <v>0</v>
          </cell>
          <cell r="Q860">
            <v>0</v>
          </cell>
          <cell r="R860">
            <v>0</v>
          </cell>
          <cell r="S860">
            <v>0</v>
          </cell>
          <cell r="T860">
            <v>0</v>
          </cell>
          <cell r="U860">
            <v>0</v>
          </cell>
          <cell r="V860">
            <v>0</v>
          </cell>
          <cell r="W860">
            <v>0</v>
          </cell>
        </row>
        <row r="861">
          <cell r="C861" t="str">
            <v>2006SD</v>
          </cell>
          <cell r="D861">
            <v>2880</v>
          </cell>
          <cell r="E861">
            <v>312340</v>
          </cell>
          <cell r="F861">
            <v>84090</v>
          </cell>
          <cell r="G861">
            <v>560</v>
          </cell>
          <cell r="H861">
            <v>2880</v>
          </cell>
          <cell r="I861">
            <v>5415</v>
          </cell>
          <cell r="J861">
            <v>0</v>
          </cell>
          <cell r="K861">
            <v>2420</v>
          </cell>
          <cell r="L861">
            <v>0</v>
          </cell>
          <cell r="M861">
            <v>130900</v>
          </cell>
          <cell r="N861">
            <v>0</v>
          </cell>
          <cell r="O861">
            <v>224</v>
          </cell>
          <cell r="P861">
            <v>0</v>
          </cell>
          <cell r="Q861">
            <v>0</v>
          </cell>
          <cell r="R861">
            <v>0</v>
          </cell>
          <cell r="S861">
            <v>0</v>
          </cell>
          <cell r="T861">
            <v>0</v>
          </cell>
          <cell r="U861">
            <v>0</v>
          </cell>
          <cell r="V861">
            <v>0</v>
          </cell>
          <cell r="W861">
            <v>0</v>
          </cell>
        </row>
        <row r="862">
          <cell r="C862" t="str">
            <v>2006TN</v>
          </cell>
          <cell r="D862">
            <v>111</v>
          </cell>
          <cell r="E862">
            <v>62500</v>
          </cell>
          <cell r="F862">
            <v>12160</v>
          </cell>
          <cell r="G862">
            <v>0</v>
          </cell>
          <cell r="H862">
            <v>1045</v>
          </cell>
          <cell r="I862">
            <v>0</v>
          </cell>
          <cell r="J862">
            <v>0</v>
          </cell>
          <cell r="K862">
            <v>0</v>
          </cell>
          <cell r="L862">
            <v>0</v>
          </cell>
          <cell r="M862">
            <v>44070</v>
          </cell>
          <cell r="N862">
            <v>0</v>
          </cell>
          <cell r="O862">
            <v>0</v>
          </cell>
          <cell r="P862">
            <v>0</v>
          </cell>
          <cell r="Q862">
            <v>0</v>
          </cell>
          <cell r="R862">
            <v>0</v>
          </cell>
          <cell r="S862">
            <v>0</v>
          </cell>
          <cell r="T862">
            <v>0</v>
          </cell>
          <cell r="U862">
            <v>0</v>
          </cell>
          <cell r="V862">
            <v>0</v>
          </cell>
          <cell r="W862">
            <v>0</v>
          </cell>
        </row>
        <row r="863">
          <cell r="C863" t="str">
            <v>2006TX</v>
          </cell>
          <cell r="D863">
            <v>675</v>
          </cell>
          <cell r="E863">
            <v>175450</v>
          </cell>
          <cell r="F863">
            <v>33600</v>
          </cell>
          <cell r="G863">
            <v>0</v>
          </cell>
          <cell r="H863">
            <v>62400</v>
          </cell>
          <cell r="I863">
            <v>3700</v>
          </cell>
          <cell r="J863">
            <v>0</v>
          </cell>
          <cell r="K863">
            <v>0</v>
          </cell>
          <cell r="L863">
            <v>10760</v>
          </cell>
          <cell r="M863">
            <v>3720</v>
          </cell>
          <cell r="N863">
            <v>514750</v>
          </cell>
          <cell r="O863">
            <v>238</v>
          </cell>
          <cell r="P863">
            <v>0</v>
          </cell>
          <cell r="Q863">
            <v>0</v>
          </cell>
          <cell r="R863">
            <v>0</v>
          </cell>
          <cell r="S863">
            <v>0</v>
          </cell>
          <cell r="T863">
            <v>1677</v>
          </cell>
          <cell r="U863">
            <v>150</v>
          </cell>
          <cell r="V863">
            <v>58.5</v>
          </cell>
          <cell r="W863">
            <v>0</v>
          </cell>
        </row>
        <row r="864">
          <cell r="C864" t="str">
            <v>2006UT</v>
          </cell>
          <cell r="D864">
            <v>2240</v>
          </cell>
          <cell r="E864">
            <v>2669</v>
          </cell>
          <cell r="F864">
            <v>6120</v>
          </cell>
          <cell r="G864">
            <v>2280</v>
          </cell>
          <cell r="H864">
            <v>0</v>
          </cell>
          <cell r="I864">
            <v>539</v>
          </cell>
          <cell r="J864">
            <v>0</v>
          </cell>
          <cell r="K864">
            <v>0</v>
          </cell>
          <cell r="L864">
            <v>0</v>
          </cell>
          <cell r="M864">
            <v>0</v>
          </cell>
          <cell r="N864">
            <v>0</v>
          </cell>
          <cell r="O864">
            <v>2</v>
          </cell>
          <cell r="P864">
            <v>0</v>
          </cell>
          <cell r="Q864">
            <v>0</v>
          </cell>
          <cell r="R864">
            <v>0</v>
          </cell>
          <cell r="S864">
            <v>0</v>
          </cell>
          <cell r="T864">
            <v>0</v>
          </cell>
          <cell r="U864">
            <v>0</v>
          </cell>
          <cell r="V864">
            <v>0</v>
          </cell>
          <cell r="W864">
            <v>0</v>
          </cell>
        </row>
        <row r="865">
          <cell r="C865" t="str">
            <v>2006VT</v>
          </cell>
          <cell r="D865">
            <v>70</v>
          </cell>
          <cell r="E865">
            <v>0</v>
          </cell>
          <cell r="F865">
            <v>0</v>
          </cell>
          <cell r="G865">
            <v>0</v>
          </cell>
          <cell r="H865">
            <v>0</v>
          </cell>
          <cell r="I865">
            <v>0</v>
          </cell>
          <cell r="J865">
            <v>0</v>
          </cell>
          <cell r="K865">
            <v>0</v>
          </cell>
          <cell r="L865">
            <v>0</v>
          </cell>
          <cell r="M865">
            <v>0</v>
          </cell>
          <cell r="N865">
            <v>0</v>
          </cell>
          <cell r="O865">
            <v>0</v>
          </cell>
          <cell r="P865">
            <v>0</v>
          </cell>
          <cell r="Q865">
            <v>0</v>
          </cell>
          <cell r="R865">
            <v>0</v>
          </cell>
          <cell r="S865">
            <v>0</v>
          </cell>
          <cell r="T865">
            <v>0</v>
          </cell>
          <cell r="U865">
            <v>0</v>
          </cell>
          <cell r="V865">
            <v>0</v>
          </cell>
          <cell r="W865">
            <v>0</v>
          </cell>
        </row>
        <row r="866">
          <cell r="C866" t="str">
            <v>2006VA</v>
          </cell>
          <cell r="D866">
            <v>360</v>
          </cell>
          <cell r="E866">
            <v>41400</v>
          </cell>
          <cell r="F866">
            <v>10540</v>
          </cell>
          <cell r="G866">
            <v>3234</v>
          </cell>
          <cell r="H866">
            <v>0</v>
          </cell>
          <cell r="I866">
            <v>220</v>
          </cell>
          <cell r="J866">
            <v>0</v>
          </cell>
          <cell r="K866">
            <v>0</v>
          </cell>
          <cell r="L866">
            <v>0</v>
          </cell>
          <cell r="M866">
            <v>15810</v>
          </cell>
          <cell r="N866">
            <v>54400</v>
          </cell>
          <cell r="O866">
            <v>0</v>
          </cell>
          <cell r="P866">
            <v>0</v>
          </cell>
          <cell r="Q866">
            <v>0</v>
          </cell>
          <cell r="R866">
            <v>0</v>
          </cell>
          <cell r="S866">
            <v>0</v>
          </cell>
          <cell r="T866">
            <v>0</v>
          </cell>
          <cell r="U866">
            <v>0</v>
          </cell>
          <cell r="V866">
            <v>0</v>
          </cell>
          <cell r="W866">
            <v>0</v>
          </cell>
        </row>
        <row r="867">
          <cell r="C867" t="str">
            <v>2006WA</v>
          </cell>
          <cell r="D867">
            <v>2156</v>
          </cell>
          <cell r="E867">
            <v>15750</v>
          </cell>
          <cell r="F867">
            <v>140050</v>
          </cell>
          <cell r="G867">
            <v>11970</v>
          </cell>
          <cell r="H867">
            <v>0</v>
          </cell>
          <cell r="I867">
            <v>688</v>
          </cell>
          <cell r="J867">
            <v>0</v>
          </cell>
          <cell r="K867">
            <v>0</v>
          </cell>
          <cell r="L867">
            <v>0</v>
          </cell>
          <cell r="M867">
            <v>0</v>
          </cell>
          <cell r="N867">
            <v>0</v>
          </cell>
          <cell r="O867">
            <v>968</v>
          </cell>
          <cell r="P867">
            <v>1188</v>
          </cell>
          <cell r="Q867">
            <v>0</v>
          </cell>
          <cell r="R867">
            <v>760</v>
          </cell>
          <cell r="S867">
            <v>510</v>
          </cell>
          <cell r="T867">
            <v>0</v>
          </cell>
          <cell r="U867">
            <v>0</v>
          </cell>
          <cell r="V867">
            <v>0</v>
          </cell>
          <cell r="W867">
            <v>0</v>
          </cell>
        </row>
        <row r="868">
          <cell r="C868" t="str">
            <v>2006WV</v>
          </cell>
          <cell r="D868">
            <v>102</v>
          </cell>
          <cell r="E868">
            <v>3120</v>
          </cell>
          <cell r="F868">
            <v>366</v>
          </cell>
          <cell r="G868">
            <v>0</v>
          </cell>
          <cell r="H868">
            <v>0</v>
          </cell>
          <cell r="I868">
            <v>0</v>
          </cell>
          <cell r="J868">
            <v>0</v>
          </cell>
          <cell r="K868">
            <v>0</v>
          </cell>
          <cell r="L868">
            <v>0</v>
          </cell>
          <cell r="M868">
            <v>672</v>
          </cell>
          <cell r="N868">
            <v>0</v>
          </cell>
          <cell r="O868">
            <v>0</v>
          </cell>
          <cell r="P868">
            <v>0</v>
          </cell>
          <cell r="Q868">
            <v>0</v>
          </cell>
          <cell r="R868">
            <v>0</v>
          </cell>
          <cell r="S868">
            <v>0</v>
          </cell>
          <cell r="T868">
            <v>0</v>
          </cell>
          <cell r="U868">
            <v>0</v>
          </cell>
          <cell r="V868">
            <v>0</v>
          </cell>
          <cell r="W868">
            <v>0</v>
          </cell>
        </row>
        <row r="869">
          <cell r="C869" t="str">
            <v>2006WI</v>
          </cell>
          <cell r="D869">
            <v>4480</v>
          </cell>
          <cell r="E869">
            <v>400400</v>
          </cell>
          <cell r="F869">
            <v>18290</v>
          </cell>
          <cell r="G869">
            <v>1620</v>
          </cell>
          <cell r="H869">
            <v>0</v>
          </cell>
          <cell r="I869">
            <v>14490</v>
          </cell>
          <cell r="J869">
            <v>0</v>
          </cell>
          <cell r="K869">
            <v>0</v>
          </cell>
          <cell r="L869">
            <v>0</v>
          </cell>
          <cell r="M869">
            <v>72160</v>
          </cell>
          <cell r="N869">
            <v>0</v>
          </cell>
          <cell r="O869">
            <v>108</v>
          </cell>
          <cell r="P869">
            <v>0</v>
          </cell>
          <cell r="Q869">
            <v>0</v>
          </cell>
          <cell r="R869">
            <v>0</v>
          </cell>
          <cell r="S869">
            <v>0</v>
          </cell>
          <cell r="T869">
            <v>0</v>
          </cell>
          <cell r="U869">
            <v>0</v>
          </cell>
          <cell r="V869">
            <v>0</v>
          </cell>
          <cell r="W869">
            <v>0</v>
          </cell>
        </row>
        <row r="870">
          <cell r="C870" t="str">
            <v>2006WY</v>
          </cell>
          <cell r="D870">
            <v>1400</v>
          </cell>
          <cell r="E870">
            <v>5805</v>
          </cell>
          <cell r="F870">
            <v>3879</v>
          </cell>
          <cell r="G870">
            <v>4845</v>
          </cell>
          <cell r="H870">
            <v>0</v>
          </cell>
          <cell r="I870">
            <v>684</v>
          </cell>
          <cell r="J870">
            <v>0</v>
          </cell>
          <cell r="K870">
            <v>0</v>
          </cell>
          <cell r="L870">
            <v>0</v>
          </cell>
          <cell r="M870">
            <v>0</v>
          </cell>
          <cell r="N870">
            <v>0</v>
          </cell>
          <cell r="O870">
            <v>590</v>
          </cell>
          <cell r="P870">
            <v>0</v>
          </cell>
          <cell r="Q870">
            <v>0</v>
          </cell>
          <cell r="R870">
            <v>0</v>
          </cell>
          <cell r="S870">
            <v>0</v>
          </cell>
          <cell r="T870">
            <v>0</v>
          </cell>
          <cell r="U870">
            <v>0</v>
          </cell>
          <cell r="V870">
            <v>0</v>
          </cell>
          <cell r="W870">
            <v>0</v>
          </cell>
        </row>
        <row r="871">
          <cell r="C871" t="str">
            <v>2006US</v>
          </cell>
          <cell r="D871">
            <v>70548</v>
          </cell>
          <cell r="E871">
            <v>13073893</v>
          </cell>
          <cell r="F871">
            <v>2066722</v>
          </cell>
          <cell r="G871">
            <v>211825</v>
          </cell>
          <cell r="H871">
            <v>504993</v>
          </cell>
          <cell r="I871">
            <v>91599</v>
          </cell>
          <cell r="J871">
            <v>7914</v>
          </cell>
          <cell r="K871">
            <v>16615</v>
          </cell>
          <cell r="L871">
            <v>194293.55270956518</v>
          </cell>
          <cell r="M871">
            <v>2585207</v>
          </cell>
          <cell r="N871">
            <v>3740650</v>
          </cell>
          <cell r="O871">
            <v>25371</v>
          </cell>
          <cell r="P871">
            <v>15903</v>
          </cell>
          <cell r="Q871">
            <v>127</v>
          </cell>
          <cell r="R871">
            <v>3408</v>
          </cell>
          <cell r="S871">
            <v>590</v>
          </cell>
          <cell r="T871">
            <v>29564</v>
          </cell>
          <cell r="U871">
            <v>2832.3477499999999</v>
          </cell>
          <cell r="V871">
            <v>130.71379999999999</v>
          </cell>
          <cell r="W871">
            <v>0</v>
          </cell>
        </row>
        <row r="872">
          <cell r="C872" t="str">
            <v>2007AL</v>
          </cell>
          <cell r="D872">
            <v>0</v>
          </cell>
          <cell r="E872">
            <v>21840</v>
          </cell>
          <cell r="F872">
            <v>3192</v>
          </cell>
          <cell r="G872">
            <v>0</v>
          </cell>
          <cell r="H872">
            <v>240</v>
          </cell>
          <cell r="I872">
            <v>928</v>
          </cell>
          <cell r="J872">
            <v>0</v>
          </cell>
          <cell r="K872">
            <v>0</v>
          </cell>
          <cell r="L872">
            <v>0</v>
          </cell>
          <cell r="M872">
            <v>3885</v>
          </cell>
          <cell r="N872">
            <v>400350</v>
          </cell>
          <cell r="O872">
            <v>0</v>
          </cell>
          <cell r="P872">
            <v>0</v>
          </cell>
          <cell r="Q872">
            <v>0</v>
          </cell>
          <cell r="R872">
            <v>0</v>
          </cell>
          <cell r="S872">
            <v>0</v>
          </cell>
          <cell r="T872">
            <v>0</v>
          </cell>
          <cell r="U872">
            <v>0</v>
          </cell>
          <cell r="V872">
            <v>0</v>
          </cell>
          <cell r="W872">
            <v>0</v>
          </cell>
        </row>
        <row r="873">
          <cell r="C873" t="str">
            <v>2007AK</v>
          </cell>
          <cell r="D873">
            <v>0</v>
          </cell>
          <cell r="E873">
            <v>0</v>
          </cell>
          <cell r="F873">
            <v>0</v>
          </cell>
          <cell r="G873">
            <v>158</v>
          </cell>
          <cell r="H873">
            <v>0</v>
          </cell>
          <cell r="I873">
            <v>47</v>
          </cell>
          <cell r="J873">
            <v>0</v>
          </cell>
          <cell r="K873">
            <v>0</v>
          </cell>
          <cell r="L873">
            <v>0</v>
          </cell>
          <cell r="M873">
            <v>0</v>
          </cell>
          <cell r="N873">
            <v>0</v>
          </cell>
          <cell r="O873">
            <v>0</v>
          </cell>
          <cell r="P873">
            <v>0</v>
          </cell>
          <cell r="Q873">
            <v>0</v>
          </cell>
          <cell r="R873">
            <v>0</v>
          </cell>
          <cell r="S873">
            <v>0</v>
          </cell>
          <cell r="T873">
            <v>0</v>
          </cell>
          <cell r="U873">
            <v>0</v>
          </cell>
          <cell r="V873">
            <v>0</v>
          </cell>
          <cell r="W873">
            <v>0</v>
          </cell>
        </row>
        <row r="874">
          <cell r="C874" t="str">
            <v>2007AZ</v>
          </cell>
          <cell r="D874">
            <v>2040</v>
          </cell>
          <cell r="E874">
            <v>4070</v>
          </cell>
          <cell r="F874">
            <v>8724</v>
          </cell>
          <cell r="G874">
            <v>3410</v>
          </cell>
          <cell r="H874">
            <v>1800</v>
          </cell>
          <cell r="I874">
            <v>0</v>
          </cell>
          <cell r="J874">
            <v>0</v>
          </cell>
          <cell r="K874">
            <v>0</v>
          </cell>
          <cell r="L874">
            <v>0</v>
          </cell>
          <cell r="M874">
            <v>0</v>
          </cell>
          <cell r="N874">
            <v>0</v>
          </cell>
          <cell r="O874">
            <v>0</v>
          </cell>
          <cell r="P874">
            <v>0</v>
          </cell>
          <cell r="Q874">
            <v>0</v>
          </cell>
          <cell r="R874">
            <v>0</v>
          </cell>
          <cell r="S874">
            <v>0</v>
          </cell>
          <cell r="T874">
            <v>0</v>
          </cell>
          <cell r="U874">
            <v>0</v>
          </cell>
          <cell r="V874">
            <v>0</v>
          </cell>
          <cell r="W874">
            <v>0</v>
          </cell>
        </row>
        <row r="875">
          <cell r="C875" t="str">
            <v>2007AR</v>
          </cell>
          <cell r="D875">
            <v>39</v>
          </cell>
          <cell r="E875">
            <v>99710</v>
          </cell>
          <cell r="F875">
            <v>28700</v>
          </cell>
          <cell r="G875">
            <v>0</v>
          </cell>
          <cell r="H875">
            <v>20640</v>
          </cell>
          <cell r="I875">
            <v>0</v>
          </cell>
          <cell r="J875">
            <v>0</v>
          </cell>
          <cell r="K875">
            <v>0</v>
          </cell>
          <cell r="L875">
            <v>94487</v>
          </cell>
          <cell r="M875">
            <v>101520</v>
          </cell>
          <cell r="N875">
            <v>0</v>
          </cell>
          <cell r="O875">
            <v>0</v>
          </cell>
          <cell r="P875">
            <v>0</v>
          </cell>
          <cell r="Q875">
            <v>0</v>
          </cell>
          <cell r="R875">
            <v>0</v>
          </cell>
          <cell r="S875">
            <v>0</v>
          </cell>
          <cell r="T875">
            <v>0</v>
          </cell>
          <cell r="U875">
            <v>1325</v>
          </cell>
          <cell r="V875">
            <v>1.3250000000000001E-2</v>
          </cell>
          <cell r="W875">
            <v>0.26800000000000002</v>
          </cell>
        </row>
        <row r="876">
          <cell r="C876" t="str">
            <v>2007CA</v>
          </cell>
          <cell r="D876">
            <v>7128</v>
          </cell>
          <cell r="E876">
            <v>34580</v>
          </cell>
          <cell r="F876">
            <v>29465</v>
          </cell>
          <cell r="G876">
            <v>2560</v>
          </cell>
          <cell r="H876">
            <v>850</v>
          </cell>
          <cell r="I876">
            <v>2475</v>
          </cell>
          <cell r="J876">
            <v>0</v>
          </cell>
          <cell r="K876">
            <v>0</v>
          </cell>
          <cell r="L876">
            <v>43822</v>
          </cell>
          <cell r="M876">
            <v>0</v>
          </cell>
          <cell r="N876">
            <v>0</v>
          </cell>
          <cell r="O876">
            <v>1212</v>
          </cell>
          <cell r="P876">
            <v>0</v>
          </cell>
          <cell r="Q876">
            <v>0</v>
          </cell>
          <cell r="R876">
            <v>0</v>
          </cell>
          <cell r="S876">
            <v>0</v>
          </cell>
          <cell r="T876">
            <v>0</v>
          </cell>
          <cell r="U876">
            <v>533</v>
          </cell>
          <cell r="V876">
            <v>0</v>
          </cell>
          <cell r="W876">
            <v>0.16263772370685042</v>
          </cell>
        </row>
        <row r="877">
          <cell r="C877" t="str">
            <v>2007CO</v>
          </cell>
          <cell r="D877">
            <v>3034</v>
          </cell>
          <cell r="E877">
            <v>148400</v>
          </cell>
          <cell r="F877">
            <v>92980</v>
          </cell>
          <cell r="G877">
            <v>6960</v>
          </cell>
          <cell r="H877">
            <v>5550</v>
          </cell>
          <cell r="I877">
            <v>550</v>
          </cell>
          <cell r="J877">
            <v>0</v>
          </cell>
          <cell r="K877">
            <v>8580</v>
          </cell>
          <cell r="L877">
            <v>0</v>
          </cell>
          <cell r="M877">
            <v>0</v>
          </cell>
          <cell r="N877">
            <v>0</v>
          </cell>
          <cell r="O877">
            <v>736</v>
          </cell>
          <cell r="P877">
            <v>0</v>
          </cell>
          <cell r="Q877">
            <v>0</v>
          </cell>
          <cell r="R877">
            <v>0</v>
          </cell>
          <cell r="S877">
            <v>0</v>
          </cell>
          <cell r="T877">
            <v>0</v>
          </cell>
          <cell r="U877">
            <v>0</v>
          </cell>
          <cell r="V877">
            <v>0</v>
          </cell>
          <cell r="W877">
            <v>0</v>
          </cell>
        </row>
        <row r="878">
          <cell r="C878" t="str">
            <v>2007CT</v>
          </cell>
          <cell r="D878">
            <v>18</v>
          </cell>
          <cell r="E878">
            <v>0</v>
          </cell>
          <cell r="F878">
            <v>0</v>
          </cell>
          <cell r="G878">
            <v>0</v>
          </cell>
          <cell r="H878">
            <v>0</v>
          </cell>
          <cell r="I878">
            <v>0</v>
          </cell>
          <cell r="J878">
            <v>0</v>
          </cell>
          <cell r="K878">
            <v>0</v>
          </cell>
          <cell r="L878">
            <v>0</v>
          </cell>
          <cell r="M878">
            <v>0</v>
          </cell>
          <cell r="N878">
            <v>0</v>
          </cell>
          <cell r="O878">
            <v>0</v>
          </cell>
          <cell r="P878">
            <v>0</v>
          </cell>
          <cell r="Q878">
            <v>0</v>
          </cell>
          <cell r="R878">
            <v>0</v>
          </cell>
          <cell r="S878">
            <v>0</v>
          </cell>
          <cell r="T878">
            <v>0</v>
          </cell>
          <cell r="U878">
            <v>0</v>
          </cell>
          <cell r="V878">
            <v>0</v>
          </cell>
          <cell r="W878">
            <v>0</v>
          </cell>
        </row>
        <row r="879">
          <cell r="C879" t="str">
            <v>2007DE</v>
          </cell>
          <cell r="D879">
            <v>13</v>
          </cell>
          <cell r="E879">
            <v>18315</v>
          </cell>
          <cell r="F879">
            <v>3740</v>
          </cell>
          <cell r="G879">
            <v>1482</v>
          </cell>
          <cell r="H879">
            <v>0</v>
          </cell>
          <cell r="I879">
            <v>0</v>
          </cell>
          <cell r="J879">
            <v>0</v>
          </cell>
          <cell r="K879">
            <v>0</v>
          </cell>
          <cell r="L879">
            <v>0</v>
          </cell>
          <cell r="M879">
            <v>4030</v>
          </cell>
          <cell r="N879">
            <v>0</v>
          </cell>
          <cell r="O879">
            <v>0</v>
          </cell>
          <cell r="P879">
            <v>0</v>
          </cell>
          <cell r="Q879">
            <v>0</v>
          </cell>
          <cell r="R879">
            <v>0</v>
          </cell>
          <cell r="S879">
            <v>0</v>
          </cell>
          <cell r="T879">
            <v>0</v>
          </cell>
          <cell r="U879">
            <v>0</v>
          </cell>
          <cell r="V879">
            <v>0</v>
          </cell>
          <cell r="W879">
            <v>0</v>
          </cell>
        </row>
        <row r="880">
          <cell r="C880" t="str">
            <v>2007FL</v>
          </cell>
          <cell r="D880">
            <v>0</v>
          </cell>
          <cell r="E880">
            <v>3150</v>
          </cell>
          <cell r="F880">
            <v>495</v>
          </cell>
          <cell r="G880">
            <v>0</v>
          </cell>
          <cell r="H880">
            <v>0</v>
          </cell>
          <cell r="I880">
            <v>0</v>
          </cell>
          <cell r="J880">
            <v>0</v>
          </cell>
          <cell r="K880">
            <v>0</v>
          </cell>
          <cell r="L880">
            <v>493.85</v>
          </cell>
          <cell r="M880">
            <v>288</v>
          </cell>
          <cell r="N880">
            <v>321300</v>
          </cell>
          <cell r="O880">
            <v>0</v>
          </cell>
          <cell r="P880">
            <v>0</v>
          </cell>
          <cell r="Q880">
            <v>0</v>
          </cell>
          <cell r="R880">
            <v>0</v>
          </cell>
          <cell r="S880">
            <v>0</v>
          </cell>
          <cell r="T880">
            <v>14177</v>
          </cell>
          <cell r="U880">
            <v>10.375</v>
          </cell>
          <cell r="V880">
            <v>2.0750000000000002</v>
          </cell>
          <cell r="W880">
            <v>0</v>
          </cell>
        </row>
        <row r="881">
          <cell r="C881" t="str">
            <v>2007GA</v>
          </cell>
          <cell r="D881">
            <v>0</v>
          </cell>
          <cell r="E881">
            <v>57150</v>
          </cell>
          <cell r="F881">
            <v>9200</v>
          </cell>
          <cell r="G881">
            <v>0</v>
          </cell>
          <cell r="H881">
            <v>2070</v>
          </cell>
          <cell r="I881">
            <v>1680</v>
          </cell>
          <cell r="J881">
            <v>800</v>
          </cell>
          <cell r="K881">
            <v>0</v>
          </cell>
          <cell r="L881">
            <v>0</v>
          </cell>
          <cell r="M881">
            <v>8550</v>
          </cell>
          <cell r="N881">
            <v>1622400</v>
          </cell>
          <cell r="O881">
            <v>0</v>
          </cell>
          <cell r="P881">
            <v>0</v>
          </cell>
          <cell r="Q881">
            <v>0</v>
          </cell>
          <cell r="R881">
            <v>0</v>
          </cell>
          <cell r="S881">
            <v>0</v>
          </cell>
          <cell r="T881">
            <v>0</v>
          </cell>
          <cell r="U881">
            <v>0</v>
          </cell>
          <cell r="V881">
            <v>0</v>
          </cell>
          <cell r="W881">
            <v>0</v>
          </cell>
        </row>
        <row r="882">
          <cell r="C882" t="str">
            <v>2007HI</v>
          </cell>
          <cell r="D882">
            <v>0</v>
          </cell>
          <cell r="E882">
            <v>0</v>
          </cell>
          <cell r="F882">
            <v>0</v>
          </cell>
          <cell r="G882">
            <v>0</v>
          </cell>
          <cell r="H882">
            <v>0</v>
          </cell>
          <cell r="I882">
            <v>0</v>
          </cell>
          <cell r="J882">
            <v>0</v>
          </cell>
          <cell r="K882">
            <v>0</v>
          </cell>
          <cell r="L882">
            <v>0</v>
          </cell>
          <cell r="M882">
            <v>0</v>
          </cell>
          <cell r="N882">
            <v>0</v>
          </cell>
          <cell r="O882">
            <v>0</v>
          </cell>
          <cell r="P882">
            <v>0</v>
          </cell>
          <cell r="Q882">
            <v>0</v>
          </cell>
          <cell r="R882">
            <v>0</v>
          </cell>
          <cell r="S882">
            <v>0</v>
          </cell>
          <cell r="T882">
            <v>1564</v>
          </cell>
          <cell r="U882">
            <v>0</v>
          </cell>
          <cell r="V882">
            <v>0</v>
          </cell>
          <cell r="W882">
            <v>0</v>
          </cell>
        </row>
        <row r="883">
          <cell r="C883" t="str">
            <v>2007ID</v>
          </cell>
          <cell r="D883">
            <v>4715</v>
          </cell>
          <cell r="E883">
            <v>17850</v>
          </cell>
          <cell r="F883">
            <v>83645</v>
          </cell>
          <cell r="G883">
            <v>42900</v>
          </cell>
          <cell r="H883">
            <v>0</v>
          </cell>
          <cell r="I883">
            <v>1220</v>
          </cell>
          <cell r="J883">
            <v>0</v>
          </cell>
          <cell r="K883">
            <v>0</v>
          </cell>
          <cell r="L883">
            <v>0</v>
          </cell>
          <cell r="M883">
            <v>0</v>
          </cell>
          <cell r="N883">
            <v>0</v>
          </cell>
          <cell r="O883">
            <v>1602</v>
          </cell>
          <cell r="P883">
            <v>408</v>
          </cell>
          <cell r="Q883">
            <v>65</v>
          </cell>
          <cell r="R883">
            <v>426</v>
          </cell>
          <cell r="S883">
            <v>135</v>
          </cell>
          <cell r="T883">
            <v>0</v>
          </cell>
          <cell r="U883">
            <v>0</v>
          </cell>
          <cell r="V883">
            <v>0</v>
          </cell>
          <cell r="W883">
            <v>0</v>
          </cell>
        </row>
        <row r="884">
          <cell r="C884" t="str">
            <v>2007IL</v>
          </cell>
          <cell r="D884">
            <v>1406</v>
          </cell>
          <cell r="E884">
            <v>2283750</v>
          </cell>
          <cell r="F884">
            <v>48950</v>
          </cell>
          <cell r="G884">
            <v>0</v>
          </cell>
          <cell r="H884">
            <v>6237</v>
          </cell>
          <cell r="I884">
            <v>1488</v>
          </cell>
          <cell r="J884">
            <v>0</v>
          </cell>
          <cell r="K884">
            <v>0</v>
          </cell>
          <cell r="L884">
            <v>0</v>
          </cell>
          <cell r="M884">
            <v>360180</v>
          </cell>
          <cell r="N884">
            <v>0</v>
          </cell>
          <cell r="O884">
            <v>0</v>
          </cell>
          <cell r="P884">
            <v>0</v>
          </cell>
          <cell r="Q884">
            <v>0</v>
          </cell>
          <cell r="R884">
            <v>0</v>
          </cell>
          <cell r="S884">
            <v>0</v>
          </cell>
          <cell r="T884">
            <v>0</v>
          </cell>
          <cell r="U884">
            <v>0</v>
          </cell>
          <cell r="V884">
            <v>0</v>
          </cell>
          <cell r="W884">
            <v>0</v>
          </cell>
        </row>
        <row r="885">
          <cell r="C885" t="str">
            <v>2007IN</v>
          </cell>
          <cell r="D885">
            <v>756</v>
          </cell>
          <cell r="E885">
            <v>980980</v>
          </cell>
          <cell r="F885">
            <v>20720</v>
          </cell>
          <cell r="G885">
            <v>0</v>
          </cell>
          <cell r="H885">
            <v>0</v>
          </cell>
          <cell r="I885">
            <v>424</v>
          </cell>
          <cell r="J885">
            <v>0</v>
          </cell>
          <cell r="K885">
            <v>0</v>
          </cell>
          <cell r="L885">
            <v>0</v>
          </cell>
          <cell r="M885">
            <v>220340</v>
          </cell>
          <cell r="N885">
            <v>0</v>
          </cell>
          <cell r="O885">
            <v>0</v>
          </cell>
          <cell r="P885">
            <v>0</v>
          </cell>
          <cell r="Q885">
            <v>0</v>
          </cell>
          <cell r="R885">
            <v>0</v>
          </cell>
          <cell r="S885">
            <v>0</v>
          </cell>
          <cell r="T885">
            <v>0</v>
          </cell>
          <cell r="U885">
            <v>0</v>
          </cell>
          <cell r="V885">
            <v>0</v>
          </cell>
          <cell r="W885">
            <v>0</v>
          </cell>
        </row>
        <row r="886">
          <cell r="C886" t="str">
            <v>2007IA</v>
          </cell>
          <cell r="D886">
            <v>4240</v>
          </cell>
          <cell r="E886">
            <v>2376900</v>
          </cell>
          <cell r="F886">
            <v>1344</v>
          </cell>
          <cell r="G886">
            <v>0</v>
          </cell>
          <cell r="H886">
            <v>0</v>
          </cell>
          <cell r="I886">
            <v>4757</v>
          </cell>
          <cell r="J886">
            <v>0</v>
          </cell>
          <cell r="K886">
            <v>0</v>
          </cell>
          <cell r="L886">
            <v>0</v>
          </cell>
          <cell r="M886">
            <v>448760</v>
          </cell>
          <cell r="N886">
            <v>0</v>
          </cell>
          <cell r="O886">
            <v>0</v>
          </cell>
          <cell r="P886">
            <v>0</v>
          </cell>
          <cell r="Q886">
            <v>0</v>
          </cell>
          <cell r="R886">
            <v>0</v>
          </cell>
          <cell r="S886">
            <v>0</v>
          </cell>
          <cell r="T886">
            <v>0</v>
          </cell>
          <cell r="U886">
            <v>0</v>
          </cell>
          <cell r="V886">
            <v>0</v>
          </cell>
          <cell r="W886">
            <v>0</v>
          </cell>
        </row>
        <row r="887">
          <cell r="C887" t="str">
            <v>2007KS</v>
          </cell>
          <cell r="D887">
            <v>2960</v>
          </cell>
          <cell r="E887">
            <v>507840</v>
          </cell>
          <cell r="F887">
            <v>283800</v>
          </cell>
          <cell r="G887">
            <v>676</v>
          </cell>
          <cell r="H887">
            <v>209350</v>
          </cell>
          <cell r="I887">
            <v>1575</v>
          </cell>
          <cell r="J887">
            <v>0</v>
          </cell>
          <cell r="K887">
            <v>0</v>
          </cell>
          <cell r="L887">
            <v>0</v>
          </cell>
          <cell r="M887">
            <v>86130</v>
          </cell>
          <cell r="N887">
            <v>0</v>
          </cell>
          <cell r="O887">
            <v>138</v>
          </cell>
          <cell r="P887">
            <v>0</v>
          </cell>
          <cell r="Q887">
            <v>0</v>
          </cell>
          <cell r="R887">
            <v>0</v>
          </cell>
          <cell r="S887">
            <v>0</v>
          </cell>
          <cell r="T887">
            <v>0</v>
          </cell>
          <cell r="U887">
            <v>0</v>
          </cell>
          <cell r="V887">
            <v>0</v>
          </cell>
          <cell r="W887">
            <v>0</v>
          </cell>
        </row>
        <row r="888">
          <cell r="C888" t="str">
            <v>2007KY</v>
          </cell>
          <cell r="D888">
            <v>504</v>
          </cell>
          <cell r="E888">
            <v>171520</v>
          </cell>
          <cell r="F888">
            <v>12000</v>
          </cell>
          <cell r="G888">
            <v>111</v>
          </cell>
          <cell r="H888">
            <v>1080</v>
          </cell>
          <cell r="I888">
            <v>0</v>
          </cell>
          <cell r="J888">
            <v>0</v>
          </cell>
          <cell r="K888">
            <v>0</v>
          </cell>
          <cell r="L888">
            <v>0</v>
          </cell>
          <cell r="M888">
            <v>30250</v>
          </cell>
          <cell r="N888">
            <v>0</v>
          </cell>
          <cell r="O888">
            <v>0</v>
          </cell>
          <cell r="P888">
            <v>0</v>
          </cell>
          <cell r="Q888">
            <v>0</v>
          </cell>
          <cell r="R888">
            <v>0</v>
          </cell>
          <cell r="S888">
            <v>0</v>
          </cell>
          <cell r="T888">
            <v>0</v>
          </cell>
          <cell r="U888">
            <v>0</v>
          </cell>
          <cell r="V888">
            <v>0</v>
          </cell>
          <cell r="W888">
            <v>0</v>
          </cell>
        </row>
        <row r="889">
          <cell r="C889" t="str">
            <v>2007LA</v>
          </cell>
          <cell r="D889">
            <v>0</v>
          </cell>
          <cell r="E889">
            <v>118990</v>
          </cell>
          <cell r="F889">
            <v>11880</v>
          </cell>
          <cell r="G889">
            <v>0</v>
          </cell>
          <cell r="H889">
            <v>23275</v>
          </cell>
          <cell r="I889">
            <v>0</v>
          </cell>
          <cell r="J889">
            <v>0</v>
          </cell>
          <cell r="K889">
            <v>0</v>
          </cell>
          <cell r="L889">
            <v>23222</v>
          </cell>
          <cell r="M889">
            <v>25800</v>
          </cell>
          <cell r="N889">
            <v>0</v>
          </cell>
          <cell r="O889">
            <v>0</v>
          </cell>
          <cell r="P889">
            <v>0</v>
          </cell>
          <cell r="Q889">
            <v>0</v>
          </cell>
          <cell r="R889">
            <v>0</v>
          </cell>
          <cell r="S889">
            <v>0</v>
          </cell>
          <cell r="T889">
            <v>12768</v>
          </cell>
          <cell r="U889">
            <v>378</v>
          </cell>
          <cell r="V889">
            <v>132.30000000000001</v>
          </cell>
          <cell r="W889">
            <v>0.05</v>
          </cell>
        </row>
        <row r="890">
          <cell r="C890" t="str">
            <v>2007ME</v>
          </cell>
          <cell r="D890">
            <v>23</v>
          </cell>
          <cell r="E890">
            <v>0</v>
          </cell>
          <cell r="F890">
            <v>0</v>
          </cell>
          <cell r="G890">
            <v>1105</v>
          </cell>
          <cell r="H890">
            <v>0</v>
          </cell>
          <cell r="I890">
            <v>1960</v>
          </cell>
          <cell r="J890">
            <v>0</v>
          </cell>
          <cell r="K890">
            <v>0</v>
          </cell>
          <cell r="L890">
            <v>0</v>
          </cell>
          <cell r="M890">
            <v>0</v>
          </cell>
          <cell r="N890">
            <v>0</v>
          </cell>
          <cell r="O890">
            <v>0</v>
          </cell>
          <cell r="P890">
            <v>0</v>
          </cell>
          <cell r="Q890">
            <v>0</v>
          </cell>
          <cell r="R890">
            <v>0</v>
          </cell>
          <cell r="S890">
            <v>0</v>
          </cell>
          <cell r="T890">
            <v>0</v>
          </cell>
          <cell r="U890">
            <v>0</v>
          </cell>
          <cell r="V890">
            <v>0</v>
          </cell>
          <cell r="W890">
            <v>0</v>
          </cell>
        </row>
        <row r="891">
          <cell r="C891" t="str">
            <v>2007MD</v>
          </cell>
          <cell r="D891">
            <v>120</v>
          </cell>
          <cell r="E891">
            <v>46965</v>
          </cell>
          <cell r="F891">
            <v>10560</v>
          </cell>
          <cell r="G891">
            <v>2460</v>
          </cell>
          <cell r="H891">
            <v>0</v>
          </cell>
          <cell r="I891">
            <v>0</v>
          </cell>
          <cell r="J891">
            <v>0</v>
          </cell>
          <cell r="K891">
            <v>0</v>
          </cell>
          <cell r="L891">
            <v>0</v>
          </cell>
          <cell r="M891">
            <v>10725</v>
          </cell>
          <cell r="N891">
            <v>0</v>
          </cell>
          <cell r="O891">
            <v>0</v>
          </cell>
          <cell r="P891">
            <v>0</v>
          </cell>
          <cell r="Q891">
            <v>0</v>
          </cell>
          <cell r="R891">
            <v>0</v>
          </cell>
          <cell r="S891">
            <v>0</v>
          </cell>
          <cell r="T891">
            <v>0</v>
          </cell>
          <cell r="U891">
            <v>0</v>
          </cell>
          <cell r="V891">
            <v>0</v>
          </cell>
          <cell r="W891">
            <v>0</v>
          </cell>
        </row>
        <row r="892">
          <cell r="C892" t="str">
            <v>2007MA</v>
          </cell>
          <cell r="D892">
            <v>22</v>
          </cell>
          <cell r="E892">
            <v>0</v>
          </cell>
          <cell r="F892">
            <v>0</v>
          </cell>
          <cell r="G892">
            <v>0</v>
          </cell>
          <cell r="H892">
            <v>0</v>
          </cell>
          <cell r="I892">
            <v>0</v>
          </cell>
          <cell r="J892">
            <v>0</v>
          </cell>
          <cell r="K892">
            <v>0</v>
          </cell>
          <cell r="L892">
            <v>0</v>
          </cell>
          <cell r="M892">
            <v>0</v>
          </cell>
          <cell r="N892">
            <v>0</v>
          </cell>
          <cell r="O892">
            <v>0</v>
          </cell>
          <cell r="P892">
            <v>0</v>
          </cell>
          <cell r="Q892">
            <v>0</v>
          </cell>
          <cell r="R892">
            <v>0</v>
          </cell>
          <cell r="S892">
            <v>0</v>
          </cell>
          <cell r="T892">
            <v>0</v>
          </cell>
          <cell r="U892">
            <v>0</v>
          </cell>
          <cell r="V892">
            <v>0</v>
          </cell>
          <cell r="W892">
            <v>0</v>
          </cell>
        </row>
        <row r="893">
          <cell r="C893" t="str">
            <v>2007MI</v>
          </cell>
          <cell r="D893">
            <v>1925</v>
          </cell>
          <cell r="E893">
            <v>287820</v>
          </cell>
          <cell r="F893">
            <v>34450</v>
          </cell>
          <cell r="G893">
            <v>663</v>
          </cell>
          <cell r="H893">
            <v>0</v>
          </cell>
          <cell r="I893">
            <v>3080</v>
          </cell>
          <cell r="J893">
            <v>0</v>
          </cell>
          <cell r="K893">
            <v>0</v>
          </cell>
          <cell r="L893">
            <v>0</v>
          </cell>
          <cell r="M893">
            <v>71600</v>
          </cell>
          <cell r="N893">
            <v>0</v>
          </cell>
          <cell r="O893">
            <v>3120</v>
          </cell>
          <cell r="P893">
            <v>0</v>
          </cell>
          <cell r="Q893">
            <v>0</v>
          </cell>
          <cell r="R893">
            <v>0</v>
          </cell>
          <cell r="S893">
            <v>0</v>
          </cell>
          <cell r="T893">
            <v>0</v>
          </cell>
          <cell r="U893">
            <v>0</v>
          </cell>
          <cell r="V893">
            <v>0</v>
          </cell>
          <cell r="W893">
            <v>0</v>
          </cell>
        </row>
        <row r="894">
          <cell r="C894" t="str">
            <v>2007MN</v>
          </cell>
          <cell r="D894">
            <v>3190</v>
          </cell>
          <cell r="E894">
            <v>1146100</v>
          </cell>
          <cell r="F894">
            <v>81900</v>
          </cell>
          <cell r="G894">
            <v>5940</v>
          </cell>
          <cell r="H894">
            <v>0</v>
          </cell>
          <cell r="I894">
            <v>10800</v>
          </cell>
          <cell r="J894">
            <v>0</v>
          </cell>
          <cell r="K894">
            <v>0</v>
          </cell>
          <cell r="L894">
            <v>0</v>
          </cell>
          <cell r="M894">
            <v>267325</v>
          </cell>
          <cell r="N894">
            <v>0</v>
          </cell>
          <cell r="O894">
            <v>2610</v>
          </cell>
          <cell r="P894">
            <v>0</v>
          </cell>
          <cell r="Q894">
            <v>0</v>
          </cell>
          <cell r="R894">
            <v>0</v>
          </cell>
          <cell r="S894">
            <v>0</v>
          </cell>
          <cell r="T894">
            <v>0</v>
          </cell>
          <cell r="U894">
            <v>0</v>
          </cell>
          <cell r="V894">
            <v>0</v>
          </cell>
          <cell r="W894">
            <v>0</v>
          </cell>
        </row>
        <row r="895">
          <cell r="C895" t="str">
            <v>2007MS</v>
          </cell>
          <cell r="D895">
            <v>0</v>
          </cell>
          <cell r="E895">
            <v>134680</v>
          </cell>
          <cell r="F895">
            <v>18480</v>
          </cell>
          <cell r="G895">
            <v>0</v>
          </cell>
          <cell r="H895">
            <v>9775</v>
          </cell>
          <cell r="I895">
            <v>0</v>
          </cell>
          <cell r="J895">
            <v>0</v>
          </cell>
          <cell r="K895">
            <v>0</v>
          </cell>
          <cell r="L895">
            <v>14081</v>
          </cell>
          <cell r="M895">
            <v>58320</v>
          </cell>
          <cell r="N895">
            <v>59400</v>
          </cell>
          <cell r="O895">
            <v>0</v>
          </cell>
          <cell r="P895">
            <v>0</v>
          </cell>
          <cell r="Q895">
            <v>0</v>
          </cell>
          <cell r="R895">
            <v>0</v>
          </cell>
          <cell r="S895">
            <v>0</v>
          </cell>
          <cell r="T895">
            <v>0</v>
          </cell>
          <cell r="U895">
            <v>189</v>
          </cell>
          <cell r="V895">
            <v>0</v>
          </cell>
          <cell r="W895">
            <v>0.23809523809523808</v>
          </cell>
        </row>
        <row r="896">
          <cell r="C896" t="str">
            <v>2007MO</v>
          </cell>
          <cell r="D896">
            <v>1140</v>
          </cell>
          <cell r="E896">
            <v>457800</v>
          </cell>
          <cell r="F896">
            <v>37840</v>
          </cell>
          <cell r="G896">
            <v>0</v>
          </cell>
          <cell r="H896">
            <v>9600</v>
          </cell>
          <cell r="I896">
            <v>400</v>
          </cell>
          <cell r="J896">
            <v>0</v>
          </cell>
          <cell r="K896">
            <v>0</v>
          </cell>
          <cell r="L896">
            <v>12279</v>
          </cell>
          <cell r="M896">
            <v>175125</v>
          </cell>
          <cell r="N896">
            <v>0</v>
          </cell>
          <cell r="O896">
            <v>0</v>
          </cell>
          <cell r="P896">
            <v>0</v>
          </cell>
          <cell r="Q896">
            <v>0</v>
          </cell>
          <cell r="R896">
            <v>0</v>
          </cell>
          <cell r="S896">
            <v>0</v>
          </cell>
          <cell r="T896">
            <v>0</v>
          </cell>
          <cell r="U896">
            <v>178</v>
          </cell>
          <cell r="V896">
            <v>0</v>
          </cell>
          <cell r="W896">
            <v>0.03</v>
          </cell>
        </row>
        <row r="897">
          <cell r="C897" t="str">
            <v>2007MT</v>
          </cell>
          <cell r="D897">
            <v>3740</v>
          </cell>
          <cell r="E897">
            <v>5320</v>
          </cell>
          <cell r="F897">
            <v>149820</v>
          </cell>
          <cell r="G897">
            <v>31680</v>
          </cell>
          <cell r="H897">
            <v>0</v>
          </cell>
          <cell r="I897">
            <v>1750</v>
          </cell>
          <cell r="J897">
            <v>0</v>
          </cell>
          <cell r="K897">
            <v>0</v>
          </cell>
          <cell r="L897">
            <v>0</v>
          </cell>
          <cell r="M897">
            <v>0</v>
          </cell>
          <cell r="N897">
            <v>0</v>
          </cell>
          <cell r="O897">
            <v>278</v>
          </cell>
          <cell r="P897">
            <v>3689</v>
          </cell>
          <cell r="Q897">
            <v>36</v>
          </cell>
          <cell r="R897">
            <v>978</v>
          </cell>
          <cell r="S897">
            <v>0</v>
          </cell>
          <cell r="T897">
            <v>0</v>
          </cell>
          <cell r="U897">
            <v>0</v>
          </cell>
          <cell r="V897">
            <v>0</v>
          </cell>
          <cell r="W897">
            <v>0</v>
          </cell>
        </row>
        <row r="898">
          <cell r="C898" t="str">
            <v>2007NE</v>
          </cell>
          <cell r="D898">
            <v>4015</v>
          </cell>
          <cell r="E898">
            <v>1472000</v>
          </cell>
          <cell r="F898">
            <v>84280</v>
          </cell>
          <cell r="G898">
            <v>0</v>
          </cell>
          <cell r="H898">
            <v>22560</v>
          </cell>
          <cell r="I898">
            <v>2135</v>
          </cell>
          <cell r="J898">
            <v>0</v>
          </cell>
          <cell r="K898">
            <v>4290</v>
          </cell>
          <cell r="L898">
            <v>0</v>
          </cell>
          <cell r="M898">
            <v>196350</v>
          </cell>
          <cell r="N898">
            <v>0</v>
          </cell>
          <cell r="O898">
            <v>2418</v>
          </cell>
          <cell r="P898">
            <v>0</v>
          </cell>
          <cell r="Q898">
            <v>0</v>
          </cell>
          <cell r="R898">
            <v>0</v>
          </cell>
          <cell r="S898">
            <v>0</v>
          </cell>
          <cell r="T898">
            <v>0</v>
          </cell>
          <cell r="U898">
            <v>0</v>
          </cell>
          <cell r="V898">
            <v>0</v>
          </cell>
          <cell r="W898">
            <v>0</v>
          </cell>
        </row>
        <row r="899">
          <cell r="C899" t="str">
            <v>2007NV</v>
          </cell>
          <cell r="D899">
            <v>1193</v>
          </cell>
          <cell r="E899">
            <v>0</v>
          </cell>
          <cell r="F899">
            <v>1290</v>
          </cell>
          <cell r="G899">
            <v>90</v>
          </cell>
          <cell r="H899">
            <v>0</v>
          </cell>
          <cell r="I899">
            <v>0</v>
          </cell>
          <cell r="J899">
            <v>0</v>
          </cell>
          <cell r="K899">
            <v>0</v>
          </cell>
          <cell r="L899">
            <v>0</v>
          </cell>
          <cell r="M899">
            <v>0</v>
          </cell>
          <cell r="N899">
            <v>0</v>
          </cell>
          <cell r="O899">
            <v>0</v>
          </cell>
          <cell r="P899">
            <v>0</v>
          </cell>
          <cell r="Q899">
            <v>0</v>
          </cell>
          <cell r="R899">
            <v>0</v>
          </cell>
          <cell r="S899">
            <v>0</v>
          </cell>
          <cell r="T899">
            <v>0</v>
          </cell>
          <cell r="U899">
            <v>0</v>
          </cell>
          <cell r="V899">
            <v>0</v>
          </cell>
          <cell r="W899">
            <v>0</v>
          </cell>
        </row>
        <row r="900">
          <cell r="C900" t="str">
            <v>2007NH</v>
          </cell>
          <cell r="D900">
            <v>12</v>
          </cell>
          <cell r="E900">
            <v>0</v>
          </cell>
          <cell r="F900">
            <v>0</v>
          </cell>
          <cell r="G900">
            <v>0</v>
          </cell>
          <cell r="H900">
            <v>0</v>
          </cell>
          <cell r="I900">
            <v>0</v>
          </cell>
          <cell r="J900">
            <v>0</v>
          </cell>
          <cell r="K900">
            <v>0</v>
          </cell>
          <cell r="L900">
            <v>0</v>
          </cell>
          <cell r="M900">
            <v>0</v>
          </cell>
          <cell r="N900">
            <v>0</v>
          </cell>
          <cell r="O900">
            <v>0</v>
          </cell>
          <cell r="P900">
            <v>0</v>
          </cell>
          <cell r="Q900">
            <v>0</v>
          </cell>
          <cell r="R900">
            <v>0</v>
          </cell>
          <cell r="S900">
            <v>0</v>
          </cell>
          <cell r="T900">
            <v>0</v>
          </cell>
          <cell r="U900">
            <v>0</v>
          </cell>
          <cell r="V900">
            <v>0</v>
          </cell>
          <cell r="W900">
            <v>0</v>
          </cell>
        </row>
        <row r="901">
          <cell r="C901" t="str">
            <v>2007NJ</v>
          </cell>
          <cell r="D901">
            <v>54</v>
          </cell>
          <cell r="E901">
            <v>10168</v>
          </cell>
          <cell r="F901">
            <v>1428</v>
          </cell>
          <cell r="G901">
            <v>136</v>
          </cell>
          <cell r="H901">
            <v>0</v>
          </cell>
          <cell r="I901">
            <v>0</v>
          </cell>
          <cell r="J901">
            <v>0</v>
          </cell>
          <cell r="K901">
            <v>0</v>
          </cell>
          <cell r="L901">
            <v>0</v>
          </cell>
          <cell r="M901">
            <v>2480</v>
          </cell>
          <cell r="N901">
            <v>0</v>
          </cell>
          <cell r="O901">
            <v>0</v>
          </cell>
          <cell r="P901">
            <v>0</v>
          </cell>
          <cell r="Q901">
            <v>0</v>
          </cell>
          <cell r="R901">
            <v>0</v>
          </cell>
          <cell r="S901">
            <v>0</v>
          </cell>
          <cell r="T901">
            <v>0</v>
          </cell>
          <cell r="U901">
            <v>0</v>
          </cell>
          <cell r="V901">
            <v>0</v>
          </cell>
          <cell r="W901">
            <v>0</v>
          </cell>
        </row>
        <row r="902">
          <cell r="C902" t="str">
            <v>2007NM</v>
          </cell>
          <cell r="D902">
            <v>1248</v>
          </cell>
          <cell r="E902">
            <v>9720</v>
          </cell>
          <cell r="F902">
            <v>8400</v>
          </cell>
          <cell r="G902">
            <v>0</v>
          </cell>
          <cell r="H902">
            <v>3000</v>
          </cell>
          <cell r="I902">
            <v>0</v>
          </cell>
          <cell r="J902">
            <v>0</v>
          </cell>
          <cell r="K902">
            <v>0</v>
          </cell>
          <cell r="L902">
            <v>0</v>
          </cell>
          <cell r="M902">
            <v>0</v>
          </cell>
          <cell r="N902">
            <v>32000</v>
          </cell>
          <cell r="O902">
            <v>181</v>
          </cell>
          <cell r="P902">
            <v>0</v>
          </cell>
          <cell r="Q902">
            <v>0</v>
          </cell>
          <cell r="R902">
            <v>0</v>
          </cell>
          <cell r="S902">
            <v>0</v>
          </cell>
          <cell r="T902">
            <v>0</v>
          </cell>
          <cell r="U902">
            <v>0</v>
          </cell>
          <cell r="V902">
            <v>0</v>
          </cell>
          <cell r="W902">
            <v>0</v>
          </cell>
        </row>
        <row r="903">
          <cell r="C903" t="str">
            <v>2007NY</v>
          </cell>
          <cell r="D903">
            <v>1008</v>
          </cell>
          <cell r="E903">
            <v>70400</v>
          </cell>
          <cell r="F903">
            <v>4505</v>
          </cell>
          <cell r="G903">
            <v>539</v>
          </cell>
          <cell r="H903">
            <v>0</v>
          </cell>
          <cell r="I903">
            <v>3480</v>
          </cell>
          <cell r="J903">
            <v>0</v>
          </cell>
          <cell r="K903">
            <v>0</v>
          </cell>
          <cell r="L903">
            <v>0</v>
          </cell>
          <cell r="M903">
            <v>7917</v>
          </cell>
          <cell r="N903">
            <v>0</v>
          </cell>
          <cell r="O903">
            <v>248</v>
          </cell>
          <cell r="P903">
            <v>0</v>
          </cell>
          <cell r="Q903">
            <v>0</v>
          </cell>
          <cell r="R903">
            <v>0</v>
          </cell>
          <cell r="S903">
            <v>0</v>
          </cell>
          <cell r="T903">
            <v>0</v>
          </cell>
          <cell r="U903">
            <v>0</v>
          </cell>
          <cell r="V903">
            <v>0</v>
          </cell>
          <cell r="W903">
            <v>0</v>
          </cell>
        </row>
        <row r="904">
          <cell r="C904" t="str">
            <v>2007NC</v>
          </cell>
          <cell r="D904">
            <v>15</v>
          </cell>
          <cell r="E904">
            <v>101000</v>
          </cell>
          <cell r="F904">
            <v>20000</v>
          </cell>
          <cell r="G904">
            <v>686</v>
          </cell>
          <cell r="H904">
            <v>440</v>
          </cell>
          <cell r="I904">
            <v>825</v>
          </cell>
          <cell r="J904">
            <v>0</v>
          </cell>
          <cell r="K904">
            <v>0</v>
          </cell>
          <cell r="L904">
            <v>0</v>
          </cell>
          <cell r="M904">
            <v>30360</v>
          </cell>
          <cell r="N904">
            <v>261000</v>
          </cell>
          <cell r="O904">
            <v>0</v>
          </cell>
          <cell r="P904">
            <v>0</v>
          </cell>
          <cell r="Q904">
            <v>0</v>
          </cell>
          <cell r="R904">
            <v>0</v>
          </cell>
          <cell r="S904">
            <v>0</v>
          </cell>
          <cell r="T904">
            <v>0</v>
          </cell>
          <cell r="U904">
            <v>0</v>
          </cell>
          <cell r="V904">
            <v>0</v>
          </cell>
          <cell r="W904">
            <v>0</v>
          </cell>
        </row>
        <row r="905">
          <cell r="C905" t="str">
            <v>2007ND</v>
          </cell>
          <cell r="D905">
            <v>3255</v>
          </cell>
          <cell r="E905">
            <v>272600</v>
          </cell>
          <cell r="F905">
            <v>298875</v>
          </cell>
          <cell r="G905">
            <v>77840</v>
          </cell>
          <cell r="H905">
            <v>0</v>
          </cell>
          <cell r="I905">
            <v>15340</v>
          </cell>
          <cell r="J905">
            <v>0</v>
          </cell>
          <cell r="K905">
            <v>0</v>
          </cell>
          <cell r="L905">
            <v>0</v>
          </cell>
          <cell r="M905">
            <v>108630</v>
          </cell>
          <cell r="N905">
            <v>0</v>
          </cell>
          <cell r="O905">
            <v>10773</v>
          </cell>
          <cell r="P905">
            <v>10850</v>
          </cell>
          <cell r="Q905">
            <v>0</v>
          </cell>
          <cell r="R905">
            <v>1442</v>
          </cell>
          <cell r="S905">
            <v>0</v>
          </cell>
          <cell r="T905">
            <v>0</v>
          </cell>
          <cell r="U905">
            <v>0</v>
          </cell>
          <cell r="V905">
            <v>0</v>
          </cell>
          <cell r="W905">
            <v>0</v>
          </cell>
        </row>
        <row r="906">
          <cell r="C906" t="str">
            <v>2007OH</v>
          </cell>
          <cell r="D906">
            <v>1364</v>
          </cell>
          <cell r="E906">
            <v>541500</v>
          </cell>
          <cell r="F906">
            <v>44530</v>
          </cell>
          <cell r="G906">
            <v>159</v>
          </cell>
          <cell r="H906">
            <v>0</v>
          </cell>
          <cell r="I906">
            <v>3100</v>
          </cell>
          <cell r="J906">
            <v>0</v>
          </cell>
          <cell r="K906">
            <v>0</v>
          </cell>
          <cell r="L906">
            <v>0</v>
          </cell>
          <cell r="M906">
            <v>199280</v>
          </cell>
          <cell r="N906">
            <v>0</v>
          </cell>
          <cell r="O906">
            <v>0</v>
          </cell>
          <cell r="P906">
            <v>0</v>
          </cell>
          <cell r="Q906">
            <v>0</v>
          </cell>
          <cell r="R906">
            <v>0</v>
          </cell>
          <cell r="S906">
            <v>0</v>
          </cell>
          <cell r="T906">
            <v>0</v>
          </cell>
          <cell r="U906">
            <v>0</v>
          </cell>
          <cell r="V906">
            <v>0</v>
          </cell>
          <cell r="W906">
            <v>0</v>
          </cell>
        </row>
        <row r="907">
          <cell r="C907" t="str">
            <v>2007OK</v>
          </cell>
          <cell r="D907">
            <v>1258</v>
          </cell>
          <cell r="E907">
            <v>39150</v>
          </cell>
          <cell r="F907">
            <v>98000</v>
          </cell>
          <cell r="G907">
            <v>0</v>
          </cell>
          <cell r="H907">
            <v>12320</v>
          </cell>
          <cell r="I907">
            <v>465</v>
          </cell>
          <cell r="J907">
            <v>1080</v>
          </cell>
          <cell r="K907">
            <v>0</v>
          </cell>
          <cell r="L907">
            <v>0</v>
          </cell>
          <cell r="M907">
            <v>4680</v>
          </cell>
          <cell r="N907">
            <v>57800</v>
          </cell>
          <cell r="O907">
            <v>0</v>
          </cell>
          <cell r="P907">
            <v>0</v>
          </cell>
          <cell r="Q907">
            <v>0</v>
          </cell>
          <cell r="R907">
            <v>0</v>
          </cell>
          <cell r="S907">
            <v>0</v>
          </cell>
          <cell r="T907">
            <v>0</v>
          </cell>
          <cell r="U907">
            <v>0</v>
          </cell>
          <cell r="V907">
            <v>0</v>
          </cell>
          <cell r="W907">
            <v>0</v>
          </cell>
        </row>
        <row r="908">
          <cell r="C908" t="str">
            <v>2007OR</v>
          </cell>
          <cell r="D908">
            <v>1681</v>
          </cell>
          <cell r="E908">
            <v>7000</v>
          </cell>
          <cell r="F908">
            <v>43680</v>
          </cell>
          <cell r="G908">
            <v>2809</v>
          </cell>
          <cell r="H908">
            <v>0</v>
          </cell>
          <cell r="I908">
            <v>1404</v>
          </cell>
          <cell r="J908">
            <v>0</v>
          </cell>
          <cell r="K908">
            <v>0</v>
          </cell>
          <cell r="L908">
            <v>0</v>
          </cell>
          <cell r="M908">
            <v>0</v>
          </cell>
          <cell r="N908">
            <v>0</v>
          </cell>
          <cell r="O908">
            <v>149</v>
          </cell>
          <cell r="P908">
            <v>86</v>
          </cell>
          <cell r="Q908">
            <v>17</v>
          </cell>
          <cell r="R908">
            <v>0</v>
          </cell>
          <cell r="S908">
            <v>0</v>
          </cell>
          <cell r="T908">
            <v>0</v>
          </cell>
          <cell r="U908">
            <v>0</v>
          </cell>
          <cell r="V908">
            <v>0</v>
          </cell>
          <cell r="W908">
            <v>0</v>
          </cell>
        </row>
        <row r="909">
          <cell r="C909" t="str">
            <v>2007PA</v>
          </cell>
          <cell r="D909">
            <v>1800</v>
          </cell>
          <cell r="E909">
            <v>121520</v>
          </cell>
          <cell r="F909">
            <v>8990</v>
          </cell>
          <cell r="G909">
            <v>3066</v>
          </cell>
          <cell r="H909">
            <v>168</v>
          </cell>
          <cell r="I909">
            <v>4480</v>
          </cell>
          <cell r="J909">
            <v>0</v>
          </cell>
          <cell r="K909">
            <v>0</v>
          </cell>
          <cell r="L909">
            <v>0</v>
          </cell>
          <cell r="M909">
            <v>17630</v>
          </cell>
          <cell r="N909">
            <v>0</v>
          </cell>
          <cell r="O909">
            <v>0</v>
          </cell>
          <cell r="P909">
            <v>0</v>
          </cell>
          <cell r="Q909">
            <v>0</v>
          </cell>
          <cell r="R909">
            <v>0</v>
          </cell>
          <cell r="S909">
            <v>0</v>
          </cell>
          <cell r="T909">
            <v>0</v>
          </cell>
          <cell r="U909">
            <v>0</v>
          </cell>
          <cell r="V909">
            <v>0</v>
          </cell>
          <cell r="W909">
            <v>0</v>
          </cell>
        </row>
        <row r="910">
          <cell r="C910" t="str">
            <v>2007RI</v>
          </cell>
          <cell r="D910">
            <v>2</v>
          </cell>
          <cell r="E910">
            <v>0</v>
          </cell>
          <cell r="F910">
            <v>0</v>
          </cell>
          <cell r="G910">
            <v>0</v>
          </cell>
          <cell r="H910">
            <v>0</v>
          </cell>
          <cell r="I910">
            <v>0</v>
          </cell>
          <cell r="J910">
            <v>0</v>
          </cell>
          <cell r="K910">
            <v>0</v>
          </cell>
          <cell r="L910">
            <v>0</v>
          </cell>
          <cell r="M910">
            <v>0</v>
          </cell>
          <cell r="N910">
            <v>0</v>
          </cell>
          <cell r="O910">
            <v>0</v>
          </cell>
          <cell r="P910">
            <v>0</v>
          </cell>
          <cell r="Q910">
            <v>0</v>
          </cell>
          <cell r="R910">
            <v>0</v>
          </cell>
          <cell r="S910">
            <v>0</v>
          </cell>
          <cell r="T910">
            <v>0</v>
          </cell>
          <cell r="U910">
            <v>0</v>
          </cell>
          <cell r="V910">
            <v>0</v>
          </cell>
          <cell r="W910">
            <v>0</v>
          </cell>
        </row>
        <row r="911">
          <cell r="C911" t="str">
            <v>2007SC</v>
          </cell>
          <cell r="D911">
            <v>0</v>
          </cell>
          <cell r="E911">
            <v>35890</v>
          </cell>
          <cell r="F911">
            <v>4050</v>
          </cell>
          <cell r="G911">
            <v>0</v>
          </cell>
          <cell r="H911">
            <v>210</v>
          </cell>
          <cell r="I911">
            <v>588</v>
          </cell>
          <cell r="J911">
            <v>0</v>
          </cell>
          <cell r="K911">
            <v>0</v>
          </cell>
          <cell r="L911">
            <v>0</v>
          </cell>
          <cell r="M911">
            <v>8140</v>
          </cell>
          <cell r="N911">
            <v>173600</v>
          </cell>
          <cell r="O911">
            <v>0</v>
          </cell>
          <cell r="P911">
            <v>0</v>
          </cell>
          <cell r="Q911">
            <v>0</v>
          </cell>
          <cell r="R911">
            <v>0</v>
          </cell>
          <cell r="S911">
            <v>0</v>
          </cell>
          <cell r="T911">
            <v>0</v>
          </cell>
          <cell r="U911">
            <v>0</v>
          </cell>
          <cell r="V911">
            <v>0</v>
          </cell>
          <cell r="W911">
            <v>0</v>
          </cell>
        </row>
        <row r="912">
          <cell r="C912" t="str">
            <v>2007SD</v>
          </cell>
          <cell r="D912">
            <v>4950</v>
          </cell>
          <cell r="E912">
            <v>542080</v>
          </cell>
          <cell r="F912">
            <v>143515</v>
          </cell>
          <cell r="G912">
            <v>1160</v>
          </cell>
          <cell r="H912">
            <v>7800</v>
          </cell>
          <cell r="I912">
            <v>9360</v>
          </cell>
          <cell r="J912">
            <v>0</v>
          </cell>
          <cell r="K912">
            <v>4030</v>
          </cell>
          <cell r="L912">
            <v>0</v>
          </cell>
          <cell r="M912">
            <v>136080</v>
          </cell>
          <cell r="N912">
            <v>0</v>
          </cell>
          <cell r="O912">
            <v>206</v>
          </cell>
          <cell r="P912">
            <v>0</v>
          </cell>
          <cell r="Q912">
            <v>0</v>
          </cell>
          <cell r="R912">
            <v>0</v>
          </cell>
          <cell r="S912">
            <v>0</v>
          </cell>
          <cell r="T912">
            <v>0</v>
          </cell>
          <cell r="U912">
            <v>0</v>
          </cell>
          <cell r="V912">
            <v>0</v>
          </cell>
          <cell r="W912">
            <v>0</v>
          </cell>
        </row>
        <row r="913">
          <cell r="C913" t="str">
            <v>2007TN</v>
          </cell>
          <cell r="D913">
            <v>60</v>
          </cell>
          <cell r="E913">
            <v>83740</v>
          </cell>
          <cell r="F913">
            <v>10660</v>
          </cell>
          <cell r="G913">
            <v>0</v>
          </cell>
          <cell r="H913">
            <v>1230</v>
          </cell>
          <cell r="I913">
            <v>0</v>
          </cell>
          <cell r="J913">
            <v>0</v>
          </cell>
          <cell r="K913">
            <v>0</v>
          </cell>
          <cell r="L913">
            <v>0</v>
          </cell>
          <cell r="M913">
            <v>19190</v>
          </cell>
          <cell r="N913">
            <v>0</v>
          </cell>
          <cell r="O913">
            <v>0</v>
          </cell>
          <cell r="P913">
            <v>0</v>
          </cell>
          <cell r="Q913">
            <v>0</v>
          </cell>
          <cell r="R913">
            <v>0</v>
          </cell>
          <cell r="S913">
            <v>0</v>
          </cell>
          <cell r="T913">
            <v>0</v>
          </cell>
          <cell r="U913">
            <v>0</v>
          </cell>
          <cell r="V913">
            <v>0</v>
          </cell>
          <cell r="W913">
            <v>0</v>
          </cell>
        </row>
        <row r="914">
          <cell r="C914" t="str">
            <v>2007TX</v>
          </cell>
          <cell r="D914">
            <v>700</v>
          </cell>
          <cell r="E914">
            <v>291560</v>
          </cell>
          <cell r="F914">
            <v>140600</v>
          </cell>
          <cell r="G914">
            <v>0</v>
          </cell>
          <cell r="H914">
            <v>159250</v>
          </cell>
          <cell r="I914">
            <v>4000</v>
          </cell>
          <cell r="J914">
            <v>0</v>
          </cell>
          <cell r="K914">
            <v>0</v>
          </cell>
          <cell r="L914">
            <v>9565</v>
          </cell>
          <cell r="M914">
            <v>3450</v>
          </cell>
          <cell r="N914">
            <v>691900</v>
          </cell>
          <cell r="O914">
            <v>243</v>
          </cell>
          <cell r="P914">
            <v>0</v>
          </cell>
          <cell r="Q914">
            <v>0</v>
          </cell>
          <cell r="R914">
            <v>0</v>
          </cell>
          <cell r="S914">
            <v>0</v>
          </cell>
          <cell r="T914">
            <v>1460</v>
          </cell>
          <cell r="U914">
            <v>145</v>
          </cell>
          <cell r="V914">
            <v>52.2</v>
          </cell>
          <cell r="W914">
            <v>0</v>
          </cell>
        </row>
        <row r="915">
          <cell r="C915" t="str">
            <v>2007UT</v>
          </cell>
          <cell r="D915">
            <v>2255</v>
          </cell>
          <cell r="E915">
            <v>3300</v>
          </cell>
          <cell r="F915">
            <v>5656</v>
          </cell>
          <cell r="G915">
            <v>1782</v>
          </cell>
          <cell r="H915">
            <v>0</v>
          </cell>
          <cell r="I915">
            <v>320</v>
          </cell>
          <cell r="J915">
            <v>0</v>
          </cell>
          <cell r="K915">
            <v>0</v>
          </cell>
          <cell r="L915">
            <v>0</v>
          </cell>
          <cell r="M915">
            <v>0</v>
          </cell>
          <cell r="N915">
            <v>0</v>
          </cell>
          <cell r="O915">
            <v>5</v>
          </cell>
          <cell r="P915">
            <v>0</v>
          </cell>
          <cell r="Q915">
            <v>0</v>
          </cell>
          <cell r="R915">
            <v>0</v>
          </cell>
          <cell r="S915">
            <v>0</v>
          </cell>
          <cell r="T915">
            <v>0</v>
          </cell>
          <cell r="U915">
            <v>0</v>
          </cell>
          <cell r="V915">
            <v>0</v>
          </cell>
          <cell r="W915">
            <v>0</v>
          </cell>
        </row>
        <row r="916">
          <cell r="C916" t="str">
            <v>2007VT</v>
          </cell>
          <cell r="D916">
            <v>66</v>
          </cell>
          <cell r="E916">
            <v>0</v>
          </cell>
          <cell r="F916">
            <v>0</v>
          </cell>
          <cell r="G916">
            <v>0</v>
          </cell>
          <cell r="H916">
            <v>0</v>
          </cell>
          <cell r="I916">
            <v>0</v>
          </cell>
          <cell r="J916">
            <v>0</v>
          </cell>
          <cell r="K916">
            <v>0</v>
          </cell>
          <cell r="L916">
            <v>0</v>
          </cell>
          <cell r="M916">
            <v>0</v>
          </cell>
          <cell r="N916">
            <v>0</v>
          </cell>
          <cell r="O916">
            <v>0</v>
          </cell>
          <cell r="P916">
            <v>0</v>
          </cell>
          <cell r="Q916">
            <v>0</v>
          </cell>
          <cell r="R916">
            <v>0</v>
          </cell>
          <cell r="S916">
            <v>0</v>
          </cell>
          <cell r="T916">
            <v>0</v>
          </cell>
          <cell r="U916">
            <v>0</v>
          </cell>
          <cell r="V916">
            <v>0</v>
          </cell>
          <cell r="W916">
            <v>0</v>
          </cell>
        </row>
        <row r="917">
          <cell r="C917" t="str">
            <v>2007VA</v>
          </cell>
          <cell r="D917">
            <v>234</v>
          </cell>
          <cell r="E917">
            <v>34830</v>
          </cell>
          <cell r="F917">
            <v>13120</v>
          </cell>
          <cell r="G917">
            <v>2130</v>
          </cell>
          <cell r="H917">
            <v>0</v>
          </cell>
          <cell r="I917">
            <v>300</v>
          </cell>
          <cell r="J917">
            <v>0</v>
          </cell>
          <cell r="K917">
            <v>0</v>
          </cell>
          <cell r="L917">
            <v>0</v>
          </cell>
          <cell r="M917">
            <v>13750</v>
          </cell>
          <cell r="N917">
            <v>52500</v>
          </cell>
          <cell r="O917">
            <v>0</v>
          </cell>
          <cell r="P917">
            <v>0</v>
          </cell>
          <cell r="Q917">
            <v>0</v>
          </cell>
          <cell r="R917">
            <v>0</v>
          </cell>
          <cell r="S917">
            <v>0</v>
          </cell>
          <cell r="T917">
            <v>0</v>
          </cell>
          <cell r="U917">
            <v>0</v>
          </cell>
          <cell r="V917">
            <v>0</v>
          </cell>
          <cell r="W917">
            <v>0</v>
          </cell>
        </row>
        <row r="918">
          <cell r="C918" t="str">
            <v>2007WA</v>
          </cell>
          <cell r="D918">
            <v>2288</v>
          </cell>
          <cell r="E918">
            <v>24150</v>
          </cell>
          <cell r="F918">
            <v>125342</v>
          </cell>
          <cell r="G918">
            <v>13950</v>
          </cell>
          <cell r="H918">
            <v>0</v>
          </cell>
          <cell r="I918">
            <v>450</v>
          </cell>
          <cell r="J918">
            <v>0</v>
          </cell>
          <cell r="K918">
            <v>0</v>
          </cell>
          <cell r="L918">
            <v>0</v>
          </cell>
          <cell r="M918">
            <v>0</v>
          </cell>
          <cell r="N918">
            <v>0</v>
          </cell>
          <cell r="O918">
            <v>1020</v>
          </cell>
          <cell r="P918">
            <v>1254</v>
          </cell>
          <cell r="Q918">
            <v>0</v>
          </cell>
          <cell r="R918">
            <v>804</v>
          </cell>
          <cell r="S918">
            <v>406</v>
          </cell>
          <cell r="T918">
            <v>0</v>
          </cell>
          <cell r="U918">
            <v>0</v>
          </cell>
          <cell r="V918">
            <v>0</v>
          </cell>
          <cell r="W918">
            <v>0</v>
          </cell>
        </row>
        <row r="919">
          <cell r="C919" t="str">
            <v>2007WV</v>
          </cell>
          <cell r="D919">
            <v>69</v>
          </cell>
          <cell r="E919">
            <v>2997</v>
          </cell>
          <cell r="F919">
            <v>342</v>
          </cell>
          <cell r="G919">
            <v>0</v>
          </cell>
          <cell r="H919">
            <v>0</v>
          </cell>
          <cell r="I919">
            <v>0</v>
          </cell>
          <cell r="J919">
            <v>0</v>
          </cell>
          <cell r="K919">
            <v>0</v>
          </cell>
          <cell r="L919">
            <v>0</v>
          </cell>
          <cell r="M919">
            <v>462</v>
          </cell>
          <cell r="N919">
            <v>0</v>
          </cell>
          <cell r="O919">
            <v>0</v>
          </cell>
          <cell r="P919">
            <v>0</v>
          </cell>
          <cell r="Q919">
            <v>0</v>
          </cell>
          <cell r="R919">
            <v>0</v>
          </cell>
          <cell r="S919">
            <v>0</v>
          </cell>
          <cell r="T919">
            <v>0</v>
          </cell>
          <cell r="U919">
            <v>0</v>
          </cell>
          <cell r="V919">
            <v>0</v>
          </cell>
          <cell r="W919">
            <v>0</v>
          </cell>
        </row>
        <row r="920">
          <cell r="C920" t="str">
            <v>2007WI</v>
          </cell>
          <cell r="D920">
            <v>3720</v>
          </cell>
          <cell r="E920">
            <v>442800</v>
          </cell>
          <cell r="F920">
            <v>18640</v>
          </cell>
          <cell r="G920">
            <v>1311</v>
          </cell>
          <cell r="H920">
            <v>0</v>
          </cell>
          <cell r="I920">
            <v>10720</v>
          </cell>
          <cell r="J920">
            <v>0</v>
          </cell>
          <cell r="K920">
            <v>0</v>
          </cell>
          <cell r="L920">
            <v>0</v>
          </cell>
          <cell r="M920">
            <v>55890</v>
          </cell>
          <cell r="N920">
            <v>0</v>
          </cell>
          <cell r="O920">
            <v>92</v>
          </cell>
          <cell r="P920">
            <v>0</v>
          </cell>
          <cell r="Q920">
            <v>0</v>
          </cell>
          <cell r="R920">
            <v>0</v>
          </cell>
          <cell r="S920">
            <v>0</v>
          </cell>
          <cell r="T920">
            <v>0</v>
          </cell>
          <cell r="U920">
            <v>0</v>
          </cell>
          <cell r="V920">
            <v>0</v>
          </cell>
          <cell r="W920">
            <v>0</v>
          </cell>
        </row>
        <row r="921">
          <cell r="C921" t="str">
            <v>2007WY</v>
          </cell>
          <cell r="D921">
            <v>1620</v>
          </cell>
          <cell r="E921">
            <v>7740</v>
          </cell>
          <cell r="F921">
            <v>3300</v>
          </cell>
          <cell r="G921">
            <v>4505</v>
          </cell>
          <cell r="H921">
            <v>0</v>
          </cell>
          <cell r="I921">
            <v>376</v>
          </cell>
          <cell r="J921">
            <v>0</v>
          </cell>
          <cell r="K921">
            <v>0</v>
          </cell>
          <cell r="L921">
            <v>0</v>
          </cell>
          <cell r="M921">
            <v>0</v>
          </cell>
          <cell r="N921">
            <v>0</v>
          </cell>
          <cell r="O921">
            <v>555</v>
          </cell>
          <cell r="P921">
            <v>0</v>
          </cell>
          <cell r="Q921">
            <v>0</v>
          </cell>
          <cell r="R921">
            <v>0</v>
          </cell>
          <cell r="S921">
            <v>0</v>
          </cell>
          <cell r="T921">
            <v>0</v>
          </cell>
          <cell r="U921">
            <v>0</v>
          </cell>
          <cell r="V921">
            <v>0</v>
          </cell>
          <cell r="W921">
            <v>0</v>
          </cell>
        </row>
        <row r="922">
          <cell r="C922" t="str">
            <v>2007US</v>
          </cell>
          <cell r="D922">
            <v>69880</v>
          </cell>
          <cell r="E922">
            <v>13037875</v>
          </cell>
          <cell r="F922">
            <v>2051088</v>
          </cell>
          <cell r="G922">
            <v>210110</v>
          </cell>
          <cell r="H922">
            <v>497445</v>
          </cell>
          <cell r="I922">
            <v>90430</v>
          </cell>
          <cell r="J922">
            <v>6311</v>
          </cell>
          <cell r="K922">
            <v>16900</v>
          </cell>
          <cell r="L922">
            <v>197949.85</v>
          </cell>
          <cell r="M922">
            <v>2677117</v>
          </cell>
          <cell r="N922">
            <v>3672250</v>
          </cell>
          <cell r="O922">
            <v>25586</v>
          </cell>
          <cell r="P922">
            <v>16287</v>
          </cell>
          <cell r="Q922">
            <v>118</v>
          </cell>
          <cell r="R922">
            <v>3650</v>
          </cell>
          <cell r="S922">
            <v>541</v>
          </cell>
          <cell r="T922">
            <v>29969</v>
          </cell>
          <cell r="U922">
            <v>2758.375</v>
          </cell>
          <cell r="V922">
            <v>186.58824999999996</v>
          </cell>
          <cell r="W922">
            <v>0</v>
          </cell>
        </row>
        <row r="923">
          <cell r="C923" t="str">
            <v>2008AL</v>
          </cell>
        </row>
        <row r="924">
          <cell r="C924" t="str">
            <v>2008AK</v>
          </cell>
        </row>
        <row r="925">
          <cell r="C925" t="str">
            <v>2008AZ</v>
          </cell>
        </row>
        <row r="926">
          <cell r="C926" t="str">
            <v>2008AR</v>
          </cell>
        </row>
        <row r="927">
          <cell r="C927" t="str">
            <v>2008CA</v>
          </cell>
        </row>
        <row r="928">
          <cell r="C928" t="str">
            <v>2008CO</v>
          </cell>
        </row>
        <row r="929">
          <cell r="C929" t="str">
            <v>2008CT</v>
          </cell>
        </row>
        <row r="930">
          <cell r="C930" t="str">
            <v>2008DE</v>
          </cell>
        </row>
        <row r="931">
          <cell r="C931" t="str">
            <v>2008FL</v>
          </cell>
        </row>
        <row r="932">
          <cell r="C932" t="str">
            <v>2008GA</v>
          </cell>
        </row>
        <row r="933">
          <cell r="C933" t="str">
            <v>2008HI</v>
          </cell>
        </row>
        <row r="934">
          <cell r="C934" t="str">
            <v>2008ID</v>
          </cell>
        </row>
        <row r="935">
          <cell r="C935" t="str">
            <v>2008IL</v>
          </cell>
        </row>
        <row r="936">
          <cell r="C936" t="str">
            <v>2008IN</v>
          </cell>
        </row>
        <row r="937">
          <cell r="C937" t="str">
            <v>2008IA</v>
          </cell>
        </row>
        <row r="938">
          <cell r="C938" t="str">
            <v>2008KS</v>
          </cell>
        </row>
        <row r="939">
          <cell r="C939" t="str">
            <v>2008KY</v>
          </cell>
        </row>
        <row r="940">
          <cell r="C940" t="str">
            <v>2008LA</v>
          </cell>
        </row>
        <row r="941">
          <cell r="C941" t="str">
            <v>2008ME</v>
          </cell>
        </row>
        <row r="942">
          <cell r="C942" t="str">
            <v>2008MD</v>
          </cell>
        </row>
        <row r="943">
          <cell r="C943" t="str">
            <v>2008MA</v>
          </cell>
        </row>
        <row r="944">
          <cell r="C944" t="str">
            <v>2008MI</v>
          </cell>
        </row>
        <row r="945">
          <cell r="C945" t="str">
            <v>2008MN</v>
          </cell>
        </row>
        <row r="946">
          <cell r="C946" t="str">
            <v>2008MS</v>
          </cell>
        </row>
        <row r="947">
          <cell r="C947" t="str">
            <v>2008MO</v>
          </cell>
        </row>
        <row r="948">
          <cell r="C948" t="str">
            <v>2008MT</v>
          </cell>
        </row>
        <row r="949">
          <cell r="C949" t="str">
            <v>2008NE</v>
          </cell>
        </row>
        <row r="950">
          <cell r="C950" t="str">
            <v>2008NV</v>
          </cell>
        </row>
        <row r="951">
          <cell r="C951" t="str">
            <v>2008NH</v>
          </cell>
        </row>
        <row r="952">
          <cell r="C952" t="str">
            <v>2008NJ</v>
          </cell>
        </row>
        <row r="953">
          <cell r="C953" t="str">
            <v>2008NM</v>
          </cell>
        </row>
        <row r="954">
          <cell r="C954" t="str">
            <v>2008NY</v>
          </cell>
        </row>
        <row r="955">
          <cell r="C955" t="str">
            <v>2008NC</v>
          </cell>
        </row>
        <row r="956">
          <cell r="C956" t="str">
            <v>2008ND</v>
          </cell>
        </row>
        <row r="957">
          <cell r="C957" t="str">
            <v>2008OH</v>
          </cell>
        </row>
        <row r="958">
          <cell r="C958" t="str">
            <v>2008OK</v>
          </cell>
        </row>
        <row r="959">
          <cell r="C959" t="str">
            <v>2008OR</v>
          </cell>
        </row>
        <row r="960">
          <cell r="C960" t="str">
            <v>2008PA</v>
          </cell>
        </row>
        <row r="961">
          <cell r="C961" t="str">
            <v>2008RI</v>
          </cell>
        </row>
        <row r="962">
          <cell r="C962" t="str">
            <v>2008SC</v>
          </cell>
        </row>
        <row r="963">
          <cell r="C963" t="str">
            <v>2008SD</v>
          </cell>
        </row>
        <row r="964">
          <cell r="C964" t="str">
            <v>2008TN</v>
          </cell>
        </row>
        <row r="965">
          <cell r="C965" t="str">
            <v>2008TX</v>
          </cell>
        </row>
        <row r="966">
          <cell r="C966" t="str">
            <v>2008UT</v>
          </cell>
        </row>
        <row r="967">
          <cell r="C967" t="str">
            <v>2008VT</v>
          </cell>
        </row>
        <row r="968">
          <cell r="C968" t="str">
            <v>2008VA</v>
          </cell>
        </row>
        <row r="969">
          <cell r="C969" t="str">
            <v>2008WA</v>
          </cell>
        </row>
        <row r="970">
          <cell r="C970" t="str">
            <v>2008WV</v>
          </cell>
        </row>
        <row r="971">
          <cell r="C971" t="str">
            <v>2008WI</v>
          </cell>
        </row>
        <row r="972">
          <cell r="C972" t="str">
            <v>2008WY</v>
          </cell>
        </row>
        <row r="973">
          <cell r="C973" t="str">
            <v>2008US</v>
          </cell>
        </row>
        <row r="974">
          <cell r="C974" t="str">
            <v>2009AL</v>
          </cell>
        </row>
        <row r="975">
          <cell r="C975" t="str">
            <v>2009AK</v>
          </cell>
        </row>
        <row r="976">
          <cell r="C976" t="str">
            <v>2009AZ</v>
          </cell>
        </row>
        <row r="977">
          <cell r="C977" t="str">
            <v>2009AR</v>
          </cell>
        </row>
        <row r="978">
          <cell r="C978" t="str">
            <v>2009CA</v>
          </cell>
        </row>
        <row r="979">
          <cell r="C979" t="str">
            <v>2009CO</v>
          </cell>
        </row>
        <row r="980">
          <cell r="C980" t="str">
            <v>2009CT</v>
          </cell>
        </row>
        <row r="981">
          <cell r="C981" t="str">
            <v>2009DE</v>
          </cell>
        </row>
        <row r="982">
          <cell r="C982" t="str">
            <v>2009FL</v>
          </cell>
        </row>
        <row r="983">
          <cell r="C983" t="str">
            <v>2009GA</v>
          </cell>
        </row>
        <row r="984">
          <cell r="C984" t="str">
            <v>2009HI</v>
          </cell>
        </row>
        <row r="985">
          <cell r="C985" t="str">
            <v>2009ID</v>
          </cell>
        </row>
        <row r="986">
          <cell r="C986" t="str">
            <v>2009IL</v>
          </cell>
        </row>
        <row r="987">
          <cell r="C987" t="str">
            <v>2009IN</v>
          </cell>
        </row>
        <row r="988">
          <cell r="C988" t="str">
            <v>2009IA</v>
          </cell>
        </row>
        <row r="989">
          <cell r="C989" t="str">
            <v>2009KS</v>
          </cell>
        </row>
        <row r="990">
          <cell r="C990" t="str">
            <v>2009KY</v>
          </cell>
        </row>
        <row r="991">
          <cell r="C991" t="str">
            <v>2009LA</v>
          </cell>
        </row>
        <row r="992">
          <cell r="C992" t="str">
            <v>2009ME</v>
          </cell>
        </row>
        <row r="993">
          <cell r="C993" t="str">
            <v>2009MD</v>
          </cell>
        </row>
        <row r="994">
          <cell r="C994" t="str">
            <v>2009MA</v>
          </cell>
        </row>
        <row r="995">
          <cell r="C995" t="str">
            <v>2009MI</v>
          </cell>
        </row>
        <row r="996">
          <cell r="C996" t="str">
            <v>2009MN</v>
          </cell>
        </row>
        <row r="997">
          <cell r="C997" t="str">
            <v>2009MS</v>
          </cell>
        </row>
        <row r="998">
          <cell r="C998" t="str">
            <v>2009MO</v>
          </cell>
        </row>
        <row r="999">
          <cell r="C999" t="str">
            <v>2009MT</v>
          </cell>
        </row>
        <row r="1000">
          <cell r="C1000" t="str">
            <v>2009NE</v>
          </cell>
        </row>
        <row r="1001">
          <cell r="C1001" t="str">
            <v>2009NV</v>
          </cell>
        </row>
        <row r="1002">
          <cell r="C1002" t="str">
            <v>2009NH</v>
          </cell>
        </row>
        <row r="1003">
          <cell r="C1003" t="str">
            <v>2009NJ</v>
          </cell>
        </row>
        <row r="1004">
          <cell r="C1004" t="str">
            <v>2009NM</v>
          </cell>
        </row>
        <row r="1005">
          <cell r="C1005" t="str">
            <v>2009NY</v>
          </cell>
        </row>
        <row r="1006">
          <cell r="C1006" t="str">
            <v>2009NC</v>
          </cell>
        </row>
        <row r="1007">
          <cell r="C1007" t="str">
            <v>2009ND</v>
          </cell>
        </row>
        <row r="1008">
          <cell r="C1008" t="str">
            <v>2009OH</v>
          </cell>
        </row>
        <row r="1009">
          <cell r="C1009" t="str">
            <v>2009OK</v>
          </cell>
        </row>
        <row r="1010">
          <cell r="C1010" t="str">
            <v>2009OR</v>
          </cell>
        </row>
        <row r="1011">
          <cell r="C1011" t="str">
            <v>2009PA</v>
          </cell>
        </row>
        <row r="1012">
          <cell r="C1012" t="str">
            <v>2009RI</v>
          </cell>
        </row>
        <row r="1013">
          <cell r="C1013" t="str">
            <v>2009SC</v>
          </cell>
        </row>
        <row r="1014">
          <cell r="C1014" t="str">
            <v>2009SD</v>
          </cell>
        </row>
        <row r="1015">
          <cell r="C1015" t="str">
            <v>2009TN</v>
          </cell>
        </row>
        <row r="1016">
          <cell r="C1016" t="str">
            <v>2009TX</v>
          </cell>
        </row>
        <row r="1017">
          <cell r="C1017" t="str">
            <v>2009UT</v>
          </cell>
        </row>
        <row r="1018">
          <cell r="C1018" t="str">
            <v>2009VT</v>
          </cell>
        </row>
        <row r="1019">
          <cell r="C1019" t="str">
            <v>2009VA</v>
          </cell>
        </row>
        <row r="1020">
          <cell r="C1020" t="str">
            <v>2009WA</v>
          </cell>
        </row>
        <row r="1021">
          <cell r="C1021" t="str">
            <v>2009WV</v>
          </cell>
        </row>
        <row r="1022">
          <cell r="C1022" t="str">
            <v>2009WI</v>
          </cell>
        </row>
        <row r="1023">
          <cell r="C1023" t="str">
            <v>2009WY</v>
          </cell>
        </row>
        <row r="1024">
          <cell r="C1024" t="str">
            <v>2009US</v>
          </cell>
        </row>
        <row r="1025">
          <cell r="C1025" t="str">
            <v>2010AL</v>
          </cell>
        </row>
        <row r="1026">
          <cell r="C1026" t="str">
            <v>2010AK</v>
          </cell>
        </row>
        <row r="1027">
          <cell r="C1027" t="str">
            <v>2010AZ</v>
          </cell>
        </row>
        <row r="1028">
          <cell r="C1028" t="str">
            <v>2010AR</v>
          </cell>
        </row>
        <row r="1029">
          <cell r="C1029" t="str">
            <v>2010CA</v>
          </cell>
        </row>
        <row r="1030">
          <cell r="C1030" t="str">
            <v>2010CO</v>
          </cell>
        </row>
        <row r="1031">
          <cell r="C1031" t="str">
            <v>2010CT</v>
          </cell>
        </row>
        <row r="1032">
          <cell r="C1032" t="str">
            <v>2010DE</v>
          </cell>
        </row>
        <row r="1033">
          <cell r="C1033" t="str">
            <v>2010FL</v>
          </cell>
        </row>
        <row r="1034">
          <cell r="C1034" t="str">
            <v>2010GA</v>
          </cell>
        </row>
        <row r="1035">
          <cell r="C1035" t="str">
            <v>2010HI</v>
          </cell>
        </row>
        <row r="1036">
          <cell r="C1036" t="str">
            <v>2010ID</v>
          </cell>
        </row>
        <row r="1037">
          <cell r="C1037" t="str">
            <v>2010IL</v>
          </cell>
        </row>
        <row r="1038">
          <cell r="C1038" t="str">
            <v>2010IN</v>
          </cell>
        </row>
        <row r="1039">
          <cell r="C1039" t="str">
            <v>2010IA</v>
          </cell>
        </row>
        <row r="1040">
          <cell r="C1040" t="str">
            <v>2010KS</v>
          </cell>
        </row>
        <row r="1041">
          <cell r="C1041" t="str">
            <v>2010KY</v>
          </cell>
        </row>
        <row r="1042">
          <cell r="C1042" t="str">
            <v>2010LA</v>
          </cell>
        </row>
        <row r="1043">
          <cell r="C1043" t="str">
            <v>2010ME</v>
          </cell>
        </row>
        <row r="1044">
          <cell r="C1044" t="str">
            <v>2010MD</v>
          </cell>
        </row>
        <row r="1045">
          <cell r="C1045" t="str">
            <v>2010MA</v>
          </cell>
        </row>
        <row r="1046">
          <cell r="C1046" t="str">
            <v>2010MI</v>
          </cell>
        </row>
        <row r="1047">
          <cell r="C1047" t="str">
            <v>2010MN</v>
          </cell>
        </row>
        <row r="1048">
          <cell r="C1048" t="str">
            <v>2010MS</v>
          </cell>
        </row>
        <row r="1049">
          <cell r="C1049" t="str">
            <v>2010MO</v>
          </cell>
        </row>
        <row r="1050">
          <cell r="C1050" t="str">
            <v>2010MT</v>
          </cell>
        </row>
        <row r="1051">
          <cell r="C1051" t="str">
            <v>2010NE</v>
          </cell>
        </row>
        <row r="1052">
          <cell r="C1052" t="str">
            <v>2010NV</v>
          </cell>
        </row>
        <row r="1053">
          <cell r="C1053" t="str">
            <v>2010NH</v>
          </cell>
        </row>
        <row r="1054">
          <cell r="C1054" t="str">
            <v>2010NJ</v>
          </cell>
        </row>
        <row r="1055">
          <cell r="C1055" t="str">
            <v>2010NM</v>
          </cell>
        </row>
        <row r="1056">
          <cell r="C1056" t="str">
            <v>2010NY</v>
          </cell>
        </row>
        <row r="1057">
          <cell r="C1057" t="str">
            <v>2010NC</v>
          </cell>
        </row>
        <row r="1058">
          <cell r="C1058" t="str">
            <v>2010ND</v>
          </cell>
        </row>
        <row r="1059">
          <cell r="C1059" t="str">
            <v>2010OH</v>
          </cell>
        </row>
        <row r="1060">
          <cell r="C1060" t="str">
            <v>2010OK</v>
          </cell>
        </row>
        <row r="1061">
          <cell r="C1061" t="str">
            <v>2010OR</v>
          </cell>
        </row>
        <row r="1062">
          <cell r="C1062" t="str">
            <v>2010PA</v>
          </cell>
        </row>
        <row r="1063">
          <cell r="C1063" t="str">
            <v>2010RI</v>
          </cell>
        </row>
        <row r="1064">
          <cell r="C1064" t="str">
            <v>2010SC</v>
          </cell>
        </row>
        <row r="1065">
          <cell r="C1065" t="str">
            <v>2010SD</v>
          </cell>
        </row>
        <row r="1066">
          <cell r="C1066" t="str">
            <v>2010TN</v>
          </cell>
        </row>
        <row r="1067">
          <cell r="C1067" t="str">
            <v>2010TX</v>
          </cell>
        </row>
        <row r="1068">
          <cell r="C1068" t="str">
            <v>2010UT</v>
          </cell>
        </row>
        <row r="1069">
          <cell r="C1069" t="str">
            <v>2010VT</v>
          </cell>
        </row>
        <row r="1070">
          <cell r="C1070" t="str">
            <v>2010VA</v>
          </cell>
        </row>
        <row r="1071">
          <cell r="C1071" t="str">
            <v>2010WA</v>
          </cell>
        </row>
        <row r="1072">
          <cell r="C1072" t="str">
            <v>2010WV</v>
          </cell>
        </row>
        <row r="1073">
          <cell r="C1073" t="str">
            <v>2010WI</v>
          </cell>
        </row>
        <row r="1074">
          <cell r="C1074" t="str">
            <v>2010WY</v>
          </cell>
        </row>
        <row r="1075">
          <cell r="C1075" t="str">
            <v>2010US</v>
          </cell>
        </row>
        <row r="1076">
          <cell r="C1076" t="str">
            <v>2011AL</v>
          </cell>
        </row>
        <row r="1077">
          <cell r="C1077" t="str">
            <v>2011AK</v>
          </cell>
        </row>
        <row r="1078">
          <cell r="C1078" t="str">
            <v>2011AZ</v>
          </cell>
        </row>
        <row r="1079">
          <cell r="C1079" t="str">
            <v>2011AR</v>
          </cell>
        </row>
        <row r="1080">
          <cell r="C1080" t="str">
            <v>2011CA</v>
          </cell>
        </row>
        <row r="1081">
          <cell r="C1081" t="str">
            <v>2011CO</v>
          </cell>
        </row>
        <row r="1082">
          <cell r="C1082" t="str">
            <v>2011CT</v>
          </cell>
        </row>
        <row r="1083">
          <cell r="C1083" t="str">
            <v>2011DE</v>
          </cell>
        </row>
        <row r="1084">
          <cell r="C1084" t="str">
            <v>2011FL</v>
          </cell>
        </row>
        <row r="1085">
          <cell r="C1085" t="str">
            <v>2011GA</v>
          </cell>
        </row>
        <row r="1086">
          <cell r="C1086" t="str">
            <v>2011HI</v>
          </cell>
        </row>
        <row r="1087">
          <cell r="C1087" t="str">
            <v>2011ID</v>
          </cell>
        </row>
        <row r="1088">
          <cell r="C1088" t="str">
            <v>2011IL</v>
          </cell>
        </row>
        <row r="1089">
          <cell r="C1089" t="str">
            <v>2011IN</v>
          </cell>
        </row>
        <row r="1090">
          <cell r="C1090" t="str">
            <v>2011IA</v>
          </cell>
        </row>
        <row r="1091">
          <cell r="C1091" t="str">
            <v>2011KS</v>
          </cell>
        </row>
        <row r="1092">
          <cell r="C1092" t="str">
            <v>2011KY</v>
          </cell>
        </row>
        <row r="1093">
          <cell r="C1093" t="str">
            <v>2011LA</v>
          </cell>
        </row>
        <row r="1094">
          <cell r="C1094" t="str">
            <v>2011ME</v>
          </cell>
        </row>
        <row r="1095">
          <cell r="C1095" t="str">
            <v>2011MD</v>
          </cell>
        </row>
        <row r="1096">
          <cell r="C1096" t="str">
            <v>2011MA</v>
          </cell>
        </row>
        <row r="1097">
          <cell r="C1097" t="str">
            <v>2011MI</v>
          </cell>
        </row>
        <row r="1098">
          <cell r="C1098" t="str">
            <v>2011MN</v>
          </cell>
        </row>
        <row r="1099">
          <cell r="C1099" t="str">
            <v>2011MS</v>
          </cell>
        </row>
        <row r="1100">
          <cell r="C1100" t="str">
            <v>2011MO</v>
          </cell>
        </row>
        <row r="1101">
          <cell r="C1101" t="str">
            <v>2011MT</v>
          </cell>
        </row>
        <row r="1102">
          <cell r="C1102" t="str">
            <v>2011NE</v>
          </cell>
        </row>
        <row r="1103">
          <cell r="C1103" t="str">
            <v>2011NV</v>
          </cell>
        </row>
        <row r="1104">
          <cell r="C1104" t="str">
            <v>2011NH</v>
          </cell>
        </row>
        <row r="1105">
          <cell r="C1105" t="str">
            <v>2011NJ</v>
          </cell>
        </row>
        <row r="1106">
          <cell r="C1106" t="str">
            <v>2011NM</v>
          </cell>
        </row>
        <row r="1107">
          <cell r="C1107" t="str">
            <v>2011NY</v>
          </cell>
        </row>
        <row r="1108">
          <cell r="C1108" t="str">
            <v>2011NC</v>
          </cell>
        </row>
        <row r="1109">
          <cell r="C1109" t="str">
            <v>2011ND</v>
          </cell>
        </row>
        <row r="1110">
          <cell r="C1110" t="str">
            <v>2011OH</v>
          </cell>
        </row>
        <row r="1111">
          <cell r="C1111" t="str">
            <v>2011OK</v>
          </cell>
        </row>
        <row r="1112">
          <cell r="C1112" t="str">
            <v>2011OR</v>
          </cell>
        </row>
        <row r="1113">
          <cell r="C1113" t="str">
            <v>2011PA</v>
          </cell>
        </row>
        <row r="1114">
          <cell r="C1114" t="str">
            <v>2011RI</v>
          </cell>
        </row>
        <row r="1115">
          <cell r="C1115" t="str">
            <v>2011SC</v>
          </cell>
        </row>
        <row r="1116">
          <cell r="C1116" t="str">
            <v>2011SD</v>
          </cell>
        </row>
        <row r="1117">
          <cell r="C1117" t="str">
            <v>2011TN</v>
          </cell>
        </row>
        <row r="1118">
          <cell r="C1118" t="str">
            <v>2011TX</v>
          </cell>
        </row>
        <row r="1119">
          <cell r="C1119" t="str">
            <v>2011UT</v>
          </cell>
        </row>
        <row r="1120">
          <cell r="C1120" t="str">
            <v>2011VT</v>
          </cell>
        </row>
        <row r="1121">
          <cell r="C1121" t="str">
            <v>2011VA</v>
          </cell>
        </row>
        <row r="1122">
          <cell r="C1122" t="str">
            <v>2011WA</v>
          </cell>
        </row>
        <row r="1123">
          <cell r="C1123" t="str">
            <v>2011WV</v>
          </cell>
        </row>
        <row r="1124">
          <cell r="C1124" t="str">
            <v>2011WI</v>
          </cell>
        </row>
        <row r="1125">
          <cell r="C1125" t="str">
            <v>2011WY</v>
          </cell>
        </row>
        <row r="1126">
          <cell r="C1126" t="str">
            <v>2011US</v>
          </cell>
        </row>
        <row r="1127">
          <cell r="C1127" t="str">
            <v>2012AL</v>
          </cell>
        </row>
        <row r="1128">
          <cell r="C1128" t="str">
            <v>2012AK</v>
          </cell>
        </row>
        <row r="1129">
          <cell r="C1129" t="str">
            <v>2012AZ</v>
          </cell>
        </row>
        <row r="1130">
          <cell r="C1130" t="str">
            <v>2012AR</v>
          </cell>
        </row>
        <row r="1131">
          <cell r="C1131" t="str">
            <v>2012CA</v>
          </cell>
        </row>
        <row r="1132">
          <cell r="C1132" t="str">
            <v>2012CO</v>
          </cell>
        </row>
        <row r="1133">
          <cell r="C1133" t="str">
            <v>2012CT</v>
          </cell>
        </row>
        <row r="1134">
          <cell r="C1134" t="str">
            <v>2012DE</v>
          </cell>
        </row>
        <row r="1135">
          <cell r="C1135" t="str">
            <v>2012FL</v>
          </cell>
        </row>
        <row r="1136">
          <cell r="C1136" t="str">
            <v>2012GA</v>
          </cell>
        </row>
        <row r="1137">
          <cell r="C1137" t="str">
            <v>2012HI</v>
          </cell>
        </row>
        <row r="1138">
          <cell r="C1138" t="str">
            <v>2012ID</v>
          </cell>
        </row>
        <row r="1139">
          <cell r="C1139" t="str">
            <v>2012IL</v>
          </cell>
        </row>
        <row r="1140">
          <cell r="C1140" t="str">
            <v>2012IN</v>
          </cell>
        </row>
        <row r="1141">
          <cell r="C1141" t="str">
            <v>2012IA</v>
          </cell>
        </row>
        <row r="1142">
          <cell r="C1142" t="str">
            <v>2012KS</v>
          </cell>
        </row>
        <row r="1143">
          <cell r="C1143" t="str">
            <v>2012KY</v>
          </cell>
        </row>
        <row r="1144">
          <cell r="C1144" t="str">
            <v>2012LA</v>
          </cell>
        </row>
        <row r="1145">
          <cell r="C1145" t="str">
            <v>2012ME</v>
          </cell>
        </row>
        <row r="1146">
          <cell r="C1146" t="str">
            <v>2012MD</v>
          </cell>
        </row>
        <row r="1147">
          <cell r="C1147" t="str">
            <v>2012MA</v>
          </cell>
        </row>
        <row r="1148">
          <cell r="C1148" t="str">
            <v>2012MI</v>
          </cell>
        </row>
        <row r="1149">
          <cell r="C1149" t="str">
            <v>2012MN</v>
          </cell>
        </row>
        <row r="1150">
          <cell r="C1150" t="str">
            <v>2012MS</v>
          </cell>
        </row>
        <row r="1151">
          <cell r="C1151" t="str">
            <v>2012MO</v>
          </cell>
        </row>
        <row r="1152">
          <cell r="C1152" t="str">
            <v>2012MT</v>
          </cell>
        </row>
        <row r="1153">
          <cell r="C1153" t="str">
            <v>2012NE</v>
          </cell>
        </row>
        <row r="1154">
          <cell r="C1154" t="str">
            <v>2012NV</v>
          </cell>
        </row>
        <row r="1155">
          <cell r="C1155" t="str">
            <v>2012NH</v>
          </cell>
        </row>
        <row r="1156">
          <cell r="C1156" t="str">
            <v>2012NJ</v>
          </cell>
        </row>
        <row r="1157">
          <cell r="C1157" t="str">
            <v>2012NM</v>
          </cell>
        </row>
        <row r="1158">
          <cell r="C1158" t="str">
            <v>2012NY</v>
          </cell>
        </row>
        <row r="1159">
          <cell r="C1159" t="str">
            <v>2012NC</v>
          </cell>
        </row>
        <row r="1160">
          <cell r="C1160" t="str">
            <v>2012ND</v>
          </cell>
        </row>
        <row r="1161">
          <cell r="C1161" t="str">
            <v>2012OH</v>
          </cell>
        </row>
        <row r="1162">
          <cell r="C1162" t="str">
            <v>2012OK</v>
          </cell>
        </row>
        <row r="1163">
          <cell r="C1163" t="str">
            <v>2012OR</v>
          </cell>
        </row>
        <row r="1164">
          <cell r="C1164" t="str">
            <v>2012PA</v>
          </cell>
        </row>
        <row r="1165">
          <cell r="C1165" t="str">
            <v>2012RI</v>
          </cell>
        </row>
        <row r="1166">
          <cell r="C1166" t="str">
            <v>2012SC</v>
          </cell>
        </row>
        <row r="1167">
          <cell r="C1167" t="str">
            <v>2012SD</v>
          </cell>
        </row>
        <row r="1168">
          <cell r="C1168" t="str">
            <v>2012TN</v>
          </cell>
        </row>
        <row r="1169">
          <cell r="C1169" t="str">
            <v>2012TX</v>
          </cell>
        </row>
        <row r="1170">
          <cell r="C1170" t="str">
            <v>2012UT</v>
          </cell>
        </row>
        <row r="1171">
          <cell r="C1171" t="str">
            <v>2012VT</v>
          </cell>
        </row>
        <row r="1172">
          <cell r="C1172" t="str">
            <v>2012VA</v>
          </cell>
        </row>
        <row r="1173">
          <cell r="C1173" t="str">
            <v>2012WA</v>
          </cell>
        </row>
        <row r="1174">
          <cell r="C1174" t="str">
            <v>2012WV</v>
          </cell>
        </row>
        <row r="1175">
          <cell r="C1175" t="str">
            <v>2012WI</v>
          </cell>
        </row>
        <row r="1176">
          <cell r="C1176" t="str">
            <v>2012WY</v>
          </cell>
        </row>
        <row r="1177">
          <cell r="C1177" t="str">
            <v>2012US</v>
          </cell>
        </row>
        <row r="1178">
          <cell r="C1178" t="str">
            <v>2013AL</v>
          </cell>
        </row>
        <row r="1179">
          <cell r="C1179" t="str">
            <v>2013AK</v>
          </cell>
        </row>
        <row r="1180">
          <cell r="C1180" t="str">
            <v>2013AZ</v>
          </cell>
        </row>
        <row r="1181">
          <cell r="C1181" t="str">
            <v>2013AR</v>
          </cell>
        </row>
        <row r="1182">
          <cell r="C1182" t="str">
            <v>2013CA</v>
          </cell>
        </row>
        <row r="1183">
          <cell r="C1183" t="str">
            <v>2013CO</v>
          </cell>
        </row>
        <row r="1184">
          <cell r="C1184" t="str">
            <v>2013CT</v>
          </cell>
        </row>
        <row r="1185">
          <cell r="C1185" t="str">
            <v>2013DE</v>
          </cell>
        </row>
        <row r="1186">
          <cell r="C1186" t="str">
            <v>2013FL</v>
          </cell>
        </row>
        <row r="1187">
          <cell r="C1187" t="str">
            <v>2013GA</v>
          </cell>
        </row>
        <row r="1188">
          <cell r="C1188" t="str">
            <v>2013HI</v>
          </cell>
        </row>
        <row r="1189">
          <cell r="C1189" t="str">
            <v>2013ID</v>
          </cell>
        </row>
        <row r="1190">
          <cell r="C1190" t="str">
            <v>2013IL</v>
          </cell>
        </row>
        <row r="1191">
          <cell r="C1191" t="str">
            <v>2013IN</v>
          </cell>
        </row>
        <row r="1192">
          <cell r="C1192" t="str">
            <v>2013IA</v>
          </cell>
        </row>
        <row r="1193">
          <cell r="C1193" t="str">
            <v>2013KS</v>
          </cell>
        </row>
        <row r="1194">
          <cell r="C1194" t="str">
            <v>2013KY</v>
          </cell>
        </row>
        <row r="1195">
          <cell r="C1195" t="str">
            <v>2013LA</v>
          </cell>
        </row>
        <row r="1196">
          <cell r="C1196" t="str">
            <v>2013ME</v>
          </cell>
        </row>
        <row r="1197">
          <cell r="C1197" t="str">
            <v>2013MD</v>
          </cell>
        </row>
        <row r="1198">
          <cell r="C1198" t="str">
            <v>2013MA</v>
          </cell>
        </row>
        <row r="1199">
          <cell r="C1199" t="str">
            <v>2013MI</v>
          </cell>
        </row>
        <row r="1200">
          <cell r="C1200" t="str">
            <v>2013MN</v>
          </cell>
        </row>
        <row r="1201">
          <cell r="C1201" t="str">
            <v>2013MS</v>
          </cell>
        </row>
        <row r="1202">
          <cell r="C1202" t="str">
            <v>2013MO</v>
          </cell>
        </row>
        <row r="1203">
          <cell r="C1203" t="str">
            <v>2013MT</v>
          </cell>
        </row>
        <row r="1204">
          <cell r="C1204" t="str">
            <v>2013NE</v>
          </cell>
        </row>
        <row r="1205">
          <cell r="C1205" t="str">
            <v>2013NV</v>
          </cell>
        </row>
        <row r="1206">
          <cell r="C1206" t="str">
            <v>2013NH</v>
          </cell>
        </row>
        <row r="1207">
          <cell r="C1207" t="str">
            <v>2013NJ</v>
          </cell>
        </row>
        <row r="1208">
          <cell r="C1208" t="str">
            <v>2013NM</v>
          </cell>
        </row>
        <row r="1209">
          <cell r="C1209" t="str">
            <v>2013NY</v>
          </cell>
        </row>
        <row r="1210">
          <cell r="C1210" t="str">
            <v>2013NC</v>
          </cell>
        </row>
        <row r="1211">
          <cell r="C1211" t="str">
            <v>2013ND</v>
          </cell>
        </row>
        <row r="1212">
          <cell r="C1212" t="str">
            <v>2013OH</v>
          </cell>
        </row>
        <row r="1213">
          <cell r="C1213" t="str">
            <v>2013OK</v>
          </cell>
        </row>
        <row r="1214">
          <cell r="C1214" t="str">
            <v>2013OR</v>
          </cell>
        </row>
        <row r="1215">
          <cell r="C1215" t="str">
            <v>2013PA</v>
          </cell>
        </row>
        <row r="1216">
          <cell r="C1216" t="str">
            <v>2013RI</v>
          </cell>
        </row>
        <row r="1217">
          <cell r="C1217" t="str">
            <v>2013SC</v>
          </cell>
        </row>
        <row r="1218">
          <cell r="C1218" t="str">
            <v>2013SD</v>
          </cell>
        </row>
        <row r="1219">
          <cell r="C1219" t="str">
            <v>2013TN</v>
          </cell>
        </row>
        <row r="1220">
          <cell r="C1220" t="str">
            <v>2013TX</v>
          </cell>
        </row>
        <row r="1221">
          <cell r="C1221" t="str">
            <v>2013UT</v>
          </cell>
        </row>
        <row r="1222">
          <cell r="C1222" t="str">
            <v>2013VT</v>
          </cell>
        </row>
        <row r="1223">
          <cell r="C1223" t="str">
            <v>2013VA</v>
          </cell>
        </row>
        <row r="1224">
          <cell r="C1224" t="str">
            <v>2013WA</v>
          </cell>
        </row>
        <row r="1225">
          <cell r="C1225" t="str">
            <v>2013WV</v>
          </cell>
        </row>
        <row r="1226">
          <cell r="C1226" t="str">
            <v>2013WI</v>
          </cell>
        </row>
        <row r="1227">
          <cell r="C1227" t="str">
            <v>2013WY</v>
          </cell>
        </row>
        <row r="1228">
          <cell r="C1228" t="str">
            <v>2013US</v>
          </cell>
        </row>
        <row r="1229">
          <cell r="C1229" t="str">
            <v>2014AL</v>
          </cell>
        </row>
        <row r="1230">
          <cell r="C1230" t="str">
            <v>2014AK</v>
          </cell>
        </row>
        <row r="1231">
          <cell r="C1231" t="str">
            <v>2014AZ</v>
          </cell>
        </row>
        <row r="1232">
          <cell r="C1232" t="str">
            <v>2014AR</v>
          </cell>
        </row>
        <row r="1233">
          <cell r="C1233" t="str">
            <v>2014CA</v>
          </cell>
        </row>
        <row r="1234">
          <cell r="C1234" t="str">
            <v>2014CO</v>
          </cell>
        </row>
        <row r="1235">
          <cell r="C1235" t="str">
            <v>2014CT</v>
          </cell>
        </row>
        <row r="1236">
          <cell r="C1236" t="str">
            <v>2014DE</v>
          </cell>
        </row>
        <row r="1237">
          <cell r="C1237" t="str">
            <v>2014FL</v>
          </cell>
        </row>
        <row r="1238">
          <cell r="C1238" t="str">
            <v>2014GA</v>
          </cell>
        </row>
        <row r="1239">
          <cell r="C1239" t="str">
            <v>2014HI</v>
          </cell>
        </row>
        <row r="1240">
          <cell r="C1240" t="str">
            <v>2014ID</v>
          </cell>
        </row>
        <row r="1241">
          <cell r="C1241" t="str">
            <v>2014IL</v>
          </cell>
        </row>
        <row r="1242">
          <cell r="C1242" t="str">
            <v>2014IN</v>
          </cell>
        </row>
        <row r="1243">
          <cell r="C1243" t="str">
            <v>2014IA</v>
          </cell>
        </row>
        <row r="1244">
          <cell r="C1244" t="str">
            <v>2014KS</v>
          </cell>
        </row>
        <row r="1245">
          <cell r="C1245" t="str">
            <v>2014KY</v>
          </cell>
        </row>
        <row r="1246">
          <cell r="C1246" t="str">
            <v>2014LA</v>
          </cell>
        </row>
        <row r="1247">
          <cell r="C1247" t="str">
            <v>2014ME</v>
          </cell>
        </row>
        <row r="1248">
          <cell r="C1248" t="str">
            <v>2014MD</v>
          </cell>
        </row>
        <row r="1249">
          <cell r="C1249" t="str">
            <v>2014MA</v>
          </cell>
        </row>
        <row r="1250">
          <cell r="C1250" t="str">
            <v>2014MI</v>
          </cell>
        </row>
        <row r="1251">
          <cell r="C1251" t="str">
            <v>2014MN</v>
          </cell>
        </row>
        <row r="1252">
          <cell r="C1252" t="str">
            <v>2014MS</v>
          </cell>
        </row>
        <row r="1253">
          <cell r="C1253" t="str">
            <v>2014MO</v>
          </cell>
        </row>
        <row r="1254">
          <cell r="C1254" t="str">
            <v>2014MT</v>
          </cell>
        </row>
        <row r="1255">
          <cell r="C1255" t="str">
            <v>2014NE</v>
          </cell>
        </row>
        <row r="1256">
          <cell r="C1256" t="str">
            <v>2014NV</v>
          </cell>
        </row>
        <row r="1257">
          <cell r="C1257" t="str">
            <v>2014NH</v>
          </cell>
        </row>
        <row r="1258">
          <cell r="C1258" t="str">
            <v>2014NJ</v>
          </cell>
        </row>
        <row r="1259">
          <cell r="C1259" t="str">
            <v>2014NM</v>
          </cell>
        </row>
        <row r="1260">
          <cell r="C1260" t="str">
            <v>2014NY</v>
          </cell>
        </row>
        <row r="1261">
          <cell r="C1261" t="str">
            <v>2014NC</v>
          </cell>
        </row>
        <row r="1262">
          <cell r="C1262" t="str">
            <v>2014ND</v>
          </cell>
        </row>
        <row r="1263">
          <cell r="C1263" t="str">
            <v>2014OH</v>
          </cell>
        </row>
        <row r="1264">
          <cell r="C1264" t="str">
            <v>2014OK</v>
          </cell>
        </row>
        <row r="1265">
          <cell r="C1265" t="str">
            <v>2014OR</v>
          </cell>
        </row>
        <row r="1266">
          <cell r="C1266" t="str">
            <v>2014PA</v>
          </cell>
        </row>
        <row r="1267">
          <cell r="C1267" t="str">
            <v>2014RI</v>
          </cell>
        </row>
        <row r="1268">
          <cell r="C1268" t="str">
            <v>2014SC</v>
          </cell>
        </row>
        <row r="1269">
          <cell r="C1269" t="str">
            <v>2014SD</v>
          </cell>
        </row>
        <row r="1270">
          <cell r="C1270" t="str">
            <v>2014TN</v>
          </cell>
        </row>
        <row r="1271">
          <cell r="C1271" t="str">
            <v>2014TX</v>
          </cell>
        </row>
        <row r="1272">
          <cell r="C1272" t="str">
            <v>2014UT</v>
          </cell>
        </row>
        <row r="1273">
          <cell r="C1273" t="str">
            <v>2014VT</v>
          </cell>
        </row>
        <row r="1274">
          <cell r="C1274" t="str">
            <v>2014VA</v>
          </cell>
        </row>
        <row r="1275">
          <cell r="C1275" t="str">
            <v>2014WA</v>
          </cell>
        </row>
        <row r="1276">
          <cell r="C1276" t="str">
            <v>2014WV</v>
          </cell>
        </row>
        <row r="1277">
          <cell r="C1277" t="str">
            <v>2014WI</v>
          </cell>
        </row>
        <row r="1278">
          <cell r="C1278" t="str">
            <v>2014WY</v>
          </cell>
        </row>
        <row r="1279">
          <cell r="C1279" t="str">
            <v>2014US</v>
          </cell>
        </row>
        <row r="1280">
          <cell r="C1280" t="str">
            <v>2015AL</v>
          </cell>
        </row>
        <row r="1281">
          <cell r="C1281" t="str">
            <v>2015AK</v>
          </cell>
        </row>
        <row r="1282">
          <cell r="C1282" t="str">
            <v>2015AZ</v>
          </cell>
        </row>
        <row r="1283">
          <cell r="C1283" t="str">
            <v>2015AR</v>
          </cell>
        </row>
        <row r="1284">
          <cell r="C1284" t="str">
            <v>2015CA</v>
          </cell>
        </row>
        <row r="1285">
          <cell r="C1285" t="str">
            <v>2015CO</v>
          </cell>
        </row>
        <row r="1286">
          <cell r="C1286" t="str">
            <v>2015CT</v>
          </cell>
        </row>
        <row r="1287">
          <cell r="C1287" t="str">
            <v>2015DE</v>
          </cell>
        </row>
        <row r="1288">
          <cell r="C1288" t="str">
            <v>2015FL</v>
          </cell>
        </row>
        <row r="1289">
          <cell r="C1289" t="str">
            <v>2015GA</v>
          </cell>
        </row>
        <row r="1290">
          <cell r="C1290" t="str">
            <v>2015HI</v>
          </cell>
        </row>
        <row r="1291">
          <cell r="C1291" t="str">
            <v>2015ID</v>
          </cell>
        </row>
        <row r="1292">
          <cell r="C1292" t="str">
            <v>2015IL</v>
          </cell>
        </row>
        <row r="1293">
          <cell r="C1293" t="str">
            <v>2015IN</v>
          </cell>
        </row>
        <row r="1294">
          <cell r="C1294" t="str">
            <v>2015IA</v>
          </cell>
        </row>
        <row r="1295">
          <cell r="C1295" t="str">
            <v>2015KS</v>
          </cell>
        </row>
        <row r="1296">
          <cell r="C1296" t="str">
            <v>2015KY</v>
          </cell>
        </row>
        <row r="1297">
          <cell r="C1297" t="str">
            <v>2015LA</v>
          </cell>
        </row>
        <row r="1298">
          <cell r="C1298" t="str">
            <v>2015ME</v>
          </cell>
        </row>
        <row r="1299">
          <cell r="C1299" t="str">
            <v>2015MD</v>
          </cell>
        </row>
        <row r="1300">
          <cell r="C1300" t="str">
            <v>2015MA</v>
          </cell>
        </row>
        <row r="1301">
          <cell r="C1301" t="str">
            <v>2015MI</v>
          </cell>
        </row>
        <row r="1302">
          <cell r="C1302" t="str">
            <v>2015MN</v>
          </cell>
        </row>
        <row r="1303">
          <cell r="C1303" t="str">
            <v>2015MS</v>
          </cell>
        </row>
        <row r="1304">
          <cell r="C1304" t="str">
            <v>2015MO</v>
          </cell>
        </row>
        <row r="1305">
          <cell r="C1305" t="str">
            <v>2015MT</v>
          </cell>
        </row>
        <row r="1306">
          <cell r="C1306" t="str">
            <v>2015NE</v>
          </cell>
        </row>
        <row r="1307">
          <cell r="C1307" t="str">
            <v>2015NV</v>
          </cell>
        </row>
        <row r="1308">
          <cell r="C1308" t="str">
            <v>2015NH</v>
          </cell>
        </row>
        <row r="1309">
          <cell r="C1309" t="str">
            <v>2015NJ</v>
          </cell>
        </row>
        <row r="1310">
          <cell r="C1310" t="str">
            <v>2015NM</v>
          </cell>
        </row>
        <row r="1311">
          <cell r="C1311" t="str">
            <v>2015NY</v>
          </cell>
        </row>
        <row r="1312">
          <cell r="C1312" t="str">
            <v>2015NC</v>
          </cell>
        </row>
        <row r="1313">
          <cell r="C1313" t="str">
            <v>2015ND</v>
          </cell>
        </row>
        <row r="1314">
          <cell r="C1314" t="str">
            <v>2015OH</v>
          </cell>
        </row>
        <row r="1315">
          <cell r="C1315" t="str">
            <v>2015OK</v>
          </cell>
        </row>
        <row r="1316">
          <cell r="C1316" t="str">
            <v>2015OR</v>
          </cell>
        </row>
        <row r="1317">
          <cell r="C1317" t="str">
            <v>2015PA</v>
          </cell>
        </row>
        <row r="1318">
          <cell r="C1318" t="str">
            <v>2015RI</v>
          </cell>
        </row>
        <row r="1319">
          <cell r="C1319" t="str">
            <v>2015SC</v>
          </cell>
        </row>
        <row r="1320">
          <cell r="C1320" t="str">
            <v>2015SD</v>
          </cell>
        </row>
        <row r="1321">
          <cell r="C1321" t="str">
            <v>2015TN</v>
          </cell>
        </row>
        <row r="1322">
          <cell r="C1322" t="str">
            <v>2015TX</v>
          </cell>
        </row>
        <row r="1323">
          <cell r="C1323" t="str">
            <v>2015UT</v>
          </cell>
        </row>
        <row r="1324">
          <cell r="C1324" t="str">
            <v>2015VT</v>
          </cell>
        </row>
        <row r="1325">
          <cell r="C1325" t="str">
            <v>2015VA</v>
          </cell>
        </row>
        <row r="1326">
          <cell r="C1326" t="str">
            <v>2015WA</v>
          </cell>
        </row>
        <row r="1327">
          <cell r="C1327" t="str">
            <v>2015WV</v>
          </cell>
        </row>
        <row r="1328">
          <cell r="C1328" t="str">
            <v>2015WI</v>
          </cell>
        </row>
        <row r="1329">
          <cell r="C1329" t="str">
            <v>2015WY</v>
          </cell>
        </row>
        <row r="1330">
          <cell r="C1330" t="str">
            <v>2015US</v>
          </cell>
        </row>
        <row r="1331">
          <cell r="C1331" t="str">
            <v>2016AL</v>
          </cell>
        </row>
        <row r="1332">
          <cell r="C1332" t="str">
            <v>2016AK</v>
          </cell>
        </row>
        <row r="1333">
          <cell r="C1333" t="str">
            <v>2016AZ</v>
          </cell>
        </row>
        <row r="1334">
          <cell r="C1334" t="str">
            <v>2016AR</v>
          </cell>
        </row>
        <row r="1335">
          <cell r="C1335" t="str">
            <v>2016CA</v>
          </cell>
        </row>
        <row r="1336">
          <cell r="C1336" t="str">
            <v>2016CO</v>
          </cell>
        </row>
        <row r="1337">
          <cell r="C1337" t="str">
            <v>2016CT</v>
          </cell>
        </row>
        <row r="1338">
          <cell r="C1338" t="str">
            <v>2016DE</v>
          </cell>
        </row>
        <row r="1339">
          <cell r="C1339" t="str">
            <v>2016FL</v>
          </cell>
        </row>
        <row r="1340">
          <cell r="C1340" t="str">
            <v>2016GA</v>
          </cell>
        </row>
        <row r="1341">
          <cell r="C1341" t="str">
            <v>2016HI</v>
          </cell>
        </row>
        <row r="1342">
          <cell r="C1342" t="str">
            <v>2016ID</v>
          </cell>
        </row>
        <row r="1343">
          <cell r="C1343" t="str">
            <v>2016IL</v>
          </cell>
        </row>
        <row r="1344">
          <cell r="C1344" t="str">
            <v>2016IN</v>
          </cell>
        </row>
        <row r="1345">
          <cell r="C1345" t="str">
            <v>2016IA</v>
          </cell>
        </row>
        <row r="1346">
          <cell r="C1346" t="str">
            <v>2016KS</v>
          </cell>
        </row>
        <row r="1347">
          <cell r="C1347" t="str">
            <v>2016KY</v>
          </cell>
        </row>
        <row r="1348">
          <cell r="C1348" t="str">
            <v>2016LA</v>
          </cell>
        </row>
        <row r="1349">
          <cell r="C1349" t="str">
            <v>2016ME</v>
          </cell>
        </row>
        <row r="1350">
          <cell r="C1350" t="str">
            <v>2016MD</v>
          </cell>
        </row>
        <row r="1351">
          <cell r="C1351" t="str">
            <v>2016MA</v>
          </cell>
        </row>
        <row r="1352">
          <cell r="C1352" t="str">
            <v>2016MI</v>
          </cell>
        </row>
        <row r="1353">
          <cell r="C1353" t="str">
            <v>2016MN</v>
          </cell>
        </row>
        <row r="1354">
          <cell r="C1354" t="str">
            <v>2016MS</v>
          </cell>
        </row>
        <row r="1355">
          <cell r="C1355" t="str">
            <v>2016MO</v>
          </cell>
        </row>
        <row r="1356">
          <cell r="C1356" t="str">
            <v>2016MT</v>
          </cell>
        </row>
        <row r="1357">
          <cell r="C1357" t="str">
            <v>2016NE</v>
          </cell>
        </row>
        <row r="1358">
          <cell r="C1358" t="str">
            <v>2016NV</v>
          </cell>
        </row>
        <row r="1359">
          <cell r="C1359" t="str">
            <v>2016NH</v>
          </cell>
        </row>
        <row r="1360">
          <cell r="C1360" t="str">
            <v>2016NJ</v>
          </cell>
        </row>
        <row r="1361">
          <cell r="C1361" t="str">
            <v>2016NM</v>
          </cell>
        </row>
        <row r="1362">
          <cell r="C1362" t="str">
            <v>2016NY</v>
          </cell>
        </row>
        <row r="1363">
          <cell r="C1363" t="str">
            <v>2016NC</v>
          </cell>
        </row>
        <row r="1364">
          <cell r="C1364" t="str">
            <v>2016ND</v>
          </cell>
        </row>
        <row r="1365">
          <cell r="C1365" t="str">
            <v>2016OH</v>
          </cell>
        </row>
        <row r="1366">
          <cell r="C1366" t="str">
            <v>2016OK</v>
          </cell>
        </row>
        <row r="1367">
          <cell r="C1367" t="str">
            <v>2016OR</v>
          </cell>
        </row>
        <row r="1368">
          <cell r="C1368" t="str">
            <v>2016PA</v>
          </cell>
        </row>
        <row r="1369">
          <cell r="C1369" t="str">
            <v>2016RI</v>
          </cell>
        </row>
        <row r="1370">
          <cell r="C1370" t="str">
            <v>2016SC</v>
          </cell>
        </row>
        <row r="1371">
          <cell r="C1371" t="str">
            <v>2016SD</v>
          </cell>
        </row>
        <row r="1372">
          <cell r="C1372" t="str">
            <v>2016TN</v>
          </cell>
        </row>
        <row r="1373">
          <cell r="C1373" t="str">
            <v>2016TX</v>
          </cell>
        </row>
        <row r="1374">
          <cell r="C1374" t="str">
            <v>2016UT</v>
          </cell>
        </row>
        <row r="1375">
          <cell r="C1375" t="str">
            <v>2016VT</v>
          </cell>
        </row>
        <row r="1376">
          <cell r="C1376" t="str">
            <v>2016VA</v>
          </cell>
        </row>
        <row r="1377">
          <cell r="C1377" t="str">
            <v>2016WA</v>
          </cell>
        </row>
        <row r="1378">
          <cell r="C1378" t="str">
            <v>2016WV</v>
          </cell>
        </row>
        <row r="1379">
          <cell r="C1379" t="str">
            <v>2016WI</v>
          </cell>
        </row>
        <row r="1380">
          <cell r="C1380" t="str">
            <v>2016WY</v>
          </cell>
        </row>
        <row r="1381">
          <cell r="C1381" t="str">
            <v>2016US</v>
          </cell>
        </row>
        <row r="1382">
          <cell r="C1382" t="str">
            <v>2017AL</v>
          </cell>
        </row>
        <row r="1383">
          <cell r="C1383" t="str">
            <v>2017AK</v>
          </cell>
        </row>
        <row r="1384">
          <cell r="C1384" t="str">
            <v>2017AZ</v>
          </cell>
        </row>
        <row r="1385">
          <cell r="C1385" t="str">
            <v>2017AR</v>
          </cell>
        </row>
        <row r="1386">
          <cell r="C1386" t="str">
            <v>2017CA</v>
          </cell>
        </row>
        <row r="1387">
          <cell r="C1387" t="str">
            <v>2017CO</v>
          </cell>
        </row>
        <row r="1388">
          <cell r="C1388" t="str">
            <v>2017CT</v>
          </cell>
        </row>
        <row r="1389">
          <cell r="C1389" t="str">
            <v>2017DE</v>
          </cell>
        </row>
        <row r="1390">
          <cell r="C1390" t="str">
            <v>2017FL</v>
          </cell>
        </row>
        <row r="1391">
          <cell r="C1391" t="str">
            <v>2017GA</v>
          </cell>
        </row>
        <row r="1392">
          <cell r="C1392" t="str">
            <v>2017HI</v>
          </cell>
        </row>
        <row r="1393">
          <cell r="C1393" t="str">
            <v>2017ID</v>
          </cell>
        </row>
        <row r="1394">
          <cell r="C1394" t="str">
            <v>2017IL</v>
          </cell>
        </row>
        <row r="1395">
          <cell r="C1395" t="str">
            <v>2017IN</v>
          </cell>
        </row>
        <row r="1396">
          <cell r="C1396" t="str">
            <v>2017IA</v>
          </cell>
        </row>
        <row r="1397">
          <cell r="C1397" t="str">
            <v>2017KS</v>
          </cell>
        </row>
        <row r="1398">
          <cell r="C1398" t="str">
            <v>2017KY</v>
          </cell>
        </row>
        <row r="1399">
          <cell r="C1399" t="str">
            <v>2017LA</v>
          </cell>
        </row>
        <row r="1400">
          <cell r="C1400" t="str">
            <v>2017ME</v>
          </cell>
        </row>
        <row r="1401">
          <cell r="C1401" t="str">
            <v>2017MD</v>
          </cell>
        </row>
        <row r="1402">
          <cell r="C1402" t="str">
            <v>2017MA</v>
          </cell>
        </row>
        <row r="1403">
          <cell r="C1403" t="str">
            <v>2017MI</v>
          </cell>
        </row>
        <row r="1404">
          <cell r="C1404" t="str">
            <v>2017MN</v>
          </cell>
        </row>
        <row r="1405">
          <cell r="C1405" t="str">
            <v>2017MS</v>
          </cell>
        </row>
        <row r="1406">
          <cell r="C1406" t="str">
            <v>2017MO</v>
          </cell>
        </row>
        <row r="1407">
          <cell r="C1407" t="str">
            <v>2017MT</v>
          </cell>
        </row>
        <row r="1408">
          <cell r="C1408" t="str">
            <v>2017NE</v>
          </cell>
        </row>
        <row r="1409">
          <cell r="C1409" t="str">
            <v>2017NV</v>
          </cell>
        </row>
        <row r="1410">
          <cell r="C1410" t="str">
            <v>2017NH</v>
          </cell>
        </row>
        <row r="1411">
          <cell r="C1411" t="str">
            <v>2017NJ</v>
          </cell>
        </row>
        <row r="1412">
          <cell r="C1412" t="str">
            <v>2017NM</v>
          </cell>
        </row>
        <row r="1413">
          <cell r="C1413" t="str">
            <v>2017NY</v>
          </cell>
        </row>
        <row r="1414">
          <cell r="C1414" t="str">
            <v>2017NC</v>
          </cell>
        </row>
        <row r="1415">
          <cell r="C1415" t="str">
            <v>2017ND</v>
          </cell>
        </row>
        <row r="1416">
          <cell r="C1416" t="str">
            <v>2017OH</v>
          </cell>
        </row>
        <row r="1417">
          <cell r="C1417" t="str">
            <v>2017OK</v>
          </cell>
        </row>
        <row r="1418">
          <cell r="C1418" t="str">
            <v>2017OR</v>
          </cell>
        </row>
        <row r="1419">
          <cell r="C1419" t="str">
            <v>2017PA</v>
          </cell>
        </row>
        <row r="1420">
          <cell r="C1420" t="str">
            <v>2017RI</v>
          </cell>
        </row>
        <row r="1421">
          <cell r="C1421" t="str">
            <v>2017SC</v>
          </cell>
        </row>
        <row r="1422">
          <cell r="C1422" t="str">
            <v>2017SD</v>
          </cell>
        </row>
        <row r="1423">
          <cell r="C1423" t="str">
            <v>2017TN</v>
          </cell>
        </row>
        <row r="1424">
          <cell r="C1424" t="str">
            <v>2017TX</v>
          </cell>
        </row>
        <row r="1425">
          <cell r="C1425" t="str">
            <v>2017UT</v>
          </cell>
        </row>
        <row r="1426">
          <cell r="C1426" t="str">
            <v>2017VT</v>
          </cell>
        </row>
        <row r="1427">
          <cell r="C1427" t="str">
            <v>2017VA</v>
          </cell>
        </row>
        <row r="1428">
          <cell r="C1428" t="str">
            <v>2017WA</v>
          </cell>
        </row>
        <row r="1429">
          <cell r="C1429" t="str">
            <v>2017WV</v>
          </cell>
        </row>
        <row r="1430">
          <cell r="C1430" t="str">
            <v>2017WI</v>
          </cell>
        </row>
        <row r="1431">
          <cell r="C1431" t="str">
            <v>2017WY</v>
          </cell>
        </row>
        <row r="1432">
          <cell r="C1432" t="str">
            <v>2017US</v>
          </cell>
        </row>
        <row r="1433">
          <cell r="C1433" t="str">
            <v>2018AL</v>
          </cell>
        </row>
        <row r="1434">
          <cell r="C1434" t="str">
            <v>2018AK</v>
          </cell>
        </row>
        <row r="1435">
          <cell r="C1435" t="str">
            <v>2018AZ</v>
          </cell>
        </row>
        <row r="1436">
          <cell r="C1436" t="str">
            <v>2018AR</v>
          </cell>
        </row>
        <row r="1437">
          <cell r="C1437" t="str">
            <v>2018CA</v>
          </cell>
        </row>
        <row r="1438">
          <cell r="C1438" t="str">
            <v>2018CO</v>
          </cell>
        </row>
        <row r="1439">
          <cell r="C1439" t="str">
            <v>2018CT</v>
          </cell>
        </row>
        <row r="1440">
          <cell r="C1440" t="str">
            <v>2018DE</v>
          </cell>
        </row>
        <row r="1441">
          <cell r="C1441" t="str">
            <v>2018FL</v>
          </cell>
        </row>
        <row r="1442">
          <cell r="C1442" t="str">
            <v>2018GA</v>
          </cell>
        </row>
        <row r="1443">
          <cell r="C1443" t="str">
            <v>2018HI</v>
          </cell>
        </row>
        <row r="1444">
          <cell r="C1444" t="str">
            <v>2018ID</v>
          </cell>
        </row>
        <row r="1445">
          <cell r="C1445" t="str">
            <v>2018IL</v>
          </cell>
        </row>
        <row r="1446">
          <cell r="C1446" t="str">
            <v>2018IN</v>
          </cell>
        </row>
        <row r="1447">
          <cell r="C1447" t="str">
            <v>2018IA</v>
          </cell>
        </row>
        <row r="1448">
          <cell r="C1448" t="str">
            <v>2018KS</v>
          </cell>
        </row>
        <row r="1449">
          <cell r="C1449" t="str">
            <v>2018KY</v>
          </cell>
        </row>
        <row r="1450">
          <cell r="C1450" t="str">
            <v>2018LA</v>
          </cell>
        </row>
        <row r="1451">
          <cell r="C1451" t="str">
            <v>2018ME</v>
          </cell>
        </row>
        <row r="1452">
          <cell r="C1452" t="str">
            <v>2018MD</v>
          </cell>
        </row>
        <row r="1453">
          <cell r="C1453" t="str">
            <v>2018MA</v>
          </cell>
        </row>
        <row r="1454">
          <cell r="C1454" t="str">
            <v>2018MI</v>
          </cell>
        </row>
        <row r="1455">
          <cell r="C1455" t="str">
            <v>2018MN</v>
          </cell>
        </row>
        <row r="1456">
          <cell r="C1456" t="str">
            <v>2018MS</v>
          </cell>
        </row>
        <row r="1457">
          <cell r="C1457" t="str">
            <v>2018MO</v>
          </cell>
        </row>
        <row r="1458">
          <cell r="C1458" t="str">
            <v>2018MT</v>
          </cell>
        </row>
        <row r="1459">
          <cell r="C1459" t="str">
            <v>2018NE</v>
          </cell>
        </row>
        <row r="1460">
          <cell r="C1460" t="str">
            <v>2018NV</v>
          </cell>
        </row>
        <row r="1461">
          <cell r="C1461" t="str">
            <v>2018NH</v>
          </cell>
        </row>
        <row r="1462">
          <cell r="C1462" t="str">
            <v>2018NJ</v>
          </cell>
        </row>
        <row r="1463">
          <cell r="C1463" t="str">
            <v>2018NM</v>
          </cell>
        </row>
        <row r="1464">
          <cell r="C1464" t="str">
            <v>2018NY</v>
          </cell>
        </row>
        <row r="1465">
          <cell r="C1465" t="str">
            <v>2018NC</v>
          </cell>
        </row>
        <row r="1466">
          <cell r="C1466" t="str">
            <v>2018ND</v>
          </cell>
        </row>
        <row r="1467">
          <cell r="C1467" t="str">
            <v>2018OH</v>
          </cell>
        </row>
        <row r="1468">
          <cell r="C1468" t="str">
            <v>2018OK</v>
          </cell>
        </row>
        <row r="1469">
          <cell r="C1469" t="str">
            <v>2018OR</v>
          </cell>
        </row>
        <row r="1470">
          <cell r="C1470" t="str">
            <v>2018PA</v>
          </cell>
        </row>
        <row r="1471">
          <cell r="C1471" t="str">
            <v>2018RI</v>
          </cell>
        </row>
        <row r="1472">
          <cell r="C1472" t="str">
            <v>2018SC</v>
          </cell>
        </row>
        <row r="1473">
          <cell r="C1473" t="str">
            <v>2018SD</v>
          </cell>
        </row>
        <row r="1474">
          <cell r="C1474" t="str">
            <v>2018TN</v>
          </cell>
        </row>
        <row r="1475">
          <cell r="C1475" t="str">
            <v>2018TX</v>
          </cell>
        </row>
        <row r="1476">
          <cell r="C1476" t="str">
            <v>2018UT</v>
          </cell>
        </row>
        <row r="1477">
          <cell r="C1477" t="str">
            <v>2018VT</v>
          </cell>
        </row>
        <row r="1478">
          <cell r="C1478" t="str">
            <v>2018VA</v>
          </cell>
        </row>
        <row r="1479">
          <cell r="C1479" t="str">
            <v>2018WA</v>
          </cell>
        </row>
        <row r="1480">
          <cell r="C1480" t="str">
            <v>2018WV</v>
          </cell>
        </row>
        <row r="1481">
          <cell r="C1481" t="str">
            <v>2018WI</v>
          </cell>
        </row>
        <row r="1482">
          <cell r="C1482" t="str">
            <v>2018WY</v>
          </cell>
        </row>
        <row r="1483">
          <cell r="C1483" t="str">
            <v>2018US</v>
          </cell>
        </row>
        <row r="1484">
          <cell r="C1484" t="str">
            <v>2019AL</v>
          </cell>
        </row>
        <row r="1485">
          <cell r="C1485" t="str">
            <v>2019AK</v>
          </cell>
        </row>
        <row r="1486">
          <cell r="C1486" t="str">
            <v>2019AZ</v>
          </cell>
        </row>
        <row r="1487">
          <cell r="C1487" t="str">
            <v>2019AR</v>
          </cell>
        </row>
        <row r="1488">
          <cell r="C1488" t="str">
            <v>2019CA</v>
          </cell>
        </row>
        <row r="1489">
          <cell r="C1489" t="str">
            <v>2019CO</v>
          </cell>
        </row>
        <row r="1490">
          <cell r="C1490" t="str">
            <v>2019CT</v>
          </cell>
        </row>
        <row r="1491">
          <cell r="C1491" t="str">
            <v>2019DE</v>
          </cell>
        </row>
        <row r="1492">
          <cell r="C1492" t="str">
            <v>2019FL</v>
          </cell>
        </row>
        <row r="1493">
          <cell r="C1493" t="str">
            <v>2019GA</v>
          </cell>
        </row>
        <row r="1494">
          <cell r="C1494" t="str">
            <v>2019HI</v>
          </cell>
        </row>
        <row r="1495">
          <cell r="C1495" t="str">
            <v>2019ID</v>
          </cell>
        </row>
        <row r="1496">
          <cell r="C1496" t="str">
            <v>2019IL</v>
          </cell>
        </row>
        <row r="1497">
          <cell r="C1497" t="str">
            <v>2019IN</v>
          </cell>
        </row>
        <row r="1498">
          <cell r="C1498" t="str">
            <v>2019IA</v>
          </cell>
        </row>
        <row r="1499">
          <cell r="C1499" t="str">
            <v>2019KS</v>
          </cell>
        </row>
        <row r="1500">
          <cell r="C1500" t="str">
            <v>2019KY</v>
          </cell>
        </row>
        <row r="1501">
          <cell r="C1501" t="str">
            <v>2019LA</v>
          </cell>
        </row>
        <row r="1502">
          <cell r="C1502" t="str">
            <v>2019ME</v>
          </cell>
        </row>
        <row r="1503">
          <cell r="C1503" t="str">
            <v>2019MD</v>
          </cell>
        </row>
        <row r="1504">
          <cell r="C1504" t="str">
            <v>2019MA</v>
          </cell>
        </row>
        <row r="1505">
          <cell r="C1505" t="str">
            <v>2019MI</v>
          </cell>
        </row>
        <row r="1506">
          <cell r="C1506" t="str">
            <v>2019MN</v>
          </cell>
        </row>
        <row r="1507">
          <cell r="C1507" t="str">
            <v>2019MS</v>
          </cell>
        </row>
        <row r="1508">
          <cell r="C1508" t="str">
            <v>2019MO</v>
          </cell>
        </row>
        <row r="1509">
          <cell r="C1509" t="str">
            <v>2019MT</v>
          </cell>
        </row>
        <row r="1510">
          <cell r="C1510" t="str">
            <v>2019NE</v>
          </cell>
        </row>
        <row r="1511">
          <cell r="C1511" t="str">
            <v>2019NV</v>
          </cell>
        </row>
        <row r="1512">
          <cell r="C1512" t="str">
            <v>2019NH</v>
          </cell>
        </row>
        <row r="1513">
          <cell r="C1513" t="str">
            <v>2019NJ</v>
          </cell>
        </row>
        <row r="1514">
          <cell r="C1514" t="str">
            <v>2019NM</v>
          </cell>
        </row>
        <row r="1515">
          <cell r="C1515" t="str">
            <v>2019NY</v>
          </cell>
        </row>
        <row r="1516">
          <cell r="C1516" t="str">
            <v>2019NC</v>
          </cell>
        </row>
        <row r="1517">
          <cell r="C1517" t="str">
            <v>2019ND</v>
          </cell>
        </row>
        <row r="1518">
          <cell r="C1518" t="str">
            <v>2019OH</v>
          </cell>
        </row>
        <row r="1519">
          <cell r="C1519" t="str">
            <v>2019OK</v>
          </cell>
        </row>
        <row r="1520">
          <cell r="C1520" t="str">
            <v>2019OR</v>
          </cell>
        </row>
        <row r="1521">
          <cell r="C1521" t="str">
            <v>2019PA</v>
          </cell>
        </row>
        <row r="1522">
          <cell r="C1522" t="str">
            <v>2019RI</v>
          </cell>
        </row>
        <row r="1523">
          <cell r="C1523" t="str">
            <v>2019SC</v>
          </cell>
        </row>
        <row r="1524">
          <cell r="C1524" t="str">
            <v>2019SD</v>
          </cell>
        </row>
        <row r="1525">
          <cell r="C1525" t="str">
            <v>2019TN</v>
          </cell>
        </row>
        <row r="1526">
          <cell r="C1526" t="str">
            <v>2019TX</v>
          </cell>
        </row>
        <row r="1527">
          <cell r="C1527" t="str">
            <v>2019UT</v>
          </cell>
        </row>
        <row r="1528">
          <cell r="C1528" t="str">
            <v>2019VT</v>
          </cell>
        </row>
        <row r="1529">
          <cell r="C1529" t="str">
            <v>2019VA</v>
          </cell>
        </row>
        <row r="1530">
          <cell r="C1530" t="str">
            <v>2019WA</v>
          </cell>
        </row>
        <row r="1531">
          <cell r="C1531" t="str">
            <v>2019WV</v>
          </cell>
        </row>
        <row r="1532">
          <cell r="C1532" t="str">
            <v>2019WI</v>
          </cell>
        </row>
        <row r="1533">
          <cell r="C1533" t="str">
            <v>2019WY</v>
          </cell>
        </row>
        <row r="1534">
          <cell r="C1534" t="str">
            <v>2019US</v>
          </cell>
        </row>
        <row r="1535">
          <cell r="C1535" t="str">
            <v>2020AL</v>
          </cell>
        </row>
        <row r="1536">
          <cell r="C1536" t="str">
            <v>2020AK</v>
          </cell>
        </row>
        <row r="1537">
          <cell r="C1537" t="str">
            <v>2020AZ</v>
          </cell>
        </row>
        <row r="1538">
          <cell r="C1538" t="str">
            <v>2020AR</v>
          </cell>
        </row>
        <row r="1539">
          <cell r="C1539" t="str">
            <v>2020CA</v>
          </cell>
        </row>
        <row r="1540">
          <cell r="C1540" t="str">
            <v>2020CO</v>
          </cell>
        </row>
        <row r="1541">
          <cell r="C1541" t="str">
            <v>2020CT</v>
          </cell>
        </row>
        <row r="1542">
          <cell r="C1542" t="str">
            <v>2020DE</v>
          </cell>
        </row>
        <row r="1543">
          <cell r="C1543" t="str">
            <v>2020FL</v>
          </cell>
        </row>
        <row r="1544">
          <cell r="C1544" t="str">
            <v>2020GA</v>
          </cell>
        </row>
        <row r="1545">
          <cell r="C1545" t="str">
            <v>2020HI</v>
          </cell>
        </row>
        <row r="1546">
          <cell r="C1546" t="str">
            <v>2020ID</v>
          </cell>
        </row>
        <row r="1547">
          <cell r="C1547" t="str">
            <v>2020IL</v>
          </cell>
        </row>
        <row r="1548">
          <cell r="C1548" t="str">
            <v>2020IN</v>
          </cell>
        </row>
        <row r="1549">
          <cell r="C1549" t="str">
            <v>2020IA</v>
          </cell>
        </row>
        <row r="1550">
          <cell r="C1550" t="str">
            <v>2020KS</v>
          </cell>
        </row>
        <row r="1551">
          <cell r="C1551" t="str">
            <v>2020KY</v>
          </cell>
        </row>
        <row r="1552">
          <cell r="C1552" t="str">
            <v>2020LA</v>
          </cell>
        </row>
        <row r="1553">
          <cell r="C1553" t="str">
            <v>2020ME</v>
          </cell>
        </row>
        <row r="1554">
          <cell r="C1554" t="str">
            <v>2020MD</v>
          </cell>
        </row>
        <row r="1555">
          <cell r="C1555" t="str">
            <v>2020MA</v>
          </cell>
        </row>
        <row r="1556">
          <cell r="C1556" t="str">
            <v>2020MI</v>
          </cell>
        </row>
        <row r="1557">
          <cell r="C1557" t="str">
            <v>2020MN</v>
          </cell>
        </row>
        <row r="1558">
          <cell r="C1558" t="str">
            <v>2020MS</v>
          </cell>
        </row>
        <row r="1559">
          <cell r="C1559" t="str">
            <v>2020MO</v>
          </cell>
        </row>
        <row r="1560">
          <cell r="C1560" t="str">
            <v>2020MT</v>
          </cell>
        </row>
        <row r="1561">
          <cell r="C1561" t="str">
            <v>2020NE</v>
          </cell>
        </row>
        <row r="1562">
          <cell r="C1562" t="str">
            <v>2020NV</v>
          </cell>
        </row>
        <row r="1563">
          <cell r="C1563" t="str">
            <v>2020NH</v>
          </cell>
        </row>
        <row r="1564">
          <cell r="C1564" t="str">
            <v>2020NJ</v>
          </cell>
        </row>
        <row r="1565">
          <cell r="C1565" t="str">
            <v>2020NM</v>
          </cell>
        </row>
        <row r="1566">
          <cell r="C1566" t="str">
            <v>2020NY</v>
          </cell>
        </row>
        <row r="1567">
          <cell r="C1567" t="str">
            <v>2020NC</v>
          </cell>
        </row>
        <row r="1568">
          <cell r="C1568" t="str">
            <v>2020ND</v>
          </cell>
        </row>
        <row r="1569">
          <cell r="C1569" t="str">
            <v>2020OH</v>
          </cell>
        </row>
        <row r="1570">
          <cell r="C1570" t="str">
            <v>2020OK</v>
          </cell>
        </row>
        <row r="1571">
          <cell r="C1571" t="str">
            <v>2020OR</v>
          </cell>
        </row>
        <row r="1572">
          <cell r="C1572" t="str">
            <v>2020PA</v>
          </cell>
        </row>
        <row r="1573">
          <cell r="C1573" t="str">
            <v>2020RI</v>
          </cell>
        </row>
        <row r="1574">
          <cell r="C1574" t="str">
            <v>2020SC</v>
          </cell>
        </row>
        <row r="1575">
          <cell r="C1575" t="str">
            <v>2020SD</v>
          </cell>
        </row>
        <row r="1576">
          <cell r="C1576" t="str">
            <v>2020TN</v>
          </cell>
        </row>
        <row r="1577">
          <cell r="C1577" t="str">
            <v>2020TX</v>
          </cell>
        </row>
        <row r="1578">
          <cell r="C1578" t="str">
            <v>2020UT</v>
          </cell>
        </row>
        <row r="1579">
          <cell r="C1579" t="str">
            <v>2020VT</v>
          </cell>
        </row>
        <row r="1580">
          <cell r="C1580" t="str">
            <v>2020VA</v>
          </cell>
        </row>
        <row r="1581">
          <cell r="C1581" t="str">
            <v>2020WA</v>
          </cell>
        </row>
        <row r="1582">
          <cell r="C1582" t="str">
            <v>2020WV</v>
          </cell>
        </row>
        <row r="1583">
          <cell r="C1583" t="str">
            <v>2020WI</v>
          </cell>
        </row>
        <row r="1584">
          <cell r="C1584" t="str">
            <v>2020WY</v>
          </cell>
        </row>
        <row r="1585">
          <cell r="C1585" t="str">
            <v>2020US</v>
          </cell>
        </row>
      </sheetData>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Control"/>
      <sheetName val="Residential"/>
      <sheetName val="Commercial"/>
      <sheetName val="Transportation"/>
      <sheetName val="Electric Power"/>
      <sheetName val="Bunker Fuels"/>
      <sheetName val="Industrial"/>
      <sheetName val="Summary-MMTCO2E"/>
      <sheetName val="Summary-MMTCE"/>
      <sheetName val="Tracker"/>
      <sheetName val="Uncertainty"/>
      <sheetName val="Default State Energy Data Table"/>
      <sheetName val="SED Btu 1990-2005"/>
      <sheetName val="FF Consumption"/>
      <sheetName val="Coal CC"/>
      <sheetName val="Non-Energy Consump."/>
      <sheetName val="Variable CC's"/>
      <sheetName val="Code Key"/>
      <sheetName val="SNG"/>
      <sheetName val="Ethanol"/>
      <sheetName val="Data Sources"/>
      <sheetName val="List Data"/>
      <sheetName val="Notes"/>
      <sheetName val="MD_CO2FFC_Module"/>
    </sheetNames>
    <sheetDataSet>
      <sheetData sheetId="0" refreshError="1">
        <row r="11">
          <cell r="D11">
            <v>1</v>
          </cell>
        </row>
        <row r="12">
          <cell r="D12">
            <v>1</v>
          </cell>
        </row>
        <row r="13">
          <cell r="D13">
            <v>1</v>
          </cell>
        </row>
        <row r="14">
          <cell r="D14">
            <v>1</v>
          </cell>
        </row>
        <row r="20">
          <cell r="D20">
            <v>43.942731277533035</v>
          </cell>
        </row>
        <row r="23">
          <cell r="D23">
            <v>43.436123348017617</v>
          </cell>
        </row>
        <row r="25">
          <cell r="D25" t="str">
            <v>variable by year</v>
          </cell>
        </row>
        <row r="38">
          <cell r="D38" t="str">
            <v>variable by year</v>
          </cell>
        </row>
        <row r="43">
          <cell r="D43">
            <v>31.872246696035241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6">
          <cell r="E6" t="str">
            <v>AL Electric Power Coal CC</v>
          </cell>
          <cell r="F6">
            <v>55.93636363636363</v>
          </cell>
          <cell r="G6">
            <v>55.990909090909092</v>
          </cell>
          <cell r="H6">
            <v>55.990909090909092</v>
          </cell>
          <cell r="I6">
            <v>55.990909090909092</v>
          </cell>
          <cell r="J6">
            <v>55.990909090909092</v>
          </cell>
          <cell r="K6">
            <v>56.127272727272725</v>
          </cell>
          <cell r="L6">
            <v>56.127272727272725</v>
          </cell>
          <cell r="M6">
            <v>56.240653636363632</v>
          </cell>
          <cell r="N6">
            <v>55.390909090909084</v>
          </cell>
          <cell r="O6">
            <v>55.367999999999995</v>
          </cell>
          <cell r="P6">
            <v>55.367999999999995</v>
          </cell>
          <cell r="Q6">
            <v>55.367999999999995</v>
          </cell>
          <cell r="R6">
            <v>55.367999999999995</v>
          </cell>
          <cell r="S6">
            <v>55.367999999999995</v>
          </cell>
          <cell r="T6">
            <v>55.367999999999995</v>
          </cell>
          <cell r="U6">
            <v>55.367999999999995</v>
          </cell>
        </row>
        <row r="7">
          <cell r="E7" t="str">
            <v>AK Electric Power Coal CC</v>
          </cell>
          <cell r="F7">
            <v>58.36363636363636</v>
          </cell>
          <cell r="G7">
            <v>58.36363636363636</v>
          </cell>
          <cell r="H7">
            <v>58.36363636363636</v>
          </cell>
          <cell r="I7">
            <v>58.36363636363636</v>
          </cell>
          <cell r="J7">
            <v>57.825613636363634</v>
          </cell>
          <cell r="K7">
            <v>58.36363636363636</v>
          </cell>
          <cell r="L7">
            <v>58.36363636363636</v>
          </cell>
          <cell r="M7">
            <v>57.825613636363634</v>
          </cell>
          <cell r="N7">
            <v>56.209090909090904</v>
          </cell>
          <cell r="O7">
            <v>56.213999999999992</v>
          </cell>
          <cell r="P7">
            <v>56.213999999999992</v>
          </cell>
          <cell r="Q7">
            <v>56.213999999999992</v>
          </cell>
          <cell r="R7">
            <v>56.213999999999992</v>
          </cell>
          <cell r="S7">
            <v>56.213999999999992</v>
          </cell>
          <cell r="T7">
            <v>56.213999999999992</v>
          </cell>
          <cell r="U7">
            <v>56.213999999999992</v>
          </cell>
        </row>
        <row r="8">
          <cell r="E8" t="str">
            <v>AR Electric Power Coal CC</v>
          </cell>
          <cell r="F8">
            <v>57.54545454545454</v>
          </cell>
          <cell r="G8">
            <v>58.009090909090901</v>
          </cell>
          <cell r="H8">
            <v>58.009090909090901</v>
          </cell>
          <cell r="I8">
            <v>58.009090909090901</v>
          </cell>
          <cell r="J8">
            <v>58.009090909090901</v>
          </cell>
          <cell r="K8">
            <v>58.009090909090901</v>
          </cell>
          <cell r="L8">
            <v>58.009090909090901</v>
          </cell>
          <cell r="M8">
            <v>58.012636363636361</v>
          </cell>
          <cell r="N8">
            <v>56.209090909090904</v>
          </cell>
          <cell r="O8">
            <v>56.213999999999992</v>
          </cell>
          <cell r="P8">
            <v>56.213999999999992</v>
          </cell>
          <cell r="Q8">
            <v>56.213999999999992</v>
          </cell>
          <cell r="R8">
            <v>56.213999999999992</v>
          </cell>
          <cell r="S8">
            <v>56.213999999999992</v>
          </cell>
          <cell r="T8">
            <v>56.213999999999992</v>
          </cell>
          <cell r="U8">
            <v>56.213999999999992</v>
          </cell>
        </row>
        <row r="9">
          <cell r="E9" t="str">
            <v>AZ Electric Power Coal CC</v>
          </cell>
          <cell r="F9">
            <v>56.645454545454541</v>
          </cell>
          <cell r="G9">
            <v>56.645454545454541</v>
          </cell>
          <cell r="H9">
            <v>56.645454545454541</v>
          </cell>
          <cell r="I9">
            <v>56.590909090909086</v>
          </cell>
          <cell r="J9">
            <v>56.590909090909086</v>
          </cell>
          <cell r="K9">
            <v>56.61818181818181</v>
          </cell>
          <cell r="L9">
            <v>56.61818181818181</v>
          </cell>
          <cell r="M9">
            <v>56.582754545454542</v>
          </cell>
          <cell r="N9">
            <v>55.636363636363633</v>
          </cell>
          <cell r="O9">
            <v>56.129727272727266</v>
          </cell>
          <cell r="P9">
            <v>56.129727272727266</v>
          </cell>
          <cell r="Q9">
            <v>56.129727272727266</v>
          </cell>
          <cell r="R9">
            <v>56.129727272727266</v>
          </cell>
          <cell r="S9">
            <v>56.129727272727266</v>
          </cell>
          <cell r="T9">
            <v>56.129727272727266</v>
          </cell>
          <cell r="U9">
            <v>56.129727272727266</v>
          </cell>
        </row>
        <row r="10">
          <cell r="E10" t="str">
            <v>CA Electric Power Coal CC</v>
          </cell>
          <cell r="F10">
            <v>56.820606060606053</v>
          </cell>
          <cell r="G10">
            <v>56.86484848484848</v>
          </cell>
          <cell r="H10">
            <v>56.876363636363621</v>
          </cell>
          <cell r="I10">
            <v>56.9181818181818</v>
          </cell>
          <cell r="J10">
            <v>56.917134848484835</v>
          </cell>
          <cell r="K10">
            <v>56.953939393939393</v>
          </cell>
          <cell r="L10">
            <v>56.943030303030284</v>
          </cell>
          <cell r="M10">
            <v>56.948631515151547</v>
          </cell>
          <cell r="N10">
            <v>55.789090909090909</v>
          </cell>
          <cell r="O10">
            <v>55.837883892255896</v>
          </cell>
          <cell r="P10">
            <v>55.837883892255896</v>
          </cell>
          <cell r="Q10">
            <v>55.837883892255896</v>
          </cell>
          <cell r="R10">
            <v>55.837883892255896</v>
          </cell>
          <cell r="S10">
            <v>55.837883892255896</v>
          </cell>
          <cell r="T10">
            <v>55.837883892255896</v>
          </cell>
          <cell r="U10">
            <v>55.837883892255896</v>
          </cell>
        </row>
        <row r="11">
          <cell r="E11" t="str">
            <v>CO Electric Power Coal CC</v>
          </cell>
          <cell r="F11">
            <v>57.245454545454542</v>
          </cell>
          <cell r="G11">
            <v>57.218181818181819</v>
          </cell>
          <cell r="H11">
            <v>57.218181818181819</v>
          </cell>
          <cell r="I11">
            <v>57.245454545454542</v>
          </cell>
          <cell r="J11">
            <v>57.190909090909081</v>
          </cell>
          <cell r="K11">
            <v>57.218181818181819</v>
          </cell>
          <cell r="L11">
            <v>57.3</v>
          </cell>
          <cell r="M11">
            <v>57.25345636363636</v>
          </cell>
          <cell r="N11">
            <v>55.636363636363633</v>
          </cell>
          <cell r="O11">
            <v>55.858636363636357</v>
          </cell>
          <cell r="P11">
            <v>55.858636363636357</v>
          </cell>
          <cell r="Q11">
            <v>55.858636363636357</v>
          </cell>
          <cell r="R11">
            <v>55.858636363636357</v>
          </cell>
          <cell r="S11">
            <v>55.858636363636357</v>
          </cell>
          <cell r="T11">
            <v>55.858636363636357</v>
          </cell>
          <cell r="U11">
            <v>55.858636363636357</v>
          </cell>
        </row>
        <row r="12">
          <cell r="E12" t="str">
            <v>CT Electric Power Coal CC</v>
          </cell>
          <cell r="F12">
            <v>55.854545454545452</v>
          </cell>
          <cell r="G12">
            <v>55.854545454545452</v>
          </cell>
          <cell r="H12">
            <v>55.881818181818183</v>
          </cell>
          <cell r="I12">
            <v>55.909090909090907</v>
          </cell>
          <cell r="J12">
            <v>55.909090909090907</v>
          </cell>
          <cell r="K12">
            <v>55.854545454545452</v>
          </cell>
          <cell r="L12">
            <v>55.854545454545452</v>
          </cell>
          <cell r="M12">
            <v>55.962976363636358</v>
          </cell>
          <cell r="N12">
            <v>55.390909090909084</v>
          </cell>
          <cell r="O12">
            <v>55.830229696969695</v>
          </cell>
          <cell r="P12">
            <v>55.830229696969695</v>
          </cell>
          <cell r="Q12">
            <v>55.830229696969695</v>
          </cell>
          <cell r="R12">
            <v>55.830229696969695</v>
          </cell>
          <cell r="S12">
            <v>55.830229696969695</v>
          </cell>
          <cell r="T12">
            <v>55.830229696969695</v>
          </cell>
          <cell r="U12">
            <v>55.830229696969695</v>
          </cell>
        </row>
        <row r="13">
          <cell r="E13" t="str">
            <v>DC Electric Power Coal CC</v>
          </cell>
          <cell r="F13">
            <v>56.820606060606053</v>
          </cell>
          <cell r="G13">
            <v>56.86484848484848</v>
          </cell>
          <cell r="H13">
            <v>56.876363636363621</v>
          </cell>
          <cell r="I13">
            <v>56.9181818181818</v>
          </cell>
          <cell r="J13">
            <v>56.917134848484835</v>
          </cell>
          <cell r="K13">
            <v>56.953939393939393</v>
          </cell>
          <cell r="L13">
            <v>56.943030303030284</v>
          </cell>
          <cell r="M13">
            <v>56.948631515151547</v>
          </cell>
          <cell r="N13">
            <v>55.789090909090909</v>
          </cell>
          <cell r="O13">
            <v>55.837883892255896</v>
          </cell>
          <cell r="P13">
            <v>55.837883892255896</v>
          </cell>
          <cell r="Q13">
            <v>55.837883892255896</v>
          </cell>
          <cell r="R13">
            <v>55.837883892255896</v>
          </cell>
          <cell r="S13">
            <v>55.837883892255896</v>
          </cell>
          <cell r="T13">
            <v>55.837883892255896</v>
          </cell>
          <cell r="U13">
            <v>55.837883892255896</v>
          </cell>
        </row>
        <row r="14">
          <cell r="E14" t="str">
            <v>DE Electric Power Coal CC</v>
          </cell>
          <cell r="F14">
            <v>56.372727272727268</v>
          </cell>
          <cell r="G14">
            <v>56.4</v>
          </cell>
          <cell r="H14">
            <v>56.427272727272722</v>
          </cell>
          <cell r="I14">
            <v>56.427272727272722</v>
          </cell>
          <cell r="J14">
            <v>56.481818181818177</v>
          </cell>
          <cell r="K14">
            <v>56.536363636363639</v>
          </cell>
          <cell r="L14">
            <v>56.536363636363639</v>
          </cell>
          <cell r="M14">
            <v>56.422720909090906</v>
          </cell>
          <cell r="N14">
            <v>55.390909090909084</v>
          </cell>
          <cell r="O14">
            <v>55.837909090909086</v>
          </cell>
          <cell r="P14">
            <v>55.837909090909086</v>
          </cell>
          <cell r="Q14">
            <v>55.837909090909086</v>
          </cell>
          <cell r="R14">
            <v>55.837909090909086</v>
          </cell>
          <cell r="S14">
            <v>55.837909090909086</v>
          </cell>
          <cell r="T14">
            <v>55.837909090909086</v>
          </cell>
          <cell r="U14">
            <v>55.837909090909086</v>
          </cell>
        </row>
        <row r="15">
          <cell r="E15" t="str">
            <v>FL Electric Power Coal CC</v>
          </cell>
          <cell r="F15">
            <v>55.772727272727266</v>
          </cell>
          <cell r="G15">
            <v>55.745454545454542</v>
          </cell>
          <cell r="H15">
            <v>55.745454545454542</v>
          </cell>
          <cell r="I15">
            <v>55.772727272727266</v>
          </cell>
          <cell r="J15">
            <v>55.8</v>
          </cell>
          <cell r="K15">
            <v>55.772727272727266</v>
          </cell>
          <cell r="L15">
            <v>55.8</v>
          </cell>
          <cell r="M15">
            <v>55.849617272727265</v>
          </cell>
          <cell r="N15">
            <v>55.554545454545448</v>
          </cell>
          <cell r="O15">
            <v>55.350818181818177</v>
          </cell>
          <cell r="P15">
            <v>55.350818181818177</v>
          </cell>
          <cell r="Q15">
            <v>55.350818181818177</v>
          </cell>
          <cell r="R15">
            <v>55.350818181818177</v>
          </cell>
          <cell r="S15">
            <v>55.350818181818177</v>
          </cell>
          <cell r="T15">
            <v>55.350818181818177</v>
          </cell>
          <cell r="U15">
            <v>55.350818181818177</v>
          </cell>
        </row>
        <row r="16">
          <cell r="E16" t="str">
            <v>GA Electric Power Coal CC</v>
          </cell>
          <cell r="F16">
            <v>55.963636363636354</v>
          </cell>
          <cell r="G16">
            <v>55.963636363636354</v>
          </cell>
          <cell r="H16">
            <v>55.854545454545452</v>
          </cell>
          <cell r="I16">
            <v>55.990909090909092</v>
          </cell>
          <cell r="J16">
            <v>56.236363636363627</v>
          </cell>
          <cell r="K16">
            <v>56.345454545454537</v>
          </cell>
          <cell r="L16">
            <v>56.345454545454537</v>
          </cell>
          <cell r="M16">
            <v>56.289580909090901</v>
          </cell>
          <cell r="N16">
            <v>55.418181818181814</v>
          </cell>
          <cell r="O16">
            <v>55.417363636363632</v>
          </cell>
          <cell r="P16">
            <v>55.417363636363632</v>
          </cell>
          <cell r="Q16">
            <v>55.417363636363632</v>
          </cell>
          <cell r="R16">
            <v>55.417363636363632</v>
          </cell>
          <cell r="S16">
            <v>55.417363636363632</v>
          </cell>
          <cell r="T16">
            <v>55.417363636363632</v>
          </cell>
          <cell r="U16">
            <v>55.417363636363632</v>
          </cell>
        </row>
        <row r="17">
          <cell r="E17" t="str">
            <v>HI Electric Power Coal CC</v>
          </cell>
          <cell r="F17">
            <v>56.820606060606053</v>
          </cell>
          <cell r="G17">
            <v>56.86484848484848</v>
          </cell>
          <cell r="H17">
            <v>56.876363636363621</v>
          </cell>
          <cell r="I17">
            <v>56.9181818181818</v>
          </cell>
          <cell r="J17">
            <v>56.917134848484835</v>
          </cell>
          <cell r="K17">
            <v>56.953939393939393</v>
          </cell>
          <cell r="L17">
            <v>56.943030303030284</v>
          </cell>
          <cell r="M17">
            <v>56.948631515151547</v>
          </cell>
          <cell r="N17">
            <v>55.789090909090909</v>
          </cell>
          <cell r="O17">
            <v>55.837883892255896</v>
          </cell>
          <cell r="P17">
            <v>55.837883892255896</v>
          </cell>
          <cell r="Q17">
            <v>55.837883892255896</v>
          </cell>
          <cell r="R17">
            <v>55.837883892255896</v>
          </cell>
          <cell r="S17">
            <v>55.837883892255896</v>
          </cell>
          <cell r="T17">
            <v>55.837883892255896</v>
          </cell>
          <cell r="U17">
            <v>55.837883892255896</v>
          </cell>
        </row>
        <row r="18">
          <cell r="E18" t="str">
            <v>IA Electric Power Coal CC</v>
          </cell>
          <cell r="F18">
            <v>57.463636363636354</v>
          </cell>
          <cell r="G18">
            <v>57.490909090909092</v>
          </cell>
          <cell r="H18">
            <v>57.572727272727263</v>
          </cell>
          <cell r="I18">
            <v>57.790909090909089</v>
          </cell>
          <cell r="J18">
            <v>57.68181818181818</v>
          </cell>
          <cell r="K18">
            <v>57.790909090909089</v>
          </cell>
          <cell r="L18">
            <v>57.790909090909089</v>
          </cell>
          <cell r="M18">
            <v>57.787319999999994</v>
          </cell>
          <cell r="N18">
            <v>55.909090909090907</v>
          </cell>
          <cell r="O18">
            <v>55.988727272727267</v>
          </cell>
          <cell r="P18">
            <v>55.988727272727267</v>
          </cell>
          <cell r="Q18">
            <v>55.988727272727267</v>
          </cell>
          <cell r="R18">
            <v>55.988727272727267</v>
          </cell>
          <cell r="S18">
            <v>55.988727272727267</v>
          </cell>
          <cell r="T18">
            <v>55.988727272727267</v>
          </cell>
          <cell r="U18">
            <v>55.988727272727267</v>
          </cell>
        </row>
        <row r="19">
          <cell r="E19" t="str">
            <v>ID Electric Power Coal CC</v>
          </cell>
          <cell r="F19">
            <v>56.820606060606053</v>
          </cell>
          <cell r="G19">
            <v>56.86484848484848</v>
          </cell>
          <cell r="H19">
            <v>56.876363636363621</v>
          </cell>
          <cell r="I19">
            <v>56.9181818181818</v>
          </cell>
          <cell r="J19">
            <v>56.917134848484835</v>
          </cell>
          <cell r="K19">
            <v>56.953939393939393</v>
          </cell>
          <cell r="L19">
            <v>56.943030303030284</v>
          </cell>
          <cell r="M19">
            <v>56.948631515151547</v>
          </cell>
          <cell r="N19">
            <v>55.789090909090909</v>
          </cell>
          <cell r="O19">
            <v>55.837883892255896</v>
          </cell>
          <cell r="P19">
            <v>55.837883892255896</v>
          </cell>
          <cell r="Q19">
            <v>55.837883892255896</v>
          </cell>
          <cell r="R19">
            <v>55.837883892255896</v>
          </cell>
          <cell r="S19">
            <v>55.837883892255896</v>
          </cell>
          <cell r="T19">
            <v>55.837883892255896</v>
          </cell>
          <cell r="U19">
            <v>55.837883892255896</v>
          </cell>
        </row>
        <row r="20">
          <cell r="E20" t="str">
            <v>IL Electric Power Coal CC</v>
          </cell>
          <cell r="F20">
            <v>56.072727272727271</v>
          </cell>
          <cell r="G20">
            <v>56.154545454545449</v>
          </cell>
          <cell r="H20">
            <v>56.236363636363627</v>
          </cell>
          <cell r="I20">
            <v>56.427272727272722</v>
          </cell>
          <cell r="J20">
            <v>56.536363636363639</v>
          </cell>
          <cell r="K20">
            <v>56.672727272727272</v>
          </cell>
          <cell r="L20">
            <v>56.7</v>
          </cell>
          <cell r="M20">
            <v>56.732694545454542</v>
          </cell>
          <cell r="N20">
            <v>55.718181818181819</v>
          </cell>
          <cell r="O20">
            <v>55.49945454545454</v>
          </cell>
          <cell r="P20">
            <v>55.49945454545454</v>
          </cell>
          <cell r="Q20">
            <v>55.49945454545454</v>
          </cell>
          <cell r="R20">
            <v>55.49945454545454</v>
          </cell>
          <cell r="S20">
            <v>55.49945454545454</v>
          </cell>
          <cell r="T20">
            <v>55.49945454545454</v>
          </cell>
          <cell r="U20">
            <v>55.49945454545454</v>
          </cell>
        </row>
        <row r="21">
          <cell r="E21" t="str">
            <v>IN Electric Power Coal CC</v>
          </cell>
          <cell r="F21">
            <v>56.018181818181816</v>
          </cell>
          <cell r="G21">
            <v>56.072727272727271</v>
          </cell>
          <cell r="H21">
            <v>56.072727272727271</v>
          </cell>
          <cell r="I21">
            <v>56.127272727272725</v>
          </cell>
          <cell r="J21">
            <v>56.18181818181818</v>
          </cell>
          <cell r="K21">
            <v>56.318181818181813</v>
          </cell>
          <cell r="L21">
            <v>56.318181818181813</v>
          </cell>
          <cell r="M21">
            <v>56.256275454545452</v>
          </cell>
          <cell r="N21">
            <v>55.390909090909084</v>
          </cell>
          <cell r="O21">
            <v>55.168909090909089</v>
          </cell>
          <cell r="P21">
            <v>55.168909090909089</v>
          </cell>
          <cell r="Q21">
            <v>55.168909090909089</v>
          </cell>
          <cell r="R21">
            <v>55.168909090909089</v>
          </cell>
          <cell r="S21">
            <v>55.168909090909089</v>
          </cell>
          <cell r="T21">
            <v>55.168909090909089</v>
          </cell>
          <cell r="U21">
            <v>55.168909090909089</v>
          </cell>
        </row>
        <row r="22">
          <cell r="E22" t="str">
            <v>KS Electric Power Coal CC</v>
          </cell>
          <cell r="F22">
            <v>57.463636363636354</v>
          </cell>
          <cell r="G22">
            <v>57.43636363636363</v>
          </cell>
          <cell r="H22">
            <v>57.518181818181816</v>
          </cell>
          <cell r="I22">
            <v>57.790909090909089</v>
          </cell>
          <cell r="J22">
            <v>57.654545454545449</v>
          </cell>
          <cell r="K22">
            <v>57.68181818181818</v>
          </cell>
          <cell r="L22">
            <v>57.572727272727263</v>
          </cell>
          <cell r="M22">
            <v>57.656702727272716</v>
          </cell>
          <cell r="N22">
            <v>55.881818181818183</v>
          </cell>
          <cell r="O22">
            <v>55.715999999999994</v>
          </cell>
          <cell r="P22">
            <v>55.715999999999994</v>
          </cell>
          <cell r="Q22">
            <v>55.715999999999994</v>
          </cell>
          <cell r="R22">
            <v>55.715999999999994</v>
          </cell>
          <cell r="S22">
            <v>55.715999999999994</v>
          </cell>
          <cell r="T22">
            <v>55.715999999999994</v>
          </cell>
          <cell r="U22">
            <v>55.715999999999994</v>
          </cell>
        </row>
        <row r="23">
          <cell r="E23" t="str">
            <v>KY Electric Power Coal CC</v>
          </cell>
          <cell r="F23">
            <v>55.663636363636357</v>
          </cell>
          <cell r="G23">
            <v>55.718181818181819</v>
          </cell>
          <cell r="H23">
            <v>55.663636363636357</v>
          </cell>
          <cell r="I23">
            <v>55.718181818181819</v>
          </cell>
          <cell r="J23">
            <v>55.718181818181819</v>
          </cell>
          <cell r="K23">
            <v>55.718181818181819</v>
          </cell>
          <cell r="L23">
            <v>55.772727272727266</v>
          </cell>
          <cell r="M23">
            <v>55.789895454545452</v>
          </cell>
          <cell r="N23">
            <v>55.418181818181814</v>
          </cell>
          <cell r="O23">
            <v>55.335272727272717</v>
          </cell>
          <cell r="P23">
            <v>55.335272727272717</v>
          </cell>
          <cell r="Q23">
            <v>55.335272727272717</v>
          </cell>
          <cell r="R23">
            <v>55.335272727272717</v>
          </cell>
          <cell r="S23">
            <v>55.335272727272717</v>
          </cell>
          <cell r="T23">
            <v>55.335272727272717</v>
          </cell>
          <cell r="U23">
            <v>55.335272727272717</v>
          </cell>
        </row>
        <row r="24">
          <cell r="E24" t="str">
            <v>LA Electric Power Coal CC</v>
          </cell>
          <cell r="F24">
            <v>58.009090909090901</v>
          </cell>
          <cell r="G24">
            <v>58.036363636363632</v>
          </cell>
          <cell r="H24">
            <v>58.063636363636363</v>
          </cell>
          <cell r="I24">
            <v>58.063636363636363</v>
          </cell>
          <cell r="J24">
            <v>58.063636363636363</v>
          </cell>
          <cell r="K24">
            <v>58.063636363636363</v>
          </cell>
          <cell r="L24">
            <v>58.063636363636363</v>
          </cell>
          <cell r="M24">
            <v>58.064113636363629</v>
          </cell>
          <cell r="N24">
            <v>56.236363636363627</v>
          </cell>
          <cell r="O24">
            <v>56.478545454545447</v>
          </cell>
          <cell r="P24">
            <v>56.478545454545447</v>
          </cell>
          <cell r="Q24">
            <v>56.478545454545447</v>
          </cell>
          <cell r="R24">
            <v>56.478545454545447</v>
          </cell>
          <cell r="S24">
            <v>56.478545454545447</v>
          </cell>
          <cell r="T24">
            <v>56.478545454545447</v>
          </cell>
          <cell r="U24">
            <v>56.478545454545447</v>
          </cell>
        </row>
        <row r="25">
          <cell r="E25" t="str">
            <v>MA Electric Power Coal CC</v>
          </cell>
          <cell r="F25">
            <v>56.318181818181813</v>
          </cell>
          <cell r="G25">
            <v>56.372727272727268</v>
          </cell>
          <cell r="H25">
            <v>56.4</v>
          </cell>
          <cell r="I25">
            <v>56.4</v>
          </cell>
          <cell r="J25">
            <v>56.372727272727268</v>
          </cell>
          <cell r="K25">
            <v>56.345454545454537</v>
          </cell>
          <cell r="L25">
            <v>56.345454545454537</v>
          </cell>
          <cell r="M25">
            <v>56.299821818181819</v>
          </cell>
          <cell r="N25">
            <v>55.390909090909084</v>
          </cell>
          <cell r="O25">
            <v>55.390909090909084</v>
          </cell>
          <cell r="P25">
            <v>55.390909090909084</v>
          </cell>
          <cell r="Q25">
            <v>55.390909090909084</v>
          </cell>
          <cell r="R25">
            <v>55.390909090909084</v>
          </cell>
          <cell r="S25">
            <v>55.390909090909084</v>
          </cell>
          <cell r="T25">
            <v>55.390909090909084</v>
          </cell>
          <cell r="U25">
            <v>55.390909090909084</v>
          </cell>
        </row>
        <row r="26">
          <cell r="E26" t="str">
            <v>MD Electric Power Coal CC</v>
          </cell>
          <cell r="F26">
            <v>56.509090909090901</v>
          </cell>
          <cell r="G26">
            <v>56.509090909090901</v>
          </cell>
          <cell r="H26">
            <v>56.454545454545453</v>
          </cell>
          <cell r="I26">
            <v>56.4</v>
          </cell>
          <cell r="J26">
            <v>56.454545454545453</v>
          </cell>
          <cell r="K26">
            <v>56.454545454545453</v>
          </cell>
          <cell r="L26">
            <v>56.454545454545453</v>
          </cell>
          <cell r="M26">
            <v>56.440930909090909</v>
          </cell>
          <cell r="N26">
            <v>55.390909090909084</v>
          </cell>
          <cell r="O26">
            <v>55.80081818181818</v>
          </cell>
          <cell r="P26">
            <v>55.80081818181818</v>
          </cell>
          <cell r="Q26">
            <v>55.80081818181818</v>
          </cell>
          <cell r="R26">
            <v>55.80081818181818</v>
          </cell>
          <cell r="S26">
            <v>55.80081818181818</v>
          </cell>
          <cell r="T26">
            <v>55.80081818181818</v>
          </cell>
          <cell r="U26">
            <v>55.80081818181818</v>
          </cell>
        </row>
        <row r="27">
          <cell r="E27" t="str">
            <v>ME Electric Power Coal CC</v>
          </cell>
          <cell r="F27">
            <v>56.820606060606053</v>
          </cell>
          <cell r="G27">
            <v>56.86484848484848</v>
          </cell>
          <cell r="H27">
            <v>56.876363636363621</v>
          </cell>
          <cell r="I27">
            <v>56.9181818181818</v>
          </cell>
          <cell r="J27">
            <v>56.917134848484835</v>
          </cell>
          <cell r="K27">
            <v>56.953939393939393</v>
          </cell>
          <cell r="L27">
            <v>56.943030303030284</v>
          </cell>
          <cell r="M27">
            <v>56.948631515151547</v>
          </cell>
          <cell r="N27">
            <v>55.789090909090909</v>
          </cell>
          <cell r="O27">
            <v>55.837883892255896</v>
          </cell>
          <cell r="P27">
            <v>55.837883892255896</v>
          </cell>
          <cell r="Q27">
            <v>55.837883892255896</v>
          </cell>
          <cell r="R27">
            <v>55.837883892255896</v>
          </cell>
          <cell r="S27">
            <v>55.837883892255896</v>
          </cell>
          <cell r="T27">
            <v>55.837883892255896</v>
          </cell>
          <cell r="U27">
            <v>55.837883892255896</v>
          </cell>
        </row>
        <row r="28">
          <cell r="E28" t="str">
            <v>MI Electric Power Coal CC</v>
          </cell>
          <cell r="F28">
            <v>56.918181818181807</v>
          </cell>
          <cell r="G28">
            <v>56.972727272727269</v>
          </cell>
          <cell r="H28">
            <v>56.972727272727269</v>
          </cell>
          <cell r="I28">
            <v>57.027272727272724</v>
          </cell>
          <cell r="J28">
            <v>57</v>
          </cell>
          <cell r="K28">
            <v>57.109090909090909</v>
          </cell>
          <cell r="L28">
            <v>57.218181818181819</v>
          </cell>
          <cell r="M28">
            <v>57.161498181818182</v>
          </cell>
          <cell r="N28">
            <v>55.5</v>
          </cell>
          <cell r="O28">
            <v>55.658999999999999</v>
          </cell>
          <cell r="P28">
            <v>55.658999999999999</v>
          </cell>
          <cell r="Q28">
            <v>55.658999999999999</v>
          </cell>
          <cell r="R28">
            <v>55.658999999999999</v>
          </cell>
          <cell r="S28">
            <v>55.658999999999999</v>
          </cell>
          <cell r="T28">
            <v>55.658999999999999</v>
          </cell>
          <cell r="U28">
            <v>55.658999999999999</v>
          </cell>
        </row>
        <row r="29">
          <cell r="E29" t="str">
            <v>MN Electric Power Coal CC</v>
          </cell>
          <cell r="F29">
            <v>58.090909090909086</v>
          </cell>
          <cell r="G29">
            <v>58.090909090909086</v>
          </cell>
          <cell r="H29">
            <v>58.090909090909086</v>
          </cell>
          <cell r="I29">
            <v>58.090909090909086</v>
          </cell>
          <cell r="J29">
            <v>58.090909090909086</v>
          </cell>
          <cell r="K29">
            <v>58.090909090909086</v>
          </cell>
          <cell r="L29">
            <v>58.090909090909086</v>
          </cell>
          <cell r="M29">
            <v>58.095711818181812</v>
          </cell>
          <cell r="N29">
            <v>56.209090909090904</v>
          </cell>
          <cell r="O29">
            <v>56.176363636363632</v>
          </cell>
          <cell r="P29">
            <v>56.176363636363632</v>
          </cell>
          <cell r="Q29">
            <v>56.176363636363632</v>
          </cell>
          <cell r="R29">
            <v>56.176363636363632</v>
          </cell>
          <cell r="S29">
            <v>56.176363636363632</v>
          </cell>
          <cell r="T29">
            <v>56.176363636363632</v>
          </cell>
          <cell r="U29">
            <v>56.176363636363632</v>
          </cell>
        </row>
        <row r="30">
          <cell r="E30" t="str">
            <v>MO Electric Power Coal CC</v>
          </cell>
          <cell r="F30">
            <v>56.1</v>
          </cell>
          <cell r="G30">
            <v>56.236363636363627</v>
          </cell>
          <cell r="H30">
            <v>56.236363636363627</v>
          </cell>
          <cell r="I30">
            <v>56.836363636363636</v>
          </cell>
          <cell r="J30">
            <v>56.918181818181807</v>
          </cell>
          <cell r="K30">
            <v>57.43636363636363</v>
          </cell>
          <cell r="L30">
            <v>57.572727272727263</v>
          </cell>
          <cell r="M30">
            <v>57.683727272727268</v>
          </cell>
          <cell r="N30">
            <v>55.854545454545452</v>
          </cell>
          <cell r="O30">
            <v>55.816090909090903</v>
          </cell>
          <cell r="P30">
            <v>55.816090909090903</v>
          </cell>
          <cell r="Q30">
            <v>55.816090909090903</v>
          </cell>
          <cell r="R30">
            <v>55.816090909090903</v>
          </cell>
          <cell r="S30">
            <v>55.816090909090903</v>
          </cell>
          <cell r="T30">
            <v>55.816090909090903</v>
          </cell>
          <cell r="U30">
            <v>55.816090909090903</v>
          </cell>
        </row>
        <row r="31">
          <cell r="E31" t="str">
            <v>MS Electric Power Coal CC</v>
          </cell>
          <cell r="F31">
            <v>55.690909090909081</v>
          </cell>
          <cell r="G31">
            <v>55.772727272727266</v>
          </cell>
          <cell r="H31">
            <v>55.772727272727266</v>
          </cell>
          <cell r="I31">
            <v>55.854545454545452</v>
          </cell>
          <cell r="J31">
            <v>56.427272727272722</v>
          </cell>
          <cell r="K31">
            <v>56.427272727272722</v>
          </cell>
          <cell r="L31">
            <v>56.536363636363639</v>
          </cell>
          <cell r="M31">
            <v>56.984154545454544</v>
          </cell>
          <cell r="N31">
            <v>55.718181818181819</v>
          </cell>
          <cell r="O31">
            <v>55.338272727272724</v>
          </cell>
          <cell r="P31">
            <v>55.338272727272724</v>
          </cell>
          <cell r="Q31">
            <v>55.338272727272724</v>
          </cell>
          <cell r="R31">
            <v>55.338272727272724</v>
          </cell>
          <cell r="S31">
            <v>55.338272727272724</v>
          </cell>
          <cell r="T31">
            <v>55.338272727272724</v>
          </cell>
          <cell r="U31">
            <v>55.338272727272724</v>
          </cell>
        </row>
        <row r="32">
          <cell r="E32" t="str">
            <v>MT Electric Power Coal CC</v>
          </cell>
          <cell r="F32">
            <v>58.22727272727272</v>
          </cell>
          <cell r="G32">
            <v>58.22727272727272</v>
          </cell>
          <cell r="H32">
            <v>58.22727272727272</v>
          </cell>
          <cell r="I32">
            <v>58.25454545454545</v>
          </cell>
          <cell r="J32">
            <v>58.22727272727272</v>
          </cell>
          <cell r="K32">
            <v>58.25454545454545</v>
          </cell>
          <cell r="L32">
            <v>58.22727272727272</v>
          </cell>
          <cell r="M32">
            <v>58.221248181818183</v>
          </cell>
          <cell r="N32">
            <v>56.263636363636365</v>
          </cell>
          <cell r="O32">
            <v>56.270181818181818</v>
          </cell>
          <cell r="P32">
            <v>56.270181818181818</v>
          </cell>
          <cell r="Q32">
            <v>56.270181818181818</v>
          </cell>
          <cell r="R32">
            <v>56.270181818181818</v>
          </cell>
          <cell r="S32">
            <v>56.270181818181818</v>
          </cell>
          <cell r="T32">
            <v>56.270181818181818</v>
          </cell>
          <cell r="U32">
            <v>56.270181818181818</v>
          </cell>
        </row>
        <row r="33">
          <cell r="E33" t="str">
            <v>NC Electric Power Coal CC</v>
          </cell>
          <cell r="F33">
            <v>56.127272727272725</v>
          </cell>
          <cell r="G33">
            <v>56.127272727272725</v>
          </cell>
          <cell r="H33">
            <v>56.127272727272725</v>
          </cell>
          <cell r="I33">
            <v>56.127272727272725</v>
          </cell>
          <cell r="J33">
            <v>56.127272727272725</v>
          </cell>
          <cell r="K33">
            <v>56.127272727272725</v>
          </cell>
          <cell r="L33">
            <v>56.1</v>
          </cell>
          <cell r="M33">
            <v>56.111579999999996</v>
          </cell>
          <cell r="N33">
            <v>55.390909090909084</v>
          </cell>
          <cell r="O33">
            <v>55.514181818181811</v>
          </cell>
          <cell r="P33">
            <v>55.514181818181811</v>
          </cell>
          <cell r="Q33">
            <v>55.514181818181811</v>
          </cell>
          <cell r="R33">
            <v>55.514181818181811</v>
          </cell>
          <cell r="S33">
            <v>55.514181818181811</v>
          </cell>
          <cell r="T33">
            <v>55.514181818181811</v>
          </cell>
          <cell r="U33">
            <v>55.514181818181811</v>
          </cell>
        </row>
        <row r="34">
          <cell r="E34" t="str">
            <v>ND Electric Power Coal CC</v>
          </cell>
          <cell r="F34">
            <v>58.609090909090909</v>
          </cell>
          <cell r="G34">
            <v>59.672727272727272</v>
          </cell>
          <cell r="H34">
            <v>59.672727272727272</v>
          </cell>
          <cell r="I34">
            <v>59.672727272727272</v>
          </cell>
          <cell r="J34">
            <v>59.672727272727272</v>
          </cell>
          <cell r="K34">
            <v>59.672727272727272</v>
          </cell>
          <cell r="L34">
            <v>59.645454545454541</v>
          </cell>
          <cell r="M34">
            <v>59.650810909090907</v>
          </cell>
          <cell r="N34">
            <v>58.11818181818181</v>
          </cell>
          <cell r="O34">
            <v>59.065090909090905</v>
          </cell>
          <cell r="P34">
            <v>59.065090909090905</v>
          </cell>
          <cell r="Q34">
            <v>59.065090909090905</v>
          </cell>
          <cell r="R34">
            <v>59.065090909090905</v>
          </cell>
          <cell r="S34">
            <v>59.065090909090905</v>
          </cell>
          <cell r="T34">
            <v>59.065090909090905</v>
          </cell>
          <cell r="U34">
            <v>59.065090909090905</v>
          </cell>
        </row>
        <row r="35">
          <cell r="E35" t="str">
            <v>NE Electric Power Coal CC</v>
          </cell>
          <cell r="F35">
            <v>58.009090909090901</v>
          </cell>
          <cell r="G35">
            <v>58.009090909090901</v>
          </cell>
          <cell r="H35">
            <v>58.009090909090901</v>
          </cell>
          <cell r="I35">
            <v>58.009090909090901</v>
          </cell>
          <cell r="J35">
            <v>57.981818181818177</v>
          </cell>
          <cell r="K35">
            <v>58.009090909090901</v>
          </cell>
          <cell r="L35">
            <v>58.009090909090901</v>
          </cell>
          <cell r="M35">
            <v>58.005741818181818</v>
          </cell>
          <cell r="N35">
            <v>56.127272727272725</v>
          </cell>
          <cell r="O35">
            <v>56.177454545454545</v>
          </cell>
          <cell r="P35">
            <v>56.177454545454545</v>
          </cell>
          <cell r="Q35">
            <v>56.177454545454545</v>
          </cell>
          <cell r="R35">
            <v>56.177454545454545</v>
          </cell>
          <cell r="S35">
            <v>56.177454545454545</v>
          </cell>
          <cell r="T35">
            <v>56.177454545454545</v>
          </cell>
          <cell r="U35">
            <v>56.177454545454545</v>
          </cell>
        </row>
        <row r="36">
          <cell r="E36" t="str">
            <v>NH Electric Power Coal CC</v>
          </cell>
          <cell r="F36">
            <v>56.372727272727268</v>
          </cell>
          <cell r="G36">
            <v>56.236363636363627</v>
          </cell>
          <cell r="H36">
            <v>56.263636363636365</v>
          </cell>
          <cell r="I36">
            <v>56.263636363636365</v>
          </cell>
          <cell r="J36">
            <v>56.209090909090904</v>
          </cell>
          <cell r="K36">
            <v>56.209090909090904</v>
          </cell>
          <cell r="L36">
            <v>56.236363636363627</v>
          </cell>
          <cell r="M36">
            <v>56.235823636363634</v>
          </cell>
          <cell r="N36">
            <v>55.390909090909084</v>
          </cell>
          <cell r="O36">
            <v>55.580181818181821</v>
          </cell>
          <cell r="P36">
            <v>55.580181818181821</v>
          </cell>
          <cell r="Q36">
            <v>55.580181818181821</v>
          </cell>
          <cell r="R36">
            <v>55.580181818181821</v>
          </cell>
          <cell r="S36">
            <v>55.580181818181821</v>
          </cell>
          <cell r="T36">
            <v>55.580181818181821</v>
          </cell>
          <cell r="U36">
            <v>55.580181818181821</v>
          </cell>
        </row>
        <row r="37">
          <cell r="E37" t="str">
            <v>NJ Electric Power Coal CC</v>
          </cell>
          <cell r="F37">
            <v>56.372727272727268</v>
          </cell>
          <cell r="G37">
            <v>56.372727272727268</v>
          </cell>
          <cell r="H37">
            <v>56.345454545454537</v>
          </cell>
          <cell r="I37">
            <v>56.372727272727268</v>
          </cell>
          <cell r="J37">
            <v>56.318181818181813</v>
          </cell>
          <cell r="K37">
            <v>56.290909090909089</v>
          </cell>
          <cell r="L37">
            <v>56.372727272727268</v>
          </cell>
          <cell r="M37">
            <v>56.345918181818178</v>
          </cell>
          <cell r="N37">
            <v>55.390909090909084</v>
          </cell>
          <cell r="O37">
            <v>55.795363636363632</v>
          </cell>
          <cell r="P37">
            <v>55.795363636363632</v>
          </cell>
          <cell r="Q37">
            <v>55.795363636363632</v>
          </cell>
          <cell r="R37">
            <v>55.795363636363632</v>
          </cell>
          <cell r="S37">
            <v>55.795363636363632</v>
          </cell>
          <cell r="T37">
            <v>55.795363636363632</v>
          </cell>
          <cell r="U37">
            <v>55.795363636363632</v>
          </cell>
        </row>
        <row r="38">
          <cell r="E38" t="str">
            <v>NM Electric Power Coal CC</v>
          </cell>
          <cell r="F38">
            <v>56.154545454545449</v>
          </cell>
          <cell r="G38">
            <v>56.1</v>
          </cell>
          <cell r="H38">
            <v>56.1</v>
          </cell>
          <cell r="I38">
            <v>56.1</v>
          </cell>
          <cell r="J38">
            <v>56.1</v>
          </cell>
          <cell r="K38">
            <v>56.1</v>
          </cell>
          <cell r="L38">
            <v>56.1</v>
          </cell>
          <cell r="M38">
            <v>56.103818181818177</v>
          </cell>
          <cell r="N38">
            <v>56.209090909090904</v>
          </cell>
          <cell r="O38">
            <v>56.213999999999992</v>
          </cell>
          <cell r="P38">
            <v>56.213999999999992</v>
          </cell>
          <cell r="Q38">
            <v>56.213999999999992</v>
          </cell>
          <cell r="R38">
            <v>56.213999999999992</v>
          </cell>
          <cell r="S38">
            <v>56.213999999999992</v>
          </cell>
          <cell r="T38">
            <v>56.213999999999992</v>
          </cell>
          <cell r="U38">
            <v>56.213999999999992</v>
          </cell>
        </row>
        <row r="39">
          <cell r="E39" t="str">
            <v>NV Electric Power Coal CC</v>
          </cell>
          <cell r="F39">
            <v>56.645454545454541</v>
          </cell>
          <cell r="G39">
            <v>56.72727272727272</v>
          </cell>
          <cell r="H39">
            <v>56.836363636363636</v>
          </cell>
          <cell r="I39">
            <v>56.836363636363636</v>
          </cell>
          <cell r="J39">
            <v>56.836363636363636</v>
          </cell>
          <cell r="K39">
            <v>56.75454545454545</v>
          </cell>
          <cell r="L39">
            <v>56.645454545454541</v>
          </cell>
          <cell r="M39">
            <v>56.626778181818175</v>
          </cell>
          <cell r="N39">
            <v>55.390909090909084</v>
          </cell>
          <cell r="O39">
            <v>55.951090909090901</v>
          </cell>
          <cell r="P39">
            <v>55.951090909090901</v>
          </cell>
          <cell r="Q39">
            <v>55.951090909090901</v>
          </cell>
          <cell r="R39">
            <v>55.951090909090901</v>
          </cell>
          <cell r="S39">
            <v>55.951090909090901</v>
          </cell>
          <cell r="T39">
            <v>55.951090909090901</v>
          </cell>
          <cell r="U39">
            <v>55.951090909090901</v>
          </cell>
        </row>
        <row r="40">
          <cell r="E40" t="str">
            <v>NY Electric Power Coal CC</v>
          </cell>
          <cell r="F40">
            <v>56.263636363636365</v>
          </cell>
          <cell r="G40">
            <v>56.236363636363627</v>
          </cell>
          <cell r="H40">
            <v>56.209090909090904</v>
          </cell>
          <cell r="I40">
            <v>56.18181818181818</v>
          </cell>
          <cell r="J40">
            <v>56.18181818181818</v>
          </cell>
          <cell r="K40">
            <v>56.263636363636365</v>
          </cell>
          <cell r="L40">
            <v>56.236363636363627</v>
          </cell>
          <cell r="M40">
            <v>56.28455454545454</v>
          </cell>
          <cell r="N40">
            <v>55.390909090909084</v>
          </cell>
          <cell r="O40">
            <v>55.603090909090902</v>
          </cell>
          <cell r="P40">
            <v>55.603090909090902</v>
          </cell>
          <cell r="Q40">
            <v>55.603090909090902</v>
          </cell>
          <cell r="R40">
            <v>55.603090909090902</v>
          </cell>
          <cell r="S40">
            <v>55.603090909090902</v>
          </cell>
          <cell r="T40">
            <v>55.603090909090902</v>
          </cell>
          <cell r="U40">
            <v>55.603090909090902</v>
          </cell>
        </row>
        <row r="41">
          <cell r="E41" t="str">
            <v>OH Electric Power Coal CC</v>
          </cell>
          <cell r="F41">
            <v>55.772727272727266</v>
          </cell>
          <cell r="G41">
            <v>55.745454545454542</v>
          </cell>
          <cell r="H41">
            <v>55.745454545454542</v>
          </cell>
          <cell r="I41">
            <v>55.772727272727266</v>
          </cell>
          <cell r="J41">
            <v>55.8</v>
          </cell>
          <cell r="K41">
            <v>55.909090909090907</v>
          </cell>
          <cell r="L41">
            <v>55.909090909090907</v>
          </cell>
          <cell r="M41">
            <v>55.908469090909087</v>
          </cell>
          <cell r="N41">
            <v>55.390909090909084</v>
          </cell>
          <cell r="O41">
            <v>55.327090909090906</v>
          </cell>
          <cell r="P41">
            <v>55.327090909090906</v>
          </cell>
          <cell r="Q41">
            <v>55.327090909090906</v>
          </cell>
          <cell r="R41">
            <v>55.327090909090906</v>
          </cell>
          <cell r="S41">
            <v>55.327090909090906</v>
          </cell>
          <cell r="T41">
            <v>55.327090909090906</v>
          </cell>
          <cell r="U41">
            <v>55.327090909090906</v>
          </cell>
        </row>
        <row r="42">
          <cell r="E42" t="str">
            <v>OK Electric Power Coal CC</v>
          </cell>
          <cell r="F42">
            <v>57.845454545454537</v>
          </cell>
          <cell r="G42">
            <v>57.927272727272722</v>
          </cell>
          <cell r="H42">
            <v>57.981818181818177</v>
          </cell>
          <cell r="I42">
            <v>58.009090909090901</v>
          </cell>
          <cell r="J42">
            <v>57.981818181818177</v>
          </cell>
          <cell r="K42">
            <v>57.981818181818177</v>
          </cell>
          <cell r="L42">
            <v>58.009090909090901</v>
          </cell>
          <cell r="M42">
            <v>57.998738181818176</v>
          </cell>
          <cell r="N42">
            <v>56.04545454545454</v>
          </cell>
          <cell r="O42">
            <v>56.083363636363636</v>
          </cell>
          <cell r="P42">
            <v>56.083363636363636</v>
          </cell>
          <cell r="Q42">
            <v>56.083363636363636</v>
          </cell>
          <cell r="R42">
            <v>56.083363636363636</v>
          </cell>
          <cell r="S42">
            <v>56.083363636363636</v>
          </cell>
          <cell r="T42">
            <v>56.083363636363636</v>
          </cell>
          <cell r="U42">
            <v>56.083363636363636</v>
          </cell>
        </row>
        <row r="43">
          <cell r="E43" t="str">
            <v>OR Electric Power Coal CC</v>
          </cell>
          <cell r="F43">
            <v>58.009090909090901</v>
          </cell>
          <cell r="G43">
            <v>58.009090909090901</v>
          </cell>
          <cell r="H43">
            <v>58.063636363636363</v>
          </cell>
          <cell r="I43">
            <v>57.927272727272722</v>
          </cell>
          <cell r="J43">
            <v>57.872727272727268</v>
          </cell>
          <cell r="K43">
            <v>58.009090909090901</v>
          </cell>
          <cell r="L43">
            <v>58.009090909090901</v>
          </cell>
          <cell r="M43">
            <v>58.012636363636361</v>
          </cell>
          <cell r="N43">
            <v>56.209090909090904</v>
          </cell>
          <cell r="O43">
            <v>55.128272727272723</v>
          </cell>
          <cell r="P43">
            <v>55.128272727272723</v>
          </cell>
          <cell r="Q43">
            <v>55.128272727272723</v>
          </cell>
          <cell r="R43">
            <v>55.128272727272723</v>
          </cell>
          <cell r="S43">
            <v>55.128272727272723</v>
          </cell>
          <cell r="T43">
            <v>55.128272727272723</v>
          </cell>
          <cell r="U43">
            <v>55.128272727272723</v>
          </cell>
        </row>
        <row r="44">
          <cell r="E44" t="str">
            <v>PA Electric Power Coal CC</v>
          </cell>
          <cell r="F44">
            <v>56.236363636363627</v>
          </cell>
          <cell r="G44">
            <v>56.236363636363627</v>
          </cell>
          <cell r="H44">
            <v>56.236363636363627</v>
          </cell>
          <cell r="I44">
            <v>56.18181818181818</v>
          </cell>
          <cell r="J44">
            <v>56.18181818181818</v>
          </cell>
          <cell r="K44">
            <v>56.236363636363627</v>
          </cell>
          <cell r="L44">
            <v>56.236363636363627</v>
          </cell>
          <cell r="M44">
            <v>56.23102909090909</v>
          </cell>
          <cell r="N44">
            <v>55.390909090909084</v>
          </cell>
          <cell r="O44">
            <v>55.145999999999994</v>
          </cell>
          <cell r="P44">
            <v>55.145999999999994</v>
          </cell>
          <cell r="Q44">
            <v>55.145999999999994</v>
          </cell>
          <cell r="R44">
            <v>55.145999999999994</v>
          </cell>
          <cell r="S44">
            <v>55.145999999999994</v>
          </cell>
          <cell r="T44">
            <v>55.145999999999994</v>
          </cell>
          <cell r="U44">
            <v>55.145999999999994</v>
          </cell>
        </row>
        <row r="45">
          <cell r="E45" t="str">
            <v>RI Electric Power Coal CC</v>
          </cell>
          <cell r="F45">
            <v>56.820606060606053</v>
          </cell>
          <cell r="G45">
            <v>56.86484848484848</v>
          </cell>
          <cell r="H45">
            <v>56.876363636363621</v>
          </cell>
          <cell r="I45">
            <v>56.9181818181818</v>
          </cell>
          <cell r="J45">
            <v>56.917134848484835</v>
          </cell>
          <cell r="K45">
            <v>56.953939393939393</v>
          </cell>
          <cell r="L45">
            <v>56.943030303030284</v>
          </cell>
          <cell r="M45">
            <v>56.948631515151547</v>
          </cell>
          <cell r="N45">
            <v>55.789090909090909</v>
          </cell>
          <cell r="O45">
            <v>55.837883892255896</v>
          </cell>
          <cell r="P45">
            <v>55.837883892255896</v>
          </cell>
          <cell r="Q45">
            <v>55.837883892255896</v>
          </cell>
          <cell r="R45">
            <v>55.837883892255896</v>
          </cell>
          <cell r="S45">
            <v>55.837883892255896</v>
          </cell>
          <cell r="T45">
            <v>55.837883892255896</v>
          </cell>
          <cell r="U45">
            <v>55.837883892255896</v>
          </cell>
        </row>
        <row r="46">
          <cell r="E46" t="str">
            <v>SC Electric Power Coal CC</v>
          </cell>
          <cell r="F46">
            <v>55.909090909090907</v>
          </cell>
          <cell r="G46">
            <v>55.909090909090907</v>
          </cell>
          <cell r="H46">
            <v>55.909090909090907</v>
          </cell>
          <cell r="I46">
            <v>55.909090909090907</v>
          </cell>
          <cell r="J46">
            <v>55.909090909090907</v>
          </cell>
          <cell r="K46">
            <v>55.909090909090907</v>
          </cell>
          <cell r="L46">
            <v>55.909090909090907</v>
          </cell>
          <cell r="M46">
            <v>55.898939999999996</v>
          </cell>
          <cell r="N46">
            <v>55.418181818181814</v>
          </cell>
          <cell r="O46">
            <v>55.175454545454542</v>
          </cell>
          <cell r="P46">
            <v>55.175454545454542</v>
          </cell>
          <cell r="Q46">
            <v>55.175454545454542</v>
          </cell>
          <cell r="R46">
            <v>55.175454545454542</v>
          </cell>
          <cell r="S46">
            <v>55.175454545454542</v>
          </cell>
          <cell r="T46">
            <v>55.175454545454542</v>
          </cell>
          <cell r="U46">
            <v>55.175454545454542</v>
          </cell>
        </row>
        <row r="47">
          <cell r="E47" t="str">
            <v>SD Electric Power Coal CC</v>
          </cell>
          <cell r="F47">
            <v>59.645454545454541</v>
          </cell>
          <cell r="G47">
            <v>59.672727272727272</v>
          </cell>
          <cell r="H47">
            <v>59.672727272727272</v>
          </cell>
          <cell r="I47">
            <v>59.672727272727272</v>
          </cell>
          <cell r="J47">
            <v>59.672727272727272</v>
          </cell>
          <cell r="K47">
            <v>59.154545454545449</v>
          </cell>
          <cell r="L47">
            <v>58.2</v>
          </cell>
          <cell r="M47">
            <v>58.205727272727266</v>
          </cell>
          <cell r="N47">
            <v>56.209090909090904</v>
          </cell>
          <cell r="O47">
            <v>56.213999999999992</v>
          </cell>
          <cell r="P47">
            <v>56.213999999999992</v>
          </cell>
          <cell r="Q47">
            <v>56.213999999999992</v>
          </cell>
          <cell r="R47">
            <v>56.213999999999992</v>
          </cell>
          <cell r="S47">
            <v>56.213999999999992</v>
          </cell>
          <cell r="T47">
            <v>56.213999999999992</v>
          </cell>
          <cell r="U47">
            <v>56.213999999999992</v>
          </cell>
        </row>
        <row r="48">
          <cell r="E48" t="str">
            <v>TN Electric Power Coal CC</v>
          </cell>
          <cell r="F48">
            <v>55.663636363636357</v>
          </cell>
          <cell r="G48">
            <v>55.636363636363633</v>
          </cell>
          <cell r="H48">
            <v>55.636363636363633</v>
          </cell>
          <cell r="I48">
            <v>55.718181818181819</v>
          </cell>
          <cell r="J48">
            <v>55.663636363636357</v>
          </cell>
          <cell r="K48">
            <v>55.636363636363633</v>
          </cell>
          <cell r="L48">
            <v>55.690909090909081</v>
          </cell>
          <cell r="M48">
            <v>55.823945454545452</v>
          </cell>
          <cell r="N48">
            <v>55.472727272727269</v>
          </cell>
          <cell r="O48">
            <v>55.222363636363632</v>
          </cell>
          <cell r="P48">
            <v>55.222363636363632</v>
          </cell>
          <cell r="Q48">
            <v>55.222363636363632</v>
          </cell>
          <cell r="R48">
            <v>55.222363636363632</v>
          </cell>
          <cell r="S48">
            <v>55.222363636363632</v>
          </cell>
          <cell r="T48">
            <v>55.222363636363632</v>
          </cell>
          <cell r="U48">
            <v>55.222363636363632</v>
          </cell>
        </row>
        <row r="49">
          <cell r="E49" t="str">
            <v>TX Electric Power Coal CC</v>
          </cell>
          <cell r="F49">
            <v>58.063636363636363</v>
          </cell>
          <cell r="G49">
            <v>58.063636363636363</v>
          </cell>
          <cell r="H49">
            <v>58.063636363636363</v>
          </cell>
          <cell r="I49">
            <v>58.063636363636363</v>
          </cell>
          <cell r="J49">
            <v>58.11818181818181</v>
          </cell>
          <cell r="K49">
            <v>58.036363636363632</v>
          </cell>
          <cell r="L49">
            <v>58.063636363636363</v>
          </cell>
          <cell r="M49">
            <v>58.077733636363632</v>
          </cell>
          <cell r="N49">
            <v>57.027272727272724</v>
          </cell>
          <cell r="O49">
            <v>56.822454545454541</v>
          </cell>
          <cell r="P49">
            <v>56.822454545454541</v>
          </cell>
          <cell r="Q49">
            <v>56.822454545454541</v>
          </cell>
          <cell r="R49">
            <v>56.822454545454541</v>
          </cell>
          <cell r="S49">
            <v>56.822454545454541</v>
          </cell>
          <cell r="T49">
            <v>56.822454545454541</v>
          </cell>
          <cell r="U49">
            <v>56.822454545454541</v>
          </cell>
        </row>
        <row r="50">
          <cell r="E50" t="str">
            <v>US Electric Power Coal CC</v>
          </cell>
          <cell r="F50">
            <v>56.61818181818181</v>
          </cell>
          <cell r="G50">
            <v>56.645454545454541</v>
          </cell>
          <cell r="H50">
            <v>56.645454545454541</v>
          </cell>
          <cell r="I50">
            <v>56.672727272727272</v>
          </cell>
          <cell r="J50">
            <v>56.7</v>
          </cell>
          <cell r="K50">
            <v>56.75454545454545</v>
          </cell>
          <cell r="L50">
            <v>56.75454545454545</v>
          </cell>
          <cell r="M50">
            <v>56.781818181818174</v>
          </cell>
          <cell r="N50">
            <v>55.745454545454542</v>
          </cell>
          <cell r="O50">
            <v>55.8</v>
          </cell>
          <cell r="P50">
            <v>55.8</v>
          </cell>
          <cell r="Q50">
            <v>55.8</v>
          </cell>
          <cell r="R50">
            <v>55.8</v>
          </cell>
          <cell r="S50">
            <v>55.8</v>
          </cell>
          <cell r="T50">
            <v>55.8</v>
          </cell>
          <cell r="U50">
            <v>55.8</v>
          </cell>
        </row>
        <row r="51">
          <cell r="E51" t="str">
            <v>UT Electric Power Coal CC</v>
          </cell>
          <cell r="F51">
            <v>55.718181818181819</v>
          </cell>
          <cell r="G51">
            <v>55.718181818181819</v>
          </cell>
          <cell r="H51">
            <v>55.718181818181819</v>
          </cell>
          <cell r="I51">
            <v>55.718181818181819</v>
          </cell>
          <cell r="J51">
            <v>55.718181818181819</v>
          </cell>
          <cell r="K51">
            <v>55.690909090909081</v>
          </cell>
          <cell r="L51">
            <v>55.718181818181819</v>
          </cell>
          <cell r="M51">
            <v>55.746362727272725</v>
          </cell>
          <cell r="N51">
            <v>55.390909090909084</v>
          </cell>
          <cell r="O51">
            <v>55.148181818181818</v>
          </cell>
          <cell r="P51">
            <v>55.148181818181818</v>
          </cell>
          <cell r="Q51">
            <v>55.148181818181818</v>
          </cell>
          <cell r="R51">
            <v>55.148181818181818</v>
          </cell>
          <cell r="S51">
            <v>55.148181818181818</v>
          </cell>
          <cell r="T51">
            <v>55.148181818181818</v>
          </cell>
          <cell r="U51">
            <v>55.148181818181818</v>
          </cell>
        </row>
        <row r="52">
          <cell r="E52" t="str">
            <v>VA Electric Power Coal CC</v>
          </cell>
          <cell r="F52">
            <v>56.18181818181818</v>
          </cell>
          <cell r="G52">
            <v>56.18181818181818</v>
          </cell>
          <cell r="H52">
            <v>56.18181818181818</v>
          </cell>
          <cell r="I52">
            <v>56.154545454545449</v>
          </cell>
          <cell r="J52">
            <v>56.154545454545449</v>
          </cell>
          <cell r="K52">
            <v>56.154545454545449</v>
          </cell>
          <cell r="L52">
            <v>56.18181818181818</v>
          </cell>
          <cell r="M52">
            <v>56.209183636363626</v>
          </cell>
          <cell r="N52">
            <v>55.390909090909084</v>
          </cell>
          <cell r="O52">
            <v>55.578818181818171</v>
          </cell>
          <cell r="P52">
            <v>55.578818181818171</v>
          </cell>
          <cell r="Q52">
            <v>55.578818181818171</v>
          </cell>
          <cell r="R52">
            <v>55.578818181818171</v>
          </cell>
          <cell r="S52">
            <v>55.578818181818171</v>
          </cell>
          <cell r="T52">
            <v>55.578818181818171</v>
          </cell>
          <cell r="U52">
            <v>55.578818181818171</v>
          </cell>
        </row>
        <row r="53">
          <cell r="E53" t="str">
            <v>VT Electric Power Coal CC</v>
          </cell>
          <cell r="F53">
            <v>56.820606060606053</v>
          </cell>
          <cell r="G53">
            <v>56.86484848484848</v>
          </cell>
          <cell r="H53">
            <v>56.876363636363621</v>
          </cell>
          <cell r="I53">
            <v>56.9181818181818</v>
          </cell>
          <cell r="J53">
            <v>56.917134848484835</v>
          </cell>
          <cell r="K53">
            <v>56.953939393939393</v>
          </cell>
          <cell r="L53">
            <v>56.943030303030284</v>
          </cell>
          <cell r="M53">
            <v>56.948631515151547</v>
          </cell>
          <cell r="N53">
            <v>55.789090909090909</v>
          </cell>
          <cell r="O53">
            <v>55.837883892255896</v>
          </cell>
          <cell r="P53">
            <v>55.837883892255896</v>
          </cell>
          <cell r="Q53">
            <v>55.837883892255896</v>
          </cell>
          <cell r="R53">
            <v>55.837883892255896</v>
          </cell>
          <cell r="S53">
            <v>55.837883892255896</v>
          </cell>
          <cell r="T53">
            <v>55.837883892255896</v>
          </cell>
          <cell r="U53">
            <v>55.837883892255896</v>
          </cell>
        </row>
        <row r="54">
          <cell r="E54" t="str">
            <v>WA Electric Power Coal CC</v>
          </cell>
          <cell r="F54">
            <v>57</v>
          </cell>
          <cell r="G54">
            <v>56.918181818181807</v>
          </cell>
          <cell r="H54">
            <v>57.081818181818178</v>
          </cell>
          <cell r="I54">
            <v>57.109090909090909</v>
          </cell>
          <cell r="J54">
            <v>57.054545454545448</v>
          </cell>
          <cell r="K54">
            <v>57.054545454545448</v>
          </cell>
          <cell r="L54">
            <v>56.945454545454545</v>
          </cell>
          <cell r="M54">
            <v>57.026637272727264</v>
          </cell>
          <cell r="N54">
            <v>56.209090909090904</v>
          </cell>
          <cell r="O54">
            <v>56.213999999999992</v>
          </cell>
          <cell r="P54">
            <v>56.213999999999992</v>
          </cell>
          <cell r="Q54">
            <v>56.213999999999992</v>
          </cell>
          <cell r="R54">
            <v>56.213999999999992</v>
          </cell>
          <cell r="S54">
            <v>56.213999999999992</v>
          </cell>
          <cell r="T54">
            <v>56.213999999999992</v>
          </cell>
          <cell r="U54">
            <v>56.213999999999992</v>
          </cell>
        </row>
        <row r="55">
          <cell r="E55" t="str">
            <v>WI Electric Power Coal CC</v>
          </cell>
          <cell r="F55">
            <v>57.218181818181819</v>
          </cell>
          <cell r="G55">
            <v>57.190909090909081</v>
          </cell>
          <cell r="H55">
            <v>57.245454545454542</v>
          </cell>
          <cell r="I55">
            <v>57.463636363636354</v>
          </cell>
          <cell r="J55">
            <v>57.381818181818176</v>
          </cell>
          <cell r="K55">
            <v>57.490909090909092</v>
          </cell>
          <cell r="L55">
            <v>57.6</v>
          </cell>
          <cell r="M55">
            <v>57.529715454545453</v>
          </cell>
          <cell r="N55">
            <v>55.963636363636354</v>
          </cell>
          <cell r="O55">
            <v>56.030999999999999</v>
          </cell>
          <cell r="P55">
            <v>56.030999999999999</v>
          </cell>
          <cell r="Q55">
            <v>56.030999999999999</v>
          </cell>
          <cell r="R55">
            <v>56.030999999999999</v>
          </cell>
          <cell r="S55">
            <v>56.030999999999999</v>
          </cell>
          <cell r="T55">
            <v>56.030999999999999</v>
          </cell>
          <cell r="U55">
            <v>56.030999999999999</v>
          </cell>
        </row>
        <row r="56">
          <cell r="E56" t="str">
            <v>WV Electric Power Coal CC</v>
          </cell>
          <cell r="F56">
            <v>56.427272727272722</v>
          </cell>
          <cell r="G56">
            <v>56.481818181818177</v>
          </cell>
          <cell r="H56">
            <v>56.454545454545453</v>
          </cell>
          <cell r="I56">
            <v>56.481818181818177</v>
          </cell>
          <cell r="J56">
            <v>56.481818181818177</v>
          </cell>
          <cell r="K56">
            <v>56.481818181818177</v>
          </cell>
          <cell r="L56">
            <v>56.454545454545453</v>
          </cell>
          <cell r="M56">
            <v>56.46218727272727</v>
          </cell>
          <cell r="N56">
            <v>55.390909090909084</v>
          </cell>
          <cell r="O56">
            <v>55.891636363636358</v>
          </cell>
          <cell r="P56">
            <v>55.891636363636358</v>
          </cell>
          <cell r="Q56">
            <v>55.891636363636358</v>
          </cell>
          <cell r="R56">
            <v>55.891636363636358</v>
          </cell>
          <cell r="S56">
            <v>55.891636363636358</v>
          </cell>
          <cell r="T56">
            <v>55.891636363636358</v>
          </cell>
          <cell r="U56">
            <v>55.891636363636358</v>
          </cell>
        </row>
        <row r="57">
          <cell r="E57" t="str">
            <v>WY Electric Power Coal CC</v>
          </cell>
          <cell r="F57">
            <v>57.818181818181813</v>
          </cell>
          <cell r="G57">
            <v>57.818181818181813</v>
          </cell>
          <cell r="H57">
            <v>57.818181818181813</v>
          </cell>
          <cell r="I57">
            <v>57.818181818181813</v>
          </cell>
          <cell r="J57">
            <v>57.790909090909089</v>
          </cell>
          <cell r="K57">
            <v>57.790909090909089</v>
          </cell>
          <cell r="L57">
            <v>57.790909090909089</v>
          </cell>
          <cell r="M57">
            <v>57.796164545454545</v>
          </cell>
          <cell r="N57">
            <v>56.127272727272725</v>
          </cell>
          <cell r="O57">
            <v>56.162454545454544</v>
          </cell>
          <cell r="P57">
            <v>56.162454545454544</v>
          </cell>
          <cell r="Q57">
            <v>56.162454545454544</v>
          </cell>
          <cell r="R57">
            <v>56.162454545454544</v>
          </cell>
          <cell r="S57">
            <v>56.162454545454544</v>
          </cell>
          <cell r="T57">
            <v>56.162454545454544</v>
          </cell>
          <cell r="U57">
            <v>56.162454545454544</v>
          </cell>
        </row>
        <row r="58">
          <cell r="E58" t="str">
            <v>AL Res + Comm Coal CC</v>
          </cell>
          <cell r="F58">
            <v>56.18181818181818</v>
          </cell>
          <cell r="G58">
            <v>56.072727272727271</v>
          </cell>
          <cell r="H58">
            <v>56.04545454545454</v>
          </cell>
          <cell r="I58">
            <v>56.1</v>
          </cell>
          <cell r="J58">
            <v>56.1</v>
          </cell>
          <cell r="K58">
            <v>56.1</v>
          </cell>
          <cell r="L58">
            <v>56.04545454545454</v>
          </cell>
          <cell r="M58">
            <v>55.998670909090905</v>
          </cell>
          <cell r="N58">
            <v>56.034545454545452</v>
          </cell>
          <cell r="O58">
            <v>56.04545454545454</v>
          </cell>
          <cell r="P58">
            <v>56.04545454545454</v>
          </cell>
          <cell r="Q58">
            <v>56.04545454545454</v>
          </cell>
          <cell r="R58">
            <v>56.04545454545454</v>
          </cell>
          <cell r="S58">
            <v>56.04545454545454</v>
          </cell>
          <cell r="T58">
            <v>56.04545454545454</v>
          </cell>
          <cell r="U58">
            <v>56.04545454545454</v>
          </cell>
        </row>
        <row r="59">
          <cell r="E59" t="str">
            <v>AK Res + Comm Coal CC</v>
          </cell>
          <cell r="F59">
            <v>58.36363636363636</v>
          </cell>
          <cell r="G59">
            <v>58.36363636363636</v>
          </cell>
          <cell r="H59">
            <v>58.36363636363636</v>
          </cell>
          <cell r="I59">
            <v>58.36363636363636</v>
          </cell>
          <cell r="J59">
            <v>58.36363636363636</v>
          </cell>
          <cell r="K59">
            <v>58.36363636363636</v>
          </cell>
          <cell r="L59">
            <v>58.36363636363636</v>
          </cell>
          <cell r="M59">
            <v>58.36363636363636</v>
          </cell>
          <cell r="N59">
            <v>58.36363636363636</v>
          </cell>
          <cell r="O59">
            <v>58.36363636363636</v>
          </cell>
          <cell r="P59">
            <v>58.36363636363636</v>
          </cell>
          <cell r="Q59">
            <v>58.36363636363636</v>
          </cell>
          <cell r="R59">
            <v>58.36363636363636</v>
          </cell>
          <cell r="S59">
            <v>58.36363636363636</v>
          </cell>
          <cell r="T59">
            <v>58.36363636363636</v>
          </cell>
          <cell r="U59">
            <v>58.36363636363636</v>
          </cell>
        </row>
        <row r="60">
          <cell r="E60" t="str">
            <v>AR Res + Comm Coal CC</v>
          </cell>
          <cell r="F60">
            <v>56.154545454545449</v>
          </cell>
          <cell r="G60">
            <v>56.154545454545449</v>
          </cell>
          <cell r="H60">
            <v>60.627272727272725</v>
          </cell>
          <cell r="I60">
            <v>57.245454545454542</v>
          </cell>
          <cell r="J60">
            <v>56.509090909090901</v>
          </cell>
          <cell r="K60">
            <v>58.675210129870131</v>
          </cell>
          <cell r="L60">
            <v>58.675210129870131</v>
          </cell>
          <cell r="M60">
            <v>62.017379999999996</v>
          </cell>
          <cell r="N60">
            <v>58.675210129870131</v>
          </cell>
          <cell r="O60">
            <v>62.018181818181816</v>
          </cell>
          <cell r="P60">
            <v>62.018181818181816</v>
          </cell>
          <cell r="Q60">
            <v>62.018181818181816</v>
          </cell>
          <cell r="R60">
            <v>62.018181818181816</v>
          </cell>
          <cell r="S60">
            <v>62.018181818181816</v>
          </cell>
          <cell r="T60">
            <v>62.018181818181816</v>
          </cell>
          <cell r="U60">
            <v>62.018181818181816</v>
          </cell>
        </row>
        <row r="61">
          <cell r="E61" t="str">
            <v>AZ Res + Comm Coal CC</v>
          </cell>
          <cell r="F61">
            <v>56.809090909090905</v>
          </cell>
          <cell r="G61">
            <v>59.536363636363632</v>
          </cell>
          <cell r="H61">
            <v>56.890909090909084</v>
          </cell>
          <cell r="I61">
            <v>57.818181818181813</v>
          </cell>
          <cell r="J61">
            <v>62.018181818181816</v>
          </cell>
          <cell r="K61">
            <v>58.009090909090901</v>
          </cell>
          <cell r="L61">
            <v>56.427272727272722</v>
          </cell>
          <cell r="M61">
            <v>56.393391818181811</v>
          </cell>
          <cell r="N61">
            <v>57.332727272727269</v>
          </cell>
          <cell r="O61">
            <v>58.009090909090901</v>
          </cell>
          <cell r="P61">
            <v>58.009090909090901</v>
          </cell>
          <cell r="Q61">
            <v>58.009090909090901</v>
          </cell>
          <cell r="R61">
            <v>58.009090909090901</v>
          </cell>
          <cell r="S61">
            <v>58.009090909090901</v>
          </cell>
          <cell r="T61">
            <v>58.009090909090901</v>
          </cell>
          <cell r="U61">
            <v>58.009090909090901</v>
          </cell>
        </row>
        <row r="62">
          <cell r="E62" t="str">
            <v>CA Res + Comm Coal CC</v>
          </cell>
          <cell r="F62">
            <v>55.663636363636357</v>
          </cell>
          <cell r="G62">
            <v>55.690909090909081</v>
          </cell>
          <cell r="H62">
            <v>55.663636363636357</v>
          </cell>
          <cell r="I62">
            <v>55.663636363636357</v>
          </cell>
          <cell r="J62">
            <v>55.663636363636357</v>
          </cell>
          <cell r="K62">
            <v>55.663636363636357</v>
          </cell>
          <cell r="L62">
            <v>55.663636363636357</v>
          </cell>
          <cell r="M62">
            <v>55.659324545454545</v>
          </cell>
          <cell r="N62">
            <v>55.666363636363634</v>
          </cell>
          <cell r="O62">
            <v>55.663636363636357</v>
          </cell>
          <cell r="P62">
            <v>55.663636363636357</v>
          </cell>
          <cell r="Q62">
            <v>55.663636363636357</v>
          </cell>
          <cell r="R62">
            <v>55.663636363636357</v>
          </cell>
          <cell r="S62">
            <v>55.663636363636357</v>
          </cell>
          <cell r="T62">
            <v>55.663636363636357</v>
          </cell>
          <cell r="U62">
            <v>55.663636363636357</v>
          </cell>
        </row>
        <row r="63">
          <cell r="E63" t="str">
            <v>CO Res + Comm Coal CC</v>
          </cell>
          <cell r="F63">
            <v>57.927272727272722</v>
          </cell>
          <cell r="G63">
            <v>57.927272727272722</v>
          </cell>
          <cell r="H63">
            <v>57.54545454545454</v>
          </cell>
          <cell r="I63">
            <v>57.818181818181813</v>
          </cell>
          <cell r="J63">
            <v>57.6</v>
          </cell>
          <cell r="K63">
            <v>57.709090909090904</v>
          </cell>
          <cell r="L63">
            <v>57.763636363636365</v>
          </cell>
          <cell r="M63">
            <v>57.876354545454539</v>
          </cell>
          <cell r="N63">
            <v>57.54818181818181</v>
          </cell>
          <cell r="O63">
            <v>56.225454545454539</v>
          </cell>
          <cell r="P63">
            <v>56.225454545454539</v>
          </cell>
          <cell r="Q63">
            <v>56.225454545454539</v>
          </cell>
          <cell r="R63">
            <v>56.225454545454539</v>
          </cell>
          <cell r="S63">
            <v>56.225454545454539</v>
          </cell>
          <cell r="T63">
            <v>56.225454545454539</v>
          </cell>
          <cell r="U63">
            <v>56.225454545454539</v>
          </cell>
        </row>
        <row r="64">
          <cell r="E64" t="str">
            <v>CT Res + Comm Coal CC</v>
          </cell>
          <cell r="F64">
            <v>61.827272727272721</v>
          </cell>
          <cell r="G64">
            <v>61.990909090909092</v>
          </cell>
          <cell r="H64">
            <v>60.054545454545448</v>
          </cell>
          <cell r="I64">
            <v>61.881818181818176</v>
          </cell>
          <cell r="J64">
            <v>61.718181818181819</v>
          </cell>
          <cell r="K64">
            <v>57.790909090909089</v>
          </cell>
          <cell r="L64">
            <v>61.745454545454542</v>
          </cell>
          <cell r="M64">
            <v>61.787187272727266</v>
          </cell>
          <cell r="N64">
            <v>61.08</v>
          </cell>
          <cell r="O64">
            <v>61.892727272727271</v>
          </cell>
          <cell r="P64">
            <v>61.892727272727271</v>
          </cell>
          <cell r="Q64">
            <v>61.892727272727271</v>
          </cell>
          <cell r="R64">
            <v>61.892727272727271</v>
          </cell>
          <cell r="S64">
            <v>61.892727272727271</v>
          </cell>
          <cell r="T64">
            <v>61.892727272727271</v>
          </cell>
          <cell r="U64">
            <v>61.892727272727271</v>
          </cell>
        </row>
        <row r="65">
          <cell r="E65" t="str">
            <v>DC Res + Comm Coal CC</v>
          </cell>
          <cell r="F65">
            <v>56.290909090909089</v>
          </cell>
          <cell r="G65">
            <v>56.04545454545454</v>
          </cell>
          <cell r="H65">
            <v>56.263636363636365</v>
          </cell>
          <cell r="I65">
            <v>56.290909090909089</v>
          </cell>
          <cell r="J65">
            <v>56.318181818181813</v>
          </cell>
          <cell r="K65">
            <v>56.672727272727272</v>
          </cell>
          <cell r="L65">
            <v>56.509090909090901</v>
          </cell>
          <cell r="M65">
            <v>56.497767272727266</v>
          </cell>
          <cell r="N65">
            <v>56.569090909090903</v>
          </cell>
          <cell r="O65">
            <v>56.225454545454539</v>
          </cell>
          <cell r="P65">
            <v>56.225454545454539</v>
          </cell>
          <cell r="Q65">
            <v>56.225454545454539</v>
          </cell>
          <cell r="R65">
            <v>56.225454545454539</v>
          </cell>
          <cell r="S65">
            <v>56.225454545454539</v>
          </cell>
          <cell r="T65">
            <v>56.225454545454539</v>
          </cell>
          <cell r="U65">
            <v>56.225454545454539</v>
          </cell>
        </row>
        <row r="66">
          <cell r="E66" t="str">
            <v>DE Res + Comm Coal CC</v>
          </cell>
          <cell r="F66">
            <v>56.372727272727268</v>
          </cell>
          <cell r="G66">
            <v>56.18181818181818</v>
          </cell>
          <cell r="H66">
            <v>60.3</v>
          </cell>
          <cell r="I66">
            <v>55.36363636363636</v>
          </cell>
          <cell r="J66">
            <v>55.472727272727269</v>
          </cell>
          <cell r="K66">
            <v>62.018181818181816</v>
          </cell>
          <cell r="L66">
            <v>57.190909090909081</v>
          </cell>
          <cell r="M66">
            <v>57.045962727272723</v>
          </cell>
          <cell r="N66">
            <v>56.858181818181812</v>
          </cell>
          <cell r="O66">
            <v>59.479090909090907</v>
          </cell>
          <cell r="P66">
            <v>59.479090909090907</v>
          </cell>
          <cell r="Q66">
            <v>59.479090909090907</v>
          </cell>
          <cell r="R66">
            <v>59.479090909090907</v>
          </cell>
          <cell r="S66">
            <v>59.479090909090907</v>
          </cell>
          <cell r="T66">
            <v>59.479090909090907</v>
          </cell>
          <cell r="U66">
            <v>59.479090909090907</v>
          </cell>
        </row>
        <row r="67">
          <cell r="E67" t="str">
            <v>FL Res + Comm Coal CC</v>
          </cell>
          <cell r="F67">
            <v>56.590909090909086</v>
          </cell>
          <cell r="G67">
            <v>62.018181818181816</v>
          </cell>
          <cell r="H67">
            <v>56.1</v>
          </cell>
          <cell r="I67">
            <v>55.93636363636363</v>
          </cell>
          <cell r="J67">
            <v>55.909090909090907</v>
          </cell>
          <cell r="K67">
            <v>56.672727272727272</v>
          </cell>
          <cell r="L67">
            <v>55.854545454545452</v>
          </cell>
          <cell r="M67">
            <v>56.758787878787878</v>
          </cell>
          <cell r="N67">
            <v>55.854545454545452</v>
          </cell>
          <cell r="O67">
            <v>55.892727272727271</v>
          </cell>
          <cell r="P67">
            <v>55.892727272727271</v>
          </cell>
          <cell r="Q67">
            <v>55.892727272727271</v>
          </cell>
          <cell r="R67">
            <v>55.892727272727271</v>
          </cell>
          <cell r="S67">
            <v>55.892727272727271</v>
          </cell>
          <cell r="T67">
            <v>55.892727272727271</v>
          </cell>
          <cell r="U67">
            <v>55.892727272727271</v>
          </cell>
        </row>
        <row r="68">
          <cell r="E68" t="str">
            <v>GA Res + Comm Coal CC</v>
          </cell>
          <cell r="F68">
            <v>55.93636363636363</v>
          </cell>
          <cell r="G68">
            <v>56.263636363636365</v>
          </cell>
          <cell r="H68">
            <v>55.881818181818183</v>
          </cell>
          <cell r="I68">
            <v>55.93636363636363</v>
          </cell>
          <cell r="J68">
            <v>56.18181818181818</v>
          </cell>
          <cell r="K68">
            <v>56.154545454545449</v>
          </cell>
          <cell r="L68">
            <v>55.854545454545452</v>
          </cell>
          <cell r="M68">
            <v>56.244545454545445</v>
          </cell>
          <cell r="N68">
            <v>56.236363636363627</v>
          </cell>
          <cell r="O68">
            <v>56.11090909090909</v>
          </cell>
          <cell r="P68">
            <v>56.11090909090909</v>
          </cell>
          <cell r="Q68">
            <v>56.11090909090909</v>
          </cell>
          <cell r="R68">
            <v>56.11090909090909</v>
          </cell>
          <cell r="S68">
            <v>56.11090909090909</v>
          </cell>
          <cell r="T68">
            <v>56.11090909090909</v>
          </cell>
          <cell r="U68">
            <v>56.11090909090909</v>
          </cell>
        </row>
        <row r="69">
          <cell r="E69" t="str">
            <v>HI Res + Comm Coal CC</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row>
        <row r="70">
          <cell r="E70" t="str">
            <v>IA Res + Comm Coal CC</v>
          </cell>
          <cell r="F70">
            <v>55.663636363636357</v>
          </cell>
          <cell r="G70">
            <v>55.554545454545448</v>
          </cell>
          <cell r="H70">
            <v>55.690909090909081</v>
          </cell>
          <cell r="I70">
            <v>55.772727272727266</v>
          </cell>
          <cell r="J70">
            <v>55.8</v>
          </cell>
          <cell r="K70">
            <v>55.854545454545452</v>
          </cell>
          <cell r="L70">
            <v>55.7279803030303</v>
          </cell>
          <cell r="M70">
            <v>55.596368181818178</v>
          </cell>
          <cell r="N70">
            <v>55.86545454545454</v>
          </cell>
          <cell r="O70">
            <v>55.75363636363636</v>
          </cell>
          <cell r="P70">
            <v>55.75363636363636</v>
          </cell>
          <cell r="Q70">
            <v>55.75363636363636</v>
          </cell>
          <cell r="R70">
            <v>55.75363636363636</v>
          </cell>
          <cell r="S70">
            <v>55.75363636363636</v>
          </cell>
          <cell r="T70">
            <v>55.75363636363636</v>
          </cell>
          <cell r="U70">
            <v>55.75363636363636</v>
          </cell>
        </row>
        <row r="71">
          <cell r="E71" t="str">
            <v>ID Res + Comm Coal CC</v>
          </cell>
          <cell r="F71">
            <v>55.881818181818183</v>
          </cell>
          <cell r="G71">
            <v>55.827272727272721</v>
          </cell>
          <cell r="H71">
            <v>55.909090909090907</v>
          </cell>
          <cell r="I71">
            <v>55.881818181818183</v>
          </cell>
          <cell r="J71">
            <v>55.909090909090907</v>
          </cell>
          <cell r="K71">
            <v>56.18181818181818</v>
          </cell>
          <cell r="L71">
            <v>56.154545454545449</v>
          </cell>
          <cell r="M71">
            <v>55.787007272727266</v>
          </cell>
          <cell r="N71">
            <v>56.544545454545457</v>
          </cell>
          <cell r="O71">
            <v>55.674545454545445</v>
          </cell>
          <cell r="P71">
            <v>55.674545454545445</v>
          </cell>
          <cell r="Q71">
            <v>55.674545454545445</v>
          </cell>
          <cell r="R71">
            <v>55.674545454545445</v>
          </cell>
          <cell r="S71">
            <v>55.674545454545445</v>
          </cell>
          <cell r="T71">
            <v>55.674545454545445</v>
          </cell>
          <cell r="U71">
            <v>55.674545454545445</v>
          </cell>
        </row>
        <row r="72">
          <cell r="E72" t="str">
            <v>IL Res + Comm Coal CC</v>
          </cell>
          <cell r="F72">
            <v>55.5</v>
          </cell>
          <cell r="G72">
            <v>55.609090909090909</v>
          </cell>
          <cell r="H72">
            <v>55.609090909090909</v>
          </cell>
          <cell r="I72">
            <v>55.527272727272724</v>
          </cell>
          <cell r="J72">
            <v>55.527272727272724</v>
          </cell>
          <cell r="K72">
            <v>55.527272727272724</v>
          </cell>
          <cell r="L72">
            <v>55.581818181818178</v>
          </cell>
          <cell r="M72">
            <v>55.663679999999992</v>
          </cell>
          <cell r="N72">
            <v>55.540909090909089</v>
          </cell>
          <cell r="O72">
            <v>55.56</v>
          </cell>
          <cell r="P72">
            <v>55.56</v>
          </cell>
          <cell r="Q72">
            <v>55.56</v>
          </cell>
          <cell r="R72">
            <v>55.56</v>
          </cell>
          <cell r="S72">
            <v>55.56</v>
          </cell>
          <cell r="T72">
            <v>55.56</v>
          </cell>
          <cell r="U72">
            <v>55.56</v>
          </cell>
        </row>
        <row r="73">
          <cell r="E73" t="str">
            <v>IN Res + Comm Coal CC</v>
          </cell>
          <cell r="F73">
            <v>55.554545454545448</v>
          </cell>
          <cell r="G73">
            <v>55.581818181818178</v>
          </cell>
          <cell r="H73">
            <v>55.581818181818178</v>
          </cell>
          <cell r="I73">
            <v>55.663636363636357</v>
          </cell>
          <cell r="J73">
            <v>55.663636363636357</v>
          </cell>
          <cell r="K73">
            <v>55.663636363636357</v>
          </cell>
          <cell r="L73">
            <v>55.663636363636357</v>
          </cell>
          <cell r="M73">
            <v>55.672783636363633</v>
          </cell>
          <cell r="N73">
            <v>55.701818181818183</v>
          </cell>
          <cell r="O73">
            <v>55.669090909090905</v>
          </cell>
          <cell r="P73">
            <v>55.669090909090905</v>
          </cell>
          <cell r="Q73">
            <v>55.669090909090905</v>
          </cell>
          <cell r="R73">
            <v>55.669090909090905</v>
          </cell>
          <cell r="S73">
            <v>55.669090909090905</v>
          </cell>
          <cell r="T73">
            <v>55.669090909090905</v>
          </cell>
          <cell r="U73">
            <v>55.669090909090905</v>
          </cell>
        </row>
        <row r="74">
          <cell r="E74" t="str">
            <v>KS Res + Comm Coal CC</v>
          </cell>
          <cell r="F74">
            <v>55.418181818181814</v>
          </cell>
          <cell r="G74">
            <v>55.581818181818178</v>
          </cell>
          <cell r="H74">
            <v>55.336363636363636</v>
          </cell>
          <cell r="I74">
            <v>55.609090909090909</v>
          </cell>
          <cell r="J74">
            <v>55.527272727272724</v>
          </cell>
          <cell r="K74">
            <v>55.309090909090905</v>
          </cell>
          <cell r="L74">
            <v>55.309090909090905</v>
          </cell>
          <cell r="M74">
            <v>55.306322727272722</v>
          </cell>
          <cell r="N74">
            <v>55.663636363636357</v>
          </cell>
          <cell r="O74">
            <v>55.879090909090898</v>
          </cell>
          <cell r="P74">
            <v>55.879090909090898</v>
          </cell>
          <cell r="Q74">
            <v>55.879090909090898</v>
          </cell>
          <cell r="R74">
            <v>55.879090909090898</v>
          </cell>
          <cell r="S74">
            <v>55.879090909090898</v>
          </cell>
          <cell r="T74">
            <v>55.879090909090898</v>
          </cell>
          <cell r="U74">
            <v>55.879090909090898</v>
          </cell>
        </row>
        <row r="75">
          <cell r="E75" t="str">
            <v>KY Res + Comm Coal CC</v>
          </cell>
          <cell r="F75">
            <v>55.718181818181819</v>
          </cell>
          <cell r="G75">
            <v>55.718181818181819</v>
          </cell>
          <cell r="H75">
            <v>55.8</v>
          </cell>
          <cell r="I75">
            <v>55.93636363636363</v>
          </cell>
          <cell r="J75">
            <v>55.909090909090907</v>
          </cell>
          <cell r="K75">
            <v>55.827272727272721</v>
          </cell>
          <cell r="L75">
            <v>55.909090909090907</v>
          </cell>
          <cell r="M75">
            <v>55.408382727272723</v>
          </cell>
          <cell r="N75">
            <v>55.903636363636359</v>
          </cell>
          <cell r="O75">
            <v>55.952727272727266</v>
          </cell>
          <cell r="P75">
            <v>55.952727272727266</v>
          </cell>
          <cell r="Q75">
            <v>55.952727272727266</v>
          </cell>
          <cell r="R75">
            <v>55.952727272727266</v>
          </cell>
          <cell r="S75">
            <v>55.952727272727266</v>
          </cell>
          <cell r="T75">
            <v>55.952727272727266</v>
          </cell>
          <cell r="U75">
            <v>55.952727272727266</v>
          </cell>
        </row>
        <row r="76">
          <cell r="E76" t="str">
            <v>LA Res + Comm Coal CC</v>
          </cell>
          <cell r="F76">
            <v>59.67781963636363</v>
          </cell>
          <cell r="G76">
            <v>62.018181818181816</v>
          </cell>
          <cell r="H76">
            <v>59.67781963636363</v>
          </cell>
          <cell r="I76">
            <v>62.018181818181816</v>
          </cell>
          <cell r="J76">
            <v>59.67781963636363</v>
          </cell>
          <cell r="K76">
            <v>55.854545454545452</v>
          </cell>
          <cell r="L76">
            <v>59.67781963636363</v>
          </cell>
          <cell r="M76">
            <v>56.480007272727264</v>
          </cell>
          <cell r="N76">
            <v>59.67781963636363</v>
          </cell>
          <cell r="O76">
            <v>62.018181818181816</v>
          </cell>
          <cell r="P76">
            <v>62.018181818181816</v>
          </cell>
          <cell r="Q76">
            <v>62.018181818181816</v>
          </cell>
          <cell r="R76">
            <v>62.018181818181816</v>
          </cell>
          <cell r="S76">
            <v>62.018181818181816</v>
          </cell>
          <cell r="T76">
            <v>62.018181818181816</v>
          </cell>
          <cell r="U76">
            <v>62.018181818181816</v>
          </cell>
        </row>
        <row r="77">
          <cell r="E77" t="str">
            <v>MA Res + Comm Coal CC</v>
          </cell>
          <cell r="F77">
            <v>58.309090909090905</v>
          </cell>
          <cell r="G77">
            <v>60.409090909090907</v>
          </cell>
          <cell r="H77">
            <v>58.390909090909084</v>
          </cell>
          <cell r="I77">
            <v>59.18181818181818</v>
          </cell>
          <cell r="J77">
            <v>61.581818181818178</v>
          </cell>
          <cell r="K77">
            <v>59.372727272727268</v>
          </cell>
          <cell r="L77">
            <v>58.418181818181807</v>
          </cell>
          <cell r="M77">
            <v>58.876611818181814</v>
          </cell>
          <cell r="N77">
            <v>58.172727272727272</v>
          </cell>
          <cell r="O77">
            <v>57.447272727272718</v>
          </cell>
          <cell r="P77">
            <v>57.447272727272718</v>
          </cell>
          <cell r="Q77">
            <v>57.447272727272718</v>
          </cell>
          <cell r="R77">
            <v>57.447272727272718</v>
          </cell>
          <cell r="S77">
            <v>57.447272727272718</v>
          </cell>
          <cell r="T77">
            <v>57.447272727272718</v>
          </cell>
          <cell r="U77">
            <v>57.447272727272718</v>
          </cell>
        </row>
        <row r="78">
          <cell r="E78" t="str">
            <v>MD Res + Comm Coal CC</v>
          </cell>
          <cell r="F78">
            <v>56.672727272727272</v>
          </cell>
          <cell r="G78">
            <v>56.75454545454545</v>
          </cell>
          <cell r="H78">
            <v>57.736363636363627</v>
          </cell>
          <cell r="I78">
            <v>57.845454545454537</v>
          </cell>
          <cell r="J78">
            <v>56.890909090909084</v>
          </cell>
          <cell r="K78">
            <v>56.7</v>
          </cell>
          <cell r="L78">
            <v>56.672727272727272</v>
          </cell>
          <cell r="M78">
            <v>56.794251818181813</v>
          </cell>
          <cell r="N78">
            <v>56.626363636363628</v>
          </cell>
          <cell r="O78">
            <v>56.792727272727269</v>
          </cell>
          <cell r="P78">
            <v>56.792727272727269</v>
          </cell>
          <cell r="Q78">
            <v>56.792727272727269</v>
          </cell>
          <cell r="R78">
            <v>56.792727272727269</v>
          </cell>
          <cell r="S78">
            <v>56.792727272727269</v>
          </cell>
          <cell r="T78">
            <v>56.792727272727269</v>
          </cell>
          <cell r="U78">
            <v>56.792727272727269</v>
          </cell>
        </row>
        <row r="79">
          <cell r="E79" t="str">
            <v>ME Res + Comm Coal CC</v>
          </cell>
          <cell r="F79">
            <v>57.818181818181813</v>
          </cell>
          <cell r="G79">
            <v>61.063636363636363</v>
          </cell>
          <cell r="H79">
            <v>58.090909090909086</v>
          </cell>
          <cell r="I79">
            <v>57.872727272727268</v>
          </cell>
          <cell r="J79">
            <v>61.854545454545452</v>
          </cell>
          <cell r="K79">
            <v>61.827272727272721</v>
          </cell>
          <cell r="L79">
            <v>62.018181818181816</v>
          </cell>
          <cell r="M79">
            <v>61.692471818181808</v>
          </cell>
          <cell r="N79">
            <v>62.018181818181816</v>
          </cell>
          <cell r="O79">
            <v>61.960909090909084</v>
          </cell>
          <cell r="P79">
            <v>61.960909090909084</v>
          </cell>
          <cell r="Q79">
            <v>61.960909090909084</v>
          </cell>
          <cell r="R79">
            <v>61.960909090909084</v>
          </cell>
          <cell r="S79">
            <v>61.960909090909084</v>
          </cell>
          <cell r="T79">
            <v>61.960909090909084</v>
          </cell>
          <cell r="U79">
            <v>61.960909090909084</v>
          </cell>
        </row>
        <row r="80">
          <cell r="E80" t="str">
            <v>MI Res + Comm Coal CC</v>
          </cell>
          <cell r="F80">
            <v>55.881818181818183</v>
          </cell>
          <cell r="G80">
            <v>55.881818181818183</v>
          </cell>
          <cell r="H80">
            <v>55.909090909090907</v>
          </cell>
          <cell r="I80">
            <v>55.8</v>
          </cell>
          <cell r="J80">
            <v>55.718181818181819</v>
          </cell>
          <cell r="K80">
            <v>55.718181818181819</v>
          </cell>
          <cell r="L80">
            <v>55.854545454545452</v>
          </cell>
          <cell r="M80">
            <v>55.802948181818174</v>
          </cell>
          <cell r="N80">
            <v>55.876363636363628</v>
          </cell>
          <cell r="O80">
            <v>56.165454545454544</v>
          </cell>
          <cell r="P80">
            <v>56.165454545454544</v>
          </cell>
          <cell r="Q80">
            <v>56.165454545454544</v>
          </cell>
          <cell r="R80">
            <v>56.165454545454544</v>
          </cell>
          <cell r="S80">
            <v>56.165454545454544</v>
          </cell>
          <cell r="T80">
            <v>56.165454545454544</v>
          </cell>
          <cell r="U80">
            <v>56.165454545454544</v>
          </cell>
        </row>
        <row r="81">
          <cell r="E81" t="str">
            <v>MN Res + Comm Coal CC</v>
          </cell>
          <cell r="F81">
            <v>57.818181818181813</v>
          </cell>
          <cell r="G81">
            <v>57.872727272727268</v>
          </cell>
          <cell r="H81">
            <v>57.9</v>
          </cell>
          <cell r="I81">
            <v>57.736363636363627</v>
          </cell>
          <cell r="J81">
            <v>57.109090909090909</v>
          </cell>
          <cell r="K81">
            <v>56.890909090909084</v>
          </cell>
          <cell r="L81">
            <v>57.954545454545453</v>
          </cell>
          <cell r="M81">
            <v>57.55217727272727</v>
          </cell>
          <cell r="N81">
            <v>56.121818181818178</v>
          </cell>
          <cell r="O81">
            <v>56.79818181818181</v>
          </cell>
          <cell r="P81">
            <v>56.79818181818181</v>
          </cell>
          <cell r="Q81">
            <v>56.79818181818181</v>
          </cell>
          <cell r="R81">
            <v>56.79818181818181</v>
          </cell>
          <cell r="S81">
            <v>56.79818181818181</v>
          </cell>
          <cell r="T81">
            <v>56.79818181818181</v>
          </cell>
          <cell r="U81">
            <v>56.79818181818181</v>
          </cell>
        </row>
        <row r="82">
          <cell r="E82" t="str">
            <v>MO Res + Comm Coal CC</v>
          </cell>
          <cell r="F82">
            <v>55.281818181818174</v>
          </cell>
          <cell r="G82">
            <v>55.309090909090905</v>
          </cell>
          <cell r="H82">
            <v>55.472727272727269</v>
          </cell>
          <cell r="I82">
            <v>55.663636363636357</v>
          </cell>
          <cell r="J82">
            <v>55.5</v>
          </cell>
          <cell r="K82">
            <v>55.390909090909084</v>
          </cell>
          <cell r="L82">
            <v>55.445454545454545</v>
          </cell>
          <cell r="M82">
            <v>55.577631818181814</v>
          </cell>
          <cell r="N82">
            <v>55.510909090909088</v>
          </cell>
          <cell r="O82">
            <v>55.780909090909084</v>
          </cell>
          <cell r="P82">
            <v>55.780909090909084</v>
          </cell>
          <cell r="Q82">
            <v>55.780909090909084</v>
          </cell>
          <cell r="R82">
            <v>55.780909090909084</v>
          </cell>
          <cell r="S82">
            <v>55.780909090909084</v>
          </cell>
          <cell r="T82">
            <v>55.780909090909084</v>
          </cell>
          <cell r="U82">
            <v>55.780909090909084</v>
          </cell>
        </row>
        <row r="83">
          <cell r="E83" t="str">
            <v>MS Res + Comm Coal CC</v>
          </cell>
          <cell r="F83">
            <v>56.836363636363636</v>
          </cell>
          <cell r="G83">
            <v>62.018181818181816</v>
          </cell>
          <cell r="H83">
            <v>62.018181818181816</v>
          </cell>
          <cell r="I83">
            <v>62.018181818181816</v>
          </cell>
          <cell r="J83">
            <v>60.981657818181816</v>
          </cell>
          <cell r="K83">
            <v>60.981657818181816</v>
          </cell>
          <cell r="L83">
            <v>60.981657818181816</v>
          </cell>
          <cell r="M83">
            <v>62.017379999999996</v>
          </cell>
          <cell r="N83">
            <v>60.981657818181816</v>
          </cell>
          <cell r="O83">
            <v>60.981657818181816</v>
          </cell>
          <cell r="P83">
            <v>60.981657818181816</v>
          </cell>
          <cell r="Q83">
            <v>60.981657818181816</v>
          </cell>
          <cell r="R83">
            <v>60.981657818181816</v>
          </cell>
          <cell r="S83">
            <v>60.981657818181816</v>
          </cell>
          <cell r="T83">
            <v>60.981657818181816</v>
          </cell>
          <cell r="U83">
            <v>60.981657818181816</v>
          </cell>
        </row>
        <row r="84">
          <cell r="E84" t="str">
            <v>MT Res + Comm Coal CC</v>
          </cell>
          <cell r="F84">
            <v>57.736363636363627</v>
          </cell>
          <cell r="G84">
            <v>58.2</v>
          </cell>
          <cell r="H84">
            <v>58.172727272727272</v>
          </cell>
          <cell r="I84">
            <v>57.627272727272725</v>
          </cell>
          <cell r="J84">
            <v>58.2</v>
          </cell>
          <cell r="K84">
            <v>56.509090909090901</v>
          </cell>
          <cell r="L84">
            <v>58.2</v>
          </cell>
          <cell r="M84">
            <v>57.760194545454546</v>
          </cell>
          <cell r="N84">
            <v>57.051818181818177</v>
          </cell>
          <cell r="O84">
            <v>57.09</v>
          </cell>
          <cell r="P84">
            <v>57.09</v>
          </cell>
          <cell r="Q84">
            <v>57.09</v>
          </cell>
          <cell r="R84">
            <v>57.09</v>
          </cell>
          <cell r="S84">
            <v>57.09</v>
          </cell>
          <cell r="T84">
            <v>57.09</v>
          </cell>
          <cell r="U84">
            <v>57.09</v>
          </cell>
        </row>
        <row r="85">
          <cell r="E85" t="str">
            <v>NC Res + Comm Coal CC</v>
          </cell>
          <cell r="F85">
            <v>56.372727272727268</v>
          </cell>
          <cell r="G85">
            <v>56.209090909090904</v>
          </cell>
          <cell r="H85">
            <v>56.236363636363627</v>
          </cell>
          <cell r="I85">
            <v>56.154545454545449</v>
          </cell>
          <cell r="J85">
            <v>56.18181818181818</v>
          </cell>
          <cell r="K85">
            <v>56.290909090909089</v>
          </cell>
          <cell r="L85">
            <v>56.18181818181818</v>
          </cell>
          <cell r="M85">
            <v>56.080044545454548</v>
          </cell>
          <cell r="N85">
            <v>56.165454545454544</v>
          </cell>
          <cell r="O85">
            <v>56.140909090909084</v>
          </cell>
          <cell r="P85">
            <v>56.140909090909084</v>
          </cell>
          <cell r="Q85">
            <v>56.140909090909084</v>
          </cell>
          <cell r="R85">
            <v>56.140909090909084</v>
          </cell>
          <cell r="S85">
            <v>56.140909090909084</v>
          </cell>
          <cell r="T85">
            <v>56.140909090909084</v>
          </cell>
          <cell r="U85">
            <v>56.140909090909084</v>
          </cell>
        </row>
        <row r="86">
          <cell r="E86" t="str">
            <v>ND Res + Comm Coal CC</v>
          </cell>
          <cell r="F86">
            <v>59.345454545454537</v>
          </cell>
          <cell r="G86">
            <v>59.345454545454537</v>
          </cell>
          <cell r="H86">
            <v>59.127272727272725</v>
          </cell>
          <cell r="I86">
            <v>59.04545454545454</v>
          </cell>
          <cell r="J86">
            <v>59.018181818181816</v>
          </cell>
          <cell r="K86">
            <v>58.827272727272721</v>
          </cell>
          <cell r="L86">
            <v>59.154545454545449</v>
          </cell>
          <cell r="M86">
            <v>59.006416363636362</v>
          </cell>
          <cell r="N86">
            <v>58.955454545454536</v>
          </cell>
          <cell r="O86">
            <v>58.622727272727268</v>
          </cell>
          <cell r="P86">
            <v>58.622727272727268</v>
          </cell>
          <cell r="Q86">
            <v>58.622727272727268</v>
          </cell>
          <cell r="R86">
            <v>58.622727272727268</v>
          </cell>
          <cell r="S86">
            <v>58.622727272727268</v>
          </cell>
          <cell r="T86">
            <v>58.622727272727268</v>
          </cell>
          <cell r="U86">
            <v>58.622727272727268</v>
          </cell>
        </row>
        <row r="87">
          <cell r="E87" t="str">
            <v>NE Res + Comm Coal CC</v>
          </cell>
          <cell r="F87">
            <v>58.009090909090901</v>
          </cell>
          <cell r="G87">
            <v>59.290909090909089</v>
          </cell>
          <cell r="H87">
            <v>59.781818181818174</v>
          </cell>
          <cell r="I87">
            <v>58.009090909090901</v>
          </cell>
          <cell r="J87">
            <v>58.009090909090901</v>
          </cell>
          <cell r="K87">
            <v>57.3</v>
          </cell>
          <cell r="L87">
            <v>61.909090909090907</v>
          </cell>
          <cell r="M87">
            <v>58.011818181818178</v>
          </cell>
          <cell r="N87">
            <v>58.009090909090901</v>
          </cell>
          <cell r="O87">
            <v>58.009090909090901</v>
          </cell>
          <cell r="P87">
            <v>58.009090909090901</v>
          </cell>
          <cell r="Q87">
            <v>58.009090909090901</v>
          </cell>
          <cell r="R87">
            <v>58.009090909090901</v>
          </cell>
          <cell r="S87">
            <v>58.009090909090901</v>
          </cell>
          <cell r="T87">
            <v>58.009090909090901</v>
          </cell>
          <cell r="U87">
            <v>58.009090909090901</v>
          </cell>
        </row>
        <row r="88">
          <cell r="E88" t="str">
            <v>NH Res + Comm Coal CC</v>
          </cell>
          <cell r="F88">
            <v>61.745454545454542</v>
          </cell>
          <cell r="G88">
            <v>61.881818181818176</v>
          </cell>
          <cell r="H88">
            <v>61.472727272727269</v>
          </cell>
          <cell r="I88">
            <v>62.018181818181816</v>
          </cell>
          <cell r="J88">
            <v>62.018181818181816</v>
          </cell>
          <cell r="K88">
            <v>59.372727272727268</v>
          </cell>
          <cell r="L88">
            <v>58.772727272727266</v>
          </cell>
          <cell r="M88">
            <v>60.941563636363632</v>
          </cell>
          <cell r="N88">
            <v>60.640909090909084</v>
          </cell>
          <cell r="O88">
            <v>62.018181818181816</v>
          </cell>
          <cell r="P88">
            <v>62.018181818181816</v>
          </cell>
          <cell r="Q88">
            <v>62.018181818181816</v>
          </cell>
          <cell r="R88">
            <v>62.018181818181816</v>
          </cell>
          <cell r="S88">
            <v>62.018181818181816</v>
          </cell>
          <cell r="T88">
            <v>62.018181818181816</v>
          </cell>
          <cell r="U88">
            <v>62.018181818181816</v>
          </cell>
        </row>
        <row r="89">
          <cell r="E89" t="str">
            <v>NJ Res + Comm Coal CC</v>
          </cell>
          <cell r="F89">
            <v>61.963636363636354</v>
          </cell>
          <cell r="G89">
            <v>61.881818181818176</v>
          </cell>
          <cell r="H89">
            <v>61.93636363636363</v>
          </cell>
          <cell r="I89">
            <v>61.990909090909092</v>
          </cell>
          <cell r="J89">
            <v>61.909090909090907</v>
          </cell>
          <cell r="K89">
            <v>61.990909090909092</v>
          </cell>
          <cell r="L89">
            <v>61.963636363636354</v>
          </cell>
          <cell r="M89">
            <v>61.942292727272722</v>
          </cell>
          <cell r="N89">
            <v>62.018181818181816</v>
          </cell>
          <cell r="O89">
            <v>62.018181818181816</v>
          </cell>
          <cell r="P89">
            <v>62.018181818181816</v>
          </cell>
          <cell r="Q89">
            <v>62.018181818181816</v>
          </cell>
          <cell r="R89">
            <v>62.018181818181816</v>
          </cell>
          <cell r="S89">
            <v>62.018181818181816</v>
          </cell>
          <cell r="T89">
            <v>62.018181818181816</v>
          </cell>
          <cell r="U89">
            <v>62.018181818181816</v>
          </cell>
        </row>
        <row r="90">
          <cell r="E90" t="str">
            <v>NM Res + Comm Coal CC</v>
          </cell>
          <cell r="F90">
            <v>56.1</v>
          </cell>
          <cell r="G90">
            <v>56.127272727272725</v>
          </cell>
          <cell r="H90">
            <v>56.263636363636365</v>
          </cell>
          <cell r="I90">
            <v>56.318181818181813</v>
          </cell>
          <cell r="J90">
            <v>56.345454545454537</v>
          </cell>
          <cell r="K90">
            <v>56.345454545454537</v>
          </cell>
          <cell r="L90">
            <v>56.481818181818177</v>
          </cell>
          <cell r="M90">
            <v>56.267217272727272</v>
          </cell>
          <cell r="N90">
            <v>57.002727272727263</v>
          </cell>
          <cell r="O90">
            <v>56.11090909090909</v>
          </cell>
          <cell r="P90">
            <v>56.11090909090909</v>
          </cell>
          <cell r="Q90">
            <v>56.11090909090909</v>
          </cell>
          <cell r="R90">
            <v>56.11090909090909</v>
          </cell>
          <cell r="S90">
            <v>56.11090909090909</v>
          </cell>
          <cell r="T90">
            <v>56.11090909090909</v>
          </cell>
          <cell r="U90">
            <v>56.11090909090909</v>
          </cell>
        </row>
        <row r="91">
          <cell r="E91" t="str">
            <v>NV Res + Comm Coal CC</v>
          </cell>
          <cell r="F91">
            <v>57.9</v>
          </cell>
          <cell r="G91">
            <v>55.663636363636357</v>
          </cell>
          <cell r="H91">
            <v>55.663636363636357</v>
          </cell>
          <cell r="I91">
            <v>55.663636363636357</v>
          </cell>
          <cell r="J91">
            <v>55.663636363636357</v>
          </cell>
          <cell r="K91">
            <v>55.718181818181819</v>
          </cell>
          <cell r="L91">
            <v>55.663636363636357</v>
          </cell>
          <cell r="M91">
            <v>55.658249999999995</v>
          </cell>
          <cell r="N91">
            <v>55.663636363636357</v>
          </cell>
          <cell r="O91">
            <v>55.68</v>
          </cell>
          <cell r="P91">
            <v>55.68</v>
          </cell>
          <cell r="Q91">
            <v>55.68</v>
          </cell>
          <cell r="R91">
            <v>55.68</v>
          </cell>
          <cell r="S91">
            <v>55.68</v>
          </cell>
          <cell r="T91">
            <v>55.68</v>
          </cell>
          <cell r="U91">
            <v>55.68</v>
          </cell>
        </row>
        <row r="92">
          <cell r="E92" t="str">
            <v>NY Res + Comm Coal CC</v>
          </cell>
          <cell r="F92">
            <v>58.36363636363636</v>
          </cell>
          <cell r="G92">
            <v>58.745454545454542</v>
          </cell>
          <cell r="H92">
            <v>59.454545454545453</v>
          </cell>
          <cell r="I92">
            <v>59.672727272727272</v>
          </cell>
          <cell r="J92">
            <v>58.581818181818178</v>
          </cell>
          <cell r="K92">
            <v>58.909090909090907</v>
          </cell>
          <cell r="L92">
            <v>58.390909090909084</v>
          </cell>
          <cell r="M92">
            <v>58.275777272727268</v>
          </cell>
          <cell r="N92">
            <v>57.883636363636363</v>
          </cell>
          <cell r="O92">
            <v>57.256363636363631</v>
          </cell>
          <cell r="P92">
            <v>57.256363636363631</v>
          </cell>
          <cell r="Q92">
            <v>57.256363636363631</v>
          </cell>
          <cell r="R92">
            <v>57.256363636363631</v>
          </cell>
          <cell r="S92">
            <v>57.256363636363631</v>
          </cell>
          <cell r="T92">
            <v>57.256363636363631</v>
          </cell>
          <cell r="U92">
            <v>57.256363636363631</v>
          </cell>
        </row>
        <row r="93">
          <cell r="E93" t="str">
            <v>OH Res + Comm Coal CC</v>
          </cell>
          <cell r="F93">
            <v>55.690909090909081</v>
          </cell>
          <cell r="G93">
            <v>55.745454545454542</v>
          </cell>
          <cell r="H93">
            <v>56.04545454545454</v>
          </cell>
          <cell r="I93">
            <v>55.690909090909081</v>
          </cell>
          <cell r="J93">
            <v>55.772727272727266</v>
          </cell>
          <cell r="K93">
            <v>55.745454545454542</v>
          </cell>
          <cell r="L93">
            <v>55.472727272727269</v>
          </cell>
          <cell r="M93">
            <v>55.670018181818179</v>
          </cell>
          <cell r="N93">
            <v>56.056363636363628</v>
          </cell>
          <cell r="O93">
            <v>55.748181818181813</v>
          </cell>
          <cell r="P93">
            <v>55.748181818181813</v>
          </cell>
          <cell r="Q93">
            <v>55.748181818181813</v>
          </cell>
          <cell r="R93">
            <v>55.748181818181813</v>
          </cell>
          <cell r="S93">
            <v>55.748181818181813</v>
          </cell>
          <cell r="T93">
            <v>55.748181818181813</v>
          </cell>
          <cell r="U93">
            <v>55.748181818181813</v>
          </cell>
        </row>
        <row r="94">
          <cell r="E94" t="str">
            <v>OK Res + Comm Coal CC</v>
          </cell>
          <cell r="F94">
            <v>56.236363636363627</v>
          </cell>
          <cell r="G94">
            <v>56.154545454545449</v>
          </cell>
          <cell r="H94">
            <v>56.454545454545453</v>
          </cell>
          <cell r="I94">
            <v>56.154545454545449</v>
          </cell>
          <cell r="J94">
            <v>56.427272727272722</v>
          </cell>
          <cell r="K94">
            <v>56.154545454545449</v>
          </cell>
          <cell r="L94">
            <v>56.154545454545449</v>
          </cell>
          <cell r="M94">
            <v>58.00442454545454</v>
          </cell>
          <cell r="N94">
            <v>56.154545454545449</v>
          </cell>
          <cell r="O94">
            <v>56.157272727272719</v>
          </cell>
          <cell r="P94">
            <v>56.157272727272719</v>
          </cell>
          <cell r="Q94">
            <v>56.157272727272719</v>
          </cell>
          <cell r="R94">
            <v>56.157272727272719</v>
          </cell>
          <cell r="S94">
            <v>56.157272727272719</v>
          </cell>
          <cell r="T94">
            <v>56.157272727272719</v>
          </cell>
          <cell r="U94">
            <v>56.157272727272719</v>
          </cell>
        </row>
        <row r="95">
          <cell r="E95" t="str">
            <v>OR Res + Comm Coal CC</v>
          </cell>
          <cell r="F95">
            <v>55.663636363636357</v>
          </cell>
          <cell r="G95">
            <v>55.663636363636357</v>
          </cell>
          <cell r="H95">
            <v>55.663636363636357</v>
          </cell>
          <cell r="I95">
            <v>58.418181818181807</v>
          </cell>
          <cell r="J95">
            <v>58.25454545454545</v>
          </cell>
          <cell r="K95">
            <v>55.663636363636357</v>
          </cell>
          <cell r="L95">
            <v>55.663636363636357</v>
          </cell>
          <cell r="M95">
            <v>55.658217272727271</v>
          </cell>
          <cell r="N95">
            <v>56.481818181818177</v>
          </cell>
          <cell r="O95">
            <v>55.663636363636357</v>
          </cell>
          <cell r="P95">
            <v>55.663636363636357</v>
          </cell>
          <cell r="Q95">
            <v>55.663636363636357</v>
          </cell>
          <cell r="R95">
            <v>55.663636363636357</v>
          </cell>
          <cell r="S95">
            <v>55.663636363636357</v>
          </cell>
          <cell r="T95">
            <v>55.663636363636357</v>
          </cell>
          <cell r="U95">
            <v>55.663636363636357</v>
          </cell>
        </row>
        <row r="96">
          <cell r="E96" t="str">
            <v>PA Res + Comm Coal CC</v>
          </cell>
          <cell r="F96">
            <v>59.72727272727272</v>
          </cell>
          <cell r="G96">
            <v>59.509090909090901</v>
          </cell>
          <cell r="H96">
            <v>59.918181818181807</v>
          </cell>
          <cell r="I96">
            <v>59.61818181818181</v>
          </cell>
          <cell r="J96">
            <v>60.027272727272724</v>
          </cell>
          <cell r="K96">
            <v>60.109090909090909</v>
          </cell>
          <cell r="L96">
            <v>60.081818181818178</v>
          </cell>
          <cell r="M96">
            <v>60.450444545454545</v>
          </cell>
          <cell r="N96">
            <v>60.36272727272727</v>
          </cell>
          <cell r="O96">
            <v>60.27</v>
          </cell>
          <cell r="P96">
            <v>60.27</v>
          </cell>
          <cell r="Q96">
            <v>60.27</v>
          </cell>
          <cell r="R96">
            <v>60.27</v>
          </cell>
          <cell r="S96">
            <v>60.27</v>
          </cell>
          <cell r="T96">
            <v>60.27</v>
          </cell>
          <cell r="U96">
            <v>60.27</v>
          </cell>
        </row>
        <row r="97">
          <cell r="E97" t="str">
            <v>RI Res + Comm Coal CC</v>
          </cell>
          <cell r="F97">
            <v>61.990909090909092</v>
          </cell>
          <cell r="G97">
            <v>62.018181818181816</v>
          </cell>
          <cell r="H97">
            <v>62.018181818181816</v>
          </cell>
          <cell r="I97">
            <v>61.963636363636354</v>
          </cell>
          <cell r="J97">
            <v>62.018181818181816</v>
          </cell>
          <cell r="K97">
            <v>62.018181818181816</v>
          </cell>
          <cell r="L97">
            <v>62.018181818181816</v>
          </cell>
          <cell r="M97">
            <v>61.969047272727266</v>
          </cell>
          <cell r="N97">
            <v>62.018181818181816</v>
          </cell>
          <cell r="O97">
            <v>62.018181818181816</v>
          </cell>
          <cell r="P97">
            <v>62.018181818181816</v>
          </cell>
          <cell r="Q97">
            <v>62.018181818181816</v>
          </cell>
          <cell r="R97">
            <v>62.018181818181816</v>
          </cell>
          <cell r="S97">
            <v>62.018181818181816</v>
          </cell>
          <cell r="T97">
            <v>62.018181818181816</v>
          </cell>
          <cell r="U97">
            <v>62.018181818181816</v>
          </cell>
        </row>
        <row r="98">
          <cell r="E98" t="str">
            <v>SC Res + Comm Coal CC</v>
          </cell>
          <cell r="F98">
            <v>55.881818181818183</v>
          </cell>
          <cell r="G98">
            <v>55.93636363636363</v>
          </cell>
          <cell r="H98">
            <v>55.990909090909092</v>
          </cell>
          <cell r="I98">
            <v>56.454545454545453</v>
          </cell>
          <cell r="J98">
            <v>56.454545454545453</v>
          </cell>
          <cell r="K98">
            <v>57.136363636363633</v>
          </cell>
          <cell r="L98">
            <v>56.4</v>
          </cell>
          <cell r="M98">
            <v>55.854447272727271</v>
          </cell>
          <cell r="N98">
            <v>56.236363636363627</v>
          </cell>
          <cell r="O98">
            <v>56.470909090909089</v>
          </cell>
          <cell r="P98">
            <v>56.470909090909089</v>
          </cell>
          <cell r="Q98">
            <v>56.470909090909089</v>
          </cell>
          <cell r="R98">
            <v>56.470909090909089</v>
          </cell>
          <cell r="S98">
            <v>56.470909090909089</v>
          </cell>
          <cell r="T98">
            <v>56.470909090909089</v>
          </cell>
          <cell r="U98">
            <v>56.470909090909089</v>
          </cell>
        </row>
        <row r="99">
          <cell r="E99" t="str">
            <v>SD Res + Comm Coal CC</v>
          </cell>
          <cell r="F99">
            <v>57.709090909090904</v>
          </cell>
          <cell r="G99">
            <v>58.036363636363632</v>
          </cell>
          <cell r="H99">
            <v>58.036363636363632</v>
          </cell>
          <cell r="I99">
            <v>58.009090909090901</v>
          </cell>
          <cell r="J99">
            <v>57.245454545454542</v>
          </cell>
          <cell r="K99">
            <v>57.872727272727268</v>
          </cell>
          <cell r="L99">
            <v>56.972727272727269</v>
          </cell>
          <cell r="M99">
            <v>58.011673636363632</v>
          </cell>
          <cell r="N99">
            <v>58.009090909090901</v>
          </cell>
          <cell r="O99">
            <v>58.009090909090901</v>
          </cell>
          <cell r="P99">
            <v>58.009090909090901</v>
          </cell>
          <cell r="Q99">
            <v>58.009090909090901</v>
          </cell>
          <cell r="R99">
            <v>58.009090909090901</v>
          </cell>
          <cell r="S99">
            <v>58.009090909090901</v>
          </cell>
          <cell r="T99">
            <v>58.009090909090901</v>
          </cell>
          <cell r="U99">
            <v>58.009090909090901</v>
          </cell>
        </row>
        <row r="100">
          <cell r="E100" t="str">
            <v>TN Res + Comm Coal CC</v>
          </cell>
          <cell r="F100">
            <v>56.018181818181816</v>
          </cell>
          <cell r="G100">
            <v>56.263636363636365</v>
          </cell>
          <cell r="H100">
            <v>55.8</v>
          </cell>
          <cell r="I100">
            <v>55.93636363636363</v>
          </cell>
          <cell r="J100">
            <v>55.909090909090907</v>
          </cell>
          <cell r="K100">
            <v>56.04545454545454</v>
          </cell>
          <cell r="L100">
            <v>55.854545454545452</v>
          </cell>
          <cell r="M100">
            <v>55.887823636363635</v>
          </cell>
          <cell r="N100">
            <v>55.775454545454537</v>
          </cell>
          <cell r="O100">
            <v>55.802727272727275</v>
          </cell>
          <cell r="P100">
            <v>55.802727272727275</v>
          </cell>
          <cell r="Q100">
            <v>55.802727272727275</v>
          </cell>
          <cell r="R100">
            <v>55.802727272727275</v>
          </cell>
          <cell r="S100">
            <v>55.802727272727275</v>
          </cell>
          <cell r="T100">
            <v>55.802727272727275</v>
          </cell>
          <cell r="U100">
            <v>55.802727272727275</v>
          </cell>
        </row>
        <row r="101">
          <cell r="E101" t="str">
            <v>TX Res + Comm Coal CC</v>
          </cell>
          <cell r="F101">
            <v>56.4</v>
          </cell>
          <cell r="G101">
            <v>56.481818181818177</v>
          </cell>
          <cell r="H101">
            <v>57.54545454545454</v>
          </cell>
          <cell r="I101">
            <v>58.172727272727272</v>
          </cell>
          <cell r="J101">
            <v>61.909090909090907</v>
          </cell>
          <cell r="K101">
            <v>57.471418787878783</v>
          </cell>
          <cell r="L101">
            <v>58.090909090909086</v>
          </cell>
          <cell r="M101">
            <v>56.153678181818172</v>
          </cell>
          <cell r="N101">
            <v>56.236363636363627</v>
          </cell>
          <cell r="O101">
            <v>56.252727272727263</v>
          </cell>
          <cell r="P101">
            <v>56.252727272727263</v>
          </cell>
          <cell r="Q101">
            <v>56.252727272727263</v>
          </cell>
          <cell r="R101">
            <v>56.252727272727263</v>
          </cell>
          <cell r="S101">
            <v>56.252727272727263</v>
          </cell>
          <cell r="T101">
            <v>56.252727272727263</v>
          </cell>
          <cell r="U101">
            <v>56.252727272727263</v>
          </cell>
        </row>
        <row r="102">
          <cell r="E102" t="str">
            <v>US Res + Comm Coal CC</v>
          </cell>
          <cell r="F102">
            <v>57.136363636363633</v>
          </cell>
          <cell r="G102">
            <v>57.327272727272721</v>
          </cell>
          <cell r="H102">
            <v>57.6</v>
          </cell>
          <cell r="I102">
            <v>57.245454545454542</v>
          </cell>
          <cell r="J102">
            <v>57.218181818181819</v>
          </cell>
          <cell r="K102">
            <v>57.327272727272721</v>
          </cell>
          <cell r="L102">
            <v>57.136363636363633</v>
          </cell>
          <cell r="M102">
            <v>57.327283636363632</v>
          </cell>
          <cell r="N102">
            <v>57.199090909090899</v>
          </cell>
          <cell r="O102">
            <v>56.950909090909086</v>
          </cell>
          <cell r="P102">
            <v>56.950909090909086</v>
          </cell>
          <cell r="Q102">
            <v>56.950909090909086</v>
          </cell>
          <cell r="R102">
            <v>56.950909090909086</v>
          </cell>
          <cell r="S102">
            <v>56.950909090909086</v>
          </cell>
          <cell r="T102">
            <v>56.950909090909086</v>
          </cell>
          <cell r="U102">
            <v>56.950909090909086</v>
          </cell>
        </row>
        <row r="103">
          <cell r="E103" t="str">
            <v>UT Res + Comm Coal CC</v>
          </cell>
          <cell r="F103">
            <v>55.663636363636357</v>
          </cell>
          <cell r="G103">
            <v>55.663636363636357</v>
          </cell>
          <cell r="H103">
            <v>55.663636363636357</v>
          </cell>
          <cell r="I103">
            <v>55.663636363636357</v>
          </cell>
          <cell r="J103">
            <v>55.663636363636357</v>
          </cell>
          <cell r="K103">
            <v>55.663636363636357</v>
          </cell>
          <cell r="L103">
            <v>55.663636363636357</v>
          </cell>
          <cell r="M103">
            <v>55.658972727272719</v>
          </cell>
          <cell r="N103">
            <v>55.663636363636357</v>
          </cell>
          <cell r="O103">
            <v>55.663636363636357</v>
          </cell>
          <cell r="P103">
            <v>55.663636363636357</v>
          </cell>
          <cell r="Q103">
            <v>55.663636363636357</v>
          </cell>
          <cell r="R103">
            <v>55.663636363636357</v>
          </cell>
          <cell r="S103">
            <v>55.663636363636357</v>
          </cell>
          <cell r="T103">
            <v>55.663636363636357</v>
          </cell>
          <cell r="U103">
            <v>55.663636363636357</v>
          </cell>
        </row>
        <row r="104">
          <cell r="E104" t="str">
            <v>VA Res + Comm Coal CC</v>
          </cell>
          <cell r="F104">
            <v>56.154545454545449</v>
          </cell>
          <cell r="G104">
            <v>56.236363636363627</v>
          </cell>
          <cell r="H104">
            <v>56.263636363636365</v>
          </cell>
          <cell r="I104">
            <v>56.18181818181818</v>
          </cell>
          <cell r="J104">
            <v>56.290909090909089</v>
          </cell>
          <cell r="K104">
            <v>56.372727272727268</v>
          </cell>
          <cell r="L104">
            <v>56.318181818181813</v>
          </cell>
          <cell r="M104">
            <v>56.151272727272726</v>
          </cell>
          <cell r="N104">
            <v>56.168181818181814</v>
          </cell>
          <cell r="O104">
            <v>56.097272727272724</v>
          </cell>
          <cell r="P104">
            <v>56.097272727272724</v>
          </cell>
          <cell r="Q104">
            <v>56.097272727272724</v>
          </cell>
          <cell r="R104">
            <v>56.097272727272724</v>
          </cell>
          <cell r="S104">
            <v>56.097272727272724</v>
          </cell>
          <cell r="T104">
            <v>56.097272727272724</v>
          </cell>
          <cell r="U104">
            <v>56.097272727272724</v>
          </cell>
        </row>
        <row r="105">
          <cell r="E105" t="str">
            <v>VT Res + Comm Coal CC</v>
          </cell>
          <cell r="F105">
            <v>61.963636363636354</v>
          </cell>
          <cell r="G105">
            <v>61.93636363636363</v>
          </cell>
          <cell r="H105">
            <v>62.018181818181816</v>
          </cell>
          <cell r="I105">
            <v>61.990909090909092</v>
          </cell>
          <cell r="J105">
            <v>61.963636363636354</v>
          </cell>
          <cell r="K105">
            <v>62.018181818181816</v>
          </cell>
          <cell r="L105">
            <v>61.93636363636363</v>
          </cell>
          <cell r="M105">
            <v>61.956624545454545</v>
          </cell>
          <cell r="N105">
            <v>62.018181818181816</v>
          </cell>
          <cell r="O105">
            <v>62.018181818181816</v>
          </cell>
          <cell r="P105">
            <v>62.018181818181816</v>
          </cell>
          <cell r="Q105">
            <v>62.018181818181816</v>
          </cell>
          <cell r="R105">
            <v>62.018181818181816</v>
          </cell>
          <cell r="S105">
            <v>62.018181818181816</v>
          </cell>
          <cell r="T105">
            <v>62.018181818181816</v>
          </cell>
          <cell r="U105">
            <v>62.018181818181816</v>
          </cell>
        </row>
        <row r="106">
          <cell r="E106" t="str">
            <v>WA Res + Comm Coal CC</v>
          </cell>
          <cell r="F106">
            <v>56.4</v>
          </cell>
          <cell r="G106">
            <v>56.590909090909086</v>
          </cell>
          <cell r="H106">
            <v>56.427272727272722</v>
          </cell>
          <cell r="I106">
            <v>56.61818181818181</v>
          </cell>
          <cell r="J106">
            <v>57.054545454545448</v>
          </cell>
          <cell r="K106">
            <v>56.75454545454545</v>
          </cell>
          <cell r="L106">
            <v>55.745454545454542</v>
          </cell>
          <cell r="M106">
            <v>55.732739999999993</v>
          </cell>
          <cell r="N106">
            <v>55.690909090909081</v>
          </cell>
          <cell r="O106">
            <v>55.674545454545445</v>
          </cell>
          <cell r="P106">
            <v>55.674545454545445</v>
          </cell>
          <cell r="Q106">
            <v>55.674545454545445</v>
          </cell>
          <cell r="R106">
            <v>55.674545454545445</v>
          </cell>
          <cell r="S106">
            <v>55.674545454545445</v>
          </cell>
          <cell r="T106">
            <v>55.674545454545445</v>
          </cell>
          <cell r="U106">
            <v>55.674545454545445</v>
          </cell>
        </row>
        <row r="107">
          <cell r="E107" t="str">
            <v>WI Res + Comm Coal CC</v>
          </cell>
          <cell r="F107">
            <v>57.763636363636365</v>
          </cell>
          <cell r="G107">
            <v>55.909090909090907</v>
          </cell>
          <cell r="H107">
            <v>55.881818181818183</v>
          </cell>
          <cell r="I107">
            <v>55.881818181818183</v>
          </cell>
          <cell r="J107">
            <v>55.881818181818183</v>
          </cell>
          <cell r="K107">
            <v>55.881818181818183</v>
          </cell>
          <cell r="L107">
            <v>55.881818181818183</v>
          </cell>
          <cell r="M107">
            <v>55.933933636363633</v>
          </cell>
          <cell r="N107">
            <v>55.857272727272722</v>
          </cell>
          <cell r="O107">
            <v>55.857272727272722</v>
          </cell>
          <cell r="P107">
            <v>55.857272727272722</v>
          </cell>
          <cell r="Q107">
            <v>55.857272727272722</v>
          </cell>
          <cell r="R107">
            <v>55.857272727272722</v>
          </cell>
          <cell r="S107">
            <v>55.857272727272722</v>
          </cell>
          <cell r="T107">
            <v>55.857272727272722</v>
          </cell>
          <cell r="U107">
            <v>55.857272727272722</v>
          </cell>
        </row>
        <row r="108">
          <cell r="E108" t="str">
            <v>WV Res + Comm Coal CC</v>
          </cell>
          <cell r="F108">
            <v>56.236363636363627</v>
          </cell>
          <cell r="G108">
            <v>56.454545454545453</v>
          </cell>
          <cell r="H108">
            <v>57.327272727272721</v>
          </cell>
          <cell r="I108">
            <v>56.809090909090905</v>
          </cell>
          <cell r="J108">
            <v>56.454545454545453</v>
          </cell>
          <cell r="K108">
            <v>56.836363636363636</v>
          </cell>
          <cell r="L108">
            <v>56.481818181818177</v>
          </cell>
          <cell r="M108">
            <v>56.567890909090906</v>
          </cell>
          <cell r="N108">
            <v>56.495454545454542</v>
          </cell>
          <cell r="O108">
            <v>56.495454545454542</v>
          </cell>
          <cell r="P108">
            <v>56.495454545454542</v>
          </cell>
          <cell r="Q108">
            <v>56.495454545454542</v>
          </cell>
          <cell r="R108">
            <v>56.495454545454542</v>
          </cell>
          <cell r="S108">
            <v>56.495454545454542</v>
          </cell>
          <cell r="T108">
            <v>56.495454545454542</v>
          </cell>
          <cell r="U108">
            <v>56.495454545454542</v>
          </cell>
        </row>
        <row r="109">
          <cell r="E109" t="str">
            <v>WY Res + Comm Coal CC</v>
          </cell>
          <cell r="F109">
            <v>58.009090909090901</v>
          </cell>
          <cell r="G109">
            <v>58.009090909090901</v>
          </cell>
          <cell r="H109">
            <v>58.009090909090901</v>
          </cell>
          <cell r="I109">
            <v>58.036363636363632</v>
          </cell>
          <cell r="J109">
            <v>58.036363636363632</v>
          </cell>
          <cell r="K109">
            <v>58.090909090909086</v>
          </cell>
          <cell r="L109">
            <v>58.063636363636363</v>
          </cell>
          <cell r="M109">
            <v>58.048535454545451</v>
          </cell>
          <cell r="N109">
            <v>58.08</v>
          </cell>
          <cell r="O109">
            <v>58.009090909090901</v>
          </cell>
          <cell r="P109">
            <v>58.009090909090901</v>
          </cell>
          <cell r="Q109">
            <v>58.009090909090901</v>
          </cell>
          <cell r="R109">
            <v>58.009090909090901</v>
          </cell>
          <cell r="S109">
            <v>58.009090909090901</v>
          </cell>
          <cell r="T109">
            <v>58.009090909090901</v>
          </cell>
          <cell r="U109">
            <v>58.009090909090901</v>
          </cell>
        </row>
        <row r="110">
          <cell r="E110" t="str">
            <v>AL Coking Coal CC</v>
          </cell>
          <cell r="F110">
            <v>56.18181818181818</v>
          </cell>
          <cell r="G110">
            <v>56.236363636363627</v>
          </cell>
          <cell r="H110">
            <v>56.209090909090904</v>
          </cell>
          <cell r="I110">
            <v>56.236363636363627</v>
          </cell>
          <cell r="J110">
            <v>56.236363636363627</v>
          </cell>
          <cell r="K110">
            <v>56.236363636363627</v>
          </cell>
          <cell r="L110">
            <v>56.209090909090904</v>
          </cell>
          <cell r="M110">
            <v>56.243697272727267</v>
          </cell>
          <cell r="N110">
            <v>56.290909090909089</v>
          </cell>
          <cell r="O110">
            <v>56.318181818181813</v>
          </cell>
          <cell r="P110">
            <v>56.318181818181813</v>
          </cell>
          <cell r="Q110">
            <v>56.318181818181813</v>
          </cell>
          <cell r="R110">
            <v>56.318181818181813</v>
          </cell>
          <cell r="S110">
            <v>56.318181818181813</v>
          </cell>
          <cell r="T110">
            <v>56.318181818181813</v>
          </cell>
          <cell r="U110">
            <v>56.318181818181813</v>
          </cell>
        </row>
        <row r="111">
          <cell r="E111" t="str">
            <v>AK Coking Coal CC</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row>
        <row r="112">
          <cell r="E112" t="str">
            <v>AR Coking Coal CC</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row>
        <row r="113">
          <cell r="E113" t="str">
            <v>AZ Coking Coal CC</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row>
        <row r="114">
          <cell r="E114" t="str">
            <v>CA Coking Coal CC</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row>
        <row r="115">
          <cell r="E115" t="str">
            <v>CO Coking Coal CC</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row>
        <row r="116">
          <cell r="E116" t="str">
            <v>CT Coking Coal CC</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row>
        <row r="117">
          <cell r="E117" t="str">
            <v>DC Coking Coal CC</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row>
        <row r="118">
          <cell r="E118" t="str">
            <v>DE Coking Coal CC</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row>
        <row r="119">
          <cell r="E119" t="str">
            <v>FL Coking Coal CC</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row>
        <row r="120">
          <cell r="E120" t="str">
            <v>GA Coking Coal CC</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row>
        <row r="121">
          <cell r="E121" t="str">
            <v>HI Coking Coal CC</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row>
        <row r="122">
          <cell r="E122" t="str">
            <v>IA Coking Coal CC</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row>
        <row r="123">
          <cell r="E123" t="str">
            <v>ID Coking Coal CC</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row>
        <row r="124">
          <cell r="E124" t="str">
            <v>IL Coking Coal CC</v>
          </cell>
          <cell r="F124">
            <v>56.127272727272725</v>
          </cell>
          <cell r="G124">
            <v>56.290909090909089</v>
          </cell>
          <cell r="H124">
            <v>56.318181818181813</v>
          </cell>
          <cell r="I124">
            <v>56.290909090909089</v>
          </cell>
          <cell r="J124">
            <v>56.4</v>
          </cell>
          <cell r="K124">
            <v>56.345454545454537</v>
          </cell>
          <cell r="L124">
            <v>56.345454545454537</v>
          </cell>
          <cell r="M124">
            <v>56.367098181818179</v>
          </cell>
          <cell r="N124">
            <v>56.4</v>
          </cell>
          <cell r="O124">
            <v>56.372727272727268</v>
          </cell>
          <cell r="P124">
            <v>56.372727272727268</v>
          </cell>
          <cell r="Q124">
            <v>56.372727272727268</v>
          </cell>
          <cell r="R124">
            <v>56.372727272727268</v>
          </cell>
          <cell r="S124">
            <v>56.372727272727268</v>
          </cell>
          <cell r="T124">
            <v>56.372727272727268</v>
          </cell>
          <cell r="U124">
            <v>56.372727272727268</v>
          </cell>
        </row>
        <row r="125">
          <cell r="E125" t="str">
            <v>IN Coking Coal CC</v>
          </cell>
          <cell r="F125">
            <v>56.127272727272725</v>
          </cell>
          <cell r="G125">
            <v>56.18181818181818</v>
          </cell>
          <cell r="H125">
            <v>56.18181818181818</v>
          </cell>
          <cell r="I125">
            <v>56.209090909090904</v>
          </cell>
          <cell r="J125">
            <v>56.263636363636365</v>
          </cell>
          <cell r="K125">
            <v>56.290909090909089</v>
          </cell>
          <cell r="L125">
            <v>56.263636363636365</v>
          </cell>
          <cell r="M125">
            <v>56.422797272727266</v>
          </cell>
          <cell r="N125">
            <v>56.4</v>
          </cell>
          <cell r="O125">
            <v>56.4</v>
          </cell>
          <cell r="P125">
            <v>56.4</v>
          </cell>
          <cell r="Q125">
            <v>56.4</v>
          </cell>
          <cell r="R125">
            <v>56.4</v>
          </cell>
          <cell r="S125">
            <v>56.4</v>
          </cell>
          <cell r="T125">
            <v>56.4</v>
          </cell>
          <cell r="U125">
            <v>56.4</v>
          </cell>
        </row>
        <row r="126">
          <cell r="E126" t="str">
            <v>KS Coking Coal CC</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row>
        <row r="127">
          <cell r="E127" t="str">
            <v>KY Coking Coal CC</v>
          </cell>
          <cell r="F127">
            <v>56.372727272727268</v>
          </cell>
          <cell r="G127">
            <v>56.4</v>
          </cell>
          <cell r="H127">
            <v>56.263636363636365</v>
          </cell>
          <cell r="I127">
            <v>56.290909090909089</v>
          </cell>
          <cell r="J127">
            <v>56.372727272727268</v>
          </cell>
          <cell r="K127">
            <v>56.4</v>
          </cell>
          <cell r="L127">
            <v>56.318181818181813</v>
          </cell>
          <cell r="M127">
            <v>56.292785454545452</v>
          </cell>
          <cell r="N127">
            <v>56.345454545454537</v>
          </cell>
          <cell r="O127">
            <v>56.318181818181813</v>
          </cell>
          <cell r="P127">
            <v>56.318181818181813</v>
          </cell>
          <cell r="Q127">
            <v>56.318181818181813</v>
          </cell>
          <cell r="R127">
            <v>56.318181818181813</v>
          </cell>
          <cell r="S127">
            <v>56.318181818181813</v>
          </cell>
          <cell r="T127">
            <v>56.318181818181813</v>
          </cell>
          <cell r="U127">
            <v>56.318181818181813</v>
          </cell>
        </row>
        <row r="128">
          <cell r="E128" t="str">
            <v>LA Coking Coal CC</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row>
        <row r="129">
          <cell r="E129" t="str">
            <v>MA Coking Coal CC</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row>
        <row r="130">
          <cell r="E130" t="str">
            <v>MD Coking Coal CC</v>
          </cell>
          <cell r="F130">
            <v>56.236363636363627</v>
          </cell>
          <cell r="G130">
            <v>56.154545454545449</v>
          </cell>
          <cell r="H130">
            <v>56.195454545454538</v>
          </cell>
          <cell r="I130">
            <v>56.195454545454538</v>
          </cell>
          <cell r="J130">
            <v>56.195454545454538</v>
          </cell>
          <cell r="K130">
            <v>56.195454545454538</v>
          </cell>
          <cell r="L130">
            <v>56.195454545454538</v>
          </cell>
          <cell r="M130">
            <v>56.195454545454538</v>
          </cell>
          <cell r="N130">
            <v>56.195454545454538</v>
          </cell>
          <cell r="O130">
            <v>56.195454545454538</v>
          </cell>
          <cell r="P130">
            <v>56.195454545454538</v>
          </cell>
          <cell r="Q130">
            <v>56.195454545454538</v>
          </cell>
          <cell r="R130">
            <v>56.195454545454538</v>
          </cell>
          <cell r="S130">
            <v>56.195454545454538</v>
          </cell>
          <cell r="T130">
            <v>56.195454545454538</v>
          </cell>
          <cell r="U130">
            <v>56.195454545454538</v>
          </cell>
        </row>
        <row r="131">
          <cell r="E131" t="str">
            <v>ME Coking Coal CC</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row>
        <row r="132">
          <cell r="E132" t="str">
            <v>MI Coking Coal CC</v>
          </cell>
          <cell r="F132">
            <v>56.290909090909089</v>
          </cell>
          <cell r="G132">
            <v>56.372727272727268</v>
          </cell>
          <cell r="H132">
            <v>56.672727272727272</v>
          </cell>
          <cell r="I132">
            <v>56.61818181818181</v>
          </cell>
          <cell r="J132">
            <v>56.1</v>
          </cell>
          <cell r="K132">
            <v>56.18181818181818</v>
          </cell>
          <cell r="L132">
            <v>56.290909090909089</v>
          </cell>
          <cell r="M132">
            <v>56.211529090909082</v>
          </cell>
          <cell r="N132">
            <v>56.209090909090904</v>
          </cell>
          <cell r="O132">
            <v>56.236363636363627</v>
          </cell>
          <cell r="P132">
            <v>56.236363636363627</v>
          </cell>
          <cell r="Q132">
            <v>56.236363636363627</v>
          </cell>
          <cell r="R132">
            <v>56.236363636363627</v>
          </cell>
          <cell r="S132">
            <v>56.236363636363627</v>
          </cell>
          <cell r="T132">
            <v>56.236363636363627</v>
          </cell>
          <cell r="U132">
            <v>56.236363636363627</v>
          </cell>
        </row>
        <row r="133">
          <cell r="E133" t="str">
            <v>MN Coking Coal CC</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row>
        <row r="134">
          <cell r="E134" t="str">
            <v>MO Coking Coal CC</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row>
        <row r="135">
          <cell r="E135" t="str">
            <v>MS Coking Coal CC</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row>
        <row r="136">
          <cell r="E136" t="str">
            <v>MT Coking Coal CC</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row>
        <row r="137">
          <cell r="E137" t="str">
            <v>NC Coking Coal CC</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row>
        <row r="138">
          <cell r="E138" t="str">
            <v>ND Coking Coal CC</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row>
        <row r="139">
          <cell r="E139" t="str">
            <v>NE Coking Coal CC</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row>
        <row r="140">
          <cell r="E140" t="str">
            <v>NH Coking Coal CC</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row>
        <row r="141">
          <cell r="E141" t="str">
            <v>NJ Coking Coal CC</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row>
        <row r="142">
          <cell r="E142" t="str">
            <v>NM Coking Coal CC</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row>
        <row r="143">
          <cell r="E143" t="str">
            <v>NV Coking Coal CC</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row>
        <row r="144">
          <cell r="E144" t="str">
            <v>NY Coking Coal CC</v>
          </cell>
          <cell r="F144">
            <v>56.236363636363627</v>
          </cell>
          <cell r="G144">
            <v>56.209090909090904</v>
          </cell>
          <cell r="H144">
            <v>56.209090909090904</v>
          </cell>
          <cell r="I144">
            <v>56.4</v>
          </cell>
          <cell r="J144">
            <v>56.372727272727268</v>
          </cell>
          <cell r="K144">
            <v>56.372727272727268</v>
          </cell>
          <cell r="L144">
            <v>56.372727272727268</v>
          </cell>
          <cell r="M144">
            <v>56.203614545454535</v>
          </cell>
          <cell r="N144">
            <v>56.454545454545453</v>
          </cell>
          <cell r="O144">
            <v>56.4</v>
          </cell>
          <cell r="P144">
            <v>56.4</v>
          </cell>
          <cell r="Q144">
            <v>56.4</v>
          </cell>
          <cell r="R144">
            <v>56.4</v>
          </cell>
          <cell r="S144">
            <v>56.4</v>
          </cell>
          <cell r="T144">
            <v>56.4</v>
          </cell>
          <cell r="U144">
            <v>56.4</v>
          </cell>
        </row>
        <row r="145">
          <cell r="E145" t="str">
            <v>OH Coking Coal CC</v>
          </cell>
          <cell r="F145">
            <v>56.345454545454537</v>
          </cell>
          <cell r="G145">
            <v>56.290909090909089</v>
          </cell>
          <cell r="H145">
            <v>56.290909090909089</v>
          </cell>
          <cell r="I145">
            <v>56.18181818181818</v>
          </cell>
          <cell r="J145">
            <v>56.290909090909089</v>
          </cell>
          <cell r="K145">
            <v>56.345454545454537</v>
          </cell>
          <cell r="L145">
            <v>56.345454545454537</v>
          </cell>
          <cell r="M145">
            <v>56.292469090909087</v>
          </cell>
          <cell r="N145">
            <v>56.345454545454537</v>
          </cell>
          <cell r="O145">
            <v>56.345454545454537</v>
          </cell>
          <cell r="P145">
            <v>56.345454545454537</v>
          </cell>
          <cell r="Q145">
            <v>56.345454545454537</v>
          </cell>
          <cell r="R145">
            <v>56.345454545454537</v>
          </cell>
          <cell r="S145">
            <v>56.345454545454537</v>
          </cell>
          <cell r="T145">
            <v>56.345454545454537</v>
          </cell>
          <cell r="U145">
            <v>56.345454545454537</v>
          </cell>
        </row>
        <row r="146">
          <cell r="E146" t="str">
            <v>OK Coking Coal CC</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row>
        <row r="147">
          <cell r="E147" t="str">
            <v>OR Coking Coal CC</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row>
        <row r="148">
          <cell r="E148" t="str">
            <v>PA Coking Coal CC</v>
          </cell>
          <cell r="F148">
            <v>56.236363636363627</v>
          </cell>
          <cell r="G148">
            <v>56.236363636363627</v>
          </cell>
          <cell r="H148">
            <v>56.209090909090904</v>
          </cell>
          <cell r="I148">
            <v>56.236363636363627</v>
          </cell>
          <cell r="J148">
            <v>56.236363636363627</v>
          </cell>
          <cell r="K148">
            <v>56.236363636363627</v>
          </cell>
          <cell r="L148">
            <v>56.263636363636365</v>
          </cell>
          <cell r="M148">
            <v>56.325559090909088</v>
          </cell>
          <cell r="N148">
            <v>56.345454545454537</v>
          </cell>
          <cell r="O148">
            <v>56.372727272727268</v>
          </cell>
          <cell r="P148">
            <v>56.372727272727268</v>
          </cell>
          <cell r="Q148">
            <v>56.372727272727268</v>
          </cell>
          <cell r="R148">
            <v>56.372727272727268</v>
          </cell>
          <cell r="S148">
            <v>56.372727272727268</v>
          </cell>
          <cell r="T148">
            <v>56.372727272727268</v>
          </cell>
          <cell r="U148">
            <v>56.372727272727268</v>
          </cell>
        </row>
        <row r="149">
          <cell r="E149" t="str">
            <v>RI Coking Coal CC</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row>
        <row r="150">
          <cell r="E150" t="str">
            <v>SC Coking Coal CC</v>
          </cell>
          <cell r="F150">
            <v>0</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row>
        <row r="151">
          <cell r="E151" t="str">
            <v>SD Coking Coal CC</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row>
        <row r="152">
          <cell r="E152" t="str">
            <v>TN Coking Coal CC</v>
          </cell>
          <cell r="F152">
            <v>56.61818181818181</v>
          </cell>
          <cell r="G152">
            <v>56.61818181818181</v>
          </cell>
          <cell r="H152">
            <v>56.236363636363627</v>
          </cell>
          <cell r="I152">
            <v>56.331818181818171</v>
          </cell>
          <cell r="J152">
            <v>55.854545454545452</v>
          </cell>
          <cell r="K152">
            <v>56.331818181818171</v>
          </cell>
          <cell r="L152">
            <v>56.331818181818171</v>
          </cell>
          <cell r="M152">
            <v>56.331818181818171</v>
          </cell>
          <cell r="N152">
            <v>56.331818181818171</v>
          </cell>
          <cell r="O152">
            <v>56.331818181818171</v>
          </cell>
          <cell r="P152">
            <v>56.331818181818171</v>
          </cell>
          <cell r="Q152">
            <v>56.331818181818171</v>
          </cell>
          <cell r="R152">
            <v>56.331818181818171</v>
          </cell>
          <cell r="S152">
            <v>56.331818181818171</v>
          </cell>
          <cell r="T152">
            <v>56.331818181818171</v>
          </cell>
          <cell r="U152">
            <v>56.331818181818171</v>
          </cell>
        </row>
        <row r="153">
          <cell r="E153" t="str">
            <v>TX Coking Coal CC</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row>
        <row r="154">
          <cell r="E154" t="str">
            <v>US Coking Coal CC</v>
          </cell>
          <cell r="F154">
            <v>56.236363636363627</v>
          </cell>
          <cell r="G154">
            <v>56.236363636363627</v>
          </cell>
          <cell r="H154">
            <v>56.236363636363627</v>
          </cell>
          <cell r="I154">
            <v>56.236363636363627</v>
          </cell>
          <cell r="J154">
            <v>56.263636363636365</v>
          </cell>
          <cell r="K154">
            <v>56.290909090909089</v>
          </cell>
          <cell r="L154">
            <v>56.318181818181813</v>
          </cell>
          <cell r="M154">
            <v>56.347456363636361</v>
          </cell>
          <cell r="N154">
            <v>56.372727272727268</v>
          </cell>
          <cell r="O154">
            <v>56.372727272727268</v>
          </cell>
          <cell r="P154">
            <v>56.372727272727268</v>
          </cell>
          <cell r="Q154">
            <v>56.372727272727268</v>
          </cell>
          <cell r="R154">
            <v>56.372727272727268</v>
          </cell>
          <cell r="S154">
            <v>56.372727272727268</v>
          </cell>
          <cell r="T154">
            <v>56.372727272727268</v>
          </cell>
          <cell r="U154">
            <v>56.372727272727268</v>
          </cell>
        </row>
        <row r="155">
          <cell r="E155" t="str">
            <v>UT Coking Coal CC</v>
          </cell>
          <cell r="F155">
            <v>56.781818181818174</v>
          </cell>
          <cell r="G155">
            <v>56.18181818181818</v>
          </cell>
          <cell r="H155">
            <v>56.072727272727271</v>
          </cell>
          <cell r="I155">
            <v>56.04545454545454</v>
          </cell>
          <cell r="J155">
            <v>56.127272727272725</v>
          </cell>
          <cell r="K155">
            <v>56.536363636363639</v>
          </cell>
          <cell r="L155">
            <v>56.836363636363636</v>
          </cell>
          <cell r="M155">
            <v>56.999814545454541</v>
          </cell>
          <cell r="N155">
            <v>56.290909090909089</v>
          </cell>
          <cell r="O155">
            <v>56.290909090909089</v>
          </cell>
          <cell r="P155">
            <v>56.290909090909089</v>
          </cell>
          <cell r="Q155">
            <v>56.290909090909089</v>
          </cell>
          <cell r="R155">
            <v>56.290909090909089</v>
          </cell>
          <cell r="S155">
            <v>56.290909090909089</v>
          </cell>
          <cell r="T155">
            <v>56.290909090909089</v>
          </cell>
          <cell r="U155">
            <v>56.290909090909089</v>
          </cell>
        </row>
        <row r="156">
          <cell r="E156" t="str">
            <v>VA Coking Coal CC</v>
          </cell>
          <cell r="F156">
            <v>56.236363636363627</v>
          </cell>
          <cell r="G156">
            <v>56.236363636363627</v>
          </cell>
          <cell r="H156">
            <v>56.236363636363627</v>
          </cell>
          <cell r="I156">
            <v>56.236363636363627</v>
          </cell>
          <cell r="J156">
            <v>56.236363636363627</v>
          </cell>
          <cell r="K156">
            <v>56.236363636363627</v>
          </cell>
          <cell r="L156">
            <v>56.236363636363627</v>
          </cell>
          <cell r="M156">
            <v>56.244520909090902</v>
          </cell>
          <cell r="N156">
            <v>56.236363636363627</v>
          </cell>
          <cell r="O156">
            <v>56.236363636363627</v>
          </cell>
          <cell r="P156">
            <v>56.236363636363627</v>
          </cell>
          <cell r="Q156">
            <v>56.236363636363627</v>
          </cell>
          <cell r="R156">
            <v>56.236363636363627</v>
          </cell>
          <cell r="S156">
            <v>56.236363636363627</v>
          </cell>
          <cell r="T156">
            <v>56.236363636363627</v>
          </cell>
          <cell r="U156">
            <v>56.236363636363627</v>
          </cell>
        </row>
        <row r="157">
          <cell r="E157" t="str">
            <v>VT Coking Coal CC</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row>
        <row r="158">
          <cell r="E158" t="str">
            <v>WA Coking Coal CC</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row>
        <row r="159">
          <cell r="E159" t="str">
            <v>WI Coking Coal CC</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row>
        <row r="160">
          <cell r="E160" t="str">
            <v>WV Coking Coal CC</v>
          </cell>
          <cell r="F160">
            <v>56.372727272727268</v>
          </cell>
          <cell r="G160">
            <v>56.4</v>
          </cell>
          <cell r="H160">
            <v>56.372727272727268</v>
          </cell>
          <cell r="I160">
            <v>56.4</v>
          </cell>
          <cell r="J160">
            <v>56.4</v>
          </cell>
          <cell r="K160">
            <v>56.454545454545453</v>
          </cell>
          <cell r="L160">
            <v>56.4</v>
          </cell>
          <cell r="M160">
            <v>56.392947272727262</v>
          </cell>
          <cell r="N160">
            <v>56.481818181818177</v>
          </cell>
          <cell r="O160">
            <v>56.481818181818177</v>
          </cell>
          <cell r="P160">
            <v>56.481818181818177</v>
          </cell>
          <cell r="Q160">
            <v>56.481818181818177</v>
          </cell>
          <cell r="R160">
            <v>56.481818181818177</v>
          </cell>
          <cell r="S160">
            <v>56.481818181818177</v>
          </cell>
          <cell r="T160">
            <v>56.481818181818177</v>
          </cell>
          <cell r="U160">
            <v>56.481818181818177</v>
          </cell>
        </row>
        <row r="161">
          <cell r="E161" t="str">
            <v>WY Coking Coal CC</v>
          </cell>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row>
        <row r="162">
          <cell r="E162" t="str">
            <v>AL Other Coal CC</v>
          </cell>
          <cell r="F162">
            <v>56.04545454545454</v>
          </cell>
          <cell r="G162">
            <v>56.072727272727271</v>
          </cell>
          <cell r="H162">
            <v>56.1</v>
          </cell>
          <cell r="I162">
            <v>56.018181818181816</v>
          </cell>
          <cell r="J162">
            <v>56.018181818181816</v>
          </cell>
          <cell r="K162">
            <v>56.018181818181816</v>
          </cell>
          <cell r="L162">
            <v>56.018181818181816</v>
          </cell>
          <cell r="M162">
            <v>56.054487272727265</v>
          </cell>
          <cell r="N162">
            <v>56.026363636363634</v>
          </cell>
          <cell r="O162">
            <v>56.029090909090904</v>
          </cell>
          <cell r="P162">
            <v>56.029090909090904</v>
          </cell>
          <cell r="Q162">
            <v>56.029090909090904</v>
          </cell>
          <cell r="R162">
            <v>56.029090909090904</v>
          </cell>
          <cell r="S162">
            <v>56.029090909090904</v>
          </cell>
          <cell r="T162">
            <v>56.029090909090904</v>
          </cell>
          <cell r="U162">
            <v>56.029090909090904</v>
          </cell>
        </row>
        <row r="163">
          <cell r="E163" t="str">
            <v>AK Other Coal CC</v>
          </cell>
          <cell r="F163">
            <v>62.018181818181816</v>
          </cell>
          <cell r="G163">
            <v>62.018181818181816</v>
          </cell>
          <cell r="H163">
            <v>62.018181818181816</v>
          </cell>
          <cell r="I163">
            <v>62.018181818181816</v>
          </cell>
          <cell r="J163">
            <v>62.018181818181816</v>
          </cell>
          <cell r="K163">
            <v>62.018181818181816</v>
          </cell>
          <cell r="L163">
            <v>62.018181818181816</v>
          </cell>
          <cell r="M163">
            <v>62.018181818181816</v>
          </cell>
          <cell r="N163">
            <v>62.018181818181816</v>
          </cell>
          <cell r="O163">
            <v>62.018181818181816</v>
          </cell>
          <cell r="P163">
            <v>62.018181818181816</v>
          </cell>
          <cell r="Q163">
            <v>62.018181818181816</v>
          </cell>
          <cell r="R163">
            <v>62.018181818181816</v>
          </cell>
          <cell r="S163">
            <v>62.018181818181816</v>
          </cell>
          <cell r="T163">
            <v>62.018181818181816</v>
          </cell>
          <cell r="U163">
            <v>62.018181818181816</v>
          </cell>
        </row>
        <row r="164">
          <cell r="E164" t="str">
            <v>AR Other Coal CC</v>
          </cell>
          <cell r="F164">
            <v>55.990909090909092</v>
          </cell>
          <cell r="G164">
            <v>55.93636363636363</v>
          </cell>
          <cell r="H164">
            <v>55.963636363636354</v>
          </cell>
          <cell r="I164">
            <v>56.18181818181818</v>
          </cell>
          <cell r="J164">
            <v>56.263636363636365</v>
          </cell>
          <cell r="K164">
            <v>56.154545454545449</v>
          </cell>
          <cell r="L164">
            <v>56.18181818181818</v>
          </cell>
          <cell r="M164">
            <v>56.12492727272727</v>
          </cell>
          <cell r="N164">
            <v>56.173636363636362</v>
          </cell>
          <cell r="O164">
            <v>56.1</v>
          </cell>
          <cell r="P164">
            <v>56.1</v>
          </cell>
          <cell r="Q164">
            <v>56.1</v>
          </cell>
          <cell r="R164">
            <v>56.1</v>
          </cell>
          <cell r="S164">
            <v>56.1</v>
          </cell>
          <cell r="T164">
            <v>56.1</v>
          </cell>
          <cell r="U164">
            <v>56.1</v>
          </cell>
        </row>
        <row r="165">
          <cell r="E165" t="str">
            <v>AZ Other Coal CC</v>
          </cell>
          <cell r="F165">
            <v>56.590909090909086</v>
          </cell>
          <cell r="G165">
            <v>56.454545454545453</v>
          </cell>
          <cell r="H165">
            <v>56.372727272727268</v>
          </cell>
          <cell r="I165">
            <v>56.427272727272722</v>
          </cell>
          <cell r="J165">
            <v>56.509090909090901</v>
          </cell>
          <cell r="K165">
            <v>56.372727272727268</v>
          </cell>
          <cell r="L165">
            <v>56.454545454545453</v>
          </cell>
          <cell r="M165">
            <v>56.300904545454536</v>
          </cell>
          <cell r="N165">
            <v>56.740909090909092</v>
          </cell>
          <cell r="O165">
            <v>56.75454545454545</v>
          </cell>
          <cell r="P165">
            <v>56.75454545454545</v>
          </cell>
          <cell r="Q165">
            <v>56.75454545454545</v>
          </cell>
          <cell r="R165">
            <v>56.75454545454545</v>
          </cell>
          <cell r="S165">
            <v>56.75454545454545</v>
          </cell>
          <cell r="T165">
            <v>56.75454545454545</v>
          </cell>
          <cell r="U165">
            <v>56.75454545454545</v>
          </cell>
        </row>
        <row r="166">
          <cell r="E166" t="str">
            <v>CA Other Coal CC</v>
          </cell>
          <cell r="F166">
            <v>55.8</v>
          </cell>
          <cell r="G166">
            <v>55.8</v>
          </cell>
          <cell r="H166">
            <v>55.690909090909081</v>
          </cell>
          <cell r="I166">
            <v>55.663636363636357</v>
          </cell>
          <cell r="J166">
            <v>55.663636363636357</v>
          </cell>
          <cell r="K166">
            <v>55.663636363636357</v>
          </cell>
          <cell r="L166">
            <v>55.663636363636357</v>
          </cell>
          <cell r="M166">
            <v>55.707501818181818</v>
          </cell>
          <cell r="N166">
            <v>55.794545454545457</v>
          </cell>
          <cell r="O166">
            <v>55.797272727272727</v>
          </cell>
          <cell r="P166">
            <v>55.797272727272727</v>
          </cell>
          <cell r="Q166">
            <v>55.797272727272727</v>
          </cell>
          <cell r="R166">
            <v>55.797272727272727</v>
          </cell>
          <cell r="S166">
            <v>55.797272727272727</v>
          </cell>
          <cell r="T166">
            <v>55.797272727272727</v>
          </cell>
          <cell r="U166">
            <v>55.797272727272727</v>
          </cell>
        </row>
        <row r="167">
          <cell r="E167" t="str">
            <v>CO Other Coal CC</v>
          </cell>
          <cell r="F167">
            <v>57.818181818181813</v>
          </cell>
          <cell r="G167">
            <v>57.981818181818177</v>
          </cell>
          <cell r="H167">
            <v>57.954545454545453</v>
          </cell>
          <cell r="I167">
            <v>58.009090909090901</v>
          </cell>
          <cell r="J167">
            <v>58.11818181818181</v>
          </cell>
          <cell r="K167">
            <v>58.090909090909086</v>
          </cell>
          <cell r="L167">
            <v>58.11818181818181</v>
          </cell>
          <cell r="M167">
            <v>58.141167272727266</v>
          </cell>
          <cell r="N167">
            <v>56.252727272727263</v>
          </cell>
          <cell r="O167">
            <v>56.25</v>
          </cell>
          <cell r="P167">
            <v>56.25</v>
          </cell>
          <cell r="Q167">
            <v>56.25</v>
          </cell>
          <cell r="R167">
            <v>56.25</v>
          </cell>
          <cell r="S167">
            <v>56.25</v>
          </cell>
          <cell r="T167">
            <v>56.25</v>
          </cell>
          <cell r="U167">
            <v>56.25</v>
          </cell>
        </row>
        <row r="168">
          <cell r="E168" t="str">
            <v>CT Other Coal CC</v>
          </cell>
          <cell r="F168">
            <v>62.018181818181816</v>
          </cell>
          <cell r="G168">
            <v>56.154545454545449</v>
          </cell>
          <cell r="H168">
            <v>55.827272727272721</v>
          </cell>
          <cell r="I168">
            <v>56.481818181818177</v>
          </cell>
          <cell r="J168">
            <v>56.481818181818177</v>
          </cell>
          <cell r="K168">
            <v>62.018181818181816</v>
          </cell>
          <cell r="L168">
            <v>56.481818181818177</v>
          </cell>
          <cell r="M168">
            <v>57.540303030303029</v>
          </cell>
          <cell r="N168">
            <v>56.481818181818177</v>
          </cell>
          <cell r="O168">
            <v>55.917272727272724</v>
          </cell>
          <cell r="P168">
            <v>55.917272727272724</v>
          </cell>
          <cell r="Q168">
            <v>55.917272727272724</v>
          </cell>
          <cell r="R168">
            <v>55.917272727272724</v>
          </cell>
          <cell r="S168">
            <v>55.917272727272724</v>
          </cell>
          <cell r="T168">
            <v>55.917272727272724</v>
          </cell>
          <cell r="U168">
            <v>55.917272727272724</v>
          </cell>
        </row>
        <row r="169">
          <cell r="E169" t="str">
            <v>DC Other Coal CC</v>
          </cell>
          <cell r="F169">
            <v>58.569090909090903</v>
          </cell>
          <cell r="G169">
            <v>58.569090909090903</v>
          </cell>
          <cell r="H169">
            <v>58.569090909090903</v>
          </cell>
          <cell r="I169">
            <v>58.569090909090903</v>
          </cell>
          <cell r="J169">
            <v>58.569090909090903</v>
          </cell>
          <cell r="K169">
            <v>58.569090909090903</v>
          </cell>
          <cell r="L169">
            <v>62.018181818181816</v>
          </cell>
          <cell r="M169">
            <v>58.569090909090903</v>
          </cell>
          <cell r="N169">
            <v>56.836363636363636</v>
          </cell>
          <cell r="O169">
            <v>56.852727272727272</v>
          </cell>
          <cell r="P169">
            <v>56.852727272727272</v>
          </cell>
          <cell r="Q169">
            <v>56.852727272727272</v>
          </cell>
          <cell r="R169">
            <v>56.852727272727272</v>
          </cell>
          <cell r="S169">
            <v>56.852727272727272</v>
          </cell>
          <cell r="T169">
            <v>56.852727272727272</v>
          </cell>
          <cell r="U169">
            <v>56.852727272727272</v>
          </cell>
        </row>
        <row r="170">
          <cell r="E170" t="str">
            <v>DE Other Coal CC</v>
          </cell>
          <cell r="F170">
            <v>56.209090909090904</v>
          </cell>
          <cell r="G170">
            <v>56.18181818181818</v>
          </cell>
          <cell r="H170">
            <v>56.563636363636363</v>
          </cell>
          <cell r="I170">
            <v>56.72727272727272</v>
          </cell>
          <cell r="J170">
            <v>56.645454545454541</v>
          </cell>
          <cell r="K170">
            <v>56.61818181818181</v>
          </cell>
          <cell r="L170">
            <v>56.72727272727272</v>
          </cell>
          <cell r="M170">
            <v>56.740058181818171</v>
          </cell>
          <cell r="N170">
            <v>55.952727272727266</v>
          </cell>
          <cell r="O170">
            <v>56.1</v>
          </cell>
          <cell r="P170">
            <v>56.1</v>
          </cell>
          <cell r="Q170">
            <v>56.1</v>
          </cell>
          <cell r="R170">
            <v>56.1</v>
          </cell>
          <cell r="S170">
            <v>56.1</v>
          </cell>
          <cell r="T170">
            <v>56.1</v>
          </cell>
          <cell r="U170">
            <v>56.1</v>
          </cell>
        </row>
        <row r="171">
          <cell r="E171" t="str">
            <v>FL Other Coal CC</v>
          </cell>
          <cell r="F171">
            <v>56.018181818181816</v>
          </cell>
          <cell r="G171">
            <v>55.963636363636354</v>
          </cell>
          <cell r="H171">
            <v>55.93636363636363</v>
          </cell>
          <cell r="I171">
            <v>55.963636363636354</v>
          </cell>
          <cell r="J171">
            <v>55.93636363636363</v>
          </cell>
          <cell r="K171">
            <v>56.018181818181816</v>
          </cell>
          <cell r="L171">
            <v>55.990909090909092</v>
          </cell>
          <cell r="M171">
            <v>55.954314545454544</v>
          </cell>
          <cell r="N171">
            <v>55.873636363636358</v>
          </cell>
          <cell r="O171">
            <v>55.849090909090904</v>
          </cell>
          <cell r="P171">
            <v>55.849090909090904</v>
          </cell>
          <cell r="Q171">
            <v>55.849090909090904</v>
          </cell>
          <cell r="R171">
            <v>55.849090909090904</v>
          </cell>
          <cell r="S171">
            <v>55.849090909090904</v>
          </cell>
          <cell r="T171">
            <v>55.849090909090904</v>
          </cell>
          <cell r="U171">
            <v>55.849090909090904</v>
          </cell>
        </row>
        <row r="172">
          <cell r="E172" t="str">
            <v>GA Other Coal CC</v>
          </cell>
          <cell r="F172">
            <v>55.93636363636363</v>
          </cell>
          <cell r="G172">
            <v>55.909090909090907</v>
          </cell>
          <cell r="H172">
            <v>55.881818181818183</v>
          </cell>
          <cell r="I172">
            <v>55.881818181818183</v>
          </cell>
          <cell r="J172">
            <v>55.909090909090907</v>
          </cell>
          <cell r="K172">
            <v>55.909090909090907</v>
          </cell>
          <cell r="L172">
            <v>55.909090909090907</v>
          </cell>
          <cell r="M172">
            <v>55.932449999999996</v>
          </cell>
          <cell r="N172">
            <v>55.881818181818183</v>
          </cell>
          <cell r="O172">
            <v>55.947272727272718</v>
          </cell>
          <cell r="P172">
            <v>55.947272727272718</v>
          </cell>
          <cell r="Q172">
            <v>55.947272727272718</v>
          </cell>
          <cell r="R172">
            <v>55.947272727272718</v>
          </cell>
          <cell r="S172">
            <v>55.947272727272718</v>
          </cell>
          <cell r="T172">
            <v>55.947272727272718</v>
          </cell>
          <cell r="U172">
            <v>55.947272727272718</v>
          </cell>
        </row>
        <row r="173">
          <cell r="E173" t="str">
            <v>HI Other Coal CC</v>
          </cell>
          <cell r="F173">
            <v>55.745454545454542</v>
          </cell>
          <cell r="G173">
            <v>55.745454545454542</v>
          </cell>
          <cell r="H173">
            <v>55.745454545454542</v>
          </cell>
          <cell r="I173">
            <v>55.745454545454542</v>
          </cell>
          <cell r="J173">
            <v>55.745454545454542</v>
          </cell>
          <cell r="K173">
            <v>55.745454545454542</v>
          </cell>
          <cell r="L173">
            <v>55.745454545454542</v>
          </cell>
          <cell r="M173">
            <v>55.73157545454545</v>
          </cell>
          <cell r="N173">
            <v>55.663636363636357</v>
          </cell>
          <cell r="O173">
            <v>55.734821515151516</v>
          </cell>
          <cell r="P173">
            <v>55.734821515151516</v>
          </cell>
          <cell r="Q173">
            <v>55.734821515151516</v>
          </cell>
          <cell r="R173">
            <v>55.734821515151516</v>
          </cell>
          <cell r="S173">
            <v>55.734821515151516</v>
          </cell>
          <cell r="T173">
            <v>55.734821515151516</v>
          </cell>
          <cell r="U173">
            <v>55.734821515151516</v>
          </cell>
        </row>
        <row r="174">
          <cell r="E174" t="str">
            <v>IA Other Coal CC</v>
          </cell>
          <cell r="F174">
            <v>55.909090909090907</v>
          </cell>
          <cell r="G174">
            <v>56.209090909090904</v>
          </cell>
          <cell r="H174">
            <v>56.809090909090905</v>
          </cell>
          <cell r="I174">
            <v>56.781818181818174</v>
          </cell>
          <cell r="J174">
            <v>56.890909090909084</v>
          </cell>
          <cell r="K174">
            <v>56.672727272727272</v>
          </cell>
          <cell r="L174">
            <v>55.745454545454542</v>
          </cell>
          <cell r="M174">
            <v>56.800022727272726</v>
          </cell>
          <cell r="N174">
            <v>56.637272727272723</v>
          </cell>
          <cell r="O174">
            <v>56.653636363636359</v>
          </cell>
          <cell r="P174">
            <v>56.653636363636359</v>
          </cell>
          <cell r="Q174">
            <v>56.653636363636359</v>
          </cell>
          <cell r="R174">
            <v>56.653636363636359</v>
          </cell>
          <cell r="S174">
            <v>56.653636363636359</v>
          </cell>
          <cell r="T174">
            <v>56.653636363636359</v>
          </cell>
          <cell r="U174">
            <v>56.653636363636359</v>
          </cell>
        </row>
        <row r="175">
          <cell r="E175" t="str">
            <v>ID Other Coal CC</v>
          </cell>
          <cell r="F175">
            <v>57.845454545454537</v>
          </cell>
          <cell r="G175">
            <v>57.845454545454537</v>
          </cell>
          <cell r="H175">
            <v>57.872727272727268</v>
          </cell>
          <cell r="I175">
            <v>57.572727272727263</v>
          </cell>
          <cell r="J175">
            <v>57.845454545454537</v>
          </cell>
          <cell r="K175">
            <v>57.190909090909081</v>
          </cell>
          <cell r="L175">
            <v>57.572727272727263</v>
          </cell>
          <cell r="M175">
            <v>58.011818181818178</v>
          </cell>
          <cell r="N175">
            <v>57.883636363636363</v>
          </cell>
          <cell r="O175">
            <v>56.702727272727266</v>
          </cell>
          <cell r="P175">
            <v>56.702727272727266</v>
          </cell>
          <cell r="Q175">
            <v>56.702727272727266</v>
          </cell>
          <cell r="R175">
            <v>56.702727272727266</v>
          </cell>
          <cell r="S175">
            <v>56.702727272727266</v>
          </cell>
          <cell r="T175">
            <v>56.702727272727266</v>
          </cell>
          <cell r="U175">
            <v>56.702727272727266</v>
          </cell>
        </row>
        <row r="176">
          <cell r="E176" t="str">
            <v>IL Other Coal CC</v>
          </cell>
          <cell r="F176">
            <v>55.609090909090909</v>
          </cell>
          <cell r="G176">
            <v>55.93636363636363</v>
          </cell>
          <cell r="H176">
            <v>55.554545454545448</v>
          </cell>
          <cell r="I176">
            <v>55.609090909090909</v>
          </cell>
          <cell r="J176">
            <v>55.609090909090909</v>
          </cell>
          <cell r="K176">
            <v>55.636363636363633</v>
          </cell>
          <cell r="L176">
            <v>55.718181818181819</v>
          </cell>
          <cell r="M176">
            <v>55.781702727272723</v>
          </cell>
          <cell r="N176">
            <v>55.65</v>
          </cell>
          <cell r="O176">
            <v>55.65</v>
          </cell>
          <cell r="P176">
            <v>55.65</v>
          </cell>
          <cell r="Q176">
            <v>55.65</v>
          </cell>
          <cell r="R176">
            <v>55.65</v>
          </cell>
          <cell r="S176">
            <v>55.65</v>
          </cell>
          <cell r="T176">
            <v>55.65</v>
          </cell>
          <cell r="U176">
            <v>55.65</v>
          </cell>
        </row>
        <row r="177">
          <cell r="E177" t="str">
            <v>IN Other Coal CC</v>
          </cell>
          <cell r="F177">
            <v>55.690909090909081</v>
          </cell>
          <cell r="G177">
            <v>55.745454545454542</v>
          </cell>
          <cell r="H177">
            <v>55.772727272727266</v>
          </cell>
          <cell r="I177">
            <v>55.690909090909081</v>
          </cell>
          <cell r="J177">
            <v>55.663636363636357</v>
          </cell>
          <cell r="K177">
            <v>55.718181818181819</v>
          </cell>
          <cell r="L177">
            <v>55.663636363636357</v>
          </cell>
          <cell r="M177">
            <v>55.73511818181818</v>
          </cell>
          <cell r="N177">
            <v>55.742727272727265</v>
          </cell>
          <cell r="O177">
            <v>55.789090909090909</v>
          </cell>
          <cell r="P177">
            <v>55.789090909090909</v>
          </cell>
          <cell r="Q177">
            <v>55.789090909090909</v>
          </cell>
          <cell r="R177">
            <v>55.789090909090909</v>
          </cell>
          <cell r="S177">
            <v>55.789090909090909</v>
          </cell>
          <cell r="T177">
            <v>55.789090909090909</v>
          </cell>
          <cell r="U177">
            <v>55.789090909090909</v>
          </cell>
        </row>
        <row r="178">
          <cell r="E178" t="str">
            <v>KS Other Coal CC</v>
          </cell>
          <cell r="F178">
            <v>55.472727272727269</v>
          </cell>
          <cell r="G178">
            <v>55.963636363636354</v>
          </cell>
          <cell r="H178">
            <v>55.990909090909092</v>
          </cell>
          <cell r="I178">
            <v>55.445454545454545</v>
          </cell>
          <cell r="J178">
            <v>55.418181818181814</v>
          </cell>
          <cell r="K178">
            <v>55.527272727272724</v>
          </cell>
          <cell r="L178">
            <v>55.990909090909092</v>
          </cell>
          <cell r="M178">
            <v>56.017404545454546</v>
          </cell>
          <cell r="N178">
            <v>55.41</v>
          </cell>
          <cell r="O178">
            <v>55.371818181818178</v>
          </cell>
          <cell r="P178">
            <v>55.371818181818178</v>
          </cell>
          <cell r="Q178">
            <v>55.371818181818178</v>
          </cell>
          <cell r="R178">
            <v>55.371818181818178</v>
          </cell>
          <cell r="S178">
            <v>55.371818181818178</v>
          </cell>
          <cell r="T178">
            <v>55.371818181818178</v>
          </cell>
          <cell r="U178">
            <v>55.371818181818178</v>
          </cell>
        </row>
        <row r="179">
          <cell r="E179" t="str">
            <v>KY Other Coal CC</v>
          </cell>
          <cell r="F179">
            <v>56.04545454545454</v>
          </cell>
          <cell r="G179">
            <v>56.072727272727271</v>
          </cell>
          <cell r="H179">
            <v>56.018181818181816</v>
          </cell>
          <cell r="I179">
            <v>55.990909090909092</v>
          </cell>
          <cell r="J179">
            <v>55.93636363636363</v>
          </cell>
          <cell r="K179">
            <v>55.93636363636363</v>
          </cell>
          <cell r="L179">
            <v>55.909090909090907</v>
          </cell>
          <cell r="M179">
            <v>56.052040909090906</v>
          </cell>
          <cell r="N179">
            <v>55.939090909090908</v>
          </cell>
          <cell r="O179">
            <v>55.95</v>
          </cell>
          <cell r="P179">
            <v>55.95</v>
          </cell>
          <cell r="Q179">
            <v>55.95</v>
          </cell>
          <cell r="R179">
            <v>55.95</v>
          </cell>
          <cell r="S179">
            <v>55.95</v>
          </cell>
          <cell r="T179">
            <v>55.95</v>
          </cell>
          <cell r="U179">
            <v>55.95</v>
          </cell>
        </row>
        <row r="180">
          <cell r="E180" t="str">
            <v>LA Other Coal CC</v>
          </cell>
          <cell r="F180">
            <v>56.72727272727272</v>
          </cell>
          <cell r="G180">
            <v>57.627272727272725</v>
          </cell>
          <cell r="H180">
            <v>57.518181818181816</v>
          </cell>
          <cell r="I180">
            <v>57.68181818181818</v>
          </cell>
          <cell r="J180">
            <v>57.627272727272725</v>
          </cell>
          <cell r="K180">
            <v>57.9</v>
          </cell>
          <cell r="L180">
            <v>56.645454545454541</v>
          </cell>
          <cell r="M180">
            <v>56.422900909090906</v>
          </cell>
          <cell r="N180">
            <v>55.854545454545452</v>
          </cell>
          <cell r="O180">
            <v>55.854545454545452</v>
          </cell>
          <cell r="P180">
            <v>55.854545454545452</v>
          </cell>
          <cell r="Q180">
            <v>55.854545454545452</v>
          </cell>
          <cell r="R180">
            <v>55.854545454545452</v>
          </cell>
          <cell r="S180">
            <v>55.854545454545452</v>
          </cell>
          <cell r="T180">
            <v>55.854545454545452</v>
          </cell>
          <cell r="U180">
            <v>55.854545454545452</v>
          </cell>
        </row>
        <row r="181">
          <cell r="E181" t="str">
            <v>MA Other Coal CC</v>
          </cell>
          <cell r="F181">
            <v>56.72727272727272</v>
          </cell>
          <cell r="G181">
            <v>56.372727272727268</v>
          </cell>
          <cell r="H181">
            <v>56.454545454545453</v>
          </cell>
          <cell r="I181">
            <v>56.372727272727268</v>
          </cell>
          <cell r="J181">
            <v>56.345454545454537</v>
          </cell>
          <cell r="K181">
            <v>56.4</v>
          </cell>
          <cell r="L181">
            <v>56.372727272727268</v>
          </cell>
          <cell r="M181">
            <v>56.419805454545454</v>
          </cell>
          <cell r="N181">
            <v>56.481818181818177</v>
          </cell>
          <cell r="O181">
            <v>55.917272727272724</v>
          </cell>
          <cell r="P181">
            <v>55.917272727272724</v>
          </cell>
          <cell r="Q181">
            <v>55.917272727272724</v>
          </cell>
          <cell r="R181">
            <v>55.917272727272724</v>
          </cell>
          <cell r="S181">
            <v>55.917272727272724</v>
          </cell>
          <cell r="T181">
            <v>55.917272727272724</v>
          </cell>
          <cell r="U181">
            <v>55.917272727272724</v>
          </cell>
        </row>
        <row r="182">
          <cell r="E182" t="str">
            <v>MD Other Coal CC</v>
          </cell>
          <cell r="F182">
            <v>56.672727272727272</v>
          </cell>
          <cell r="G182">
            <v>56.672727272727272</v>
          </cell>
          <cell r="H182">
            <v>56.836363636363636</v>
          </cell>
          <cell r="I182">
            <v>56.918181818181807</v>
          </cell>
          <cell r="J182">
            <v>56.781818181818174</v>
          </cell>
          <cell r="K182">
            <v>56.890909090909084</v>
          </cell>
          <cell r="L182">
            <v>56.809090909090905</v>
          </cell>
          <cell r="M182">
            <v>56.722767272727268</v>
          </cell>
          <cell r="N182">
            <v>56.833636363636359</v>
          </cell>
          <cell r="O182">
            <v>56.852727272727272</v>
          </cell>
          <cell r="P182">
            <v>56.852727272727272</v>
          </cell>
          <cell r="Q182">
            <v>56.852727272727272</v>
          </cell>
          <cell r="R182">
            <v>56.852727272727272</v>
          </cell>
          <cell r="S182">
            <v>56.852727272727272</v>
          </cell>
          <cell r="T182">
            <v>56.852727272727272</v>
          </cell>
          <cell r="U182">
            <v>56.852727272727272</v>
          </cell>
        </row>
        <row r="183">
          <cell r="E183" t="str">
            <v>ME Other Coal CC</v>
          </cell>
          <cell r="F183">
            <v>56.454545454545453</v>
          </cell>
          <cell r="G183">
            <v>55.881818181818183</v>
          </cell>
          <cell r="H183">
            <v>55.881818181818183</v>
          </cell>
          <cell r="I183">
            <v>55.881818181818183</v>
          </cell>
          <cell r="J183">
            <v>55.854545454545452</v>
          </cell>
          <cell r="K183">
            <v>55.909090909090907</v>
          </cell>
          <cell r="L183">
            <v>55.909090909090907</v>
          </cell>
          <cell r="M183">
            <v>55.862492727272723</v>
          </cell>
          <cell r="N183">
            <v>55.879090909090898</v>
          </cell>
          <cell r="O183">
            <v>55.911818181818177</v>
          </cell>
          <cell r="P183">
            <v>55.911818181818177</v>
          </cell>
          <cell r="Q183">
            <v>55.911818181818177</v>
          </cell>
          <cell r="R183">
            <v>55.911818181818177</v>
          </cell>
          <cell r="S183">
            <v>55.911818181818177</v>
          </cell>
          <cell r="T183">
            <v>55.911818181818177</v>
          </cell>
          <cell r="U183">
            <v>55.911818181818177</v>
          </cell>
        </row>
        <row r="184">
          <cell r="E184" t="str">
            <v>MI Other Coal CC</v>
          </cell>
          <cell r="F184">
            <v>55.881818181818183</v>
          </cell>
          <cell r="G184">
            <v>55.881818181818183</v>
          </cell>
          <cell r="H184">
            <v>55.990909090909092</v>
          </cell>
          <cell r="I184">
            <v>56.072727272727271</v>
          </cell>
          <cell r="J184">
            <v>56.072727272727271</v>
          </cell>
          <cell r="K184">
            <v>56.154545454545449</v>
          </cell>
          <cell r="L184">
            <v>55.990909090909092</v>
          </cell>
          <cell r="M184">
            <v>55.96732636363636</v>
          </cell>
          <cell r="N184">
            <v>55.996363636363633</v>
          </cell>
          <cell r="O184">
            <v>56.04545454545454</v>
          </cell>
          <cell r="P184">
            <v>56.04545454545454</v>
          </cell>
          <cell r="Q184">
            <v>56.04545454545454</v>
          </cell>
          <cell r="R184">
            <v>56.04545454545454</v>
          </cell>
          <cell r="S184">
            <v>56.04545454545454</v>
          </cell>
          <cell r="T184">
            <v>56.04545454545454</v>
          </cell>
          <cell r="U184">
            <v>56.04545454545454</v>
          </cell>
        </row>
        <row r="185">
          <cell r="E185" t="str">
            <v>MN Other Coal CC</v>
          </cell>
          <cell r="F185">
            <v>57.709090909090904</v>
          </cell>
          <cell r="G185">
            <v>57.572727272727263</v>
          </cell>
          <cell r="H185">
            <v>57.763636363636365</v>
          </cell>
          <cell r="I185">
            <v>57.845454545454537</v>
          </cell>
          <cell r="J185">
            <v>57.736363636363627</v>
          </cell>
          <cell r="K185">
            <v>57.6</v>
          </cell>
          <cell r="L185">
            <v>57.6</v>
          </cell>
          <cell r="M185">
            <v>57.669564545454541</v>
          </cell>
          <cell r="N185">
            <v>57.087272727272719</v>
          </cell>
          <cell r="O185">
            <v>57.18818181818181</v>
          </cell>
          <cell r="P185">
            <v>57.18818181818181</v>
          </cell>
          <cell r="Q185">
            <v>57.18818181818181</v>
          </cell>
          <cell r="R185">
            <v>57.18818181818181</v>
          </cell>
          <cell r="S185">
            <v>57.18818181818181</v>
          </cell>
          <cell r="T185">
            <v>57.18818181818181</v>
          </cell>
          <cell r="U185">
            <v>57.18818181818181</v>
          </cell>
        </row>
        <row r="186">
          <cell r="E186" t="str">
            <v>MO Other Coal CC</v>
          </cell>
          <cell r="F186">
            <v>55.663636363636357</v>
          </cell>
          <cell r="G186">
            <v>55.663636363636357</v>
          </cell>
          <cell r="H186">
            <v>55.772727272727266</v>
          </cell>
          <cell r="I186">
            <v>55.8</v>
          </cell>
          <cell r="J186">
            <v>55.690909090909081</v>
          </cell>
          <cell r="K186">
            <v>55.745454545454542</v>
          </cell>
          <cell r="L186">
            <v>55.609090909090909</v>
          </cell>
          <cell r="M186">
            <v>55.542430909090903</v>
          </cell>
          <cell r="N186">
            <v>55.671818181818175</v>
          </cell>
          <cell r="O186">
            <v>55.630909090909086</v>
          </cell>
          <cell r="P186">
            <v>55.630909090909086</v>
          </cell>
          <cell r="Q186">
            <v>55.630909090909086</v>
          </cell>
          <cell r="R186">
            <v>55.630909090909086</v>
          </cell>
          <cell r="S186">
            <v>55.630909090909086</v>
          </cell>
          <cell r="T186">
            <v>55.630909090909086</v>
          </cell>
          <cell r="U186">
            <v>55.630909090909086</v>
          </cell>
        </row>
        <row r="187">
          <cell r="E187" t="str">
            <v>MS Other Coal CC</v>
          </cell>
          <cell r="F187">
            <v>55.554545454545448</v>
          </cell>
          <cell r="G187">
            <v>55.690909090909081</v>
          </cell>
          <cell r="H187">
            <v>55.8</v>
          </cell>
          <cell r="I187">
            <v>55.963636363636354</v>
          </cell>
          <cell r="J187">
            <v>55.963636363636354</v>
          </cell>
          <cell r="K187">
            <v>55.963636363636354</v>
          </cell>
          <cell r="L187">
            <v>55.881818181818183</v>
          </cell>
          <cell r="M187">
            <v>55.85426727272727</v>
          </cell>
          <cell r="N187">
            <v>55.843636363636357</v>
          </cell>
          <cell r="O187">
            <v>55.707272727272724</v>
          </cell>
          <cell r="P187">
            <v>55.707272727272724</v>
          </cell>
          <cell r="Q187">
            <v>55.707272727272724</v>
          </cell>
          <cell r="R187">
            <v>55.707272727272724</v>
          </cell>
          <cell r="S187">
            <v>55.707272727272724</v>
          </cell>
          <cell r="T187">
            <v>55.707272727272724</v>
          </cell>
          <cell r="U187">
            <v>55.707272727272724</v>
          </cell>
        </row>
        <row r="188">
          <cell r="E188" t="str">
            <v>MT Other Coal CC</v>
          </cell>
          <cell r="F188">
            <v>57.736363636363627</v>
          </cell>
          <cell r="G188">
            <v>57.709090909090904</v>
          </cell>
          <cell r="H188">
            <v>57.654545454545449</v>
          </cell>
          <cell r="I188">
            <v>57.845454545454537</v>
          </cell>
          <cell r="J188">
            <v>58.036363636363632</v>
          </cell>
          <cell r="K188">
            <v>58.2</v>
          </cell>
          <cell r="L188">
            <v>58.2</v>
          </cell>
          <cell r="M188">
            <v>58.068927272727265</v>
          </cell>
          <cell r="N188">
            <v>58.764545454545448</v>
          </cell>
          <cell r="O188">
            <v>58.570909090909083</v>
          </cell>
          <cell r="P188">
            <v>58.570909090909083</v>
          </cell>
          <cell r="Q188">
            <v>58.570909090909083</v>
          </cell>
          <cell r="R188">
            <v>58.570909090909083</v>
          </cell>
          <cell r="S188">
            <v>58.570909090909083</v>
          </cell>
          <cell r="T188">
            <v>58.570909090909083</v>
          </cell>
          <cell r="U188">
            <v>58.570909090909083</v>
          </cell>
        </row>
        <row r="189">
          <cell r="E189" t="str">
            <v>NC Other Coal CC</v>
          </cell>
          <cell r="F189">
            <v>56.1</v>
          </cell>
          <cell r="G189">
            <v>56.018181818181816</v>
          </cell>
          <cell r="H189">
            <v>56.1</v>
          </cell>
          <cell r="I189">
            <v>56.018181818181816</v>
          </cell>
          <cell r="J189">
            <v>56.072727272727271</v>
          </cell>
          <cell r="K189">
            <v>56.04545454545454</v>
          </cell>
          <cell r="L189">
            <v>56.018181818181816</v>
          </cell>
          <cell r="M189">
            <v>56.030440909090906</v>
          </cell>
          <cell r="N189">
            <v>56.020909090909086</v>
          </cell>
          <cell r="O189">
            <v>56.050909090909087</v>
          </cell>
          <cell r="P189">
            <v>56.050909090909087</v>
          </cell>
          <cell r="Q189">
            <v>56.050909090909087</v>
          </cell>
          <cell r="R189">
            <v>56.050909090909087</v>
          </cell>
          <cell r="S189">
            <v>56.050909090909087</v>
          </cell>
          <cell r="T189">
            <v>56.050909090909087</v>
          </cell>
          <cell r="U189">
            <v>56.050909090909087</v>
          </cell>
        </row>
        <row r="190">
          <cell r="E190" t="str">
            <v>ND Other Coal CC</v>
          </cell>
          <cell r="F190">
            <v>59.536363636363632</v>
          </cell>
          <cell r="G190">
            <v>59.536363636363632</v>
          </cell>
          <cell r="H190">
            <v>59.536363636363632</v>
          </cell>
          <cell r="I190">
            <v>59.563636363636363</v>
          </cell>
          <cell r="J190">
            <v>59.509090909090901</v>
          </cell>
          <cell r="K190">
            <v>59.563636363636363</v>
          </cell>
          <cell r="L190">
            <v>59.590909090909086</v>
          </cell>
          <cell r="M190">
            <v>59.586998181818174</v>
          </cell>
          <cell r="N190">
            <v>59.555454545454545</v>
          </cell>
          <cell r="O190">
            <v>59.536363636363632</v>
          </cell>
          <cell r="P190">
            <v>59.536363636363632</v>
          </cell>
          <cell r="Q190">
            <v>59.536363636363632</v>
          </cell>
          <cell r="R190">
            <v>59.536363636363632</v>
          </cell>
          <cell r="S190">
            <v>59.536363636363632</v>
          </cell>
          <cell r="T190">
            <v>59.536363636363632</v>
          </cell>
          <cell r="U190">
            <v>59.536363636363632</v>
          </cell>
        </row>
        <row r="191">
          <cell r="E191" t="str">
            <v>NE Other Coal CC</v>
          </cell>
          <cell r="F191">
            <v>58.172727272727272</v>
          </cell>
          <cell r="G191">
            <v>58.172727272727272</v>
          </cell>
          <cell r="H191">
            <v>58.11818181818181</v>
          </cell>
          <cell r="I191">
            <v>58.145454545454541</v>
          </cell>
          <cell r="J191">
            <v>58.063636363636363</v>
          </cell>
          <cell r="K191">
            <v>58.145454545454541</v>
          </cell>
          <cell r="L191">
            <v>57.518181818181816</v>
          </cell>
          <cell r="M191">
            <v>57.580229999999993</v>
          </cell>
          <cell r="N191">
            <v>57.081818181818178</v>
          </cell>
          <cell r="O191">
            <v>57.182727272727263</v>
          </cell>
          <cell r="P191">
            <v>57.182727272727263</v>
          </cell>
          <cell r="Q191">
            <v>57.182727272727263</v>
          </cell>
          <cell r="R191">
            <v>57.182727272727263</v>
          </cell>
          <cell r="S191">
            <v>57.182727272727263</v>
          </cell>
          <cell r="T191">
            <v>57.182727272727263</v>
          </cell>
          <cell r="U191">
            <v>57.182727272727263</v>
          </cell>
        </row>
        <row r="192">
          <cell r="E192" t="str">
            <v>NH Other Coal CC</v>
          </cell>
          <cell r="F192">
            <v>58.963636363636354</v>
          </cell>
          <cell r="G192">
            <v>56.4</v>
          </cell>
          <cell r="H192">
            <v>56.481818181818177</v>
          </cell>
          <cell r="I192">
            <v>55.854545454545452</v>
          </cell>
          <cell r="J192">
            <v>58.016931818181817</v>
          </cell>
          <cell r="K192">
            <v>62.018181818181816</v>
          </cell>
          <cell r="L192">
            <v>62.018181818181816</v>
          </cell>
          <cell r="M192">
            <v>58.016931818181817</v>
          </cell>
          <cell r="N192">
            <v>56.481818181818177</v>
          </cell>
          <cell r="O192">
            <v>55.917272727272724</v>
          </cell>
          <cell r="P192">
            <v>55.917272727272724</v>
          </cell>
          <cell r="Q192">
            <v>55.917272727272724</v>
          </cell>
          <cell r="R192">
            <v>55.917272727272724</v>
          </cell>
          <cell r="S192">
            <v>55.917272727272724</v>
          </cell>
          <cell r="T192">
            <v>55.917272727272724</v>
          </cell>
          <cell r="U192">
            <v>55.917272727272724</v>
          </cell>
        </row>
        <row r="193">
          <cell r="E193" t="str">
            <v>NJ Other Coal CC</v>
          </cell>
          <cell r="F193">
            <v>56.7</v>
          </cell>
          <cell r="G193">
            <v>56.645454545454541</v>
          </cell>
          <cell r="H193">
            <v>56.536363636363639</v>
          </cell>
          <cell r="I193">
            <v>56.72727272727272</v>
          </cell>
          <cell r="J193">
            <v>57.354545454545452</v>
          </cell>
          <cell r="K193">
            <v>61.990909090909092</v>
          </cell>
          <cell r="L193">
            <v>62.018181818181816</v>
          </cell>
          <cell r="M193">
            <v>62.01273272727272</v>
          </cell>
          <cell r="N193">
            <v>60.335454545454539</v>
          </cell>
          <cell r="O193">
            <v>60.024545454545454</v>
          </cell>
          <cell r="P193">
            <v>60.024545454545454</v>
          </cell>
          <cell r="Q193">
            <v>60.024545454545454</v>
          </cell>
          <cell r="R193">
            <v>60.024545454545454</v>
          </cell>
          <cell r="S193">
            <v>60.024545454545454</v>
          </cell>
          <cell r="T193">
            <v>60.024545454545454</v>
          </cell>
          <cell r="U193">
            <v>60.024545454545454</v>
          </cell>
        </row>
        <row r="194">
          <cell r="E194" t="str">
            <v>NM Other Coal CC</v>
          </cell>
          <cell r="F194">
            <v>58.009090909090901</v>
          </cell>
          <cell r="G194">
            <v>58.009090909090901</v>
          </cell>
          <cell r="H194">
            <v>58.009090909090901</v>
          </cell>
          <cell r="I194">
            <v>58.009090909090901</v>
          </cell>
          <cell r="J194">
            <v>58.009090909090901</v>
          </cell>
          <cell r="K194">
            <v>58.009090909090901</v>
          </cell>
          <cell r="L194">
            <v>58.009090909090901</v>
          </cell>
          <cell r="M194">
            <v>58.014545454545448</v>
          </cell>
          <cell r="N194">
            <v>56.236363636363627</v>
          </cell>
          <cell r="O194">
            <v>56.236363636363627</v>
          </cell>
          <cell r="P194">
            <v>56.236363636363627</v>
          </cell>
          <cell r="Q194">
            <v>56.236363636363627</v>
          </cell>
          <cell r="R194">
            <v>56.236363636363627</v>
          </cell>
          <cell r="S194">
            <v>56.236363636363627</v>
          </cell>
          <cell r="T194">
            <v>56.236363636363627</v>
          </cell>
          <cell r="U194">
            <v>56.236363636363627</v>
          </cell>
        </row>
        <row r="195">
          <cell r="E195" t="str">
            <v>NV Other Coal CC</v>
          </cell>
          <cell r="F195">
            <v>55.663636363636357</v>
          </cell>
          <cell r="G195">
            <v>55.663636363636357</v>
          </cell>
          <cell r="H195">
            <v>55.663636363636357</v>
          </cell>
          <cell r="I195">
            <v>55.663636363636357</v>
          </cell>
          <cell r="J195">
            <v>55.663636363636357</v>
          </cell>
          <cell r="K195">
            <v>56.781818181818174</v>
          </cell>
          <cell r="L195">
            <v>56.809090909090905</v>
          </cell>
          <cell r="M195">
            <v>55.855047272727269</v>
          </cell>
          <cell r="N195">
            <v>56.018181818181816</v>
          </cell>
          <cell r="O195">
            <v>55.742727272727265</v>
          </cell>
          <cell r="P195">
            <v>55.742727272727265</v>
          </cell>
          <cell r="Q195">
            <v>55.742727272727265</v>
          </cell>
          <cell r="R195">
            <v>55.742727272727265</v>
          </cell>
          <cell r="S195">
            <v>55.742727272727265</v>
          </cell>
          <cell r="T195">
            <v>55.742727272727265</v>
          </cell>
          <cell r="U195">
            <v>55.742727272727265</v>
          </cell>
        </row>
        <row r="196">
          <cell r="E196" t="str">
            <v>NY Other Coal CC</v>
          </cell>
          <cell r="F196">
            <v>56.427272727272722</v>
          </cell>
          <cell r="G196">
            <v>56.427272727272722</v>
          </cell>
          <cell r="H196">
            <v>56.454545454545453</v>
          </cell>
          <cell r="I196">
            <v>56.4</v>
          </cell>
          <cell r="J196">
            <v>56.454545454545453</v>
          </cell>
          <cell r="K196">
            <v>56.509090909090901</v>
          </cell>
          <cell r="L196">
            <v>56.536363636363639</v>
          </cell>
          <cell r="M196">
            <v>56.496261818181814</v>
          </cell>
          <cell r="N196">
            <v>56.345454545454537</v>
          </cell>
          <cell r="O196">
            <v>56.211818181818181</v>
          </cell>
          <cell r="P196">
            <v>56.211818181818181</v>
          </cell>
          <cell r="Q196">
            <v>56.211818181818181</v>
          </cell>
          <cell r="R196">
            <v>56.211818181818181</v>
          </cell>
          <cell r="S196">
            <v>56.211818181818181</v>
          </cell>
          <cell r="T196">
            <v>56.211818181818181</v>
          </cell>
          <cell r="U196">
            <v>56.211818181818181</v>
          </cell>
        </row>
        <row r="197">
          <cell r="E197" t="str">
            <v>OH Other Coal CC</v>
          </cell>
          <cell r="F197">
            <v>55.8</v>
          </cell>
          <cell r="G197">
            <v>55.827272727272721</v>
          </cell>
          <cell r="H197">
            <v>55.772727272727266</v>
          </cell>
          <cell r="I197">
            <v>55.854545454545452</v>
          </cell>
          <cell r="J197">
            <v>55.881818181818183</v>
          </cell>
          <cell r="K197">
            <v>55.772727272727266</v>
          </cell>
          <cell r="L197">
            <v>55.827272727272721</v>
          </cell>
          <cell r="M197">
            <v>55.779823636363631</v>
          </cell>
          <cell r="N197">
            <v>55.540909090909089</v>
          </cell>
          <cell r="O197">
            <v>55.570909090909083</v>
          </cell>
          <cell r="P197">
            <v>55.570909090909083</v>
          </cell>
          <cell r="Q197">
            <v>55.570909090909083</v>
          </cell>
          <cell r="R197">
            <v>55.570909090909083</v>
          </cell>
          <cell r="S197">
            <v>55.570909090909083</v>
          </cell>
          <cell r="T197">
            <v>55.570909090909083</v>
          </cell>
          <cell r="U197">
            <v>55.570909090909083</v>
          </cell>
        </row>
        <row r="198">
          <cell r="E198" t="str">
            <v>OK Other Coal CC</v>
          </cell>
          <cell r="F198">
            <v>56.672727272727272</v>
          </cell>
          <cell r="G198">
            <v>56.590909090909086</v>
          </cell>
          <cell r="H198">
            <v>56.590909090909086</v>
          </cell>
          <cell r="I198">
            <v>56.590909090909086</v>
          </cell>
          <cell r="J198">
            <v>57.027272727272724</v>
          </cell>
          <cell r="K198">
            <v>56.672727272727272</v>
          </cell>
          <cell r="L198">
            <v>56.75454545454545</v>
          </cell>
          <cell r="M198">
            <v>56.733059999999995</v>
          </cell>
          <cell r="N198">
            <v>55.461818181818181</v>
          </cell>
          <cell r="O198">
            <v>56.176363636363632</v>
          </cell>
          <cell r="P198">
            <v>56.176363636363632</v>
          </cell>
          <cell r="Q198">
            <v>56.176363636363632</v>
          </cell>
          <cell r="R198">
            <v>56.176363636363632</v>
          </cell>
          <cell r="S198">
            <v>56.176363636363632</v>
          </cell>
          <cell r="T198">
            <v>56.176363636363632</v>
          </cell>
          <cell r="U198">
            <v>56.176363636363632</v>
          </cell>
        </row>
        <row r="199">
          <cell r="E199" t="str">
            <v>OR Other Coal CC</v>
          </cell>
          <cell r="F199">
            <v>58.009090909090901</v>
          </cell>
          <cell r="G199">
            <v>58.009090909090901</v>
          </cell>
          <cell r="H199">
            <v>57.68181818181818</v>
          </cell>
          <cell r="I199">
            <v>58.036363636363632</v>
          </cell>
          <cell r="J199">
            <v>57.381818181818176</v>
          </cell>
          <cell r="K199">
            <v>58.090909090909086</v>
          </cell>
          <cell r="L199">
            <v>57.954545454545453</v>
          </cell>
          <cell r="M199">
            <v>57.946145454545452</v>
          </cell>
          <cell r="N199">
            <v>58.009090909090901</v>
          </cell>
          <cell r="O199">
            <v>55.835454545454539</v>
          </cell>
          <cell r="P199">
            <v>55.835454545454539</v>
          </cell>
          <cell r="Q199">
            <v>55.835454545454539</v>
          </cell>
          <cell r="R199">
            <v>55.835454545454539</v>
          </cell>
          <cell r="S199">
            <v>55.835454545454539</v>
          </cell>
          <cell r="T199">
            <v>55.835454545454539</v>
          </cell>
          <cell r="U199">
            <v>55.835454545454539</v>
          </cell>
        </row>
        <row r="200">
          <cell r="E200" t="str">
            <v>PA Other Coal CC</v>
          </cell>
          <cell r="F200">
            <v>56.672727272727272</v>
          </cell>
          <cell r="G200">
            <v>56.836363636363636</v>
          </cell>
          <cell r="H200">
            <v>56.86363636363636</v>
          </cell>
          <cell r="I200">
            <v>56.290909090909089</v>
          </cell>
          <cell r="J200">
            <v>56.427272727272722</v>
          </cell>
          <cell r="K200">
            <v>56.481818181818177</v>
          </cell>
          <cell r="L200">
            <v>56.454545454545453</v>
          </cell>
          <cell r="M200">
            <v>56.547714545454546</v>
          </cell>
          <cell r="N200">
            <v>56.79</v>
          </cell>
          <cell r="O200">
            <v>56.746363636363633</v>
          </cell>
          <cell r="P200">
            <v>56.746363636363633</v>
          </cell>
          <cell r="Q200">
            <v>56.746363636363633</v>
          </cell>
          <cell r="R200">
            <v>56.746363636363633</v>
          </cell>
          <cell r="S200">
            <v>56.746363636363633</v>
          </cell>
          <cell r="T200">
            <v>56.746363636363633</v>
          </cell>
          <cell r="U200">
            <v>56.746363636363633</v>
          </cell>
        </row>
        <row r="201">
          <cell r="E201" t="str">
            <v>RI Other Coal CC</v>
          </cell>
          <cell r="F201">
            <v>62.018181818181816</v>
          </cell>
          <cell r="G201">
            <v>59.10886363636363</v>
          </cell>
          <cell r="H201">
            <v>59.10886363636363</v>
          </cell>
          <cell r="I201">
            <v>62.018181818181816</v>
          </cell>
          <cell r="J201">
            <v>59.10886363636363</v>
          </cell>
          <cell r="K201">
            <v>59.10886363636363</v>
          </cell>
          <cell r="L201">
            <v>59.10886363636363</v>
          </cell>
          <cell r="M201">
            <v>59.10886363636363</v>
          </cell>
          <cell r="N201">
            <v>56.481818181818177</v>
          </cell>
          <cell r="O201">
            <v>55.917272727272724</v>
          </cell>
          <cell r="P201">
            <v>55.917272727272724</v>
          </cell>
          <cell r="Q201">
            <v>55.917272727272724</v>
          </cell>
          <cell r="R201">
            <v>55.917272727272724</v>
          </cell>
          <cell r="S201">
            <v>55.917272727272724</v>
          </cell>
          <cell r="T201">
            <v>55.917272727272724</v>
          </cell>
          <cell r="U201">
            <v>55.917272727272724</v>
          </cell>
        </row>
        <row r="202">
          <cell r="E202" t="str">
            <v>SC Other Coal CC</v>
          </cell>
          <cell r="F202">
            <v>55.990909090909092</v>
          </cell>
          <cell r="G202">
            <v>55.990909090909092</v>
          </cell>
          <cell r="H202">
            <v>55.990909090909092</v>
          </cell>
          <cell r="I202">
            <v>55.990909090909092</v>
          </cell>
          <cell r="J202">
            <v>56.04545454545454</v>
          </cell>
          <cell r="K202">
            <v>56.018181818181816</v>
          </cell>
          <cell r="L202">
            <v>56.018181818181816</v>
          </cell>
          <cell r="M202">
            <v>56.032516363636361</v>
          </cell>
          <cell r="N202">
            <v>56.056363636363628</v>
          </cell>
          <cell r="O202">
            <v>56.04</v>
          </cell>
          <cell r="P202">
            <v>56.04</v>
          </cell>
          <cell r="Q202">
            <v>56.04</v>
          </cell>
          <cell r="R202">
            <v>56.04</v>
          </cell>
          <cell r="S202">
            <v>56.04</v>
          </cell>
          <cell r="T202">
            <v>56.04</v>
          </cell>
          <cell r="U202">
            <v>56.04</v>
          </cell>
        </row>
        <row r="203">
          <cell r="E203" t="str">
            <v>SD Other Coal CC</v>
          </cell>
          <cell r="F203">
            <v>58.009090909090901</v>
          </cell>
          <cell r="G203">
            <v>57.981818181818177</v>
          </cell>
          <cell r="H203">
            <v>58.009090909090901</v>
          </cell>
          <cell r="I203">
            <v>58.009090909090901</v>
          </cell>
          <cell r="J203">
            <v>58.009090909090901</v>
          </cell>
          <cell r="K203">
            <v>58.009090909090901</v>
          </cell>
          <cell r="L203">
            <v>58.009090909090901</v>
          </cell>
          <cell r="M203">
            <v>57.976783636363628</v>
          </cell>
          <cell r="N203">
            <v>57.272727272727266</v>
          </cell>
          <cell r="O203">
            <v>56.97</v>
          </cell>
          <cell r="P203">
            <v>56.97</v>
          </cell>
          <cell r="Q203">
            <v>56.97</v>
          </cell>
          <cell r="R203">
            <v>56.97</v>
          </cell>
          <cell r="S203">
            <v>56.97</v>
          </cell>
          <cell r="T203">
            <v>56.97</v>
          </cell>
          <cell r="U203">
            <v>56.97</v>
          </cell>
        </row>
        <row r="204">
          <cell r="E204" t="str">
            <v>TN Other Coal CC</v>
          </cell>
          <cell r="F204">
            <v>55.963636363636354</v>
          </cell>
          <cell r="G204">
            <v>55.963636363636354</v>
          </cell>
          <cell r="H204">
            <v>56.04545454545454</v>
          </cell>
          <cell r="I204">
            <v>56.018181818181816</v>
          </cell>
          <cell r="J204">
            <v>55.963636363636354</v>
          </cell>
          <cell r="K204">
            <v>55.990909090909092</v>
          </cell>
          <cell r="L204">
            <v>55.990909090909092</v>
          </cell>
          <cell r="M204">
            <v>55.945210909090903</v>
          </cell>
          <cell r="N204">
            <v>55.958181818181814</v>
          </cell>
          <cell r="O204">
            <v>55.982727272727274</v>
          </cell>
          <cell r="P204">
            <v>55.982727272727274</v>
          </cell>
          <cell r="Q204">
            <v>55.982727272727274</v>
          </cell>
          <cell r="R204">
            <v>55.982727272727274</v>
          </cell>
          <cell r="S204">
            <v>55.982727272727274</v>
          </cell>
          <cell r="T204">
            <v>55.982727272727274</v>
          </cell>
          <cell r="U204">
            <v>55.982727272727274</v>
          </cell>
        </row>
        <row r="205">
          <cell r="E205" t="str">
            <v>TX Other Coal CC</v>
          </cell>
          <cell r="F205">
            <v>57.954545454545453</v>
          </cell>
          <cell r="G205">
            <v>57.845454545454537</v>
          </cell>
          <cell r="H205">
            <v>57.9</v>
          </cell>
          <cell r="I205">
            <v>57.845454545454537</v>
          </cell>
          <cell r="J205">
            <v>57.845454545454537</v>
          </cell>
          <cell r="K205">
            <v>57.954545454545453</v>
          </cell>
          <cell r="L205">
            <v>57.818181818181813</v>
          </cell>
          <cell r="M205">
            <v>57.81509181818182</v>
          </cell>
          <cell r="N205">
            <v>57.36272727272727</v>
          </cell>
          <cell r="O205">
            <v>57.376363636363628</v>
          </cell>
          <cell r="P205">
            <v>57.376363636363628</v>
          </cell>
          <cell r="Q205">
            <v>57.376363636363628</v>
          </cell>
          <cell r="R205">
            <v>57.376363636363628</v>
          </cell>
          <cell r="S205">
            <v>57.376363636363628</v>
          </cell>
          <cell r="T205">
            <v>57.376363636363628</v>
          </cell>
          <cell r="U205">
            <v>57.376363636363628</v>
          </cell>
        </row>
        <row r="206">
          <cell r="E206" t="str">
            <v>US Other Coal CC</v>
          </cell>
          <cell r="F206">
            <v>56.4</v>
          </cell>
          <cell r="G206">
            <v>56.427272727272722</v>
          </cell>
          <cell r="H206">
            <v>56.481818181818177</v>
          </cell>
          <cell r="I206">
            <v>56.454545454545453</v>
          </cell>
          <cell r="J206">
            <v>56.509090909090901</v>
          </cell>
          <cell r="K206">
            <v>56.509090909090901</v>
          </cell>
          <cell r="L206">
            <v>56.454545454545453</v>
          </cell>
          <cell r="M206">
            <v>56.499981818181809</v>
          </cell>
          <cell r="N206">
            <v>56.43545454545454</v>
          </cell>
          <cell r="O206">
            <v>56.451818181818183</v>
          </cell>
          <cell r="P206">
            <v>56.451818181818183</v>
          </cell>
          <cell r="Q206">
            <v>56.451818181818183</v>
          </cell>
          <cell r="R206">
            <v>56.451818181818183</v>
          </cell>
          <cell r="S206">
            <v>56.451818181818183</v>
          </cell>
          <cell r="T206">
            <v>56.451818181818183</v>
          </cell>
          <cell r="U206">
            <v>56.451818181818183</v>
          </cell>
        </row>
        <row r="207">
          <cell r="E207" t="str">
            <v>UT Other Coal CC</v>
          </cell>
          <cell r="F207">
            <v>55.690909090909081</v>
          </cell>
          <cell r="G207">
            <v>55.663636363636357</v>
          </cell>
          <cell r="H207">
            <v>55.663636363636357</v>
          </cell>
          <cell r="I207">
            <v>55.8</v>
          </cell>
          <cell r="J207">
            <v>56.209090909090904</v>
          </cell>
          <cell r="K207">
            <v>56.18181818181818</v>
          </cell>
          <cell r="L207">
            <v>55.663636363636357</v>
          </cell>
          <cell r="M207">
            <v>55.817601818181814</v>
          </cell>
          <cell r="N207">
            <v>55.742727272727265</v>
          </cell>
          <cell r="O207">
            <v>55.75363636363636</v>
          </cell>
          <cell r="P207">
            <v>55.75363636363636</v>
          </cell>
          <cell r="Q207">
            <v>55.75363636363636</v>
          </cell>
          <cell r="R207">
            <v>55.75363636363636</v>
          </cell>
          <cell r="S207">
            <v>55.75363636363636</v>
          </cell>
          <cell r="T207">
            <v>55.75363636363636</v>
          </cell>
          <cell r="U207">
            <v>55.75363636363636</v>
          </cell>
        </row>
        <row r="208">
          <cell r="E208" t="str">
            <v>VA Other Coal CC</v>
          </cell>
          <cell r="F208">
            <v>56.154545454545449</v>
          </cell>
          <cell r="G208">
            <v>56.154545454545449</v>
          </cell>
          <cell r="H208">
            <v>56.236363636363627</v>
          </cell>
          <cell r="I208">
            <v>56.154545454545449</v>
          </cell>
          <cell r="J208">
            <v>56.18181818181818</v>
          </cell>
          <cell r="K208">
            <v>56.18181818181818</v>
          </cell>
          <cell r="L208">
            <v>56.154545454545449</v>
          </cell>
          <cell r="M208">
            <v>56.141822727272725</v>
          </cell>
          <cell r="N208">
            <v>56.19</v>
          </cell>
          <cell r="O208">
            <v>56.315454545454543</v>
          </cell>
          <cell r="P208">
            <v>56.315454545454543</v>
          </cell>
          <cell r="Q208">
            <v>56.315454545454543</v>
          </cell>
          <cell r="R208">
            <v>56.315454545454543</v>
          </cell>
          <cell r="S208">
            <v>56.315454545454543</v>
          </cell>
          <cell r="T208">
            <v>56.315454545454543</v>
          </cell>
          <cell r="U208">
            <v>56.315454545454543</v>
          </cell>
        </row>
        <row r="209">
          <cell r="E209" t="str">
            <v>VT Other Coal CC</v>
          </cell>
          <cell r="F209">
            <v>61.718181818181819</v>
          </cell>
          <cell r="G209">
            <v>56.236363636363627</v>
          </cell>
          <cell r="H209">
            <v>57.872727272727268</v>
          </cell>
          <cell r="I209">
            <v>56.1</v>
          </cell>
          <cell r="J209">
            <v>57.387727272727268</v>
          </cell>
          <cell r="K209">
            <v>57.387727272727268</v>
          </cell>
          <cell r="L209">
            <v>57.387727272727268</v>
          </cell>
          <cell r="M209">
            <v>57.387727272727268</v>
          </cell>
          <cell r="N209">
            <v>56.481818181818177</v>
          </cell>
          <cell r="O209">
            <v>55.917272727272724</v>
          </cell>
          <cell r="P209">
            <v>55.917272727272724</v>
          </cell>
          <cell r="Q209">
            <v>55.917272727272724</v>
          </cell>
          <cell r="R209">
            <v>55.917272727272724</v>
          </cell>
          <cell r="S209">
            <v>55.917272727272724</v>
          </cell>
          <cell r="T209">
            <v>55.917272727272724</v>
          </cell>
          <cell r="U209">
            <v>55.917272727272724</v>
          </cell>
        </row>
        <row r="210">
          <cell r="E210" t="str">
            <v>WA Other Coal CC</v>
          </cell>
          <cell r="F210">
            <v>56.7</v>
          </cell>
          <cell r="G210">
            <v>56.345454545454537</v>
          </cell>
          <cell r="H210">
            <v>56.127272727272725</v>
          </cell>
          <cell r="I210">
            <v>56.04545454545454</v>
          </cell>
          <cell r="J210">
            <v>56.209090909090904</v>
          </cell>
          <cell r="K210">
            <v>56.290909090909089</v>
          </cell>
          <cell r="L210">
            <v>56.263636363636365</v>
          </cell>
          <cell r="M210">
            <v>55.985942727272722</v>
          </cell>
          <cell r="N210">
            <v>55.68</v>
          </cell>
          <cell r="O210">
            <v>55.723636363636359</v>
          </cell>
          <cell r="P210">
            <v>55.723636363636359</v>
          </cell>
          <cell r="Q210">
            <v>55.723636363636359</v>
          </cell>
          <cell r="R210">
            <v>55.723636363636359</v>
          </cell>
          <cell r="S210">
            <v>55.723636363636359</v>
          </cell>
          <cell r="T210">
            <v>55.723636363636359</v>
          </cell>
          <cell r="U210">
            <v>55.723636363636359</v>
          </cell>
        </row>
        <row r="211">
          <cell r="E211" t="str">
            <v>WI Other Coal CC</v>
          </cell>
          <cell r="F211">
            <v>56.209090909090904</v>
          </cell>
          <cell r="G211">
            <v>56.154545454545449</v>
          </cell>
          <cell r="H211">
            <v>56.209090909090904</v>
          </cell>
          <cell r="I211">
            <v>56.318181818181813</v>
          </cell>
          <cell r="J211">
            <v>56.18181818181818</v>
          </cell>
          <cell r="K211">
            <v>56.154545454545449</v>
          </cell>
          <cell r="L211">
            <v>56.236363636363627</v>
          </cell>
          <cell r="M211">
            <v>57.185757272727265</v>
          </cell>
          <cell r="N211">
            <v>56.053636363636357</v>
          </cell>
          <cell r="O211">
            <v>56.018181818181816</v>
          </cell>
          <cell r="P211">
            <v>56.018181818181816</v>
          </cell>
          <cell r="Q211">
            <v>56.018181818181816</v>
          </cell>
          <cell r="R211">
            <v>56.018181818181816</v>
          </cell>
          <cell r="S211">
            <v>56.018181818181816</v>
          </cell>
          <cell r="T211">
            <v>56.018181818181816</v>
          </cell>
          <cell r="U211">
            <v>56.018181818181816</v>
          </cell>
        </row>
        <row r="212">
          <cell r="E212" t="str">
            <v>WV Other Coal CC</v>
          </cell>
          <cell r="F212">
            <v>56.290909090909089</v>
          </cell>
          <cell r="G212">
            <v>56.318181818181813</v>
          </cell>
          <cell r="H212">
            <v>56.345454545454537</v>
          </cell>
          <cell r="I212">
            <v>56.318181818181813</v>
          </cell>
          <cell r="J212">
            <v>56.4</v>
          </cell>
          <cell r="K212">
            <v>56.427272727272722</v>
          </cell>
          <cell r="L212">
            <v>56.454545454545453</v>
          </cell>
          <cell r="M212">
            <v>56.468269090909089</v>
          </cell>
          <cell r="N212">
            <v>56.34</v>
          </cell>
          <cell r="O212">
            <v>56.34</v>
          </cell>
          <cell r="P212">
            <v>56.34</v>
          </cell>
          <cell r="Q212">
            <v>56.34</v>
          </cell>
          <cell r="R212">
            <v>56.34</v>
          </cell>
          <cell r="S212">
            <v>56.34</v>
          </cell>
          <cell r="T212">
            <v>56.34</v>
          </cell>
          <cell r="U212">
            <v>56.34</v>
          </cell>
        </row>
        <row r="213">
          <cell r="E213" t="str">
            <v>WY Other Coal CC</v>
          </cell>
          <cell r="F213">
            <v>57.872727272727268</v>
          </cell>
          <cell r="G213">
            <v>57.9</v>
          </cell>
          <cell r="H213">
            <v>57.954545454545453</v>
          </cell>
          <cell r="I213">
            <v>57.981818181818177</v>
          </cell>
          <cell r="J213">
            <v>57.981818181818177</v>
          </cell>
          <cell r="K213">
            <v>57.954545454545453</v>
          </cell>
          <cell r="L213">
            <v>58.009090909090901</v>
          </cell>
          <cell r="M213">
            <v>58.017479999999999</v>
          </cell>
          <cell r="N213">
            <v>57.883636363636363</v>
          </cell>
          <cell r="O213">
            <v>57.889090909090903</v>
          </cell>
          <cell r="P213">
            <v>57.889090909090903</v>
          </cell>
          <cell r="Q213">
            <v>57.889090909090903</v>
          </cell>
          <cell r="R213">
            <v>57.889090909090903</v>
          </cell>
          <cell r="S213">
            <v>57.889090909090903</v>
          </cell>
          <cell r="T213">
            <v>57.889090909090903</v>
          </cell>
          <cell r="U213">
            <v>57.889090909090903</v>
          </cell>
        </row>
        <row r="214">
          <cell r="E214" t="str">
            <v>AL Total Consumption Coal CC</v>
          </cell>
          <cell r="F214">
            <v>55.990909090909092</v>
          </cell>
          <cell r="G214">
            <v>56.018181818181816</v>
          </cell>
          <cell r="H214">
            <v>56.018181818181816</v>
          </cell>
          <cell r="I214">
            <v>56.018181818181816</v>
          </cell>
          <cell r="J214">
            <v>56.018181818181816</v>
          </cell>
          <cell r="K214">
            <v>56.154545454545449</v>
          </cell>
          <cell r="L214">
            <v>56.127272727272725</v>
          </cell>
          <cell r="M214">
            <v>56.22670909090909</v>
          </cell>
          <cell r="N214">
            <v>56.018181818181816</v>
          </cell>
          <cell r="O214">
            <v>55.472727272727269</v>
          </cell>
          <cell r="P214">
            <v>55.472727272727269</v>
          </cell>
          <cell r="Q214">
            <v>55.472727272727269</v>
          </cell>
          <cell r="R214">
            <v>55.472727272727269</v>
          </cell>
          <cell r="S214">
            <v>55.472727272727269</v>
          </cell>
          <cell r="T214">
            <v>55.472727272727269</v>
          </cell>
          <cell r="U214">
            <v>55.472727272727269</v>
          </cell>
        </row>
        <row r="215">
          <cell r="E215" t="str">
            <v>AK Total Consumption Coal CC</v>
          </cell>
          <cell r="F215">
            <v>58.36363636363636</v>
          </cell>
          <cell r="G215">
            <v>58.36363636363636</v>
          </cell>
          <cell r="H215">
            <v>58.36363636363636</v>
          </cell>
          <cell r="I215">
            <v>58.36363636363636</v>
          </cell>
          <cell r="J215">
            <v>58.390909090909084</v>
          </cell>
          <cell r="K215">
            <v>58.36363636363636</v>
          </cell>
          <cell r="L215">
            <v>58.36363636363636</v>
          </cell>
          <cell r="M215">
            <v>58.36363636363636</v>
          </cell>
          <cell r="N215">
            <v>57.845454545454537</v>
          </cell>
          <cell r="O215">
            <v>57.818181818181813</v>
          </cell>
          <cell r="P215">
            <v>57.818181818181813</v>
          </cell>
          <cell r="Q215">
            <v>57.818181818181813</v>
          </cell>
          <cell r="R215">
            <v>57.818181818181813</v>
          </cell>
          <cell r="S215">
            <v>57.818181818181813</v>
          </cell>
          <cell r="T215">
            <v>57.818181818181813</v>
          </cell>
          <cell r="U215">
            <v>57.818181818181813</v>
          </cell>
        </row>
        <row r="216">
          <cell r="E216" t="str">
            <v>AR Total Consumption Coal CC</v>
          </cell>
          <cell r="F216">
            <v>57.954545454545453</v>
          </cell>
          <cell r="G216">
            <v>57.954545454545453</v>
          </cell>
          <cell r="H216">
            <v>57.954545454545453</v>
          </cell>
          <cell r="I216">
            <v>57.954545454545453</v>
          </cell>
          <cell r="J216">
            <v>57.954545454545453</v>
          </cell>
          <cell r="K216">
            <v>57.954545454545453</v>
          </cell>
          <cell r="L216">
            <v>57.954545454545453</v>
          </cell>
          <cell r="M216">
            <v>57.959105454545451</v>
          </cell>
          <cell r="N216">
            <v>56.18181818181818</v>
          </cell>
          <cell r="O216">
            <v>56.209090909090904</v>
          </cell>
          <cell r="P216">
            <v>56.209090909090904</v>
          </cell>
          <cell r="Q216">
            <v>56.209090909090904</v>
          </cell>
          <cell r="R216">
            <v>56.209090909090904</v>
          </cell>
          <cell r="S216">
            <v>56.209090909090904</v>
          </cell>
          <cell r="T216">
            <v>56.209090909090904</v>
          </cell>
          <cell r="U216">
            <v>56.209090909090904</v>
          </cell>
        </row>
        <row r="217">
          <cell r="E217" t="str">
            <v>AZ Total Consumption Coal CC</v>
          </cell>
          <cell r="F217">
            <v>56.645454545454541</v>
          </cell>
          <cell r="G217">
            <v>56.645454545454541</v>
          </cell>
          <cell r="H217">
            <v>56.61818181818181</v>
          </cell>
          <cell r="I217">
            <v>56.563636363636363</v>
          </cell>
          <cell r="J217">
            <v>56.590909090909086</v>
          </cell>
          <cell r="K217">
            <v>56.61818181818181</v>
          </cell>
          <cell r="L217">
            <v>56.590909090909086</v>
          </cell>
          <cell r="M217">
            <v>56.572281818181814</v>
          </cell>
          <cell r="N217">
            <v>56.72727272727272</v>
          </cell>
          <cell r="O217">
            <v>56.154545454545449</v>
          </cell>
          <cell r="P217">
            <v>56.154545454545449</v>
          </cell>
          <cell r="Q217">
            <v>56.154545454545449</v>
          </cell>
          <cell r="R217">
            <v>56.154545454545449</v>
          </cell>
          <cell r="S217">
            <v>56.154545454545449</v>
          </cell>
          <cell r="T217">
            <v>56.154545454545449</v>
          </cell>
          <cell r="U217">
            <v>56.154545454545449</v>
          </cell>
        </row>
        <row r="218">
          <cell r="E218" t="str">
            <v>CA Total Consumption Coal CC</v>
          </cell>
          <cell r="F218">
            <v>55.8</v>
          </cell>
          <cell r="G218">
            <v>55.8</v>
          </cell>
          <cell r="H218">
            <v>55.663636363636357</v>
          </cell>
          <cell r="I218">
            <v>55.663636363636357</v>
          </cell>
          <cell r="J218">
            <v>55.663636363636357</v>
          </cell>
          <cell r="K218">
            <v>55.663636363636357</v>
          </cell>
          <cell r="L218">
            <v>55.663636363636357</v>
          </cell>
          <cell r="M218">
            <v>55.705047272727263</v>
          </cell>
          <cell r="N218">
            <v>55.8</v>
          </cell>
          <cell r="O218">
            <v>55.8</v>
          </cell>
          <cell r="P218">
            <v>55.8</v>
          </cell>
          <cell r="Q218">
            <v>55.8</v>
          </cell>
          <cell r="R218">
            <v>55.8</v>
          </cell>
          <cell r="S218">
            <v>55.8</v>
          </cell>
          <cell r="T218">
            <v>55.8</v>
          </cell>
          <cell r="U218">
            <v>55.8</v>
          </cell>
        </row>
        <row r="219">
          <cell r="E219" t="str">
            <v>CO Total Consumption Coal CC</v>
          </cell>
          <cell r="F219">
            <v>57.272727272727266</v>
          </cell>
          <cell r="G219">
            <v>57.272727272727266</v>
          </cell>
          <cell r="H219">
            <v>57.245454545454542</v>
          </cell>
          <cell r="I219">
            <v>57.272727272727266</v>
          </cell>
          <cell r="J219">
            <v>57.245454545454542</v>
          </cell>
          <cell r="K219">
            <v>57.272727272727266</v>
          </cell>
          <cell r="L219">
            <v>57.3</v>
          </cell>
          <cell r="M219">
            <v>57.297605454545447</v>
          </cell>
          <cell r="N219">
            <v>56.236363636363627</v>
          </cell>
          <cell r="O219">
            <v>55.881818181818183</v>
          </cell>
          <cell r="P219">
            <v>55.881818181818183</v>
          </cell>
          <cell r="Q219">
            <v>55.881818181818183</v>
          </cell>
          <cell r="R219">
            <v>55.881818181818183</v>
          </cell>
          <cell r="S219">
            <v>55.881818181818183</v>
          </cell>
          <cell r="T219">
            <v>55.881818181818183</v>
          </cell>
          <cell r="U219">
            <v>55.881818181818183</v>
          </cell>
        </row>
        <row r="220">
          <cell r="E220" t="str">
            <v>CT Total Consumption Coal CC</v>
          </cell>
          <cell r="F220">
            <v>55.93636363636363</v>
          </cell>
          <cell r="G220">
            <v>55.93636363636363</v>
          </cell>
          <cell r="H220">
            <v>55.963636363636354</v>
          </cell>
          <cell r="I220">
            <v>56.04545454545454</v>
          </cell>
          <cell r="J220">
            <v>55.990909090909092</v>
          </cell>
          <cell r="K220">
            <v>55.909090909090907</v>
          </cell>
          <cell r="L220">
            <v>55.881818181818183</v>
          </cell>
          <cell r="M220">
            <v>56.000708181818176</v>
          </cell>
          <cell r="N220">
            <v>55.445454545454545</v>
          </cell>
          <cell r="O220">
            <v>61.881818181818176</v>
          </cell>
          <cell r="P220">
            <v>61.881818181818176</v>
          </cell>
          <cell r="Q220">
            <v>61.881818181818176</v>
          </cell>
          <cell r="R220">
            <v>61.881818181818176</v>
          </cell>
          <cell r="S220">
            <v>61.881818181818176</v>
          </cell>
          <cell r="T220">
            <v>61.881818181818176</v>
          </cell>
          <cell r="U220">
            <v>61.881818181818176</v>
          </cell>
        </row>
        <row r="221">
          <cell r="E221" t="str">
            <v>DC Total Consumption Coal CC</v>
          </cell>
          <cell r="F221">
            <v>56.290909090909089</v>
          </cell>
          <cell r="G221">
            <v>56.04545454545454</v>
          </cell>
          <cell r="H221">
            <v>56.263636363636365</v>
          </cell>
          <cell r="I221">
            <v>56.290909090909089</v>
          </cell>
          <cell r="J221">
            <v>56.318181818181813</v>
          </cell>
          <cell r="K221">
            <v>56.672727272727272</v>
          </cell>
          <cell r="L221">
            <v>56.509090909090901</v>
          </cell>
          <cell r="M221">
            <v>56.497767272727266</v>
          </cell>
          <cell r="N221">
            <v>56.361084545454545</v>
          </cell>
          <cell r="O221">
            <v>56.361084545454545</v>
          </cell>
          <cell r="P221">
            <v>56.361084545454545</v>
          </cell>
          <cell r="Q221">
            <v>56.361084545454545</v>
          </cell>
          <cell r="R221">
            <v>56.361084545454545</v>
          </cell>
          <cell r="S221">
            <v>56.361084545454545</v>
          </cell>
          <cell r="T221">
            <v>56.361084545454545</v>
          </cell>
          <cell r="U221">
            <v>56.361084545454545</v>
          </cell>
        </row>
        <row r="222">
          <cell r="E222" t="str">
            <v>DE Total Consumption Coal CC</v>
          </cell>
          <cell r="F222">
            <v>56.345454545454537</v>
          </cell>
          <cell r="G222">
            <v>56.372727272727268</v>
          </cell>
          <cell r="H222">
            <v>56.454545454545453</v>
          </cell>
          <cell r="I222">
            <v>56.427272727272722</v>
          </cell>
          <cell r="J222">
            <v>56.481818181818177</v>
          </cell>
          <cell r="K222">
            <v>56.536363636363639</v>
          </cell>
          <cell r="L222">
            <v>56.536363636363639</v>
          </cell>
          <cell r="M222">
            <v>56.453397272727265</v>
          </cell>
          <cell r="N222">
            <v>56.563636363636363</v>
          </cell>
          <cell r="O222">
            <v>56.236363636363627</v>
          </cell>
          <cell r="P222">
            <v>56.236363636363627</v>
          </cell>
          <cell r="Q222">
            <v>56.236363636363627</v>
          </cell>
          <cell r="R222">
            <v>56.236363636363627</v>
          </cell>
          <cell r="S222">
            <v>56.236363636363627</v>
          </cell>
          <cell r="T222">
            <v>56.236363636363627</v>
          </cell>
          <cell r="U222">
            <v>56.236363636363627</v>
          </cell>
        </row>
        <row r="223">
          <cell r="E223" t="str">
            <v>FL Total Consumption Coal CC</v>
          </cell>
          <cell r="F223">
            <v>55.772727272727266</v>
          </cell>
          <cell r="G223">
            <v>55.772727272727266</v>
          </cell>
          <cell r="H223">
            <v>55.772727272727266</v>
          </cell>
          <cell r="I223">
            <v>55.772727272727266</v>
          </cell>
          <cell r="J223">
            <v>55.8</v>
          </cell>
          <cell r="K223">
            <v>55.8</v>
          </cell>
          <cell r="L223">
            <v>55.8</v>
          </cell>
          <cell r="M223">
            <v>55.854649090909085</v>
          </cell>
          <cell r="N223">
            <v>55.854545454545452</v>
          </cell>
          <cell r="O223">
            <v>55.36363636363636</v>
          </cell>
          <cell r="P223">
            <v>55.36363636363636</v>
          </cell>
          <cell r="Q223">
            <v>55.36363636363636</v>
          </cell>
          <cell r="R223">
            <v>55.36363636363636</v>
          </cell>
          <cell r="S223">
            <v>55.36363636363636</v>
          </cell>
          <cell r="T223">
            <v>55.36363636363636</v>
          </cell>
          <cell r="U223">
            <v>55.36363636363636</v>
          </cell>
        </row>
        <row r="224">
          <cell r="E224" t="str">
            <v>GA Total Consumption Coal CC</v>
          </cell>
          <cell r="F224">
            <v>55.963636363636354</v>
          </cell>
          <cell r="G224">
            <v>55.963636363636354</v>
          </cell>
          <cell r="H224">
            <v>55.854545454545452</v>
          </cell>
          <cell r="I224">
            <v>55.990909090909092</v>
          </cell>
          <cell r="J224">
            <v>56.209090909090904</v>
          </cell>
          <cell r="K224">
            <v>56.209090909090904</v>
          </cell>
          <cell r="L224">
            <v>56.318181818181813</v>
          </cell>
          <cell r="M224">
            <v>56.265807272727272</v>
          </cell>
          <cell r="N224">
            <v>55.881818181818183</v>
          </cell>
          <cell r="O224">
            <v>55.445454545454545</v>
          </cell>
          <cell r="P224">
            <v>55.445454545454545</v>
          </cell>
          <cell r="Q224">
            <v>55.445454545454545</v>
          </cell>
          <cell r="R224">
            <v>55.445454545454545</v>
          </cell>
          <cell r="S224">
            <v>55.445454545454545</v>
          </cell>
          <cell r="T224">
            <v>55.445454545454545</v>
          </cell>
          <cell r="U224">
            <v>55.445454545454545</v>
          </cell>
        </row>
        <row r="225">
          <cell r="E225" t="str">
            <v>HI Total Consumption Coal CC</v>
          </cell>
          <cell r="F225">
            <v>55.745454545454542</v>
          </cell>
          <cell r="G225">
            <v>55.745454545454542</v>
          </cell>
          <cell r="H225">
            <v>55.745454545454542</v>
          </cell>
          <cell r="I225">
            <v>55.745454545454542</v>
          </cell>
          <cell r="J225">
            <v>55.745454545454542</v>
          </cell>
          <cell r="K225">
            <v>55.745454545454542</v>
          </cell>
          <cell r="L225">
            <v>55.745454545454542</v>
          </cell>
          <cell r="M225">
            <v>55.73157545454545</v>
          </cell>
          <cell r="N225">
            <v>55.663636363636357</v>
          </cell>
          <cell r="O225">
            <v>55.663636363636357</v>
          </cell>
          <cell r="P225">
            <v>55.663636363636357</v>
          </cell>
          <cell r="Q225">
            <v>55.663636363636357</v>
          </cell>
          <cell r="R225">
            <v>55.663636363636357</v>
          </cell>
          <cell r="S225">
            <v>55.663636363636357</v>
          </cell>
          <cell r="T225">
            <v>55.663636363636357</v>
          </cell>
          <cell r="U225">
            <v>55.663636363636357</v>
          </cell>
        </row>
        <row r="226">
          <cell r="E226" t="str">
            <v>IA Total Consumption Coal CC</v>
          </cell>
          <cell r="F226">
            <v>57.190909090909081</v>
          </cell>
          <cell r="G226">
            <v>57.245454545454542</v>
          </cell>
          <cell r="H226">
            <v>57.463636363636354</v>
          </cell>
          <cell r="I226">
            <v>57.627272727272725</v>
          </cell>
          <cell r="J226">
            <v>57.54545454545454</v>
          </cell>
          <cell r="K226">
            <v>57.6</v>
          </cell>
          <cell r="L226">
            <v>57.572727272727263</v>
          </cell>
          <cell r="M226">
            <v>57.570602727272721</v>
          </cell>
          <cell r="N226">
            <v>56.645454545454541</v>
          </cell>
          <cell r="O226">
            <v>56.072727272727271</v>
          </cell>
          <cell r="P226">
            <v>56.072727272727271</v>
          </cell>
          <cell r="Q226">
            <v>56.072727272727271</v>
          </cell>
          <cell r="R226">
            <v>56.072727272727271</v>
          </cell>
          <cell r="S226">
            <v>56.072727272727271</v>
          </cell>
          <cell r="T226">
            <v>56.072727272727271</v>
          </cell>
          <cell r="U226">
            <v>56.072727272727271</v>
          </cell>
        </row>
        <row r="227">
          <cell r="E227" t="str">
            <v>ID Total Consumption Coal CC</v>
          </cell>
          <cell r="F227">
            <v>57.572727272727263</v>
          </cell>
          <cell r="G227">
            <v>57.572727272727263</v>
          </cell>
          <cell r="H227">
            <v>57.627272727272725</v>
          </cell>
          <cell r="I227">
            <v>57.409090909090907</v>
          </cell>
          <cell r="J227">
            <v>57.654545454545449</v>
          </cell>
          <cell r="K227">
            <v>57.081818181818178</v>
          </cell>
          <cell r="L227">
            <v>57.463636363636354</v>
          </cell>
          <cell r="M227">
            <v>57.77441454545454</v>
          </cell>
          <cell r="N227">
            <v>57.872727272727268</v>
          </cell>
          <cell r="O227">
            <v>56.563636363636363</v>
          </cell>
          <cell r="P227">
            <v>56.563636363636363</v>
          </cell>
          <cell r="Q227">
            <v>56.563636363636363</v>
          </cell>
          <cell r="R227">
            <v>56.563636363636363</v>
          </cell>
          <cell r="S227">
            <v>56.563636363636363</v>
          </cell>
          <cell r="T227">
            <v>56.563636363636363</v>
          </cell>
          <cell r="U227">
            <v>56.563636363636363</v>
          </cell>
        </row>
        <row r="228">
          <cell r="E228" t="str">
            <v>IL Total Consumption Coal CC</v>
          </cell>
          <cell r="F228">
            <v>56.018181818181816</v>
          </cell>
          <cell r="G228">
            <v>56.127272727272725</v>
          </cell>
          <cell r="H228">
            <v>56.154545454545449</v>
          </cell>
          <cell r="I228">
            <v>56.318181818181813</v>
          </cell>
          <cell r="J228">
            <v>56.427272727272722</v>
          </cell>
          <cell r="K228">
            <v>56.536363636363639</v>
          </cell>
          <cell r="L228">
            <v>56.563636363636363</v>
          </cell>
          <cell r="M228">
            <v>56.612080909090906</v>
          </cell>
          <cell r="N228">
            <v>55.663636363636357</v>
          </cell>
          <cell r="O228">
            <v>55.581818181818178</v>
          </cell>
          <cell r="P228">
            <v>55.581818181818178</v>
          </cell>
          <cell r="Q228">
            <v>55.581818181818178</v>
          </cell>
          <cell r="R228">
            <v>55.581818181818178</v>
          </cell>
          <cell r="S228">
            <v>55.581818181818178</v>
          </cell>
          <cell r="T228">
            <v>55.581818181818178</v>
          </cell>
          <cell r="U228">
            <v>55.581818181818178</v>
          </cell>
        </row>
        <row r="229">
          <cell r="E229" t="str">
            <v>IN Total Consumption Coal CC</v>
          </cell>
          <cell r="F229">
            <v>56.018181818181816</v>
          </cell>
          <cell r="G229">
            <v>56.04545454545454</v>
          </cell>
          <cell r="H229">
            <v>56.04545454545454</v>
          </cell>
          <cell r="I229">
            <v>56.1</v>
          </cell>
          <cell r="J229">
            <v>56.154545454545449</v>
          </cell>
          <cell r="K229">
            <v>56.263636363636365</v>
          </cell>
          <cell r="L229">
            <v>56.263636363636365</v>
          </cell>
          <cell r="M229">
            <v>56.227510909090903</v>
          </cell>
          <cell r="N229">
            <v>55.745454545454542</v>
          </cell>
          <cell r="O229">
            <v>55.390909090909084</v>
          </cell>
          <cell r="P229">
            <v>55.390909090909084</v>
          </cell>
          <cell r="Q229">
            <v>55.390909090909084</v>
          </cell>
          <cell r="R229">
            <v>55.390909090909084</v>
          </cell>
          <cell r="S229">
            <v>55.390909090909084</v>
          </cell>
          <cell r="T229">
            <v>55.390909090909084</v>
          </cell>
          <cell r="U229">
            <v>55.390909090909084</v>
          </cell>
        </row>
        <row r="230">
          <cell r="E230" t="str">
            <v>KS Total Consumption Coal CC</v>
          </cell>
          <cell r="F230">
            <v>57.43636363636363</v>
          </cell>
          <cell r="G230">
            <v>57.409090909090907</v>
          </cell>
          <cell r="H230">
            <v>57.490909090909092</v>
          </cell>
          <cell r="I230">
            <v>57.763636363636365</v>
          </cell>
          <cell r="J230">
            <v>57.627272727272725</v>
          </cell>
          <cell r="K230">
            <v>57.654545454545449</v>
          </cell>
          <cell r="L230">
            <v>57.54545454545454</v>
          </cell>
          <cell r="M230">
            <v>57.63859363636363</v>
          </cell>
          <cell r="N230">
            <v>55.445454545454545</v>
          </cell>
          <cell r="O230">
            <v>55.718181818181819</v>
          </cell>
          <cell r="P230">
            <v>55.718181818181819</v>
          </cell>
          <cell r="Q230">
            <v>55.718181818181819</v>
          </cell>
          <cell r="R230">
            <v>55.718181818181819</v>
          </cell>
          <cell r="S230">
            <v>55.718181818181819</v>
          </cell>
          <cell r="T230">
            <v>55.718181818181819</v>
          </cell>
          <cell r="U230">
            <v>55.718181818181819</v>
          </cell>
        </row>
        <row r="231">
          <cell r="E231" t="str">
            <v>KY Total Consumption Coal CC</v>
          </cell>
          <cell r="F231">
            <v>55.718181818181819</v>
          </cell>
          <cell r="G231">
            <v>55.745454545454542</v>
          </cell>
          <cell r="H231">
            <v>55.690909090909081</v>
          </cell>
          <cell r="I231">
            <v>55.745454545454542</v>
          </cell>
          <cell r="J231">
            <v>55.745454545454542</v>
          </cell>
          <cell r="K231">
            <v>55.772727272727266</v>
          </cell>
          <cell r="L231">
            <v>55.8</v>
          </cell>
          <cell r="M231">
            <v>55.819734545454544</v>
          </cell>
          <cell r="N231">
            <v>55.93636363636363</v>
          </cell>
          <cell r="O231">
            <v>55.390909090909084</v>
          </cell>
          <cell r="P231">
            <v>55.390909090909084</v>
          </cell>
          <cell r="Q231">
            <v>55.390909090909084</v>
          </cell>
          <cell r="R231">
            <v>55.390909090909084</v>
          </cell>
          <cell r="S231">
            <v>55.390909090909084</v>
          </cell>
          <cell r="T231">
            <v>55.390909090909084</v>
          </cell>
          <cell r="U231">
            <v>55.390909090909084</v>
          </cell>
        </row>
        <row r="232">
          <cell r="E232" t="str">
            <v>LA Total Consumption Coal CC</v>
          </cell>
          <cell r="F232">
            <v>57.927272727272722</v>
          </cell>
          <cell r="G232">
            <v>58.009090909090901</v>
          </cell>
          <cell r="H232">
            <v>58.036363636363632</v>
          </cell>
          <cell r="I232">
            <v>58.036363636363632</v>
          </cell>
          <cell r="J232">
            <v>58.036363636363632</v>
          </cell>
          <cell r="K232">
            <v>58.063636363636363</v>
          </cell>
          <cell r="L232">
            <v>58.036363636363632</v>
          </cell>
          <cell r="M232">
            <v>58.051993636363633</v>
          </cell>
          <cell r="N232">
            <v>55.909090909090907</v>
          </cell>
          <cell r="O232">
            <v>56.481818181818177</v>
          </cell>
          <cell r="P232">
            <v>56.481818181818177</v>
          </cell>
          <cell r="Q232">
            <v>56.481818181818177</v>
          </cell>
          <cell r="R232">
            <v>56.481818181818177</v>
          </cell>
          <cell r="S232">
            <v>56.481818181818177</v>
          </cell>
          <cell r="T232">
            <v>56.481818181818177</v>
          </cell>
          <cell r="U232">
            <v>56.481818181818177</v>
          </cell>
        </row>
        <row r="233">
          <cell r="E233" t="str">
            <v>MA Total Consumption Coal CC</v>
          </cell>
          <cell r="F233">
            <v>56.345454545454537</v>
          </cell>
          <cell r="G233">
            <v>56.4</v>
          </cell>
          <cell r="H233">
            <v>56.427272727272722</v>
          </cell>
          <cell r="I233">
            <v>56.427272727272722</v>
          </cell>
          <cell r="J233">
            <v>56.4</v>
          </cell>
          <cell r="K233">
            <v>56.345454545454537</v>
          </cell>
          <cell r="L233">
            <v>56.372727272727268</v>
          </cell>
          <cell r="M233">
            <v>56.315729999999995</v>
          </cell>
          <cell r="N233">
            <v>56.4</v>
          </cell>
          <cell r="O233">
            <v>55.581818181818178</v>
          </cell>
          <cell r="P233">
            <v>55.581818181818178</v>
          </cell>
          <cell r="Q233">
            <v>55.581818181818178</v>
          </cell>
          <cell r="R233">
            <v>55.581818181818178</v>
          </cell>
          <cell r="S233">
            <v>55.581818181818178</v>
          </cell>
          <cell r="T233">
            <v>55.581818181818178</v>
          </cell>
          <cell r="U233">
            <v>55.581818181818178</v>
          </cell>
        </row>
        <row r="234">
          <cell r="E234" t="str">
            <v>MD Total Consumption Coal CC</v>
          </cell>
          <cell r="F234">
            <v>56.481818181818177</v>
          </cell>
          <cell r="G234">
            <v>56.481818181818177</v>
          </cell>
          <cell r="H234">
            <v>56.481818181818177</v>
          </cell>
          <cell r="I234">
            <v>56.454545454545453</v>
          </cell>
          <cell r="J234">
            <v>56.481818181818177</v>
          </cell>
          <cell r="K234">
            <v>56.509090909090901</v>
          </cell>
          <cell r="L234">
            <v>56.481818181818177</v>
          </cell>
          <cell r="M234">
            <v>56.461868181818176</v>
          </cell>
          <cell r="N234">
            <v>56.809090909090905</v>
          </cell>
          <cell r="O234">
            <v>55.881818181818183</v>
          </cell>
          <cell r="P234">
            <v>55.881818181818183</v>
          </cell>
          <cell r="Q234">
            <v>55.881818181818183</v>
          </cell>
          <cell r="R234">
            <v>55.881818181818183</v>
          </cell>
          <cell r="S234">
            <v>55.881818181818183</v>
          </cell>
          <cell r="T234">
            <v>55.881818181818183</v>
          </cell>
          <cell r="U234">
            <v>55.881818181818183</v>
          </cell>
        </row>
        <row r="235">
          <cell r="E235" t="str">
            <v>ME Total Consumption Coal CC</v>
          </cell>
          <cell r="F235">
            <v>56.672727272727272</v>
          </cell>
          <cell r="G235">
            <v>56.072727272727271</v>
          </cell>
          <cell r="H235">
            <v>55.990909090909092</v>
          </cell>
          <cell r="I235">
            <v>55.990909090909092</v>
          </cell>
          <cell r="J235">
            <v>55.93636363636363</v>
          </cell>
          <cell r="K235">
            <v>55.963636363636354</v>
          </cell>
          <cell r="L235">
            <v>55.990909090909092</v>
          </cell>
          <cell r="M235">
            <v>55.974878181818177</v>
          </cell>
          <cell r="N235">
            <v>55.881818181818183</v>
          </cell>
          <cell r="O235">
            <v>56.236363636363627</v>
          </cell>
          <cell r="P235">
            <v>56.236363636363627</v>
          </cell>
          <cell r="Q235">
            <v>56.236363636363627</v>
          </cell>
          <cell r="R235">
            <v>56.236363636363627</v>
          </cell>
          <cell r="S235">
            <v>56.236363636363627</v>
          </cell>
          <cell r="T235">
            <v>56.236363636363627</v>
          </cell>
          <cell r="U235">
            <v>56.236363636363627</v>
          </cell>
        </row>
        <row r="236">
          <cell r="E236" t="str">
            <v>MI Total Consumption Coal CC</v>
          </cell>
          <cell r="F236">
            <v>56.781818181818174</v>
          </cell>
          <cell r="G236">
            <v>56.86363636363636</v>
          </cell>
          <cell r="H236">
            <v>56.86363636363636</v>
          </cell>
          <cell r="I236">
            <v>56.918181818181807</v>
          </cell>
          <cell r="J236">
            <v>56.86363636363636</v>
          </cell>
          <cell r="K236">
            <v>56.945454545454545</v>
          </cell>
          <cell r="L236">
            <v>57.054545454545448</v>
          </cell>
          <cell r="M236">
            <v>57.018092727272723</v>
          </cell>
          <cell r="N236">
            <v>55.990909090909092</v>
          </cell>
          <cell r="O236">
            <v>55.690909090909081</v>
          </cell>
          <cell r="P236">
            <v>55.690909090909081</v>
          </cell>
          <cell r="Q236">
            <v>55.690909090909081</v>
          </cell>
          <cell r="R236">
            <v>55.690909090909081</v>
          </cell>
          <cell r="S236">
            <v>55.690909090909081</v>
          </cell>
          <cell r="T236">
            <v>55.690909090909081</v>
          </cell>
          <cell r="U236">
            <v>55.690909090909081</v>
          </cell>
        </row>
        <row r="237">
          <cell r="E237" t="str">
            <v>MN Total Consumption Coal CC</v>
          </cell>
          <cell r="F237">
            <v>58.063636363636363</v>
          </cell>
          <cell r="G237">
            <v>58.063636363636363</v>
          </cell>
          <cell r="H237">
            <v>58.063636363636363</v>
          </cell>
          <cell r="I237">
            <v>58.063636363636363</v>
          </cell>
          <cell r="J237">
            <v>58.036363636363632</v>
          </cell>
          <cell r="K237">
            <v>58.063636363636363</v>
          </cell>
          <cell r="L237">
            <v>58.063636363636363</v>
          </cell>
          <cell r="M237">
            <v>58.057483636363635</v>
          </cell>
          <cell r="N237">
            <v>57.081818181818178</v>
          </cell>
          <cell r="O237">
            <v>56.236363636363627</v>
          </cell>
          <cell r="P237">
            <v>56.236363636363627</v>
          </cell>
          <cell r="Q237">
            <v>56.236363636363627</v>
          </cell>
          <cell r="R237">
            <v>56.236363636363627</v>
          </cell>
          <cell r="S237">
            <v>56.236363636363627</v>
          </cell>
          <cell r="T237">
            <v>56.236363636363627</v>
          </cell>
          <cell r="U237">
            <v>56.236363636363627</v>
          </cell>
        </row>
        <row r="238">
          <cell r="E238" t="str">
            <v>MO Total Consumption Coal CC</v>
          </cell>
          <cell r="F238">
            <v>56.072727272727271</v>
          </cell>
          <cell r="G238">
            <v>56.18181818181818</v>
          </cell>
          <cell r="H238">
            <v>56.209090909090904</v>
          </cell>
          <cell r="I238">
            <v>56.75454545454545</v>
          </cell>
          <cell r="J238">
            <v>56.86363636363636</v>
          </cell>
          <cell r="K238">
            <v>57.354545454545452</v>
          </cell>
          <cell r="L238">
            <v>57.463636363636354</v>
          </cell>
          <cell r="M238">
            <v>57.57614181818181</v>
          </cell>
          <cell r="N238">
            <v>55.663636363636357</v>
          </cell>
          <cell r="O238">
            <v>55.8</v>
          </cell>
          <cell r="P238">
            <v>55.8</v>
          </cell>
          <cell r="Q238">
            <v>55.8</v>
          </cell>
          <cell r="R238">
            <v>55.8</v>
          </cell>
          <cell r="S238">
            <v>55.8</v>
          </cell>
          <cell r="T238">
            <v>55.8</v>
          </cell>
          <cell r="U238">
            <v>55.8</v>
          </cell>
        </row>
        <row r="239">
          <cell r="E239" t="str">
            <v>MS Total Consumption Coal CC</v>
          </cell>
          <cell r="F239">
            <v>55.690909090909081</v>
          </cell>
          <cell r="G239">
            <v>55.745454545454542</v>
          </cell>
          <cell r="H239">
            <v>55.772727272727266</v>
          </cell>
          <cell r="I239">
            <v>55.854545454545452</v>
          </cell>
          <cell r="J239">
            <v>56.372727272727268</v>
          </cell>
          <cell r="K239">
            <v>56.372727272727268</v>
          </cell>
          <cell r="L239">
            <v>56.509090909090901</v>
          </cell>
          <cell r="M239">
            <v>56.936004545454544</v>
          </cell>
          <cell r="N239">
            <v>55.827272727272721</v>
          </cell>
          <cell r="O239">
            <v>55.336363636363636</v>
          </cell>
          <cell r="P239">
            <v>55.336363636363636</v>
          </cell>
          <cell r="Q239">
            <v>55.336363636363636</v>
          </cell>
          <cell r="R239">
            <v>55.336363636363636</v>
          </cell>
          <cell r="S239">
            <v>55.336363636363636</v>
          </cell>
          <cell r="T239">
            <v>55.336363636363636</v>
          </cell>
          <cell r="U239">
            <v>55.336363636363636</v>
          </cell>
        </row>
        <row r="240">
          <cell r="E240" t="str">
            <v>MT Total Consumption Coal CC</v>
          </cell>
          <cell r="F240">
            <v>58.22727272727272</v>
          </cell>
          <cell r="G240">
            <v>58.22727272727272</v>
          </cell>
          <cell r="H240">
            <v>58.22727272727272</v>
          </cell>
          <cell r="I240">
            <v>58.22727272727272</v>
          </cell>
          <cell r="J240">
            <v>58.22727272727272</v>
          </cell>
          <cell r="K240">
            <v>58.22727272727272</v>
          </cell>
          <cell r="L240">
            <v>58.22727272727272</v>
          </cell>
          <cell r="M240">
            <v>58.214421818181812</v>
          </cell>
          <cell r="N240">
            <v>58.581818181818178</v>
          </cell>
          <cell r="O240">
            <v>56.290909090909089</v>
          </cell>
          <cell r="P240">
            <v>56.290909090909089</v>
          </cell>
          <cell r="Q240">
            <v>56.290909090909089</v>
          </cell>
          <cell r="R240">
            <v>56.290909090909089</v>
          </cell>
          <cell r="S240">
            <v>56.290909090909089</v>
          </cell>
          <cell r="T240">
            <v>56.290909090909089</v>
          </cell>
          <cell r="U240">
            <v>56.290909090909089</v>
          </cell>
        </row>
        <row r="241">
          <cell r="E241" t="str">
            <v>NC Total Consumption Coal CC</v>
          </cell>
          <cell r="F241">
            <v>56.127272727272725</v>
          </cell>
          <cell r="G241">
            <v>56.127272727272725</v>
          </cell>
          <cell r="H241">
            <v>56.127272727272725</v>
          </cell>
          <cell r="I241">
            <v>56.1</v>
          </cell>
          <cell r="J241">
            <v>56.127272727272725</v>
          </cell>
          <cell r="K241">
            <v>56.1</v>
          </cell>
          <cell r="L241">
            <v>56.1</v>
          </cell>
          <cell r="M241">
            <v>56.105244545454546</v>
          </cell>
          <cell r="N241">
            <v>56.018181818181816</v>
          </cell>
          <cell r="O241">
            <v>55.554545454545448</v>
          </cell>
          <cell r="P241">
            <v>55.554545454545448</v>
          </cell>
          <cell r="Q241">
            <v>55.554545454545448</v>
          </cell>
          <cell r="R241">
            <v>55.554545454545448</v>
          </cell>
          <cell r="S241">
            <v>55.554545454545448</v>
          </cell>
          <cell r="T241">
            <v>55.554545454545448</v>
          </cell>
          <cell r="U241">
            <v>55.554545454545448</v>
          </cell>
        </row>
        <row r="242">
          <cell r="E242" t="str">
            <v>ND Total Consumption Coal CC</v>
          </cell>
          <cell r="F242">
            <v>59.61818181818181</v>
          </cell>
          <cell r="G242">
            <v>59.61818181818181</v>
          </cell>
          <cell r="H242">
            <v>59.61818181818181</v>
          </cell>
          <cell r="I242">
            <v>59.645454545454541</v>
          </cell>
          <cell r="J242">
            <v>59.61818181818181</v>
          </cell>
          <cell r="K242">
            <v>59.645454545454541</v>
          </cell>
          <cell r="L242">
            <v>59.645454545454541</v>
          </cell>
          <cell r="M242">
            <v>59.633149090909086</v>
          </cell>
          <cell r="N242">
            <v>59.563636363636363</v>
          </cell>
          <cell r="O242">
            <v>59.18181818181818</v>
          </cell>
          <cell r="P242">
            <v>59.18181818181818</v>
          </cell>
          <cell r="Q242">
            <v>59.18181818181818</v>
          </cell>
          <cell r="R242">
            <v>59.18181818181818</v>
          </cell>
          <cell r="S242">
            <v>59.18181818181818</v>
          </cell>
          <cell r="T242">
            <v>59.18181818181818</v>
          </cell>
          <cell r="U242">
            <v>59.18181818181818</v>
          </cell>
        </row>
        <row r="243">
          <cell r="E243" t="str">
            <v>NE Total Consumption Coal CC</v>
          </cell>
          <cell r="F243">
            <v>58.009090909090901</v>
          </cell>
          <cell r="G243">
            <v>58.009090909090901</v>
          </cell>
          <cell r="H243">
            <v>58.009090909090901</v>
          </cell>
          <cell r="I243">
            <v>58.009090909090901</v>
          </cell>
          <cell r="J243">
            <v>57.981818181818177</v>
          </cell>
          <cell r="K243">
            <v>58.009090909090901</v>
          </cell>
          <cell r="L243">
            <v>58.009090909090901</v>
          </cell>
          <cell r="M243">
            <v>57.993316363636353</v>
          </cell>
          <cell r="N243">
            <v>57.054545454545448</v>
          </cell>
          <cell r="O243">
            <v>56.209090909090904</v>
          </cell>
          <cell r="P243">
            <v>56.209090909090904</v>
          </cell>
          <cell r="Q243">
            <v>56.209090909090904</v>
          </cell>
          <cell r="R243">
            <v>56.209090909090904</v>
          </cell>
          <cell r="S243">
            <v>56.209090909090904</v>
          </cell>
          <cell r="T243">
            <v>56.209090909090904</v>
          </cell>
          <cell r="U243">
            <v>56.209090909090904</v>
          </cell>
        </row>
        <row r="244">
          <cell r="E244" t="str">
            <v>NH Total Consumption Coal CC</v>
          </cell>
          <cell r="F244">
            <v>56.481818181818177</v>
          </cell>
          <cell r="G244">
            <v>56.318181818181813</v>
          </cell>
          <cell r="H244">
            <v>56.318181818181813</v>
          </cell>
          <cell r="I244">
            <v>56.263636363636365</v>
          </cell>
          <cell r="J244">
            <v>56.236363636363627</v>
          </cell>
          <cell r="K244">
            <v>56.236363636363627</v>
          </cell>
          <cell r="L244">
            <v>56.236363636363627</v>
          </cell>
          <cell r="M244">
            <v>56.250807272727272</v>
          </cell>
          <cell r="N244">
            <v>55.418181818181814</v>
          </cell>
          <cell r="O244">
            <v>55.609090909090909</v>
          </cell>
          <cell r="P244">
            <v>55.609090909090909</v>
          </cell>
          <cell r="Q244">
            <v>55.609090909090909</v>
          </cell>
          <cell r="R244">
            <v>55.609090909090909</v>
          </cell>
          <cell r="S244">
            <v>55.609090909090909</v>
          </cell>
          <cell r="T244">
            <v>55.609090909090909</v>
          </cell>
          <cell r="U244">
            <v>55.609090909090909</v>
          </cell>
        </row>
        <row r="245">
          <cell r="E245" t="str">
            <v>NJ Total Consumption Coal CC</v>
          </cell>
          <cell r="F245">
            <v>56.427272727272722</v>
          </cell>
          <cell r="G245">
            <v>56.427272727272722</v>
          </cell>
          <cell r="H245">
            <v>56.4</v>
          </cell>
          <cell r="I245">
            <v>56.4</v>
          </cell>
          <cell r="J245">
            <v>56.372727272727268</v>
          </cell>
          <cell r="K245">
            <v>56.318181818181813</v>
          </cell>
          <cell r="L245">
            <v>56.4</v>
          </cell>
          <cell r="M245">
            <v>56.376059999999995</v>
          </cell>
          <cell r="N245">
            <v>59.4</v>
          </cell>
          <cell r="O245">
            <v>55.827272727272721</v>
          </cell>
          <cell r="P245">
            <v>55.827272727272721</v>
          </cell>
          <cell r="Q245">
            <v>55.827272727272721</v>
          </cell>
          <cell r="R245">
            <v>55.827272727272721</v>
          </cell>
          <cell r="S245">
            <v>55.827272727272721</v>
          </cell>
          <cell r="T245">
            <v>55.827272727272721</v>
          </cell>
          <cell r="U245">
            <v>55.827272727272721</v>
          </cell>
        </row>
        <row r="246">
          <cell r="E246" t="str">
            <v>NM Total Consumption Coal CC</v>
          </cell>
          <cell r="F246">
            <v>56.1</v>
          </cell>
          <cell r="G246">
            <v>56.1</v>
          </cell>
          <cell r="H246">
            <v>56.1</v>
          </cell>
          <cell r="I246">
            <v>56.1</v>
          </cell>
          <cell r="J246">
            <v>56.127272727272725</v>
          </cell>
          <cell r="K246">
            <v>56.127272727272725</v>
          </cell>
          <cell r="L246">
            <v>56.127272727272725</v>
          </cell>
          <cell r="M246">
            <v>56.114899090909084</v>
          </cell>
          <cell r="N246">
            <v>56.236363636363627</v>
          </cell>
          <cell r="O246">
            <v>56.209090909090904</v>
          </cell>
          <cell r="P246">
            <v>56.209090909090904</v>
          </cell>
          <cell r="Q246">
            <v>56.209090909090904</v>
          </cell>
          <cell r="R246">
            <v>56.209090909090904</v>
          </cell>
          <cell r="S246">
            <v>56.209090909090904</v>
          </cell>
          <cell r="T246">
            <v>56.209090909090904</v>
          </cell>
          <cell r="U246">
            <v>56.209090909090904</v>
          </cell>
        </row>
        <row r="247">
          <cell r="E247" t="str">
            <v>NV Total Consumption Coal CC</v>
          </cell>
          <cell r="F247">
            <v>56.61818181818181</v>
          </cell>
          <cell r="G247">
            <v>56.7</v>
          </cell>
          <cell r="H247">
            <v>56.809090909090905</v>
          </cell>
          <cell r="I247">
            <v>56.809090909090905</v>
          </cell>
          <cell r="J247">
            <v>56.809090909090905</v>
          </cell>
          <cell r="K247">
            <v>56.75454545454545</v>
          </cell>
          <cell r="L247">
            <v>56.645454545454541</v>
          </cell>
          <cell r="M247">
            <v>56.607586363636358</v>
          </cell>
          <cell r="N247">
            <v>55.990909090909092</v>
          </cell>
          <cell r="O247">
            <v>55.93636363636363</v>
          </cell>
          <cell r="P247">
            <v>55.93636363636363</v>
          </cell>
          <cell r="Q247">
            <v>55.93636363636363</v>
          </cell>
          <cell r="R247">
            <v>55.93636363636363</v>
          </cell>
          <cell r="S247">
            <v>55.93636363636363</v>
          </cell>
          <cell r="T247">
            <v>55.93636363636363</v>
          </cell>
          <cell r="U247">
            <v>55.93636363636363</v>
          </cell>
        </row>
        <row r="248">
          <cell r="E248" t="str">
            <v>NY Total Consumption Coal CC</v>
          </cell>
          <cell r="F248">
            <v>56.318181818181813</v>
          </cell>
          <cell r="G248">
            <v>56.318181818181813</v>
          </cell>
          <cell r="H248">
            <v>56.318181818181813</v>
          </cell>
          <cell r="I248">
            <v>56.318181818181813</v>
          </cell>
          <cell r="J248">
            <v>56.290909090909089</v>
          </cell>
          <cell r="K248">
            <v>56.345454545454537</v>
          </cell>
          <cell r="L248">
            <v>56.345454545454537</v>
          </cell>
          <cell r="M248">
            <v>56.341030909090904</v>
          </cell>
          <cell r="N248">
            <v>56.345454545454537</v>
          </cell>
          <cell r="O248">
            <v>55.909090909090907</v>
          </cell>
          <cell r="P248">
            <v>55.909090909090907</v>
          </cell>
          <cell r="Q248">
            <v>55.909090909090907</v>
          </cell>
          <cell r="R248">
            <v>55.909090909090907</v>
          </cell>
          <cell r="S248">
            <v>55.909090909090907</v>
          </cell>
          <cell r="T248">
            <v>55.909090909090907</v>
          </cell>
          <cell r="U248">
            <v>55.909090909090907</v>
          </cell>
        </row>
        <row r="249">
          <cell r="E249" t="str">
            <v>OH Total Consumption Coal CC</v>
          </cell>
          <cell r="F249">
            <v>55.827272727272721</v>
          </cell>
          <cell r="G249">
            <v>55.8</v>
          </cell>
          <cell r="H249">
            <v>55.8</v>
          </cell>
          <cell r="I249">
            <v>55.8</v>
          </cell>
          <cell r="J249">
            <v>55.854545454545452</v>
          </cell>
          <cell r="K249">
            <v>55.909090909090907</v>
          </cell>
          <cell r="L249">
            <v>55.909090909090907</v>
          </cell>
          <cell r="M249">
            <v>55.912019999999998</v>
          </cell>
          <cell r="N249">
            <v>55.527272727272724</v>
          </cell>
          <cell r="O249">
            <v>55.390909090909084</v>
          </cell>
          <cell r="P249">
            <v>55.390909090909084</v>
          </cell>
          <cell r="Q249">
            <v>55.390909090909084</v>
          </cell>
          <cell r="R249">
            <v>55.390909090909084</v>
          </cell>
          <cell r="S249">
            <v>55.390909090909084</v>
          </cell>
          <cell r="T249">
            <v>55.390909090909084</v>
          </cell>
          <cell r="U249">
            <v>55.390909090909084</v>
          </cell>
        </row>
        <row r="250">
          <cell r="E250" t="str">
            <v>OK Total Consumption Coal CC</v>
          </cell>
          <cell r="F250">
            <v>57.790909090909089</v>
          </cell>
          <cell r="G250">
            <v>57.845454545454537</v>
          </cell>
          <cell r="H250">
            <v>57.9</v>
          </cell>
          <cell r="I250">
            <v>57.9</v>
          </cell>
          <cell r="J250">
            <v>57.954545454545453</v>
          </cell>
          <cell r="K250">
            <v>57.872727272727268</v>
          </cell>
          <cell r="L250">
            <v>57.927272727272722</v>
          </cell>
          <cell r="M250">
            <v>57.947266363636359</v>
          </cell>
          <cell r="N250">
            <v>56.263636363636365</v>
          </cell>
          <cell r="O250">
            <v>56.1</v>
          </cell>
          <cell r="P250">
            <v>56.1</v>
          </cell>
          <cell r="Q250">
            <v>56.1</v>
          </cell>
          <cell r="R250">
            <v>56.1</v>
          </cell>
          <cell r="S250">
            <v>56.1</v>
          </cell>
          <cell r="T250">
            <v>56.1</v>
          </cell>
          <cell r="U250">
            <v>56.1</v>
          </cell>
        </row>
        <row r="251">
          <cell r="E251" t="str">
            <v>OR Total Consumption Coal CC</v>
          </cell>
          <cell r="F251">
            <v>58.009090909090901</v>
          </cell>
          <cell r="G251">
            <v>58.009090909090901</v>
          </cell>
          <cell r="H251">
            <v>58.036363636363632</v>
          </cell>
          <cell r="I251">
            <v>57.927272727272722</v>
          </cell>
          <cell r="J251">
            <v>57.845454545454537</v>
          </cell>
          <cell r="K251">
            <v>58.036363636363632</v>
          </cell>
          <cell r="L251">
            <v>58.009090909090901</v>
          </cell>
          <cell r="M251">
            <v>58.002117272727268</v>
          </cell>
          <cell r="N251">
            <v>57.927272727272722</v>
          </cell>
          <cell r="O251">
            <v>55.145454545454541</v>
          </cell>
          <cell r="P251">
            <v>55.145454545454541</v>
          </cell>
          <cell r="Q251">
            <v>55.145454545454541</v>
          </cell>
          <cell r="R251">
            <v>55.145454545454541</v>
          </cell>
          <cell r="S251">
            <v>55.145454545454541</v>
          </cell>
          <cell r="T251">
            <v>55.145454545454541</v>
          </cell>
          <cell r="U251">
            <v>55.145454545454541</v>
          </cell>
        </row>
        <row r="252">
          <cell r="E252" t="str">
            <v>PA Total Consumption Coal CC</v>
          </cell>
          <cell r="F252">
            <v>56.345454545454537</v>
          </cell>
          <cell r="G252">
            <v>56.372727272727268</v>
          </cell>
          <cell r="H252">
            <v>56.372727272727268</v>
          </cell>
          <cell r="I252">
            <v>56.290909090909089</v>
          </cell>
          <cell r="J252">
            <v>56.290909090909089</v>
          </cell>
          <cell r="K252">
            <v>56.345454545454537</v>
          </cell>
          <cell r="L252">
            <v>56.318181818181813</v>
          </cell>
          <cell r="M252">
            <v>56.361779999999996</v>
          </cell>
          <cell r="N252">
            <v>56.781818181818174</v>
          </cell>
          <cell r="O252">
            <v>55.527272727272724</v>
          </cell>
          <cell r="P252">
            <v>55.527272727272724</v>
          </cell>
          <cell r="Q252">
            <v>55.527272727272724</v>
          </cell>
          <cell r="R252">
            <v>55.527272727272724</v>
          </cell>
          <cell r="S252">
            <v>55.527272727272724</v>
          </cell>
          <cell r="T252">
            <v>55.527272727272724</v>
          </cell>
          <cell r="U252">
            <v>55.527272727272724</v>
          </cell>
        </row>
        <row r="253">
          <cell r="E253" t="str">
            <v>RI Total Consumption Coal CC</v>
          </cell>
          <cell r="F253">
            <v>61.990909090909092</v>
          </cell>
          <cell r="G253">
            <v>62.018181818181816</v>
          </cell>
          <cell r="H253">
            <v>62.018181818181816</v>
          </cell>
          <cell r="I253">
            <v>61.990909090909092</v>
          </cell>
          <cell r="J253">
            <v>62.018181818181816</v>
          </cell>
          <cell r="K253">
            <v>62.018181818181816</v>
          </cell>
          <cell r="L253">
            <v>62.018181818181816</v>
          </cell>
          <cell r="M253">
            <v>61.969047272727266</v>
          </cell>
          <cell r="N253">
            <v>62.018181818181816</v>
          </cell>
          <cell r="O253">
            <v>62.018181818181816</v>
          </cell>
          <cell r="P253">
            <v>62.018181818181816</v>
          </cell>
          <cell r="Q253">
            <v>62.018181818181816</v>
          </cell>
          <cell r="R253">
            <v>62.018181818181816</v>
          </cell>
          <cell r="S253">
            <v>62.018181818181816</v>
          </cell>
          <cell r="T253">
            <v>62.018181818181816</v>
          </cell>
          <cell r="U253">
            <v>62.018181818181816</v>
          </cell>
        </row>
        <row r="254">
          <cell r="E254" t="str">
            <v>SC Total Consumption Coal CC</v>
          </cell>
          <cell r="F254">
            <v>55.909090909090907</v>
          </cell>
          <cell r="G254">
            <v>55.909090909090907</v>
          </cell>
          <cell r="H254">
            <v>55.909090909090907</v>
          </cell>
          <cell r="I254">
            <v>55.93636363636363</v>
          </cell>
          <cell r="J254">
            <v>55.93636363636363</v>
          </cell>
          <cell r="K254">
            <v>55.93636363636363</v>
          </cell>
          <cell r="L254">
            <v>55.909090909090907</v>
          </cell>
          <cell r="M254">
            <v>55.917605454545445</v>
          </cell>
          <cell r="N254">
            <v>56.04545454545454</v>
          </cell>
          <cell r="O254">
            <v>55.309090909090905</v>
          </cell>
          <cell r="P254">
            <v>55.309090909090905</v>
          </cell>
          <cell r="Q254">
            <v>55.309090909090905</v>
          </cell>
          <cell r="R254">
            <v>55.309090909090905</v>
          </cell>
          <cell r="S254">
            <v>55.309090909090905</v>
          </cell>
          <cell r="T254">
            <v>55.309090909090905</v>
          </cell>
          <cell r="U254">
            <v>55.309090909090905</v>
          </cell>
        </row>
        <row r="255">
          <cell r="E255" t="str">
            <v>SD Total Consumption Coal CC</v>
          </cell>
          <cell r="F255">
            <v>59.454545454545453</v>
          </cell>
          <cell r="G255">
            <v>59.427272727272722</v>
          </cell>
          <cell r="H255">
            <v>59.427272727272722</v>
          </cell>
          <cell r="I255">
            <v>59.372727272727268</v>
          </cell>
          <cell r="J255">
            <v>59.318181818181813</v>
          </cell>
          <cell r="K255">
            <v>58.93636363636363</v>
          </cell>
          <cell r="L255">
            <v>58.172727272727272</v>
          </cell>
          <cell r="M255">
            <v>58.164711818181814</v>
          </cell>
          <cell r="N255">
            <v>57.272727272727266</v>
          </cell>
          <cell r="O255">
            <v>56.372727272727268</v>
          </cell>
          <cell r="P255">
            <v>56.372727272727268</v>
          </cell>
          <cell r="Q255">
            <v>56.372727272727268</v>
          </cell>
          <cell r="R255">
            <v>56.372727272727268</v>
          </cell>
          <cell r="S255">
            <v>56.372727272727268</v>
          </cell>
          <cell r="T255">
            <v>56.372727272727268</v>
          </cell>
          <cell r="U255">
            <v>56.372727272727268</v>
          </cell>
        </row>
        <row r="256">
          <cell r="E256" t="str">
            <v>TN Total Consumption Coal CC</v>
          </cell>
          <cell r="F256">
            <v>55.718181818181819</v>
          </cell>
          <cell r="G256">
            <v>55.690909090909081</v>
          </cell>
          <cell r="H256">
            <v>55.690909090909081</v>
          </cell>
          <cell r="I256">
            <v>55.772727272727266</v>
          </cell>
          <cell r="J256">
            <v>55.718181818181819</v>
          </cell>
          <cell r="K256">
            <v>55.690909090909081</v>
          </cell>
          <cell r="L256">
            <v>55.718181818181819</v>
          </cell>
          <cell r="M256">
            <v>55.840497272727269</v>
          </cell>
          <cell r="N256">
            <v>55.963636363636354</v>
          </cell>
          <cell r="O256">
            <v>55.336363636363636</v>
          </cell>
          <cell r="P256">
            <v>55.336363636363636</v>
          </cell>
          <cell r="Q256">
            <v>55.336363636363636</v>
          </cell>
          <cell r="R256">
            <v>55.336363636363636</v>
          </cell>
          <cell r="S256">
            <v>55.336363636363636</v>
          </cell>
          <cell r="T256">
            <v>55.336363636363636</v>
          </cell>
          <cell r="U256">
            <v>55.336363636363636</v>
          </cell>
        </row>
        <row r="257">
          <cell r="E257" t="str">
            <v>TX Total Consumption Coal CC</v>
          </cell>
          <cell r="F257">
            <v>58.063636363636363</v>
          </cell>
          <cell r="G257">
            <v>58.063636363636363</v>
          </cell>
          <cell r="H257">
            <v>58.063636363636363</v>
          </cell>
          <cell r="I257">
            <v>58.063636363636363</v>
          </cell>
          <cell r="J257">
            <v>58.090909090909086</v>
          </cell>
          <cell r="K257">
            <v>58.036363636363632</v>
          </cell>
          <cell r="L257">
            <v>58.063636363636363</v>
          </cell>
          <cell r="M257">
            <v>58.06482272727272</v>
          </cell>
          <cell r="N257">
            <v>57.354545454545452</v>
          </cell>
          <cell r="O257">
            <v>56.836363636363636</v>
          </cell>
          <cell r="P257">
            <v>56.836363636363636</v>
          </cell>
          <cell r="Q257">
            <v>56.836363636363636</v>
          </cell>
          <cell r="R257">
            <v>56.836363636363636</v>
          </cell>
          <cell r="S257">
            <v>56.836363636363636</v>
          </cell>
          <cell r="T257">
            <v>56.836363636363636</v>
          </cell>
          <cell r="U257">
            <v>56.836363636363636</v>
          </cell>
        </row>
        <row r="258">
          <cell r="E258" t="str">
            <v>US Total Consumption Coal CC</v>
          </cell>
          <cell r="F258">
            <v>56.563636363636363</v>
          </cell>
          <cell r="G258">
            <v>56.590909090909086</v>
          </cell>
          <cell r="H258">
            <v>56.61818181818181</v>
          </cell>
          <cell r="I258">
            <v>56.645454545454541</v>
          </cell>
          <cell r="J258">
            <v>56.672727272727272</v>
          </cell>
          <cell r="K258">
            <v>56.7</v>
          </cell>
          <cell r="L258">
            <v>56.72727272727272</v>
          </cell>
          <cell r="M258">
            <v>56.736305454545452</v>
          </cell>
          <cell r="N258">
            <v>56.427272727272722</v>
          </cell>
          <cell r="O258">
            <v>55.854545454545452</v>
          </cell>
          <cell r="P258">
            <v>55.854545454545452</v>
          </cell>
          <cell r="Q258">
            <v>55.854545454545452</v>
          </cell>
          <cell r="R258">
            <v>55.854545454545452</v>
          </cell>
          <cell r="S258">
            <v>55.854545454545452</v>
          </cell>
          <cell r="T258">
            <v>55.854545454545452</v>
          </cell>
          <cell r="U258">
            <v>55.854545454545452</v>
          </cell>
        </row>
        <row r="259">
          <cell r="E259" t="str">
            <v>UT Total Consumption Coal CC</v>
          </cell>
          <cell r="F259">
            <v>55.8</v>
          </cell>
          <cell r="G259">
            <v>55.745454545454542</v>
          </cell>
          <cell r="H259">
            <v>55.745454545454542</v>
          </cell>
          <cell r="I259">
            <v>55.745454545454542</v>
          </cell>
          <cell r="J259">
            <v>55.772727272727266</v>
          </cell>
          <cell r="K259">
            <v>55.772727272727266</v>
          </cell>
          <cell r="L259">
            <v>55.8</v>
          </cell>
          <cell r="M259">
            <v>55.841830909090902</v>
          </cell>
          <cell r="N259">
            <v>55.745454545454542</v>
          </cell>
          <cell r="O259">
            <v>55.227272727272727</v>
          </cell>
          <cell r="P259">
            <v>55.227272727272727</v>
          </cell>
          <cell r="Q259">
            <v>55.227272727272727</v>
          </cell>
          <cell r="R259">
            <v>55.227272727272727</v>
          </cell>
          <cell r="S259">
            <v>55.227272727272727</v>
          </cell>
          <cell r="T259">
            <v>55.227272727272727</v>
          </cell>
          <cell r="U259">
            <v>55.227272727272727</v>
          </cell>
        </row>
        <row r="260">
          <cell r="E260" t="str">
            <v>VA Total Consumption Coal CC</v>
          </cell>
          <cell r="F260">
            <v>56.18181818181818</v>
          </cell>
          <cell r="G260">
            <v>56.18181818181818</v>
          </cell>
          <cell r="H260">
            <v>56.209090909090904</v>
          </cell>
          <cell r="I260">
            <v>56.154545454545449</v>
          </cell>
          <cell r="J260">
            <v>56.154545454545449</v>
          </cell>
          <cell r="K260">
            <v>56.18181818181818</v>
          </cell>
          <cell r="L260">
            <v>56.18181818181818</v>
          </cell>
          <cell r="M260">
            <v>56.199998181818181</v>
          </cell>
          <cell r="N260">
            <v>56.18181818181818</v>
          </cell>
          <cell r="O260">
            <v>55.745454545454542</v>
          </cell>
          <cell r="P260">
            <v>55.745454545454542</v>
          </cell>
          <cell r="Q260">
            <v>55.745454545454542</v>
          </cell>
          <cell r="R260">
            <v>55.745454545454542</v>
          </cell>
          <cell r="S260">
            <v>55.745454545454542</v>
          </cell>
          <cell r="T260">
            <v>55.745454545454542</v>
          </cell>
          <cell r="U260">
            <v>55.745454545454542</v>
          </cell>
        </row>
        <row r="261">
          <cell r="E261" t="str">
            <v>VT Total Consumption Coal CC</v>
          </cell>
          <cell r="F261">
            <v>61.93636363636363</v>
          </cell>
          <cell r="G261">
            <v>58.690909090909081</v>
          </cell>
          <cell r="H261">
            <v>59.127272727272725</v>
          </cell>
          <cell r="I261">
            <v>61.881818181818176</v>
          </cell>
          <cell r="J261">
            <v>61.963636363636354</v>
          </cell>
          <cell r="K261">
            <v>62.018181818181816</v>
          </cell>
          <cell r="L261">
            <v>61.93636363636363</v>
          </cell>
          <cell r="M261">
            <v>61.956624545454545</v>
          </cell>
          <cell r="N261">
            <v>62.018181818181816</v>
          </cell>
          <cell r="O261">
            <v>62.018181818181816</v>
          </cell>
          <cell r="P261">
            <v>62.018181818181816</v>
          </cell>
          <cell r="Q261">
            <v>62.018181818181816</v>
          </cell>
          <cell r="R261">
            <v>62.018181818181816</v>
          </cell>
          <cell r="S261">
            <v>62.018181818181816</v>
          </cell>
          <cell r="T261">
            <v>62.018181818181816</v>
          </cell>
          <cell r="U261">
            <v>62.018181818181816</v>
          </cell>
        </row>
        <row r="262">
          <cell r="E262" t="str">
            <v>WA Total Consumption Coal CC</v>
          </cell>
          <cell r="F262">
            <v>56.972727272727269</v>
          </cell>
          <cell r="G262">
            <v>56.890909090909084</v>
          </cell>
          <cell r="H262">
            <v>57.027272727272724</v>
          </cell>
          <cell r="I262">
            <v>57.081818181818178</v>
          </cell>
          <cell r="J262">
            <v>57.027272727272724</v>
          </cell>
          <cell r="K262">
            <v>57</v>
          </cell>
          <cell r="L262">
            <v>56.918181818181807</v>
          </cell>
          <cell r="M262">
            <v>56.977033636363629</v>
          </cell>
          <cell r="N262">
            <v>55.718181818181819</v>
          </cell>
          <cell r="O262">
            <v>56.209090909090904</v>
          </cell>
          <cell r="P262">
            <v>56.209090909090904</v>
          </cell>
          <cell r="Q262">
            <v>56.209090909090904</v>
          </cell>
          <cell r="R262">
            <v>56.209090909090904</v>
          </cell>
          <cell r="S262">
            <v>56.209090909090904</v>
          </cell>
          <cell r="T262">
            <v>56.209090909090904</v>
          </cell>
          <cell r="U262">
            <v>56.209090909090904</v>
          </cell>
        </row>
        <row r="263">
          <cell r="E263" t="str">
            <v>WI Total Consumption Coal CC</v>
          </cell>
          <cell r="F263">
            <v>57.109090909090909</v>
          </cell>
          <cell r="G263">
            <v>57.081818181818178</v>
          </cell>
          <cell r="H263">
            <v>57.136363636363633</v>
          </cell>
          <cell r="I263">
            <v>57.354545454545452</v>
          </cell>
          <cell r="J263">
            <v>57.245454545454542</v>
          </cell>
          <cell r="K263">
            <v>57.354545454545452</v>
          </cell>
          <cell r="L263">
            <v>57.490909090909092</v>
          </cell>
          <cell r="M263">
            <v>57.491697272727265</v>
          </cell>
          <cell r="N263">
            <v>56.04545454545454</v>
          </cell>
          <cell r="O263">
            <v>56.018181818181816</v>
          </cell>
          <cell r="P263">
            <v>56.018181818181816</v>
          </cell>
          <cell r="Q263">
            <v>56.018181818181816</v>
          </cell>
          <cell r="R263">
            <v>56.018181818181816</v>
          </cell>
          <cell r="S263">
            <v>56.018181818181816</v>
          </cell>
          <cell r="T263">
            <v>56.018181818181816</v>
          </cell>
          <cell r="U263">
            <v>56.018181818181816</v>
          </cell>
        </row>
        <row r="264">
          <cell r="E264" t="str">
            <v>WV Total Consumption Coal CC</v>
          </cell>
          <cell r="F264">
            <v>56.427272727272722</v>
          </cell>
          <cell r="G264">
            <v>56.454545454545453</v>
          </cell>
          <cell r="H264">
            <v>56.454545454545453</v>
          </cell>
          <cell r="I264">
            <v>56.454545454545453</v>
          </cell>
          <cell r="J264">
            <v>56.481818181818177</v>
          </cell>
          <cell r="K264">
            <v>56.454545454545453</v>
          </cell>
          <cell r="L264">
            <v>56.454545454545453</v>
          </cell>
          <cell r="M264">
            <v>56.460984545454536</v>
          </cell>
          <cell r="N264">
            <v>56.318181818181813</v>
          </cell>
          <cell r="O264">
            <v>55.93636363636363</v>
          </cell>
          <cell r="P264">
            <v>55.93636363636363</v>
          </cell>
          <cell r="Q264">
            <v>55.93636363636363</v>
          </cell>
          <cell r="R264">
            <v>55.93636363636363</v>
          </cell>
          <cell r="S264">
            <v>55.93636363636363</v>
          </cell>
          <cell r="T264">
            <v>55.93636363636363</v>
          </cell>
          <cell r="U264">
            <v>55.93636363636363</v>
          </cell>
        </row>
        <row r="265">
          <cell r="E265" t="str">
            <v>WY Total Consumption Coal CC</v>
          </cell>
          <cell r="F265">
            <v>57.818181818181813</v>
          </cell>
          <cell r="G265">
            <v>57.845454545454537</v>
          </cell>
          <cell r="H265">
            <v>57.845454545454537</v>
          </cell>
          <cell r="I265">
            <v>57.845454545454537</v>
          </cell>
          <cell r="J265">
            <v>57.818181818181813</v>
          </cell>
          <cell r="K265">
            <v>57.818181818181813</v>
          </cell>
          <cell r="L265">
            <v>57.818181818181813</v>
          </cell>
          <cell r="M265">
            <v>57.814189090909082</v>
          </cell>
          <cell r="N265">
            <v>57.872727272727268</v>
          </cell>
          <cell r="O265">
            <v>56.290909090909089</v>
          </cell>
          <cell r="P265">
            <v>56.290909090909089</v>
          </cell>
          <cell r="Q265">
            <v>56.290909090909089</v>
          </cell>
          <cell r="R265">
            <v>56.290909090909089</v>
          </cell>
          <cell r="S265">
            <v>56.290909090909089</v>
          </cell>
          <cell r="T265">
            <v>56.290909090909089</v>
          </cell>
          <cell r="U265">
            <v>56.290909090909089</v>
          </cell>
        </row>
        <row r="268">
          <cell r="E268" t="str">
            <v>Electric Power Sector National Average</v>
          </cell>
          <cell r="F268">
            <v>56.820606060606053</v>
          </cell>
          <cell r="G268">
            <v>56.86484848484848</v>
          </cell>
          <cell r="H268">
            <v>56.876363636363621</v>
          </cell>
          <cell r="I268">
            <v>56.9181818181818</v>
          </cell>
          <cell r="J268">
            <v>56.917134848484835</v>
          </cell>
          <cell r="K268">
            <v>56.953939393939393</v>
          </cell>
          <cell r="L268">
            <v>56.943030303030284</v>
          </cell>
          <cell r="M268">
            <v>56.948631515151547</v>
          </cell>
          <cell r="N268">
            <v>55.789090909090909</v>
          </cell>
          <cell r="O268">
            <v>55.837883892255896</v>
          </cell>
          <cell r="P268">
            <v>55.837883892255896</v>
          </cell>
          <cell r="Q268">
            <v>55.837883892255896</v>
          </cell>
          <cell r="R268">
            <v>55.837883892255896</v>
          </cell>
          <cell r="S268">
            <v>55.837883892255896</v>
          </cell>
          <cell r="T268">
            <v>55.837883892255896</v>
          </cell>
          <cell r="U268">
            <v>55.837883892255896</v>
          </cell>
        </row>
      </sheetData>
      <sheetData sheetId="15" refreshError="1"/>
      <sheetData sheetId="16" refreshError="1">
        <row r="8">
          <cell r="A8" t="str">
            <v>Fuel Type</v>
          </cell>
          <cell r="B8">
            <v>1990</v>
          </cell>
          <cell r="C8">
            <v>1991</v>
          </cell>
          <cell r="D8">
            <v>1992</v>
          </cell>
          <cell r="E8">
            <v>1993</v>
          </cell>
          <cell r="F8">
            <v>1994</v>
          </cell>
          <cell r="G8">
            <v>1995</v>
          </cell>
          <cell r="H8">
            <v>1996</v>
          </cell>
          <cell r="I8">
            <v>1997</v>
          </cell>
          <cell r="J8">
            <v>1998</v>
          </cell>
          <cell r="K8">
            <v>1999</v>
          </cell>
          <cell r="L8">
            <v>2000</v>
          </cell>
          <cell r="M8">
            <v>2001</v>
          </cell>
          <cell r="N8">
            <v>2002</v>
          </cell>
          <cell r="O8">
            <v>2003</v>
          </cell>
          <cell r="P8">
            <v>2004</v>
          </cell>
          <cell r="Q8">
            <v>2005</v>
          </cell>
        </row>
        <row r="9">
          <cell r="A9" t="str">
            <v>LPG</v>
          </cell>
          <cell r="B9">
            <v>37.459183442557688</v>
          </cell>
          <cell r="C9">
            <v>37.44237751769208</v>
          </cell>
          <cell r="D9">
            <v>37.465559134770238</v>
          </cell>
          <cell r="E9">
            <v>37.426074978408074</v>
          </cell>
          <cell r="F9">
            <v>37.512290812079797</v>
          </cell>
          <cell r="G9">
            <v>37.477716550112021</v>
          </cell>
          <cell r="H9">
            <v>37.458610124258023</v>
          </cell>
          <cell r="I9">
            <v>37.470729393144573</v>
          </cell>
          <cell r="J9">
            <v>37.467979745660536</v>
          </cell>
          <cell r="K9">
            <v>37.469330844262053</v>
          </cell>
          <cell r="L9">
            <v>37.449919874099493</v>
          </cell>
          <cell r="M9">
            <v>37.466252276680748</v>
          </cell>
          <cell r="N9">
            <v>37.454057213788957</v>
          </cell>
          <cell r="O9">
            <v>37.454057213788957</v>
          </cell>
          <cell r="P9">
            <v>37.454057213788957</v>
          </cell>
          <cell r="Q9">
            <v>37.454057213788957</v>
          </cell>
        </row>
        <row r="10">
          <cell r="A10" t="str">
            <v>LPG (energy use)</v>
          </cell>
          <cell r="B10">
            <v>37.957018597645295</v>
          </cell>
          <cell r="C10">
            <v>37.948465205742153</v>
          </cell>
          <cell r="D10">
            <v>37.955621868175989</v>
          </cell>
          <cell r="E10">
            <v>37.964405666262742</v>
          </cell>
          <cell r="F10">
            <v>37.961214893574535</v>
          </cell>
          <cell r="G10">
            <v>37.931250110434547</v>
          </cell>
          <cell r="H10">
            <v>37.921876654345148</v>
          </cell>
          <cell r="I10">
            <v>37.882675955687155</v>
          </cell>
          <cell r="J10">
            <v>37.98764448187498</v>
          </cell>
          <cell r="K10">
            <v>38.037514646602453</v>
          </cell>
          <cell r="L10">
            <v>37.927772998862025</v>
          </cell>
          <cell r="M10">
            <v>37.941790547502812</v>
          </cell>
          <cell r="N10">
            <v>37.929199211051589</v>
          </cell>
          <cell r="O10">
            <v>37.939754205272507</v>
          </cell>
          <cell r="P10">
            <v>37.916627000311884</v>
          </cell>
          <cell r="Q10">
            <v>37.914823416404261</v>
          </cell>
        </row>
        <row r="11">
          <cell r="A11" t="str">
            <v>LPG (non-energy use)</v>
          </cell>
          <cell r="B11">
            <v>37.100888217629311</v>
          </cell>
          <cell r="C11">
            <v>37.123234020688948</v>
          </cell>
          <cell r="D11">
            <v>37.130667899562944</v>
          </cell>
          <cell r="E11">
            <v>37.04854520130781</v>
          </cell>
          <cell r="F11">
            <v>37.230926411021564</v>
          </cell>
          <cell r="G11">
            <v>37.207112513952332</v>
          </cell>
          <cell r="H11">
            <v>37.166272468233018</v>
          </cell>
          <cell r="I11">
            <v>37.210314727437819</v>
          </cell>
          <cell r="J11">
            <v>37.211133609774372</v>
          </cell>
          <cell r="K11">
            <v>37.12386242208477</v>
          </cell>
          <cell r="L11">
            <v>37.072200093491034</v>
          </cell>
          <cell r="M11">
            <v>37.106237593017177</v>
          </cell>
          <cell r="N11">
            <v>37.084447490755089</v>
          </cell>
          <cell r="O11">
            <v>37.138166451022613</v>
          </cell>
          <cell r="P11">
            <v>37.063915370414101</v>
          </cell>
          <cell r="Q11">
            <v>37.066433466384936</v>
          </cell>
        </row>
        <row r="12">
          <cell r="A12" t="str">
            <v>Motor Gasoline</v>
          </cell>
          <cell r="B12">
            <v>42.799050000000001</v>
          </cell>
          <cell r="C12">
            <v>42.799050000000001</v>
          </cell>
          <cell r="D12">
            <v>42.821100000000008</v>
          </cell>
          <cell r="E12">
            <v>42.843150000000001</v>
          </cell>
          <cell r="F12">
            <v>42.887250000000002</v>
          </cell>
          <cell r="G12">
            <v>42.732900000000001</v>
          </cell>
          <cell r="H12">
            <v>42.688800000000001</v>
          </cell>
          <cell r="I12">
            <v>42.666750000000008</v>
          </cell>
          <cell r="J12">
            <v>42.62265</v>
          </cell>
          <cell r="K12">
            <v>42.62265</v>
          </cell>
          <cell r="L12">
            <v>42.6447</v>
          </cell>
          <cell r="M12">
            <v>42.6447</v>
          </cell>
          <cell r="N12">
            <v>42.666750000000008</v>
          </cell>
          <cell r="O12">
            <v>42.62265</v>
          </cell>
          <cell r="P12">
            <v>42.62265</v>
          </cell>
          <cell r="Q12">
            <v>42.62265</v>
          </cell>
        </row>
        <row r="13">
          <cell r="A13" t="str">
            <v>Jet Fuel, Kerosene</v>
          </cell>
          <cell r="B13">
            <v>42.778009996798417</v>
          </cell>
          <cell r="C13">
            <v>42.777967293251422</v>
          </cell>
          <cell r="D13">
            <v>42.751553999700022</v>
          </cell>
          <cell r="E13">
            <v>42.721391375126991</v>
          </cell>
          <cell r="F13">
            <v>42.662497365314884</v>
          </cell>
          <cell r="G13">
            <v>42.637279043246416</v>
          </cell>
          <cell r="H13">
            <v>42.625219031567866</v>
          </cell>
          <cell r="I13">
            <v>42.625219031514924</v>
          </cell>
          <cell r="J13">
            <v>42.625219031514924</v>
          </cell>
          <cell r="K13">
            <v>42.625219031514924</v>
          </cell>
          <cell r="L13">
            <v>42.625219031514924</v>
          </cell>
          <cell r="M13">
            <v>42.625219031514924</v>
          </cell>
          <cell r="N13">
            <v>42.625219031514924</v>
          </cell>
          <cell r="O13">
            <v>42.625219031514924</v>
          </cell>
          <cell r="P13">
            <v>42.625219031514924</v>
          </cell>
          <cell r="Q13">
            <v>42.625219031514924</v>
          </cell>
        </row>
        <row r="14">
          <cell r="A14" t="str">
            <v>Motor Gasoline Blending Components</v>
          </cell>
          <cell r="B14">
            <v>42.799050000000001</v>
          </cell>
          <cell r="C14">
            <v>42.799050000000001</v>
          </cell>
          <cell r="D14">
            <v>42.821100000000008</v>
          </cell>
          <cell r="E14">
            <v>42.843150000000001</v>
          </cell>
          <cell r="F14">
            <v>42.887250000000002</v>
          </cell>
          <cell r="G14">
            <v>42.732900000000001</v>
          </cell>
          <cell r="H14">
            <v>42.688800000000001</v>
          </cell>
          <cell r="I14">
            <v>42.666750000000008</v>
          </cell>
          <cell r="J14">
            <v>42.62265</v>
          </cell>
          <cell r="K14">
            <v>42.62265</v>
          </cell>
          <cell r="L14">
            <v>42.6447</v>
          </cell>
          <cell r="M14">
            <v>42.6447</v>
          </cell>
          <cell r="N14">
            <v>42.666750000000008</v>
          </cell>
          <cell r="O14">
            <v>42.62265</v>
          </cell>
          <cell r="P14">
            <v>42.62265</v>
          </cell>
          <cell r="Q14">
            <v>42.62265</v>
          </cell>
        </row>
        <row r="15">
          <cell r="A15" t="str">
            <v>Misc. Petro Products</v>
          </cell>
          <cell r="B15">
            <v>44.445690726197292</v>
          </cell>
          <cell r="C15">
            <v>44.499920226505992</v>
          </cell>
          <cell r="D15">
            <v>44.584529508726142</v>
          </cell>
          <cell r="E15">
            <v>44.594566232689765</v>
          </cell>
          <cell r="F15">
            <v>44.571346423760282</v>
          </cell>
          <cell r="G15">
            <v>44.602543344267779</v>
          </cell>
          <cell r="H15">
            <v>44.646045568706967</v>
          </cell>
          <cell r="I15">
            <v>44.624300894013814</v>
          </cell>
          <cell r="J15">
            <v>44.627623853298616</v>
          </cell>
          <cell r="K15">
            <v>44.519752105822008</v>
          </cell>
          <cell r="L15">
            <v>44.612601706793875</v>
          </cell>
          <cell r="M15">
            <v>44.732681638116368</v>
          </cell>
          <cell r="N15">
            <v>44.758060824274736</v>
          </cell>
          <cell r="O15">
            <v>44.710374465440154</v>
          </cell>
          <cell r="P15">
            <v>44.823453232864388</v>
          </cell>
          <cell r="Q15">
            <v>44.823453232864388</v>
          </cell>
        </row>
        <row r="16">
          <cell r="A16" t="str">
            <v>Unfinished Oils</v>
          </cell>
          <cell r="B16">
            <v>44.445690726197292</v>
          </cell>
          <cell r="C16">
            <v>44.499920226505992</v>
          </cell>
          <cell r="D16">
            <v>44.584529508726142</v>
          </cell>
          <cell r="E16">
            <v>44.594566232689765</v>
          </cell>
          <cell r="F16">
            <v>44.571346423760282</v>
          </cell>
          <cell r="G16">
            <v>44.602543344267779</v>
          </cell>
          <cell r="H16">
            <v>44.646045568706967</v>
          </cell>
          <cell r="I16">
            <v>44.624300894013814</v>
          </cell>
          <cell r="J16">
            <v>44.627623853298616</v>
          </cell>
          <cell r="K16">
            <v>44.519752105822008</v>
          </cell>
          <cell r="L16">
            <v>44.612601706793875</v>
          </cell>
          <cell r="M16">
            <v>44.732681638116368</v>
          </cell>
          <cell r="N16">
            <v>44.758060824274736</v>
          </cell>
          <cell r="O16">
            <v>44.710374465440154</v>
          </cell>
          <cell r="P16">
            <v>44.823453232864388</v>
          </cell>
          <cell r="Q16">
            <v>44.823453232864388</v>
          </cell>
        </row>
        <row r="17">
          <cell r="A17" t="str">
            <v>Crude Oil</v>
          </cell>
          <cell r="B17">
            <v>44.445690726197292</v>
          </cell>
          <cell r="C17">
            <v>44.499920226505992</v>
          </cell>
          <cell r="D17">
            <v>44.584529508726142</v>
          </cell>
          <cell r="E17">
            <v>44.594566232689765</v>
          </cell>
          <cell r="F17">
            <v>44.571346423760282</v>
          </cell>
          <cell r="G17">
            <v>44.602543344267779</v>
          </cell>
          <cell r="H17">
            <v>44.646045568706967</v>
          </cell>
          <cell r="I17">
            <v>44.624300894013814</v>
          </cell>
          <cell r="J17">
            <v>44.627623853298616</v>
          </cell>
          <cell r="K17">
            <v>44.519752105822008</v>
          </cell>
          <cell r="L17">
            <v>44.612601706793875</v>
          </cell>
          <cell r="M17">
            <v>44.732681638116368</v>
          </cell>
          <cell r="N17">
            <v>44.758060824274736</v>
          </cell>
          <cell r="O17">
            <v>44.710374465440154</v>
          </cell>
          <cell r="P17">
            <v>44.823453232864388</v>
          </cell>
          <cell r="Q17">
            <v>44.823453232864388</v>
          </cell>
        </row>
      </sheetData>
      <sheetData sheetId="17" refreshError="1">
        <row r="4">
          <cell r="A4" t="str">
            <v>AC</v>
          </cell>
          <cell r="B4" t="str">
            <v>Transportation</v>
          </cell>
        </row>
        <row r="5">
          <cell r="A5" t="str">
            <v>CC</v>
          </cell>
          <cell r="B5" t="str">
            <v>Commercial</v>
          </cell>
        </row>
        <row r="6">
          <cell r="A6" t="str">
            <v>EI</v>
          </cell>
          <cell r="B6" t="str">
            <v>Electric Power</v>
          </cell>
          <cell r="E6" t="str">
            <v>AB</v>
          </cell>
          <cell r="F6" t="str">
            <v>Aviation Gasoline Blending Components</v>
          </cell>
        </row>
        <row r="7">
          <cell r="A7" t="str">
            <v>ET</v>
          </cell>
          <cell r="B7" t="str">
            <v>total energy output</v>
          </cell>
          <cell r="E7" t="str">
            <v>AC</v>
          </cell>
          <cell r="F7" t="str">
            <v>Anthracite Coal</v>
          </cell>
        </row>
        <row r="8">
          <cell r="A8" t="str">
            <v>HC</v>
          </cell>
          <cell r="B8" t="str">
            <v>Res + Comm</v>
          </cell>
          <cell r="E8" t="str">
            <v>AR</v>
          </cell>
          <cell r="F8" t="str">
            <v>Asphalt and Road Oil</v>
          </cell>
        </row>
        <row r="9">
          <cell r="A9" t="str">
            <v>KC</v>
          </cell>
          <cell r="B9" t="str">
            <v>Coking</v>
          </cell>
          <cell r="E9" t="str">
            <v>AV</v>
          </cell>
          <cell r="F9" t="str">
            <v>Aviation Gasoline</v>
          </cell>
        </row>
        <row r="10">
          <cell r="A10" t="str">
            <v>OC</v>
          </cell>
          <cell r="B10" t="str">
            <v>Other</v>
          </cell>
          <cell r="E10" t="str">
            <v>BC</v>
          </cell>
          <cell r="F10" t="str">
            <v>Bituminous Coal and Lignite</v>
          </cell>
        </row>
        <row r="11">
          <cell r="A11" t="str">
            <v>IC</v>
          </cell>
          <cell r="B11" t="str">
            <v>Industrial</v>
          </cell>
          <cell r="E11" t="str">
            <v>BM</v>
          </cell>
          <cell r="F11" t="str">
            <v>Biomass</v>
          </cell>
        </row>
        <row r="12">
          <cell r="A12" t="str">
            <v>RC</v>
          </cell>
          <cell r="B12" t="str">
            <v>Residential</v>
          </cell>
          <cell r="E12" t="str">
            <v>CC</v>
          </cell>
          <cell r="F12" t="str">
            <v>Coal Coke</v>
          </cell>
        </row>
        <row r="13">
          <cell r="A13" t="str">
            <v>TC</v>
          </cell>
          <cell r="B13" t="str">
            <v>Total Consumption</v>
          </cell>
          <cell r="E13" t="str">
            <v>CD</v>
          </cell>
          <cell r="F13" t="str">
            <v>Coal CC</v>
          </cell>
        </row>
        <row r="14">
          <cell r="A14" t="str">
            <v>BF</v>
          </cell>
          <cell r="B14" t="str">
            <v>Bunker Fuels</v>
          </cell>
          <cell r="E14" t="str">
            <v>CL</v>
          </cell>
          <cell r="F14" t="str">
            <v>Coal</v>
          </cell>
        </row>
        <row r="15">
          <cell r="E15" t="str">
            <v>CO</v>
          </cell>
          <cell r="F15" t="str">
            <v>Crude Oil</v>
          </cell>
        </row>
        <row r="16">
          <cell r="E16" t="str">
            <v>DF</v>
          </cell>
          <cell r="F16" t="str">
            <v>Distillate Fuel</v>
          </cell>
        </row>
        <row r="17">
          <cell r="E17" t="str">
            <v>DK</v>
          </cell>
          <cell r="F17" t="str">
            <v>Distillate Fuel</v>
          </cell>
        </row>
        <row r="18">
          <cell r="E18" t="str">
            <v>EN</v>
          </cell>
          <cell r="F18" t="str">
            <v>Ethanol</v>
          </cell>
        </row>
        <row r="19">
          <cell r="E19" t="str">
            <v>ES</v>
          </cell>
          <cell r="F19" t="str">
            <v>Electricity Sales</v>
          </cell>
        </row>
        <row r="20">
          <cell r="E20" t="str">
            <v>EX</v>
          </cell>
          <cell r="F20" t="str">
            <v>Non-Renewable Energy</v>
          </cell>
        </row>
        <row r="21">
          <cell r="E21" t="str">
            <v>FF</v>
          </cell>
          <cell r="F21" t="str">
            <v>Fossil Fuels</v>
          </cell>
        </row>
        <row r="22">
          <cell r="E22" t="str">
            <v>FN</v>
          </cell>
          <cell r="F22" t="str">
            <v>Feedstocks, Naphtha less than 401 F</v>
          </cell>
        </row>
        <row r="23">
          <cell r="E23" t="str">
            <v>FO</v>
          </cell>
          <cell r="F23" t="str">
            <v>Feedstocks, Other Oils greater than 401 F</v>
          </cell>
        </row>
        <row r="24">
          <cell r="E24" t="str">
            <v>FS</v>
          </cell>
          <cell r="F24" t="str">
            <v>Feedstocks, Still Gas</v>
          </cell>
        </row>
        <row r="25">
          <cell r="E25" t="str">
            <v>GE</v>
          </cell>
          <cell r="F25" t="str">
            <v>Geothermal</v>
          </cell>
        </row>
        <row r="26">
          <cell r="E26" t="str">
            <v>GO</v>
          </cell>
          <cell r="F26" t="str">
            <v>Geothermal, Wind, Solar Thermal, and Photovoltaic</v>
          </cell>
        </row>
        <row r="27">
          <cell r="E27" t="str">
            <v>HY</v>
          </cell>
          <cell r="F27" t="str">
            <v>Hydroelectric</v>
          </cell>
        </row>
        <row r="28">
          <cell r="E28" t="str">
            <v>JF</v>
          </cell>
          <cell r="F28" t="str">
            <v>Jet Fuel, Total</v>
          </cell>
        </row>
        <row r="29">
          <cell r="E29" t="str">
            <v>JK</v>
          </cell>
          <cell r="F29" t="str">
            <v>Jet Fuel, Kerosene</v>
          </cell>
        </row>
        <row r="30">
          <cell r="E30" t="str">
            <v>JN</v>
          </cell>
          <cell r="F30" t="str">
            <v>Jet Fuel, Naphtha</v>
          </cell>
        </row>
        <row r="31">
          <cell r="E31" t="str">
            <v>KS</v>
          </cell>
          <cell r="F31" t="str">
            <v>Kerosene</v>
          </cell>
        </row>
        <row r="32">
          <cell r="E32" t="str">
            <v>LG</v>
          </cell>
          <cell r="F32" t="str">
            <v>LPG</v>
          </cell>
        </row>
        <row r="33">
          <cell r="E33" t="str">
            <v>LO</v>
          </cell>
          <cell r="F33" t="str">
            <v>Electrical System Losses</v>
          </cell>
        </row>
        <row r="34">
          <cell r="E34" t="str">
            <v>LU</v>
          </cell>
          <cell r="F34" t="str">
            <v>Lubricants</v>
          </cell>
        </row>
        <row r="35">
          <cell r="E35" t="str">
            <v>MB</v>
          </cell>
          <cell r="F35" t="str">
            <v>Motor Gasoline Blending Components</v>
          </cell>
        </row>
        <row r="36">
          <cell r="E36" t="str">
            <v>MG</v>
          </cell>
          <cell r="F36" t="str">
            <v>Motor Gasoline</v>
          </cell>
        </row>
        <row r="37">
          <cell r="E37" t="str">
            <v>MS</v>
          </cell>
          <cell r="F37" t="str">
            <v>Misc. Petro Products</v>
          </cell>
        </row>
        <row r="38">
          <cell r="E38" t="str">
            <v>NA</v>
          </cell>
          <cell r="F38" t="str">
            <v>Natural Gasoline</v>
          </cell>
        </row>
        <row r="39">
          <cell r="E39" t="str">
            <v>NG</v>
          </cell>
          <cell r="F39" t="str">
            <v>Natural Gas</v>
          </cell>
        </row>
        <row r="40">
          <cell r="E40" t="str">
            <v>NU</v>
          </cell>
          <cell r="F40" t="str">
            <v>Nuclear</v>
          </cell>
        </row>
        <row r="41">
          <cell r="E41" t="str">
            <v>PA</v>
          </cell>
          <cell r="F41" t="str">
            <v>Petro Total</v>
          </cell>
        </row>
        <row r="42">
          <cell r="E42" t="str">
            <v>PC</v>
          </cell>
          <cell r="F42" t="str">
            <v>Petroleum Coke</v>
          </cell>
        </row>
        <row r="43">
          <cell r="E43" t="str">
            <v>PL</v>
          </cell>
          <cell r="F43" t="str">
            <v>Plant Condensate</v>
          </cell>
        </row>
        <row r="44">
          <cell r="E44" t="str">
            <v>PO</v>
          </cell>
          <cell r="F44" t="str">
            <v>Other Petro Products, Total</v>
          </cell>
        </row>
        <row r="45">
          <cell r="E45" t="str">
            <v>PP</v>
          </cell>
          <cell r="F45" t="str">
            <v>Pentanes Plus</v>
          </cell>
        </row>
        <row r="46">
          <cell r="E46" t="str">
            <v>RF</v>
          </cell>
          <cell r="F46" t="str">
            <v>Residual Fuel</v>
          </cell>
        </row>
        <row r="47">
          <cell r="E47" t="str">
            <v>SG</v>
          </cell>
          <cell r="F47" t="str">
            <v>Still Gas</v>
          </cell>
        </row>
        <row r="48">
          <cell r="E48" t="str">
            <v>SN</v>
          </cell>
          <cell r="F48" t="str">
            <v>Special Naphthas</v>
          </cell>
        </row>
        <row r="49">
          <cell r="E49" t="str">
            <v>SO</v>
          </cell>
          <cell r="F49" t="str">
            <v>Solar Thermal and Photovoltaic</v>
          </cell>
        </row>
        <row r="50">
          <cell r="E50" t="str">
            <v>TE</v>
          </cell>
          <cell r="F50" t="str">
            <v>Total Energy</v>
          </cell>
        </row>
        <row r="51">
          <cell r="E51" t="str">
            <v>TN</v>
          </cell>
          <cell r="F51" t="str">
            <v>Total Net Energy</v>
          </cell>
        </row>
        <row r="52">
          <cell r="E52" t="str">
            <v>TP</v>
          </cell>
          <cell r="F52" t="str">
            <v>Resident Population</v>
          </cell>
        </row>
        <row r="53">
          <cell r="E53" t="str">
            <v>UO</v>
          </cell>
          <cell r="F53" t="str">
            <v>Unfinished Oils</v>
          </cell>
        </row>
        <row r="54">
          <cell r="E54" t="str">
            <v>US</v>
          </cell>
          <cell r="F54" t="str">
            <v>Unfractionated Steam</v>
          </cell>
        </row>
        <row r="55">
          <cell r="E55" t="str">
            <v>WD</v>
          </cell>
          <cell r="F55" t="str">
            <v>Wood</v>
          </cell>
        </row>
        <row r="56">
          <cell r="E56" t="str">
            <v>WW</v>
          </cell>
          <cell r="F56" t="str">
            <v>Wood and Waste</v>
          </cell>
        </row>
        <row r="57">
          <cell r="E57" t="str">
            <v>WX</v>
          </cell>
          <cell r="F57" t="str">
            <v>Waxes</v>
          </cell>
        </row>
        <row r="58">
          <cell r="E58" t="str">
            <v>WY</v>
          </cell>
          <cell r="F58" t="str">
            <v>Wind</v>
          </cell>
        </row>
      </sheetData>
      <sheetData sheetId="18" refreshError="1"/>
      <sheetData sheetId="19" refreshError="1"/>
      <sheetData sheetId="20" refreshError="1"/>
      <sheetData sheetId="21" refreshError="1">
        <row r="6">
          <cell r="K6">
            <v>3.6666666666666665</v>
          </cell>
        </row>
      </sheetData>
      <sheetData sheetId="22" refreshError="1"/>
      <sheetData sheetId="23" refreshError="1"/>
    </sheetDataSet>
  </externalBook>
</externalLink>
</file>

<file path=xl/externalLinks/externalLink8.xml><?xml version="1.0" encoding="utf-8"?>
<externalLink xmlns="http://schemas.openxmlformats.org/spreadsheetml/2006/main">
  <externalBook xmlns:r="http://schemas.openxmlformats.org/officeDocument/2006/relationships" r:id="rId1">
    <sheetNames>
      <sheetName val="Control"/>
      <sheetName val="Enteric Fermentation"/>
      <sheetName val="CH4 from Manure Management"/>
      <sheetName val="N2O from Manure Management"/>
      <sheetName val="Ag Soils-Plant-Residues&amp;Legumes"/>
      <sheetName val="Ag Soils-Plant-Fertilizers"/>
      <sheetName val="Ag Soils-Animals"/>
      <sheetName val="Rice Cultivation"/>
      <sheetName val="Ag. Residue Burning-CH4"/>
      <sheetName val="Ag. Residue Burning-N2O"/>
      <sheetName val="Summary"/>
      <sheetName val="Default Livestock_Crop Data "/>
      <sheetName val="Summary Figures"/>
      <sheetName val="National Adjustment"/>
      <sheetName val="Uncertainty"/>
      <sheetName val="constants"/>
      <sheetName val="FertilizerData"/>
      <sheetName val="enteric EFsNEW"/>
      <sheetName val="enteric EFs"/>
      <sheetName val="VS-CattleNEW"/>
      <sheetName val="VS-Cattle"/>
      <sheetName val="MCF"/>
      <sheetName val="manure%"/>
      <sheetName val="Documentation"/>
      <sheetName val="Data Sources"/>
      <sheetName val="Notes"/>
      <sheetName val="ListData"/>
      <sheetName val="animal data"/>
      <sheetName val="crop da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2">
          <cell r="B12">
            <v>21</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9.xml><?xml version="1.0" encoding="utf-8"?>
<externalLink xmlns="http://schemas.openxmlformats.org/spreadsheetml/2006/main">
  <externalBook xmlns:r="http://schemas.openxmlformats.org/officeDocument/2006/relationships" r:id="rId1">
    <sheetNames>
      <sheetName val="Control"/>
      <sheetName val="Natural Gas - Production"/>
      <sheetName val="Natural Gas - Transmission"/>
      <sheetName val="Natural Gas - Distribution"/>
      <sheetName val="Natural Gas - Venting_Flaring"/>
      <sheetName val="Petroleum Systems"/>
      <sheetName val="Summary"/>
      <sheetName val="Tracker"/>
      <sheetName val="Uncertainty"/>
      <sheetName val="Gas Data Sources"/>
      <sheetName val="Oil Data Sources"/>
      <sheetName val="Emission Factors"/>
      <sheetName val="Production Data"/>
      <sheetName val="Number of Wells"/>
      <sheetName val="Data"/>
      <sheetName val="ListData"/>
      <sheetName val="Notes"/>
      <sheetName val="MD_Natural_Gas_and_Oil_Modu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0.bin"/><Relationship Id="rId1" Type="http://schemas.openxmlformats.org/officeDocument/2006/relationships/hyperlink" Target="http://www.eia.gov/state/seds/seds-data-fuel.cfm?sid=US" TargetMode="External"/><Relationship Id="rId6" Type="http://schemas.openxmlformats.org/officeDocument/2006/relationships/comments" Target="../comments6.xml"/><Relationship Id="rId5" Type="http://schemas.openxmlformats.org/officeDocument/2006/relationships/image" Target="../media/image1.png"/><Relationship Id="rId4" Type="http://schemas.openxmlformats.org/officeDocument/2006/relationships/vmlDrawing" Target="../drawings/vmlDrawing6.v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0.xml"/><Relationship Id="rId1" Type="http://schemas.openxmlformats.org/officeDocument/2006/relationships/printerSettings" Target="../printerSettings/printerSettings11.bin"/><Relationship Id="rId5" Type="http://schemas.openxmlformats.org/officeDocument/2006/relationships/comments" Target="../comments7.xml"/><Relationship Id="rId4" Type="http://schemas.openxmlformats.org/officeDocument/2006/relationships/image" Target="../media/image1.png"/></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1.xml"/><Relationship Id="rId1" Type="http://schemas.openxmlformats.org/officeDocument/2006/relationships/printerSettings" Target="../printerSettings/printerSettings12.bin"/><Relationship Id="rId5" Type="http://schemas.openxmlformats.org/officeDocument/2006/relationships/comments" Target="../comments8.xml"/><Relationship Id="rId4" Type="http://schemas.openxmlformats.org/officeDocument/2006/relationships/image" Target="../media/image1.png"/></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2.xml"/><Relationship Id="rId1" Type="http://schemas.openxmlformats.org/officeDocument/2006/relationships/printerSettings" Target="../printerSettings/printerSettings13.bin"/><Relationship Id="rId5" Type="http://schemas.openxmlformats.org/officeDocument/2006/relationships/comments" Target="../comments9.xml"/><Relationship Id="rId4" Type="http://schemas.openxmlformats.org/officeDocument/2006/relationships/image" Target="../media/image1.png"/></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3.xml"/><Relationship Id="rId1" Type="http://schemas.openxmlformats.org/officeDocument/2006/relationships/printerSettings" Target="../printerSettings/printerSettings14.bin"/><Relationship Id="rId5" Type="http://schemas.openxmlformats.org/officeDocument/2006/relationships/comments" Target="../comments10.xml"/><Relationship Id="rId4" Type="http://schemas.openxmlformats.org/officeDocument/2006/relationships/image" Target="../media/image1.png"/></Relationships>
</file>

<file path=xl/worksheets/_rels/sheet1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4.xml"/><Relationship Id="rId1" Type="http://schemas.openxmlformats.org/officeDocument/2006/relationships/printerSettings" Target="../printerSettings/printerSettings16.bin"/><Relationship Id="rId5" Type="http://schemas.openxmlformats.org/officeDocument/2006/relationships/comments" Target="../comments11.xml"/><Relationship Id="rId4" Type="http://schemas.openxmlformats.org/officeDocument/2006/relationships/image" Target="../media/image1.png"/></Relationships>
</file>

<file path=xl/worksheets/_rels/sheet17.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drawing" Target="../drawings/drawing15.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printerSettings" Target="../printerSettings/printerSettings18.bin"/><Relationship Id="rId1" Type="http://schemas.openxmlformats.org/officeDocument/2006/relationships/hyperlink" Target="http://www.eia.gov/dnav/ng/NG_PROD_WELLS_S1_A.htm" TargetMode="External"/><Relationship Id="rId6" Type="http://schemas.openxmlformats.org/officeDocument/2006/relationships/comments" Target="../comments12.xml"/><Relationship Id="rId5" Type="http://schemas.openxmlformats.org/officeDocument/2006/relationships/image" Target="../media/image1.png"/><Relationship Id="rId4" Type="http://schemas.openxmlformats.org/officeDocument/2006/relationships/vmlDrawing" Target="../drawings/vmlDrawing12.v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7.xml"/><Relationship Id="rId1" Type="http://schemas.openxmlformats.org/officeDocument/2006/relationships/printerSettings" Target="../printerSettings/printerSettings19.bin"/><Relationship Id="rId5" Type="http://schemas.openxmlformats.org/officeDocument/2006/relationships/comments" Target="../comments13.xml"/><Relationship Id="rId4" Type="http://schemas.openxmlformats.org/officeDocument/2006/relationships/image" Target="../media/image1.png"/></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8.xml"/><Relationship Id="rId1" Type="http://schemas.openxmlformats.org/officeDocument/2006/relationships/printerSettings" Target="../printerSettings/printerSettings20.bin"/><Relationship Id="rId5" Type="http://schemas.openxmlformats.org/officeDocument/2006/relationships/comments" Target="../comments14.xml"/><Relationship Id="rId4" Type="http://schemas.openxmlformats.org/officeDocument/2006/relationships/image" Target="../media/image1.png"/></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9.xml"/><Relationship Id="rId1" Type="http://schemas.openxmlformats.org/officeDocument/2006/relationships/printerSettings" Target="../printerSettings/printerSettings21.bin"/><Relationship Id="rId5" Type="http://schemas.openxmlformats.org/officeDocument/2006/relationships/comments" Target="../comments15.xml"/><Relationship Id="rId4" Type="http://schemas.openxmlformats.org/officeDocument/2006/relationships/image" Target="../media/image1.png"/></Relationships>
</file>

<file path=xl/worksheets/_rels/sheet22.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drawing" Target="../drawings/drawing20.x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vmlDrawing" Target="../drawings/vmlDrawing2.v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4.bin"/><Relationship Id="rId5" Type="http://schemas.openxmlformats.org/officeDocument/2006/relationships/comments" Target="../comments3.xml"/><Relationship Id="rId4" Type="http://schemas.openxmlformats.org/officeDocument/2006/relationships/image" Target="../media/image1.png"/></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5.bin"/><Relationship Id="rId5" Type="http://schemas.openxmlformats.org/officeDocument/2006/relationships/comments" Target="../comments4.xml"/><Relationship Id="rId4" Type="http://schemas.openxmlformats.org/officeDocument/2006/relationships/image" Target="../media/image1.png"/></Relationships>
</file>

<file path=xl/worksheets/_rels/sheet6.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8.xml"/><Relationship Id="rId1" Type="http://schemas.openxmlformats.org/officeDocument/2006/relationships/printerSettings" Target="../printerSettings/printerSettings9.bin"/><Relationship Id="rId5" Type="http://schemas.openxmlformats.org/officeDocument/2006/relationships/comments" Target="../comments5.xml"/><Relationship Id="rId4" Type="http://schemas.openxmlformats.org/officeDocument/2006/relationships/image" Target="../media/image1.png"/></Relationships>
</file>

<file path=xl/worksheets/sheet1.xml><?xml version="1.0" encoding="utf-8"?>
<worksheet xmlns="http://schemas.openxmlformats.org/spreadsheetml/2006/main" xmlns:r="http://schemas.openxmlformats.org/officeDocument/2006/relationships">
  <sheetPr codeName="Sheet2"/>
  <dimension ref="A1:D184"/>
  <sheetViews>
    <sheetView tabSelected="1" zoomScaleNormal="100" workbookViewId="0">
      <selection activeCell="A3" sqref="A3:B3"/>
    </sheetView>
  </sheetViews>
  <sheetFormatPr defaultRowHeight="11.25"/>
  <cols>
    <col min="1" max="1" width="8" customWidth="1"/>
    <col min="2" max="2" width="79" customWidth="1"/>
    <col min="3" max="3" width="16.6640625" style="446" customWidth="1"/>
    <col min="4" max="4" width="12" customWidth="1"/>
    <col min="5" max="5" width="14.1640625" customWidth="1"/>
  </cols>
  <sheetData>
    <row r="1" spans="1:4" ht="27.75">
      <c r="A1" s="549" t="s">
        <v>539</v>
      </c>
      <c r="B1" s="548"/>
      <c r="C1" s="3047"/>
    </row>
    <row r="2" spans="1:4" ht="15.75" thickBot="1">
      <c r="A2" s="434"/>
      <c r="B2" s="433"/>
    </row>
    <row r="3" spans="1:4" ht="18.75" thickBot="1">
      <c r="A3" s="3054" t="s">
        <v>665</v>
      </c>
      <c r="B3" s="3055"/>
      <c r="C3" s="1543">
        <v>2014</v>
      </c>
    </row>
    <row r="4" spans="1:4" ht="18">
      <c r="A4" s="3056" t="s">
        <v>666</v>
      </c>
      <c r="B4" s="3057"/>
      <c r="C4" s="1544">
        <f>C5+C25+C42+C75</f>
        <v>83.737001978049051</v>
      </c>
      <c r="D4" s="1590"/>
    </row>
    <row r="5" spans="1:4" ht="17.25">
      <c r="A5" s="435" t="s">
        <v>667</v>
      </c>
      <c r="B5" s="1529"/>
      <c r="C5" s="1545">
        <f>C6+C24</f>
        <v>33.760155423174851</v>
      </c>
      <c r="D5" s="1590"/>
    </row>
    <row r="6" spans="1:4" ht="15">
      <c r="A6" s="436"/>
      <c r="B6" s="1530" t="s">
        <v>668</v>
      </c>
      <c r="C6" s="2755">
        <f>C7+C11+C15</f>
        <v>19.911763806345395</v>
      </c>
    </row>
    <row r="7" spans="1:4" ht="15">
      <c r="A7" s="437"/>
      <c r="B7" s="1531" t="s">
        <v>669</v>
      </c>
      <c r="C7" s="2756">
        <f>SUM(C8:C10)</f>
        <v>18.395077115746535</v>
      </c>
    </row>
    <row r="8" spans="1:4" ht="18">
      <c r="A8" s="437"/>
      <c r="B8" s="1532" t="s">
        <v>670</v>
      </c>
      <c r="C8" s="1549">
        <f>EGU_Emission_By_Fuel_Type!K76+Luke!G37</f>
        <v>18.270288600668884</v>
      </c>
    </row>
    <row r="9" spans="1:4" ht="18">
      <c r="A9" s="437"/>
      <c r="B9" s="1532" t="s">
        <v>671</v>
      </c>
      <c r="C9" s="1549">
        <f>EGU_Emission_By_Fuel_Type!L76+Luke!G51</f>
        <v>2.958395038257345E-2</v>
      </c>
    </row>
    <row r="10" spans="1:4" ht="18">
      <c r="A10" s="437"/>
      <c r="B10" s="1532" t="s">
        <v>672</v>
      </c>
      <c r="C10" s="1549">
        <f>EGU_Emission_By_Fuel_Type!M76+Luke!G64</f>
        <v>9.5204564695078264E-2</v>
      </c>
    </row>
    <row r="11" spans="1:4" ht="15">
      <c r="A11" s="437"/>
      <c r="B11" s="1531" t="s">
        <v>673</v>
      </c>
      <c r="C11" s="2756">
        <f>SUM(C12:C14)</f>
        <v>1.1164616229997575</v>
      </c>
    </row>
    <row r="12" spans="1:4" ht="18">
      <c r="A12" s="437"/>
      <c r="B12" s="1532" t="s">
        <v>670</v>
      </c>
      <c r="C12" s="1549">
        <f>EGU_Emission_By_Fuel_Type!K421+Luke!G41</f>
        <v>1.0837752332902111</v>
      </c>
    </row>
    <row r="13" spans="1:4" ht="18">
      <c r="A13" s="437"/>
      <c r="B13" s="1532" t="s">
        <v>671</v>
      </c>
      <c r="C13" s="1549">
        <f>EGU_Emission_By_Fuel_Type!L421+Luke!G55</f>
        <v>2.4435785257823392E-3</v>
      </c>
    </row>
    <row r="14" spans="1:4" ht="18">
      <c r="A14" s="437"/>
      <c r="B14" s="1532" t="s">
        <v>672</v>
      </c>
      <c r="C14" s="1549">
        <f>EGU_Emission_By_Fuel_Type!M421+Luke!G68</f>
        <v>3.0242811183763992E-2</v>
      </c>
    </row>
    <row r="15" spans="1:4" ht="15">
      <c r="A15" s="437"/>
      <c r="B15" s="1531" t="s">
        <v>674</v>
      </c>
      <c r="C15" s="2756">
        <f>SUM(C16:C18)</f>
        <v>0.40022506759910331</v>
      </c>
    </row>
    <row r="16" spans="1:4" ht="18">
      <c r="A16" s="437"/>
      <c r="B16" s="1532" t="s">
        <v>670</v>
      </c>
      <c r="C16" s="1549">
        <f>EGU_Emission_By_Fuel_Type!K268+EGU_Emission_By_Fuel_Type!K301+Luke!G39</f>
        <v>0.39909863279888891</v>
      </c>
    </row>
    <row r="17" spans="1:4" ht="18">
      <c r="A17" s="437"/>
      <c r="B17" s="1532" t="s">
        <v>671</v>
      </c>
      <c r="C17" s="1549">
        <f>EGU_Emission_By_Fuel_Type!L268+EGU_Emission_By_Fuel_Type!L301+Luke!G53</f>
        <v>3.0885638626582904E-4</v>
      </c>
    </row>
    <row r="18" spans="1:4" ht="18">
      <c r="A18" s="437"/>
      <c r="B18" s="1532" t="s">
        <v>672</v>
      </c>
      <c r="C18" s="1549">
        <f>EGU_Emission_By_Fuel_Type!M268+EGU_Emission_By_Fuel_Type!M301+Luke!G66</f>
        <v>8.1757841394856402E-4</v>
      </c>
    </row>
    <row r="19" spans="1:4" ht="15">
      <c r="A19" s="437"/>
      <c r="B19" s="1531" t="s">
        <v>675</v>
      </c>
      <c r="C19" s="1550">
        <f>SUM(C20:C22)</f>
        <v>0</v>
      </c>
    </row>
    <row r="20" spans="1:4" ht="18">
      <c r="A20" s="437"/>
      <c r="B20" s="1532" t="s">
        <v>670</v>
      </c>
      <c r="C20" s="2757">
        <v>0</v>
      </c>
    </row>
    <row r="21" spans="1:4" ht="18">
      <c r="A21" s="437"/>
      <c r="B21" s="1532" t="s">
        <v>671</v>
      </c>
      <c r="C21" s="2757">
        <v>0</v>
      </c>
    </row>
    <row r="22" spans="1:4" ht="18">
      <c r="A22" s="437"/>
      <c r="B22" s="1532" t="s">
        <v>672</v>
      </c>
      <c r="C22" s="2757">
        <v>0</v>
      </c>
    </row>
    <row r="23" spans="1:4" ht="15">
      <c r="A23" s="437"/>
      <c r="B23" s="1531" t="s">
        <v>676</v>
      </c>
      <c r="C23" s="1549"/>
    </row>
    <row r="24" spans="1:4" ht="15">
      <c r="A24" s="438"/>
      <c r="B24" s="1533" t="s">
        <v>677</v>
      </c>
      <c r="C24" s="1549">
        <f>'Imported Electricity'!N78</f>
        <v>13.848391616829453</v>
      </c>
    </row>
    <row r="25" spans="1:4" ht="15">
      <c r="A25" s="435" t="s">
        <v>678</v>
      </c>
      <c r="B25" s="1529"/>
      <c r="C25" s="1547">
        <f>C26+C30+C34+C38</f>
        <v>15.803958268992901</v>
      </c>
      <c r="D25" s="1590"/>
    </row>
    <row r="26" spans="1:4" ht="15">
      <c r="A26" s="436"/>
      <c r="B26" s="1534" t="s">
        <v>201</v>
      </c>
      <c r="C26" s="1550">
        <f>SUM(C27:C29)</f>
        <v>1.5072990074544956</v>
      </c>
    </row>
    <row r="27" spans="1:4" ht="18">
      <c r="A27" s="437"/>
      <c r="B27" s="1532" t="s">
        <v>670</v>
      </c>
      <c r="C27" s="1549">
        <f>Residential!C46+Commercial!D54+Industrial!E101</f>
        <v>1.4967494921147699</v>
      </c>
    </row>
    <row r="28" spans="1:4" ht="18">
      <c r="A28" s="437"/>
      <c r="B28" s="1532" t="s">
        <v>671</v>
      </c>
      <c r="C28" s="2758">
        <f>Residential!E46+Commercial!E54+Industrial!F101</f>
        <v>3.2820714390257798E-3</v>
      </c>
    </row>
    <row r="29" spans="1:4" ht="18">
      <c r="A29" s="437"/>
      <c r="B29" s="1532" t="s">
        <v>672</v>
      </c>
      <c r="C29" s="1549">
        <f>Residential!D46+Commercial!F54+Industrial!G101</f>
        <v>7.2674439006999427E-3</v>
      </c>
    </row>
    <row r="30" spans="1:4" ht="15">
      <c r="A30" s="437"/>
      <c r="B30" s="1535" t="s">
        <v>679</v>
      </c>
      <c r="C30" s="1550">
        <f>SUM(C31:C33)</f>
        <v>10.710215455440322</v>
      </c>
    </row>
    <row r="31" spans="1:4" ht="18">
      <c r="A31" s="437"/>
      <c r="B31" s="1532" t="s">
        <v>670</v>
      </c>
      <c r="C31" s="1549">
        <f>Residential!C49+Residential!C50+Commercial!D57+Commercial!D60+Industrial!E109+Industrial!E121</f>
        <v>10.682922107973198</v>
      </c>
    </row>
    <row r="32" spans="1:4" ht="18">
      <c r="A32" s="437"/>
      <c r="B32" s="1532" t="s">
        <v>671</v>
      </c>
      <c r="C32" s="1549">
        <f>Residential!E49+Residential!E50+Commercial!E57+Commercial!E60+Industrial!F109+Industrial!F121</f>
        <v>1.9810210849317771E-2</v>
      </c>
    </row>
    <row r="33" spans="1:4" ht="18">
      <c r="A33" s="437"/>
      <c r="B33" s="1532" t="s">
        <v>672</v>
      </c>
      <c r="C33" s="1549">
        <f>Residential!D49+Residential!D50+Commercial!F57+Commercial!F60+Industrial!G109+Industrial!G121</f>
        <v>7.4831366178059796E-3</v>
      </c>
    </row>
    <row r="34" spans="1:4" ht="15">
      <c r="A34" s="437"/>
      <c r="B34" s="1535" t="s">
        <v>680</v>
      </c>
      <c r="C34" s="1550">
        <f>SUM(C35:C37)</f>
        <v>3.4729215677949483</v>
      </c>
    </row>
    <row r="35" spans="1:4" ht="18">
      <c r="A35" s="437"/>
      <c r="B35" s="1536" t="s">
        <v>670</v>
      </c>
      <c r="C35" s="1549">
        <f>Residential!C47+Residential!C48+Commercial!D55+Commercial!D56+Commercial!D57+Commercial!D58+Commercial!D59+Industrial!E105+Industrial!E106+Industrial!E107+Industrial!E108+Industrial!E110+Industrial!E111+Industrial!E113+Industrial!E115+Industrial!E116+Industrial!E118+Industrial!E120</f>
        <v>3.4581498120644034</v>
      </c>
    </row>
    <row r="36" spans="1:4" ht="18">
      <c r="A36" s="437"/>
      <c r="B36" s="1536" t="s">
        <v>671</v>
      </c>
      <c r="C36" s="1549">
        <f>Residential!E47+Residential!E48+Commercial!E55+Commercial!E56+Commercial!E58+Commercial!E59+Industrial!F105+Industrial!F106+Industrial!F107+Industrial!F108+Industrial!F111+Industrial!F115+Industrial!F116+Industrial!F118</f>
        <v>6.872384675049443E-3</v>
      </c>
    </row>
    <row r="37" spans="1:4" ht="18">
      <c r="A37" s="437"/>
      <c r="B37" s="1536" t="s">
        <v>672</v>
      </c>
      <c r="C37" s="1549">
        <f>Residential!D47+Residential!D48+Commercial!F55+Commercial!F56+Commercial!F58+Commercial!F59+Industrial!G105+Industrial!G106+Industrial!G107+Industrial!G108+Industrial!G111+Industrial!G115+Industrial!G116+Industrial!G118</f>
        <v>7.8993710554953588E-3</v>
      </c>
    </row>
    <row r="38" spans="1:4" ht="15">
      <c r="A38" s="437"/>
      <c r="B38" s="1535" t="s">
        <v>681</v>
      </c>
      <c r="C38" s="1550">
        <f>SUM(C39:C41)</f>
        <v>0.11352223830313546</v>
      </c>
    </row>
    <row r="39" spans="1:4" ht="18">
      <c r="A39" s="437"/>
      <c r="B39" s="1536" t="s">
        <v>670</v>
      </c>
      <c r="C39" s="2757">
        <f>Residential!C51+Commercial!D61+Industrial!E122</f>
        <v>0</v>
      </c>
    </row>
    <row r="40" spans="1:4" ht="18">
      <c r="A40" s="437"/>
      <c r="B40" s="1536" t="s">
        <v>671</v>
      </c>
      <c r="C40" s="1549">
        <f>Residential!E51+Commercial!E61+Industrial!F122</f>
        <v>8.75878935089896E-2</v>
      </c>
    </row>
    <row r="41" spans="1:4" ht="18">
      <c r="A41" s="438"/>
      <c r="B41" s="1537" t="s">
        <v>672</v>
      </c>
      <c r="C41" s="1549">
        <f>Residential!D51+Commercial!F61+Industrial!G122</f>
        <v>2.5934344794145865E-2</v>
      </c>
    </row>
    <row r="42" spans="1:4" ht="15">
      <c r="A42" s="435" t="s">
        <v>190</v>
      </c>
      <c r="B42" s="1529"/>
      <c r="C42" s="1547">
        <f>C43+C47+C51+C55+C59+C63+C67+C71</f>
        <v>33.452999136391924</v>
      </c>
      <c r="D42" s="1590"/>
    </row>
    <row r="43" spans="1:4" ht="15">
      <c r="A43" s="436"/>
      <c r="B43" s="1534" t="s">
        <v>682</v>
      </c>
      <c r="C43" s="1550">
        <f>SUM(C44:C46)</f>
        <v>22.555440557938169</v>
      </c>
    </row>
    <row r="44" spans="1:4" ht="18">
      <c r="A44" s="437"/>
      <c r="B44" s="1536" t="s">
        <v>670</v>
      </c>
      <c r="C44" s="1549">
        <f>Trans_On_Road!C34+Trans_On_Road!F34</f>
        <v>22.472039254243374</v>
      </c>
    </row>
    <row r="45" spans="1:4" ht="18">
      <c r="A45" s="437"/>
      <c r="B45" s="1536" t="s">
        <v>671</v>
      </c>
      <c r="C45" s="1549">
        <f>Trans_On_Road!R56</f>
        <v>6.8962061162740878E-3</v>
      </c>
    </row>
    <row r="46" spans="1:4" ht="18">
      <c r="A46" s="437"/>
      <c r="B46" s="1536" t="s">
        <v>672</v>
      </c>
      <c r="C46" s="1549">
        <f>Trans_On_Road!K56</f>
        <v>7.6505097578521197E-2</v>
      </c>
    </row>
    <row r="47" spans="1:4" ht="15">
      <c r="A47" s="437"/>
      <c r="B47" s="1535" t="s">
        <v>690</v>
      </c>
      <c r="C47" s="1550">
        <f>SUM(C48:C50)</f>
        <v>1.1066835133585422</v>
      </c>
    </row>
    <row r="48" spans="1:4" ht="18">
      <c r="A48" s="437"/>
      <c r="B48" s="1536" t="s">
        <v>670</v>
      </c>
      <c r="C48" s="1549">
        <f>Trans_Non_Road!F9</f>
        <v>1.0834776995182966</v>
      </c>
    </row>
    <row r="49" spans="1:3" ht="18">
      <c r="A49" s="437"/>
      <c r="B49" s="1536" t="s">
        <v>671</v>
      </c>
      <c r="C49" s="1549">
        <f>Trans_Non_Road!E9</f>
        <v>2.3205813840245507E-2</v>
      </c>
    </row>
    <row r="50" spans="1:3" ht="18">
      <c r="A50" s="437"/>
      <c r="B50" s="1536" t="s">
        <v>672</v>
      </c>
      <c r="C50" s="1549">
        <v>0</v>
      </c>
    </row>
    <row r="51" spans="1:3" ht="15">
      <c r="A51" s="437"/>
      <c r="B51" s="1535" t="s">
        <v>691</v>
      </c>
      <c r="C51" s="1550">
        <f>SUM(C52:C54)</f>
        <v>6.3810422925494406</v>
      </c>
    </row>
    <row r="52" spans="1:3" ht="18">
      <c r="A52" s="437"/>
      <c r="B52" s="1536" t="s">
        <v>670</v>
      </c>
      <c r="C52" s="1549">
        <f>Trans_On_Road!D34</f>
        <v>6.3602143168031251</v>
      </c>
    </row>
    <row r="53" spans="1:3" ht="18">
      <c r="A53" s="437"/>
      <c r="B53" s="1536" t="s">
        <v>671</v>
      </c>
      <c r="C53" s="1549">
        <f>Trans_On_Road!R55</f>
        <v>9.5518164353939044E-5</v>
      </c>
    </row>
    <row r="54" spans="1:3" ht="18">
      <c r="A54" s="437"/>
      <c r="B54" s="1536" t="s">
        <v>672</v>
      </c>
      <c r="C54" s="1549">
        <f>Trans_On_Road!K55</f>
        <v>2.0732457581961693E-2</v>
      </c>
    </row>
    <row r="55" spans="1:3" ht="15">
      <c r="A55" s="437"/>
      <c r="B55" s="1535" t="s">
        <v>692</v>
      </c>
      <c r="C55" s="1550">
        <f>SUM(C56:C58)</f>
        <v>1.9941014064878442</v>
      </c>
    </row>
    <row r="56" spans="1:3" ht="18">
      <c r="A56" s="437"/>
      <c r="B56" s="1536" t="s">
        <v>670</v>
      </c>
      <c r="C56" s="1549">
        <f>Trans_Non_Road!F12+Trans_Non_Road!F11</f>
        <v>1.9939715093412016</v>
      </c>
    </row>
    <row r="57" spans="1:3" ht="18">
      <c r="A57" s="437"/>
      <c r="B57" s="1536" t="s">
        <v>671</v>
      </c>
      <c r="C57" s="1549">
        <f>Trans_Non_Road!E12+Trans_Non_Road!E11</f>
        <v>1.2989714664266773E-4</v>
      </c>
    </row>
    <row r="58" spans="1:3" ht="18">
      <c r="A58" s="437"/>
      <c r="B58" s="1536" t="s">
        <v>672</v>
      </c>
      <c r="C58" s="1549">
        <v>0</v>
      </c>
    </row>
    <row r="59" spans="1:3" ht="15">
      <c r="A59" s="437"/>
      <c r="B59" s="1535" t="s">
        <v>693</v>
      </c>
      <c r="C59" s="1550">
        <f>SUM(C60:C62)</f>
        <v>0.18703845826530302</v>
      </c>
    </row>
    <row r="60" spans="1:3" ht="18">
      <c r="A60" s="437"/>
      <c r="B60" s="1536" t="s">
        <v>670</v>
      </c>
      <c r="C60" s="1549">
        <f>Trans_Others!O28</f>
        <v>0.18530411103860703</v>
      </c>
    </row>
    <row r="61" spans="1:3" ht="18">
      <c r="A61" s="437"/>
      <c r="B61" s="1536" t="s">
        <v>671</v>
      </c>
      <c r="C61" s="1549">
        <f>Trans_Others!AE28</f>
        <v>3.0300575508000001E-4</v>
      </c>
    </row>
    <row r="62" spans="1:3" ht="18">
      <c r="A62" s="437"/>
      <c r="B62" s="1536" t="s">
        <v>672</v>
      </c>
      <c r="C62" s="1549">
        <f>Trans_Others!X28</f>
        <v>1.431341471616E-3</v>
      </c>
    </row>
    <row r="63" spans="1:3" ht="15">
      <c r="A63" s="437"/>
      <c r="B63" s="1535" t="s">
        <v>694</v>
      </c>
      <c r="C63" s="1550">
        <f>SUM(C64:C66)</f>
        <v>0.12496453493002187</v>
      </c>
    </row>
    <row r="64" spans="1:3" ht="18">
      <c r="A64" s="437"/>
      <c r="B64" s="1536" t="s">
        <v>670</v>
      </c>
      <c r="C64" s="1549">
        <f>Trans_Others!O40</f>
        <v>0.12383189699632187</v>
      </c>
    </row>
    <row r="65" spans="1:4" ht="18">
      <c r="A65" s="437"/>
      <c r="B65" s="1536" t="s">
        <v>671</v>
      </c>
      <c r="C65" s="1549">
        <f>Trans_Others!AE40</f>
        <v>1.8804526650000001E-4</v>
      </c>
    </row>
    <row r="66" spans="1:4" ht="18">
      <c r="A66" s="437"/>
      <c r="B66" s="1536" t="s">
        <v>672</v>
      </c>
      <c r="C66" s="1549">
        <f>Trans_Others!X40</f>
        <v>9.4459266720000007E-4</v>
      </c>
    </row>
    <row r="67" spans="1:4" ht="15">
      <c r="A67" s="437"/>
      <c r="B67" s="1535" t="s">
        <v>695</v>
      </c>
      <c r="C67" s="1550">
        <f>SUM(C68:C70)</f>
        <v>0.27994091291318107</v>
      </c>
    </row>
    <row r="68" spans="1:4" ht="18">
      <c r="A68" s="437"/>
      <c r="B68" s="1536" t="s">
        <v>670</v>
      </c>
      <c r="C68" s="1549">
        <f>Trans_Others!S49+Trans_Non_Road!F8+Trans_Non_Road!F10</f>
        <v>0.27534286438645456</v>
      </c>
    </row>
    <row r="69" spans="1:4" ht="18">
      <c r="A69" s="437"/>
      <c r="B69" s="1536" t="s">
        <v>671</v>
      </c>
      <c r="C69" s="2759">
        <f>Trans_Non_Road!E8+Trans_Non_Road!E10</f>
        <v>4.5980485267265395E-3</v>
      </c>
    </row>
    <row r="70" spans="1:4" ht="18">
      <c r="A70" s="437"/>
      <c r="B70" s="1536" t="s">
        <v>672</v>
      </c>
      <c r="C70" s="3009">
        <v>0</v>
      </c>
    </row>
    <row r="71" spans="1:4" ht="15">
      <c r="A71" s="437"/>
      <c r="B71" s="1535" t="s">
        <v>696</v>
      </c>
      <c r="C71" s="1550">
        <f>SUM(C72:C74)</f>
        <v>0.82378745994941305</v>
      </c>
    </row>
    <row r="72" spans="1:4" ht="18">
      <c r="A72" s="437"/>
      <c r="B72" s="1536" t="s">
        <v>670</v>
      </c>
      <c r="C72" s="1549">
        <f>Trans_Others!O26+Trans_Others!O27</f>
        <v>0.81540407692333305</v>
      </c>
    </row>
    <row r="73" spans="1:4" ht="18">
      <c r="A73" s="437"/>
      <c r="B73" s="1536" t="s">
        <v>671</v>
      </c>
      <c r="C73" s="1549">
        <f>Trans_Others!AE26+Trans_Others!AE27</f>
        <v>6.6782092607999997E-4</v>
      </c>
    </row>
    <row r="74" spans="1:4" ht="18">
      <c r="A74" s="438"/>
      <c r="B74" s="1537" t="s">
        <v>672</v>
      </c>
      <c r="C74" s="1549">
        <f>Trans_Others!X26+Trans_Others!X27</f>
        <v>7.7155620999999992E-3</v>
      </c>
    </row>
    <row r="75" spans="1:4" ht="15">
      <c r="A75" s="435" t="s">
        <v>191</v>
      </c>
      <c r="B75" s="1529"/>
      <c r="C75" s="1547">
        <f>C76+C80+C84</f>
        <v>0.71988914948937111</v>
      </c>
      <c r="D75" s="1590"/>
    </row>
    <row r="76" spans="1:4" ht="15">
      <c r="A76" s="436"/>
      <c r="B76" s="1534" t="s">
        <v>697</v>
      </c>
      <c r="C76" s="1550">
        <f>SUM(C77:C79)</f>
        <v>0.58486091501817117</v>
      </c>
    </row>
    <row r="77" spans="1:4" ht="18">
      <c r="A77" s="437"/>
      <c r="B77" s="1536" t="s">
        <v>670</v>
      </c>
      <c r="C77" s="1549">
        <f>'Natural Gas and Oil'!H70</f>
        <v>3.5216716259685977E-4</v>
      </c>
    </row>
    <row r="78" spans="1:4" ht="18">
      <c r="A78" s="437"/>
      <c r="B78" s="1536" t="s">
        <v>671</v>
      </c>
      <c r="C78" s="1549">
        <f>'Natural Gas and Oil'!J70+'Natural Gas and Oil'!F51+'Natural Gas and Oil'!F34+'Natural Gas and Oil'!F10</f>
        <v>0.5843131746843081</v>
      </c>
    </row>
    <row r="79" spans="1:4" ht="18">
      <c r="A79" s="437"/>
      <c r="B79" s="1536" t="s">
        <v>672</v>
      </c>
      <c r="C79" s="1549">
        <f>'Natural Gas and Oil'!I70</f>
        <v>1.9557317126612313E-4</v>
      </c>
    </row>
    <row r="80" spans="1:4" ht="15">
      <c r="A80" s="437"/>
      <c r="B80" s="1535" t="s">
        <v>698</v>
      </c>
      <c r="C80" s="1550">
        <f>SUM(C81:C83)</f>
        <v>0</v>
      </c>
    </row>
    <row r="81" spans="1:4" ht="18">
      <c r="A81" s="437"/>
      <c r="B81" s="1536" t="s">
        <v>670</v>
      </c>
      <c r="C81" s="1549">
        <v>0</v>
      </c>
    </row>
    <row r="82" spans="1:4" ht="18">
      <c r="A82" s="437"/>
      <c r="B82" s="1536" t="s">
        <v>671</v>
      </c>
      <c r="C82" s="1549">
        <v>0</v>
      </c>
    </row>
    <row r="83" spans="1:4" ht="18">
      <c r="A83" s="437"/>
      <c r="B83" s="1536" t="s">
        <v>672</v>
      </c>
      <c r="C83" s="1549">
        <v>0</v>
      </c>
    </row>
    <row r="84" spans="1:4" ht="15">
      <c r="A84" s="437"/>
      <c r="B84" s="1535" t="s">
        <v>699</v>
      </c>
      <c r="C84" s="1550">
        <f>SUM(C85:C87)</f>
        <v>0.13502823447119996</v>
      </c>
    </row>
    <row r="85" spans="1:4" ht="18">
      <c r="A85" s="437"/>
      <c r="B85" s="1536" t="s">
        <v>670</v>
      </c>
      <c r="C85" s="1549">
        <v>0</v>
      </c>
    </row>
    <row r="86" spans="1:4" ht="18">
      <c r="A86" s="437"/>
      <c r="B86" s="1536" t="s">
        <v>671</v>
      </c>
      <c r="C86" s="1549">
        <f>Mining!C36+Mining!C37</f>
        <v>0.13502823447119996</v>
      </c>
    </row>
    <row r="87" spans="1:4" ht="18">
      <c r="A87" s="438"/>
      <c r="B87" s="1537" t="s">
        <v>672</v>
      </c>
      <c r="C87" s="1549">
        <v>0</v>
      </c>
    </row>
    <row r="88" spans="1:4" ht="15">
      <c r="A88" s="439" t="s">
        <v>198</v>
      </c>
      <c r="B88" s="1538"/>
      <c r="C88" s="1548">
        <f>C89+C93+C97+C101+C105+C109+C113+C117+C121</f>
        <v>4.7848512024490812</v>
      </c>
      <c r="D88" s="1590"/>
    </row>
    <row r="89" spans="1:4" ht="15">
      <c r="A89" s="436"/>
      <c r="B89" s="1530" t="s">
        <v>700</v>
      </c>
      <c r="C89" s="1550">
        <f>SUM(C90:C92)</f>
        <v>1.5807210924129136</v>
      </c>
    </row>
    <row r="90" spans="1:4" ht="18">
      <c r="A90" s="437"/>
      <c r="B90" s="1536" t="s">
        <v>670</v>
      </c>
      <c r="C90" s="1549">
        <f>Cement!G84</f>
        <v>1.5807210924129136</v>
      </c>
    </row>
    <row r="91" spans="1:4" ht="18">
      <c r="A91" s="437"/>
      <c r="B91" s="1536" t="s">
        <v>671</v>
      </c>
      <c r="C91" s="1549">
        <v>0</v>
      </c>
    </row>
    <row r="92" spans="1:4" ht="18">
      <c r="A92" s="437"/>
      <c r="B92" s="1536" t="s">
        <v>672</v>
      </c>
      <c r="C92" s="1549">
        <v>0</v>
      </c>
    </row>
    <row r="93" spans="1:4" ht="15">
      <c r="A93" s="437"/>
      <c r="B93" s="1539" t="s">
        <v>701</v>
      </c>
      <c r="C93" s="1550">
        <f>SUM(C94:C96)</f>
        <v>0.14391564000000001</v>
      </c>
    </row>
    <row r="94" spans="1:4" ht="18">
      <c r="A94" s="437"/>
      <c r="B94" s="1536" t="s">
        <v>670</v>
      </c>
      <c r="C94" s="1549">
        <f>'LimeT&amp;DSodaODS'!D43/1000000</f>
        <v>0.14391564000000001</v>
      </c>
    </row>
    <row r="95" spans="1:4" ht="18">
      <c r="A95" s="437"/>
      <c r="B95" s="1536" t="s">
        <v>671</v>
      </c>
      <c r="C95" s="1549">
        <v>0</v>
      </c>
    </row>
    <row r="96" spans="1:4" ht="18">
      <c r="A96" s="437"/>
      <c r="B96" s="1536" t="s">
        <v>672</v>
      </c>
      <c r="C96" s="1549">
        <v>0</v>
      </c>
    </row>
    <row r="97" spans="1:3" ht="15">
      <c r="A97" s="437"/>
      <c r="B97" s="1539" t="s">
        <v>702</v>
      </c>
      <c r="C97" s="1550">
        <f>SUM(C98:C100)</f>
        <v>3.9670020149999999E-2</v>
      </c>
    </row>
    <row r="98" spans="1:3" ht="18">
      <c r="A98" s="437"/>
      <c r="B98" s="1536" t="s">
        <v>670</v>
      </c>
      <c r="C98" s="1549">
        <f>'LimeT&amp;DSodaODS'!D44/1000000</f>
        <v>3.9670020149999999E-2</v>
      </c>
    </row>
    <row r="99" spans="1:3" ht="18">
      <c r="A99" s="437"/>
      <c r="B99" s="1536" t="s">
        <v>671</v>
      </c>
      <c r="C99" s="1549">
        <v>0</v>
      </c>
    </row>
    <row r="100" spans="1:3" ht="18">
      <c r="A100" s="437"/>
      <c r="B100" s="1536" t="s">
        <v>672</v>
      </c>
      <c r="C100" s="1549">
        <v>0</v>
      </c>
    </row>
    <row r="101" spans="1:3" ht="15">
      <c r="A101" s="437"/>
      <c r="B101" s="1539" t="s">
        <v>703</v>
      </c>
      <c r="C101" s="1550">
        <f>SUM(C102:C104)</f>
        <v>0</v>
      </c>
    </row>
    <row r="102" spans="1:3" ht="18">
      <c r="A102" s="437"/>
      <c r="B102" s="1536" t="s">
        <v>670</v>
      </c>
      <c r="C102" s="1549">
        <f>0</f>
        <v>0</v>
      </c>
    </row>
    <row r="103" spans="1:3" ht="18">
      <c r="A103" s="437"/>
      <c r="B103" s="1536" t="s">
        <v>671</v>
      </c>
      <c r="C103" s="1549">
        <v>0</v>
      </c>
    </row>
    <row r="104" spans="1:3" ht="18">
      <c r="A104" s="437"/>
      <c r="B104" s="1536" t="s">
        <v>672</v>
      </c>
      <c r="C104" s="1549">
        <v>0</v>
      </c>
    </row>
    <row r="105" spans="1:3" ht="15">
      <c r="A105" s="437"/>
      <c r="B105" s="1539" t="s">
        <v>704</v>
      </c>
      <c r="C105" s="1550">
        <f>SUM(C106:C108)</f>
        <v>2.9726742198861675</v>
      </c>
    </row>
    <row r="106" spans="1:3" ht="18">
      <c r="A106" s="437"/>
      <c r="B106" s="1536" t="s">
        <v>670</v>
      </c>
      <c r="C106" s="1549">
        <v>0</v>
      </c>
    </row>
    <row r="107" spans="1:3" ht="18">
      <c r="A107" s="437"/>
      <c r="B107" s="1536" t="s">
        <v>671</v>
      </c>
      <c r="C107" s="1549">
        <v>0</v>
      </c>
    </row>
    <row r="108" spans="1:3" ht="18">
      <c r="A108" s="437"/>
      <c r="B108" s="1536" t="s">
        <v>705</v>
      </c>
      <c r="C108" s="1549">
        <f>'LimeT&amp;DSodaODS'!D51/1000000</f>
        <v>2.9726742198861675</v>
      </c>
    </row>
    <row r="109" spans="1:3" ht="15">
      <c r="A109" s="437"/>
      <c r="B109" s="1539" t="s">
        <v>706</v>
      </c>
      <c r="C109" s="1550">
        <f>SUM(C110:C112)</f>
        <v>4.7322000000000003E-2</v>
      </c>
    </row>
    <row r="110" spans="1:3" ht="18">
      <c r="A110" s="437"/>
      <c r="B110" s="1536" t="s">
        <v>670</v>
      </c>
      <c r="C110" s="1549">
        <v>0</v>
      </c>
    </row>
    <row r="111" spans="1:3" ht="18">
      <c r="A111" s="437"/>
      <c r="B111" s="1536" t="s">
        <v>671</v>
      </c>
      <c r="C111" s="1549">
        <v>0</v>
      </c>
    </row>
    <row r="112" spans="1:3" ht="18">
      <c r="A112" s="437"/>
      <c r="B112" s="1536" t="s">
        <v>705</v>
      </c>
      <c r="C112" s="1549">
        <f>'LimeT&amp;DSodaODS'!D54/1000000</f>
        <v>4.7322000000000003E-2</v>
      </c>
    </row>
    <row r="113" spans="1:4" ht="15">
      <c r="A113" s="437"/>
      <c r="B113" s="1539" t="s">
        <v>707</v>
      </c>
      <c r="C113" s="1550">
        <f>SUM(C114:C116)</f>
        <v>0</v>
      </c>
    </row>
    <row r="114" spans="1:4" ht="18">
      <c r="A114" s="437"/>
      <c r="B114" s="1536" t="s">
        <v>670</v>
      </c>
      <c r="C114" s="1549">
        <v>0</v>
      </c>
    </row>
    <row r="115" spans="1:4" ht="18">
      <c r="A115" s="437"/>
      <c r="B115" s="1536" t="s">
        <v>671</v>
      </c>
      <c r="C115" s="1549">
        <v>0</v>
      </c>
    </row>
    <row r="116" spans="1:4" ht="18">
      <c r="A116" s="437"/>
      <c r="B116" s="1536" t="s">
        <v>705</v>
      </c>
      <c r="C116" s="1549">
        <v>0</v>
      </c>
    </row>
    <row r="117" spans="1:4" ht="15">
      <c r="A117" s="437"/>
      <c r="B117" s="1539" t="s">
        <v>708</v>
      </c>
      <c r="C117" s="1550">
        <f>SUM(C118:C120)</f>
        <v>5.4823000000000003E-4</v>
      </c>
    </row>
    <row r="118" spans="1:4" ht="18">
      <c r="A118" s="437"/>
      <c r="B118" s="1536" t="s">
        <v>670</v>
      </c>
      <c r="C118" s="1549">
        <f>'LimeT&amp;DSodaODS'!D45/1000000</f>
        <v>5.4823000000000003E-4</v>
      </c>
    </row>
    <row r="119" spans="1:4" ht="18">
      <c r="A119" s="437"/>
      <c r="B119" s="1536" t="s">
        <v>671</v>
      </c>
      <c r="C119" s="1549">
        <v>0</v>
      </c>
    </row>
    <row r="120" spans="1:4" ht="18">
      <c r="A120" s="437"/>
      <c r="B120" s="1536" t="s">
        <v>705</v>
      </c>
      <c r="C120" s="1549">
        <v>0</v>
      </c>
    </row>
    <row r="121" spans="1:4" ht="15">
      <c r="A121" s="437"/>
      <c r="B121" s="1539" t="s">
        <v>709</v>
      </c>
      <c r="C121" s="1550">
        <f>SUM(C122:C124)</f>
        <v>0</v>
      </c>
    </row>
    <row r="122" spans="1:4" ht="18">
      <c r="A122" s="437"/>
      <c r="B122" s="1536" t="s">
        <v>670</v>
      </c>
      <c r="C122" s="1549">
        <v>0</v>
      </c>
    </row>
    <row r="123" spans="1:4" ht="18">
      <c r="A123" s="437"/>
      <c r="B123" s="1536" t="s">
        <v>671</v>
      </c>
      <c r="C123" s="1549">
        <v>0</v>
      </c>
    </row>
    <row r="124" spans="1:4" ht="18">
      <c r="A124" s="438"/>
      <c r="B124" s="1537" t="s">
        <v>705</v>
      </c>
      <c r="C124" s="1549">
        <v>0</v>
      </c>
    </row>
    <row r="125" spans="1:4" ht="15">
      <c r="A125" s="995" t="s">
        <v>197</v>
      </c>
      <c r="B125" s="1538"/>
      <c r="C125" s="1547">
        <f>C126+C130+C134+C138+C142</f>
        <v>1.8921487791682468</v>
      </c>
      <c r="D125" s="1590"/>
    </row>
    <row r="126" spans="1:4" ht="15">
      <c r="A126" s="436"/>
      <c r="B126" s="1530" t="s">
        <v>202</v>
      </c>
      <c r="C126" s="1550">
        <f>SUM(C127:C129)</f>
        <v>0.33797356887220864</v>
      </c>
    </row>
    <row r="127" spans="1:4" ht="18">
      <c r="A127" s="437"/>
      <c r="B127" s="1536" t="s">
        <v>670</v>
      </c>
      <c r="C127" s="1549">
        <v>0</v>
      </c>
    </row>
    <row r="128" spans="1:4" ht="18">
      <c r="A128" s="437"/>
      <c r="B128" s="1536" t="s">
        <v>671</v>
      </c>
      <c r="C128" s="1549">
        <f>Agricultural!M25</f>
        <v>0.33797356887220864</v>
      </c>
    </row>
    <row r="129" spans="1:3" ht="18">
      <c r="A129" s="437"/>
      <c r="B129" s="1536" t="s">
        <v>672</v>
      </c>
      <c r="C129" s="1549">
        <v>0</v>
      </c>
    </row>
    <row r="130" spans="1:3" ht="15">
      <c r="A130" s="437"/>
      <c r="B130" s="1539" t="s">
        <v>203</v>
      </c>
      <c r="C130" s="1550">
        <f>SUM(C131:C133)</f>
        <v>0.32061091397713459</v>
      </c>
    </row>
    <row r="131" spans="1:3" ht="18">
      <c r="A131" s="437"/>
      <c r="B131" s="1536" t="s">
        <v>670</v>
      </c>
      <c r="C131" s="1549">
        <v>0</v>
      </c>
    </row>
    <row r="132" spans="1:3" ht="18">
      <c r="A132" s="437"/>
      <c r="B132" s="1536" t="s">
        <v>671</v>
      </c>
      <c r="C132" s="1549">
        <f>Agricultural!W61</f>
        <v>9.0377897949504904E-2</v>
      </c>
    </row>
    <row r="133" spans="1:3" ht="18">
      <c r="A133" s="437"/>
      <c r="B133" s="1536" t="s">
        <v>672</v>
      </c>
      <c r="C133" s="1549">
        <f>Agricultural!U89</f>
        <v>0.23023301602762966</v>
      </c>
    </row>
    <row r="134" spans="1:3" ht="15">
      <c r="A134" s="437"/>
      <c r="B134" s="1539" t="s">
        <v>216</v>
      </c>
      <c r="C134" s="1550">
        <f>SUM(C135:C137)</f>
        <v>0.99380286231705417</v>
      </c>
    </row>
    <row r="135" spans="1:3" ht="18">
      <c r="A135" s="437"/>
      <c r="B135" s="1536" t="s">
        <v>670</v>
      </c>
      <c r="C135" s="1549">
        <v>0</v>
      </c>
    </row>
    <row r="136" spans="1:3" ht="18">
      <c r="A136" s="437"/>
      <c r="B136" s="1536" t="s">
        <v>671</v>
      </c>
      <c r="C136" s="1549">
        <v>0</v>
      </c>
    </row>
    <row r="137" spans="1:3" ht="18">
      <c r="A137" s="437"/>
      <c r="B137" s="1536" t="s">
        <v>672</v>
      </c>
      <c r="C137" s="1549">
        <f>Agricultural!E233</f>
        <v>0.99380286231705417</v>
      </c>
    </row>
    <row r="138" spans="1:3" ht="15">
      <c r="A138" s="437"/>
      <c r="B138" s="1539" t="s">
        <v>196</v>
      </c>
      <c r="C138" s="1550">
        <f>SUM(C139:C141)</f>
        <v>0.23461317720545408</v>
      </c>
    </row>
    <row r="139" spans="1:3" ht="18">
      <c r="A139" s="437"/>
      <c r="B139" s="1536" t="s">
        <v>670</v>
      </c>
      <c r="C139" s="1549">
        <v>0</v>
      </c>
    </row>
    <row r="140" spans="1:3" ht="18">
      <c r="A140" s="437"/>
      <c r="B140" s="1536" t="s">
        <v>671</v>
      </c>
      <c r="C140" s="1549">
        <f>Agricultural!E243</f>
        <v>0.14330877848780824</v>
      </c>
    </row>
    <row r="141" spans="1:3" ht="18">
      <c r="A141" s="437"/>
      <c r="B141" s="1536" t="s">
        <v>672</v>
      </c>
      <c r="C141" s="1549">
        <f>Agricultural!E247</f>
        <v>9.130439871764584E-2</v>
      </c>
    </row>
    <row r="142" spans="1:3" ht="15">
      <c r="A142" s="437"/>
      <c r="B142" s="1540" t="s">
        <v>710</v>
      </c>
      <c r="C142" s="1550">
        <f>SUM(C143:C145)</f>
        <v>5.1482567963954153E-3</v>
      </c>
    </row>
    <row r="143" spans="1:3" ht="18">
      <c r="A143" s="437"/>
      <c r="B143" s="1536" t="s">
        <v>670</v>
      </c>
      <c r="C143" s="1549">
        <f>'Land Use'!T15</f>
        <v>5.1482567963954153E-3</v>
      </c>
    </row>
    <row r="144" spans="1:3" ht="18">
      <c r="A144" s="437"/>
      <c r="B144" s="1536" t="s">
        <v>671</v>
      </c>
      <c r="C144" s="1549">
        <v>0</v>
      </c>
    </row>
    <row r="145" spans="1:4" ht="18">
      <c r="A145" s="438"/>
      <c r="B145" s="1537" t="s">
        <v>672</v>
      </c>
      <c r="C145" s="1549">
        <v>0</v>
      </c>
    </row>
    <row r="146" spans="1:4" ht="15">
      <c r="A146" s="439" t="s">
        <v>199</v>
      </c>
      <c r="B146" s="1538"/>
      <c r="C146" s="1548">
        <v>2.2571179512006849</v>
      </c>
      <c r="D146" s="1590"/>
    </row>
    <row r="147" spans="1:4" ht="15">
      <c r="A147" s="436"/>
      <c r="B147" s="1530" t="s">
        <v>891</v>
      </c>
      <c r="C147" s="1547">
        <f>SUM(C148:C150)</f>
        <v>1.2976289009602626</v>
      </c>
    </row>
    <row r="148" spans="1:4" ht="18">
      <c r="A148" s="437"/>
      <c r="B148" s="1536" t="s">
        <v>670</v>
      </c>
      <c r="C148" s="1549">
        <f>(Incinerators!AC23*0.9072)/1000000</f>
        <v>1.2975872088412801</v>
      </c>
    </row>
    <row r="149" spans="1:4" ht="18">
      <c r="A149" s="437"/>
      <c r="B149" s="1536" t="s">
        <v>671</v>
      </c>
      <c r="C149" s="1549">
        <f>(Incinerators!AC29*0.9072)/1000000</f>
        <v>8.9197548544154727E-6</v>
      </c>
    </row>
    <row r="150" spans="1:4" ht="18">
      <c r="A150" s="437"/>
      <c r="B150" s="1536" t="s">
        <v>672</v>
      </c>
      <c r="C150" s="1549">
        <f>Incinerators!AC35*0.9072/1000000</f>
        <v>3.2772364128E-5</v>
      </c>
    </row>
    <row r="151" spans="1:4" ht="15">
      <c r="A151" s="437"/>
      <c r="B151" s="1539" t="s">
        <v>892</v>
      </c>
      <c r="C151" s="1547">
        <f>SUM(C152:C154)</f>
        <v>0.86893525958962536</v>
      </c>
    </row>
    <row r="152" spans="1:4" ht="18">
      <c r="A152" s="437"/>
      <c r="B152" s="1536" t="s">
        <v>670</v>
      </c>
      <c r="C152" s="1549">
        <f>Landfills!U112</f>
        <v>0.31314257286404407</v>
      </c>
    </row>
    <row r="153" spans="1:4" ht="18">
      <c r="A153" s="437"/>
      <c r="B153" s="1536" t="s">
        <v>671</v>
      </c>
      <c r="C153" s="1549">
        <f>Landfills!U115</f>
        <v>0.55579268672558135</v>
      </c>
    </row>
    <row r="154" spans="1:4" ht="18">
      <c r="A154" s="437"/>
      <c r="B154" s="1536" t="s">
        <v>672</v>
      </c>
      <c r="C154" s="1549">
        <v>0</v>
      </c>
    </row>
    <row r="155" spans="1:4" ht="15">
      <c r="A155" s="437"/>
      <c r="B155" s="1539" t="s">
        <v>200</v>
      </c>
      <c r="C155" s="1547">
        <f>SUM(C156:C158)</f>
        <v>0.56831653577729735</v>
      </c>
    </row>
    <row r="156" spans="1:4" ht="18">
      <c r="A156" s="437"/>
      <c r="B156" s="1536" t="s">
        <v>670</v>
      </c>
      <c r="C156" s="1549">
        <v>0</v>
      </c>
    </row>
    <row r="157" spans="1:4" ht="18">
      <c r="A157" s="437"/>
      <c r="B157" s="1536" t="s">
        <v>671</v>
      </c>
      <c r="C157" s="1549">
        <f>Wastewater!C31+Wastewater!C33</f>
        <v>0.40276699954378137</v>
      </c>
    </row>
    <row r="158" spans="1:4" ht="18">
      <c r="A158" s="437"/>
      <c r="B158" s="1536" t="s">
        <v>672</v>
      </c>
      <c r="C158" s="1549">
        <f>Wastewater!C32</f>
        <v>0.16554953623351598</v>
      </c>
    </row>
    <row r="159" spans="1:4" ht="15">
      <c r="A159" s="437"/>
      <c r="B159" s="1539" t="s">
        <v>1099</v>
      </c>
      <c r="C159" s="1547">
        <f>SUM(C160:C162)</f>
        <v>3.3000000000000002E-2</v>
      </c>
    </row>
    <row r="160" spans="1:4" ht="18">
      <c r="A160" s="437"/>
      <c r="B160" s="1536" t="s">
        <v>670</v>
      </c>
      <c r="C160" s="1549">
        <f>OpenBurn!D7</f>
        <v>3.3000000000000002E-2</v>
      </c>
    </row>
    <row r="161" spans="1:3" ht="18">
      <c r="A161" s="437"/>
      <c r="B161" s="1536" t="s">
        <v>671</v>
      </c>
      <c r="C161" s="1549">
        <v>0</v>
      </c>
    </row>
    <row r="162" spans="1:3" ht="18">
      <c r="A162" s="438"/>
      <c r="B162" s="1537" t="s">
        <v>672</v>
      </c>
      <c r="C162" s="1549">
        <v>0</v>
      </c>
    </row>
    <row r="163" spans="1:3" ht="15">
      <c r="A163" s="3052" t="s">
        <v>711</v>
      </c>
      <c r="B163" s="3053"/>
      <c r="C163" s="1549">
        <f>C146+C125+C88+C75+C42+C25+C5</f>
        <v>92.671119910867048</v>
      </c>
    </row>
    <row r="164" spans="1:3" ht="15">
      <c r="A164" s="440"/>
      <c r="B164" s="1541" t="s">
        <v>712</v>
      </c>
      <c r="C164" s="1546"/>
    </row>
    <row r="165" spans="1:3" ht="15">
      <c r="A165" s="3052" t="s">
        <v>713</v>
      </c>
      <c r="B165" s="3053"/>
      <c r="C165" s="1550">
        <f>SUM(C166:C169)</f>
        <v>-11.650368940460119</v>
      </c>
    </row>
    <row r="166" spans="1:3" ht="15">
      <c r="A166" s="441"/>
      <c r="B166" s="1530" t="s">
        <v>1100</v>
      </c>
      <c r="C166" s="1551">
        <f>'Land Use'!AB6+'Land Use'!AB7+'Land Use'!AB8+'Land Use'!AB9+'Land Use'!AB11</f>
        <v>-10.446577825333891</v>
      </c>
    </row>
    <row r="167" spans="1:3" ht="15">
      <c r="A167" s="442"/>
      <c r="B167" s="1539" t="s">
        <v>1095</v>
      </c>
      <c r="C167" s="1551">
        <f>'Land Use'!AB16+'Land Use'!AB17+'Land Use'!AB25</f>
        <v>-1.2008667685080217</v>
      </c>
    </row>
    <row r="168" spans="1:3" ht="15">
      <c r="A168" s="442"/>
      <c r="B168" s="1539" t="s">
        <v>714</v>
      </c>
      <c r="C168" s="1551">
        <f>'Land Use'!AB10</f>
        <v>-5.1420444948206523E-2</v>
      </c>
    </row>
    <row r="169" spans="1:3" ht="15">
      <c r="A169" s="442"/>
      <c r="B169" s="1539" t="s">
        <v>1094</v>
      </c>
      <c r="C169" s="1551">
        <f>SUM(C170:C171)</f>
        <v>4.8496098330000001E-2</v>
      </c>
    </row>
    <row r="170" spans="1:3" ht="18">
      <c r="A170" s="442"/>
      <c r="B170" s="1536" t="s">
        <v>671</v>
      </c>
      <c r="C170" s="1546">
        <f>'Land Use'!AB23</f>
        <v>4.03975824E-2</v>
      </c>
    </row>
    <row r="171" spans="1:3" ht="18">
      <c r="A171" s="443"/>
      <c r="B171" s="1537" t="s">
        <v>672</v>
      </c>
      <c r="C171" s="1546">
        <f>'Land Use'!AB24</f>
        <v>8.0985159299999995E-3</v>
      </c>
    </row>
    <row r="172" spans="1:3" ht="15">
      <c r="A172" s="3052" t="s">
        <v>715</v>
      </c>
      <c r="B172" s="3053"/>
      <c r="C172" s="1547">
        <f>C163+C165</f>
        <v>81.020750970406937</v>
      </c>
    </row>
    <row r="173" spans="1:3" ht="15">
      <c r="A173" s="441"/>
      <c r="B173" s="1542" t="s">
        <v>712</v>
      </c>
      <c r="C173" s="1546"/>
    </row>
    <row r="174" spans="1:3" ht="15">
      <c r="A174" s="444"/>
      <c r="B174" s="444"/>
      <c r="C174" s="1546"/>
    </row>
    <row r="175" spans="1:3" ht="15.75" thickBot="1">
      <c r="A175" s="445"/>
      <c r="B175" s="445"/>
      <c r="C175" s="1546"/>
    </row>
    <row r="176" spans="1:3" ht="15">
      <c r="A176" s="444"/>
      <c r="B176" s="444"/>
      <c r="C176" s="2750">
        <f>C3</f>
        <v>2014</v>
      </c>
    </row>
    <row r="177" spans="1:3" ht="15">
      <c r="A177" s="444"/>
      <c r="B177" s="444" t="s">
        <v>716</v>
      </c>
      <c r="C177" s="1549">
        <f>C5</f>
        <v>33.760155423174851</v>
      </c>
    </row>
    <row r="178" spans="1:3" ht="15">
      <c r="A178" s="444"/>
      <c r="B178" s="444" t="s">
        <v>717</v>
      </c>
      <c r="C178" s="1549">
        <f>C25</f>
        <v>15.803958268992901</v>
      </c>
    </row>
    <row r="179" spans="1:3" ht="15">
      <c r="A179" s="444"/>
      <c r="B179" s="444" t="s">
        <v>718</v>
      </c>
      <c r="C179" s="1549">
        <f>C43+C51</f>
        <v>28.936482850487611</v>
      </c>
    </row>
    <row r="180" spans="1:3" ht="15">
      <c r="A180" s="444"/>
      <c r="B180" s="444" t="s">
        <v>719</v>
      </c>
      <c r="C180" s="1549">
        <f>C47+C55+C59+C63+C67+C71</f>
        <v>4.5165162859043058</v>
      </c>
    </row>
    <row r="181" spans="1:3" ht="15">
      <c r="A181" s="444"/>
      <c r="B181" s="444" t="str">
        <f>A75</f>
        <v>Fossil Fuel Industry</v>
      </c>
      <c r="C181" s="1549">
        <f>C75</f>
        <v>0.71988914948937111</v>
      </c>
    </row>
    <row r="182" spans="1:3" ht="15">
      <c r="A182" s="444"/>
      <c r="B182" s="444" t="str">
        <f>A88</f>
        <v>Industrial Processes</v>
      </c>
      <c r="C182" s="1549">
        <f>C88</f>
        <v>4.7848512024490812</v>
      </c>
    </row>
    <row r="183" spans="1:3" ht="15">
      <c r="A183" s="444"/>
      <c r="B183" s="444" t="str">
        <f>A125</f>
        <v>Agriculture</v>
      </c>
      <c r="C183" s="1549">
        <f>C125</f>
        <v>1.8921487791682468</v>
      </c>
    </row>
    <row r="184" spans="1:3" ht="15.75" thickBot="1">
      <c r="A184" s="445"/>
      <c r="B184" s="445" t="str">
        <f>A146</f>
        <v>Waste Management</v>
      </c>
      <c r="C184" s="2751">
        <f>C146</f>
        <v>2.2571179512006849</v>
      </c>
    </row>
  </sheetData>
  <sheetProtection password="CD58" sheet="1" objects="1" scenarios="1"/>
  <mergeCells count="5">
    <mergeCell ref="A172:B172"/>
    <mergeCell ref="A3:B3"/>
    <mergeCell ref="A4:B4"/>
    <mergeCell ref="A163:B163"/>
    <mergeCell ref="A165:B165"/>
  </mergeCells>
  <phoneticPr fontId="0" type="noConversion"/>
  <printOptions gridLines="1"/>
  <pageMargins left="1" right="0.26" top="0.17" bottom="0.2" header="0.5" footer="0.2"/>
  <pageSetup scale="98" orientation="portrait" r:id="rId1"/>
  <headerFooter alignWithMargins="0"/>
  <rowBreaks count="4" manualBreakCount="4">
    <brk id="41" max="16383" man="1"/>
    <brk id="74" max="16383" man="1"/>
    <brk id="124" max="2" man="1"/>
    <brk id="175" max="2" man="1"/>
  </rowBreaks>
  <drawing r:id="rId2"/>
</worksheet>
</file>

<file path=xl/worksheets/sheet10.xml><?xml version="1.0" encoding="utf-8"?>
<worksheet xmlns="http://schemas.openxmlformats.org/spreadsheetml/2006/main" xmlns:r="http://schemas.openxmlformats.org/officeDocument/2006/relationships">
  <sheetPr codeName="Sheet6"/>
  <dimension ref="A1:N70"/>
  <sheetViews>
    <sheetView workbookViewId="0">
      <selection activeCell="A23" sqref="A23"/>
    </sheetView>
  </sheetViews>
  <sheetFormatPr defaultRowHeight="11.25"/>
  <cols>
    <col min="2" max="2" width="23.1640625" customWidth="1"/>
    <col min="3" max="3" width="19.6640625" customWidth="1"/>
    <col min="4" max="4" width="23.1640625" customWidth="1"/>
    <col min="5" max="5" width="18.33203125" customWidth="1"/>
    <col min="6" max="6" width="18.5" customWidth="1"/>
    <col min="7" max="7" width="15.6640625" customWidth="1"/>
  </cols>
  <sheetData>
    <row r="1" spans="1:14" s="1" customFormat="1" ht="33">
      <c r="A1" s="550" t="s">
        <v>1326</v>
      </c>
      <c r="B1" s="210"/>
      <c r="F1" s="547"/>
    </row>
    <row r="2" spans="1:14" ht="66.75" customHeight="1"/>
    <row r="3" spans="1:14" ht="12" thickBot="1"/>
    <row r="4" spans="1:14" ht="21.75" thickTop="1">
      <c r="B4" s="69" t="s">
        <v>930</v>
      </c>
      <c r="C4" s="70"/>
      <c r="D4" s="71"/>
      <c r="E4" s="72">
        <v>2014</v>
      </c>
      <c r="F4" s="73"/>
      <c r="G4" s="74"/>
      <c r="H4" s="17"/>
      <c r="I4" s="17"/>
      <c r="J4" s="17"/>
      <c r="K4" s="17"/>
      <c r="L4" s="17"/>
      <c r="M4" s="17"/>
    </row>
    <row r="5" spans="1:14" ht="12" thickBot="1">
      <c r="B5" s="75"/>
      <c r="C5" s="16"/>
      <c r="D5" s="16"/>
      <c r="E5" s="16"/>
      <c r="F5" s="16"/>
      <c r="G5" s="76"/>
      <c r="H5" s="1"/>
      <c r="I5" s="1"/>
      <c r="J5" s="1"/>
      <c r="K5" s="1"/>
      <c r="L5" s="11"/>
      <c r="M5" s="42"/>
    </row>
    <row r="6" spans="1:14" ht="12.75">
      <c r="B6" s="2265"/>
      <c r="C6" s="2266" t="s">
        <v>104</v>
      </c>
      <c r="D6" s="2266" t="s">
        <v>105</v>
      </c>
      <c r="E6" s="2266" t="s">
        <v>149</v>
      </c>
      <c r="F6" s="2266" t="s">
        <v>106</v>
      </c>
      <c r="G6" s="2267" t="s">
        <v>106</v>
      </c>
      <c r="H6" s="11"/>
      <c r="I6" s="3"/>
      <c r="J6" s="16"/>
      <c r="K6" s="42"/>
      <c r="L6" s="16"/>
      <c r="M6" s="42"/>
      <c r="N6" s="3"/>
    </row>
    <row r="7" spans="1:14" ht="15" thickBot="1">
      <c r="B7" s="2268" t="s">
        <v>1110</v>
      </c>
      <c r="C7" s="2269" t="s">
        <v>108</v>
      </c>
      <c r="D7" s="2269" t="s">
        <v>150</v>
      </c>
      <c r="E7" s="2269" t="s">
        <v>151</v>
      </c>
      <c r="F7" s="2269" t="s">
        <v>152</v>
      </c>
      <c r="G7" s="2270" t="s">
        <v>1327</v>
      </c>
      <c r="H7" s="42"/>
      <c r="I7" s="3"/>
      <c r="J7" s="16"/>
      <c r="K7" s="42"/>
      <c r="L7" s="16"/>
      <c r="M7" s="42"/>
      <c r="N7" s="3"/>
    </row>
    <row r="8" spans="1:14" ht="12.75">
      <c r="B8" s="2199" t="s">
        <v>1102</v>
      </c>
      <c r="C8" s="2272">
        <v>198</v>
      </c>
      <c r="D8" s="2201">
        <v>56.792727272727269</v>
      </c>
      <c r="E8" s="2202">
        <v>1</v>
      </c>
      <c r="F8" s="2273">
        <f>C8*1000*D8*E8/2000</f>
        <v>5622.48</v>
      </c>
      <c r="G8" s="2274">
        <f t="shared" ref="G8:G14" si="0">F8*(44/12)*0.907441/1000000</f>
        <v>1.8707585870160002E-2</v>
      </c>
      <c r="H8" s="55"/>
      <c r="I8" s="3"/>
      <c r="J8" s="55"/>
      <c r="K8" s="56"/>
      <c r="L8" s="55"/>
      <c r="M8" s="56"/>
      <c r="N8" s="3"/>
    </row>
    <row r="9" spans="1:14" ht="12.75">
      <c r="B9" s="2205" t="s">
        <v>884</v>
      </c>
      <c r="C9" s="2206">
        <v>9215</v>
      </c>
      <c r="D9" s="2207">
        <v>44.43</v>
      </c>
      <c r="E9" s="2208">
        <v>1</v>
      </c>
      <c r="F9" s="2275">
        <f t="shared" ref="F9:F14" si="1">C9*1000*D9*E9/2000</f>
        <v>204711.22500000001</v>
      </c>
      <c r="G9" s="2276">
        <f t="shared" si="0"/>
        <v>0.68113231532582497</v>
      </c>
      <c r="H9" s="55"/>
      <c r="I9" s="3"/>
      <c r="J9" s="55"/>
      <c r="K9" s="56"/>
      <c r="L9" s="55"/>
      <c r="M9" s="56"/>
      <c r="N9" s="3"/>
    </row>
    <row r="10" spans="1:14" ht="12.75">
      <c r="B10" s="2205" t="s">
        <v>909</v>
      </c>
      <c r="C10" s="2206">
        <v>102</v>
      </c>
      <c r="D10" s="2207">
        <v>43.97</v>
      </c>
      <c r="E10" s="2208">
        <v>1</v>
      </c>
      <c r="F10" s="2275">
        <f t="shared" si="1"/>
        <v>2242.4699999999998</v>
      </c>
      <c r="G10" s="2276">
        <f t="shared" si="0"/>
        <v>7.4613338039900001E-3</v>
      </c>
      <c r="H10" s="55"/>
      <c r="I10" s="3"/>
      <c r="J10" s="55"/>
      <c r="K10" s="56"/>
      <c r="L10" s="55"/>
      <c r="M10" s="56"/>
      <c r="N10" s="3"/>
    </row>
    <row r="11" spans="1:14" ht="12.75">
      <c r="B11" s="2205" t="s">
        <v>886</v>
      </c>
      <c r="C11" s="2206">
        <v>2638</v>
      </c>
      <c r="D11" s="2207">
        <v>37.110283550140529</v>
      </c>
      <c r="E11" s="2208">
        <v>1</v>
      </c>
      <c r="F11" s="2275">
        <f t="shared" si="1"/>
        <v>48948.464002635359</v>
      </c>
      <c r="G11" s="2276">
        <f t="shared" si="0"/>
        <v>0.1628654247843899</v>
      </c>
      <c r="H11" s="55"/>
      <c r="I11" s="3"/>
      <c r="J11" s="55"/>
      <c r="K11" s="56"/>
      <c r="L11" s="55"/>
      <c r="M11" s="56"/>
      <c r="N11" s="3"/>
    </row>
    <row r="12" spans="1:14" ht="12.75">
      <c r="B12" s="2205" t="s">
        <v>887</v>
      </c>
      <c r="C12" s="2206">
        <v>171</v>
      </c>
      <c r="D12" s="2207">
        <v>42.900741155457617</v>
      </c>
      <c r="E12" s="2208">
        <v>1</v>
      </c>
      <c r="F12" s="2275">
        <f t="shared" si="1"/>
        <v>3668.0133687916264</v>
      </c>
      <c r="G12" s="2276">
        <f t="shared" si="0"/>
        <v>1.2204520971095355E-2</v>
      </c>
      <c r="H12" s="55"/>
      <c r="I12" s="3"/>
      <c r="J12" s="55"/>
      <c r="K12" s="56"/>
      <c r="L12" s="55"/>
      <c r="M12" s="56"/>
      <c r="N12" s="3"/>
    </row>
    <row r="13" spans="1:14" ht="12.75">
      <c r="B13" s="2205" t="s">
        <v>888</v>
      </c>
      <c r="C13" s="2206">
        <v>19</v>
      </c>
      <c r="D13" s="2207">
        <v>45.11</v>
      </c>
      <c r="E13" s="2208">
        <v>1</v>
      </c>
      <c r="F13" s="2275">
        <f t="shared" si="1"/>
        <v>428.54500000000002</v>
      </c>
      <c r="G13" s="2276">
        <f t="shared" si="0"/>
        <v>1.4258907789316668E-3</v>
      </c>
      <c r="H13" s="55"/>
      <c r="I13" s="3"/>
      <c r="J13" s="55"/>
      <c r="K13" s="56"/>
      <c r="L13" s="55"/>
      <c r="M13" s="56"/>
      <c r="N13" s="3"/>
    </row>
    <row r="14" spans="1:14" ht="13.5" thickBot="1">
      <c r="B14" s="2319" t="s">
        <v>1104</v>
      </c>
      <c r="C14" s="2212">
        <v>78599</v>
      </c>
      <c r="D14" s="2213">
        <v>31.87</v>
      </c>
      <c r="E14" s="2214">
        <v>1</v>
      </c>
      <c r="F14" s="2277">
        <f t="shared" si="1"/>
        <v>1252475.0649999999</v>
      </c>
      <c r="G14" s="2278">
        <f t="shared" si="0"/>
        <v>4.1673398266817721</v>
      </c>
      <c r="H14" s="55"/>
      <c r="I14" s="3"/>
      <c r="J14" s="55"/>
      <c r="K14" s="56"/>
      <c r="L14" s="55"/>
      <c r="M14" s="56"/>
      <c r="N14" s="3"/>
    </row>
    <row r="15" spans="1:14" ht="13.5" thickBot="1">
      <c r="B15" s="2279"/>
      <c r="C15" s="2280"/>
      <c r="D15" s="2280"/>
      <c r="E15" s="2280"/>
      <c r="F15" s="2281" t="s">
        <v>194</v>
      </c>
      <c r="G15" s="2282">
        <f>SUM(G8:G14)</f>
        <v>5.0511368982161642</v>
      </c>
      <c r="H15" s="3"/>
      <c r="I15" s="3"/>
      <c r="J15" s="3"/>
      <c r="K15" s="3"/>
      <c r="L15" s="3"/>
      <c r="M15" s="3"/>
      <c r="N15" s="3"/>
    </row>
    <row r="17" spans="2:13" ht="12" thickBot="1"/>
    <row r="18" spans="2:13" ht="21.75" thickTop="1">
      <c r="B18" s="69" t="s">
        <v>931</v>
      </c>
      <c r="C18" s="70"/>
      <c r="D18" s="70"/>
      <c r="E18" s="72">
        <v>2014</v>
      </c>
      <c r="F18" s="73"/>
      <c r="G18" s="74"/>
      <c r="H18" s="17"/>
      <c r="I18" s="17"/>
      <c r="J18" s="17"/>
      <c r="K18" s="17"/>
      <c r="L18" s="17"/>
      <c r="M18" s="17"/>
    </row>
    <row r="19" spans="2:13" ht="12" thickBot="1">
      <c r="B19" s="75"/>
      <c r="C19" s="16"/>
      <c r="D19" s="16"/>
      <c r="E19" s="16"/>
      <c r="F19" s="16"/>
      <c r="G19" s="76"/>
      <c r="H19" s="1"/>
      <c r="I19" s="1"/>
      <c r="J19" s="16"/>
      <c r="K19" s="16"/>
      <c r="L19" s="16"/>
      <c r="M19" s="42"/>
    </row>
    <row r="20" spans="2:13" ht="12.75">
      <c r="B20" s="2265"/>
      <c r="C20" s="2283" t="s">
        <v>104</v>
      </c>
      <c r="D20" s="2283" t="s">
        <v>105</v>
      </c>
      <c r="E20" s="2283" t="s">
        <v>110</v>
      </c>
      <c r="F20" s="2283" t="s">
        <v>107</v>
      </c>
      <c r="G20" s="2267" t="s">
        <v>106</v>
      </c>
      <c r="H20" s="17"/>
      <c r="J20" s="16"/>
      <c r="K20" s="42"/>
      <c r="L20" s="3"/>
      <c r="M20" s="42"/>
    </row>
    <row r="21" spans="2:13" ht="15" thickBot="1">
      <c r="B21" s="2268" t="s">
        <v>1110</v>
      </c>
      <c r="C21" s="2197" t="s">
        <v>108</v>
      </c>
      <c r="D21" s="2197" t="s">
        <v>1328</v>
      </c>
      <c r="E21" s="2197" t="s">
        <v>1329</v>
      </c>
      <c r="F21" s="2197"/>
      <c r="G21" s="2270" t="s">
        <v>929</v>
      </c>
      <c r="H21" s="77"/>
      <c r="J21" s="16"/>
      <c r="K21" s="42"/>
      <c r="L21" s="3"/>
      <c r="M21" s="42"/>
    </row>
    <row r="22" spans="2:13" ht="12.75">
      <c r="B22" s="2284" t="s">
        <v>1102</v>
      </c>
      <c r="C22" s="2285">
        <v>198</v>
      </c>
      <c r="D22" s="2286">
        <v>1.5034545899835E-3</v>
      </c>
      <c r="E22" s="2287">
        <f t="shared" ref="E22:E29" si="2">C22*D22</f>
        <v>0.29768400881673301</v>
      </c>
      <c r="F22" s="2288">
        <v>310</v>
      </c>
      <c r="G22" s="2274">
        <f t="shared" ref="G22:G29" si="3">E22*F22/1000000</f>
        <v>9.2282042733187237E-5</v>
      </c>
      <c r="H22" s="78"/>
      <c r="J22" s="55"/>
      <c r="K22" s="56"/>
      <c r="L22" s="55"/>
      <c r="M22" s="61"/>
    </row>
    <row r="23" spans="2:13" ht="12.75">
      <c r="B23" s="2225" t="s">
        <v>884</v>
      </c>
      <c r="C23" s="2206">
        <v>9215</v>
      </c>
      <c r="D23" s="2226">
        <v>6.0138183599339984E-4</v>
      </c>
      <c r="E23" s="2289">
        <f t="shared" si="2"/>
        <v>5.5417336186791797</v>
      </c>
      <c r="F23" s="2228">
        <v>310</v>
      </c>
      <c r="G23" s="2276">
        <f t="shared" si="3"/>
        <v>1.7179374217905455E-3</v>
      </c>
      <c r="H23" s="78"/>
      <c r="J23" s="55"/>
      <c r="K23" s="56"/>
      <c r="L23" s="55"/>
      <c r="M23" s="61"/>
    </row>
    <row r="24" spans="2:13" ht="12.75">
      <c r="B24" s="2225" t="s">
        <v>909</v>
      </c>
      <c r="C24" s="2206">
        <v>102</v>
      </c>
      <c r="D24" s="2226">
        <v>6.0138183599339984E-4</v>
      </c>
      <c r="E24" s="2289">
        <f t="shared" si="2"/>
        <v>6.134094727132678E-2</v>
      </c>
      <c r="F24" s="2228">
        <v>310</v>
      </c>
      <c r="G24" s="2276">
        <f t="shared" si="3"/>
        <v>1.9015693654111303E-5</v>
      </c>
      <c r="H24" s="78"/>
      <c r="J24" s="55"/>
      <c r="K24" s="56"/>
      <c r="L24" s="55"/>
      <c r="M24" s="61"/>
    </row>
    <row r="25" spans="2:13" ht="12.75">
      <c r="B25" s="2225" t="s">
        <v>886</v>
      </c>
      <c r="C25" s="2206">
        <v>2638</v>
      </c>
      <c r="D25" s="2226">
        <v>6.0138183599339984E-4</v>
      </c>
      <c r="E25" s="2289">
        <f t="shared" si="2"/>
        <v>1.5864452833505889</v>
      </c>
      <c r="F25" s="2228">
        <v>310</v>
      </c>
      <c r="G25" s="2276">
        <f t="shared" si="3"/>
        <v>4.917980378386826E-4</v>
      </c>
      <c r="H25" s="78"/>
      <c r="J25" s="55"/>
      <c r="K25" s="56"/>
      <c r="L25" s="55"/>
      <c r="M25" s="61"/>
    </row>
    <row r="26" spans="2:13" ht="12.75">
      <c r="B26" s="2225" t="s">
        <v>887</v>
      </c>
      <c r="C26" s="2206">
        <v>171</v>
      </c>
      <c r="D26" s="2226">
        <v>6.0138183599339984E-4</v>
      </c>
      <c r="E26" s="2289">
        <f t="shared" si="2"/>
        <v>0.10283629395487137</v>
      </c>
      <c r="F26" s="2228">
        <v>310</v>
      </c>
      <c r="G26" s="2276">
        <f t="shared" si="3"/>
        <v>3.1879251126010128E-5</v>
      </c>
      <c r="H26" s="78"/>
      <c r="J26" s="55"/>
      <c r="K26" s="56"/>
      <c r="L26" s="55"/>
      <c r="M26" s="61"/>
    </row>
    <row r="27" spans="2:13" ht="12.75">
      <c r="B27" s="2225" t="s">
        <v>888</v>
      </c>
      <c r="C27" s="2206">
        <v>19</v>
      </c>
      <c r="D27" s="2226">
        <v>6.0138183599339984E-4</v>
      </c>
      <c r="E27" s="2289">
        <f t="shared" si="2"/>
        <v>1.1426254883874597E-2</v>
      </c>
      <c r="F27" s="2228">
        <v>310</v>
      </c>
      <c r="G27" s="2276">
        <f t="shared" si="3"/>
        <v>3.5421390140011255E-6</v>
      </c>
      <c r="H27" s="78"/>
      <c r="J27" s="55"/>
      <c r="K27" s="56"/>
      <c r="L27" s="55"/>
      <c r="M27" s="61"/>
    </row>
    <row r="28" spans="2:13" ht="12.75">
      <c r="B28" s="2225" t="s">
        <v>1104</v>
      </c>
      <c r="C28" s="2206">
        <v>78599</v>
      </c>
      <c r="D28" s="2226">
        <v>9.4955026735800017E-5</v>
      </c>
      <c r="E28" s="2289">
        <f t="shared" si="2"/>
        <v>7.4633701464071454</v>
      </c>
      <c r="F28" s="2228">
        <v>310</v>
      </c>
      <c r="G28" s="2276">
        <f t="shared" si="3"/>
        <v>2.3136447453862151E-3</v>
      </c>
      <c r="H28" s="78"/>
      <c r="J28" s="55"/>
      <c r="K28" s="56"/>
      <c r="L28" s="55"/>
      <c r="M28" s="61"/>
    </row>
    <row r="29" spans="2:13" ht="13.5" thickBot="1">
      <c r="B29" s="2230" t="s">
        <v>186</v>
      </c>
      <c r="C29" s="2212">
        <v>2333</v>
      </c>
      <c r="D29" s="2231">
        <v>3.7982010694320003E-3</v>
      </c>
      <c r="E29" s="2290">
        <f t="shared" si="2"/>
        <v>8.861203094984857</v>
      </c>
      <c r="F29" s="2233">
        <v>310</v>
      </c>
      <c r="G29" s="2291">
        <f t="shared" si="3"/>
        <v>2.7469729594453056E-3</v>
      </c>
      <c r="H29" s="78"/>
      <c r="J29" s="62"/>
      <c r="K29" s="56"/>
      <c r="L29" s="55"/>
      <c r="M29" s="61"/>
    </row>
    <row r="30" spans="2:13" ht="13.5" thickBot="1">
      <c r="B30" s="2292"/>
      <c r="C30" s="2293"/>
      <c r="D30" s="2218"/>
      <c r="E30" s="2218"/>
      <c r="F30" s="2245" t="s">
        <v>194</v>
      </c>
      <c r="G30" s="2294">
        <f>SUM(G22:G29)</f>
        <v>7.4170722909880585E-3</v>
      </c>
      <c r="H30" s="1"/>
      <c r="J30" s="62"/>
      <c r="K30" s="63"/>
      <c r="L30" s="55"/>
      <c r="M30" s="64"/>
    </row>
    <row r="31" spans="2:13" ht="12" thickTop="1">
      <c r="J31" s="3"/>
      <c r="K31" s="3"/>
      <c r="L31" s="3"/>
      <c r="M31" s="3"/>
    </row>
    <row r="32" spans="2:13" ht="12" thickBot="1"/>
    <row r="33" spans="2:13" ht="21.75" thickTop="1">
      <c r="B33" s="69" t="s">
        <v>932</v>
      </c>
      <c r="C33" s="70"/>
      <c r="D33" s="70"/>
      <c r="E33" s="72">
        <v>2014</v>
      </c>
      <c r="F33" s="73"/>
      <c r="G33" s="74"/>
      <c r="H33" s="17"/>
      <c r="I33" s="17"/>
      <c r="J33" s="17"/>
      <c r="K33" s="17"/>
      <c r="L33" s="17"/>
      <c r="M33" s="17"/>
    </row>
    <row r="34" spans="2:13" ht="12" thickBot="1">
      <c r="B34" s="75"/>
      <c r="C34" s="16"/>
      <c r="D34" s="16"/>
      <c r="E34" s="16"/>
      <c r="F34" s="16"/>
      <c r="G34" s="76"/>
      <c r="H34" s="1"/>
      <c r="I34" s="1"/>
      <c r="J34" s="1"/>
      <c r="K34" s="1"/>
      <c r="L34" s="1"/>
      <c r="M34" s="42"/>
    </row>
    <row r="35" spans="2:13" ht="12.75">
      <c r="B35" s="2295"/>
      <c r="C35" s="2283" t="s">
        <v>104</v>
      </c>
      <c r="D35" s="2283" t="s">
        <v>105</v>
      </c>
      <c r="E35" s="2283" t="s">
        <v>106</v>
      </c>
      <c r="F35" s="2283" t="s">
        <v>107</v>
      </c>
      <c r="G35" s="2296" t="s">
        <v>106</v>
      </c>
      <c r="H35" s="11"/>
      <c r="I35" s="3"/>
      <c r="J35" s="16"/>
      <c r="K35" s="42"/>
      <c r="L35" s="3"/>
      <c r="M35" s="3"/>
    </row>
    <row r="36" spans="2:13" ht="15" thickBot="1">
      <c r="B36" s="2196" t="s">
        <v>1110</v>
      </c>
      <c r="C36" s="2197" t="s">
        <v>108</v>
      </c>
      <c r="D36" s="2197" t="s">
        <v>1334</v>
      </c>
      <c r="E36" s="2197" t="s">
        <v>1330</v>
      </c>
      <c r="F36" s="2197"/>
      <c r="G36" s="2198" t="s">
        <v>1327</v>
      </c>
      <c r="H36" s="42"/>
      <c r="I36" s="3"/>
      <c r="J36" s="16"/>
      <c r="K36" s="42"/>
      <c r="L36" s="3"/>
      <c r="M36" s="3"/>
    </row>
    <row r="37" spans="2:13" ht="12.75">
      <c r="B37" s="2199" t="s">
        <v>1102</v>
      </c>
      <c r="C37" s="2223">
        <v>198</v>
      </c>
      <c r="D37" s="2221">
        <v>1.0023030599889999E-2</v>
      </c>
      <c r="E37" s="2297">
        <f t="shared" ref="E37:E44" si="4">C37*D37</f>
        <v>1.9845600587782199</v>
      </c>
      <c r="F37" s="2223">
        <v>21</v>
      </c>
      <c r="G37" s="2298">
        <f t="shared" ref="G37:G44" si="5">E37*F37/1000000</f>
        <v>4.1675761234342614E-5</v>
      </c>
      <c r="H37" s="79"/>
      <c r="I37" s="3"/>
      <c r="J37" s="55"/>
      <c r="K37" s="56"/>
      <c r="L37" s="55"/>
      <c r="M37" s="61"/>
    </row>
    <row r="38" spans="2:13" ht="12.75">
      <c r="B38" s="2205" t="s">
        <v>884</v>
      </c>
      <c r="C38" s="2228">
        <v>9215</v>
      </c>
      <c r="D38" s="2226">
        <v>1.0023030599889999E-2</v>
      </c>
      <c r="E38" s="2299">
        <f t="shared" si="4"/>
        <v>92.362226977986339</v>
      </c>
      <c r="F38" s="2228">
        <v>21</v>
      </c>
      <c r="G38" s="2300">
        <f t="shared" si="5"/>
        <v>1.9396067665377133E-3</v>
      </c>
      <c r="H38" s="79"/>
      <c r="I38" s="3"/>
      <c r="J38" s="55"/>
      <c r="K38" s="56"/>
      <c r="L38" s="55"/>
      <c r="M38" s="61"/>
    </row>
    <row r="39" spans="2:13" ht="12.75">
      <c r="B39" s="2205" t="s">
        <v>909</v>
      </c>
      <c r="C39" s="2228">
        <v>102</v>
      </c>
      <c r="D39" s="2226">
        <v>1.0023030599889999E-2</v>
      </c>
      <c r="E39" s="2299">
        <f t="shared" si="4"/>
        <v>1.0223491211887799</v>
      </c>
      <c r="F39" s="2228">
        <v>21</v>
      </c>
      <c r="G39" s="2300">
        <f t="shared" si="5"/>
        <v>2.1469331544964375E-5</v>
      </c>
      <c r="H39" s="79"/>
      <c r="I39" s="3"/>
      <c r="J39" s="55"/>
      <c r="K39" s="56"/>
      <c r="L39" s="55"/>
      <c r="M39" s="61"/>
    </row>
    <row r="40" spans="2:13" ht="12.75">
      <c r="B40" s="2205" t="s">
        <v>886</v>
      </c>
      <c r="C40" s="2228">
        <v>2638</v>
      </c>
      <c r="D40" s="2226">
        <v>1.0023030599889999E-2</v>
      </c>
      <c r="E40" s="2299">
        <f t="shared" si="4"/>
        <v>26.440754722509819</v>
      </c>
      <c r="F40" s="2228">
        <v>21</v>
      </c>
      <c r="G40" s="2300">
        <f t="shared" si="5"/>
        <v>5.5525584917270627E-4</v>
      </c>
      <c r="H40" s="79"/>
      <c r="I40" s="3"/>
      <c r="J40" s="55"/>
      <c r="K40" s="56"/>
      <c r="L40" s="55"/>
      <c r="M40" s="61"/>
    </row>
    <row r="41" spans="2:13" ht="12.75">
      <c r="B41" s="2205" t="s">
        <v>887</v>
      </c>
      <c r="C41" s="2206">
        <v>171</v>
      </c>
      <c r="D41" s="2226">
        <v>1.0023030599889999E-2</v>
      </c>
      <c r="E41" s="2299">
        <f t="shared" si="4"/>
        <v>1.7139382325811898</v>
      </c>
      <c r="F41" s="2228">
        <v>21</v>
      </c>
      <c r="G41" s="2300">
        <f t="shared" si="5"/>
        <v>3.5992702884204985E-5</v>
      </c>
      <c r="H41" s="79"/>
      <c r="I41" s="3"/>
      <c r="J41" s="55"/>
      <c r="K41" s="56"/>
      <c r="L41" s="55"/>
      <c r="M41" s="61"/>
    </row>
    <row r="42" spans="2:13" ht="12.75">
      <c r="B42" s="2205" t="s">
        <v>888</v>
      </c>
      <c r="C42" s="2228">
        <v>19</v>
      </c>
      <c r="D42" s="2226">
        <v>1.0023030599889999E-2</v>
      </c>
      <c r="E42" s="2299">
        <f t="shared" si="4"/>
        <v>0.19043758139790998</v>
      </c>
      <c r="F42" s="2228">
        <v>21</v>
      </c>
      <c r="G42" s="2300">
        <f t="shared" si="5"/>
        <v>3.9991892093561095E-6</v>
      </c>
      <c r="H42" s="79"/>
      <c r="I42" s="3"/>
      <c r="J42" s="55"/>
      <c r="K42" s="56"/>
      <c r="L42" s="55"/>
      <c r="M42" s="61"/>
    </row>
    <row r="43" spans="2:13" ht="12.75">
      <c r="B43" s="2205" t="s">
        <v>1104</v>
      </c>
      <c r="C43" s="2228">
        <v>78599</v>
      </c>
      <c r="D43" s="2226">
        <v>4.7477513367900001E-3</v>
      </c>
      <c r="E43" s="2299">
        <f t="shared" si="4"/>
        <v>373.16850732035721</v>
      </c>
      <c r="F43" s="2228">
        <v>21</v>
      </c>
      <c r="G43" s="2300">
        <f t="shared" si="5"/>
        <v>7.8365386537275015E-3</v>
      </c>
      <c r="H43" s="79"/>
      <c r="I43" s="3"/>
      <c r="J43" s="55"/>
      <c r="K43" s="56"/>
      <c r="L43" s="55"/>
      <c r="M43" s="61"/>
    </row>
    <row r="44" spans="2:13" ht="13.5" thickBot="1">
      <c r="B44" s="2211" t="s">
        <v>186</v>
      </c>
      <c r="C44" s="2233">
        <v>2333</v>
      </c>
      <c r="D44" s="2231">
        <v>0.28486508020740003</v>
      </c>
      <c r="E44" s="2301">
        <f t="shared" si="4"/>
        <v>664.59023212386433</v>
      </c>
      <c r="F44" s="2233">
        <v>21</v>
      </c>
      <c r="G44" s="2302">
        <f t="shared" si="5"/>
        <v>1.3956394874601151E-2</v>
      </c>
      <c r="H44" s="79"/>
      <c r="I44" s="3"/>
      <c r="J44" s="62"/>
      <c r="K44" s="56"/>
      <c r="L44" s="55"/>
      <c r="M44" s="61"/>
    </row>
    <row r="45" spans="2:13" ht="13.5" thickBot="1">
      <c r="B45" s="2217"/>
      <c r="C45" s="2218"/>
      <c r="D45" s="2218"/>
      <c r="E45" s="2218"/>
      <c r="F45" s="2245" t="s">
        <v>194</v>
      </c>
      <c r="G45" s="2303">
        <f>SUM(G37:G44)</f>
        <v>2.439093312891194E-2</v>
      </c>
      <c r="H45" s="16"/>
      <c r="I45" s="3"/>
      <c r="J45" s="62"/>
      <c r="K45" s="63"/>
      <c r="L45" s="55"/>
      <c r="M45" s="64"/>
    </row>
    <row r="46" spans="2:13" ht="12" thickTop="1"/>
    <row r="47" spans="2:13" ht="12" thickBot="1"/>
    <row r="48" spans="2:13" ht="22.5" thickTop="1" thickBot="1">
      <c r="B48" s="749" t="s">
        <v>1250</v>
      </c>
      <c r="C48" s="750"/>
      <c r="D48" s="750"/>
      <c r="E48" s="751"/>
    </row>
    <row r="49" spans="2:7" ht="12" thickTop="1"/>
    <row r="50" spans="2:7" ht="12" thickBot="1"/>
    <row r="51" spans="2:7" ht="15" thickTop="1">
      <c r="B51" s="2306"/>
      <c r="C51" s="2307"/>
      <c r="D51" s="2304" t="s">
        <v>1331</v>
      </c>
      <c r="E51" s="2304" t="s">
        <v>1333</v>
      </c>
      <c r="F51" s="2304" t="s">
        <v>1332</v>
      </c>
      <c r="G51" s="2305" t="s">
        <v>933</v>
      </c>
    </row>
    <row r="52" spans="2:7" ht="12.75">
      <c r="B52" s="2271"/>
      <c r="C52" s="2247" t="s">
        <v>104</v>
      </c>
      <c r="D52" s="2247" t="s">
        <v>106</v>
      </c>
      <c r="E52" s="2247" t="s">
        <v>106</v>
      </c>
      <c r="F52" s="2247" t="s">
        <v>106</v>
      </c>
      <c r="G52" s="2308" t="s">
        <v>106</v>
      </c>
    </row>
    <row r="53" spans="2:7" ht="15" thickBot="1">
      <c r="B53" s="2268" t="s">
        <v>1110</v>
      </c>
      <c r="C53" s="2197" t="s">
        <v>108</v>
      </c>
      <c r="D53" s="2197" t="s">
        <v>1327</v>
      </c>
      <c r="E53" s="2197" t="s">
        <v>1327</v>
      </c>
      <c r="F53" s="2197" t="s">
        <v>1327</v>
      </c>
      <c r="G53" s="2270" t="s">
        <v>1327</v>
      </c>
    </row>
    <row r="54" spans="2:7" ht="12.75">
      <c r="B54" s="2220" t="s">
        <v>1102</v>
      </c>
      <c r="C54" s="2288">
        <v>198</v>
      </c>
      <c r="D54" s="2309">
        <f>G8</f>
        <v>1.8707585870160002E-2</v>
      </c>
      <c r="E54" s="2310">
        <f>G37</f>
        <v>4.1675761234342614E-5</v>
      </c>
      <c r="F54" s="2311">
        <f>G22</f>
        <v>9.2282042733187237E-5</v>
      </c>
      <c r="G54" s="2312">
        <f t="shared" ref="G54:G60" si="6">D54+E54+F54</f>
        <v>1.884154367412753E-2</v>
      </c>
    </row>
    <row r="55" spans="2:7" ht="12.75">
      <c r="B55" s="2225" t="s">
        <v>884</v>
      </c>
      <c r="C55" s="2228">
        <v>9215</v>
      </c>
      <c r="D55" s="2313">
        <f t="shared" ref="D55:D60" si="7">G9</f>
        <v>0.68113231532582497</v>
      </c>
      <c r="E55" s="2314">
        <f t="shared" ref="E55:E61" si="8">G38</f>
        <v>1.9396067665377133E-3</v>
      </c>
      <c r="F55" s="2315">
        <f t="shared" ref="F55:F61" si="9">G23</f>
        <v>1.7179374217905455E-3</v>
      </c>
      <c r="G55" s="2276">
        <f t="shared" si="6"/>
        <v>0.68478985951415317</v>
      </c>
    </row>
    <row r="56" spans="2:7" ht="12.75">
      <c r="B56" s="2225" t="s">
        <v>909</v>
      </c>
      <c r="C56" s="2228">
        <v>102</v>
      </c>
      <c r="D56" s="2313">
        <f t="shared" si="7"/>
        <v>7.4613338039900001E-3</v>
      </c>
      <c r="E56" s="2314">
        <f t="shared" si="8"/>
        <v>2.1469331544964375E-5</v>
      </c>
      <c r="F56" s="2315">
        <f t="shared" si="9"/>
        <v>1.9015693654111303E-5</v>
      </c>
      <c r="G56" s="2276">
        <f t="shared" si="6"/>
        <v>7.5018188291890763E-3</v>
      </c>
    </row>
    <row r="57" spans="2:7" ht="12.75">
      <c r="B57" s="2225" t="s">
        <v>886</v>
      </c>
      <c r="C57" s="2228">
        <v>2638</v>
      </c>
      <c r="D57" s="2313">
        <f t="shared" si="7"/>
        <v>0.1628654247843899</v>
      </c>
      <c r="E57" s="2314">
        <f t="shared" si="8"/>
        <v>5.5525584917270627E-4</v>
      </c>
      <c r="F57" s="2315">
        <f t="shared" si="9"/>
        <v>4.917980378386826E-4</v>
      </c>
      <c r="G57" s="2276">
        <f t="shared" si="6"/>
        <v>0.1639124786714013</v>
      </c>
    </row>
    <row r="58" spans="2:7" ht="12.75">
      <c r="B58" s="2225" t="s">
        <v>887</v>
      </c>
      <c r="C58" s="2206">
        <v>171</v>
      </c>
      <c r="D58" s="2313">
        <f t="shared" si="7"/>
        <v>1.2204520971095355E-2</v>
      </c>
      <c r="E58" s="2314">
        <f t="shared" si="8"/>
        <v>3.5992702884204985E-5</v>
      </c>
      <c r="F58" s="2315">
        <f t="shared" si="9"/>
        <v>3.1879251126010128E-5</v>
      </c>
      <c r="G58" s="2276">
        <f t="shared" si="6"/>
        <v>1.227239292510557E-2</v>
      </c>
    </row>
    <row r="59" spans="2:7" ht="12.75">
      <c r="B59" s="2225" t="s">
        <v>888</v>
      </c>
      <c r="C59" s="2228">
        <v>19</v>
      </c>
      <c r="D59" s="2313">
        <f t="shared" si="7"/>
        <v>1.4258907789316668E-3</v>
      </c>
      <c r="E59" s="2314">
        <f t="shared" si="8"/>
        <v>3.9991892093561095E-6</v>
      </c>
      <c r="F59" s="2315">
        <f t="shared" si="9"/>
        <v>3.5421390140011255E-6</v>
      </c>
      <c r="G59" s="2276">
        <f t="shared" si="6"/>
        <v>1.4334321071550239E-3</v>
      </c>
    </row>
    <row r="60" spans="2:7" ht="12.75">
      <c r="B60" s="2225" t="s">
        <v>1104</v>
      </c>
      <c r="C60" s="2228">
        <v>78599</v>
      </c>
      <c r="D60" s="2313">
        <f t="shared" si="7"/>
        <v>4.1673398266817721</v>
      </c>
      <c r="E60" s="2314">
        <f t="shared" si="8"/>
        <v>7.8365386537275015E-3</v>
      </c>
      <c r="F60" s="2315">
        <f t="shared" si="9"/>
        <v>2.3136447453862151E-3</v>
      </c>
      <c r="G60" s="2276">
        <f t="shared" si="6"/>
        <v>4.1774900100808852</v>
      </c>
    </row>
    <row r="61" spans="2:7" ht="13.5" thickBot="1">
      <c r="B61" s="2230" t="s">
        <v>186</v>
      </c>
      <c r="C61" s="2233">
        <v>2333</v>
      </c>
      <c r="D61" s="2259">
        <v>0</v>
      </c>
      <c r="E61" s="2316">
        <f t="shared" si="8"/>
        <v>1.3956394874601151E-2</v>
      </c>
      <c r="F61" s="2317">
        <f t="shared" si="9"/>
        <v>2.7469729594453056E-3</v>
      </c>
      <c r="G61" s="2291">
        <f>D61+E61+F61</f>
        <v>1.6703367834046457E-2</v>
      </c>
    </row>
    <row r="62" spans="2:7" ht="13.5" thickBot="1">
      <c r="B62" s="2292"/>
      <c r="C62" s="2218"/>
      <c r="D62" s="2218"/>
      <c r="E62" s="2218"/>
      <c r="F62" s="2245" t="s">
        <v>194</v>
      </c>
      <c r="G62" s="2294">
        <f>SUM(G54:G61)</f>
        <v>5.0829449036360632</v>
      </c>
    </row>
    <row r="63" spans="2:7" ht="12" thickTop="1"/>
    <row r="69" spans="2:8">
      <c r="B69" s="2760" t="s">
        <v>1730</v>
      </c>
    </row>
    <row r="70" spans="2:8">
      <c r="H70" s="3049" t="s">
        <v>1729</v>
      </c>
    </row>
  </sheetData>
  <sheetProtection password="CD58" sheet="1" objects="1" scenarios="1"/>
  <phoneticPr fontId="0" type="noConversion"/>
  <dataValidations count="2">
    <dataValidation allowBlank="1" showInputMessage="1" showErrorMessage="1" prompt="To avoid double-counting, default data for &quot;Motor Gasoline&quot; is adjusted by subtracting ethanol used in motor gasoline, which is not included in state inventories. If not using the default data, account for ethanol included in motor gasoline if possible." sqref="C12 C26 C41 C58"/>
    <dataValidation allowBlank="1" showErrorMessage="1" promptTitle="Commercial Sector" prompt="Enter fuel consumption data here.  It will then automatically be entered into the methane emissions calculations." sqref="C22:C25 C27:C29"/>
  </dataValidations>
  <hyperlinks>
    <hyperlink ref="H70" r:id="rId1"/>
  </hyperlinks>
  <pageMargins left="0.75" right="0.75" top="1" bottom="1" header="0.5" footer="0.5"/>
  <pageSetup orientation="portrait" r:id="rId2"/>
  <headerFooter alignWithMargins="0"/>
  <drawing r:id="rId3"/>
  <legacyDrawing r:id="rId4"/>
  <picture r:id="rId5"/>
</worksheet>
</file>

<file path=xl/worksheets/sheet11.xml><?xml version="1.0" encoding="utf-8"?>
<worksheet xmlns="http://schemas.openxmlformats.org/spreadsheetml/2006/main" xmlns:r="http://schemas.openxmlformats.org/officeDocument/2006/relationships">
  <sheetPr codeName="Sheet8"/>
  <dimension ref="A1:P128"/>
  <sheetViews>
    <sheetView zoomScale="90" zoomScaleNormal="90" workbookViewId="0">
      <selection activeCell="A12" sqref="A12"/>
    </sheetView>
  </sheetViews>
  <sheetFormatPr defaultRowHeight="11.25"/>
  <cols>
    <col min="2" max="2" width="22.5" customWidth="1"/>
    <col min="3" max="3" width="17.83203125" customWidth="1"/>
    <col min="4" max="4" width="19.33203125" customWidth="1"/>
    <col min="5" max="5" width="23.6640625" customWidth="1"/>
    <col min="6" max="6" width="17.83203125" customWidth="1"/>
    <col min="7" max="7" width="20.33203125" customWidth="1"/>
    <col min="8" max="8" width="15.1640625" customWidth="1"/>
    <col min="9" max="9" width="19.33203125" customWidth="1"/>
    <col min="10" max="10" width="17.1640625" customWidth="1"/>
  </cols>
  <sheetData>
    <row r="1" spans="1:16" s="87" customFormat="1" ht="36" customHeight="1">
      <c r="A1" s="211" t="s">
        <v>278</v>
      </c>
      <c r="B1" s="212"/>
      <c r="C1" s="86"/>
      <c r="D1" s="86"/>
      <c r="E1" s="86"/>
      <c r="F1" s="547"/>
      <c r="G1" s="86"/>
      <c r="H1" s="86"/>
      <c r="I1" s="86"/>
      <c r="J1" s="86"/>
      <c r="K1" s="86"/>
      <c r="L1" s="86"/>
      <c r="M1" s="86"/>
      <c r="N1" s="86"/>
      <c r="O1" s="86"/>
      <c r="P1" s="86"/>
    </row>
    <row r="2" spans="1:16" s="87" customFormat="1" ht="80.25" customHeight="1">
      <c r="A2" s="3075"/>
      <c r="B2" s="3075"/>
      <c r="C2" s="3075"/>
      <c r="D2" s="3075"/>
      <c r="E2" s="3075"/>
      <c r="F2" s="3075"/>
      <c r="G2" s="3075"/>
      <c r="H2" s="3075"/>
      <c r="I2" s="3075"/>
      <c r="J2" s="3075"/>
      <c r="K2" s="86"/>
      <c r="L2" s="86"/>
      <c r="M2" s="86"/>
      <c r="N2" s="86"/>
      <c r="O2" s="86"/>
      <c r="P2" s="86"/>
    </row>
    <row r="4" spans="1:16" ht="21.75" thickBot="1">
      <c r="B4" s="58" t="s">
        <v>941</v>
      </c>
      <c r="C4" s="80"/>
      <c r="D4" s="58">
        <v>2014</v>
      </c>
      <c r="E4" s="36"/>
      <c r="F4" s="36"/>
      <c r="G4" s="36"/>
      <c r="H4" s="36"/>
      <c r="I4" s="36"/>
      <c r="J4" s="36"/>
      <c r="K4" s="81"/>
      <c r="L4" s="81"/>
      <c r="M4" s="81"/>
      <c r="N4" s="81"/>
      <c r="O4" s="81"/>
      <c r="P4" s="6"/>
    </row>
    <row r="5" spans="1:16" ht="13.5" thickTop="1">
      <c r="B5" s="2353"/>
      <c r="C5" s="2350" t="s">
        <v>942</v>
      </c>
      <c r="D5" s="2350" t="s">
        <v>943</v>
      </c>
      <c r="E5" s="2354"/>
      <c r="F5" s="2350" t="s">
        <v>944</v>
      </c>
      <c r="G5" s="2354"/>
      <c r="H5" s="2354"/>
      <c r="I5" s="2354"/>
      <c r="J5" s="2355"/>
      <c r="K5" s="81"/>
      <c r="L5" s="81"/>
      <c r="M5" s="41"/>
      <c r="N5" s="41"/>
      <c r="O5" s="82"/>
      <c r="P5" s="3"/>
    </row>
    <row r="6" spans="1:16" ht="12.75">
      <c r="B6" s="2356"/>
      <c r="C6" s="2357" t="s">
        <v>104</v>
      </c>
      <c r="D6" s="2357" t="s">
        <v>104</v>
      </c>
      <c r="E6" s="2382"/>
      <c r="F6" s="2357" t="s">
        <v>104</v>
      </c>
      <c r="G6" s="2357" t="s">
        <v>105</v>
      </c>
      <c r="H6" s="2357" t="s">
        <v>149</v>
      </c>
      <c r="I6" s="2247" t="s">
        <v>106</v>
      </c>
      <c r="J6" s="2248" t="s">
        <v>106</v>
      </c>
      <c r="K6" s="41"/>
      <c r="L6" s="3"/>
      <c r="M6" s="41"/>
      <c r="N6" s="42"/>
      <c r="O6" s="82"/>
      <c r="P6" s="3"/>
    </row>
    <row r="7" spans="1:16" ht="15" thickBot="1">
      <c r="B7" s="2402" t="s">
        <v>1110</v>
      </c>
      <c r="C7" s="2403" t="s">
        <v>108</v>
      </c>
      <c r="D7" s="2403" t="s">
        <v>108</v>
      </c>
      <c r="E7" s="2403" t="s">
        <v>945</v>
      </c>
      <c r="F7" s="2403" t="s">
        <v>108</v>
      </c>
      <c r="G7" s="2403" t="s">
        <v>150</v>
      </c>
      <c r="H7" s="2403" t="s">
        <v>151</v>
      </c>
      <c r="I7" s="2403" t="s">
        <v>152</v>
      </c>
      <c r="J7" s="2404" t="s">
        <v>1335</v>
      </c>
      <c r="K7" s="83"/>
      <c r="L7" s="3"/>
      <c r="M7" s="41"/>
      <c r="N7" s="83"/>
      <c r="O7" s="82"/>
      <c r="P7" s="3"/>
    </row>
    <row r="8" spans="1:16" ht="13.5" thickTop="1">
      <c r="B8" s="2394" t="s">
        <v>910</v>
      </c>
      <c r="C8" s="2395">
        <v>0</v>
      </c>
      <c r="D8" s="2395">
        <v>0</v>
      </c>
      <c r="E8" s="2396">
        <v>0.1</v>
      </c>
      <c r="F8" s="2397">
        <f>C8-(D8*E8)</f>
        <v>0</v>
      </c>
      <c r="G8" s="2398">
        <v>56.195454545454538</v>
      </c>
      <c r="H8" s="2399">
        <v>1</v>
      </c>
      <c r="I8" s="2400">
        <f>(F8*1000*G8*H8)/2000</f>
        <v>0</v>
      </c>
      <c r="J8" s="2401">
        <f>I8*(44/12)*0.90718/1000000</f>
        <v>0</v>
      </c>
      <c r="K8" s="84"/>
      <c r="L8" s="3"/>
      <c r="M8" s="85"/>
      <c r="N8" s="56"/>
      <c r="O8" s="85"/>
      <c r="P8" s="3"/>
    </row>
    <row r="9" spans="1:16" ht="12.75">
      <c r="B9" s="2367" t="s">
        <v>911</v>
      </c>
      <c r="C9" s="2368">
        <v>15627</v>
      </c>
      <c r="D9" s="2361">
        <v>232</v>
      </c>
      <c r="E9" s="2383">
        <v>0</v>
      </c>
      <c r="F9" s="2384">
        <f>C9-(D9*E9)</f>
        <v>15627</v>
      </c>
      <c r="G9" s="2385">
        <v>56.852727272727272</v>
      </c>
      <c r="H9" s="2386">
        <v>1</v>
      </c>
      <c r="I9" s="2275">
        <f>(F9*1000*G9*H9)/2000</f>
        <v>444218.78454545455</v>
      </c>
      <c r="J9" s="2373">
        <f t="shared" ref="J9:J29" si="0">I9*(44/12)*0.907441/1000000</f>
        <v>1.47804190624461</v>
      </c>
      <c r="K9" s="84"/>
      <c r="L9" s="3"/>
      <c r="M9" s="85"/>
      <c r="N9" s="56"/>
      <c r="O9" s="85"/>
      <c r="P9" s="3"/>
    </row>
    <row r="10" spans="1:16" ht="12.75">
      <c r="B10" s="2367" t="s">
        <v>912</v>
      </c>
      <c r="C10" s="2368">
        <v>15346</v>
      </c>
      <c r="D10" s="2361">
        <v>17999</v>
      </c>
      <c r="E10" s="2383">
        <v>1</v>
      </c>
      <c r="F10" s="2384">
        <f>C10-(D10*E10)</f>
        <v>-2653</v>
      </c>
      <c r="G10" s="2385">
        <v>45.27</v>
      </c>
      <c r="H10" s="2386">
        <v>1</v>
      </c>
      <c r="I10" s="2275">
        <f>(F10*1000*G10*H10/2000)</f>
        <v>-60050.655000000006</v>
      </c>
      <c r="J10" s="2373">
        <f t="shared" si="0"/>
        <v>-0.19980556355413503</v>
      </c>
      <c r="K10" s="84"/>
      <c r="L10" s="3"/>
      <c r="M10" s="85"/>
      <c r="N10" s="56"/>
      <c r="O10" s="85"/>
      <c r="P10" s="3"/>
    </row>
    <row r="11" spans="1:16" ht="25.5">
      <c r="B11" s="2374" t="s">
        <v>913</v>
      </c>
      <c r="C11" s="2361">
        <v>0</v>
      </c>
      <c r="D11" s="2361">
        <v>0</v>
      </c>
      <c r="E11" s="2383">
        <v>0</v>
      </c>
      <c r="F11" s="2384">
        <f t="shared" ref="F11:F29" si="1">C11-(D11*E11)</f>
        <v>0</v>
      </c>
      <c r="G11" s="2385">
        <v>41.56</v>
      </c>
      <c r="H11" s="2386">
        <v>1</v>
      </c>
      <c r="I11" s="2275">
        <f>F11*G11*H11/2000</f>
        <v>0</v>
      </c>
      <c r="J11" s="2373">
        <f t="shared" si="0"/>
        <v>0</v>
      </c>
      <c r="K11" s="84"/>
      <c r="L11" s="3"/>
      <c r="M11" s="85"/>
      <c r="N11" s="56"/>
      <c r="O11" s="85"/>
      <c r="P11" s="3"/>
    </row>
    <row r="12" spans="1:16" ht="12.75">
      <c r="B12" s="2374" t="s">
        <v>914</v>
      </c>
      <c r="C12" s="2361">
        <v>0</v>
      </c>
      <c r="D12" s="2361">
        <v>0</v>
      </c>
      <c r="E12" s="2383">
        <v>0</v>
      </c>
      <c r="F12" s="2384">
        <f t="shared" si="1"/>
        <v>0</v>
      </c>
      <c r="G12" s="2387">
        <v>44.77366188659483</v>
      </c>
      <c r="H12" s="2386">
        <v>1</v>
      </c>
      <c r="I12" s="2275">
        <f>F12*G12*H12/2000</f>
        <v>0</v>
      </c>
      <c r="J12" s="2373">
        <f t="shared" si="0"/>
        <v>0</v>
      </c>
      <c r="K12" s="84"/>
      <c r="L12" s="3"/>
      <c r="M12" s="85"/>
      <c r="N12" s="56"/>
      <c r="O12" s="85"/>
      <c r="P12" s="3"/>
    </row>
    <row r="13" spans="1:16" ht="12.75">
      <c r="B13" s="2367" t="s">
        <v>884</v>
      </c>
      <c r="C13" s="2368">
        <v>6743</v>
      </c>
      <c r="D13" s="2361">
        <v>106</v>
      </c>
      <c r="E13" s="2383">
        <v>0.5</v>
      </c>
      <c r="F13" s="2384">
        <f t="shared" si="1"/>
        <v>6690</v>
      </c>
      <c r="G13" s="2385">
        <v>44.43</v>
      </c>
      <c r="H13" s="2386">
        <v>1</v>
      </c>
      <c r="I13" s="2275">
        <f t="shared" ref="I13:I19" si="2">(F13*1000*G13*H13)/2000</f>
        <v>148618.35</v>
      </c>
      <c r="J13" s="2373">
        <f t="shared" si="0"/>
        <v>0.49449540852195001</v>
      </c>
      <c r="K13" s="84"/>
      <c r="L13" s="3"/>
      <c r="M13" s="85"/>
      <c r="N13" s="56"/>
      <c r="O13" s="85"/>
      <c r="P13" s="3"/>
    </row>
    <row r="14" spans="1:16" ht="25.5">
      <c r="B14" s="2374" t="s">
        <v>915</v>
      </c>
      <c r="C14" s="2375">
        <v>0</v>
      </c>
      <c r="D14" s="2361"/>
      <c r="E14" s="2383">
        <v>0.61918625610433442</v>
      </c>
      <c r="F14" s="2384">
        <f t="shared" si="1"/>
        <v>0</v>
      </c>
      <c r="G14" s="2385">
        <v>40.86</v>
      </c>
      <c r="H14" s="2386">
        <v>1</v>
      </c>
      <c r="I14" s="2275">
        <f t="shared" si="2"/>
        <v>0</v>
      </c>
      <c r="J14" s="2373">
        <f t="shared" si="0"/>
        <v>0</v>
      </c>
      <c r="K14" s="84"/>
      <c r="L14" s="3"/>
      <c r="M14" s="85"/>
      <c r="N14" s="56"/>
      <c r="O14" s="85"/>
      <c r="P14" s="3"/>
    </row>
    <row r="15" spans="1:16" ht="25.5">
      <c r="B15" s="2374" t="s">
        <v>916</v>
      </c>
      <c r="C15" s="2375">
        <v>0</v>
      </c>
      <c r="D15" s="2361"/>
      <c r="E15" s="2383">
        <v>0.61918625610433442</v>
      </c>
      <c r="F15" s="2384">
        <f t="shared" si="1"/>
        <v>0</v>
      </c>
      <c r="G15" s="2385">
        <v>44.43</v>
      </c>
      <c r="H15" s="2386">
        <v>1</v>
      </c>
      <c r="I15" s="2275">
        <f t="shared" si="2"/>
        <v>0</v>
      </c>
      <c r="J15" s="2373">
        <f t="shared" si="0"/>
        <v>0</v>
      </c>
      <c r="K15" s="84"/>
      <c r="L15" s="3"/>
      <c r="M15" s="85"/>
      <c r="N15" s="56"/>
      <c r="O15" s="85"/>
      <c r="P15" s="3"/>
    </row>
    <row r="16" spans="1:16" ht="12.75">
      <c r="B16" s="2367" t="s">
        <v>909</v>
      </c>
      <c r="C16" s="2368">
        <v>15</v>
      </c>
      <c r="D16" s="2361">
        <v>0</v>
      </c>
      <c r="E16" s="2383">
        <v>0</v>
      </c>
      <c r="F16" s="2384">
        <f t="shared" si="1"/>
        <v>15</v>
      </c>
      <c r="G16" s="2385">
        <v>43.97</v>
      </c>
      <c r="H16" s="2386">
        <v>1</v>
      </c>
      <c r="I16" s="2275">
        <f t="shared" si="2"/>
        <v>329.77499999999998</v>
      </c>
      <c r="J16" s="2373">
        <f t="shared" si="0"/>
        <v>1.097254971175E-3</v>
      </c>
      <c r="K16" s="84"/>
      <c r="L16" s="3"/>
      <c r="M16" s="85"/>
      <c r="N16" s="56"/>
      <c r="O16" s="85"/>
      <c r="P16" s="3"/>
    </row>
    <row r="17" spans="2:16" ht="12.75">
      <c r="B17" s="2367" t="s">
        <v>886</v>
      </c>
      <c r="C17" s="2368">
        <v>1313</v>
      </c>
      <c r="D17" s="2361">
        <v>1413</v>
      </c>
      <c r="E17" s="2383">
        <v>0.61918625610433442</v>
      </c>
      <c r="F17" s="2384">
        <f t="shared" si="1"/>
        <v>438.08982012457545</v>
      </c>
      <c r="G17" s="2387">
        <v>37.273236373298225</v>
      </c>
      <c r="H17" s="2386">
        <v>1</v>
      </c>
      <c r="I17" s="2275">
        <f t="shared" si="2"/>
        <v>8164.5127091195018</v>
      </c>
      <c r="J17" s="2373">
        <f t="shared" si="0"/>
        <v>2.7165649783345736E-2</v>
      </c>
      <c r="K17" s="84"/>
      <c r="L17" s="3"/>
      <c r="M17" s="85"/>
      <c r="N17" s="56"/>
      <c r="O17" s="85"/>
      <c r="P17" s="3"/>
    </row>
    <row r="18" spans="2:16" ht="12.75">
      <c r="B18" s="2367" t="s">
        <v>889</v>
      </c>
      <c r="C18" s="2368">
        <v>1988</v>
      </c>
      <c r="D18" s="2361">
        <v>1781</v>
      </c>
      <c r="E18" s="2383">
        <v>9.2393732597307904E-2</v>
      </c>
      <c r="F18" s="2384">
        <f t="shared" si="1"/>
        <v>1823.4467622441946</v>
      </c>
      <c r="G18" s="2385">
        <v>43.97</v>
      </c>
      <c r="H18" s="2386">
        <v>1</v>
      </c>
      <c r="I18" s="2275">
        <f t="shared" si="2"/>
        <v>40088.47706793862</v>
      </c>
      <c r="J18" s="2373">
        <f t="shared" si="0"/>
        <v>0.13338573496969339</v>
      </c>
      <c r="K18" s="84"/>
      <c r="L18" s="3"/>
      <c r="M18" s="85"/>
      <c r="N18" s="56"/>
      <c r="O18" s="85"/>
      <c r="P18" s="3"/>
    </row>
    <row r="19" spans="2:16" ht="12.75">
      <c r="B19" s="2367" t="s">
        <v>887</v>
      </c>
      <c r="C19" s="2368">
        <v>4253</v>
      </c>
      <c r="D19" s="2361">
        <v>0</v>
      </c>
      <c r="E19" s="2383">
        <v>0</v>
      </c>
      <c r="F19" s="2384">
        <f t="shared" si="1"/>
        <v>4253</v>
      </c>
      <c r="G19" s="2387">
        <v>42.900741155457617</v>
      </c>
      <c r="H19" s="2386">
        <v>1</v>
      </c>
      <c r="I19" s="2275">
        <f t="shared" si="2"/>
        <v>91228.426067080611</v>
      </c>
      <c r="J19" s="2373">
        <f t="shared" si="0"/>
        <v>0.3035428519887049</v>
      </c>
      <c r="K19" s="84"/>
      <c r="L19" s="3"/>
      <c r="M19" s="85"/>
      <c r="N19" s="56"/>
      <c r="O19" s="85"/>
      <c r="P19" s="3"/>
    </row>
    <row r="20" spans="2:16" ht="25.5">
      <c r="B20" s="2374" t="s">
        <v>917</v>
      </c>
      <c r="C20" s="2361">
        <v>0</v>
      </c>
      <c r="D20" s="2361">
        <v>0</v>
      </c>
      <c r="E20" s="2383">
        <v>0</v>
      </c>
      <c r="F20" s="2384">
        <f t="shared" si="1"/>
        <v>0</v>
      </c>
      <c r="G20" s="2387">
        <v>42.900741155457617</v>
      </c>
      <c r="H20" s="2386">
        <v>1</v>
      </c>
      <c r="I20" s="2275">
        <f>F20*G20*H20/2000</f>
        <v>0</v>
      </c>
      <c r="J20" s="2373">
        <f t="shared" si="0"/>
        <v>0</v>
      </c>
      <c r="K20" s="84"/>
      <c r="L20" s="3"/>
      <c r="M20" s="85"/>
      <c r="N20" s="56"/>
      <c r="O20" s="85"/>
      <c r="P20" s="3"/>
    </row>
    <row r="21" spans="2:16" ht="12.75">
      <c r="B21" s="2367" t="s">
        <v>918</v>
      </c>
      <c r="C21" s="2368">
        <v>270</v>
      </c>
      <c r="D21" s="2361">
        <v>501</v>
      </c>
      <c r="E21" s="2383">
        <v>0</v>
      </c>
      <c r="F21" s="2384">
        <f>C21-(D21*E21)</f>
        <v>270</v>
      </c>
      <c r="G21" s="2387">
        <v>44.77366188659483</v>
      </c>
      <c r="H21" s="2386">
        <v>1</v>
      </c>
      <c r="I21" s="2275">
        <f>(F21*1000*G21*H21)/2000</f>
        <v>6044.4443546903021</v>
      </c>
      <c r="J21" s="2373">
        <f t="shared" si="0"/>
        <v>2.0111580975436583E-2</v>
      </c>
      <c r="K21" s="84"/>
      <c r="L21" s="3"/>
      <c r="M21" s="85"/>
      <c r="N21" s="56"/>
      <c r="O21" s="85"/>
      <c r="P21" s="3"/>
    </row>
    <row r="22" spans="2:16" ht="12.75">
      <c r="B22" s="2367" t="s">
        <v>919</v>
      </c>
      <c r="C22" s="2361">
        <v>0</v>
      </c>
      <c r="D22" s="2361">
        <v>0</v>
      </c>
      <c r="E22" s="2383">
        <v>0.3</v>
      </c>
      <c r="F22" s="2384">
        <f t="shared" si="1"/>
        <v>0</v>
      </c>
      <c r="G22" s="2385">
        <v>61.34</v>
      </c>
      <c r="H22" s="2386">
        <v>1</v>
      </c>
      <c r="I22" s="2275">
        <f>F22*G22*H22/2000</f>
        <v>0</v>
      </c>
      <c r="J22" s="2373">
        <f t="shared" si="0"/>
        <v>0</v>
      </c>
      <c r="K22" s="84"/>
      <c r="L22" s="3"/>
      <c r="M22" s="85"/>
      <c r="N22" s="56"/>
      <c r="O22" s="85"/>
      <c r="P22" s="3"/>
    </row>
    <row r="23" spans="2:16" ht="12.75">
      <c r="B23" s="2367" t="s">
        <v>920</v>
      </c>
      <c r="C23" s="2361"/>
      <c r="D23" s="2361"/>
      <c r="E23" s="2383">
        <v>0.61918625610433442</v>
      </c>
      <c r="F23" s="2384">
        <f t="shared" si="1"/>
        <v>0</v>
      </c>
      <c r="G23" s="2385">
        <v>42.06</v>
      </c>
      <c r="H23" s="2386">
        <v>1</v>
      </c>
      <c r="I23" s="2275">
        <f>(F23*1000*G23*H23)/2000</f>
        <v>0</v>
      </c>
      <c r="J23" s="2373">
        <f t="shared" si="0"/>
        <v>0</v>
      </c>
      <c r="K23" s="84"/>
      <c r="L23" s="3"/>
      <c r="M23" s="85"/>
      <c r="N23" s="56"/>
      <c r="O23" s="85"/>
      <c r="P23" s="3"/>
    </row>
    <row r="24" spans="2:16" ht="12.75">
      <c r="B24" s="2367" t="s">
        <v>888</v>
      </c>
      <c r="C24" s="2368">
        <v>241</v>
      </c>
      <c r="D24" s="2361">
        <v>0</v>
      </c>
      <c r="E24" s="2383">
        <v>0.5</v>
      </c>
      <c r="F24" s="2384">
        <f t="shared" si="1"/>
        <v>241</v>
      </c>
      <c r="G24" s="2385">
        <v>45.11</v>
      </c>
      <c r="H24" s="2386">
        <v>1</v>
      </c>
      <c r="I24" s="2275">
        <f>(F24*1000*G24*H24)/2000</f>
        <v>5435.7550000000001</v>
      </c>
      <c r="J24" s="2373">
        <f t="shared" si="0"/>
        <v>1.8086298827501665E-2</v>
      </c>
      <c r="K24" s="84"/>
      <c r="L24" s="3"/>
      <c r="M24" s="85"/>
      <c r="N24" s="56"/>
      <c r="O24" s="85"/>
      <c r="P24" s="3"/>
    </row>
    <row r="25" spans="2:16" ht="12.75">
      <c r="B25" s="2367" t="s">
        <v>921</v>
      </c>
      <c r="C25" s="2361">
        <v>0</v>
      </c>
      <c r="D25" s="2361">
        <v>0</v>
      </c>
      <c r="E25" s="2383">
        <v>0.8</v>
      </c>
      <c r="F25" s="2384">
        <f t="shared" si="1"/>
        <v>0</v>
      </c>
      <c r="G25" s="2385">
        <v>40.08</v>
      </c>
      <c r="H25" s="2386">
        <v>1</v>
      </c>
      <c r="I25" s="2275">
        <f>F25*G25*H25/2000</f>
        <v>0</v>
      </c>
      <c r="J25" s="2373">
        <f t="shared" si="0"/>
        <v>0</v>
      </c>
      <c r="K25" s="84"/>
      <c r="L25" s="3"/>
      <c r="M25" s="85"/>
      <c r="N25" s="56"/>
      <c r="O25" s="85"/>
      <c r="P25" s="3"/>
    </row>
    <row r="26" spans="2:16" ht="12.75">
      <c r="B26" s="2367" t="s">
        <v>922</v>
      </c>
      <c r="C26" s="2368">
        <v>2956</v>
      </c>
      <c r="D26" s="2361">
        <v>516</v>
      </c>
      <c r="E26" s="2383">
        <v>0</v>
      </c>
      <c r="F26" s="2384">
        <f t="shared" si="1"/>
        <v>2956</v>
      </c>
      <c r="G26" s="2385">
        <v>43.47</v>
      </c>
      <c r="H26" s="2386">
        <v>1</v>
      </c>
      <c r="I26" s="2275">
        <f>(F26*1000*G26*H26)/2000</f>
        <v>64248.66</v>
      </c>
      <c r="J26" s="2373">
        <f t="shared" si="0"/>
        <v>0.21377351702322001</v>
      </c>
      <c r="K26" s="84"/>
      <c r="L26" s="3"/>
      <c r="M26" s="85"/>
      <c r="N26" s="56"/>
      <c r="O26" s="85"/>
      <c r="P26" s="3"/>
    </row>
    <row r="27" spans="2:16" ht="12.75">
      <c r="B27" s="2367" t="s">
        <v>923</v>
      </c>
      <c r="C27" s="2361">
        <v>0</v>
      </c>
      <c r="D27" s="2361">
        <v>0</v>
      </c>
      <c r="E27" s="2383">
        <v>0</v>
      </c>
      <c r="F27" s="2384">
        <f t="shared" si="1"/>
        <v>0</v>
      </c>
      <c r="G27" s="2387">
        <v>44.77366188659483</v>
      </c>
      <c r="H27" s="2386">
        <v>1</v>
      </c>
      <c r="I27" s="2275">
        <f>F27*G27*H27/2000</f>
        <v>0</v>
      </c>
      <c r="J27" s="2373">
        <f t="shared" si="0"/>
        <v>0</v>
      </c>
      <c r="K27" s="84"/>
      <c r="L27" s="3"/>
      <c r="M27" s="85"/>
      <c r="N27" s="56"/>
      <c r="O27" s="85"/>
      <c r="P27" s="3"/>
    </row>
    <row r="28" spans="2:16" ht="12.75">
      <c r="B28" s="2367" t="s">
        <v>924</v>
      </c>
      <c r="C28" s="2368">
        <v>146</v>
      </c>
      <c r="D28" s="2361">
        <v>106</v>
      </c>
      <c r="E28" s="2383">
        <v>0.57999999999999996</v>
      </c>
      <c r="F28" s="2384">
        <f t="shared" si="1"/>
        <v>84.52000000000001</v>
      </c>
      <c r="G28" s="2385">
        <v>43.6</v>
      </c>
      <c r="H28" s="2386">
        <v>1</v>
      </c>
      <c r="I28" s="2275">
        <f>(F28*1000*G28*H28)/2000</f>
        <v>1842.5360000000005</v>
      </c>
      <c r="J28" s="2373">
        <f t="shared" si="0"/>
        <v>6.1306399380453361E-3</v>
      </c>
      <c r="K28" s="84"/>
      <c r="L28" s="3"/>
      <c r="M28" s="85"/>
      <c r="N28" s="56"/>
      <c r="O28" s="85"/>
      <c r="P28" s="3"/>
    </row>
    <row r="29" spans="2:16" ht="13.5" thickBot="1">
      <c r="B29" s="2367" t="s">
        <v>1104</v>
      </c>
      <c r="C29" s="2368">
        <v>15474</v>
      </c>
      <c r="D29" s="2361">
        <v>599</v>
      </c>
      <c r="E29" s="2383">
        <v>0.61918625610433442</v>
      </c>
      <c r="F29" s="2384">
        <f t="shared" si="1"/>
        <v>15103.107432593504</v>
      </c>
      <c r="G29" s="2385">
        <v>31.87</v>
      </c>
      <c r="H29" s="2386">
        <v>1</v>
      </c>
      <c r="I29" s="2277">
        <f>(F29*1000*G29*H29)/2000</f>
        <v>240668.01693837749</v>
      </c>
      <c r="J29" s="2388">
        <f t="shared" si="0"/>
        <v>0.80077076184812013</v>
      </c>
      <c r="K29" s="84"/>
      <c r="L29" s="3"/>
      <c r="M29" s="85"/>
      <c r="N29" s="56"/>
      <c r="O29" s="85"/>
      <c r="P29" s="3"/>
    </row>
    <row r="30" spans="2:16" ht="13.5" thickBot="1">
      <c r="B30" s="2376"/>
      <c r="C30" s="2377"/>
      <c r="D30" s="2377"/>
      <c r="E30" s="2377"/>
      <c r="F30" s="2377"/>
      <c r="G30" s="2377"/>
      <c r="I30" s="2405" t="s">
        <v>194</v>
      </c>
      <c r="J30" s="2389">
        <f>SUM(J8:J29)</f>
        <v>3.2967960415376676</v>
      </c>
      <c r="K30" s="86"/>
      <c r="L30" s="86"/>
      <c r="M30" s="86"/>
      <c r="N30" s="86"/>
      <c r="O30" s="87"/>
    </row>
    <row r="31" spans="2:16" ht="13.5" thickBot="1">
      <c r="B31" s="2390"/>
      <c r="C31" s="2391"/>
      <c r="D31" s="2391"/>
      <c r="E31" s="2391"/>
      <c r="F31" s="2391"/>
      <c r="G31" s="2391"/>
      <c r="H31" s="2391"/>
      <c r="I31" s="2392"/>
      <c r="J31" s="2393"/>
    </row>
    <row r="32" spans="2:16" ht="12" thickTop="1"/>
    <row r="34" spans="2:13" ht="21.75" thickBot="1">
      <c r="B34" s="53" t="s">
        <v>946</v>
      </c>
      <c r="C34" s="80"/>
      <c r="D34" s="58">
        <v>2014</v>
      </c>
      <c r="E34" s="36"/>
      <c r="F34" s="36"/>
      <c r="G34" s="36"/>
      <c r="H34" s="36"/>
      <c r="I34" s="36"/>
      <c r="J34" s="36"/>
      <c r="K34" s="36"/>
      <c r="L34" s="36"/>
      <c r="M34" s="36"/>
    </row>
    <row r="35" spans="2:13" ht="13.5" thickTop="1">
      <c r="B35" s="2338"/>
      <c r="C35" s="2321" t="s">
        <v>942</v>
      </c>
      <c r="D35" s="2321" t="s">
        <v>943</v>
      </c>
      <c r="E35" s="2322"/>
      <c r="F35" s="2322"/>
      <c r="G35" s="2322"/>
      <c r="H35" s="2323"/>
      <c r="I35" s="86"/>
      <c r="J35" s="86"/>
      <c r="K35" s="86"/>
      <c r="L35" s="86"/>
      <c r="M35" s="86"/>
    </row>
    <row r="36" spans="2:13" ht="12.75">
      <c r="B36" s="2339"/>
      <c r="C36" s="2324" t="s">
        <v>104</v>
      </c>
      <c r="D36" s="2324" t="s">
        <v>104</v>
      </c>
      <c r="E36" s="2325" t="s">
        <v>105</v>
      </c>
      <c r="F36" s="2325" t="s">
        <v>110</v>
      </c>
      <c r="G36" s="2324" t="s">
        <v>107</v>
      </c>
      <c r="H36" s="2326" t="s">
        <v>106</v>
      </c>
      <c r="I36" s="41"/>
      <c r="J36" s="42"/>
      <c r="K36" s="41"/>
      <c r="L36" s="42"/>
      <c r="M36" s="86"/>
    </row>
    <row r="37" spans="2:13" ht="14.25">
      <c r="B37" s="2340" t="s">
        <v>1110</v>
      </c>
      <c r="C37" s="2327" t="s">
        <v>108</v>
      </c>
      <c r="D37" s="2327" t="s">
        <v>108</v>
      </c>
      <c r="E37" s="2341" t="s">
        <v>1336</v>
      </c>
      <c r="F37" s="2341" t="s">
        <v>1337</v>
      </c>
      <c r="G37" s="2327"/>
      <c r="H37" s="2328" t="s">
        <v>1335</v>
      </c>
      <c r="I37" s="41"/>
      <c r="J37" s="83"/>
      <c r="K37" s="41"/>
      <c r="L37" s="42"/>
      <c r="M37" s="86"/>
    </row>
    <row r="38" spans="2:13" ht="12.75">
      <c r="B38" s="2329" t="s">
        <v>910</v>
      </c>
      <c r="C38" s="2330">
        <v>0</v>
      </c>
      <c r="D38" s="2330">
        <v>0</v>
      </c>
      <c r="E38" s="2342">
        <v>1.5034545899835E-3</v>
      </c>
      <c r="F38" s="2343">
        <f>(C38-D38)*E38</f>
        <v>0</v>
      </c>
      <c r="G38" s="2344">
        <v>310</v>
      </c>
      <c r="H38" s="2320">
        <f>F38*G38/1000000</f>
        <v>0</v>
      </c>
      <c r="I38" s="85"/>
      <c r="J38" s="56"/>
      <c r="K38" s="85"/>
      <c r="L38" s="56"/>
      <c r="M38" s="86"/>
    </row>
    <row r="39" spans="2:13" ht="12.75">
      <c r="B39" s="2331" t="s">
        <v>911</v>
      </c>
      <c r="C39" s="2332">
        <v>15627</v>
      </c>
      <c r="D39" s="2330">
        <v>232</v>
      </c>
      <c r="E39" s="2342">
        <v>1.5034545899835E-3</v>
      </c>
      <c r="F39" s="2343">
        <f>(C39-D39)*E39</f>
        <v>23.145683412795982</v>
      </c>
      <c r="G39" s="2344">
        <v>310</v>
      </c>
      <c r="H39" s="2320">
        <f>F39*G39/1000000</f>
        <v>7.1751618579667551E-3</v>
      </c>
      <c r="I39" s="85"/>
      <c r="J39" s="56"/>
      <c r="K39" s="85"/>
      <c r="L39" s="56"/>
      <c r="M39" s="86"/>
    </row>
    <row r="40" spans="2:13" ht="12.75">
      <c r="B40" s="2331" t="s">
        <v>912</v>
      </c>
      <c r="C40" s="2332">
        <v>15346</v>
      </c>
      <c r="D40" s="2330">
        <v>17999</v>
      </c>
      <c r="E40" s="2342">
        <v>6.0138183599339984E-4</v>
      </c>
      <c r="F40" s="2343">
        <f>(C40-D40)*E40</f>
        <v>-1.5954660108904897</v>
      </c>
      <c r="G40" s="2344">
        <v>310</v>
      </c>
      <c r="H40" s="2320">
        <f>F40*G40/1000000</f>
        <v>-4.9459446337605183E-4</v>
      </c>
      <c r="I40" s="85"/>
      <c r="J40" s="56"/>
      <c r="K40" s="85"/>
      <c r="L40" s="56"/>
      <c r="M40" s="86"/>
    </row>
    <row r="41" spans="2:13" ht="25.5">
      <c r="B41" s="2333" t="s">
        <v>913</v>
      </c>
      <c r="C41" s="2330">
        <v>0</v>
      </c>
      <c r="D41" s="2330">
        <v>0</v>
      </c>
      <c r="E41" s="2342">
        <v>6.0138183599339984E-4</v>
      </c>
      <c r="F41" s="2343">
        <f t="shared" ref="F41:F59" si="3">(C41-D41)*E41</f>
        <v>0</v>
      </c>
      <c r="G41" s="2344">
        <v>310</v>
      </c>
      <c r="H41" s="2320">
        <f t="shared" ref="H41:H60" si="4">F41*G41/1000000</f>
        <v>0</v>
      </c>
      <c r="I41" s="85"/>
      <c r="J41" s="56"/>
      <c r="K41" s="85"/>
      <c r="L41" s="56"/>
      <c r="M41" s="86"/>
    </row>
    <row r="42" spans="2:13" ht="12.75">
      <c r="B42" s="2333" t="s">
        <v>914</v>
      </c>
      <c r="C42" s="2330">
        <v>0</v>
      </c>
      <c r="D42" s="2330">
        <v>0</v>
      </c>
      <c r="E42" s="2342">
        <v>6.0138183599339984E-4</v>
      </c>
      <c r="F42" s="2343">
        <f t="shared" si="3"/>
        <v>0</v>
      </c>
      <c r="G42" s="2344">
        <v>310</v>
      </c>
      <c r="H42" s="2320">
        <f t="shared" si="4"/>
        <v>0</v>
      </c>
      <c r="I42" s="85"/>
      <c r="J42" s="56"/>
      <c r="K42" s="85"/>
      <c r="L42" s="56"/>
      <c r="M42" s="86"/>
    </row>
    <row r="43" spans="2:13" ht="12.75">
      <c r="B43" s="2331" t="s">
        <v>884</v>
      </c>
      <c r="C43" s="2332">
        <v>6743</v>
      </c>
      <c r="D43" s="2330">
        <v>106</v>
      </c>
      <c r="E43" s="2342">
        <v>6.0138183599339984E-4</v>
      </c>
      <c r="F43" s="2343">
        <f t="shared" si="3"/>
        <v>3.9913712454881947</v>
      </c>
      <c r="G43" s="2344">
        <v>310</v>
      </c>
      <c r="H43" s="2320">
        <f t="shared" si="4"/>
        <v>1.2373250861013403E-3</v>
      </c>
      <c r="I43" s="85"/>
      <c r="J43" s="56"/>
      <c r="K43" s="85"/>
      <c r="L43" s="56"/>
      <c r="M43" s="86"/>
    </row>
    <row r="44" spans="2:13" ht="25.5">
      <c r="B44" s="2333" t="s">
        <v>915</v>
      </c>
      <c r="C44" s="2334">
        <v>0</v>
      </c>
      <c r="D44" s="2330"/>
      <c r="E44" s="2342">
        <v>6.0138183599339984E-4</v>
      </c>
      <c r="F44" s="2343">
        <f t="shared" si="3"/>
        <v>0</v>
      </c>
      <c r="G44" s="2344">
        <v>310</v>
      </c>
      <c r="H44" s="2320">
        <f t="shared" si="4"/>
        <v>0</v>
      </c>
      <c r="I44" s="85"/>
      <c r="J44" s="56"/>
      <c r="K44" s="85"/>
      <c r="L44" s="56"/>
      <c r="M44" s="86"/>
    </row>
    <row r="45" spans="2:13" ht="25.5">
      <c r="B45" s="2333" t="s">
        <v>916</v>
      </c>
      <c r="C45" s="2334">
        <v>0</v>
      </c>
      <c r="D45" s="2330"/>
      <c r="E45" s="2342">
        <v>6.0138183599339984E-4</v>
      </c>
      <c r="F45" s="2343">
        <f t="shared" si="3"/>
        <v>0</v>
      </c>
      <c r="G45" s="2344">
        <v>310</v>
      </c>
      <c r="H45" s="2320">
        <f t="shared" si="4"/>
        <v>0</v>
      </c>
      <c r="I45" s="85"/>
      <c r="J45" s="56"/>
      <c r="K45" s="85"/>
      <c r="L45" s="56"/>
      <c r="M45" s="86"/>
    </row>
    <row r="46" spans="2:13" ht="12.75">
      <c r="B46" s="2331" t="s">
        <v>909</v>
      </c>
      <c r="C46" s="2332">
        <v>15</v>
      </c>
      <c r="D46" s="2330">
        <v>0</v>
      </c>
      <c r="E46" s="2342">
        <v>6.0138183599339984E-4</v>
      </c>
      <c r="F46" s="2343">
        <f t="shared" si="3"/>
        <v>9.0207275399009981E-3</v>
      </c>
      <c r="G46" s="2344">
        <v>310</v>
      </c>
      <c r="H46" s="2320">
        <f t="shared" si="4"/>
        <v>2.7964255373693091E-6</v>
      </c>
      <c r="I46" s="85"/>
      <c r="J46" s="56"/>
      <c r="K46" s="85"/>
      <c r="L46" s="56"/>
      <c r="M46" s="86"/>
    </row>
    <row r="47" spans="2:13" ht="12.75">
      <c r="B47" s="2331" t="s">
        <v>886</v>
      </c>
      <c r="C47" s="2332">
        <v>1313</v>
      </c>
      <c r="D47" s="2330">
        <v>1413</v>
      </c>
      <c r="E47" s="2342">
        <v>6.0138183599339984E-4</v>
      </c>
      <c r="F47" s="2343">
        <f t="shared" si="3"/>
        <v>-6.0138183599339985E-2</v>
      </c>
      <c r="G47" s="2344">
        <v>310</v>
      </c>
      <c r="H47" s="2320">
        <f t="shared" si="4"/>
        <v>-1.8642836915795396E-5</v>
      </c>
      <c r="I47" s="85"/>
      <c r="J47" s="56"/>
      <c r="K47" s="85"/>
      <c r="L47" s="56"/>
      <c r="M47" s="86"/>
    </row>
    <row r="48" spans="2:13" ht="12.75">
      <c r="B48" s="2331" t="s">
        <v>889</v>
      </c>
      <c r="C48" s="2332">
        <v>1988</v>
      </c>
      <c r="D48" s="2330">
        <v>1781</v>
      </c>
      <c r="E48" s="2342">
        <v>6.0138183599339984E-4</v>
      </c>
      <c r="F48" s="2343">
        <f t="shared" si="3"/>
        <v>0.12448604005063377</v>
      </c>
      <c r="G48" s="2344">
        <v>310</v>
      </c>
      <c r="H48" s="2320">
        <f t="shared" si="4"/>
        <v>3.8590672415696469E-5</v>
      </c>
      <c r="I48" s="85"/>
      <c r="J48" s="56"/>
      <c r="K48" s="85"/>
      <c r="L48" s="56"/>
      <c r="M48" s="86"/>
    </row>
    <row r="49" spans="2:13" ht="12.75">
      <c r="B49" s="2331" t="s">
        <v>887</v>
      </c>
      <c r="C49" s="2368">
        <v>4253</v>
      </c>
      <c r="D49" s="2330">
        <v>0</v>
      </c>
      <c r="E49" s="2342">
        <v>6.0138183599339984E-4</v>
      </c>
      <c r="F49" s="2343">
        <f t="shared" si="3"/>
        <v>2.5576769484799295</v>
      </c>
      <c r="G49" s="2344">
        <v>310</v>
      </c>
      <c r="H49" s="2320">
        <f t="shared" si="4"/>
        <v>7.9287985402877817E-4</v>
      </c>
      <c r="I49" s="85"/>
      <c r="J49" s="56"/>
      <c r="K49" s="85"/>
      <c r="L49" s="56"/>
      <c r="M49" s="86"/>
    </row>
    <row r="50" spans="2:13" ht="25.5">
      <c r="B50" s="2333" t="s">
        <v>917</v>
      </c>
      <c r="C50" s="2330">
        <v>0</v>
      </c>
      <c r="D50" s="2330">
        <v>0</v>
      </c>
      <c r="E50" s="2342">
        <v>6.0138183599339984E-4</v>
      </c>
      <c r="F50" s="2343">
        <f t="shared" si="3"/>
        <v>0</v>
      </c>
      <c r="G50" s="2344">
        <v>310</v>
      </c>
      <c r="H50" s="2320">
        <f t="shared" si="4"/>
        <v>0</v>
      </c>
      <c r="I50" s="85"/>
      <c r="J50" s="56"/>
      <c r="K50" s="85"/>
      <c r="L50" s="56"/>
      <c r="M50" s="86"/>
    </row>
    <row r="51" spans="2:13" ht="12.75">
      <c r="B51" s="2331" t="s">
        <v>918</v>
      </c>
      <c r="C51" s="2332">
        <v>270</v>
      </c>
      <c r="D51" s="2330">
        <v>0</v>
      </c>
      <c r="E51" s="2342">
        <v>6.0138183599339984E-4</v>
      </c>
      <c r="F51" s="2343">
        <f t="shared" si="3"/>
        <v>0.16237309571821795</v>
      </c>
      <c r="G51" s="2344">
        <v>310</v>
      </c>
      <c r="H51" s="2320">
        <f t="shared" si="4"/>
        <v>5.0335659672647567E-5</v>
      </c>
      <c r="I51" s="85"/>
      <c r="J51" s="56"/>
      <c r="K51" s="85"/>
      <c r="L51" s="56"/>
      <c r="M51" s="86"/>
    </row>
    <row r="52" spans="2:13" ht="12.75">
      <c r="B52" s="2331" t="s">
        <v>919</v>
      </c>
      <c r="C52" s="2330">
        <v>0</v>
      </c>
      <c r="D52" s="2330">
        <v>0</v>
      </c>
      <c r="E52" s="2342">
        <v>6.0138183599339984E-4</v>
      </c>
      <c r="F52" s="2343">
        <f t="shared" si="3"/>
        <v>0</v>
      </c>
      <c r="G52" s="2344">
        <v>310</v>
      </c>
      <c r="H52" s="2320">
        <f t="shared" si="4"/>
        <v>0</v>
      </c>
      <c r="I52" s="85"/>
      <c r="J52" s="56"/>
      <c r="K52" s="85"/>
      <c r="L52" s="56"/>
      <c r="M52" s="86"/>
    </row>
    <row r="53" spans="2:13" ht="12.75">
      <c r="B53" s="2331" t="s">
        <v>920</v>
      </c>
      <c r="C53" s="2330"/>
      <c r="D53" s="2330"/>
      <c r="E53" s="2342">
        <v>6.0138183599339984E-4</v>
      </c>
      <c r="F53" s="2343">
        <f t="shared" si="3"/>
        <v>0</v>
      </c>
      <c r="G53" s="2344">
        <v>310</v>
      </c>
      <c r="H53" s="2320">
        <f t="shared" si="4"/>
        <v>0</v>
      </c>
      <c r="I53" s="85"/>
      <c r="J53" s="56"/>
      <c r="K53" s="85"/>
      <c r="L53" s="56"/>
      <c r="M53" s="86"/>
    </row>
    <row r="54" spans="2:13" ht="12.75">
      <c r="B54" s="2331" t="s">
        <v>888</v>
      </c>
      <c r="C54" s="2332">
        <v>241</v>
      </c>
      <c r="D54" s="2330">
        <v>0</v>
      </c>
      <c r="E54" s="2342">
        <v>6.0138183599339984E-4</v>
      </c>
      <c r="F54" s="2343">
        <f t="shared" si="3"/>
        <v>0.14493302247440937</v>
      </c>
      <c r="G54" s="2344">
        <v>310</v>
      </c>
      <c r="H54" s="2320">
        <f t="shared" si="4"/>
        <v>4.4929236967066903E-5</v>
      </c>
      <c r="I54" s="85"/>
      <c r="J54" s="56"/>
      <c r="K54" s="85"/>
      <c r="L54" s="56"/>
      <c r="M54" s="86"/>
    </row>
    <row r="55" spans="2:13" ht="12.75">
      <c r="B55" s="2331" t="s">
        <v>921</v>
      </c>
      <c r="C55" s="2330">
        <v>0</v>
      </c>
      <c r="D55" s="2330">
        <v>0</v>
      </c>
      <c r="E55" s="2342">
        <v>6.0138183599339984E-4</v>
      </c>
      <c r="F55" s="2343">
        <f t="shared" si="3"/>
        <v>0</v>
      </c>
      <c r="G55" s="2344">
        <v>310</v>
      </c>
      <c r="H55" s="2320">
        <f t="shared" si="4"/>
        <v>0</v>
      </c>
      <c r="I55" s="85"/>
      <c r="J55" s="56"/>
      <c r="K55" s="85"/>
      <c r="L55" s="56"/>
      <c r="M55" s="86"/>
    </row>
    <row r="56" spans="2:13" ht="12.75">
      <c r="B56" s="2331" t="s">
        <v>922</v>
      </c>
      <c r="C56" s="2332">
        <v>2956</v>
      </c>
      <c r="D56" s="2330">
        <v>516</v>
      </c>
      <c r="E56" s="2342">
        <v>6.0138183599339984E-4</v>
      </c>
      <c r="F56" s="2343">
        <f t="shared" si="3"/>
        <v>1.4673716798238956</v>
      </c>
      <c r="G56" s="2344">
        <v>310</v>
      </c>
      <c r="H56" s="2320">
        <f t="shared" si="4"/>
        <v>4.5488522074540766E-4</v>
      </c>
      <c r="I56" s="85"/>
      <c r="J56" s="56"/>
      <c r="K56" s="85"/>
      <c r="L56" s="56"/>
      <c r="M56" s="86"/>
    </row>
    <row r="57" spans="2:13" ht="12.75">
      <c r="B57" s="2331" t="s">
        <v>923</v>
      </c>
      <c r="C57" s="2330">
        <v>0</v>
      </c>
      <c r="D57" s="2330">
        <v>0</v>
      </c>
      <c r="E57" s="2342">
        <v>6.0138183599339984E-4</v>
      </c>
      <c r="F57" s="2343">
        <f t="shared" si="3"/>
        <v>0</v>
      </c>
      <c r="G57" s="2344">
        <v>310</v>
      </c>
      <c r="H57" s="2320">
        <f t="shared" si="4"/>
        <v>0</v>
      </c>
      <c r="I57" s="85"/>
      <c r="J57" s="56"/>
      <c r="K57" s="85"/>
      <c r="L57" s="56"/>
      <c r="M57" s="86"/>
    </row>
    <row r="58" spans="2:13" ht="12.75">
      <c r="B58" s="2331" t="s">
        <v>924</v>
      </c>
      <c r="C58" s="2332">
        <v>146</v>
      </c>
      <c r="D58" s="2330">
        <v>106</v>
      </c>
      <c r="E58" s="2342">
        <v>6.0138183599339984E-4</v>
      </c>
      <c r="F58" s="2343">
        <f t="shared" si="3"/>
        <v>2.4055273439735993E-2</v>
      </c>
      <c r="G58" s="2344">
        <v>310</v>
      </c>
      <c r="H58" s="2320">
        <f t="shared" si="4"/>
        <v>7.4571347663181577E-6</v>
      </c>
      <c r="I58" s="85"/>
      <c r="J58" s="56"/>
      <c r="K58" s="85"/>
      <c r="L58" s="56"/>
      <c r="M58" s="86"/>
    </row>
    <row r="59" spans="2:13" ht="12.75">
      <c r="B59" s="2331" t="s">
        <v>1104</v>
      </c>
      <c r="C59" s="2332">
        <v>15474</v>
      </c>
      <c r="D59" s="2330">
        <v>599</v>
      </c>
      <c r="E59" s="2342">
        <v>9.4955026735800017E-5</v>
      </c>
      <c r="F59" s="2343">
        <f t="shared" si="3"/>
        <v>1.4124560226950253</v>
      </c>
      <c r="G59" s="2344">
        <v>310</v>
      </c>
      <c r="H59" s="2320">
        <f t="shared" si="4"/>
        <v>4.3786136703545785E-4</v>
      </c>
      <c r="I59" s="85"/>
      <c r="J59" s="56"/>
      <c r="K59" s="85"/>
      <c r="L59" s="56"/>
      <c r="M59" s="86"/>
    </row>
    <row r="60" spans="2:13" ht="12.75">
      <c r="B60" s="2345" t="s">
        <v>186</v>
      </c>
      <c r="C60" s="2330">
        <v>8205</v>
      </c>
      <c r="D60" s="2346" t="s">
        <v>947</v>
      </c>
      <c r="E60" s="2342">
        <v>3.7982010694320003E-3</v>
      </c>
      <c r="F60" s="2343">
        <f>C60*E60</f>
        <v>31.164239774689563</v>
      </c>
      <c r="G60" s="2344">
        <v>310</v>
      </c>
      <c r="H60" s="2320">
        <f t="shared" si="4"/>
        <v>9.6609143301537651E-3</v>
      </c>
      <c r="I60" s="88"/>
      <c r="J60" s="56"/>
      <c r="K60" s="88"/>
      <c r="L60" s="56"/>
      <c r="M60" s="86"/>
    </row>
    <row r="61" spans="2:13" ht="12.75">
      <c r="B61" s="2347"/>
      <c r="C61" s="2335"/>
      <c r="D61" s="2335"/>
      <c r="E61" s="2335"/>
      <c r="F61" s="2335"/>
      <c r="G61" s="2406" t="s">
        <v>194</v>
      </c>
      <c r="H61" s="2348">
        <f>SUM(H38:H60)</f>
        <v>1.9389899545098753E-2</v>
      </c>
      <c r="I61" s="62"/>
      <c r="J61" s="63"/>
      <c r="K61" s="62"/>
      <c r="L61" s="63"/>
      <c r="M61" s="86"/>
    </row>
    <row r="62" spans="2:13" ht="13.5" thickBot="1">
      <c r="B62" s="2336"/>
      <c r="C62" s="2337"/>
      <c r="D62" s="2337"/>
      <c r="E62" s="2337"/>
      <c r="F62" s="2337"/>
      <c r="G62" s="2337"/>
      <c r="H62" s="2349"/>
    </row>
    <row r="63" spans="2:13" ht="12" thickTop="1"/>
    <row r="65" spans="2:13" ht="21.75" thickBot="1">
      <c r="B65" s="58" t="s">
        <v>948</v>
      </c>
      <c r="C65" s="80"/>
      <c r="D65" s="58">
        <v>2014</v>
      </c>
      <c r="E65" s="36"/>
      <c r="F65" s="36"/>
      <c r="G65" s="36"/>
      <c r="H65" s="36"/>
      <c r="I65" s="36"/>
      <c r="J65" s="36"/>
      <c r="K65" s="36"/>
      <c r="L65" s="36"/>
      <c r="M65" s="36"/>
    </row>
    <row r="66" spans="2:13" ht="13.5" thickTop="1">
      <c r="B66" s="2353"/>
      <c r="C66" s="2350" t="s">
        <v>942</v>
      </c>
      <c r="D66" s="2350" t="s">
        <v>943</v>
      </c>
      <c r="E66" s="2354"/>
      <c r="F66" s="2354"/>
      <c r="G66" s="2354"/>
      <c r="H66" s="2355"/>
      <c r="I66" s="86"/>
      <c r="J66" s="86"/>
      <c r="K66" s="86"/>
      <c r="L66" s="86"/>
      <c r="M66" s="86"/>
    </row>
    <row r="67" spans="2:13" ht="12.75">
      <c r="B67" s="2356"/>
      <c r="C67" s="2357" t="s">
        <v>104</v>
      </c>
      <c r="D67" s="2357" t="s">
        <v>104</v>
      </c>
      <c r="E67" s="2247" t="s">
        <v>105</v>
      </c>
      <c r="F67" s="2247" t="s">
        <v>106</v>
      </c>
      <c r="G67" s="2357" t="s">
        <v>107</v>
      </c>
      <c r="H67" s="2248" t="s">
        <v>106</v>
      </c>
      <c r="I67" s="41"/>
      <c r="J67" s="42"/>
      <c r="K67" s="41"/>
      <c r="L67" s="42"/>
      <c r="M67" s="41"/>
    </row>
    <row r="68" spans="2:13" ht="15" thickBot="1">
      <c r="B68" s="2358" t="s">
        <v>1110</v>
      </c>
      <c r="C68" s="2359" t="s">
        <v>108</v>
      </c>
      <c r="D68" s="2359" t="s">
        <v>108</v>
      </c>
      <c r="E68" s="2197" t="s">
        <v>1341</v>
      </c>
      <c r="F68" s="2197" t="s">
        <v>1342</v>
      </c>
      <c r="G68" s="2359"/>
      <c r="H68" s="2198" t="s">
        <v>1343</v>
      </c>
      <c r="I68" s="41"/>
      <c r="J68" s="83"/>
      <c r="K68" s="41"/>
      <c r="L68" s="42"/>
      <c r="M68" s="41"/>
    </row>
    <row r="69" spans="2:13" ht="12.75">
      <c r="B69" s="2360" t="s">
        <v>910</v>
      </c>
      <c r="C69" s="2361">
        <v>0</v>
      </c>
      <c r="D69" s="2362">
        <v>0</v>
      </c>
      <c r="E69" s="2363">
        <v>1.0023030599889999E-2</v>
      </c>
      <c r="F69" s="2364">
        <f t="shared" ref="F69:F90" si="5">(C69-D69)*E69</f>
        <v>0</v>
      </c>
      <c r="G69" s="2365">
        <v>21</v>
      </c>
      <c r="H69" s="2366">
        <f>F69*G69/1000000</f>
        <v>0</v>
      </c>
      <c r="I69" s="85"/>
      <c r="J69" s="56"/>
      <c r="K69" s="85"/>
      <c r="L69" s="56"/>
      <c r="M69" s="41"/>
    </row>
    <row r="70" spans="2:13" ht="12.75">
      <c r="B70" s="2367" t="s">
        <v>911</v>
      </c>
      <c r="C70" s="2368">
        <v>15627</v>
      </c>
      <c r="D70" s="2369">
        <v>232</v>
      </c>
      <c r="E70" s="2370">
        <v>1.0023030599889999E-2</v>
      </c>
      <c r="F70" s="2371">
        <f t="shared" si="5"/>
        <v>154.30455608530653</v>
      </c>
      <c r="G70" s="2372">
        <v>21</v>
      </c>
      <c r="H70" s="2373">
        <f>F70*G70/1000000</f>
        <v>3.2403956777914372E-3</v>
      </c>
      <c r="I70" s="85"/>
      <c r="J70" s="56"/>
      <c r="K70" s="85"/>
      <c r="L70" s="56"/>
      <c r="M70" s="41"/>
    </row>
    <row r="71" spans="2:13" ht="12.75">
      <c r="B71" s="2367" t="s">
        <v>912</v>
      </c>
      <c r="C71" s="2368">
        <v>15346</v>
      </c>
      <c r="D71" s="2369">
        <v>17999</v>
      </c>
      <c r="E71" s="2370">
        <v>3.006909179967E-3</v>
      </c>
      <c r="F71" s="2371">
        <f t="shared" si="5"/>
        <v>-7.9773300544524508</v>
      </c>
      <c r="G71" s="2372">
        <v>21</v>
      </c>
      <c r="H71" s="2373">
        <f>F71*G71/1000000</f>
        <v>-1.6752393114350148E-4</v>
      </c>
      <c r="I71" s="85"/>
      <c r="J71" s="56"/>
      <c r="K71" s="85"/>
      <c r="L71" s="56"/>
      <c r="M71" s="41"/>
    </row>
    <row r="72" spans="2:13" ht="25.5">
      <c r="B72" s="2374" t="s">
        <v>913</v>
      </c>
      <c r="C72" s="2361">
        <v>0</v>
      </c>
      <c r="D72" s="2369">
        <v>0</v>
      </c>
      <c r="E72" s="2370">
        <v>3.006909179967E-3</v>
      </c>
      <c r="F72" s="2371">
        <f t="shared" si="5"/>
        <v>0</v>
      </c>
      <c r="G72" s="2372">
        <v>21</v>
      </c>
      <c r="H72" s="2373">
        <f t="shared" ref="H72:H91" si="6">F72*G72/1000000</f>
        <v>0</v>
      </c>
      <c r="I72" s="85"/>
      <c r="J72" s="56"/>
      <c r="K72" s="85"/>
      <c r="L72" s="56"/>
      <c r="M72" s="41"/>
    </row>
    <row r="73" spans="2:13" ht="12.75">
      <c r="B73" s="2374" t="s">
        <v>914</v>
      </c>
      <c r="C73" s="2361">
        <v>0</v>
      </c>
      <c r="D73" s="2369">
        <v>0</v>
      </c>
      <c r="E73" s="2370">
        <v>3.006909179967E-3</v>
      </c>
      <c r="F73" s="2371">
        <f t="shared" si="5"/>
        <v>0</v>
      </c>
      <c r="G73" s="2372">
        <v>21</v>
      </c>
      <c r="H73" s="2373">
        <f t="shared" si="6"/>
        <v>0</v>
      </c>
      <c r="I73" s="85"/>
      <c r="J73" s="56"/>
      <c r="K73" s="85"/>
      <c r="L73" s="56"/>
      <c r="M73" s="41"/>
    </row>
    <row r="74" spans="2:13" ht="12.75">
      <c r="B74" s="2367" t="s">
        <v>884</v>
      </c>
      <c r="C74" s="2368">
        <v>6743</v>
      </c>
      <c r="D74" s="2369">
        <v>106</v>
      </c>
      <c r="E74" s="2370">
        <v>3.006909179967E-3</v>
      </c>
      <c r="F74" s="2371">
        <f t="shared" si="5"/>
        <v>19.95685622744098</v>
      </c>
      <c r="G74" s="2372">
        <v>21</v>
      </c>
      <c r="H74" s="2373">
        <f t="shared" si="6"/>
        <v>4.190939807762606E-4</v>
      </c>
      <c r="I74" s="85"/>
      <c r="J74" s="56"/>
      <c r="K74" s="85"/>
      <c r="L74" s="56"/>
      <c r="M74" s="41"/>
    </row>
    <row r="75" spans="2:13" ht="25.5">
      <c r="B75" s="2374" t="s">
        <v>915</v>
      </c>
      <c r="C75" s="2375">
        <v>0</v>
      </c>
      <c r="D75" s="2369"/>
      <c r="E75" s="2370">
        <v>3.006909179967E-3</v>
      </c>
      <c r="F75" s="2371">
        <f t="shared" si="5"/>
        <v>0</v>
      </c>
      <c r="G75" s="2372">
        <v>21</v>
      </c>
      <c r="H75" s="2373">
        <f t="shared" si="6"/>
        <v>0</v>
      </c>
      <c r="I75" s="85"/>
      <c r="J75" s="56"/>
      <c r="K75" s="85"/>
      <c r="L75" s="56"/>
      <c r="M75" s="41"/>
    </row>
    <row r="76" spans="2:13" ht="25.5">
      <c r="B76" s="2374" t="s">
        <v>916</v>
      </c>
      <c r="C76" s="2375">
        <v>0</v>
      </c>
      <c r="D76" s="2369"/>
      <c r="E76" s="2370">
        <v>3.006909179967E-3</v>
      </c>
      <c r="F76" s="2371">
        <f t="shared" si="5"/>
        <v>0</v>
      </c>
      <c r="G76" s="2372">
        <v>21</v>
      </c>
      <c r="H76" s="2373">
        <f t="shared" si="6"/>
        <v>0</v>
      </c>
      <c r="I76" s="85"/>
      <c r="J76" s="56"/>
      <c r="K76" s="85"/>
      <c r="L76" s="56"/>
      <c r="M76" s="41"/>
    </row>
    <row r="77" spans="2:13" ht="12.75">
      <c r="B77" s="2367" t="s">
        <v>909</v>
      </c>
      <c r="C77" s="2368">
        <v>15</v>
      </c>
      <c r="D77" s="2369">
        <v>0</v>
      </c>
      <c r="E77" s="2370">
        <v>3.006909179967E-3</v>
      </c>
      <c r="F77" s="2371">
        <f t="shared" si="5"/>
        <v>4.5103637699504998E-2</v>
      </c>
      <c r="G77" s="2372">
        <v>21</v>
      </c>
      <c r="H77" s="2373">
        <f t="shared" si="6"/>
        <v>9.4717639168960502E-7</v>
      </c>
      <c r="I77" s="85"/>
      <c r="J77" s="56"/>
      <c r="K77" s="85"/>
      <c r="L77" s="56"/>
      <c r="M77" s="41"/>
    </row>
    <row r="78" spans="2:13" ht="12.75">
      <c r="B78" s="2367" t="s">
        <v>886</v>
      </c>
      <c r="C78" s="2368">
        <v>1313</v>
      </c>
      <c r="D78" s="2369">
        <v>1413</v>
      </c>
      <c r="E78" s="2370">
        <v>3.006909179967E-3</v>
      </c>
      <c r="F78" s="2371">
        <f t="shared" si="5"/>
        <v>-0.3006909179967</v>
      </c>
      <c r="G78" s="2372">
        <v>21</v>
      </c>
      <c r="H78" s="2373">
        <f t="shared" si="6"/>
        <v>-6.3145092779307003E-6</v>
      </c>
      <c r="I78" s="85"/>
      <c r="J78" s="56"/>
      <c r="K78" s="85"/>
      <c r="L78" s="56"/>
      <c r="M78" s="41"/>
    </row>
    <row r="79" spans="2:13" ht="12.75">
      <c r="B79" s="2367" t="s">
        <v>889</v>
      </c>
      <c r="C79" s="2368">
        <v>1988</v>
      </c>
      <c r="D79" s="2369">
        <v>1781</v>
      </c>
      <c r="E79" s="2370">
        <v>3.006909179967E-3</v>
      </c>
      <c r="F79" s="2371">
        <f t="shared" si="5"/>
        <v>0.62243020025316897</v>
      </c>
      <c r="G79" s="2372">
        <v>21</v>
      </c>
      <c r="H79" s="2373">
        <f t="shared" si="6"/>
        <v>1.3071034205316548E-5</v>
      </c>
      <c r="I79" s="85"/>
      <c r="J79" s="56"/>
      <c r="K79" s="85"/>
      <c r="L79" s="56"/>
      <c r="M79" s="41"/>
    </row>
    <row r="80" spans="2:13" ht="12.75">
      <c r="B80" s="2367" t="s">
        <v>887</v>
      </c>
      <c r="C80" s="2368">
        <v>4253</v>
      </c>
      <c r="D80" s="2369">
        <v>0</v>
      </c>
      <c r="E80" s="2370">
        <v>3.006909179967E-3</v>
      </c>
      <c r="F80" s="2371">
        <f t="shared" si="5"/>
        <v>12.78838474239965</v>
      </c>
      <c r="G80" s="2372">
        <v>21</v>
      </c>
      <c r="H80" s="2373">
        <f t="shared" si="6"/>
        <v>2.6855607959039263E-4</v>
      </c>
      <c r="I80" s="85"/>
      <c r="J80" s="56"/>
      <c r="K80" s="85"/>
      <c r="L80" s="56"/>
      <c r="M80" s="41"/>
    </row>
    <row r="81" spans="2:13" ht="25.5">
      <c r="B81" s="2374" t="s">
        <v>917</v>
      </c>
      <c r="C81" s="2361">
        <v>0</v>
      </c>
      <c r="D81" s="2369">
        <v>0</v>
      </c>
      <c r="E81" s="2370">
        <v>3.006909179967E-3</v>
      </c>
      <c r="F81" s="2371">
        <f t="shared" si="5"/>
        <v>0</v>
      </c>
      <c r="G81" s="2372">
        <v>21</v>
      </c>
      <c r="H81" s="2373">
        <f t="shared" si="6"/>
        <v>0</v>
      </c>
      <c r="I81" s="85"/>
      <c r="J81" s="56"/>
      <c r="K81" s="85"/>
      <c r="L81" s="56"/>
      <c r="M81" s="41"/>
    </row>
    <row r="82" spans="2:13" ht="12.75">
      <c r="B82" s="2367" t="s">
        <v>918</v>
      </c>
      <c r="C82" s="2368">
        <v>270</v>
      </c>
      <c r="D82" s="2369">
        <v>0</v>
      </c>
      <c r="E82" s="2370">
        <v>3.006909179967E-3</v>
      </c>
      <c r="F82" s="2371">
        <f t="shared" si="5"/>
        <v>0.81186547859109004</v>
      </c>
      <c r="G82" s="2372">
        <v>21</v>
      </c>
      <c r="H82" s="2373">
        <f t="shared" si="6"/>
        <v>1.7049175050412891E-5</v>
      </c>
      <c r="I82" s="85"/>
      <c r="J82" s="56"/>
      <c r="K82" s="85"/>
      <c r="L82" s="56"/>
      <c r="M82" s="41"/>
    </row>
    <row r="83" spans="2:13" ht="12.75">
      <c r="B83" s="2367" t="s">
        <v>919</v>
      </c>
      <c r="C83" s="2361">
        <v>0</v>
      </c>
      <c r="D83" s="2369">
        <v>0</v>
      </c>
      <c r="E83" s="2370">
        <v>3.006909179967E-3</v>
      </c>
      <c r="F83" s="2371">
        <f t="shared" si="5"/>
        <v>0</v>
      </c>
      <c r="G83" s="2372">
        <v>21</v>
      </c>
      <c r="H83" s="2373">
        <f t="shared" si="6"/>
        <v>0</v>
      </c>
      <c r="I83" s="85"/>
      <c r="J83" s="56"/>
      <c r="K83" s="85"/>
      <c r="L83" s="56"/>
      <c r="M83" s="41"/>
    </row>
    <row r="84" spans="2:13" ht="12.75">
      <c r="B84" s="2367" t="s">
        <v>920</v>
      </c>
      <c r="C84" s="2361"/>
      <c r="D84" s="2369"/>
      <c r="E84" s="2370">
        <v>3.006909179967E-3</v>
      </c>
      <c r="F84" s="2371">
        <f t="shared" si="5"/>
        <v>0</v>
      </c>
      <c r="G84" s="2372">
        <v>21</v>
      </c>
      <c r="H84" s="2373">
        <f t="shared" si="6"/>
        <v>0</v>
      </c>
      <c r="I84" s="85"/>
      <c r="J84" s="56"/>
      <c r="K84" s="85"/>
      <c r="L84" s="56"/>
      <c r="M84" s="41"/>
    </row>
    <row r="85" spans="2:13" ht="12.75">
      <c r="B85" s="2367" t="s">
        <v>888</v>
      </c>
      <c r="C85" s="2368">
        <v>241</v>
      </c>
      <c r="D85" s="2369">
        <v>0</v>
      </c>
      <c r="E85" s="2370">
        <v>3.006909179967E-3</v>
      </c>
      <c r="F85" s="2371">
        <f t="shared" si="5"/>
        <v>0.724665112372047</v>
      </c>
      <c r="G85" s="2372">
        <v>21</v>
      </c>
      <c r="H85" s="2373">
        <f t="shared" si="6"/>
        <v>1.5217967359812986E-5</v>
      </c>
      <c r="I85" s="85"/>
      <c r="J85" s="56"/>
      <c r="K85" s="85"/>
      <c r="L85" s="56"/>
      <c r="M85" s="41"/>
    </row>
    <row r="86" spans="2:13" ht="12.75">
      <c r="B86" s="2367" t="s">
        <v>921</v>
      </c>
      <c r="C86" s="2361">
        <v>0</v>
      </c>
      <c r="D86" s="2369">
        <v>0</v>
      </c>
      <c r="E86" s="2370">
        <v>3.006909179967E-3</v>
      </c>
      <c r="F86" s="2371">
        <f t="shared" si="5"/>
        <v>0</v>
      </c>
      <c r="G86" s="2372">
        <v>21</v>
      </c>
      <c r="H86" s="2373">
        <f t="shared" si="6"/>
        <v>0</v>
      </c>
      <c r="I86" s="85"/>
      <c r="J86" s="56"/>
      <c r="K86" s="85"/>
      <c r="L86" s="56"/>
      <c r="M86" s="41"/>
    </row>
    <row r="87" spans="2:13" ht="12.75">
      <c r="B87" s="2367" t="s">
        <v>922</v>
      </c>
      <c r="C87" s="2368">
        <v>2956</v>
      </c>
      <c r="D87" s="2369">
        <v>516</v>
      </c>
      <c r="E87" s="2370">
        <v>3.006909179967E-3</v>
      </c>
      <c r="F87" s="2371">
        <f t="shared" si="5"/>
        <v>7.33685839911948</v>
      </c>
      <c r="G87" s="2372">
        <v>21</v>
      </c>
      <c r="H87" s="2373">
        <f t="shared" si="6"/>
        <v>1.5407402638150907E-4</v>
      </c>
      <c r="I87" s="85"/>
      <c r="J87" s="56"/>
      <c r="K87" s="85"/>
      <c r="L87" s="56"/>
      <c r="M87" s="41"/>
    </row>
    <row r="88" spans="2:13" ht="12.75">
      <c r="B88" s="2367" t="s">
        <v>923</v>
      </c>
      <c r="C88" s="2361"/>
      <c r="D88" s="2369">
        <v>0</v>
      </c>
      <c r="E88" s="2370">
        <v>3.006909179967E-3</v>
      </c>
      <c r="F88" s="2371">
        <f t="shared" si="5"/>
        <v>0</v>
      </c>
      <c r="G88" s="2372">
        <v>21</v>
      </c>
      <c r="H88" s="2373">
        <f t="shared" si="6"/>
        <v>0</v>
      </c>
      <c r="I88" s="85"/>
      <c r="J88" s="56"/>
      <c r="K88" s="85"/>
      <c r="L88" s="56"/>
      <c r="M88" s="41"/>
    </row>
    <row r="89" spans="2:13" ht="12.75">
      <c r="B89" s="2367" t="s">
        <v>924</v>
      </c>
      <c r="C89" s="2368">
        <v>146</v>
      </c>
      <c r="D89" s="2369">
        <v>106</v>
      </c>
      <c r="E89" s="2370">
        <v>3.006909179967E-3</v>
      </c>
      <c r="F89" s="2371">
        <f t="shared" si="5"/>
        <v>0.12027636719868</v>
      </c>
      <c r="G89" s="2372">
        <v>21</v>
      </c>
      <c r="H89" s="2373">
        <f t="shared" si="6"/>
        <v>2.5258037111722798E-6</v>
      </c>
      <c r="I89" s="85"/>
      <c r="J89" s="56"/>
      <c r="K89" s="85"/>
      <c r="L89" s="56"/>
      <c r="M89" s="41"/>
    </row>
    <row r="90" spans="2:13" ht="12.75">
      <c r="B90" s="2367" t="s">
        <v>1104</v>
      </c>
      <c r="C90" s="2368">
        <v>15474</v>
      </c>
      <c r="D90" s="2369">
        <v>599</v>
      </c>
      <c r="E90" s="2370">
        <v>9.4955026735800007E-4</v>
      </c>
      <c r="F90" s="2371">
        <f t="shared" si="5"/>
        <v>14.124560226950251</v>
      </c>
      <c r="G90" s="2372">
        <v>21</v>
      </c>
      <c r="H90" s="2373">
        <f t="shared" si="6"/>
        <v>2.9661576476595528E-4</v>
      </c>
      <c r="I90" s="85"/>
      <c r="J90" s="56"/>
      <c r="K90" s="85"/>
      <c r="L90" s="56"/>
      <c r="M90" s="41"/>
    </row>
    <row r="91" spans="2:13" ht="12.75">
      <c r="B91" s="2205" t="s">
        <v>186</v>
      </c>
      <c r="C91" s="2361">
        <v>8205</v>
      </c>
      <c r="D91" s="2369" t="s">
        <v>947</v>
      </c>
      <c r="E91" s="2370">
        <v>2.8486508020740004E-2</v>
      </c>
      <c r="F91" s="2371">
        <f>C91*E91</f>
        <v>233.73179831017174</v>
      </c>
      <c r="G91" s="2372">
        <v>21</v>
      </c>
      <c r="H91" s="2373">
        <f t="shared" si="6"/>
        <v>4.9083677645136064E-3</v>
      </c>
      <c r="I91" s="88"/>
      <c r="J91" s="56"/>
      <c r="K91" s="88"/>
      <c r="L91" s="56"/>
      <c r="M91" s="41"/>
    </row>
    <row r="92" spans="2:13" ht="12.75">
      <c r="B92" s="2376"/>
      <c r="C92" s="2377"/>
      <c r="D92" s="2377"/>
      <c r="E92" s="2377"/>
      <c r="F92" s="2377"/>
      <c r="G92" s="2407" t="s">
        <v>194</v>
      </c>
      <c r="H92" s="2378">
        <f>SUM(H69:H91)</f>
        <v>9.1620760101161318E-3</v>
      </c>
      <c r="I92" s="62"/>
      <c r="J92" s="63"/>
      <c r="K92" s="62"/>
      <c r="L92" s="63"/>
      <c r="M92" s="41"/>
    </row>
    <row r="93" spans="2:13" ht="13.5" thickBot="1">
      <c r="B93" s="2379"/>
      <c r="C93" s="2380"/>
      <c r="D93" s="2380"/>
      <c r="E93" s="2380"/>
      <c r="F93" s="2380"/>
      <c r="G93" s="2380"/>
      <c r="H93" s="2381"/>
      <c r="I93" s="86"/>
      <c r="J93" s="86"/>
      <c r="K93" s="86"/>
      <c r="L93" s="86"/>
      <c r="M93" s="86"/>
    </row>
    <row r="94" spans="2:13" ht="12" thickTop="1"/>
    <row r="96" spans="2:13" ht="21.75" thickBot="1">
      <c r="B96" s="66" t="s">
        <v>949</v>
      </c>
      <c r="C96" s="89"/>
      <c r="D96" s="66">
        <v>2014</v>
      </c>
      <c r="E96" s="36"/>
      <c r="F96" s="36"/>
      <c r="G96" s="36"/>
      <c r="H96" s="36"/>
    </row>
    <row r="97" spans="2:8" ht="15" thickTop="1">
      <c r="B97" s="2353"/>
      <c r="C97" s="2350" t="s">
        <v>942</v>
      </c>
      <c r="D97" s="2350" t="s">
        <v>943</v>
      </c>
      <c r="E97" s="2350" t="s">
        <v>1338</v>
      </c>
      <c r="F97" s="2350" t="s">
        <v>1339</v>
      </c>
      <c r="G97" s="2350" t="s">
        <v>1340</v>
      </c>
      <c r="H97" s="2351" t="s">
        <v>933</v>
      </c>
    </row>
    <row r="98" spans="2:8" ht="12.75">
      <c r="B98" s="2356"/>
      <c r="C98" s="2357" t="s">
        <v>104</v>
      </c>
      <c r="D98" s="2357" t="s">
        <v>104</v>
      </c>
      <c r="E98" s="2247" t="s">
        <v>106</v>
      </c>
      <c r="F98" s="2247" t="s">
        <v>106</v>
      </c>
      <c r="G98" s="2247" t="s">
        <v>106</v>
      </c>
      <c r="H98" s="2248" t="s">
        <v>106</v>
      </c>
    </row>
    <row r="99" spans="2:8" ht="15" thickBot="1">
      <c r="B99" s="2358" t="s">
        <v>1110</v>
      </c>
      <c r="C99" s="2359" t="s">
        <v>108</v>
      </c>
      <c r="D99" s="2359" t="s">
        <v>108</v>
      </c>
      <c r="E99" s="2197" t="s">
        <v>1335</v>
      </c>
      <c r="F99" s="2197" t="s">
        <v>1335</v>
      </c>
      <c r="G99" s="2197" t="s">
        <v>1335</v>
      </c>
      <c r="H99" s="2198" t="s">
        <v>1335</v>
      </c>
    </row>
    <row r="100" spans="2:8" ht="12.75">
      <c r="B100" s="2360" t="s">
        <v>910</v>
      </c>
      <c r="C100" s="2361">
        <v>0</v>
      </c>
      <c r="D100" s="2362">
        <v>0</v>
      </c>
      <c r="E100" s="2409">
        <v>0</v>
      </c>
      <c r="F100" s="2364">
        <v>0</v>
      </c>
      <c r="G100" s="2410">
        <v>0</v>
      </c>
      <c r="H100" s="2366">
        <f t="shared" ref="H100:H122" si="7">SUM(E100:G100)</f>
        <v>0</v>
      </c>
    </row>
    <row r="101" spans="2:8" ht="12.75">
      <c r="B101" s="2367" t="s">
        <v>911</v>
      </c>
      <c r="C101" s="2368">
        <v>15627</v>
      </c>
      <c r="D101" s="2369">
        <v>232</v>
      </c>
      <c r="E101" s="2411">
        <f>J9</f>
        <v>1.47804190624461</v>
      </c>
      <c r="F101" s="2371">
        <f>H70</f>
        <v>3.2403956777914372E-3</v>
      </c>
      <c r="G101" s="2412">
        <f>H39</f>
        <v>7.1751618579667551E-3</v>
      </c>
      <c r="H101" s="2373">
        <f>SUM(E101:G101)</f>
        <v>1.488457463780368</v>
      </c>
    </row>
    <row r="102" spans="2:8" ht="12.75">
      <c r="B102" s="2367" t="s">
        <v>912</v>
      </c>
      <c r="C102" s="2368">
        <v>15346</v>
      </c>
      <c r="D102" s="2369">
        <v>17999</v>
      </c>
      <c r="E102" s="2411">
        <f>J10</f>
        <v>-0.19980556355413503</v>
      </c>
      <c r="F102" s="2371">
        <f>H71</f>
        <v>-1.6752393114350148E-4</v>
      </c>
      <c r="G102" s="2412">
        <f>H40</f>
        <v>-4.9459446337605183E-4</v>
      </c>
      <c r="H102" s="2373">
        <f t="shared" si="7"/>
        <v>-0.20046768194865458</v>
      </c>
    </row>
    <row r="103" spans="2:8" ht="25.5">
      <c r="B103" s="2374" t="s">
        <v>913</v>
      </c>
      <c r="C103" s="2361">
        <v>0</v>
      </c>
      <c r="D103" s="2369">
        <v>0</v>
      </c>
      <c r="E103" s="2411">
        <v>0</v>
      </c>
      <c r="F103" s="2371">
        <v>0</v>
      </c>
      <c r="G103" s="2412">
        <v>0</v>
      </c>
      <c r="H103" s="2373">
        <f t="shared" si="7"/>
        <v>0</v>
      </c>
    </row>
    <row r="104" spans="2:8" ht="12.75">
      <c r="B104" s="2374" t="s">
        <v>914</v>
      </c>
      <c r="C104" s="2361">
        <v>0</v>
      </c>
      <c r="D104" s="2369">
        <v>0</v>
      </c>
      <c r="E104" s="2411">
        <v>0</v>
      </c>
      <c r="F104" s="2371">
        <v>0</v>
      </c>
      <c r="G104" s="2412">
        <v>0</v>
      </c>
      <c r="H104" s="2373">
        <f t="shared" si="7"/>
        <v>0</v>
      </c>
    </row>
    <row r="105" spans="2:8" ht="12.75">
      <c r="B105" s="2367" t="s">
        <v>884</v>
      </c>
      <c r="C105" s="2368">
        <v>6743</v>
      </c>
      <c r="D105" s="2369">
        <v>106</v>
      </c>
      <c r="E105" s="2411">
        <f>J13</f>
        <v>0.49449540852195001</v>
      </c>
      <c r="F105" s="2371">
        <f>H74</f>
        <v>4.190939807762606E-4</v>
      </c>
      <c r="G105" s="2412">
        <f>H43</f>
        <v>1.2373250861013403E-3</v>
      </c>
      <c r="H105" s="2373">
        <f t="shared" si="7"/>
        <v>0.49615182758882764</v>
      </c>
    </row>
    <row r="106" spans="2:8" ht="25.5">
      <c r="B106" s="2374" t="s">
        <v>915</v>
      </c>
      <c r="C106" s="2375">
        <v>0</v>
      </c>
      <c r="D106" s="2369"/>
      <c r="E106" s="2411">
        <v>0</v>
      </c>
      <c r="F106" s="2371">
        <v>6.9253006753452496E-7</v>
      </c>
      <c r="G106" s="2412">
        <v>2.0446125803400259E-6</v>
      </c>
      <c r="H106" s="2373">
        <f t="shared" si="7"/>
        <v>2.7371426478745507E-6</v>
      </c>
    </row>
    <row r="107" spans="2:8" ht="25.5">
      <c r="B107" s="2374" t="s">
        <v>916</v>
      </c>
      <c r="C107" s="2375">
        <v>0</v>
      </c>
      <c r="D107" s="2369"/>
      <c r="E107" s="2411">
        <v>0</v>
      </c>
      <c r="F107" s="2371">
        <v>1.5877994531807281E-5</v>
      </c>
      <c r="G107" s="2412">
        <v>4.6877888617716728E-5</v>
      </c>
      <c r="H107" s="2373">
        <f t="shared" si="7"/>
        <v>6.2755883149524002E-5</v>
      </c>
    </row>
    <row r="108" spans="2:8" ht="12.75">
      <c r="B108" s="2367" t="s">
        <v>909</v>
      </c>
      <c r="C108" s="2368">
        <v>15</v>
      </c>
      <c r="D108" s="2369">
        <v>0</v>
      </c>
      <c r="E108" s="2411">
        <f>J16</f>
        <v>1.097254971175E-3</v>
      </c>
      <c r="F108" s="2371">
        <f>H77</f>
        <v>9.4717639168960502E-7</v>
      </c>
      <c r="G108" s="2412">
        <f>H46</f>
        <v>2.7964255373693091E-6</v>
      </c>
      <c r="H108" s="2373">
        <f t="shared" si="7"/>
        <v>1.1009985731040587E-3</v>
      </c>
    </row>
    <row r="109" spans="2:8" ht="12.75">
      <c r="B109" s="2367" t="s">
        <v>886</v>
      </c>
      <c r="C109" s="2368">
        <v>1313</v>
      </c>
      <c r="D109" s="2369">
        <v>1413</v>
      </c>
      <c r="E109" s="2411">
        <f>J17</f>
        <v>2.7165649783345736E-2</v>
      </c>
      <c r="F109" s="2371">
        <f>H78</f>
        <v>-6.3145092779307003E-6</v>
      </c>
      <c r="G109" s="2412">
        <f>H47</f>
        <v>-1.8642836915795396E-5</v>
      </c>
      <c r="H109" s="2373">
        <f t="shared" si="7"/>
        <v>2.714069243715201E-2</v>
      </c>
    </row>
    <row r="110" spans="2:8" ht="12.75">
      <c r="B110" s="2367" t="s">
        <v>889</v>
      </c>
      <c r="C110" s="2368">
        <v>1988</v>
      </c>
      <c r="D110" s="2369">
        <v>1781</v>
      </c>
      <c r="E110" s="2411">
        <f>J18</f>
        <v>0.13338573496969339</v>
      </c>
      <c r="F110" s="2371">
        <f>H79</f>
        <v>1.3071034205316548E-5</v>
      </c>
      <c r="G110" s="2412">
        <f>H48</f>
        <v>3.8590672415696469E-5</v>
      </c>
      <c r="H110" s="2373">
        <f t="shared" si="7"/>
        <v>0.13343739667631438</v>
      </c>
    </row>
    <row r="111" spans="2:8" ht="12.75">
      <c r="B111" s="2367" t="s">
        <v>887</v>
      </c>
      <c r="C111" s="2368">
        <v>4253</v>
      </c>
      <c r="D111" s="2369">
        <v>0</v>
      </c>
      <c r="E111" s="2411">
        <f>J19</f>
        <v>0.3035428519887049</v>
      </c>
      <c r="F111" s="2371">
        <f>H80</f>
        <v>2.6855607959039263E-4</v>
      </c>
      <c r="G111" s="2412">
        <f>H49</f>
        <v>7.9287985402877817E-4</v>
      </c>
      <c r="H111" s="2373">
        <f t="shared" si="7"/>
        <v>0.30460428792232402</v>
      </c>
    </row>
    <row r="112" spans="2:8" ht="25.5">
      <c r="B112" s="2374" t="s">
        <v>917</v>
      </c>
      <c r="C112" s="2361">
        <v>0</v>
      </c>
      <c r="D112" s="2369">
        <v>0</v>
      </c>
      <c r="E112" s="2411">
        <v>0</v>
      </c>
      <c r="F112" s="2371">
        <v>0</v>
      </c>
      <c r="G112" s="2412">
        <v>0</v>
      </c>
      <c r="H112" s="2373">
        <f t="shared" si="7"/>
        <v>0</v>
      </c>
    </row>
    <row r="113" spans="2:8" ht="12.75">
      <c r="B113" s="2367" t="s">
        <v>918</v>
      </c>
      <c r="C113" s="2368">
        <v>270</v>
      </c>
      <c r="D113" s="2369">
        <v>0</v>
      </c>
      <c r="E113" s="2411">
        <f>J21</f>
        <v>2.0111580975436583E-2</v>
      </c>
      <c r="F113" s="2371">
        <v>0</v>
      </c>
      <c r="G113" s="2412">
        <v>0</v>
      </c>
      <c r="H113" s="2373">
        <f t="shared" si="7"/>
        <v>2.0111580975436583E-2</v>
      </c>
    </row>
    <row r="114" spans="2:8" ht="12.75">
      <c r="B114" s="2367" t="s">
        <v>919</v>
      </c>
      <c r="C114" s="2361">
        <v>0</v>
      </c>
      <c r="D114" s="2369">
        <v>0</v>
      </c>
      <c r="E114" s="2411">
        <v>0</v>
      </c>
      <c r="F114" s="2371">
        <v>0</v>
      </c>
      <c r="G114" s="2412">
        <v>0</v>
      </c>
      <c r="H114" s="2373">
        <f t="shared" si="7"/>
        <v>0</v>
      </c>
    </row>
    <row r="115" spans="2:8" ht="12.75">
      <c r="B115" s="2367" t="s">
        <v>920</v>
      </c>
      <c r="C115" s="2361"/>
      <c r="D115" s="2369">
        <v>0</v>
      </c>
      <c r="E115" s="2411">
        <v>0</v>
      </c>
      <c r="F115" s="2371">
        <v>2.5088441978349531E-6</v>
      </c>
      <c r="G115" s="2412">
        <v>7.4070638221793847E-6</v>
      </c>
      <c r="H115" s="2373">
        <f t="shared" si="7"/>
        <v>9.9159080200143378E-6</v>
      </c>
    </row>
    <row r="116" spans="2:8" ht="12.75">
      <c r="B116" s="2367" t="s">
        <v>888</v>
      </c>
      <c r="C116" s="2368">
        <v>241</v>
      </c>
      <c r="D116" s="2369">
        <v>0</v>
      </c>
      <c r="E116" s="2411">
        <f>J24</f>
        <v>1.8086298827501665E-2</v>
      </c>
      <c r="F116" s="2371">
        <f>H85</f>
        <v>1.5217967359812986E-5</v>
      </c>
      <c r="G116" s="2412">
        <f>H54</f>
        <v>4.4929236967066903E-5</v>
      </c>
      <c r="H116" s="2373">
        <f t="shared" si="7"/>
        <v>1.8146446031828543E-2</v>
      </c>
    </row>
    <row r="117" spans="2:8" ht="12.75">
      <c r="B117" s="2367" t="s">
        <v>921</v>
      </c>
      <c r="C117" s="2361">
        <v>0</v>
      </c>
      <c r="D117" s="2369">
        <v>0</v>
      </c>
      <c r="E117" s="2411">
        <v>0</v>
      </c>
      <c r="F117" s="2371">
        <v>0</v>
      </c>
      <c r="G117" s="2412">
        <v>0</v>
      </c>
      <c r="H117" s="2373">
        <f t="shared" si="7"/>
        <v>0</v>
      </c>
    </row>
    <row r="118" spans="2:8" ht="12.75">
      <c r="B118" s="2367" t="s">
        <v>922</v>
      </c>
      <c r="C118" s="2368">
        <v>2956</v>
      </c>
      <c r="D118" s="2369">
        <v>516</v>
      </c>
      <c r="E118" s="2411">
        <f>J26</f>
        <v>0.21377351702322001</v>
      </c>
      <c r="F118" s="2371">
        <f>H87</f>
        <v>1.5407402638150907E-4</v>
      </c>
      <c r="G118" s="2412">
        <f>H56</f>
        <v>4.5488522074540766E-4</v>
      </c>
      <c r="H118" s="2373">
        <f t="shared" si="7"/>
        <v>0.21438247627034693</v>
      </c>
    </row>
    <row r="119" spans="2:8" ht="12.75">
      <c r="B119" s="2367" t="s">
        <v>923</v>
      </c>
      <c r="C119" s="2361">
        <v>0</v>
      </c>
      <c r="D119" s="2369">
        <v>0</v>
      </c>
      <c r="E119" s="2411">
        <v>0</v>
      </c>
      <c r="F119" s="2371">
        <v>0</v>
      </c>
      <c r="G119" s="2412">
        <v>0</v>
      </c>
      <c r="H119" s="2373">
        <f t="shared" si="7"/>
        <v>0</v>
      </c>
    </row>
    <row r="120" spans="2:8" ht="12.75">
      <c r="B120" s="2367" t="s">
        <v>924</v>
      </c>
      <c r="C120" s="2368">
        <v>146</v>
      </c>
      <c r="D120" s="2369">
        <v>106</v>
      </c>
      <c r="E120" s="2411">
        <f>J28</f>
        <v>6.1306399380453361E-3</v>
      </c>
      <c r="F120" s="2371">
        <v>0</v>
      </c>
      <c r="G120" s="2412">
        <v>0</v>
      </c>
      <c r="H120" s="2373">
        <f t="shared" si="7"/>
        <v>6.1306399380453361E-3</v>
      </c>
    </row>
    <row r="121" spans="2:8" ht="12.75">
      <c r="B121" s="2367" t="s">
        <v>1104</v>
      </c>
      <c r="C121" s="2368">
        <v>15474</v>
      </c>
      <c r="D121" s="2369">
        <v>599</v>
      </c>
      <c r="E121" s="2411">
        <f>J29</f>
        <v>0.80077076184812013</v>
      </c>
      <c r="F121" s="2371">
        <f>H90</f>
        <v>2.9661576476595528E-4</v>
      </c>
      <c r="G121" s="2412">
        <f>H59</f>
        <v>4.3786136703545785E-4</v>
      </c>
      <c r="H121" s="2373">
        <f t="shared" si="7"/>
        <v>0.80150523897992154</v>
      </c>
    </row>
    <row r="122" spans="2:8" ht="13.5" thickBot="1">
      <c r="B122" s="2205" t="s">
        <v>186</v>
      </c>
      <c r="C122" s="2361">
        <v>8205</v>
      </c>
      <c r="D122" s="2369" t="s">
        <v>947</v>
      </c>
      <c r="E122" s="2411">
        <v>0</v>
      </c>
      <c r="F122" s="2371">
        <f>H91</f>
        <v>4.9083677645136064E-3</v>
      </c>
      <c r="G122" s="2413">
        <f>H60</f>
        <v>9.6609143301537651E-3</v>
      </c>
      <c r="H122" s="2388">
        <f t="shared" si="7"/>
        <v>1.4569282094667371E-2</v>
      </c>
    </row>
    <row r="123" spans="2:8" ht="13.5" thickBot="1">
      <c r="B123" s="2376"/>
      <c r="C123" s="2377"/>
      <c r="D123" s="2377"/>
      <c r="E123" s="2377"/>
      <c r="F123" s="2414"/>
      <c r="G123" s="2408" t="s">
        <v>194</v>
      </c>
      <c r="H123" s="2352">
        <f>SUM(H100:H122)</f>
        <v>3.3253460582534995</v>
      </c>
    </row>
    <row r="124" spans="2:8" ht="13.5" thickBot="1">
      <c r="B124" s="2379"/>
      <c r="C124" s="2380"/>
      <c r="D124" s="2380"/>
      <c r="E124" s="2380"/>
      <c r="F124" s="2380"/>
      <c r="G124" s="2380"/>
      <c r="H124" s="2381"/>
    </row>
    <row r="125" spans="2:8" ht="12" thickTop="1"/>
    <row r="128" spans="2:8">
      <c r="B128" s="2191" t="s">
        <v>1325</v>
      </c>
    </row>
  </sheetData>
  <sheetProtection password="CD58" sheet="1" objects="1" scenarios="1"/>
  <mergeCells count="1">
    <mergeCell ref="A2:J2"/>
  </mergeCells>
  <phoneticPr fontId="0" type="noConversion"/>
  <dataValidations count="2">
    <dataValidation allowBlank="1" showInputMessage="1" showErrorMessage="1" prompt="To avoid double-counting, default data for &quot;Motor Gasoline&quot; is adjusted by subtracting ethanol used in motor gasoline, which is not included in state inventories. If not using the default data, account for ethanol included in motor gasoline if possible." sqref="C19 C80 C49 C111"/>
    <dataValidation allowBlank="1" showInputMessage="1" showErrorMessage="1" prompt="To avoid double-counting, the default data for &quot;Other Coal&quot; is adjusted by subtracting coal used in the production of synthetic natural gas. If you are not using the default data, account for coal used to produce synthetic natural gas if applicable." sqref="C9 C39 C70 C101"/>
  </dataValidations>
  <pageMargins left="0.75" right="0.75" top="1" bottom="1" header="0.5" footer="0.5"/>
  <pageSetup orientation="portrait" r:id="rId1"/>
  <headerFooter alignWithMargins="0"/>
  <drawing r:id="rId2"/>
  <legacyDrawing r:id="rId3"/>
  <picture r:id="rId4"/>
</worksheet>
</file>

<file path=xl/worksheets/sheet12.xml><?xml version="1.0" encoding="utf-8"?>
<worksheet xmlns="http://schemas.openxmlformats.org/spreadsheetml/2006/main" xmlns:r="http://schemas.openxmlformats.org/officeDocument/2006/relationships">
  <sheetPr codeName="Sheet7"/>
  <dimension ref="A1:N58"/>
  <sheetViews>
    <sheetView workbookViewId="0">
      <selection activeCell="N4" sqref="N4"/>
    </sheetView>
  </sheetViews>
  <sheetFormatPr defaultRowHeight="11.25"/>
  <cols>
    <col min="3" max="3" width="34" customWidth="1"/>
    <col min="4" max="4" width="19.6640625" customWidth="1"/>
    <col min="5" max="5" width="3.83203125" customWidth="1"/>
    <col min="6" max="6" width="15.83203125" customWidth="1"/>
    <col min="7" max="7" width="3.83203125" customWidth="1"/>
    <col min="8" max="8" width="12.5" bestFit="1" customWidth="1"/>
    <col min="9" max="9" width="3.83203125" customWidth="1"/>
    <col min="10" max="10" width="11.6640625" customWidth="1"/>
    <col min="12" max="12" width="13.1640625" customWidth="1"/>
  </cols>
  <sheetData>
    <row r="1" spans="1:14" ht="33">
      <c r="A1" s="551" t="s">
        <v>966</v>
      </c>
      <c r="N1" s="547"/>
    </row>
    <row r="2" spans="1:14" s="309" customFormat="1" ht="213.75" customHeight="1" thickBot="1">
      <c r="B2" s="107"/>
      <c r="C2" s="339"/>
      <c r="D2" s="339"/>
      <c r="E2" s="339"/>
      <c r="F2" s="339"/>
      <c r="G2" s="339"/>
      <c r="H2" s="339"/>
      <c r="I2" s="339"/>
      <c r="J2" s="339"/>
      <c r="K2" s="339"/>
      <c r="L2" s="339"/>
    </row>
    <row r="3" spans="1:14" s="309" customFormat="1" ht="21">
      <c r="C3" s="752" t="s">
        <v>223</v>
      </c>
      <c r="D3" s="753"/>
      <c r="E3" s="753"/>
      <c r="F3" s="753"/>
      <c r="G3" s="753"/>
      <c r="H3" s="753"/>
      <c r="I3" s="753"/>
      <c r="J3" s="753"/>
      <c r="K3" s="753"/>
      <c r="L3" s="754"/>
    </row>
    <row r="4" spans="1:14" s="449" customFormat="1" ht="38.25">
      <c r="C4" s="755"/>
      <c r="D4" s="756" t="s">
        <v>523</v>
      </c>
      <c r="E4" s="757"/>
      <c r="F4" s="758" t="s">
        <v>1121</v>
      </c>
      <c r="G4" s="759"/>
      <c r="H4" s="758" t="s">
        <v>452</v>
      </c>
      <c r="I4" s="759"/>
      <c r="J4" s="758" t="s">
        <v>1122</v>
      </c>
      <c r="K4" s="450"/>
      <c r="L4" s="760"/>
    </row>
    <row r="5" spans="1:14" s="449" customFormat="1" ht="12">
      <c r="C5" s="755" t="s">
        <v>895</v>
      </c>
      <c r="D5" s="457">
        <v>327081</v>
      </c>
      <c r="E5" s="761" t="s">
        <v>950</v>
      </c>
      <c r="F5" s="451">
        <v>0.44</v>
      </c>
      <c r="G5" s="762" t="s">
        <v>951</v>
      </c>
      <c r="H5" s="452">
        <f>J5*12/44</f>
        <v>39249.72</v>
      </c>
      <c r="I5" s="762" t="s">
        <v>951</v>
      </c>
      <c r="J5" s="452">
        <f>IF(ISERROR(D5*F5),0,D5*F5)</f>
        <v>143915.64000000001</v>
      </c>
      <c r="K5" s="763"/>
      <c r="L5" s="764"/>
      <c r="M5" s="453"/>
    </row>
    <row r="6" spans="1:14" s="449" customFormat="1" ht="12">
      <c r="C6" s="755" t="s">
        <v>896</v>
      </c>
      <c r="D6" s="457">
        <v>0</v>
      </c>
      <c r="E6" s="761" t="s">
        <v>950</v>
      </c>
      <c r="F6" s="451">
        <v>0.48400000000000004</v>
      </c>
      <c r="G6" s="762" t="s">
        <v>951</v>
      </c>
      <c r="H6" s="452">
        <f>J6*12/44</f>
        <v>0</v>
      </c>
      <c r="I6" s="762" t="s">
        <v>951</v>
      </c>
      <c r="J6" s="452">
        <f>IF(ISERROR(D6*F6),0,D6*F6)</f>
        <v>0</v>
      </c>
      <c r="K6" s="763"/>
      <c r="L6" s="764"/>
      <c r="M6" s="453"/>
    </row>
    <row r="7" spans="1:14" s="449" customFormat="1" ht="12">
      <c r="C7" s="755" t="s">
        <v>518</v>
      </c>
      <c r="D7" s="458"/>
      <c r="E7" s="761" t="s">
        <v>950</v>
      </c>
      <c r="F7" s="451">
        <v>1.7966666666666669</v>
      </c>
      <c r="G7" s="762" t="s">
        <v>951</v>
      </c>
      <c r="H7" s="452">
        <f>J7*12/44</f>
        <v>0</v>
      </c>
      <c r="I7" s="762" t="s">
        <v>951</v>
      </c>
      <c r="J7" s="452">
        <f>IF(ISERROR(D7*F7),0,D7*F7)</f>
        <v>0</v>
      </c>
      <c r="K7" s="763"/>
      <c r="L7" s="764"/>
      <c r="M7" s="453"/>
    </row>
    <row r="8" spans="1:14" s="309" customFormat="1" ht="15" thickBot="1">
      <c r="B8" s="107"/>
      <c r="C8" s="765"/>
      <c r="D8" s="339"/>
      <c r="E8" s="339"/>
      <c r="F8" s="339"/>
      <c r="G8" s="339"/>
      <c r="H8" s="339"/>
      <c r="I8" s="339"/>
      <c r="J8" s="339"/>
      <c r="K8" s="339"/>
      <c r="L8" s="766"/>
    </row>
    <row r="9" spans="1:14" s="309" customFormat="1" ht="21">
      <c r="B9" s="107"/>
      <c r="C9" s="767" t="s">
        <v>519</v>
      </c>
      <c r="D9" s="768"/>
      <c r="E9" s="768"/>
      <c r="F9" s="768"/>
      <c r="G9" s="768"/>
      <c r="H9" s="768"/>
      <c r="I9" s="768"/>
      <c r="J9" s="768"/>
      <c r="K9" s="768"/>
      <c r="L9" s="769"/>
    </row>
    <row r="10" spans="1:14" s="449" customFormat="1" ht="38.25">
      <c r="B10" s="454"/>
      <c r="C10" s="770"/>
      <c r="D10" s="758" t="s">
        <v>524</v>
      </c>
      <c r="E10" s="757"/>
      <c r="F10" s="758" t="s">
        <v>1121</v>
      </c>
      <c r="G10" s="759"/>
      <c r="H10" s="758" t="s">
        <v>452</v>
      </c>
      <c r="I10" s="759"/>
      <c r="J10" s="758" t="s">
        <v>1122</v>
      </c>
      <c r="K10" s="450"/>
      <c r="L10" s="760"/>
    </row>
    <row r="11" spans="1:14" s="449" customFormat="1" ht="12">
      <c r="B11" s="454"/>
      <c r="C11" s="755" t="s">
        <v>520</v>
      </c>
      <c r="D11" s="457">
        <v>0</v>
      </c>
      <c r="E11" s="761" t="s">
        <v>950</v>
      </c>
      <c r="F11" s="451">
        <v>9.74E-2</v>
      </c>
      <c r="G11" s="762" t="s">
        <v>951</v>
      </c>
      <c r="H11" s="452">
        <f>J11*12/44</f>
        <v>0</v>
      </c>
      <c r="I11" s="762" t="s">
        <v>951</v>
      </c>
      <c r="J11" s="452">
        <f>IF(ISERROR(D11*F11),0,D11*F11)</f>
        <v>0</v>
      </c>
      <c r="K11" s="450"/>
      <c r="L11" s="760"/>
    </row>
    <row r="12" spans="1:14" s="449" customFormat="1" ht="12">
      <c r="B12" s="454"/>
      <c r="C12" s="755" t="s">
        <v>104</v>
      </c>
      <c r="D12" s="457">
        <v>95590.41</v>
      </c>
      <c r="E12" s="761" t="s">
        <v>950</v>
      </c>
      <c r="F12" s="451">
        <v>0.41499999999999998</v>
      </c>
      <c r="G12" s="762" t="s">
        <v>951</v>
      </c>
      <c r="H12" s="452">
        <f>J12*12/44</f>
        <v>10819.096404545453</v>
      </c>
      <c r="I12" s="762" t="s">
        <v>951</v>
      </c>
      <c r="J12" s="452">
        <f>IF(ISERROR(D12*F12),0,D12*F12)</f>
        <v>39670.020149999997</v>
      </c>
      <c r="K12" s="450"/>
      <c r="L12" s="760"/>
    </row>
    <row r="13" spans="1:14" s="309" customFormat="1" ht="15" thickBot="1">
      <c r="B13" s="107"/>
      <c r="C13" s="765"/>
      <c r="D13" s="339"/>
      <c r="E13" s="339"/>
      <c r="F13" s="339"/>
      <c r="G13" s="339"/>
      <c r="H13" s="339"/>
      <c r="I13" s="339"/>
      <c r="J13" s="339"/>
      <c r="K13" s="339"/>
      <c r="L13" s="766"/>
    </row>
    <row r="14" spans="1:14" s="309" customFormat="1" ht="21">
      <c r="B14" s="107"/>
      <c r="C14" s="767" t="s">
        <v>522</v>
      </c>
      <c r="D14" s="768"/>
      <c r="E14" s="768"/>
      <c r="F14" s="768"/>
      <c r="G14" s="768"/>
      <c r="H14" s="768"/>
      <c r="I14" s="768"/>
      <c r="J14" s="768"/>
      <c r="K14" s="768"/>
      <c r="L14" s="769"/>
    </row>
    <row r="15" spans="1:14" s="449" customFormat="1" ht="38.25">
      <c r="B15" s="454"/>
      <c r="C15" s="770"/>
      <c r="D15" s="758" t="s">
        <v>525</v>
      </c>
      <c r="E15" s="757"/>
      <c r="F15" s="758" t="s">
        <v>1123</v>
      </c>
      <c r="G15" s="759"/>
      <c r="H15" s="758" t="s">
        <v>526</v>
      </c>
      <c r="I15" s="763"/>
      <c r="J15" s="758" t="s">
        <v>452</v>
      </c>
      <c r="K15" s="759"/>
      <c r="L15" s="771" t="s">
        <v>1122</v>
      </c>
    </row>
    <row r="16" spans="1:14" s="449" customFormat="1" ht="12">
      <c r="B16" s="454"/>
      <c r="C16" s="772" t="s">
        <v>275</v>
      </c>
      <c r="D16" s="457">
        <v>0</v>
      </c>
      <c r="E16" s="761" t="s">
        <v>950</v>
      </c>
      <c r="F16" s="455">
        <v>1.2</v>
      </c>
      <c r="G16" s="762" t="s">
        <v>1059</v>
      </c>
      <c r="H16" s="452">
        <f>D17*F17</f>
        <v>548.23</v>
      </c>
      <c r="I16" s="761" t="s">
        <v>1060</v>
      </c>
      <c r="J16" s="452">
        <f>L16*12/44</f>
        <v>0</v>
      </c>
      <c r="K16" s="762" t="s">
        <v>951</v>
      </c>
      <c r="L16" s="773">
        <f>IF(D16&gt;0,D16*F16-(H16),0)</f>
        <v>0</v>
      </c>
    </row>
    <row r="17" spans="2:12" s="449" customFormat="1" ht="12">
      <c r="B17" s="454"/>
      <c r="C17" s="772" t="s">
        <v>276</v>
      </c>
      <c r="D17" s="457">
        <v>751</v>
      </c>
      <c r="E17" s="761"/>
      <c r="F17" s="456">
        <v>0.73</v>
      </c>
      <c r="G17" s="762"/>
      <c r="H17" s="761"/>
      <c r="I17" s="762" t="s">
        <v>521</v>
      </c>
      <c r="J17" s="452">
        <f>L17*12/44</f>
        <v>149.51727272727274</v>
      </c>
      <c r="K17" s="761" t="s">
        <v>951</v>
      </c>
      <c r="L17" s="773">
        <f>D17*F17</f>
        <v>548.23</v>
      </c>
    </row>
    <row r="18" spans="2:12" s="309" customFormat="1" ht="15" thickBot="1">
      <c r="B18" s="107"/>
      <c r="C18" s="765"/>
      <c r="D18" s="339"/>
      <c r="E18" s="339"/>
      <c r="F18" s="339"/>
      <c r="G18" s="339"/>
      <c r="H18" s="339"/>
      <c r="I18" s="339"/>
      <c r="J18" s="339"/>
      <c r="K18" s="339"/>
      <c r="L18" s="766"/>
    </row>
    <row r="19" spans="2:12" s="309" customFormat="1" ht="15" thickBot="1">
      <c r="B19" s="107"/>
      <c r="C19" s="765"/>
      <c r="D19" s="339"/>
      <c r="E19" s="339"/>
      <c r="F19" s="339"/>
      <c r="G19" s="339"/>
      <c r="H19" s="339"/>
      <c r="I19" s="339"/>
      <c r="J19" s="339"/>
      <c r="K19" s="339"/>
      <c r="L19" s="766"/>
    </row>
    <row r="20" spans="2:12" s="309" customFormat="1" ht="21">
      <c r="B20" s="107"/>
      <c r="C20" s="767" t="s">
        <v>527</v>
      </c>
      <c r="D20" s="768"/>
      <c r="E20" s="768"/>
      <c r="F20" s="768"/>
      <c r="G20" s="768"/>
      <c r="H20" s="768"/>
      <c r="I20" s="768"/>
      <c r="J20" s="768"/>
      <c r="K20" s="768"/>
      <c r="L20" s="769"/>
    </row>
    <row r="21" spans="2:12" s="449" customFormat="1" ht="47.25" customHeight="1">
      <c r="B21" s="454"/>
      <c r="C21" s="770"/>
      <c r="D21" s="758" t="s">
        <v>967</v>
      </c>
      <c r="E21" s="757"/>
      <c r="F21" s="758" t="s">
        <v>465</v>
      </c>
      <c r="G21" s="774"/>
      <c r="H21" s="758" t="s">
        <v>529</v>
      </c>
      <c r="I21" s="759"/>
      <c r="J21" s="758" t="s">
        <v>530</v>
      </c>
      <c r="K21" s="763"/>
      <c r="L21" s="771" t="s">
        <v>1124</v>
      </c>
    </row>
    <row r="22" spans="2:12" s="449" customFormat="1" ht="12">
      <c r="B22" s="454"/>
      <c r="C22" s="775">
        <v>2014</v>
      </c>
      <c r="D22" s="452">
        <f>158.6*1000000</f>
        <v>158600000</v>
      </c>
      <c r="E22" s="761" t="s">
        <v>950</v>
      </c>
      <c r="F22" s="452">
        <v>5976407</v>
      </c>
      <c r="G22" s="762" t="s">
        <v>531</v>
      </c>
      <c r="H22" s="452">
        <v>318857056</v>
      </c>
      <c r="I22" s="762" t="s">
        <v>951</v>
      </c>
      <c r="J22" s="452">
        <f>L22*12/44</f>
        <v>810729.33269622747</v>
      </c>
      <c r="K22" s="762" t="s">
        <v>951</v>
      </c>
      <c r="L22" s="773">
        <f>D22*F22/H22</f>
        <v>2972674.2198861674</v>
      </c>
    </row>
    <row r="23" spans="2:12" s="309" customFormat="1" ht="15" thickBot="1">
      <c r="B23" s="107"/>
      <c r="C23" s="765"/>
      <c r="D23" s="339"/>
      <c r="E23" s="339"/>
      <c r="F23" s="339"/>
      <c r="G23" s="339"/>
      <c r="H23" s="339"/>
      <c r="I23" s="339"/>
      <c r="J23" s="339"/>
      <c r="K23" s="339"/>
      <c r="L23" s="766"/>
    </row>
    <row r="24" spans="2:12" s="309" customFormat="1" ht="15" thickBot="1">
      <c r="B24" s="107"/>
      <c r="C24" s="765"/>
      <c r="D24" s="339"/>
      <c r="E24" s="339"/>
      <c r="F24" s="339"/>
      <c r="G24" s="339"/>
      <c r="H24" s="339"/>
      <c r="I24" s="339"/>
      <c r="J24" s="339"/>
      <c r="K24" s="339"/>
      <c r="L24" s="766"/>
    </row>
    <row r="25" spans="2:12" s="309" customFormat="1" ht="21">
      <c r="B25" s="107"/>
      <c r="C25" s="767" t="s">
        <v>528</v>
      </c>
      <c r="D25" s="768"/>
      <c r="E25" s="768"/>
      <c r="F25" s="768"/>
      <c r="G25" s="768"/>
      <c r="H25" s="768"/>
      <c r="I25" s="768"/>
      <c r="J25" s="768"/>
      <c r="K25" s="768"/>
      <c r="L25" s="769"/>
    </row>
    <row r="26" spans="2:12" s="449" customFormat="1" ht="37.5">
      <c r="B26" s="454"/>
      <c r="C26" s="770"/>
      <c r="D26" s="756" t="s">
        <v>532</v>
      </c>
      <c r="E26" s="776"/>
      <c r="F26" s="756" t="s">
        <v>1125</v>
      </c>
      <c r="G26" s="777"/>
      <c r="H26" s="756" t="s">
        <v>1126</v>
      </c>
      <c r="I26" s="777"/>
      <c r="J26" s="776" t="s">
        <v>106</v>
      </c>
      <c r="K26" s="778"/>
      <c r="L26" s="779" t="s">
        <v>1122</v>
      </c>
    </row>
    <row r="27" spans="2:12" s="449" customFormat="1" ht="12">
      <c r="B27" s="454"/>
      <c r="C27" s="775">
        <v>2014</v>
      </c>
      <c r="D27" s="458">
        <v>1.98</v>
      </c>
      <c r="E27" s="761" t="s">
        <v>950</v>
      </c>
      <c r="F27" s="455">
        <v>1</v>
      </c>
      <c r="G27" s="762" t="s">
        <v>951</v>
      </c>
      <c r="H27" s="452">
        <f>IF(ISERROR(D27*F27),,D27*F27)</f>
        <v>1.98</v>
      </c>
      <c r="I27" s="762" t="s">
        <v>951</v>
      </c>
      <c r="J27" s="452">
        <f>H27*23900*12/44</f>
        <v>12906</v>
      </c>
      <c r="K27" s="762" t="s">
        <v>951</v>
      </c>
      <c r="L27" s="773">
        <f>J27/(12/44)</f>
        <v>47322</v>
      </c>
    </row>
    <row r="28" spans="2:12" s="309" customFormat="1" ht="15" thickBot="1">
      <c r="B28" s="107"/>
      <c r="C28" s="765"/>
      <c r="D28" s="339"/>
      <c r="E28" s="339"/>
      <c r="F28" s="339"/>
      <c r="G28" s="339"/>
      <c r="H28" s="339"/>
      <c r="I28" s="339"/>
      <c r="J28" s="339"/>
      <c r="K28" s="339"/>
      <c r="L28" s="766"/>
    </row>
    <row r="29" spans="2:12" s="309" customFormat="1" ht="15" thickBot="1">
      <c r="B29" s="107"/>
      <c r="C29" s="765"/>
      <c r="D29" s="339"/>
      <c r="E29" s="339"/>
      <c r="F29" s="339"/>
      <c r="G29" s="339"/>
      <c r="H29" s="339"/>
      <c r="I29" s="339"/>
      <c r="J29" s="339"/>
      <c r="K29" s="339"/>
      <c r="L29" s="766"/>
    </row>
    <row r="30" spans="2:12" s="309" customFormat="1" ht="21">
      <c r="B30" s="459"/>
      <c r="C30" s="767" t="s">
        <v>535</v>
      </c>
      <c r="D30" s="780"/>
      <c r="E30" s="780"/>
      <c r="F30" s="780"/>
      <c r="G30" s="780"/>
      <c r="H30" s="780"/>
      <c r="I30" s="780"/>
      <c r="J30" s="780"/>
      <c r="K30" s="780"/>
      <c r="L30" s="781"/>
    </row>
    <row r="31" spans="2:12" s="449" customFormat="1" ht="36">
      <c r="B31" s="460"/>
      <c r="C31" s="782"/>
      <c r="D31" s="756" t="s">
        <v>533</v>
      </c>
      <c r="E31" s="776"/>
      <c r="F31" s="756" t="s">
        <v>534</v>
      </c>
      <c r="G31" s="777"/>
      <c r="H31" s="783"/>
      <c r="I31" s="783"/>
      <c r="J31" s="756" t="s">
        <v>452</v>
      </c>
      <c r="K31" s="777"/>
      <c r="L31" s="779" t="s">
        <v>1122</v>
      </c>
    </row>
    <row r="32" spans="2:12" s="449" customFormat="1" ht="12">
      <c r="B32" s="460"/>
      <c r="C32" s="775">
        <v>2014</v>
      </c>
      <c r="D32" s="461">
        <v>0</v>
      </c>
      <c r="E32" s="268" t="s">
        <v>950</v>
      </c>
      <c r="F32" s="90">
        <v>0.42545454545454542</v>
      </c>
      <c r="G32" s="784" t="s">
        <v>951</v>
      </c>
      <c r="H32" s="783"/>
      <c r="I32" s="783"/>
      <c r="J32" s="59">
        <f>IF(ISERROR(D32*F32),0,D32*F32)</f>
        <v>0</v>
      </c>
      <c r="K32" s="784" t="s">
        <v>951</v>
      </c>
      <c r="L32" s="785">
        <f>J32/(12/44)</f>
        <v>0</v>
      </c>
    </row>
    <row r="33" spans="2:12" s="309" customFormat="1" ht="15" thickBot="1">
      <c r="B33" s="459"/>
      <c r="C33" s="786"/>
      <c r="D33" s="462"/>
      <c r="E33" s="462"/>
      <c r="F33" s="462"/>
      <c r="G33" s="462"/>
      <c r="H33" s="462"/>
      <c r="I33" s="462"/>
      <c r="J33" s="462"/>
      <c r="K33" s="462"/>
      <c r="L33" s="787"/>
    </row>
    <row r="34" spans="2:12" s="309" customFormat="1" ht="14.25">
      <c r="B34" s="107"/>
    </row>
    <row r="35" spans="2:12" s="309" customFormat="1" ht="14.25">
      <c r="B35" s="107"/>
    </row>
    <row r="36" spans="2:12" s="309" customFormat="1" ht="14.25">
      <c r="B36" s="107"/>
      <c r="C36" s="101"/>
    </row>
    <row r="37" spans="2:12" s="309" customFormat="1" ht="14.25">
      <c r="B37" s="107"/>
      <c r="C37" s="101"/>
    </row>
    <row r="38" spans="2:12" s="309" customFormat="1" ht="15" thickBot="1">
      <c r="B38" s="107"/>
      <c r="C38" s="101"/>
    </row>
    <row r="39" spans="2:12" ht="15" thickTop="1">
      <c r="B39" s="101"/>
      <c r="C39" s="788"/>
      <c r="D39" s="789">
        <v>2014</v>
      </c>
    </row>
    <row r="40" spans="2:12" ht="12.75">
      <c r="B40" s="101"/>
      <c r="C40" s="790" t="s">
        <v>220</v>
      </c>
      <c r="D40" s="791">
        <f>D41+D42+D43+D44+D45+D46</f>
        <v>184133.89015000002</v>
      </c>
    </row>
    <row r="41" spans="2:12" ht="12.75">
      <c r="B41" s="101"/>
      <c r="C41" s="792" t="s">
        <v>221</v>
      </c>
      <c r="D41" s="793">
        <v>0</v>
      </c>
    </row>
    <row r="42" spans="2:12" ht="12.75">
      <c r="B42" s="101"/>
      <c r="C42" s="792" t="s">
        <v>222</v>
      </c>
      <c r="D42" s="793">
        <v>0</v>
      </c>
    </row>
    <row r="43" spans="2:12" ht="12.75">
      <c r="B43" s="101"/>
      <c r="C43" s="792" t="s">
        <v>223</v>
      </c>
      <c r="D43" s="793">
        <f>J5</f>
        <v>143915.64000000001</v>
      </c>
    </row>
    <row r="44" spans="2:12" ht="12.75">
      <c r="B44" s="101"/>
      <c r="C44" s="792" t="s">
        <v>224</v>
      </c>
      <c r="D44" s="793">
        <f>J12</f>
        <v>39670.020149999997</v>
      </c>
    </row>
    <row r="45" spans="2:12" ht="12.75">
      <c r="B45" s="101"/>
      <c r="C45" s="792" t="s">
        <v>225</v>
      </c>
      <c r="D45" s="793">
        <f>L17</f>
        <v>548.23</v>
      </c>
    </row>
    <row r="46" spans="2:12" ht="12.75">
      <c r="B46" s="101"/>
      <c r="C46" s="792" t="s">
        <v>226</v>
      </c>
      <c r="D46" s="793">
        <v>0</v>
      </c>
    </row>
    <row r="47" spans="2:12" ht="12.75">
      <c r="B47" s="101"/>
      <c r="C47" s="794" t="s">
        <v>227</v>
      </c>
      <c r="D47" s="795">
        <f>D48+D49</f>
        <v>0</v>
      </c>
    </row>
    <row r="48" spans="2:12" ht="12.75">
      <c r="B48" s="101"/>
      <c r="C48" s="792" t="s">
        <v>228</v>
      </c>
      <c r="D48" s="793">
        <v>0</v>
      </c>
    </row>
    <row r="49" spans="2:4" ht="12.75">
      <c r="B49" s="101"/>
      <c r="C49" s="792" t="s">
        <v>229</v>
      </c>
      <c r="D49" s="793">
        <v>0</v>
      </c>
    </row>
    <row r="50" spans="2:4" ht="12.75">
      <c r="B50" s="101"/>
      <c r="C50" s="796" t="s">
        <v>230</v>
      </c>
      <c r="D50" s="797">
        <f>D51+D52+D53+D54+D55+D56</f>
        <v>3019996.2198861674</v>
      </c>
    </row>
    <row r="51" spans="2:4" ht="12.75">
      <c r="B51" s="101"/>
      <c r="C51" s="792" t="s">
        <v>231</v>
      </c>
      <c r="D51" s="793">
        <f>L22</f>
        <v>2972674.2198861674</v>
      </c>
    </row>
    <row r="52" spans="2:4" ht="12.75">
      <c r="B52" s="101"/>
      <c r="C52" s="792" t="s">
        <v>232</v>
      </c>
      <c r="D52" s="793">
        <v>0</v>
      </c>
    </row>
    <row r="53" spans="2:4" ht="12.75">
      <c r="B53" s="101"/>
      <c r="C53" s="792" t="s">
        <v>233</v>
      </c>
      <c r="D53" s="793">
        <v>0</v>
      </c>
    </row>
    <row r="54" spans="2:4" ht="25.5">
      <c r="B54" s="101"/>
      <c r="C54" s="798" t="s">
        <v>234</v>
      </c>
      <c r="D54" s="793">
        <f>L27</f>
        <v>47322</v>
      </c>
    </row>
    <row r="55" spans="2:4" ht="12.75">
      <c r="B55" s="101"/>
      <c r="C55" s="792" t="s">
        <v>235</v>
      </c>
      <c r="D55" s="793">
        <v>0</v>
      </c>
    </row>
    <row r="56" spans="2:4" ht="12.75">
      <c r="B56" s="101"/>
      <c r="C56" s="792" t="s">
        <v>236</v>
      </c>
      <c r="D56" s="793">
        <f>L32</f>
        <v>0</v>
      </c>
    </row>
    <row r="57" spans="2:4" ht="15" thickBot="1">
      <c r="B57" s="101"/>
      <c r="C57" s="799" t="s">
        <v>237</v>
      </c>
      <c r="D57" s="800">
        <f>D40+D47+D50</f>
        <v>3204130.1100361673</v>
      </c>
    </row>
    <row r="58" spans="2:4" ht="12" thickTop="1"/>
  </sheetData>
  <sheetProtection password="CD58" sheet="1" objects="1" scenarios="1"/>
  <phoneticPr fontId="0" type="noConversion"/>
  <pageMargins left="0.75" right="0.75" top="1" bottom="1" header="0.5" footer="0.5"/>
  <pageSetup orientation="portrait" r:id="rId1"/>
  <headerFooter alignWithMargins="0"/>
  <drawing r:id="rId2"/>
  <legacyDrawing r:id="rId3"/>
  <picture r:id="rId4"/>
</worksheet>
</file>

<file path=xl/worksheets/sheet13.xml><?xml version="1.0" encoding="utf-8"?>
<worksheet xmlns="http://schemas.openxmlformats.org/spreadsheetml/2006/main" xmlns:r="http://schemas.openxmlformats.org/officeDocument/2006/relationships">
  <sheetPr codeName="Sheet9"/>
  <dimension ref="A1:I87"/>
  <sheetViews>
    <sheetView zoomScaleNormal="100" workbookViewId="0">
      <selection activeCell="L20" sqref="L20"/>
    </sheetView>
  </sheetViews>
  <sheetFormatPr defaultRowHeight="11.25"/>
  <cols>
    <col min="1" max="1" width="3" customWidth="1"/>
    <col min="2" max="2" width="5.6640625" customWidth="1"/>
    <col min="3" max="3" width="59.1640625" customWidth="1"/>
    <col min="4" max="4" width="18.6640625" customWidth="1"/>
    <col min="5" max="5" width="12.33203125" customWidth="1"/>
    <col min="6" max="6" width="17.83203125" customWidth="1"/>
    <col min="7" max="7" width="14.1640625" customWidth="1"/>
    <col min="8" max="8" width="16.5" customWidth="1"/>
    <col min="9" max="9" width="19" customWidth="1"/>
    <col min="13" max="13" width="18.83203125" customWidth="1"/>
  </cols>
  <sheetData>
    <row r="1" spans="1:9" ht="33">
      <c r="A1" s="550" t="s">
        <v>538</v>
      </c>
      <c r="B1" s="210"/>
      <c r="D1" s="547"/>
      <c r="G1" s="1"/>
      <c r="H1" s="1"/>
    </row>
    <row r="2" spans="1:9" ht="80.25" customHeight="1"/>
    <row r="3" spans="1:9">
      <c r="D3" t="s">
        <v>346</v>
      </c>
    </row>
    <row r="5" spans="1:9" ht="12" thickBot="1"/>
    <row r="6" spans="1:9" ht="12" thickTop="1">
      <c r="C6" s="22"/>
      <c r="D6" s="615"/>
      <c r="E6" s="615"/>
      <c r="F6" s="615" t="s">
        <v>347</v>
      </c>
      <c r="G6" s="615"/>
      <c r="H6" s="615"/>
      <c r="I6" s="616"/>
    </row>
    <row r="7" spans="1:9" ht="34.5" thickBot="1">
      <c r="C7" s="617"/>
      <c r="D7" s="1581" t="s">
        <v>104</v>
      </c>
      <c r="E7" s="1581" t="s">
        <v>1113</v>
      </c>
      <c r="F7" s="1581"/>
      <c r="G7" s="1581" t="s">
        <v>348</v>
      </c>
      <c r="H7" s="1581" t="s">
        <v>349</v>
      </c>
      <c r="I7" s="1582" t="s">
        <v>350</v>
      </c>
    </row>
    <row r="8" spans="1:9" ht="16.5" thickTop="1">
      <c r="B8" s="993" t="s">
        <v>590</v>
      </c>
      <c r="C8" s="619" t="s">
        <v>351</v>
      </c>
      <c r="D8" s="1583"/>
      <c r="E8" s="1583"/>
      <c r="F8" s="1583"/>
      <c r="G8" s="1583"/>
      <c r="H8" s="1583"/>
      <c r="I8" s="1584"/>
    </row>
    <row r="9" spans="1:9" ht="15.75">
      <c r="B9" s="993"/>
      <c r="C9" s="1746"/>
      <c r="D9" s="1747"/>
      <c r="E9" s="1747"/>
      <c r="F9" s="1747"/>
      <c r="G9" s="1747"/>
      <c r="H9" s="1747"/>
      <c r="I9" s="1748"/>
    </row>
    <row r="10" spans="1:9">
      <c r="C10" s="620" t="s">
        <v>352</v>
      </c>
      <c r="D10" s="568">
        <v>244729</v>
      </c>
      <c r="E10" s="566" t="s">
        <v>353</v>
      </c>
      <c r="F10" s="569"/>
      <c r="G10" s="568">
        <v>417125.79074384988</v>
      </c>
      <c r="H10" s="570">
        <v>60.51</v>
      </c>
      <c r="I10" s="621">
        <v>8.8000000000000007</v>
      </c>
    </row>
    <row r="11" spans="1:9">
      <c r="C11" s="620"/>
      <c r="D11" s="568"/>
      <c r="E11" s="568"/>
      <c r="F11" s="570"/>
      <c r="G11" s="568"/>
      <c r="H11" s="569"/>
      <c r="I11" s="622"/>
    </row>
    <row r="12" spans="1:9">
      <c r="C12" s="623" t="s">
        <v>354</v>
      </c>
      <c r="D12" s="568">
        <v>21339</v>
      </c>
      <c r="E12" s="566" t="s">
        <v>353</v>
      </c>
      <c r="F12" s="571">
        <v>0.02</v>
      </c>
      <c r="G12" s="572">
        <f>G20*F12</f>
        <v>34485.800000000003</v>
      </c>
      <c r="H12" s="573">
        <v>7.82</v>
      </c>
      <c r="I12" s="624">
        <v>1.03</v>
      </c>
    </row>
    <row r="13" spans="1:9">
      <c r="C13" s="620"/>
      <c r="D13" s="568"/>
      <c r="E13" s="568"/>
      <c r="F13" s="570"/>
      <c r="G13" s="568"/>
      <c r="H13" s="569"/>
      <c r="I13" s="622"/>
    </row>
    <row r="14" spans="1:9">
      <c r="C14" s="620" t="s">
        <v>355</v>
      </c>
      <c r="D14" s="568">
        <v>951638.33499999996</v>
      </c>
      <c r="E14" s="568" t="s">
        <v>356</v>
      </c>
      <c r="F14" s="569"/>
      <c r="G14" s="568">
        <v>4778.3350808639998</v>
      </c>
      <c r="H14" s="574">
        <v>0.39</v>
      </c>
      <c r="I14" s="621">
        <v>0.08</v>
      </c>
    </row>
    <row r="15" spans="1:9">
      <c r="C15" s="620"/>
      <c r="D15" s="568"/>
      <c r="E15" s="568"/>
      <c r="F15" s="569"/>
      <c r="G15" s="575"/>
      <c r="H15" s="575"/>
      <c r="I15" s="625"/>
    </row>
    <row r="16" spans="1:9" ht="12.75">
      <c r="C16" s="620" t="s">
        <v>357</v>
      </c>
      <c r="D16" s="568">
        <v>80044</v>
      </c>
      <c r="E16" s="568" t="s">
        <v>626</v>
      </c>
      <c r="F16" s="569"/>
      <c r="G16" s="576">
        <v>33967.650235176814</v>
      </c>
      <c r="H16" s="570">
        <v>1.62</v>
      </c>
      <c r="I16" s="647">
        <v>0.23599999999999999</v>
      </c>
    </row>
    <row r="17" spans="3:9" ht="13.5" thickBot="1">
      <c r="C17" s="626"/>
      <c r="D17" s="577"/>
      <c r="E17" s="577"/>
      <c r="F17" s="578"/>
      <c r="G17" s="579"/>
      <c r="H17" s="580"/>
      <c r="I17" s="627"/>
    </row>
    <row r="18" spans="3:9" ht="14.25" thickTop="1" thickBot="1">
      <c r="C18" s="1563" t="s">
        <v>358</v>
      </c>
      <c r="D18" s="1564"/>
      <c r="E18" s="1564"/>
      <c r="F18" s="1565"/>
      <c r="G18" s="1566">
        <f>G10+G12+G14+G16</f>
        <v>490357.57605989068</v>
      </c>
      <c r="H18" s="1567">
        <f>H10+H12+H14+H16</f>
        <v>70.34</v>
      </c>
      <c r="I18" s="1568">
        <f>I10+I12+I14+I16</f>
        <v>10.146000000000001</v>
      </c>
    </row>
    <row r="19" spans="3:9" ht="14.25" thickTop="1" thickBot="1">
      <c r="C19" s="628"/>
      <c r="D19" s="581"/>
      <c r="E19" s="581"/>
      <c r="F19" s="582"/>
      <c r="G19" s="583"/>
      <c r="H19" s="584"/>
      <c r="I19" s="629"/>
    </row>
    <row r="20" spans="3:9" ht="12" thickBot="1">
      <c r="C20" s="630" t="s">
        <v>359</v>
      </c>
      <c r="D20" s="585"/>
      <c r="E20" s="585"/>
      <c r="F20" s="586"/>
      <c r="G20" s="587">
        <v>1724290</v>
      </c>
      <c r="H20" s="588">
        <f>H18</f>
        <v>70.34</v>
      </c>
      <c r="I20" s="631">
        <f>I18</f>
        <v>10.146000000000001</v>
      </c>
    </row>
    <row r="21" spans="3:9" ht="12" thickBot="1">
      <c r="C21" s="628"/>
      <c r="D21" s="581"/>
      <c r="E21" s="581"/>
      <c r="F21" s="582"/>
      <c r="G21" s="589"/>
      <c r="H21" s="589"/>
      <c r="I21" s="632"/>
    </row>
    <row r="22" spans="3:9" ht="12" thickBot="1">
      <c r="C22" s="633" t="s">
        <v>385</v>
      </c>
      <c r="D22" s="590"/>
      <c r="E22" s="590"/>
      <c r="F22" s="591"/>
      <c r="G22" s="590">
        <f>G20-G18</f>
        <v>1233932.4239401093</v>
      </c>
      <c r="H22" s="592"/>
      <c r="I22" s="634"/>
    </row>
    <row r="23" spans="3:9">
      <c r="C23" s="635"/>
      <c r="D23" s="593"/>
      <c r="E23" s="593"/>
      <c r="F23" s="594"/>
      <c r="G23" s="593"/>
      <c r="H23" s="595"/>
      <c r="I23" s="636"/>
    </row>
    <row r="24" spans="3:9">
      <c r="C24" s="1749" t="s">
        <v>360</v>
      </c>
      <c r="D24" s="1750"/>
      <c r="E24" s="1750"/>
      <c r="F24" s="1751"/>
      <c r="G24" s="1750"/>
      <c r="H24" s="1752"/>
      <c r="I24" s="1753"/>
    </row>
    <row r="25" spans="3:9" ht="12" thickBot="1">
      <c r="C25" s="991"/>
      <c r="D25" s="606"/>
      <c r="E25" s="606"/>
      <c r="F25" s="599"/>
      <c r="G25" s="606"/>
      <c r="H25" s="589"/>
      <c r="I25" s="632"/>
    </row>
    <row r="26" spans="3:9" ht="12" thickBot="1">
      <c r="C26" s="637" t="s">
        <v>361</v>
      </c>
      <c r="D26" s="596">
        <v>6389.7</v>
      </c>
      <c r="E26" s="596" t="s">
        <v>67</v>
      </c>
      <c r="F26" s="597"/>
      <c r="G26" s="598">
        <v>663.49</v>
      </c>
      <c r="H26" s="1745">
        <v>2.69E-2</v>
      </c>
      <c r="I26" s="1754">
        <v>5.4000000000000003E-3</v>
      </c>
    </row>
    <row r="27" spans="3:9" ht="12" thickBot="1">
      <c r="C27" s="638"/>
      <c r="D27" s="581"/>
      <c r="E27" s="581"/>
      <c r="F27" s="599"/>
      <c r="G27" s="589"/>
      <c r="H27" s="589"/>
      <c r="I27" s="632"/>
    </row>
    <row r="28" spans="3:9" ht="12" thickBot="1">
      <c r="C28" s="639" t="s">
        <v>362</v>
      </c>
      <c r="D28" s="600"/>
      <c r="E28" s="600"/>
      <c r="F28" s="601"/>
      <c r="G28" s="602">
        <f>G20+G26</f>
        <v>1724953.49</v>
      </c>
      <c r="H28" s="602">
        <f>H26+H20</f>
        <v>70.366900000000001</v>
      </c>
      <c r="I28" s="640">
        <f>I26+I20</f>
        <v>10.151400000000001</v>
      </c>
    </row>
    <row r="29" spans="3:9">
      <c r="C29" s="991"/>
      <c r="D29" s="581"/>
      <c r="E29" s="581"/>
      <c r="F29" s="599"/>
      <c r="G29" s="589"/>
      <c r="H29" s="589"/>
      <c r="I29" s="632"/>
    </row>
    <row r="30" spans="3:9" ht="21.75">
      <c r="C30" s="1576"/>
      <c r="D30" s="1577"/>
      <c r="E30" s="1575" t="s">
        <v>593</v>
      </c>
      <c r="F30" s="1578"/>
      <c r="G30" s="1579"/>
      <c r="H30" s="1579"/>
      <c r="I30" s="1580"/>
    </row>
    <row r="31" spans="3:9">
      <c r="C31" s="991"/>
      <c r="D31" s="581"/>
      <c r="E31" s="581"/>
      <c r="F31" s="599"/>
      <c r="G31" s="589"/>
      <c r="H31" s="589"/>
      <c r="I31" s="632"/>
    </row>
    <row r="32" spans="3:9" ht="12" thickBot="1">
      <c r="C32" s="638"/>
      <c r="D32" s="581"/>
      <c r="E32" s="581"/>
      <c r="F32" s="599"/>
      <c r="G32" s="589"/>
      <c r="H32" s="589"/>
      <c r="I32" s="632"/>
    </row>
    <row r="33" spans="2:9" ht="14.25" thickTop="1" thickBot="1">
      <c r="C33" s="1563" t="s">
        <v>363</v>
      </c>
      <c r="D33" s="1564"/>
      <c r="E33" s="1564"/>
      <c r="F33" s="1565"/>
      <c r="G33" s="1566">
        <f>G18*1.10249937</f>
        <v>540618.91868075659</v>
      </c>
      <c r="H33" s="1567">
        <f>H18*1.10249937</f>
        <v>77.54980568580001</v>
      </c>
      <c r="I33" s="1568">
        <f>I18*1.10249937</f>
        <v>11.185958608020002</v>
      </c>
    </row>
    <row r="34" spans="2:9" ht="14.25" thickTop="1" thickBot="1">
      <c r="C34" s="641"/>
      <c r="D34" s="581"/>
      <c r="E34" s="581"/>
      <c r="F34" s="582"/>
      <c r="G34" s="583"/>
      <c r="H34" s="584"/>
      <c r="I34" s="629"/>
    </row>
    <row r="35" spans="2:9" ht="12.75" thickTop="1" thickBot="1">
      <c r="C35" s="642" t="s">
        <v>364</v>
      </c>
      <c r="D35" s="585"/>
      <c r="E35" s="585"/>
      <c r="F35" s="586"/>
      <c r="G35" s="587">
        <f>G20*1.10249937</f>
        <v>1901028.6386973001</v>
      </c>
      <c r="H35" s="588">
        <f>H20*1.10249937</f>
        <v>77.54980568580001</v>
      </c>
      <c r="I35" s="631">
        <f>I20*1.10249937</f>
        <v>11.185958608020002</v>
      </c>
    </row>
    <row r="36" spans="2:9" ht="12.75" thickTop="1" thickBot="1">
      <c r="C36" s="626"/>
      <c r="D36" s="581"/>
      <c r="E36" s="581"/>
      <c r="F36" s="582"/>
      <c r="G36" s="589"/>
      <c r="H36" s="589"/>
      <c r="I36" s="632"/>
    </row>
    <row r="37" spans="2:9" ht="23.25" thickBot="1">
      <c r="C37" s="1586" t="s">
        <v>369</v>
      </c>
      <c r="D37" s="590"/>
      <c r="E37" s="590"/>
      <c r="F37" s="591"/>
      <c r="G37" s="590">
        <f>G22*1.10249937</f>
        <v>1360409.7200165435</v>
      </c>
      <c r="H37" s="592"/>
      <c r="I37" s="634"/>
    </row>
    <row r="38" spans="2:9" ht="12" thickBot="1">
      <c r="C38" s="1585"/>
      <c r="D38" s="606"/>
      <c r="E38" s="606"/>
      <c r="F38" s="599"/>
      <c r="G38" s="606"/>
      <c r="H38" s="589"/>
      <c r="I38" s="632"/>
    </row>
    <row r="39" spans="2:9" ht="23.25" thickBot="1">
      <c r="C39" s="639" t="s">
        <v>370</v>
      </c>
      <c r="D39" s="600"/>
      <c r="E39" s="600"/>
      <c r="F39" s="601"/>
      <c r="G39" s="602">
        <f>G28*1.10249937</f>
        <v>1901760.1360043015</v>
      </c>
      <c r="H39" s="602">
        <f>H28*1.1023</f>
        <v>77.565433870000007</v>
      </c>
      <c r="I39" s="640">
        <f>I28*1.1023</f>
        <v>11.189888220000002</v>
      </c>
    </row>
    <row r="40" spans="2:9" ht="12" thickBot="1">
      <c r="C40" s="643"/>
      <c r="D40" s="603"/>
      <c r="E40" s="603"/>
      <c r="F40" s="603"/>
      <c r="G40" s="603"/>
      <c r="H40" s="603"/>
      <c r="I40" s="644"/>
    </row>
    <row r="41" spans="2:9" ht="12" thickTop="1">
      <c r="C41" s="23"/>
      <c r="D41" s="3"/>
      <c r="E41" s="3"/>
      <c r="F41" s="3"/>
      <c r="G41" s="3"/>
      <c r="H41" s="3"/>
      <c r="I41" s="24"/>
    </row>
    <row r="42" spans="2:9" ht="12" thickBot="1">
      <c r="C42" s="23"/>
      <c r="D42" s="3"/>
      <c r="E42" s="3"/>
      <c r="F42" s="3"/>
      <c r="G42" s="3"/>
      <c r="H42" s="3"/>
      <c r="I42" s="24"/>
    </row>
    <row r="43" spans="2:9" ht="16.5" thickTop="1">
      <c r="B43" s="993" t="s">
        <v>591</v>
      </c>
      <c r="C43" s="992" t="s">
        <v>1251</v>
      </c>
      <c r="D43" s="1553"/>
      <c r="E43" s="1553"/>
      <c r="F43" s="1554"/>
      <c r="G43" s="1553"/>
      <c r="H43" s="1553"/>
      <c r="I43" s="1555"/>
    </row>
    <row r="44" spans="2:9" ht="33.75">
      <c r="C44" s="645"/>
      <c r="D44" s="567" t="s">
        <v>104</v>
      </c>
      <c r="E44" s="567" t="s">
        <v>1113</v>
      </c>
      <c r="F44" s="32"/>
      <c r="G44" s="567" t="s">
        <v>348</v>
      </c>
      <c r="H44" s="567" t="s">
        <v>349</v>
      </c>
      <c r="I44" s="618" t="s">
        <v>371</v>
      </c>
    </row>
    <row r="45" spans="2:9">
      <c r="C45" s="646" t="s">
        <v>372</v>
      </c>
      <c r="D45" s="1556"/>
      <c r="E45" s="1556"/>
      <c r="F45" s="558"/>
      <c r="G45" s="1556"/>
      <c r="H45" s="1556"/>
      <c r="I45" s="1557"/>
    </row>
    <row r="46" spans="2:9">
      <c r="C46" s="1758"/>
      <c r="D46" s="1759"/>
      <c r="E46" s="1759"/>
      <c r="F46" s="666"/>
      <c r="G46" s="1759"/>
      <c r="H46" s="1759"/>
      <c r="I46" s="1760"/>
    </row>
    <row r="47" spans="2:9">
      <c r="C47" s="620" t="s">
        <v>352</v>
      </c>
      <c r="D47" s="1761">
        <v>78935</v>
      </c>
      <c r="E47" s="566" t="s">
        <v>373</v>
      </c>
      <c r="F47" s="32"/>
      <c r="G47" s="569">
        <v>149315</v>
      </c>
      <c r="H47" s="570">
        <v>1.56</v>
      </c>
      <c r="I47" s="647">
        <v>2.33</v>
      </c>
    </row>
    <row r="48" spans="2:9">
      <c r="C48" s="620"/>
      <c r="D48" s="568"/>
      <c r="E48" s="566"/>
      <c r="F48" s="32"/>
      <c r="G48" s="569"/>
      <c r="H48" s="570"/>
      <c r="I48" s="647"/>
    </row>
    <row r="49" spans="3:9">
      <c r="C49" s="620" t="s">
        <v>355</v>
      </c>
      <c r="D49" s="1761">
        <v>546426</v>
      </c>
      <c r="E49" s="568" t="s">
        <v>356</v>
      </c>
      <c r="F49" s="32"/>
      <c r="G49" s="569">
        <v>5569</v>
      </c>
      <c r="H49" s="575">
        <v>0.08</v>
      </c>
      <c r="I49" s="647">
        <v>0.11</v>
      </c>
    </row>
    <row r="50" spans="3:9">
      <c r="C50" s="620"/>
      <c r="D50" s="568"/>
      <c r="E50" s="568"/>
      <c r="F50" s="32"/>
      <c r="G50" s="570"/>
      <c r="H50" s="568"/>
      <c r="I50" s="625"/>
    </row>
    <row r="51" spans="3:9">
      <c r="C51" s="620" t="s">
        <v>374</v>
      </c>
      <c r="D51" s="1761">
        <v>8273</v>
      </c>
      <c r="E51" s="566" t="s">
        <v>373</v>
      </c>
      <c r="F51" s="32"/>
      <c r="G51" s="569">
        <v>22264</v>
      </c>
      <c r="H51" s="604">
        <v>0.26</v>
      </c>
      <c r="I51" s="647">
        <v>0.39</v>
      </c>
    </row>
    <row r="52" spans="3:9" ht="12" thickBot="1">
      <c r="C52" s="648"/>
      <c r="D52" s="577"/>
      <c r="E52" s="577"/>
      <c r="F52" s="561"/>
      <c r="G52" s="580"/>
      <c r="H52" s="577"/>
      <c r="I52" s="1741"/>
    </row>
    <row r="53" spans="3:9" ht="13.5" thickBot="1">
      <c r="C53" s="1569" t="s">
        <v>375</v>
      </c>
      <c r="D53" s="1572"/>
      <c r="E53" s="1572"/>
      <c r="F53" s="1570"/>
      <c r="G53" s="1743">
        <f>G47+G49+G51</f>
        <v>177148</v>
      </c>
      <c r="H53" s="1757">
        <f>H47+H49+H51</f>
        <v>1.9000000000000001</v>
      </c>
      <c r="I53" s="1744">
        <f>I47+I49+I51</f>
        <v>2.83</v>
      </c>
    </row>
    <row r="54" spans="3:9">
      <c r="C54" s="620"/>
      <c r="D54" s="1740"/>
      <c r="E54" s="1740"/>
      <c r="F54" s="92"/>
      <c r="G54" s="593"/>
      <c r="H54" s="593"/>
      <c r="I54" s="1742"/>
    </row>
    <row r="55" spans="3:9">
      <c r="C55" s="649" t="s">
        <v>376</v>
      </c>
      <c r="D55" s="1558"/>
      <c r="E55" s="1558"/>
      <c r="F55" s="1559"/>
      <c r="G55" s="1560"/>
      <c r="H55" s="1561"/>
      <c r="I55" s="1562"/>
    </row>
    <row r="56" spans="3:9" ht="12" thickBot="1">
      <c r="C56" s="638"/>
      <c r="D56" s="581"/>
      <c r="E56" s="581"/>
      <c r="F56" s="6"/>
      <c r="G56" s="605"/>
      <c r="H56" s="606"/>
      <c r="I56" s="651"/>
    </row>
    <row r="57" spans="3:9" ht="12" thickBot="1">
      <c r="C57" s="650" t="s">
        <v>377</v>
      </c>
      <c r="D57" s="1762">
        <v>467573</v>
      </c>
      <c r="E57" s="596" t="s">
        <v>356</v>
      </c>
      <c r="F57" s="555"/>
      <c r="G57" s="1734">
        <v>2015.8</v>
      </c>
      <c r="H57" s="1735">
        <v>8.2000000000000003E-2</v>
      </c>
      <c r="I57" s="1736">
        <v>1.6E-2</v>
      </c>
    </row>
    <row r="58" spans="3:9" ht="12" thickBot="1">
      <c r="C58" s="638"/>
      <c r="D58" s="581"/>
      <c r="E58" s="581"/>
      <c r="F58" s="3"/>
      <c r="G58" s="605"/>
      <c r="H58" s="606"/>
      <c r="I58" s="651"/>
    </row>
    <row r="59" spans="3:9" ht="12" thickBot="1">
      <c r="C59" s="652" t="s">
        <v>378</v>
      </c>
      <c r="D59" s="585"/>
      <c r="E59" s="585"/>
      <c r="F59" s="607"/>
      <c r="G59" s="1763">
        <v>523731</v>
      </c>
      <c r="H59" s="1755">
        <v>25.591999999999999</v>
      </c>
      <c r="I59" s="1756">
        <v>3.629</v>
      </c>
    </row>
    <row r="60" spans="3:9" ht="12" thickBot="1">
      <c r="C60" s="653"/>
      <c r="D60" s="581"/>
      <c r="E60" s="581"/>
      <c r="F60" s="3"/>
      <c r="G60" s="599"/>
      <c r="H60" s="606"/>
      <c r="I60" s="651"/>
    </row>
    <row r="61" spans="3:9" ht="12" thickBot="1">
      <c r="C61" s="1571" t="s">
        <v>375</v>
      </c>
      <c r="D61" s="1572"/>
      <c r="E61" s="1572"/>
      <c r="F61" s="1570"/>
      <c r="G61" s="1573">
        <f>G53</f>
        <v>177148</v>
      </c>
      <c r="H61" s="1573">
        <f>H53</f>
        <v>1.9000000000000001</v>
      </c>
      <c r="I61" s="1744">
        <f>I53</f>
        <v>2.83</v>
      </c>
    </row>
    <row r="62" spans="3:9" ht="12" thickBot="1">
      <c r="C62" s="638"/>
      <c r="D62" s="581"/>
      <c r="E62" s="581"/>
      <c r="F62" s="3"/>
      <c r="G62" s="605"/>
      <c r="H62" s="606"/>
      <c r="I62" s="651"/>
    </row>
    <row r="63" spans="3:9" ht="12" thickBot="1">
      <c r="C63" s="654" t="s">
        <v>384</v>
      </c>
      <c r="D63" s="612"/>
      <c r="E63" s="612"/>
      <c r="F63" s="613"/>
      <c r="G63" s="591">
        <f>G59-G61</f>
        <v>346583</v>
      </c>
      <c r="H63" s="590">
        <v>51.633558473950004</v>
      </c>
      <c r="I63" s="655">
        <v>7.4036724867899988</v>
      </c>
    </row>
    <row r="64" spans="3:9" ht="12" thickBot="1">
      <c r="C64" s="638"/>
      <c r="D64" s="581"/>
      <c r="E64" s="581"/>
      <c r="F64" s="3"/>
      <c r="G64" s="605"/>
      <c r="H64" s="606"/>
      <c r="I64" s="651"/>
    </row>
    <row r="65" spans="2:9" ht="12" thickBot="1">
      <c r="C65" s="656" t="s">
        <v>379</v>
      </c>
      <c r="D65" s="600"/>
      <c r="E65" s="600"/>
      <c r="F65" s="608"/>
      <c r="G65" s="609">
        <f>G59+G57</f>
        <v>525746.80000000005</v>
      </c>
      <c r="H65" s="609">
        <f>H59+H57</f>
        <v>25.673999999999999</v>
      </c>
      <c r="I65" s="657">
        <f>I61+I57</f>
        <v>2.8460000000000001</v>
      </c>
    </row>
    <row r="66" spans="2:9">
      <c r="C66" s="658"/>
      <c r="D66" s="581"/>
      <c r="E66" s="581"/>
      <c r="F66" s="6"/>
      <c r="G66" s="605"/>
      <c r="H66" s="605"/>
      <c r="I66" s="994"/>
    </row>
    <row r="67" spans="2:9" ht="21.75">
      <c r="C67" s="1587"/>
      <c r="D67" s="1577"/>
      <c r="E67" s="1575" t="s">
        <v>593</v>
      </c>
      <c r="F67" s="990"/>
      <c r="G67" s="1588"/>
      <c r="H67" s="1588"/>
      <c r="I67" s="1589"/>
    </row>
    <row r="68" spans="2:9">
      <c r="C68" s="658"/>
      <c r="D68" s="581"/>
      <c r="E68" s="581"/>
      <c r="F68" s="6"/>
      <c r="G68" s="605"/>
      <c r="H68" s="605"/>
      <c r="I68" s="994"/>
    </row>
    <row r="69" spans="2:9" ht="12" thickBot="1">
      <c r="C69" s="658"/>
      <c r="D69" s="581"/>
      <c r="E69" s="581"/>
      <c r="F69" s="3"/>
      <c r="G69" s="605"/>
      <c r="H69" s="606"/>
      <c r="I69" s="651"/>
    </row>
    <row r="70" spans="2:9" ht="12" thickBot="1">
      <c r="C70" s="652" t="s">
        <v>364</v>
      </c>
      <c r="D70" s="610"/>
      <c r="E70" s="610"/>
      <c r="F70" s="607"/>
      <c r="G70" s="1737">
        <f>G59*1.102312065</f>
        <v>577315.00011451496</v>
      </c>
      <c r="H70" s="1738">
        <f>H59*1.102312065</f>
        <v>28.210370367479999</v>
      </c>
      <c r="I70" s="1739">
        <f>I59*1.102312065</f>
        <v>4.0002904838850002</v>
      </c>
    </row>
    <row r="71" spans="2:9" ht="12" thickBot="1">
      <c r="C71" s="653"/>
      <c r="D71" s="581"/>
      <c r="E71" s="581"/>
      <c r="F71" s="3"/>
      <c r="G71" s="605"/>
      <c r="H71" s="606"/>
      <c r="I71" s="651"/>
    </row>
    <row r="72" spans="2:9" ht="12" thickBot="1">
      <c r="C72" s="1571" t="s">
        <v>380</v>
      </c>
      <c r="D72" s="1572"/>
      <c r="E72" s="1572"/>
      <c r="F72" s="1570"/>
      <c r="G72" s="1573">
        <f>G53*1.102312065</f>
        <v>195272.37769061999</v>
      </c>
      <c r="H72" s="1743">
        <f>H53*1.102312065</f>
        <v>2.0943929235000001</v>
      </c>
      <c r="I72" s="1574">
        <f>I53*1.102312065</f>
        <v>3.1195431439500001</v>
      </c>
    </row>
    <row r="73" spans="2:9" ht="12" thickBot="1">
      <c r="C73" s="638"/>
      <c r="D73" s="581"/>
      <c r="E73" s="581"/>
      <c r="F73" s="3"/>
      <c r="G73" s="605"/>
      <c r="H73" s="606"/>
      <c r="I73" s="651"/>
    </row>
    <row r="74" spans="2:9" ht="12" thickBot="1">
      <c r="C74" s="654" t="s">
        <v>381</v>
      </c>
      <c r="D74" s="612"/>
      <c r="E74" s="612"/>
      <c r="F74" s="613"/>
      <c r="G74" s="614">
        <f>G63*1.1023</f>
        <v>382038.44090000005</v>
      </c>
      <c r="H74" s="590">
        <f>H63*1.1023</f>
        <v>56.915671505835093</v>
      </c>
      <c r="I74" s="655">
        <f>I63*1.1023</f>
        <v>8.1610681821886164</v>
      </c>
    </row>
    <row r="75" spans="2:9" ht="12" thickBot="1">
      <c r="C75" s="638"/>
      <c r="D75" s="581"/>
      <c r="E75" s="581"/>
      <c r="F75" s="3"/>
      <c r="G75" s="605"/>
      <c r="H75" s="606"/>
      <c r="I75" s="651"/>
    </row>
    <row r="76" spans="2:9" ht="12" thickBot="1">
      <c r="C76" s="656" t="s">
        <v>382</v>
      </c>
      <c r="D76" s="600"/>
      <c r="E76" s="600"/>
      <c r="F76" s="608"/>
      <c r="G76" s="609">
        <f>G65*1.1023</f>
        <v>579530.69764000003</v>
      </c>
      <c r="H76" s="609">
        <f>H65*1.1023</f>
        <v>28.3004502</v>
      </c>
      <c r="I76" s="657">
        <f>I65*1.1023</f>
        <v>3.1371458000000003</v>
      </c>
    </row>
    <row r="77" spans="2:9" ht="12" thickBot="1">
      <c r="C77" s="659"/>
      <c r="D77" s="91"/>
      <c r="E77" s="91"/>
      <c r="F77" s="611"/>
      <c r="G77" s="91"/>
      <c r="H77" s="91"/>
      <c r="I77" s="660"/>
    </row>
    <row r="78" spans="2:9" ht="12" thickTop="1">
      <c r="C78" s="23"/>
      <c r="D78" s="3"/>
      <c r="E78" s="3"/>
      <c r="F78" s="3"/>
      <c r="G78" s="3"/>
      <c r="H78" s="3"/>
      <c r="I78" s="24"/>
    </row>
    <row r="79" spans="2:9" ht="12" thickBot="1">
      <c r="C79" s="23"/>
      <c r="D79" s="3"/>
      <c r="E79" s="3"/>
      <c r="F79" s="3"/>
      <c r="G79" s="3"/>
      <c r="H79" s="3"/>
      <c r="I79" s="24"/>
    </row>
    <row r="80" spans="2:9" ht="17.25" thickTop="1" thickBot="1">
      <c r="B80" s="993" t="s">
        <v>592</v>
      </c>
      <c r="C80" s="661" t="s">
        <v>383</v>
      </c>
      <c r="D80" s="662"/>
      <c r="E80" s="662"/>
      <c r="F80" s="662"/>
      <c r="G80" s="803">
        <f>G74+G37</f>
        <v>1742448.1609165436</v>
      </c>
      <c r="H80" s="3"/>
      <c r="I80" s="24"/>
    </row>
    <row r="81" spans="3:9" ht="12.75" thickTop="1" thickBot="1">
      <c r="C81" s="463"/>
      <c r="D81" s="6"/>
      <c r="E81" s="6"/>
      <c r="F81" s="6"/>
      <c r="G81" s="801"/>
      <c r="H81" s="3"/>
      <c r="I81" s="24"/>
    </row>
    <row r="82" spans="3:9" ht="12.75" thickTop="1" thickBot="1">
      <c r="C82" s="661" t="s">
        <v>651</v>
      </c>
      <c r="D82" s="6"/>
      <c r="E82" s="6"/>
      <c r="F82" s="6"/>
      <c r="G82" s="802">
        <f>G80*0.907184</f>
        <v>1580721.0924129137</v>
      </c>
      <c r="H82" s="3"/>
      <c r="I82" s="24"/>
    </row>
    <row r="83" spans="3:9" ht="12.75" thickTop="1" thickBot="1">
      <c r="C83" s="463"/>
      <c r="D83" s="6"/>
      <c r="E83" s="6"/>
      <c r="F83" s="6"/>
      <c r="H83" s="3"/>
      <c r="I83" s="24"/>
    </row>
    <row r="84" spans="3:9" ht="12.75" thickTop="1" thickBot="1">
      <c r="C84" s="661" t="s">
        <v>652</v>
      </c>
      <c r="D84" s="6"/>
      <c r="E84" s="6"/>
      <c r="F84" s="6"/>
      <c r="G84" s="801">
        <f>G82/1000000</f>
        <v>1.5807210924129136</v>
      </c>
      <c r="H84" s="3"/>
      <c r="I84" s="24"/>
    </row>
    <row r="85" spans="3:9" ht="12" thickTop="1">
      <c r="C85" s="463"/>
      <c r="D85" s="6"/>
      <c r="E85" s="6"/>
      <c r="F85" s="6"/>
      <c r="G85" s="801"/>
      <c r="H85" s="3"/>
      <c r="I85" s="24"/>
    </row>
    <row r="86" spans="3:9" ht="12" thickBot="1">
      <c r="C86" s="25"/>
      <c r="D86" s="26"/>
      <c r="E86" s="26"/>
      <c r="F86" s="26"/>
      <c r="G86" s="26"/>
      <c r="H86" s="26"/>
      <c r="I86" s="27"/>
    </row>
    <row r="87" spans="3:9" ht="12" thickTop="1"/>
  </sheetData>
  <sheetProtection password="CD58" sheet="1" objects="1" scenarios="1"/>
  <phoneticPr fontId="0" type="noConversion"/>
  <printOptions gridLines="1"/>
  <pageMargins left="0.75" right="0.75" top="0.21" bottom="0.25" header="0.16" footer="0.33"/>
  <pageSetup scale="86" orientation="landscape" r:id="rId1"/>
  <headerFooter alignWithMargins="0"/>
  <rowBreaks count="1" manualBreakCount="1">
    <brk id="40" max="16383" man="1"/>
  </rowBreaks>
  <drawing r:id="rId2"/>
  <legacyDrawing r:id="rId3"/>
  <picture r:id="rId4"/>
</worksheet>
</file>

<file path=xl/worksheets/sheet14.xml><?xml version="1.0" encoding="utf-8"?>
<worksheet xmlns="http://schemas.openxmlformats.org/spreadsheetml/2006/main" xmlns:r="http://schemas.openxmlformats.org/officeDocument/2006/relationships">
  <sheetPr codeName="Sheet15"/>
  <dimension ref="A1:W118"/>
  <sheetViews>
    <sheetView zoomScaleNormal="100" workbookViewId="0">
      <selection activeCell="E1" sqref="E1"/>
    </sheetView>
  </sheetViews>
  <sheetFormatPr defaultRowHeight="11.25"/>
  <cols>
    <col min="1" max="1" width="3.5" customWidth="1"/>
    <col min="2" max="2" width="19.6640625" customWidth="1"/>
    <col min="3" max="3" width="69.33203125" customWidth="1"/>
    <col min="5" max="5" width="18.1640625" customWidth="1"/>
    <col min="9" max="9" width="13.5" customWidth="1"/>
    <col min="10" max="10" width="14.6640625" customWidth="1"/>
    <col min="11" max="11" width="15.1640625" customWidth="1"/>
    <col min="14" max="14" width="16" customWidth="1"/>
    <col min="15" max="15" width="13.6640625" customWidth="1"/>
    <col min="16" max="16" width="11.6640625" customWidth="1"/>
    <col min="19" max="19" width="15.5" customWidth="1"/>
    <col min="20" max="20" width="20" customWidth="1"/>
    <col min="21" max="21" width="12.6640625" customWidth="1"/>
    <col min="22" max="22" width="16.33203125" customWidth="1"/>
    <col min="23" max="23" width="15.33203125" customWidth="1"/>
  </cols>
  <sheetData>
    <row r="1" spans="1:23" ht="22.5">
      <c r="B1" s="115" t="s">
        <v>536</v>
      </c>
    </row>
    <row r="3" spans="1:23" ht="15">
      <c r="A3" s="1981"/>
      <c r="B3" s="1982"/>
      <c r="D3" s="1983"/>
      <c r="E3" s="1984"/>
      <c r="F3" s="1984"/>
      <c r="G3" s="1984"/>
      <c r="H3" s="1984"/>
      <c r="I3" s="1984"/>
      <c r="J3" s="1984"/>
      <c r="K3" s="1984"/>
      <c r="L3" s="1984"/>
      <c r="M3" s="1984"/>
      <c r="N3" s="1984"/>
      <c r="O3" s="1984"/>
      <c r="P3" s="1984"/>
      <c r="Q3" s="1984"/>
      <c r="R3" s="1984"/>
      <c r="S3" s="1984"/>
      <c r="T3" s="1984"/>
      <c r="U3" s="1984"/>
      <c r="V3" s="1984"/>
      <c r="W3" s="1984"/>
    </row>
    <row r="4" spans="1:23" ht="15">
      <c r="A4" s="1984"/>
      <c r="B4" s="1984"/>
      <c r="C4" s="1984"/>
      <c r="D4" s="1984"/>
      <c r="E4" s="1984"/>
      <c r="F4" s="1984"/>
      <c r="G4" s="1984"/>
      <c r="H4" s="1984"/>
      <c r="I4" s="1984"/>
      <c r="J4" s="1984"/>
      <c r="K4" s="1984"/>
      <c r="L4" s="1984"/>
      <c r="M4" s="1984"/>
      <c r="N4" s="1984"/>
      <c r="O4" s="1984"/>
      <c r="P4" s="1984"/>
      <c r="Q4" s="1984"/>
      <c r="R4" s="1984"/>
      <c r="S4" s="1984"/>
      <c r="T4" s="1984"/>
      <c r="U4" s="1984"/>
      <c r="V4" s="1984"/>
      <c r="W4" s="1984"/>
    </row>
    <row r="5" spans="1:23" ht="15">
      <c r="A5" s="1984"/>
      <c r="B5" s="1984"/>
      <c r="C5" s="1984"/>
      <c r="D5" s="1984"/>
      <c r="E5" s="1984"/>
      <c r="F5" s="1984"/>
      <c r="G5" s="1984"/>
      <c r="L5" s="1984"/>
      <c r="M5" s="1984"/>
      <c r="N5" s="1984"/>
      <c r="O5" s="1984"/>
      <c r="P5" s="1984"/>
      <c r="Q5" s="1984"/>
      <c r="R5" s="1984"/>
      <c r="S5" s="1984"/>
      <c r="T5" s="1984"/>
      <c r="U5" s="1984"/>
      <c r="V5" s="1984"/>
      <c r="W5" s="1984"/>
    </row>
    <row r="6" spans="1:23" ht="15">
      <c r="A6" s="1984"/>
      <c r="B6" s="1984"/>
      <c r="C6" s="1984"/>
      <c r="D6" s="1984"/>
      <c r="E6" s="1984"/>
      <c r="F6" s="1984"/>
      <c r="G6" s="1984"/>
      <c r="L6" s="1984"/>
      <c r="M6" s="1984"/>
      <c r="N6" s="1984"/>
      <c r="O6" s="1984"/>
      <c r="P6" s="1984"/>
      <c r="Q6" s="1984"/>
      <c r="R6" s="1984"/>
      <c r="S6" s="1984"/>
      <c r="T6" s="1984"/>
      <c r="U6" s="1984"/>
      <c r="V6" s="1984"/>
      <c r="W6" s="1984"/>
    </row>
    <row r="7" spans="1:23" ht="15">
      <c r="A7" s="1984"/>
      <c r="B7" s="1984"/>
      <c r="C7" s="1984"/>
      <c r="D7" s="1984"/>
      <c r="E7" s="1984"/>
      <c r="F7" s="1984"/>
      <c r="G7" s="1984"/>
      <c r="L7" s="1984"/>
      <c r="M7" s="1984"/>
      <c r="N7" s="1984"/>
      <c r="O7" s="1984"/>
      <c r="P7" s="1984"/>
      <c r="Q7" s="1984"/>
      <c r="R7" s="1984"/>
      <c r="S7" s="1984"/>
      <c r="T7" s="1984"/>
      <c r="U7" s="1984"/>
      <c r="V7" s="1984"/>
      <c r="W7" s="1984"/>
    </row>
    <row r="8" spans="1:23" ht="15">
      <c r="A8" s="1984"/>
      <c r="B8" s="1984"/>
      <c r="C8" s="1984"/>
      <c r="D8" s="1984"/>
      <c r="E8" s="1984"/>
      <c r="F8" s="1984"/>
      <c r="G8" s="1984"/>
      <c r="L8" s="1984"/>
      <c r="M8" s="1984"/>
      <c r="N8" s="1984"/>
      <c r="O8" s="1984"/>
      <c r="P8" s="1984"/>
      <c r="Q8" s="1984"/>
      <c r="R8" s="1984"/>
      <c r="S8" s="1984"/>
      <c r="T8" s="1984"/>
      <c r="U8" s="1984"/>
      <c r="V8" s="1984"/>
      <c r="W8" s="1984"/>
    </row>
    <row r="9" spans="1:23" ht="15">
      <c r="A9" s="1984"/>
      <c r="B9" s="1984"/>
      <c r="C9" s="1984"/>
      <c r="D9" s="1984"/>
      <c r="E9" s="1984"/>
      <c r="F9" s="1984"/>
      <c r="G9" s="1984"/>
      <c r="L9" s="1984"/>
      <c r="M9" s="1984"/>
      <c r="N9" s="1984"/>
      <c r="O9" s="1984"/>
      <c r="P9" s="1984"/>
      <c r="Q9" s="1984"/>
      <c r="R9" s="1984"/>
      <c r="S9" s="1984"/>
      <c r="T9" s="1984"/>
      <c r="U9" s="1984"/>
      <c r="V9" s="1984"/>
      <c r="W9" s="1984"/>
    </row>
    <row r="10" spans="1:23" ht="15">
      <c r="A10" s="1984"/>
      <c r="B10" s="1984"/>
      <c r="C10" s="1984"/>
      <c r="D10" s="1984"/>
      <c r="E10" s="1984"/>
      <c r="F10" s="1984"/>
      <c r="G10" s="1984"/>
      <c r="L10" s="1984"/>
      <c r="M10" s="1984"/>
      <c r="N10" s="1984"/>
      <c r="O10" s="1984"/>
      <c r="P10" s="1984"/>
      <c r="Q10" s="1984"/>
      <c r="R10" s="1984"/>
      <c r="S10" s="1984"/>
      <c r="T10" s="1984"/>
      <c r="U10" s="1984"/>
      <c r="V10" s="1984"/>
      <c r="W10" s="1984"/>
    </row>
    <row r="11" spans="1:23" ht="15">
      <c r="A11" s="1984"/>
      <c r="B11" s="1984"/>
      <c r="C11" s="1984"/>
      <c r="D11" s="1984"/>
      <c r="E11" s="1984"/>
      <c r="F11" s="1984"/>
      <c r="G11" s="1984"/>
      <c r="L11" s="1984"/>
      <c r="M11" s="1984"/>
      <c r="N11" s="1984"/>
      <c r="O11" s="1984"/>
      <c r="P11" s="1984"/>
      <c r="Q11" s="1984"/>
      <c r="R11" s="1984"/>
      <c r="S11" s="1984"/>
      <c r="T11" s="1984"/>
      <c r="U11" s="1984"/>
      <c r="V11" s="1984"/>
      <c r="W11" s="1984"/>
    </row>
    <row r="12" spans="1:23" ht="15">
      <c r="A12" s="1984"/>
      <c r="B12" s="1984"/>
      <c r="C12" s="1985"/>
      <c r="D12" s="1984"/>
      <c r="E12" s="1986"/>
      <c r="F12" s="1987"/>
      <c r="G12" s="1988"/>
      <c r="L12" s="1989"/>
      <c r="M12" s="1989"/>
      <c r="N12" s="1989"/>
      <c r="O12" s="1989"/>
      <c r="P12" s="1989"/>
      <c r="Q12" s="1990"/>
      <c r="R12" s="1990"/>
      <c r="S12" s="1990"/>
      <c r="T12" s="1990"/>
      <c r="U12" s="1990"/>
      <c r="V12" s="1984"/>
      <c r="W12" s="1984"/>
    </row>
    <row r="13" spans="1:23" ht="15">
      <c r="A13" s="1984"/>
      <c r="B13" s="1984"/>
      <c r="C13" s="1985"/>
      <c r="D13" s="1984"/>
      <c r="E13" s="1986"/>
      <c r="F13" s="1987"/>
      <c r="G13" s="1988"/>
      <c r="H13" s="1984"/>
      <c r="I13" s="1984" t="s">
        <v>890</v>
      </c>
      <c r="J13" s="1984"/>
      <c r="K13" s="1984"/>
      <c r="L13" s="1989"/>
      <c r="M13" s="1989"/>
      <c r="N13" s="1989"/>
      <c r="O13" s="1989"/>
      <c r="P13" s="1989"/>
      <c r="Q13" s="1990"/>
      <c r="R13" s="1990"/>
      <c r="S13" s="1990"/>
      <c r="T13" s="1990"/>
      <c r="U13" s="1990"/>
      <c r="V13" s="1984"/>
      <c r="W13" s="1984"/>
    </row>
    <row r="14" spans="1:23" ht="15">
      <c r="A14" s="1984"/>
      <c r="B14" s="1984"/>
      <c r="C14" s="1985"/>
      <c r="D14" s="1984"/>
      <c r="E14" s="1986"/>
      <c r="F14" s="1987"/>
      <c r="G14" s="1988"/>
      <c r="H14" s="1991"/>
      <c r="I14" s="1984" t="s">
        <v>953</v>
      </c>
      <c r="J14" s="1984"/>
      <c r="K14" s="1984"/>
      <c r="L14" s="1989"/>
      <c r="M14" s="1989"/>
      <c r="N14" s="1989"/>
      <c r="O14" s="1989"/>
      <c r="P14" s="1989"/>
      <c r="Q14" s="1990"/>
      <c r="R14" s="1990"/>
      <c r="S14" s="1990"/>
      <c r="T14" s="1990"/>
      <c r="U14" s="1990"/>
      <c r="V14" s="1984"/>
      <c r="W14" s="1984"/>
    </row>
    <row r="15" spans="1:23" ht="15">
      <c r="A15" s="1984"/>
      <c r="B15" s="1984"/>
      <c r="C15" s="1985"/>
      <c r="D15" s="1984"/>
      <c r="E15" s="1986"/>
      <c r="F15" s="1987"/>
      <c r="G15" s="1988"/>
      <c r="H15" s="1992"/>
      <c r="I15" s="1984" t="s">
        <v>195</v>
      </c>
      <c r="J15" s="1984"/>
      <c r="K15" s="1984"/>
      <c r="L15" s="1989"/>
      <c r="M15" s="1989"/>
      <c r="N15" s="1989"/>
      <c r="O15" s="1989"/>
      <c r="P15" s="1989"/>
      <c r="Q15" s="1990"/>
      <c r="R15" s="1990"/>
      <c r="S15" s="1990"/>
      <c r="T15" s="1990"/>
      <c r="U15" s="1990"/>
      <c r="V15" s="1984"/>
      <c r="W15" s="1984"/>
    </row>
    <row r="16" spans="1:23" ht="15">
      <c r="A16" s="1984"/>
      <c r="B16" s="1984"/>
      <c r="C16" s="1984"/>
      <c r="D16" s="1984"/>
      <c r="E16" s="1984"/>
      <c r="F16" s="1984"/>
      <c r="G16" s="1985"/>
      <c r="H16" s="1986"/>
      <c r="I16" s="1986"/>
      <c r="J16" s="1987"/>
      <c r="K16" s="1990"/>
      <c r="L16" s="1986"/>
      <c r="M16" s="1986"/>
      <c r="N16" s="1987"/>
      <c r="O16" s="1990"/>
      <c r="P16" s="1989"/>
      <c r="Q16" s="1989"/>
      <c r="R16" s="1989"/>
      <c r="S16" s="1989"/>
      <c r="T16" s="1989"/>
      <c r="U16" s="1990"/>
      <c r="V16" s="1990"/>
      <c r="W16" s="1990"/>
    </row>
    <row r="17" spans="1:23" ht="15.75" thickBot="1">
      <c r="A17" s="1984"/>
      <c r="B17" s="1984"/>
      <c r="C17" s="1984"/>
      <c r="D17" s="1984"/>
      <c r="E17" s="1984"/>
      <c r="F17" s="1984"/>
      <c r="G17" s="1984"/>
      <c r="H17" s="1984"/>
      <c r="I17" s="1993"/>
      <c r="J17" s="1987"/>
      <c r="K17" s="1988"/>
      <c r="L17" s="1986"/>
      <c r="M17" s="1994"/>
      <c r="N17" s="1987"/>
      <c r="O17" s="1990"/>
      <c r="P17" s="1984"/>
      <c r="Q17" s="1984"/>
      <c r="R17" s="1984"/>
      <c r="S17" s="1984"/>
      <c r="T17" s="1984"/>
      <c r="U17" s="1984"/>
      <c r="V17" s="1984"/>
      <c r="W17" s="1984"/>
    </row>
    <row r="18" spans="1:23" ht="123" thickTop="1">
      <c r="A18" s="1984"/>
      <c r="B18" s="1995" t="s">
        <v>954</v>
      </c>
      <c r="C18" s="1996" t="s">
        <v>955</v>
      </c>
      <c r="D18" s="1997" t="s">
        <v>956</v>
      </c>
      <c r="E18" s="1998" t="s">
        <v>957</v>
      </c>
      <c r="F18" s="1999" t="s">
        <v>958</v>
      </c>
      <c r="G18" s="1999" t="s">
        <v>959</v>
      </c>
      <c r="H18" s="2000" t="s">
        <v>960</v>
      </c>
      <c r="I18" s="2001" t="s">
        <v>961</v>
      </c>
      <c r="J18" s="2002" t="s">
        <v>962</v>
      </c>
      <c r="K18" s="2003" t="s">
        <v>963</v>
      </c>
      <c r="L18" s="2004" t="s">
        <v>964</v>
      </c>
      <c r="M18" s="2004" t="s">
        <v>393</v>
      </c>
      <c r="N18" s="2004" t="s">
        <v>965</v>
      </c>
      <c r="O18" s="2004" t="s">
        <v>394</v>
      </c>
      <c r="P18" s="2004" t="s">
        <v>1284</v>
      </c>
      <c r="Q18" s="2004" t="s">
        <v>968</v>
      </c>
      <c r="R18" s="2004" t="s">
        <v>969</v>
      </c>
      <c r="S18" s="2004" t="s">
        <v>970</v>
      </c>
      <c r="T18" s="2004" t="s">
        <v>971</v>
      </c>
      <c r="U18" s="2004" t="s">
        <v>1285</v>
      </c>
      <c r="V18" s="2004" t="s">
        <v>972</v>
      </c>
      <c r="W18" s="2005" t="s">
        <v>973</v>
      </c>
    </row>
    <row r="19" spans="1:23" ht="15">
      <c r="A19" s="1984"/>
      <c r="B19" s="2006"/>
      <c r="C19" s="2007"/>
      <c r="D19" s="2007"/>
      <c r="E19" s="2008"/>
      <c r="F19" s="2009"/>
      <c r="G19" s="2009"/>
      <c r="H19" s="2010"/>
      <c r="I19" s="2008"/>
      <c r="J19" s="2011"/>
      <c r="K19" s="2012"/>
      <c r="L19" s="2007"/>
      <c r="M19" s="2007"/>
      <c r="N19" s="2007"/>
      <c r="O19" s="2007"/>
      <c r="P19" s="2013"/>
      <c r="Q19" s="2007"/>
      <c r="R19" s="2007"/>
      <c r="S19" s="2007"/>
      <c r="T19" s="2007"/>
      <c r="U19" s="2007"/>
      <c r="V19" s="2007"/>
      <c r="W19" s="2014"/>
    </row>
    <row r="20" spans="1:23" ht="15">
      <c r="A20" s="1984"/>
      <c r="B20" s="2015" t="s">
        <v>974</v>
      </c>
      <c r="C20" s="2016" t="s">
        <v>975</v>
      </c>
      <c r="D20" s="2017">
        <v>4.26</v>
      </c>
      <c r="E20" s="2018">
        <f>D20*1000000*0.9071847</f>
        <v>3864606.8219999997</v>
      </c>
      <c r="F20" s="2019">
        <v>125000</v>
      </c>
      <c r="G20" s="2020">
        <f>F20*0.9071847</f>
        <v>113398.08749999999</v>
      </c>
      <c r="H20" s="2021">
        <v>1992</v>
      </c>
      <c r="I20" s="2022">
        <v>2015</v>
      </c>
      <c r="J20" s="2023">
        <v>11300</v>
      </c>
      <c r="K20" s="2023">
        <v>4118</v>
      </c>
      <c r="L20" s="2024">
        <v>0.60960000000000003</v>
      </c>
      <c r="M20" s="2025">
        <f>K20*L20</f>
        <v>2510.3328000000001</v>
      </c>
      <c r="N20" s="2024">
        <v>0.98</v>
      </c>
      <c r="O20" s="2026">
        <f>M20*N20</f>
        <v>2460.1261440000003</v>
      </c>
      <c r="P20" s="2026">
        <f>O20*2.75</f>
        <v>6765.3468960000009</v>
      </c>
      <c r="Q20" s="2026">
        <f>M20*(1-N20)</f>
        <v>50.206656000000045</v>
      </c>
      <c r="R20" s="2026">
        <f>K20*(1-L20)</f>
        <v>1607.6671999999999</v>
      </c>
      <c r="S20" s="2024">
        <v>0.1</v>
      </c>
      <c r="T20" s="2026">
        <f>R20*(1-S20)</f>
        <v>1446.90048</v>
      </c>
      <c r="U20" s="2026">
        <f>T20+Q20</f>
        <v>1497.1071360000001</v>
      </c>
      <c r="V20" s="2018">
        <f>U20*21</f>
        <v>31439.249856000002</v>
      </c>
      <c r="W20" s="2027">
        <f>J20+P20+V20</f>
        <v>49504.596752000005</v>
      </c>
    </row>
    <row r="21" spans="1:23" ht="15">
      <c r="A21" s="1984"/>
      <c r="B21" s="2006"/>
      <c r="C21" s="2007" t="s">
        <v>976</v>
      </c>
      <c r="D21" s="2028">
        <v>1.5</v>
      </c>
      <c r="E21" s="2029">
        <f>D21*1000000*0.9071847</f>
        <v>1360777.05</v>
      </c>
      <c r="F21" s="2030">
        <v>75000</v>
      </c>
      <c r="G21" s="2030">
        <f>F21*0.9071847</f>
        <v>68038.852499999994</v>
      </c>
      <c r="H21" s="2009">
        <v>1971</v>
      </c>
      <c r="I21" s="2031">
        <v>1992</v>
      </c>
      <c r="J21" s="2032">
        <v>3136</v>
      </c>
      <c r="K21" s="2033">
        <v>1143</v>
      </c>
      <c r="L21" s="2034"/>
      <c r="M21" s="2035"/>
      <c r="N21" s="2034"/>
      <c r="O21" s="2013"/>
      <c r="P21" s="2013"/>
      <c r="Q21" s="2013"/>
      <c r="R21" s="2013">
        <f>K21</f>
        <v>1143</v>
      </c>
      <c r="S21" s="2034">
        <v>0.1</v>
      </c>
      <c r="T21" s="2013">
        <f>R21*(1-S21)</f>
        <v>1028.7</v>
      </c>
      <c r="U21" s="2013">
        <f>T21</f>
        <v>1028.7</v>
      </c>
      <c r="V21" s="2007">
        <f>U21*21</f>
        <v>21602.7</v>
      </c>
      <c r="W21" s="2036">
        <f>J21+V21</f>
        <v>24738.7</v>
      </c>
    </row>
    <row r="22" spans="1:23" ht="15">
      <c r="A22" s="1984"/>
      <c r="B22" s="2006"/>
      <c r="C22" s="2007"/>
      <c r="D22" s="2028"/>
      <c r="E22" s="2029"/>
      <c r="F22" s="2030"/>
      <c r="G22" s="2030"/>
      <c r="H22" s="2009"/>
      <c r="I22" s="2031"/>
      <c r="J22" s="2011"/>
      <c r="K22" s="2012"/>
      <c r="L22" s="2034"/>
      <c r="M22" s="2035"/>
      <c r="N22" s="2034"/>
      <c r="O22" s="2013"/>
      <c r="P22" s="2013"/>
      <c r="Q22" s="2013"/>
      <c r="R22" s="2013"/>
      <c r="S22" s="2007"/>
      <c r="T22" s="2013"/>
      <c r="U22" s="2007"/>
      <c r="V22" s="2007"/>
      <c r="W22" s="2036"/>
    </row>
    <row r="23" spans="1:23" ht="15">
      <c r="A23" s="1984"/>
      <c r="B23" s="2015" t="s">
        <v>977</v>
      </c>
      <c r="C23" s="2007" t="s">
        <v>978</v>
      </c>
      <c r="D23" s="2028">
        <v>0.85</v>
      </c>
      <c r="E23" s="2029">
        <f>D23*1000000*0.9071847</f>
        <v>771106.995</v>
      </c>
      <c r="F23" s="2030">
        <v>23000</v>
      </c>
      <c r="G23" s="2030">
        <f>F23*0.9071847</f>
        <v>20865.248100000001</v>
      </c>
      <c r="H23" s="2009">
        <v>1960</v>
      </c>
      <c r="I23" s="2031">
        <v>1993</v>
      </c>
      <c r="J23" s="2032">
        <v>1674</v>
      </c>
      <c r="K23" s="2033">
        <v>610.20000000000005</v>
      </c>
      <c r="L23" s="2034"/>
      <c r="M23" s="2035"/>
      <c r="N23" s="2034"/>
      <c r="O23" s="2013"/>
      <c r="P23" s="2013"/>
      <c r="Q23" s="2013"/>
      <c r="R23" s="2013">
        <f>K23</f>
        <v>610.20000000000005</v>
      </c>
      <c r="S23" s="2034">
        <v>0.1</v>
      </c>
      <c r="T23" s="2013">
        <f>R23*(1-S23)</f>
        <v>549.18000000000006</v>
      </c>
      <c r="U23" s="2013">
        <f>T23</f>
        <v>549.18000000000006</v>
      </c>
      <c r="V23" s="2029">
        <f>U23*21</f>
        <v>11532.78</v>
      </c>
      <c r="W23" s="2036">
        <f>J23+V23</f>
        <v>13206.78</v>
      </c>
    </row>
    <row r="24" spans="1:23" ht="15">
      <c r="A24" s="1984"/>
      <c r="B24" s="2006"/>
      <c r="C24" s="2007" t="s">
        <v>979</v>
      </c>
      <c r="D24" s="2028">
        <v>0.67</v>
      </c>
      <c r="E24" s="2029">
        <f>D24*1000000*0.9071847</f>
        <v>607813.74899999995</v>
      </c>
      <c r="F24" s="2030">
        <v>11000</v>
      </c>
      <c r="G24" s="2030">
        <f>F24*0.9071847</f>
        <v>9979.0316999999995</v>
      </c>
      <c r="H24" s="2009">
        <v>1976</v>
      </c>
      <c r="I24" s="2031">
        <v>1996</v>
      </c>
      <c r="J24" s="2032">
        <v>744.4</v>
      </c>
      <c r="K24" s="2033">
        <v>271.3</v>
      </c>
      <c r="L24" s="2034"/>
      <c r="M24" s="2035"/>
      <c r="N24" s="2034"/>
      <c r="O24" s="2013"/>
      <c r="P24" s="2013"/>
      <c r="Q24" s="2013"/>
      <c r="R24" s="2013">
        <f>K24</f>
        <v>271.3</v>
      </c>
      <c r="S24" s="2034">
        <v>0.1</v>
      </c>
      <c r="T24" s="2013">
        <f>R24*(1-S24)</f>
        <v>244.17000000000002</v>
      </c>
      <c r="U24" s="2013">
        <f>T24</f>
        <v>244.17000000000002</v>
      </c>
      <c r="V24" s="2029">
        <f>U24*21</f>
        <v>5127.5700000000006</v>
      </c>
      <c r="W24" s="2036">
        <f>J24+V24</f>
        <v>5871.97</v>
      </c>
    </row>
    <row r="25" spans="1:23" ht="15">
      <c r="A25" s="1984"/>
      <c r="B25" s="2006"/>
      <c r="C25" s="2037" t="s">
        <v>984</v>
      </c>
      <c r="D25" s="2038">
        <v>14.3</v>
      </c>
      <c r="E25" s="2039">
        <f>D25*1000000*0.9071847</f>
        <v>12972741.209999999</v>
      </c>
      <c r="F25" s="2040">
        <v>358288</v>
      </c>
      <c r="G25" s="2040">
        <f>F25*0.9071847</f>
        <v>325033.39179359999</v>
      </c>
      <c r="H25" s="2041">
        <v>1975</v>
      </c>
      <c r="I25" s="2042">
        <v>2060</v>
      </c>
      <c r="J25" s="2032">
        <v>25460</v>
      </c>
      <c r="K25" s="2033">
        <v>9280</v>
      </c>
      <c r="L25" s="2043">
        <v>0.92290000000000005</v>
      </c>
      <c r="M25" s="2044">
        <f>K25*L25</f>
        <v>8564.5120000000006</v>
      </c>
      <c r="N25" s="2045">
        <v>0.99909999999999999</v>
      </c>
      <c r="O25" s="2046">
        <f>M25*N25</f>
        <v>8556.803939200001</v>
      </c>
      <c r="P25" s="2046">
        <f>O25*2.75</f>
        <v>23531.210832800003</v>
      </c>
      <c r="Q25" s="2046">
        <f>M25*(1-N25)</f>
        <v>7.7080608000001023</v>
      </c>
      <c r="R25" s="2047">
        <f>K25*(1-L25)</f>
        <v>715.48799999999949</v>
      </c>
      <c r="S25" s="2048">
        <v>0.1</v>
      </c>
      <c r="T25" s="2047">
        <f>R25*(1-S25)</f>
        <v>643.93919999999957</v>
      </c>
      <c r="U25" s="2049">
        <f>T25+Q25</f>
        <v>651.64726079999969</v>
      </c>
      <c r="V25" s="2049">
        <f>U25*21</f>
        <v>13684.592476799993</v>
      </c>
      <c r="W25" s="2050">
        <f>J25+V25</f>
        <v>39144.592476799997</v>
      </c>
    </row>
    <row r="26" spans="1:23" ht="15">
      <c r="A26" s="1984"/>
      <c r="B26" s="2006"/>
      <c r="C26" s="2007" t="s">
        <v>985</v>
      </c>
      <c r="D26" s="2028">
        <v>0.7</v>
      </c>
      <c r="E26" s="2029">
        <f>D26*1000000*0.9071847</f>
        <v>635029.28999999992</v>
      </c>
      <c r="F26" s="2030">
        <v>61000</v>
      </c>
      <c r="G26" s="2030">
        <f>F26*0.9071847</f>
        <v>55338.2667</v>
      </c>
      <c r="H26" s="2009">
        <v>1982</v>
      </c>
      <c r="I26" s="2031">
        <v>1993</v>
      </c>
      <c r="J26" s="2032">
        <v>1977</v>
      </c>
      <c r="K26" s="2033">
        <v>720.6</v>
      </c>
      <c r="L26" s="2034"/>
      <c r="M26" s="2035"/>
      <c r="N26" s="2034"/>
      <c r="O26" s="2013"/>
      <c r="P26" s="2013"/>
      <c r="Q26" s="2013"/>
      <c r="R26" s="2013">
        <f>K26</f>
        <v>720.6</v>
      </c>
      <c r="S26" s="2034">
        <v>0.1</v>
      </c>
      <c r="T26" s="2013">
        <f>R26*(1-S26)</f>
        <v>648.54000000000008</v>
      </c>
      <c r="U26" s="2013">
        <f>T26</f>
        <v>648.54000000000008</v>
      </c>
      <c r="V26" s="2029">
        <f>U26*21</f>
        <v>13619.340000000002</v>
      </c>
      <c r="W26" s="2036">
        <f>J26+V26</f>
        <v>15596.340000000002</v>
      </c>
    </row>
    <row r="27" spans="1:23" ht="15">
      <c r="A27" s="1984"/>
      <c r="B27" s="2006"/>
      <c r="C27" s="2007"/>
      <c r="D27" s="2007"/>
      <c r="E27" s="2029"/>
      <c r="F27" s="2009"/>
      <c r="G27" s="2030"/>
      <c r="H27" s="2009"/>
      <c r="I27" s="2031"/>
      <c r="J27" s="2011"/>
      <c r="K27" s="2012"/>
      <c r="L27" s="2034"/>
      <c r="M27" s="2035"/>
      <c r="N27" s="2034"/>
      <c r="O27" s="2013"/>
      <c r="P27" s="2013"/>
      <c r="Q27" s="2013"/>
      <c r="R27" s="2013"/>
      <c r="S27" s="2007"/>
      <c r="T27" s="2013"/>
      <c r="U27" s="2007"/>
      <c r="V27" s="2007"/>
      <c r="W27" s="2036"/>
    </row>
    <row r="28" spans="1:23" ht="15">
      <c r="A28" s="1984"/>
      <c r="B28" s="2015" t="s">
        <v>986</v>
      </c>
      <c r="C28" s="2037" t="s">
        <v>987</v>
      </c>
      <c r="D28" s="2038">
        <v>18.320622</v>
      </c>
      <c r="E28" s="2039">
        <f>D28*1000000*0.9071847</f>
        <v>16620187.9728834</v>
      </c>
      <c r="F28" s="2040">
        <v>523000</v>
      </c>
      <c r="G28" s="2040">
        <f>F28*0.9071847</f>
        <v>474457.5981</v>
      </c>
      <c r="H28" s="2041">
        <v>1985</v>
      </c>
      <c r="I28" s="2042">
        <v>2019</v>
      </c>
      <c r="J28" s="2032">
        <v>37210</v>
      </c>
      <c r="K28" s="2033">
        <v>13560</v>
      </c>
      <c r="L28" s="2043">
        <v>0.2727</v>
      </c>
      <c r="M28" s="2044">
        <f>K28*L28</f>
        <v>3697.8119999999999</v>
      </c>
      <c r="N28" s="2045">
        <v>0.99909999999999999</v>
      </c>
      <c r="O28" s="2046">
        <f>M28*N28</f>
        <v>3694.4839692</v>
      </c>
      <c r="P28" s="2046">
        <f>O28*2.75</f>
        <v>10159.830915300001</v>
      </c>
      <c r="Q28" s="2046">
        <f>M28*(1-N28)</f>
        <v>3.328030800000044</v>
      </c>
      <c r="R28" s="2047">
        <f>K28*(1-L28)</f>
        <v>9862.1880000000001</v>
      </c>
      <c r="S28" s="2048">
        <v>0.1</v>
      </c>
      <c r="T28" s="2047">
        <f>R28*(1-S28)</f>
        <v>8875.9691999999995</v>
      </c>
      <c r="U28" s="2049">
        <f>T28+Q28</f>
        <v>8879.2972307999989</v>
      </c>
      <c r="V28" s="2049">
        <f>U28*21</f>
        <v>186465.24184679997</v>
      </c>
      <c r="W28" s="2050">
        <f>J28+V28</f>
        <v>223675.24184679997</v>
      </c>
    </row>
    <row r="29" spans="1:23" ht="15">
      <c r="A29" s="1984"/>
      <c r="B29" s="2006"/>
      <c r="C29" s="2007"/>
      <c r="D29" s="2028"/>
      <c r="E29" s="2029"/>
      <c r="F29" s="2030"/>
      <c r="G29" s="2030"/>
      <c r="H29" s="2009"/>
      <c r="I29" s="2031"/>
      <c r="J29" s="2011"/>
      <c r="K29" s="2012"/>
      <c r="L29" s="2034"/>
      <c r="M29" s="2035"/>
      <c r="N29" s="2034"/>
      <c r="O29" s="2013"/>
      <c r="P29" s="2013"/>
      <c r="Q29" s="2013"/>
      <c r="R29" s="2013"/>
      <c r="S29" s="2007"/>
      <c r="T29" s="2013"/>
      <c r="U29" s="2007"/>
      <c r="V29" s="2007"/>
      <c r="W29" s="2036"/>
    </row>
    <row r="30" spans="1:23" ht="15">
      <c r="A30" s="1984"/>
      <c r="B30" s="2006"/>
      <c r="C30" s="2007"/>
      <c r="D30" s="2028"/>
      <c r="E30" s="2029"/>
      <c r="F30" s="2030"/>
      <c r="G30" s="2030"/>
      <c r="H30" s="2009"/>
      <c r="I30" s="2031"/>
      <c r="J30" s="2011"/>
      <c r="K30" s="2012"/>
      <c r="L30" s="2034"/>
      <c r="M30" s="2035"/>
      <c r="N30" s="2034"/>
      <c r="O30" s="2013"/>
      <c r="P30" s="2013"/>
      <c r="Q30" s="2013"/>
      <c r="R30" s="2013"/>
      <c r="S30" s="2007"/>
      <c r="T30" s="2013"/>
      <c r="U30" s="2007"/>
      <c r="V30" s="2007"/>
      <c r="W30" s="2036"/>
    </row>
    <row r="31" spans="1:23" ht="15">
      <c r="A31" s="1984"/>
      <c r="B31" s="2015" t="s">
        <v>1286</v>
      </c>
      <c r="C31" s="2037" t="s">
        <v>988</v>
      </c>
      <c r="D31" s="2038">
        <v>22.812999999999999</v>
      </c>
      <c r="E31" s="2039">
        <f>D31*1000000*0.9071847</f>
        <v>20695604.561099999</v>
      </c>
      <c r="F31" s="2040">
        <v>250000</v>
      </c>
      <c r="G31" s="2040">
        <f>F31*0.9071847</f>
        <v>226796.17499999999</v>
      </c>
      <c r="H31" s="2041">
        <v>1982</v>
      </c>
      <c r="I31" s="2042">
        <v>2033</v>
      </c>
      <c r="J31" s="2032">
        <v>15020</v>
      </c>
      <c r="K31" s="2033">
        <v>6690</v>
      </c>
      <c r="L31" s="2043">
        <v>0.436</v>
      </c>
      <c r="M31" s="2044">
        <f>K31*L31</f>
        <v>2916.84</v>
      </c>
      <c r="N31" s="2043">
        <v>0.98</v>
      </c>
      <c r="O31" s="2046">
        <f>M31*N31</f>
        <v>2858.5032000000001</v>
      </c>
      <c r="P31" s="2046">
        <f>O31*2.75</f>
        <v>7860.8838000000005</v>
      </c>
      <c r="Q31" s="2046">
        <f>M31*(1-N31)</f>
        <v>58.336800000000054</v>
      </c>
      <c r="R31" s="2046">
        <f>K31*(1-L31)</f>
        <v>3773.1600000000003</v>
      </c>
      <c r="S31" s="2043">
        <v>0.1</v>
      </c>
      <c r="T31" s="2046">
        <f>R31*(1-S31)</f>
        <v>3395.8440000000005</v>
      </c>
      <c r="U31" s="2051">
        <f>T31+Q31</f>
        <v>3454.1808000000005</v>
      </c>
      <c r="V31" s="2039">
        <f>U31*21</f>
        <v>72537.796800000011</v>
      </c>
      <c r="W31" s="2052">
        <f>J31+P31+V31</f>
        <v>95418.680600000007</v>
      </c>
    </row>
    <row r="32" spans="1:23" ht="15">
      <c r="A32" s="1984"/>
      <c r="B32" s="2006"/>
      <c r="C32" s="2007"/>
      <c r="D32" s="2028"/>
      <c r="E32" s="2029"/>
      <c r="F32" s="2030"/>
      <c r="G32" s="2030"/>
      <c r="H32" s="2009"/>
      <c r="I32" s="2031"/>
      <c r="J32" s="2011"/>
      <c r="K32" s="2012"/>
      <c r="L32" s="2034"/>
      <c r="M32" s="2035"/>
      <c r="N32" s="2034"/>
      <c r="O32" s="2013"/>
      <c r="P32" s="2013"/>
      <c r="Q32" s="2013"/>
      <c r="R32" s="2013"/>
      <c r="S32" s="2007"/>
      <c r="T32" s="2013"/>
      <c r="U32" s="2007"/>
      <c r="V32" s="2007"/>
      <c r="W32" s="2036"/>
    </row>
    <row r="33" spans="1:23" ht="15">
      <c r="A33" s="1984"/>
      <c r="B33" s="2015" t="s">
        <v>989</v>
      </c>
      <c r="C33" s="2007" t="s">
        <v>990</v>
      </c>
      <c r="D33" s="2028">
        <v>2.7992900000000001</v>
      </c>
      <c r="E33" s="2029">
        <f>D33*1000000*0.9071847</f>
        <v>2539473.058863</v>
      </c>
      <c r="F33" s="2030">
        <v>20000</v>
      </c>
      <c r="G33" s="2030">
        <f>F33*0.9071847</f>
        <v>18143.694</v>
      </c>
      <c r="H33" s="2009">
        <v>1992</v>
      </c>
      <c r="I33" s="2031">
        <v>2037</v>
      </c>
      <c r="J33" s="2032">
        <v>19390</v>
      </c>
      <c r="K33" s="2033">
        <v>706.7</v>
      </c>
      <c r="L33" s="2034"/>
      <c r="M33" s="2035"/>
      <c r="N33" s="2034"/>
      <c r="O33" s="2013"/>
      <c r="P33" s="2013"/>
      <c r="Q33" s="2013"/>
      <c r="R33" s="2013">
        <f>K33</f>
        <v>706.7</v>
      </c>
      <c r="S33" s="2034">
        <v>0.1</v>
      </c>
      <c r="T33" s="2013">
        <f>R33*(1-S33)</f>
        <v>636.03000000000009</v>
      </c>
      <c r="U33" s="2013">
        <f>T33</f>
        <v>636.03000000000009</v>
      </c>
      <c r="V33" s="2029">
        <f>U33*21</f>
        <v>13356.630000000001</v>
      </c>
      <c r="W33" s="2036">
        <f>J33+V33</f>
        <v>32746.63</v>
      </c>
    </row>
    <row r="34" spans="1:23" ht="15">
      <c r="A34" s="1984"/>
      <c r="B34" s="2006"/>
      <c r="C34" s="2007" t="s">
        <v>991</v>
      </c>
      <c r="D34" s="2028">
        <v>0.6</v>
      </c>
      <c r="E34" s="2029">
        <f>D34*1000000*0.9071847</f>
        <v>544310.81999999995</v>
      </c>
      <c r="F34" s="2030">
        <v>28000</v>
      </c>
      <c r="G34" s="2030">
        <f>F34*0.9071847</f>
        <v>25401.171599999998</v>
      </c>
      <c r="H34" s="2009">
        <v>1975</v>
      </c>
      <c r="I34" s="2031">
        <v>1993</v>
      </c>
      <c r="J34" s="2032">
        <v>1433</v>
      </c>
      <c r="K34" s="2033">
        <v>5223</v>
      </c>
      <c r="L34" s="2034"/>
      <c r="M34" s="2035"/>
      <c r="N34" s="2034"/>
      <c r="O34" s="2013"/>
      <c r="P34" s="2013"/>
      <c r="Q34" s="2013"/>
      <c r="R34" s="2013">
        <f>K34</f>
        <v>5223</v>
      </c>
      <c r="S34" s="2034">
        <v>0.1</v>
      </c>
      <c r="T34" s="2013">
        <f>R34*(1-S34)</f>
        <v>4700.7</v>
      </c>
      <c r="U34" s="2013">
        <f>T34</f>
        <v>4700.7</v>
      </c>
      <c r="V34" s="2029">
        <f>U34*21</f>
        <v>98714.7</v>
      </c>
      <c r="W34" s="2036">
        <f>J34+V34</f>
        <v>100147.7</v>
      </c>
    </row>
    <row r="35" spans="1:23" ht="15">
      <c r="A35" s="1984"/>
      <c r="B35" s="2006"/>
      <c r="C35" s="2007"/>
      <c r="D35" s="2028"/>
      <c r="E35" s="2029"/>
      <c r="F35" s="2030"/>
      <c r="G35" s="2030"/>
      <c r="H35" s="2009"/>
      <c r="I35" s="2031"/>
      <c r="J35" s="2011"/>
      <c r="K35" s="2012"/>
      <c r="L35" s="2034"/>
      <c r="M35" s="2035"/>
      <c r="N35" s="2034"/>
      <c r="O35" s="2013"/>
      <c r="P35" s="2013"/>
      <c r="Q35" s="2013"/>
      <c r="R35" s="2013"/>
      <c r="S35" s="2007"/>
      <c r="T35" s="2013"/>
      <c r="U35" s="2007"/>
      <c r="V35" s="2007"/>
      <c r="W35" s="2036"/>
    </row>
    <row r="36" spans="1:23" ht="15">
      <c r="A36" s="1984"/>
      <c r="B36" s="2015" t="s">
        <v>992</v>
      </c>
      <c r="C36" s="2007" t="s">
        <v>993</v>
      </c>
      <c r="D36" s="2007">
        <v>0.5</v>
      </c>
      <c r="E36" s="2029">
        <f>D36*1000000*0.9071847</f>
        <v>453592.35</v>
      </c>
      <c r="F36" s="2009">
        <v>35000</v>
      </c>
      <c r="G36" s="2030">
        <f>F36*0.9071847</f>
        <v>31751.464499999998</v>
      </c>
      <c r="H36" s="2009">
        <v>1981</v>
      </c>
      <c r="I36" s="2031">
        <v>1994</v>
      </c>
      <c r="J36" s="2032">
        <v>1283</v>
      </c>
      <c r="K36" s="2033">
        <v>467.6</v>
      </c>
      <c r="L36" s="2034"/>
      <c r="M36" s="2035"/>
      <c r="N36" s="2034"/>
      <c r="O36" s="2013"/>
      <c r="P36" s="2013"/>
      <c r="Q36" s="2013"/>
      <c r="R36" s="2013">
        <f>K36</f>
        <v>467.6</v>
      </c>
      <c r="S36" s="2034">
        <v>0.1</v>
      </c>
      <c r="T36" s="2013">
        <f>R36*(1-S36)</f>
        <v>420.84000000000003</v>
      </c>
      <c r="U36" s="2013">
        <f>T36</f>
        <v>420.84000000000003</v>
      </c>
      <c r="V36" s="2007">
        <f>U36*21</f>
        <v>8837.6400000000012</v>
      </c>
      <c r="W36" s="2036">
        <f>J36+V36</f>
        <v>10120.640000000001</v>
      </c>
    </row>
    <row r="37" spans="1:23" ht="15">
      <c r="A37" s="1984"/>
      <c r="B37" s="2006"/>
      <c r="C37" s="2016" t="s">
        <v>994</v>
      </c>
      <c r="D37" s="2017">
        <v>3.5041869999999999</v>
      </c>
      <c r="E37" s="2018">
        <f>D37*1000000*0.9071847</f>
        <v>3178944.8323388998</v>
      </c>
      <c r="F37" s="2020">
        <v>80000</v>
      </c>
      <c r="G37" s="2020">
        <f>F37*0.9071847</f>
        <v>72574.775999999998</v>
      </c>
      <c r="H37" s="2021">
        <v>1988</v>
      </c>
      <c r="I37" s="2022">
        <v>2053</v>
      </c>
      <c r="J37" s="2023">
        <v>3728</v>
      </c>
      <c r="K37" s="2023">
        <v>1359</v>
      </c>
      <c r="L37" s="2024">
        <v>0.12809999999999999</v>
      </c>
      <c r="M37" s="2025">
        <f>K37*L37</f>
        <v>174.08789999999999</v>
      </c>
      <c r="N37" s="2024">
        <v>0.97699999999999998</v>
      </c>
      <c r="O37" s="2026">
        <f>M37*N37</f>
        <v>170.08387829999998</v>
      </c>
      <c r="P37" s="2026">
        <f>O37*2.75</f>
        <v>467.73066532499996</v>
      </c>
      <c r="Q37" s="2026">
        <f>M37*(1-N37)</f>
        <v>4.0040217000000036</v>
      </c>
      <c r="R37" s="2026">
        <f>K37</f>
        <v>1359</v>
      </c>
      <c r="S37" s="2024">
        <v>0.1</v>
      </c>
      <c r="T37" s="2026">
        <f>R37*(1-S37)</f>
        <v>1223.1000000000001</v>
      </c>
      <c r="U37" s="2026">
        <f>T37</f>
        <v>1223.1000000000001</v>
      </c>
      <c r="V37" s="2053">
        <f>U37*21</f>
        <v>25685.100000000002</v>
      </c>
      <c r="W37" s="2027">
        <f>J37+V37</f>
        <v>29413.100000000002</v>
      </c>
    </row>
    <row r="38" spans="1:23" ht="15">
      <c r="A38" s="1984"/>
      <c r="B38" s="2006"/>
      <c r="C38" s="2007"/>
      <c r="D38" s="2028"/>
      <c r="E38" s="2029"/>
      <c r="F38" s="2030"/>
      <c r="G38" s="2030"/>
      <c r="H38" s="2009"/>
      <c r="I38" s="2031"/>
      <c r="J38" s="2011"/>
      <c r="K38" s="2012"/>
      <c r="L38" s="2034"/>
      <c r="M38" s="2035"/>
      <c r="N38" s="2034"/>
      <c r="O38" s="2013"/>
      <c r="P38" s="2013"/>
      <c r="Q38" s="2013"/>
      <c r="R38" s="2013"/>
      <c r="S38" s="2007"/>
      <c r="T38" s="2013"/>
      <c r="U38" s="2007"/>
      <c r="V38" s="2007"/>
      <c r="W38" s="2036"/>
    </row>
    <row r="39" spans="1:23" ht="15">
      <c r="A39" s="1984"/>
      <c r="B39" s="2015" t="s">
        <v>995</v>
      </c>
      <c r="C39" s="2016" t="s">
        <v>996</v>
      </c>
      <c r="D39" s="2017">
        <v>4.5049999999999999</v>
      </c>
      <c r="E39" s="2018">
        <f>D39*1000000*0.9071847</f>
        <v>4086867.0734999999</v>
      </c>
      <c r="F39" s="2020"/>
      <c r="G39" s="2020">
        <v>60623.332999999999</v>
      </c>
      <c r="H39" s="2021">
        <v>1978</v>
      </c>
      <c r="I39" s="2022">
        <v>2046</v>
      </c>
      <c r="J39" s="2023">
        <v>10760</v>
      </c>
      <c r="K39" s="2023">
        <v>3922</v>
      </c>
      <c r="L39" s="2024">
        <v>0.66620000000000001</v>
      </c>
      <c r="M39" s="2025">
        <f>K39*L39</f>
        <v>2612.8364000000001</v>
      </c>
      <c r="N39" s="2024">
        <v>0.98</v>
      </c>
      <c r="O39" s="2026">
        <f>M39*N39</f>
        <v>2560.5796720000003</v>
      </c>
      <c r="P39" s="2026">
        <f>O39*2.75</f>
        <v>7041.5940980000005</v>
      </c>
      <c r="Q39" s="2026">
        <f>M39*(1-N39)</f>
        <v>52.256728000000052</v>
      </c>
      <c r="R39" s="2026">
        <f>K39*(1-L39)</f>
        <v>1309.1635999999999</v>
      </c>
      <c r="S39" s="2024">
        <v>0.1</v>
      </c>
      <c r="T39" s="2026">
        <f>R39*(1-S39)</f>
        <v>1178.2472399999999</v>
      </c>
      <c r="U39" s="2026">
        <f>T39+Q39</f>
        <v>1230.503968</v>
      </c>
      <c r="V39" s="2018">
        <f>U39*21</f>
        <v>25840.583328000001</v>
      </c>
      <c r="W39" s="2027">
        <f>J39+P39+V39</f>
        <v>43642.177426000002</v>
      </c>
    </row>
    <row r="40" spans="1:23" ht="15">
      <c r="A40" s="1984"/>
      <c r="B40" s="2006"/>
      <c r="C40" s="2007"/>
      <c r="D40" s="2028"/>
      <c r="E40" s="2029"/>
      <c r="F40" s="2030"/>
      <c r="G40" s="2030"/>
      <c r="H40" s="2009"/>
      <c r="I40" s="2031"/>
      <c r="J40" s="2011"/>
      <c r="K40" s="2012"/>
      <c r="L40" s="2034"/>
      <c r="M40" s="2035"/>
      <c r="N40" s="2034"/>
      <c r="O40" s="2013"/>
      <c r="P40" s="2013"/>
      <c r="Q40" s="2013"/>
      <c r="R40" s="2013"/>
      <c r="S40" s="2007"/>
      <c r="T40" s="2013"/>
      <c r="U40" s="2007"/>
      <c r="V40" s="2007"/>
      <c r="W40" s="2036"/>
    </row>
    <row r="41" spans="1:23" ht="15">
      <c r="A41" s="1984"/>
      <c r="B41" s="2015" t="s">
        <v>997</v>
      </c>
      <c r="C41" s="2016" t="s">
        <v>998</v>
      </c>
      <c r="D41" s="2017">
        <v>4.3746999999999998</v>
      </c>
      <c r="E41" s="2018">
        <f>D41*1000000*0.9071847</f>
        <v>3968660.9070899999</v>
      </c>
      <c r="F41" s="2020">
        <v>82000</v>
      </c>
      <c r="G41" s="2020">
        <f>F41*0.9071847</f>
        <v>74389.145399999994</v>
      </c>
      <c r="H41" s="2021">
        <v>1994</v>
      </c>
      <c r="I41" s="2022">
        <v>2040</v>
      </c>
      <c r="J41" s="2023">
        <f>12690</f>
        <v>12690</v>
      </c>
      <c r="K41" s="2023">
        <f>4625</f>
        <v>4625</v>
      </c>
      <c r="L41" s="2024">
        <v>0.7</v>
      </c>
      <c r="M41" s="2025">
        <f>K41*L41</f>
        <v>3237.5</v>
      </c>
      <c r="N41" s="2024">
        <v>0.98</v>
      </c>
      <c r="O41" s="2026">
        <f>M41*N41</f>
        <v>3172.75</v>
      </c>
      <c r="P41" s="2026">
        <f>O41*2.75</f>
        <v>8725.0625</v>
      </c>
      <c r="Q41" s="2026">
        <f>M41*(1-N41)</f>
        <v>64.750000000000057</v>
      </c>
      <c r="R41" s="2026">
        <f>K41*(1-L41)</f>
        <v>1387.5000000000002</v>
      </c>
      <c r="S41" s="2024">
        <v>0.1</v>
      </c>
      <c r="T41" s="2026">
        <f>R41*(1-S41)</f>
        <v>1248.7500000000002</v>
      </c>
      <c r="U41" s="2026">
        <f>T41+Q41</f>
        <v>1313.5000000000002</v>
      </c>
      <c r="V41" s="2018">
        <f>U41*21</f>
        <v>27583.500000000004</v>
      </c>
      <c r="W41" s="2027">
        <f>J41+P41+V41</f>
        <v>48998.5625</v>
      </c>
    </row>
    <row r="42" spans="1:23" ht="15">
      <c r="A42" s="1984"/>
      <c r="B42" s="2006"/>
      <c r="C42" s="2007" t="s">
        <v>999</v>
      </c>
      <c r="D42" s="2028">
        <v>1.5</v>
      </c>
      <c r="E42" s="2029">
        <f>D42*1000000*0.9071847</f>
        <v>1360777.05</v>
      </c>
      <c r="F42" s="2030">
        <v>75000</v>
      </c>
      <c r="G42" s="2030">
        <f>F42*0.9071847</f>
        <v>68038.852499999994</v>
      </c>
      <c r="H42" s="2009">
        <v>1974</v>
      </c>
      <c r="I42" s="2031">
        <v>1994</v>
      </c>
      <c r="J42" s="2032"/>
      <c r="K42" s="2033"/>
      <c r="L42" s="2034"/>
      <c r="M42" s="2035"/>
      <c r="N42" s="2034"/>
      <c r="O42" s="2013"/>
      <c r="P42" s="2013"/>
      <c r="Q42" s="2013"/>
      <c r="R42" s="2013">
        <f>K42</f>
        <v>0</v>
      </c>
      <c r="S42" s="2034">
        <v>0.1</v>
      </c>
      <c r="T42" s="2013">
        <f>R42*(1-S42)</f>
        <v>0</v>
      </c>
      <c r="U42" s="2013">
        <f>T42</f>
        <v>0</v>
      </c>
      <c r="V42" s="2007">
        <f>U42*21</f>
        <v>0</v>
      </c>
      <c r="W42" s="2036">
        <f>J42+V42</f>
        <v>0</v>
      </c>
    </row>
    <row r="43" spans="1:23" ht="15">
      <c r="A43" s="1984"/>
      <c r="B43" s="2006"/>
      <c r="C43" s="2007"/>
      <c r="D43" s="2028"/>
      <c r="E43" s="2029"/>
      <c r="F43" s="2030"/>
      <c r="G43" s="2030"/>
      <c r="H43" s="2009"/>
      <c r="I43" s="2031"/>
      <c r="J43" s="2011"/>
      <c r="K43" s="2012"/>
      <c r="L43" s="2034"/>
      <c r="M43" s="2035"/>
      <c r="N43" s="2034"/>
      <c r="O43" s="2013"/>
      <c r="P43" s="2013"/>
      <c r="Q43" s="2013"/>
      <c r="R43" s="2013"/>
      <c r="S43" s="2007"/>
      <c r="T43" s="2013"/>
      <c r="U43" s="2007"/>
      <c r="V43" s="2007"/>
      <c r="W43" s="2036"/>
    </row>
    <row r="44" spans="1:23" ht="15">
      <c r="A44" s="1984"/>
      <c r="B44" s="2015" t="s">
        <v>1000</v>
      </c>
      <c r="C44" s="2007" t="s">
        <v>1001</v>
      </c>
      <c r="D44" s="2028">
        <v>0.8</v>
      </c>
      <c r="E44" s="2029">
        <f>D44*1000000*0.9071847</f>
        <v>725747.76</v>
      </c>
      <c r="F44" s="2030">
        <v>35000</v>
      </c>
      <c r="G44" s="2030">
        <f>F44*0.9071847</f>
        <v>31751.464499999998</v>
      </c>
      <c r="H44" s="2009">
        <v>1973</v>
      </c>
      <c r="I44" s="2031">
        <v>1995</v>
      </c>
      <c r="J44" s="2032">
        <v>1251</v>
      </c>
      <c r="K44" s="2033">
        <v>456</v>
      </c>
      <c r="L44" s="2034"/>
      <c r="M44" s="2035"/>
      <c r="N44" s="2034"/>
      <c r="O44" s="2013"/>
      <c r="P44" s="2013"/>
      <c r="Q44" s="2013"/>
      <c r="R44" s="2013">
        <f>K44</f>
        <v>456</v>
      </c>
      <c r="S44" s="2034">
        <v>0.1</v>
      </c>
      <c r="T44" s="2013">
        <f>R44*(1-S44)</f>
        <v>410.40000000000003</v>
      </c>
      <c r="U44" s="2013">
        <f>T44</f>
        <v>410.40000000000003</v>
      </c>
      <c r="V44" s="2029">
        <f>U44*21</f>
        <v>8618.4000000000015</v>
      </c>
      <c r="W44" s="2036">
        <f>J44+V44</f>
        <v>9869.4000000000015</v>
      </c>
    </row>
    <row r="45" spans="1:23" ht="15">
      <c r="A45" s="1984"/>
      <c r="B45" s="2006"/>
      <c r="C45" s="2007" t="s">
        <v>1002</v>
      </c>
      <c r="D45" s="2028">
        <v>4.0999999999999996</v>
      </c>
      <c r="E45" s="2029">
        <f>D45*1000000*0.9071847</f>
        <v>3719457.2699999996</v>
      </c>
      <c r="F45" s="2030"/>
      <c r="G45" s="2030"/>
      <c r="H45" s="2009">
        <v>1996</v>
      </c>
      <c r="I45" s="2031">
        <v>2010</v>
      </c>
      <c r="J45" s="2032">
        <v>8574</v>
      </c>
      <c r="K45" s="2033">
        <v>3125</v>
      </c>
      <c r="L45" s="2034"/>
      <c r="M45" s="2035"/>
      <c r="N45" s="2034"/>
      <c r="O45" s="2013"/>
      <c r="P45" s="2013"/>
      <c r="Q45" s="2013"/>
      <c r="R45" s="2054">
        <f>K45</f>
        <v>3125</v>
      </c>
      <c r="S45" s="2055">
        <v>0.1</v>
      </c>
      <c r="T45" s="2054">
        <f>R45*(1-S45)</f>
        <v>2812.5</v>
      </c>
      <c r="U45" s="2029">
        <f>T45</f>
        <v>2812.5</v>
      </c>
      <c r="V45" s="2029">
        <f>U45*21</f>
        <v>59062.5</v>
      </c>
      <c r="W45" s="2056">
        <f>J45+V45</f>
        <v>67636.5</v>
      </c>
    </row>
    <row r="46" spans="1:23" ht="15">
      <c r="A46" s="1984"/>
      <c r="B46" s="2006"/>
      <c r="C46" s="2007"/>
      <c r="D46" s="2028"/>
      <c r="E46" s="2029"/>
      <c r="F46" s="2030"/>
      <c r="G46" s="2030"/>
      <c r="H46" s="2009"/>
      <c r="I46" s="2031"/>
      <c r="J46" s="2011"/>
      <c r="K46" s="2012"/>
      <c r="L46" s="2034"/>
      <c r="M46" s="2035"/>
      <c r="N46" s="2034"/>
      <c r="O46" s="2013"/>
      <c r="P46" s="2013"/>
      <c r="Q46" s="2013"/>
      <c r="R46" s="2013"/>
      <c r="S46" s="2007"/>
      <c r="T46" s="2013"/>
      <c r="U46" s="2007"/>
      <c r="V46" s="2007"/>
      <c r="W46" s="2036"/>
    </row>
    <row r="47" spans="1:23" ht="15">
      <c r="A47" s="1984"/>
      <c r="B47" s="2015" t="s">
        <v>1003</v>
      </c>
      <c r="C47" s="2007" t="s">
        <v>1004</v>
      </c>
      <c r="D47" s="2028">
        <v>1.0008999999999999</v>
      </c>
      <c r="E47" s="2029">
        <f>D47*1000000*0.9071847</f>
        <v>908001.16622999986</v>
      </c>
      <c r="F47" s="2030"/>
      <c r="G47" s="2030">
        <f>F47*0.9071847</f>
        <v>0</v>
      </c>
      <c r="H47" s="2009">
        <v>1991</v>
      </c>
      <c r="I47" s="2031">
        <v>2504</v>
      </c>
      <c r="J47" s="2032">
        <v>185.9</v>
      </c>
      <c r="K47" s="2033">
        <v>67.760000000000005</v>
      </c>
      <c r="L47" s="2034"/>
      <c r="M47" s="2035"/>
      <c r="N47" s="2034"/>
      <c r="O47" s="2013"/>
      <c r="P47" s="2013"/>
      <c r="Q47" s="2013"/>
      <c r="R47" s="2013">
        <f>K47</f>
        <v>67.760000000000005</v>
      </c>
      <c r="S47" s="2034">
        <v>0.1</v>
      </c>
      <c r="T47" s="2013">
        <f>R47*(1-S47)</f>
        <v>60.984000000000009</v>
      </c>
      <c r="U47" s="2013">
        <f>T47</f>
        <v>60.984000000000009</v>
      </c>
      <c r="V47" s="2007">
        <f>U47*21</f>
        <v>1280.6640000000002</v>
      </c>
      <c r="W47" s="2036">
        <f>J47+V47</f>
        <v>1466.5640000000003</v>
      </c>
    </row>
    <row r="48" spans="1:23" ht="15">
      <c r="A48" s="1984"/>
      <c r="B48" s="2006"/>
      <c r="C48" s="2037" t="s">
        <v>1287</v>
      </c>
      <c r="D48" s="2038">
        <v>2.1</v>
      </c>
      <c r="E48" s="2039">
        <f>D48*1000000*0.9071847</f>
        <v>1905087.8699999999</v>
      </c>
      <c r="F48" s="2040">
        <v>69200</v>
      </c>
      <c r="G48" s="2040">
        <f>F48*0.9071847</f>
        <v>62777.181239999998</v>
      </c>
      <c r="H48" s="2041">
        <v>1968</v>
      </c>
      <c r="I48" s="2042">
        <v>1997</v>
      </c>
      <c r="J48" s="2032">
        <v>6558</v>
      </c>
      <c r="K48" s="2033">
        <v>2390</v>
      </c>
      <c r="L48" s="2043">
        <v>0.74829999999999997</v>
      </c>
      <c r="M48" s="2044">
        <f>K48*L48</f>
        <v>1788.4369999999999</v>
      </c>
      <c r="N48" s="2043">
        <v>0.98</v>
      </c>
      <c r="O48" s="2046">
        <f>M48*N48</f>
        <v>1752.6682599999999</v>
      </c>
      <c r="P48" s="2046">
        <f>O48*2.75</f>
        <v>4819.8377149999997</v>
      </c>
      <c r="Q48" s="2046">
        <f>M48*(1-N48)</f>
        <v>35.76874000000003</v>
      </c>
      <c r="R48" s="2046">
        <f>K48*(1-L48)</f>
        <v>601.5630000000001</v>
      </c>
      <c r="S48" s="2043">
        <v>0.1</v>
      </c>
      <c r="T48" s="2046">
        <f>R48*(1-S48)</f>
        <v>541.40670000000011</v>
      </c>
      <c r="U48" s="2046">
        <f>T48+Q48</f>
        <v>577.17544000000009</v>
      </c>
      <c r="V48" s="2039">
        <f>U48*21</f>
        <v>12120.684240000002</v>
      </c>
      <c r="W48" s="2052">
        <f>J48+P48+V48</f>
        <v>23498.521955000004</v>
      </c>
    </row>
    <row r="49" spans="1:23" ht="15">
      <c r="A49" s="1984"/>
      <c r="B49" s="2006"/>
      <c r="C49" s="2007" t="s">
        <v>1288</v>
      </c>
      <c r="D49" s="2028">
        <v>4.2261879999999996</v>
      </c>
      <c r="E49" s="2029">
        <f>D49*1000000*0.9071847</f>
        <v>3833933.0929235998</v>
      </c>
      <c r="F49" s="2030">
        <v>100000</v>
      </c>
      <c r="G49" s="2030">
        <f>F49*0.9071847</f>
        <v>90718.47</v>
      </c>
      <c r="H49" s="2009">
        <v>1995</v>
      </c>
      <c r="I49" s="2031">
        <v>2045</v>
      </c>
      <c r="J49" s="2032">
        <v>1159</v>
      </c>
      <c r="K49" s="2033">
        <v>422.4</v>
      </c>
      <c r="L49" s="2034"/>
      <c r="M49" s="2035"/>
      <c r="N49" s="2034"/>
      <c r="O49" s="2013"/>
      <c r="P49" s="2013"/>
      <c r="Q49" s="2013"/>
      <c r="R49" s="2054">
        <f>K49</f>
        <v>422.4</v>
      </c>
      <c r="S49" s="2055">
        <v>0.1</v>
      </c>
      <c r="T49" s="2054">
        <f>R49*(1-S49)</f>
        <v>380.15999999999997</v>
      </c>
      <c r="U49" s="2057">
        <f>T49</f>
        <v>380.15999999999997</v>
      </c>
      <c r="V49" s="2057">
        <f>U49*21</f>
        <v>7983.36</v>
      </c>
      <c r="W49" s="2036">
        <f>J49+V49</f>
        <v>9142.36</v>
      </c>
    </row>
    <row r="50" spans="1:23" ht="15">
      <c r="A50" s="1984"/>
      <c r="B50" s="2006"/>
      <c r="C50" s="2007"/>
      <c r="D50" s="2028"/>
      <c r="E50" s="2029"/>
      <c r="F50" s="2030"/>
      <c r="G50" s="2030"/>
      <c r="H50" s="2009"/>
      <c r="I50" s="2031"/>
      <c r="J50" s="2011"/>
      <c r="K50" s="2012"/>
      <c r="L50" s="2034"/>
      <c r="M50" s="2035"/>
      <c r="N50" s="2034"/>
      <c r="O50" s="2013"/>
      <c r="P50" s="2013"/>
      <c r="Q50" s="2013"/>
      <c r="R50" s="2013"/>
      <c r="S50" s="2007"/>
      <c r="T50" s="2013"/>
      <c r="U50" s="2007"/>
      <c r="V50" s="2007"/>
      <c r="W50" s="2036"/>
    </row>
    <row r="51" spans="1:23" ht="15">
      <c r="A51" s="1984"/>
      <c r="B51" s="2015" t="s">
        <v>1005</v>
      </c>
      <c r="C51" s="2007" t="s">
        <v>1006</v>
      </c>
      <c r="D51" s="2028">
        <v>1.537185</v>
      </c>
      <c r="E51" s="2029">
        <f>D51*1000000*0.9071847</f>
        <v>1394510.7130694999</v>
      </c>
      <c r="F51" s="2030">
        <v>38000</v>
      </c>
      <c r="G51" s="2030">
        <f>F51*0.9071847</f>
        <v>34473.018599999996</v>
      </c>
      <c r="H51" s="2009">
        <v>1994</v>
      </c>
      <c r="I51" s="2031">
        <v>2028</v>
      </c>
      <c r="J51" s="2032">
        <v>2581</v>
      </c>
      <c r="K51" s="2033">
        <v>940.8</v>
      </c>
      <c r="L51" s="2034"/>
      <c r="M51" s="2035"/>
      <c r="N51" s="2034"/>
      <c r="O51" s="2013"/>
      <c r="P51" s="2013"/>
      <c r="Q51" s="2013"/>
      <c r="R51" s="2054">
        <f>K51</f>
        <v>940.8</v>
      </c>
      <c r="S51" s="2055">
        <v>0.1</v>
      </c>
      <c r="T51" s="2054">
        <f>R51*(1-S51)</f>
        <v>846.72</v>
      </c>
      <c r="U51" s="2029">
        <f>T51</f>
        <v>846.72</v>
      </c>
      <c r="V51" s="2029">
        <f>U51*21</f>
        <v>17781.12</v>
      </c>
      <c r="W51" s="2056">
        <f>J51+V51</f>
        <v>20362.12</v>
      </c>
    </row>
    <row r="52" spans="1:23" ht="15">
      <c r="A52" s="1984"/>
      <c r="B52" s="2006"/>
      <c r="C52" s="2007" t="s">
        <v>1007</v>
      </c>
      <c r="D52" s="2028">
        <v>0.8</v>
      </c>
      <c r="E52" s="2029">
        <f>D52*1000000*0.9071847</f>
        <v>725747.76</v>
      </c>
      <c r="F52" s="2030">
        <v>20000</v>
      </c>
      <c r="G52" s="2030">
        <f>F52*0.9071847</f>
        <v>18143.694</v>
      </c>
      <c r="H52" s="2009">
        <v>1974</v>
      </c>
      <c r="I52" s="2031">
        <v>1994</v>
      </c>
      <c r="J52" s="2032">
        <v>1825</v>
      </c>
      <c r="K52" s="2033">
        <v>665.2</v>
      </c>
      <c r="L52" s="2034"/>
      <c r="M52" s="2035"/>
      <c r="N52" s="2034"/>
      <c r="O52" s="2013"/>
      <c r="P52" s="2013"/>
      <c r="Q52" s="2013"/>
      <c r="R52" s="2054">
        <f>K52</f>
        <v>665.2</v>
      </c>
      <c r="S52" s="2055">
        <v>0.1</v>
      </c>
      <c r="T52" s="2054">
        <f>R52*(1-S52)</f>
        <v>598.68000000000006</v>
      </c>
      <c r="U52" s="2029">
        <f>T52</f>
        <v>598.68000000000006</v>
      </c>
      <c r="V52" s="2029">
        <f>U52*21</f>
        <v>12572.28</v>
      </c>
      <c r="W52" s="2056">
        <f>J52+V52</f>
        <v>14397.28</v>
      </c>
    </row>
    <row r="53" spans="1:23" ht="15">
      <c r="A53" s="1984"/>
      <c r="B53" s="2006"/>
      <c r="C53" s="2007"/>
      <c r="D53" s="2028"/>
      <c r="E53" s="2029"/>
      <c r="F53" s="2030"/>
      <c r="G53" s="2030"/>
      <c r="H53" s="2009"/>
      <c r="I53" s="2031"/>
      <c r="J53" s="2011"/>
      <c r="K53" s="2012"/>
      <c r="L53" s="2034"/>
      <c r="M53" s="2035"/>
      <c r="N53" s="2034"/>
      <c r="O53" s="2013"/>
      <c r="P53" s="2013"/>
      <c r="Q53" s="2013"/>
      <c r="R53" s="2013"/>
      <c r="S53" s="2007"/>
      <c r="T53" s="2013"/>
      <c r="U53" s="2007"/>
      <c r="V53" s="2007"/>
      <c r="W53" s="2036"/>
    </row>
    <row r="54" spans="1:23" ht="15">
      <c r="A54" s="1984"/>
      <c r="B54" s="2015" t="s">
        <v>1008</v>
      </c>
      <c r="C54" s="2007" t="s">
        <v>1009</v>
      </c>
      <c r="D54" s="2028">
        <v>2.98</v>
      </c>
      <c r="E54" s="2029">
        <f>D54*1000000*0.9071847</f>
        <v>2703410.406</v>
      </c>
      <c r="F54" s="2030">
        <v>74000</v>
      </c>
      <c r="G54" s="2030">
        <f>F54*0.9071847</f>
        <v>67131.667799999996</v>
      </c>
      <c r="H54" s="2009">
        <v>1986</v>
      </c>
      <c r="I54" s="2031">
        <v>2008</v>
      </c>
      <c r="J54" s="2058">
        <f>5420</f>
        <v>5420</v>
      </c>
      <c r="K54" s="2058">
        <f>1975</f>
        <v>1975</v>
      </c>
      <c r="L54" s="2034"/>
      <c r="M54" s="2035"/>
      <c r="N54" s="2034"/>
      <c r="O54" s="2013"/>
      <c r="P54" s="2013"/>
      <c r="Q54" s="2013"/>
      <c r="R54" s="2054">
        <f>K54</f>
        <v>1975</v>
      </c>
      <c r="S54" s="2055">
        <v>0.1</v>
      </c>
      <c r="T54" s="2054">
        <f>R54*(1-S54)</f>
        <v>1777.5</v>
      </c>
      <c r="U54" s="2029">
        <f>T54</f>
        <v>1777.5</v>
      </c>
      <c r="V54" s="2029">
        <f>U54*21</f>
        <v>37327.5</v>
      </c>
      <c r="W54" s="2056">
        <f>J54+V54</f>
        <v>42747.5</v>
      </c>
    </row>
    <row r="55" spans="1:23" ht="15">
      <c r="A55" s="1984"/>
      <c r="B55" s="2006"/>
      <c r="C55" s="2007"/>
      <c r="D55" s="2028"/>
      <c r="E55" s="2029"/>
      <c r="F55" s="2030"/>
      <c r="G55" s="2030"/>
      <c r="H55" s="2009"/>
      <c r="I55" s="2031"/>
      <c r="J55" s="2011"/>
      <c r="K55" s="2012"/>
      <c r="L55" s="2034"/>
      <c r="M55" s="2035"/>
      <c r="N55" s="2034"/>
      <c r="O55" s="2013"/>
      <c r="P55" s="2013"/>
      <c r="Q55" s="2013"/>
      <c r="R55" s="2013"/>
      <c r="S55" s="2007"/>
      <c r="T55" s="2013"/>
      <c r="U55" s="2007"/>
      <c r="V55" s="2007"/>
      <c r="W55" s="2036"/>
    </row>
    <row r="56" spans="1:23" ht="15">
      <c r="A56" s="1984"/>
      <c r="B56" s="2015" t="s">
        <v>1010</v>
      </c>
      <c r="C56" s="2037" t="s">
        <v>1011</v>
      </c>
      <c r="D56" s="2038">
        <v>9.9779999999999998</v>
      </c>
      <c r="E56" s="2039">
        <f>D56*1000000*0.9071847</f>
        <v>9051888.9365999997</v>
      </c>
      <c r="F56" s="2040">
        <v>225000</v>
      </c>
      <c r="G56" s="2040">
        <f>F56*0.9071847</f>
        <v>204116.5575</v>
      </c>
      <c r="H56" s="2041">
        <v>1980</v>
      </c>
      <c r="I56" s="2042">
        <v>2122</v>
      </c>
      <c r="J56" s="2032">
        <v>9595</v>
      </c>
      <c r="K56" s="2033">
        <v>3497</v>
      </c>
      <c r="L56" s="2059">
        <v>0.4667</v>
      </c>
      <c r="M56" s="2044">
        <f>K56*L56</f>
        <v>1632.0499</v>
      </c>
      <c r="N56" s="2043">
        <v>0.98</v>
      </c>
      <c r="O56" s="2046">
        <f>M56*N56</f>
        <v>1599.4089019999999</v>
      </c>
      <c r="P56" s="2046">
        <f>O56*2.75</f>
        <v>4398.3744804999997</v>
      </c>
      <c r="Q56" s="2046">
        <f>M56*(1-N56)</f>
        <v>32.640998000000032</v>
      </c>
      <c r="R56" s="2047">
        <f>K56*(1-L56)</f>
        <v>1864.9501</v>
      </c>
      <c r="S56" s="2048">
        <v>0.1</v>
      </c>
      <c r="T56" s="2047">
        <f>R56*(1-S56)</f>
        <v>1678.4550900000002</v>
      </c>
      <c r="U56" s="2049">
        <f>T56+Q56</f>
        <v>1711.0960880000002</v>
      </c>
      <c r="V56" s="2049">
        <f>U56*21</f>
        <v>35933.017848000003</v>
      </c>
      <c r="W56" s="2052">
        <f>J56+P56+V56</f>
        <v>49926.392328500006</v>
      </c>
    </row>
    <row r="57" spans="1:23" ht="15">
      <c r="A57" s="1984"/>
      <c r="B57" s="2015"/>
      <c r="C57" s="2007"/>
      <c r="D57" s="2028"/>
      <c r="E57" s="2029"/>
      <c r="F57" s="2030"/>
      <c r="G57" s="2030"/>
      <c r="H57" s="2009"/>
      <c r="I57" s="2031"/>
      <c r="J57" s="2011"/>
      <c r="K57" s="2012"/>
      <c r="L57" s="2034"/>
      <c r="M57" s="2035"/>
      <c r="N57" s="2034"/>
      <c r="O57" s="2013"/>
      <c r="P57" s="2013"/>
      <c r="Q57" s="2013"/>
      <c r="R57" s="2013"/>
      <c r="S57" s="2007"/>
      <c r="T57" s="2013"/>
      <c r="U57" s="2007"/>
      <c r="V57" s="2007"/>
      <c r="W57" s="2036"/>
    </row>
    <row r="58" spans="1:23" ht="15">
      <c r="A58" s="1984"/>
      <c r="B58" s="2015" t="s">
        <v>1012</v>
      </c>
      <c r="C58" s="2007" t="s">
        <v>1013</v>
      </c>
      <c r="D58" s="2028">
        <v>0.6</v>
      </c>
      <c r="E58" s="2029">
        <f>D58*1000000*0.9071847</f>
        <v>544310.81999999995</v>
      </c>
      <c r="F58" s="2030">
        <v>20000</v>
      </c>
      <c r="G58" s="2030">
        <f>F58*0.9071847</f>
        <v>18143.694</v>
      </c>
      <c r="H58" s="2009">
        <v>1964</v>
      </c>
      <c r="I58" s="2031">
        <v>1992</v>
      </c>
      <c r="J58" s="2032">
        <v>1144</v>
      </c>
      <c r="K58" s="2033">
        <v>416.8</v>
      </c>
      <c r="L58" s="2034"/>
      <c r="M58" s="2035"/>
      <c r="N58" s="2034"/>
      <c r="O58" s="2013"/>
      <c r="P58" s="2013"/>
      <c r="Q58" s="2013"/>
      <c r="R58" s="2054">
        <f>K58</f>
        <v>416.8</v>
      </c>
      <c r="S58" s="2055">
        <v>0.1</v>
      </c>
      <c r="T58" s="2054">
        <f>R58*(1-S58)</f>
        <v>375.12</v>
      </c>
      <c r="U58" s="2029">
        <f>T58</f>
        <v>375.12</v>
      </c>
      <c r="V58" s="2029">
        <f>U58*21</f>
        <v>7877.52</v>
      </c>
      <c r="W58" s="2056">
        <f>J58+V58</f>
        <v>9021.52</v>
      </c>
    </row>
    <row r="59" spans="1:23" ht="15">
      <c r="A59" s="1984"/>
      <c r="B59" s="2006"/>
      <c r="C59" s="2007" t="s">
        <v>1014</v>
      </c>
      <c r="D59" s="2028">
        <v>7</v>
      </c>
      <c r="E59" s="2029">
        <f>D59*1000000*0.9071847</f>
        <v>6350292.8999999994</v>
      </c>
      <c r="F59" s="2030"/>
      <c r="G59" s="2030">
        <f>F59*0.9071847</f>
        <v>0</v>
      </c>
      <c r="H59" s="2009">
        <v>1982</v>
      </c>
      <c r="I59" s="2031">
        <v>2000</v>
      </c>
      <c r="J59" s="2032">
        <v>21880</v>
      </c>
      <c r="K59" s="2033">
        <v>7975</v>
      </c>
      <c r="L59" s="2034"/>
      <c r="M59" s="2035"/>
      <c r="N59" s="2034"/>
      <c r="O59" s="2013"/>
      <c r="P59" s="2013"/>
      <c r="Q59" s="2013"/>
      <c r="R59" s="2054">
        <f>K59</f>
        <v>7975</v>
      </c>
      <c r="S59" s="2055">
        <v>0.1</v>
      </c>
      <c r="T59" s="2054">
        <f>R59*(1-S59)</f>
        <v>7177.5</v>
      </c>
      <c r="U59" s="2029">
        <f>T59</f>
        <v>7177.5</v>
      </c>
      <c r="V59" s="2029">
        <f>U59*21</f>
        <v>150727.5</v>
      </c>
      <c r="W59" s="2056">
        <f>J59+V59</f>
        <v>172607.5</v>
      </c>
    </row>
    <row r="60" spans="1:23" ht="15">
      <c r="A60" s="1984"/>
      <c r="B60" s="2006"/>
      <c r="C60" s="2007"/>
      <c r="D60" s="2028"/>
      <c r="E60" s="2029"/>
      <c r="F60" s="2030"/>
      <c r="G60" s="2030"/>
      <c r="H60" s="2009"/>
      <c r="I60" s="2031"/>
      <c r="J60" s="2032"/>
      <c r="K60" s="2033"/>
      <c r="L60" s="2034"/>
      <c r="M60" s="2035"/>
      <c r="N60" s="2034"/>
      <c r="O60" s="2013"/>
      <c r="P60" s="2013"/>
      <c r="Q60" s="2013"/>
      <c r="R60" s="2054"/>
      <c r="S60" s="2055"/>
      <c r="T60" s="2054"/>
      <c r="U60" s="2029"/>
      <c r="V60" s="2029"/>
      <c r="W60" s="2056"/>
    </row>
    <row r="61" spans="1:23" ht="15">
      <c r="A61" s="1984"/>
      <c r="B61" s="2060" t="s">
        <v>399</v>
      </c>
      <c r="C61" s="2037" t="s">
        <v>1271</v>
      </c>
      <c r="D61" s="2061">
        <f>4354487*1.1023/10000000</f>
        <v>0.47999510201000001</v>
      </c>
      <c r="E61" s="2039">
        <v>4354487</v>
      </c>
      <c r="F61" s="2040"/>
      <c r="G61" s="2040"/>
      <c r="H61" s="2041">
        <v>1962</v>
      </c>
      <c r="I61" s="2042">
        <v>1983</v>
      </c>
      <c r="J61" s="2032">
        <v>7265</v>
      </c>
      <c r="K61" s="2033">
        <v>2648</v>
      </c>
      <c r="L61" s="2043">
        <v>0.88200000000000001</v>
      </c>
      <c r="M61" s="2044">
        <f>K61*L61</f>
        <v>2335.5360000000001</v>
      </c>
      <c r="N61" s="2043">
        <v>0.97699999999999998</v>
      </c>
      <c r="O61" s="2046">
        <f>M61*N61</f>
        <v>2281.8186719999999</v>
      </c>
      <c r="P61" s="2046">
        <f>O61*2.75</f>
        <v>6275.0013479999998</v>
      </c>
      <c r="Q61" s="2046">
        <f>M61*(1-N61)</f>
        <v>53.717328000000052</v>
      </c>
      <c r="R61" s="2047">
        <f>K61*(1-L61)</f>
        <v>312.464</v>
      </c>
      <c r="S61" s="2048">
        <v>0.1</v>
      </c>
      <c r="T61" s="2047">
        <f>R61*(1-S61)</f>
        <v>281.2176</v>
      </c>
      <c r="U61" s="2049">
        <f>T61+Q61</f>
        <v>334.93492800000007</v>
      </c>
      <c r="V61" s="2049">
        <f>U61*21</f>
        <v>7033.6334880000013</v>
      </c>
      <c r="W61" s="2052">
        <f>J61+P61+V61</f>
        <v>20573.634836000001</v>
      </c>
    </row>
    <row r="62" spans="1:23" ht="15">
      <c r="A62" s="1984"/>
      <c r="B62" s="2006"/>
      <c r="C62" s="2037" t="s">
        <v>1273</v>
      </c>
      <c r="D62" s="2038">
        <f>4560132*1.1023/1000000</f>
        <v>5.0266335036000003</v>
      </c>
      <c r="E62" s="2039">
        <v>4560132</v>
      </c>
      <c r="F62" s="2040"/>
      <c r="G62" s="2040"/>
      <c r="H62" s="2041">
        <v>1982</v>
      </c>
      <c r="I62" s="2042">
        <v>1998</v>
      </c>
      <c r="J62" s="2032">
        <v>13870</v>
      </c>
      <c r="K62" s="2033">
        <v>5057</v>
      </c>
      <c r="L62" s="2043">
        <v>0.95009999999999994</v>
      </c>
      <c r="M62" s="2044">
        <f>K62*L62</f>
        <v>4804.6556999999993</v>
      </c>
      <c r="N62" s="2043">
        <v>0.98</v>
      </c>
      <c r="O62" s="2046">
        <f>M62*N62</f>
        <v>4708.5625859999991</v>
      </c>
      <c r="P62" s="2046">
        <f>O62*2.75</f>
        <v>12948.547111499998</v>
      </c>
      <c r="Q62" s="2046">
        <f>M62*(1-N62)</f>
        <v>96.093114000000071</v>
      </c>
      <c r="R62" s="2047">
        <f>K62*(1-L62)</f>
        <v>252.34430000000029</v>
      </c>
      <c r="S62" s="2048">
        <v>0.1</v>
      </c>
      <c r="T62" s="2047">
        <f>R62*(1-S62)</f>
        <v>227.10987000000026</v>
      </c>
      <c r="U62" s="2049">
        <f>T62+Q62</f>
        <v>323.20298400000036</v>
      </c>
      <c r="V62" s="2049">
        <f>U62*21</f>
        <v>6787.2626640000071</v>
      </c>
      <c r="W62" s="2052">
        <f>J62+P62+V62</f>
        <v>33605.809775500005</v>
      </c>
    </row>
    <row r="63" spans="1:23" ht="15">
      <c r="A63" s="1984"/>
      <c r="B63" s="2006"/>
      <c r="C63" s="2007"/>
      <c r="D63" s="2028"/>
      <c r="E63" s="2029"/>
      <c r="F63" s="2030"/>
      <c r="G63" s="2030"/>
      <c r="H63" s="2009"/>
      <c r="I63" s="2031"/>
      <c r="J63" s="2032"/>
      <c r="K63" s="2033"/>
      <c r="L63" s="2034"/>
      <c r="M63" s="2035"/>
      <c r="N63" s="2034"/>
      <c r="O63" s="2013"/>
      <c r="P63" s="2013"/>
      <c r="Q63" s="2013"/>
      <c r="R63" s="2054"/>
      <c r="S63" s="2055"/>
      <c r="T63" s="2054"/>
      <c r="U63" s="2029"/>
      <c r="V63" s="2029"/>
      <c r="W63" s="2056"/>
    </row>
    <row r="64" spans="1:23" ht="15">
      <c r="A64" s="1984"/>
      <c r="B64" s="2006"/>
      <c r="C64" s="2007"/>
      <c r="D64" s="2028"/>
      <c r="E64" s="2029"/>
      <c r="F64" s="2030"/>
      <c r="G64" s="2030"/>
      <c r="H64" s="2009"/>
      <c r="I64" s="2031"/>
      <c r="J64" s="2011"/>
      <c r="K64" s="2012"/>
      <c r="L64" s="2034"/>
      <c r="M64" s="2035"/>
      <c r="N64" s="2034"/>
      <c r="O64" s="2013"/>
      <c r="P64" s="2013"/>
      <c r="Q64" s="2013"/>
      <c r="R64" s="2013"/>
      <c r="S64" s="2007"/>
      <c r="T64" s="2013"/>
      <c r="U64" s="2007"/>
      <c r="V64" s="2007"/>
      <c r="W64" s="2036"/>
    </row>
    <row r="65" spans="1:23" ht="15">
      <c r="A65" s="1984"/>
      <c r="B65" s="2015" t="s">
        <v>1015</v>
      </c>
      <c r="C65" s="2037" t="s">
        <v>395</v>
      </c>
      <c r="D65" s="2038">
        <v>7.1</v>
      </c>
      <c r="E65" s="2039">
        <f>D65*1000000*0.9071847</f>
        <v>6441011.3700000001</v>
      </c>
      <c r="F65" s="2040">
        <v>284000</v>
      </c>
      <c r="G65" s="2040">
        <f>F65*0.9071847</f>
        <v>257640.45479999998</v>
      </c>
      <c r="H65" s="2041">
        <v>1968</v>
      </c>
      <c r="I65" s="2042">
        <v>1993</v>
      </c>
      <c r="J65" s="2032">
        <v>14730</v>
      </c>
      <c r="K65" s="2033">
        <v>5368</v>
      </c>
      <c r="L65" s="2043">
        <v>0.84079999999999999</v>
      </c>
      <c r="M65" s="2044">
        <f>K65*L65</f>
        <v>4513.4143999999997</v>
      </c>
      <c r="N65" s="2043">
        <v>0.997</v>
      </c>
      <c r="O65" s="2046">
        <f>M65*N65</f>
        <v>4499.8741567999996</v>
      </c>
      <c r="P65" s="2046">
        <f>O65*2.75</f>
        <v>12374.653931199999</v>
      </c>
      <c r="Q65" s="2046">
        <f>M65*(1-N65)</f>
        <v>13.540243200000011</v>
      </c>
      <c r="R65" s="2047">
        <f>K65*(1-L65)</f>
        <v>854.5856</v>
      </c>
      <c r="S65" s="2048">
        <v>0.1</v>
      </c>
      <c r="T65" s="2047">
        <f>R65*(1-S65)</f>
        <v>769.12703999999997</v>
      </c>
      <c r="U65" s="2049">
        <f>T65+Q65</f>
        <v>782.66728319999993</v>
      </c>
      <c r="V65" s="2049">
        <f>U65*21</f>
        <v>16436.012947199997</v>
      </c>
      <c r="W65" s="2052">
        <f>J65+P65+V65</f>
        <v>43540.666878399992</v>
      </c>
    </row>
    <row r="66" spans="1:23" ht="15">
      <c r="A66" s="1984"/>
      <c r="B66" s="2006"/>
      <c r="C66" s="2037" t="s">
        <v>1016</v>
      </c>
      <c r="D66" s="2038">
        <v>16</v>
      </c>
      <c r="E66" s="2039">
        <f>D66*1000000*0.9071847</f>
        <v>14514955.199999999</v>
      </c>
      <c r="F66" s="2040">
        <v>280000</v>
      </c>
      <c r="G66" s="2040">
        <f>F66*0.9071847</f>
        <v>254011.71599999999</v>
      </c>
      <c r="H66" s="2041">
        <v>1992</v>
      </c>
      <c r="I66" s="2042">
        <v>2016</v>
      </c>
      <c r="J66" s="2032">
        <v>38110</v>
      </c>
      <c r="K66" s="2033">
        <v>13890</v>
      </c>
      <c r="L66" s="2043">
        <v>0.84079999999999999</v>
      </c>
      <c r="M66" s="2044">
        <f>K66*L66</f>
        <v>11678.712</v>
      </c>
      <c r="N66" s="2043">
        <v>0.97199999999999998</v>
      </c>
      <c r="O66" s="2046">
        <f>M66*N66</f>
        <v>11351.708063999999</v>
      </c>
      <c r="P66" s="2046">
        <f>O66*2.75</f>
        <v>31217.197175999994</v>
      </c>
      <c r="Q66" s="2046">
        <f>M66*(1-N66)</f>
        <v>327.00393600000029</v>
      </c>
      <c r="R66" s="2047">
        <f>K66*(1-L66)</f>
        <v>2211.288</v>
      </c>
      <c r="S66" s="2048">
        <v>0.1</v>
      </c>
      <c r="T66" s="2047">
        <f>R66*(1-S66)</f>
        <v>1990.1592000000001</v>
      </c>
      <c r="U66" s="2049">
        <f>T66+Q66</f>
        <v>2317.1631360000001</v>
      </c>
      <c r="V66" s="2049">
        <f>U66*21</f>
        <v>48660.425856000002</v>
      </c>
      <c r="W66" s="2052">
        <f>J66+P66+V66</f>
        <v>117987.62303199999</v>
      </c>
    </row>
    <row r="67" spans="1:23" ht="15">
      <c r="A67" s="1984"/>
      <c r="B67" s="2006"/>
      <c r="C67" s="2037" t="s">
        <v>1017</v>
      </c>
      <c r="D67" s="2038">
        <v>7.5</v>
      </c>
      <c r="E67" s="2039">
        <f>D67*1000000*0.9071847</f>
        <v>6803885.25</v>
      </c>
      <c r="F67" s="2040">
        <v>280000</v>
      </c>
      <c r="G67" s="2040">
        <f>F67*0.9071847</f>
        <v>254011.71599999999</v>
      </c>
      <c r="H67" s="2041">
        <v>1978</v>
      </c>
      <c r="I67" s="2042">
        <v>2000</v>
      </c>
      <c r="J67" s="2032">
        <v>15790</v>
      </c>
      <c r="K67" s="2033">
        <v>6779</v>
      </c>
      <c r="L67" s="2043">
        <v>0.94569999999999999</v>
      </c>
      <c r="M67" s="2044">
        <f>K67*L67</f>
        <v>6410.9003000000002</v>
      </c>
      <c r="N67" s="2043">
        <v>0.98</v>
      </c>
      <c r="O67" s="2046">
        <f>M67*N67</f>
        <v>6282.6822940000002</v>
      </c>
      <c r="P67" s="2046">
        <f>O67*2.75</f>
        <v>17277.376308499999</v>
      </c>
      <c r="Q67" s="2046">
        <f>M67*(1-N67)</f>
        <v>128.21800600000012</v>
      </c>
      <c r="R67" s="2046">
        <f>K67*(1-L67)</f>
        <v>368.0997000000001</v>
      </c>
      <c r="S67" s="2043">
        <v>0.1</v>
      </c>
      <c r="T67" s="2046">
        <f>R67*(1-S67)</f>
        <v>331.28973000000008</v>
      </c>
      <c r="U67" s="2051">
        <f>T67+Q67</f>
        <v>459.50773600000019</v>
      </c>
      <c r="V67" s="2039">
        <f>U67*21</f>
        <v>9649.6624560000037</v>
      </c>
      <c r="W67" s="2052">
        <f>J67+P67+V67</f>
        <v>42717.038764500001</v>
      </c>
    </row>
    <row r="68" spans="1:23" ht="15">
      <c r="A68" s="1984"/>
      <c r="B68" s="2006"/>
      <c r="C68" s="2007" t="s">
        <v>1018</v>
      </c>
      <c r="D68" s="2028">
        <v>1.6</v>
      </c>
      <c r="E68" s="2029">
        <f>D68*1000000*0.9071847</f>
        <v>1451495.52</v>
      </c>
      <c r="F68" s="2030">
        <v>34000</v>
      </c>
      <c r="G68" s="2030">
        <f>F68*0.9071847</f>
        <v>30844.2798</v>
      </c>
      <c r="H68" s="2009">
        <v>1960</v>
      </c>
      <c r="I68" s="2031">
        <v>2004</v>
      </c>
      <c r="J68" s="2032">
        <v>3769</v>
      </c>
      <c r="K68" s="2033">
        <v>1374</v>
      </c>
      <c r="L68" s="2034"/>
      <c r="M68" s="2035"/>
      <c r="N68" s="2034"/>
      <c r="O68" s="2013"/>
      <c r="P68" s="2013"/>
      <c r="Q68" s="2013"/>
      <c r="R68" s="2013">
        <f>K68</f>
        <v>1374</v>
      </c>
      <c r="S68" s="2034">
        <v>0.1</v>
      </c>
      <c r="T68" s="2013">
        <f>R68*(1-S68)</f>
        <v>1236.6000000000001</v>
      </c>
      <c r="U68" s="2013">
        <f>T68</f>
        <v>1236.6000000000001</v>
      </c>
      <c r="V68" s="2029">
        <f>U68*21</f>
        <v>25968.600000000002</v>
      </c>
      <c r="W68" s="2036">
        <f>J68+V68</f>
        <v>29737.600000000002</v>
      </c>
    </row>
    <row r="69" spans="1:23" ht="15">
      <c r="A69" s="1984"/>
      <c r="B69" s="2006"/>
      <c r="C69" s="2007"/>
      <c r="D69" s="2028"/>
      <c r="E69" s="2029"/>
      <c r="F69" s="2030"/>
      <c r="G69" s="2030"/>
      <c r="H69" s="2009"/>
      <c r="I69" s="2031"/>
      <c r="J69" s="2011"/>
      <c r="K69" s="2012"/>
      <c r="L69" s="2034"/>
      <c r="M69" s="2035"/>
      <c r="N69" s="2034"/>
      <c r="O69" s="2013"/>
      <c r="P69" s="2013"/>
      <c r="Q69" s="2013"/>
      <c r="R69" s="2013"/>
      <c r="S69" s="2007"/>
      <c r="T69" s="2013"/>
      <c r="U69" s="2007"/>
      <c r="V69" s="2007"/>
      <c r="W69" s="2036"/>
    </row>
    <row r="70" spans="1:23" ht="15">
      <c r="A70" s="1984"/>
      <c r="B70" s="2015" t="s">
        <v>1019</v>
      </c>
      <c r="C70" s="2007" t="s">
        <v>1020</v>
      </c>
      <c r="D70" s="2028">
        <v>1.61</v>
      </c>
      <c r="E70" s="2029">
        <v>393341</v>
      </c>
      <c r="F70" s="2030"/>
      <c r="G70" s="2030">
        <f>F70*0.9071847</f>
        <v>0</v>
      </c>
      <c r="H70" s="2031">
        <v>1998</v>
      </c>
      <c r="I70" s="2031">
        <v>2023</v>
      </c>
      <c r="J70" s="2032">
        <v>1752</v>
      </c>
      <c r="K70" s="2033">
        <v>638.5</v>
      </c>
      <c r="L70" s="2034"/>
      <c r="M70" s="2035"/>
      <c r="N70" s="2034"/>
      <c r="O70" s="2013"/>
      <c r="P70" s="2013"/>
      <c r="Q70" s="2013"/>
      <c r="R70" s="2013">
        <f>K70</f>
        <v>638.5</v>
      </c>
      <c r="S70" s="2034">
        <v>0.1</v>
      </c>
      <c r="T70" s="2013">
        <f>R70*(1-S70)</f>
        <v>574.65</v>
      </c>
      <c r="U70" s="2013">
        <f>T70</f>
        <v>574.65</v>
      </c>
      <c r="V70" s="2062">
        <f>U70*21</f>
        <v>12067.65</v>
      </c>
      <c r="W70" s="2036">
        <f>J70+V70</f>
        <v>13819.65</v>
      </c>
    </row>
    <row r="71" spans="1:23" ht="15">
      <c r="A71" s="1984"/>
      <c r="B71" s="2006"/>
      <c r="C71" s="2007" t="s">
        <v>1021</v>
      </c>
      <c r="D71" s="2028"/>
      <c r="E71" s="2029">
        <v>368200</v>
      </c>
      <c r="F71" s="2030"/>
      <c r="G71" s="2030">
        <f>F71*0.9071847</f>
        <v>0</v>
      </c>
      <c r="H71" s="2009">
        <v>1977</v>
      </c>
      <c r="I71" s="2031">
        <v>1998</v>
      </c>
      <c r="J71" s="2032">
        <v>1198</v>
      </c>
      <c r="K71" s="2033">
        <v>436.6</v>
      </c>
      <c r="L71" s="2034"/>
      <c r="M71" s="2035"/>
      <c r="N71" s="2034"/>
      <c r="O71" s="2013"/>
      <c r="P71" s="2013"/>
      <c r="Q71" s="2013"/>
      <c r="R71" s="2013">
        <f>K71</f>
        <v>436.6</v>
      </c>
      <c r="S71" s="2034">
        <v>0.1</v>
      </c>
      <c r="T71" s="2013">
        <f>R71*(1-S71)</f>
        <v>392.94000000000005</v>
      </c>
      <c r="U71" s="2013">
        <f>T71</f>
        <v>392.94000000000005</v>
      </c>
      <c r="V71" s="2062">
        <f>U71*21</f>
        <v>8251.7400000000016</v>
      </c>
      <c r="W71" s="2036">
        <f>J71+V71</f>
        <v>9449.7400000000016</v>
      </c>
    </row>
    <row r="72" spans="1:23" ht="15">
      <c r="A72" s="1984"/>
      <c r="B72" s="2006"/>
      <c r="C72" s="2007"/>
      <c r="D72" s="2028"/>
      <c r="E72" s="2029">
        <f>D72*1000000*0.9071847</f>
        <v>0</v>
      </c>
      <c r="F72" s="2030"/>
      <c r="G72" s="2030"/>
      <c r="H72" s="2009"/>
      <c r="I72" s="2031"/>
      <c r="J72" s="2011"/>
      <c r="K72" s="2012"/>
      <c r="L72" s="2034"/>
      <c r="M72" s="2035"/>
      <c r="N72" s="2034"/>
      <c r="O72" s="2013"/>
      <c r="P72" s="2013"/>
      <c r="Q72" s="2013"/>
      <c r="R72" s="2013"/>
      <c r="S72" s="2007"/>
      <c r="T72" s="2013"/>
      <c r="U72" s="2007"/>
      <c r="V72" s="2062"/>
      <c r="W72" s="2036"/>
    </row>
    <row r="73" spans="1:23" ht="15">
      <c r="A73" s="1984"/>
      <c r="B73" s="2015" t="s">
        <v>1022</v>
      </c>
      <c r="C73" s="2007" t="s">
        <v>1023</v>
      </c>
      <c r="D73" s="2028">
        <v>3.7512439999999998</v>
      </c>
      <c r="E73" s="2029">
        <f>D73*1000000*0.9071847</f>
        <v>3403071.1627667998</v>
      </c>
      <c r="F73" s="2030">
        <v>81800</v>
      </c>
      <c r="G73" s="2030">
        <f>F73*0.9071847</f>
        <v>74207.708459999994</v>
      </c>
      <c r="H73" s="2009">
        <v>1991</v>
      </c>
      <c r="I73" s="2031">
        <v>2010</v>
      </c>
      <c r="J73" s="2063">
        <v>8909</v>
      </c>
      <c r="K73" s="2064">
        <v>3247</v>
      </c>
      <c r="L73" s="2034"/>
      <c r="M73" s="2035"/>
      <c r="N73" s="2034"/>
      <c r="O73" s="2013"/>
      <c r="P73" s="2013"/>
      <c r="Q73" s="2013"/>
      <c r="R73" s="2013">
        <f>K74</f>
        <v>845</v>
      </c>
      <c r="S73" s="2034">
        <v>0.1</v>
      </c>
      <c r="T73" s="2013">
        <f>R73*(1-S73)</f>
        <v>760.5</v>
      </c>
      <c r="U73" s="2013">
        <f>T73</f>
        <v>760.5</v>
      </c>
      <c r="V73" s="2062">
        <f>U73*21</f>
        <v>15970.5</v>
      </c>
      <c r="W73" s="2036">
        <f>J74+V73</f>
        <v>18482.5</v>
      </c>
    </row>
    <row r="74" spans="1:23" ht="15">
      <c r="A74" s="1984"/>
      <c r="B74" s="2015"/>
      <c r="C74" s="2007" t="s">
        <v>1289</v>
      </c>
      <c r="D74" s="2028"/>
      <c r="E74" s="2029"/>
      <c r="F74" s="2030"/>
      <c r="G74" s="2030"/>
      <c r="H74" s="2009"/>
      <c r="I74" s="2031"/>
      <c r="J74" s="2032">
        <v>2512</v>
      </c>
      <c r="K74" s="2033">
        <v>845</v>
      </c>
      <c r="L74" s="2034"/>
      <c r="M74" s="2035"/>
      <c r="N74" s="2034"/>
      <c r="O74" s="2013"/>
      <c r="P74" s="2013"/>
      <c r="Q74" s="2013"/>
      <c r="R74" s="2013">
        <f>K75</f>
        <v>0</v>
      </c>
      <c r="S74" s="2034">
        <v>0.1</v>
      </c>
      <c r="T74" s="2013">
        <f>R74*(1-S74)</f>
        <v>0</v>
      </c>
      <c r="U74" s="2013">
        <f>T74</f>
        <v>0</v>
      </c>
      <c r="V74" s="2062">
        <f>U74*21</f>
        <v>0</v>
      </c>
      <c r="W74" s="2036">
        <f>J75+V74</f>
        <v>0</v>
      </c>
    </row>
    <row r="75" spans="1:23" ht="15">
      <c r="A75" s="1984"/>
      <c r="B75" s="2006"/>
      <c r="C75" s="2007"/>
      <c r="D75" s="2028"/>
      <c r="E75" s="2029"/>
      <c r="F75" s="2030"/>
      <c r="G75" s="2030"/>
      <c r="H75" s="2009"/>
      <c r="I75" s="2031"/>
      <c r="J75" s="2011"/>
      <c r="K75" s="2012"/>
      <c r="L75" s="2034"/>
      <c r="M75" s="2035"/>
      <c r="N75" s="2034"/>
      <c r="O75" s="2013"/>
      <c r="P75" s="2013"/>
      <c r="Q75" s="2013"/>
      <c r="R75" s="2013"/>
      <c r="S75" s="2007"/>
      <c r="T75" s="2013"/>
      <c r="U75" s="2007"/>
      <c r="V75" s="2007"/>
      <c r="W75" s="2036"/>
    </row>
    <row r="76" spans="1:23" ht="15">
      <c r="A76" s="1984"/>
      <c r="B76" s="2015" t="s">
        <v>1024</v>
      </c>
      <c r="C76" s="2007" t="s">
        <v>1025</v>
      </c>
      <c r="D76" s="2007"/>
      <c r="E76" s="2029">
        <v>89729.73</v>
      </c>
      <c r="F76" s="2009"/>
      <c r="G76" s="2030">
        <f>F76*0.9071847</f>
        <v>0</v>
      </c>
      <c r="H76" s="2009">
        <v>1981</v>
      </c>
      <c r="I76" s="2031">
        <v>1993</v>
      </c>
      <c r="J76" s="2032">
        <v>274.89999999999998</v>
      </c>
      <c r="K76" s="2033">
        <v>100.2</v>
      </c>
      <c r="L76" s="2034"/>
      <c r="M76" s="2035"/>
      <c r="N76" s="2034"/>
      <c r="O76" s="2013"/>
      <c r="P76" s="2013"/>
      <c r="Q76" s="2013"/>
      <c r="R76" s="2054">
        <f>K76</f>
        <v>100.2</v>
      </c>
      <c r="S76" s="2055">
        <v>0.1</v>
      </c>
      <c r="T76" s="2054">
        <f>R76*(1-S76)</f>
        <v>90.18</v>
      </c>
      <c r="U76" s="2029">
        <f>T76</f>
        <v>90.18</v>
      </c>
      <c r="V76" s="2029">
        <f>U76*21</f>
        <v>1893.7800000000002</v>
      </c>
      <c r="W76" s="2056">
        <f>J76+V76</f>
        <v>2168.6800000000003</v>
      </c>
    </row>
    <row r="77" spans="1:23" ht="15">
      <c r="A77" s="1984"/>
      <c r="B77" s="2006"/>
      <c r="C77" s="2065" t="s">
        <v>1290</v>
      </c>
      <c r="D77" s="2028">
        <v>2.5499999999999998</v>
      </c>
      <c r="E77" s="2029">
        <f>D77*1000000*0.9071847</f>
        <v>2313320.9849999999</v>
      </c>
      <c r="F77" s="2030">
        <v>150000</v>
      </c>
      <c r="G77" s="2030">
        <f>F77*0.9071847</f>
        <v>136077.70499999999</v>
      </c>
      <c r="H77" s="2009">
        <v>1982</v>
      </c>
      <c r="I77" s="2031">
        <v>2000</v>
      </c>
      <c r="J77" s="2032">
        <v>1827</v>
      </c>
      <c r="K77" s="2033">
        <v>665.9</v>
      </c>
      <c r="L77" s="2034"/>
      <c r="M77" s="2035"/>
      <c r="N77" s="2034"/>
      <c r="O77" s="2013"/>
      <c r="P77" s="2013"/>
      <c r="Q77" s="2013"/>
      <c r="R77" s="2054">
        <f>K77</f>
        <v>665.9</v>
      </c>
      <c r="S77" s="2055">
        <v>0.1</v>
      </c>
      <c r="T77" s="2054">
        <f>R77*(1-S77)</f>
        <v>599.30999999999995</v>
      </c>
      <c r="U77" s="2029">
        <f>T77</f>
        <v>599.30999999999995</v>
      </c>
      <c r="V77" s="2029">
        <f>U77*21</f>
        <v>12585.509999999998</v>
      </c>
      <c r="W77" s="2056">
        <f>J77+V77</f>
        <v>14412.509999999998</v>
      </c>
    </row>
    <row r="78" spans="1:23" ht="15">
      <c r="A78" s="1984"/>
      <c r="B78" s="2006"/>
      <c r="C78" s="2007" t="s">
        <v>1026</v>
      </c>
      <c r="D78" s="2028">
        <v>20.273</v>
      </c>
      <c r="E78" s="2029">
        <f>D78*1000000*0.9071847</f>
        <v>18391355.423099998</v>
      </c>
      <c r="F78" s="2030"/>
      <c r="G78" s="2030">
        <f>F78*0.9071847</f>
        <v>0</v>
      </c>
      <c r="H78" s="2009">
        <v>2000</v>
      </c>
      <c r="I78" s="2031">
        <v>2047</v>
      </c>
      <c r="J78" s="2032">
        <v>15740</v>
      </c>
      <c r="K78" s="2033">
        <v>5735</v>
      </c>
      <c r="L78" s="2034"/>
      <c r="M78" s="2035"/>
      <c r="N78" s="2034"/>
      <c r="O78" s="2013"/>
      <c r="P78" s="2013"/>
      <c r="Q78" s="2013"/>
      <c r="R78" s="2054">
        <f>K78</f>
        <v>5735</v>
      </c>
      <c r="S78" s="2055">
        <v>0.1</v>
      </c>
      <c r="T78" s="2054">
        <f>R78*(1-S78)</f>
        <v>5161.5</v>
      </c>
      <c r="U78" s="2029">
        <f>T78</f>
        <v>5161.5</v>
      </c>
      <c r="V78" s="2029">
        <f>U78*21</f>
        <v>108391.5</v>
      </c>
      <c r="W78" s="2056">
        <f>J78+V78</f>
        <v>124131.5</v>
      </c>
    </row>
    <row r="79" spans="1:23" ht="15">
      <c r="A79" s="1984"/>
      <c r="B79" s="2006"/>
      <c r="C79" s="2007"/>
      <c r="D79" s="2028"/>
      <c r="E79" s="2029"/>
      <c r="F79" s="2030"/>
      <c r="G79" s="2030"/>
      <c r="H79" s="2009"/>
      <c r="I79" s="2031"/>
      <c r="J79" s="2011"/>
      <c r="K79" s="2012"/>
      <c r="L79" s="2034"/>
      <c r="M79" s="2035"/>
      <c r="N79" s="2034"/>
      <c r="O79" s="2013"/>
      <c r="P79" s="2013"/>
      <c r="Q79" s="2013"/>
      <c r="R79" s="2013"/>
      <c r="S79" s="2007"/>
      <c r="T79" s="2013"/>
      <c r="U79" s="2007"/>
      <c r="V79" s="2007"/>
      <c r="W79" s="2036"/>
    </row>
    <row r="80" spans="1:23" ht="15">
      <c r="A80" s="1984"/>
      <c r="B80" s="2015" t="s">
        <v>1027</v>
      </c>
      <c r="C80" s="2037" t="s">
        <v>1028</v>
      </c>
      <c r="D80" s="2038">
        <v>7.2</v>
      </c>
      <c r="E80" s="2039">
        <f>D80*1000000*0.9071847</f>
        <v>6531729.8399999999</v>
      </c>
      <c r="F80" s="2040">
        <v>82000</v>
      </c>
      <c r="G80" s="2040">
        <f>F80*0.9071847</f>
        <v>74389.145399999994</v>
      </c>
      <c r="H80" s="2041">
        <v>1955</v>
      </c>
      <c r="I80" s="2042">
        <v>2031</v>
      </c>
      <c r="J80" s="2032">
        <v>10830</v>
      </c>
      <c r="K80" s="2033">
        <v>3946</v>
      </c>
      <c r="L80" s="2043">
        <v>0.8206</v>
      </c>
      <c r="M80" s="2044">
        <f>K80*L80</f>
        <v>3238.0875999999998</v>
      </c>
      <c r="N80" s="2043">
        <v>0.98</v>
      </c>
      <c r="O80" s="2046">
        <f>M80*N80</f>
        <v>3173.325848</v>
      </c>
      <c r="P80" s="2046">
        <f>O80*2.75</f>
        <v>8726.6460819999993</v>
      </c>
      <c r="Q80" s="2046">
        <f>M80*(1-N80)</f>
        <v>64.761752000000058</v>
      </c>
      <c r="R80" s="2047">
        <f>K80</f>
        <v>3946</v>
      </c>
      <c r="S80" s="2048">
        <v>0.1</v>
      </c>
      <c r="T80" s="2047">
        <f>R80*(1-S80)</f>
        <v>3551.4</v>
      </c>
      <c r="U80" s="2039">
        <f>T80</f>
        <v>3551.4</v>
      </c>
      <c r="V80" s="2049">
        <f>U80*21</f>
        <v>74579.400000000009</v>
      </c>
      <c r="W80" s="2052">
        <f>J80+V80</f>
        <v>85409.400000000009</v>
      </c>
    </row>
    <row r="81" spans="1:23" ht="15">
      <c r="A81" s="1984"/>
      <c r="B81" s="2006"/>
      <c r="C81" s="2007"/>
      <c r="D81" s="2007"/>
      <c r="E81" s="2007"/>
      <c r="F81" s="2007"/>
      <c r="G81" s="2007"/>
      <c r="H81" s="2007"/>
      <c r="I81" s="2007"/>
      <c r="J81" s="2011"/>
      <c r="K81" s="2012"/>
      <c r="L81" s="2034"/>
      <c r="M81" s="2035"/>
      <c r="N81" s="2034"/>
      <c r="O81" s="2013"/>
      <c r="P81" s="2013"/>
      <c r="Q81" s="2013"/>
      <c r="R81" s="2013"/>
      <c r="S81" s="2007"/>
      <c r="T81" s="2013"/>
      <c r="U81" s="2007"/>
      <c r="V81" s="2007"/>
      <c r="W81" s="2036"/>
    </row>
    <row r="82" spans="1:23" ht="15">
      <c r="A82" s="1984"/>
      <c r="B82" s="2015" t="s">
        <v>1029</v>
      </c>
      <c r="C82" s="2007" t="s">
        <v>1291</v>
      </c>
      <c r="D82" s="2028">
        <v>4.8</v>
      </c>
      <c r="E82" s="2029">
        <f>D82*1000000*0.9071847</f>
        <v>4354486.5599999996</v>
      </c>
      <c r="F82" s="2030">
        <v>70000</v>
      </c>
      <c r="G82" s="2030">
        <f>F82*0.9071847</f>
        <v>63502.928999999996</v>
      </c>
      <c r="H82" s="2009">
        <v>1990</v>
      </c>
      <c r="I82" s="2031">
        <v>2028</v>
      </c>
      <c r="J82" s="2058">
        <v>307.39999999999998</v>
      </c>
      <c r="K82" s="2058">
        <v>112</v>
      </c>
      <c r="L82" s="2034"/>
      <c r="M82" s="2035"/>
      <c r="N82" s="2034"/>
      <c r="O82" s="2013"/>
      <c r="P82" s="2013"/>
      <c r="Q82" s="2013"/>
      <c r="R82" s="2013">
        <f>K82</f>
        <v>112</v>
      </c>
      <c r="S82" s="2034">
        <v>0.1</v>
      </c>
      <c r="T82" s="2013">
        <f>R82*(1-S82)</f>
        <v>100.8</v>
      </c>
      <c r="U82" s="2013">
        <f>T82</f>
        <v>100.8</v>
      </c>
      <c r="V82" s="2029">
        <f>U82*21</f>
        <v>2116.7999999999997</v>
      </c>
      <c r="W82" s="2036">
        <f>J82+V82</f>
        <v>2424.1999999999998</v>
      </c>
    </row>
    <row r="83" spans="1:23" ht="15">
      <c r="A83" s="1984"/>
      <c r="B83" s="2006"/>
      <c r="C83" s="2007" t="s">
        <v>1292</v>
      </c>
      <c r="D83" s="2007"/>
      <c r="E83" s="2007"/>
      <c r="F83" s="2007"/>
      <c r="G83" s="2007"/>
      <c r="H83" s="2007"/>
      <c r="I83" s="2007"/>
      <c r="J83" s="2032">
        <v>2318</v>
      </c>
      <c r="K83" s="2033">
        <v>844.8</v>
      </c>
      <c r="L83" s="2007"/>
      <c r="M83" s="2035"/>
      <c r="N83" s="2007"/>
      <c r="O83" s="2013"/>
      <c r="P83" s="2013"/>
      <c r="Q83" s="2013"/>
      <c r="R83" s="2054">
        <f>K83</f>
        <v>844.8</v>
      </c>
      <c r="S83" s="2055">
        <v>0.1</v>
      </c>
      <c r="T83" s="2054">
        <f>R83*(1-S83)</f>
        <v>760.31999999999994</v>
      </c>
      <c r="U83" s="2029">
        <f>T83</f>
        <v>760.31999999999994</v>
      </c>
      <c r="V83" s="2029">
        <f>U83*21</f>
        <v>15966.72</v>
      </c>
      <c r="W83" s="2056">
        <f>J83+V83</f>
        <v>18284.72</v>
      </c>
    </row>
    <row r="84" spans="1:23" ht="15">
      <c r="A84" s="1984"/>
      <c r="B84" s="2006"/>
      <c r="C84" s="2007"/>
      <c r="D84" s="2007"/>
      <c r="E84" s="2007"/>
      <c r="F84" s="2007"/>
      <c r="G84" s="2007"/>
      <c r="H84" s="2007"/>
      <c r="I84" s="2007"/>
      <c r="J84" s="2011"/>
      <c r="K84" s="2012"/>
      <c r="L84" s="2007"/>
      <c r="M84" s="2035"/>
      <c r="N84" s="2007"/>
      <c r="O84" s="2013"/>
      <c r="P84" s="2013"/>
      <c r="Q84" s="2013"/>
      <c r="R84" s="2007"/>
      <c r="S84" s="2007"/>
      <c r="T84" s="2007"/>
      <c r="U84" s="2007"/>
      <c r="V84" s="2007"/>
      <c r="W84" s="2036"/>
    </row>
    <row r="85" spans="1:23" ht="15.75" thickBot="1">
      <c r="A85" s="1984"/>
      <c r="B85" s="2066"/>
      <c r="C85" s="2067"/>
      <c r="D85" s="2067"/>
      <c r="E85" s="2067"/>
      <c r="F85" s="2067"/>
      <c r="G85" s="2067"/>
      <c r="H85" s="2067"/>
      <c r="I85" s="2067"/>
      <c r="J85" s="2068">
        <f>SUM(J20:J84)</f>
        <v>345180.60000000003</v>
      </c>
      <c r="K85" s="2069">
        <f>SUM(K20:K84)</f>
        <v>126314.36</v>
      </c>
      <c r="L85" s="2067"/>
      <c r="M85" s="2070"/>
      <c r="N85" s="2067"/>
      <c r="O85" s="2071"/>
      <c r="P85" s="2072">
        <f>SUM(P20:P84)</f>
        <v>162589.29386012501</v>
      </c>
      <c r="Q85" s="2067"/>
      <c r="R85" s="2067"/>
      <c r="S85" s="2067"/>
      <c r="T85" s="2073"/>
      <c r="U85" s="2067"/>
      <c r="V85" s="2067"/>
      <c r="W85" s="2074"/>
    </row>
    <row r="86" spans="1:23" ht="15.75" thickTop="1">
      <c r="A86" s="1984"/>
      <c r="B86" s="2075"/>
      <c r="C86" s="2075"/>
      <c r="D86" s="2075"/>
      <c r="E86" s="2075"/>
      <c r="F86" s="2075"/>
      <c r="G86" s="1985"/>
      <c r="H86" s="2075"/>
      <c r="I86" s="2075"/>
      <c r="J86" s="2076"/>
      <c r="K86" s="2075"/>
      <c r="L86" s="2075"/>
      <c r="M86" s="2077"/>
      <c r="N86" s="2075"/>
      <c r="O86" s="2078"/>
      <c r="P86" s="2075"/>
      <c r="Q86" s="1985"/>
      <c r="R86" s="2075"/>
      <c r="S86" s="2075"/>
      <c r="T86" s="2075"/>
      <c r="U86" s="2076"/>
      <c r="V86" s="2075"/>
      <c r="W86" s="2075"/>
    </row>
    <row r="87" spans="1:23" ht="15.75" thickBot="1">
      <c r="A87" s="1984"/>
      <c r="B87" s="2075"/>
      <c r="C87" s="2075"/>
      <c r="D87" s="2075"/>
      <c r="E87" s="2075"/>
      <c r="F87" s="2075"/>
      <c r="G87" s="2075"/>
      <c r="H87" s="2075"/>
      <c r="I87" s="2075"/>
      <c r="J87" s="2075"/>
      <c r="K87" s="2075"/>
      <c r="L87" s="2075"/>
      <c r="M87" s="2077"/>
      <c r="N87" s="2075"/>
      <c r="O87" s="2078"/>
      <c r="P87" s="2075"/>
      <c r="Q87" s="2075"/>
      <c r="R87" s="2075"/>
      <c r="S87" s="2075"/>
      <c r="T87" s="2075"/>
      <c r="U87" s="2075"/>
      <c r="V87" s="2075"/>
      <c r="W87" s="2075"/>
    </row>
    <row r="88" spans="1:23" ht="15.75" thickTop="1">
      <c r="A88" s="1984"/>
      <c r="B88" s="2075"/>
      <c r="C88" s="2075"/>
      <c r="D88" s="2075"/>
      <c r="E88" s="2075"/>
      <c r="F88" s="2075"/>
      <c r="G88" s="2079" t="s">
        <v>396</v>
      </c>
      <c r="H88" s="2080"/>
      <c r="I88" s="2080"/>
      <c r="J88" s="2081"/>
      <c r="K88" s="2082">
        <f>K85</f>
        <v>126314.36</v>
      </c>
      <c r="L88" s="2083"/>
      <c r="M88" s="2084" t="s">
        <v>397</v>
      </c>
      <c r="N88" s="2085"/>
      <c r="O88" s="2086">
        <f>LFGTE!M58</f>
        <v>19358.611819389662</v>
      </c>
      <c r="P88" s="2083"/>
      <c r="Q88" s="3083" t="s">
        <v>1030</v>
      </c>
      <c r="R88" s="3083"/>
      <c r="S88" s="3083"/>
      <c r="T88" s="2083"/>
      <c r="U88" s="2087">
        <f>LFGTE!N58+LFGTE!O58</f>
        <v>39578.273375981036</v>
      </c>
      <c r="V88" s="2075"/>
      <c r="W88" s="2088"/>
    </row>
    <row r="89" spans="1:23" ht="15.75">
      <c r="A89" s="1984"/>
      <c r="B89" s="2075"/>
      <c r="C89" s="2075"/>
      <c r="D89" s="2075"/>
      <c r="E89" s="2075"/>
      <c r="F89" s="2075"/>
      <c r="G89" s="2006" t="s">
        <v>1031</v>
      </c>
      <c r="H89" s="2007"/>
      <c r="I89" s="2007"/>
      <c r="J89" s="2007"/>
      <c r="K89" s="2007">
        <v>21</v>
      </c>
      <c r="L89" s="2089"/>
      <c r="M89" s="2007" t="s">
        <v>1031</v>
      </c>
      <c r="N89" s="2007"/>
      <c r="O89" s="2007">
        <v>21</v>
      </c>
      <c r="P89" s="2089"/>
      <c r="Q89" s="2007" t="s">
        <v>1031</v>
      </c>
      <c r="R89" s="2007"/>
      <c r="S89" s="2007"/>
      <c r="T89" s="2007"/>
      <c r="U89" s="2014">
        <v>21</v>
      </c>
      <c r="V89" s="2075"/>
      <c r="W89" s="2075"/>
    </row>
    <row r="90" spans="1:23" ht="15">
      <c r="A90" s="1984"/>
      <c r="B90" s="2075"/>
      <c r="C90" s="2075"/>
      <c r="D90" s="2075"/>
      <c r="E90" s="2075"/>
      <c r="F90" s="2075"/>
      <c r="G90" s="3081" t="s">
        <v>1032</v>
      </c>
      <c r="H90" s="3081"/>
      <c r="I90" s="3081"/>
      <c r="J90" s="2065"/>
      <c r="K90" s="2090">
        <f>(K88*K89)*0.90718474</f>
        <v>2406399.6565321945</v>
      </c>
      <c r="L90" s="2089"/>
      <c r="M90" s="3082" t="s">
        <v>1033</v>
      </c>
      <c r="N90" s="3082"/>
      <c r="O90" s="2091">
        <f>(O88*O89)*0.90718474</f>
        <v>368798.58183281269</v>
      </c>
      <c r="P90" s="2089"/>
      <c r="Q90" s="2092" t="s">
        <v>1034</v>
      </c>
      <c r="R90" s="2092"/>
      <c r="S90" s="2092"/>
      <c r="T90" s="2065"/>
      <c r="U90" s="2093">
        <f>(U88*U89)*0.90718474</f>
        <v>754000.91848700389</v>
      </c>
      <c r="V90" s="2075"/>
      <c r="W90" s="2075"/>
    </row>
    <row r="91" spans="1:23" ht="15">
      <c r="A91" s="1984"/>
      <c r="B91" s="2075"/>
      <c r="C91" s="2075"/>
      <c r="D91" s="2075"/>
      <c r="E91" s="2075"/>
      <c r="F91" s="2075"/>
      <c r="G91" s="2094"/>
      <c r="H91" s="2095"/>
      <c r="I91" s="2095"/>
      <c r="L91" s="2089"/>
      <c r="M91" s="2007"/>
      <c r="N91" s="2007"/>
      <c r="O91" s="2007"/>
      <c r="P91" s="2089"/>
      <c r="Q91" s="2007"/>
      <c r="R91" s="2007"/>
      <c r="S91" s="2007"/>
      <c r="T91" s="2007"/>
      <c r="U91" s="2014"/>
      <c r="V91" s="2075"/>
      <c r="W91" s="2075"/>
    </row>
    <row r="92" spans="1:23" ht="15">
      <c r="A92" s="1984"/>
      <c r="B92" s="2075"/>
      <c r="C92" s="2075"/>
      <c r="D92" s="2075"/>
      <c r="E92" s="2075"/>
      <c r="F92" s="2075"/>
      <c r="G92" s="3081" t="s">
        <v>1035</v>
      </c>
      <c r="H92" s="3081"/>
      <c r="I92" s="3081"/>
      <c r="J92" s="2065"/>
      <c r="K92" s="2090">
        <f>K90*7%</f>
        <v>168447.97595725363</v>
      </c>
      <c r="L92" s="2089"/>
      <c r="M92" s="2035"/>
      <c r="N92" s="2007"/>
      <c r="O92" s="2091"/>
      <c r="P92" s="2089"/>
      <c r="Q92" s="2092" t="s">
        <v>1038</v>
      </c>
      <c r="R92" s="2092"/>
      <c r="S92" s="2092"/>
      <c r="T92" s="2065"/>
      <c r="U92" s="2096">
        <f>U90*(12/44)</f>
        <v>205636.61413281923</v>
      </c>
      <c r="V92" s="2075"/>
      <c r="W92" s="2075"/>
    </row>
    <row r="93" spans="1:23" ht="15">
      <c r="A93" s="1984"/>
      <c r="B93" s="2075"/>
      <c r="C93" s="2075"/>
      <c r="D93" s="2075"/>
      <c r="E93" s="2075"/>
      <c r="F93" s="2075"/>
      <c r="G93" s="2006"/>
      <c r="H93" s="2007"/>
      <c r="I93" s="2007"/>
      <c r="J93" s="2007"/>
      <c r="K93" s="2091"/>
      <c r="L93" s="2089"/>
      <c r="M93" s="2097"/>
      <c r="N93" s="2097"/>
      <c r="O93" s="2097"/>
      <c r="P93" s="2089"/>
      <c r="Q93" s="2097"/>
      <c r="R93" s="2097"/>
      <c r="S93" s="2097"/>
      <c r="T93" s="2097"/>
      <c r="U93" s="2098"/>
      <c r="V93" s="2075"/>
      <c r="W93" s="2075"/>
    </row>
    <row r="94" spans="1:23" ht="15">
      <c r="A94" s="1984"/>
      <c r="B94" s="2075"/>
      <c r="C94" s="2075"/>
      <c r="D94" s="2075"/>
      <c r="E94" s="2075"/>
      <c r="F94" s="2075"/>
      <c r="G94" s="3081" t="s">
        <v>1036</v>
      </c>
      <c r="H94" s="3081"/>
      <c r="I94" s="3081"/>
      <c r="J94" s="2065"/>
      <c r="K94" s="2099">
        <f>(K90+K92)*0.90718474</f>
        <v>2335862.4800195554</v>
      </c>
      <c r="L94" s="2089"/>
      <c r="M94" s="3082" t="s">
        <v>1037</v>
      </c>
      <c r="N94" s="3082"/>
      <c r="O94" s="2099">
        <f>O90+U90</f>
        <v>1122799.5003198166</v>
      </c>
      <c r="P94" s="2089"/>
      <c r="Q94" s="2007" t="s">
        <v>1039</v>
      </c>
      <c r="R94" s="2007"/>
      <c r="S94" s="2007"/>
      <c r="T94" s="2007"/>
      <c r="U94" s="2036">
        <f>T83+T78+T77+T76+T73+T71+T70+T68+T59+T58+T54+T52+T51+T49+T47+T45+T44+T42+T36+T34+T33+T26+T24+T23+T21</f>
        <v>32243.724000000002</v>
      </c>
      <c r="V94" s="2075"/>
      <c r="W94" s="2075"/>
    </row>
    <row r="95" spans="1:23" ht="15.75">
      <c r="A95" s="1984"/>
      <c r="B95" s="2075"/>
      <c r="C95" s="2075"/>
      <c r="D95" s="2075"/>
      <c r="E95" s="2075"/>
      <c r="F95" s="2075"/>
      <c r="G95" s="2006"/>
      <c r="H95" s="2007"/>
      <c r="I95" s="2007"/>
      <c r="J95" s="2007"/>
      <c r="L95" s="2089"/>
      <c r="M95" s="2007"/>
      <c r="N95" s="2007"/>
      <c r="O95" s="2007"/>
      <c r="P95" s="2089"/>
      <c r="Q95" s="2007" t="s">
        <v>1031</v>
      </c>
      <c r="R95" s="2007"/>
      <c r="S95" s="2007"/>
      <c r="T95" s="2007"/>
      <c r="U95" s="2014">
        <v>21</v>
      </c>
      <c r="V95" s="2075"/>
      <c r="W95" s="2075"/>
    </row>
    <row r="96" spans="1:23" ht="15">
      <c r="A96" s="1984"/>
      <c r="B96" s="2075"/>
      <c r="C96" s="2075"/>
      <c r="D96" s="2075"/>
      <c r="E96" s="2075"/>
      <c r="F96" s="2075"/>
      <c r="G96" s="3081" t="s">
        <v>1293</v>
      </c>
      <c r="H96" s="3081"/>
      <c r="I96" s="3081"/>
      <c r="J96" s="2007"/>
      <c r="K96" s="2007"/>
      <c r="L96" s="2089"/>
      <c r="M96" s="3082" t="s">
        <v>1294</v>
      </c>
      <c r="N96" s="3082"/>
      <c r="O96" s="2090">
        <f>O94*(12/44)</f>
        <v>306218.04554176814</v>
      </c>
      <c r="P96" s="2089"/>
      <c r="Q96" s="2092" t="s">
        <v>1040</v>
      </c>
      <c r="R96" s="2092"/>
      <c r="S96" s="2092"/>
      <c r="T96" s="2065"/>
      <c r="U96" s="2093">
        <f>(U94*U95)*0.90718474</f>
        <v>614271.30184500699</v>
      </c>
      <c r="V96" s="2075"/>
      <c r="W96" s="2075"/>
    </row>
    <row r="97" spans="1:23" ht="15">
      <c r="A97" s="1984"/>
      <c r="B97" s="2075"/>
      <c r="C97" s="2075"/>
      <c r="D97" s="2075"/>
      <c r="E97" s="2075"/>
      <c r="F97" s="2075"/>
      <c r="G97" s="2006"/>
      <c r="H97" s="2007"/>
      <c r="I97" s="2007"/>
      <c r="J97" s="2007"/>
      <c r="K97" s="2100">
        <f>K94*(12/44)</f>
        <v>637053.4036416969</v>
      </c>
      <c r="L97" s="2089"/>
      <c r="M97" s="2007"/>
      <c r="N97" s="2007"/>
      <c r="O97" s="2007"/>
      <c r="P97" s="2089"/>
      <c r="Q97" s="2007"/>
      <c r="R97" s="2007"/>
      <c r="S97" s="2007"/>
      <c r="T97" s="2007"/>
      <c r="U97" s="2014"/>
      <c r="V97" s="2075"/>
      <c r="W97" s="2075"/>
    </row>
    <row r="98" spans="1:23" ht="15">
      <c r="A98" s="1984"/>
      <c r="B98" s="2075"/>
      <c r="C98" s="2075"/>
      <c r="D98" s="2075"/>
      <c r="E98" s="2075"/>
      <c r="F98" s="2075"/>
      <c r="G98" s="2006"/>
      <c r="H98" s="2007"/>
      <c r="I98" s="2007"/>
      <c r="J98" s="2007"/>
      <c r="K98" s="2007"/>
      <c r="L98" s="2089"/>
      <c r="M98" s="2007"/>
      <c r="N98" s="2007"/>
      <c r="O98" s="2007"/>
      <c r="P98" s="2089"/>
      <c r="Q98" s="2092" t="s">
        <v>1041</v>
      </c>
      <c r="R98" s="2092"/>
      <c r="S98" s="2092"/>
      <c r="T98" s="2065"/>
      <c r="U98" s="2093">
        <f>U96*(12/44)</f>
        <v>167528.53686682007</v>
      </c>
      <c r="V98" s="2075"/>
      <c r="W98" s="2075"/>
    </row>
    <row r="99" spans="1:23" ht="15">
      <c r="A99" s="1984"/>
      <c r="B99" s="2075"/>
      <c r="C99" s="2075"/>
      <c r="D99" s="2075"/>
      <c r="E99" s="2075"/>
      <c r="F99" s="2075"/>
      <c r="G99" s="2006"/>
      <c r="H99" s="2007"/>
      <c r="I99" s="2007"/>
      <c r="J99" s="2007"/>
      <c r="K99" s="2007"/>
      <c r="L99" s="2089"/>
      <c r="M99" s="2007"/>
      <c r="N99" s="2007"/>
      <c r="O99" s="2007"/>
      <c r="P99" s="2089"/>
      <c r="Q99" s="2007"/>
      <c r="R99" s="2007"/>
      <c r="S99" s="2007"/>
      <c r="T99" s="2007"/>
      <c r="U99" s="2014"/>
      <c r="V99" s="2075"/>
      <c r="W99" s="2075"/>
    </row>
    <row r="100" spans="1:23" ht="15">
      <c r="A100" s="1984"/>
      <c r="B100" s="2075"/>
      <c r="C100" s="2075"/>
      <c r="D100" s="2075"/>
      <c r="E100" s="2075"/>
      <c r="F100" s="2075"/>
      <c r="G100" s="2006"/>
      <c r="H100" s="2007"/>
      <c r="I100" s="2007"/>
      <c r="J100" s="2007"/>
      <c r="K100" s="2007"/>
      <c r="L100" s="2089"/>
      <c r="M100" s="2007"/>
      <c r="N100" s="2007"/>
      <c r="O100" s="2007"/>
      <c r="P100" s="2089"/>
      <c r="Q100" s="2065" t="s">
        <v>1042</v>
      </c>
      <c r="R100" s="2065"/>
      <c r="S100" s="2065"/>
      <c r="T100" s="2065"/>
      <c r="U100" s="2096">
        <f>U96*7%</f>
        <v>42998.99112915049</v>
      </c>
      <c r="V100" s="2075"/>
      <c r="W100" s="2075"/>
    </row>
    <row r="101" spans="1:23" ht="15">
      <c r="A101" s="1984"/>
      <c r="B101" s="2075"/>
      <c r="C101" s="2075"/>
      <c r="D101" s="2075"/>
      <c r="E101" s="2075"/>
      <c r="F101" s="2075"/>
      <c r="G101" s="2006"/>
      <c r="H101" s="2007"/>
      <c r="I101" s="2007"/>
      <c r="J101" s="2007"/>
      <c r="K101" s="2007"/>
      <c r="L101" s="2089"/>
      <c r="M101" s="2007"/>
      <c r="N101" s="2007"/>
      <c r="O101" s="2007"/>
      <c r="P101" s="2089"/>
      <c r="Q101" s="2007"/>
      <c r="R101" s="2007"/>
      <c r="S101" s="2007"/>
      <c r="T101" s="2007"/>
      <c r="U101" s="2014"/>
      <c r="V101" s="2075"/>
      <c r="W101" s="2075"/>
    </row>
    <row r="102" spans="1:23" ht="15">
      <c r="A102" s="1984"/>
      <c r="B102" s="2075"/>
      <c r="C102" s="2075"/>
      <c r="D102" s="2075"/>
      <c r="E102" s="2075"/>
      <c r="F102" s="2075"/>
      <c r="G102" s="2006"/>
      <c r="H102" s="2007"/>
      <c r="I102" s="2007"/>
      <c r="J102" s="2007"/>
      <c r="K102" s="2007"/>
      <c r="L102" s="2089"/>
      <c r="M102" s="2007"/>
      <c r="N102" s="2007"/>
      <c r="O102" s="2007"/>
      <c r="P102" s="2089"/>
      <c r="Q102" s="2065" t="s">
        <v>1043</v>
      </c>
      <c r="R102" s="2065"/>
      <c r="S102" s="2065"/>
      <c r="T102" s="2065"/>
      <c r="U102" s="2096">
        <f>U100*(12/44)</f>
        <v>11726.997580677405</v>
      </c>
      <c r="V102" s="2075"/>
      <c r="W102" s="2075"/>
    </row>
    <row r="103" spans="1:23" ht="15">
      <c r="A103" s="1984"/>
      <c r="B103" s="2075"/>
      <c r="C103" s="2075"/>
      <c r="D103" s="2075"/>
      <c r="E103" s="2075"/>
      <c r="F103" s="2075"/>
      <c r="G103" s="2101"/>
      <c r="H103" s="2097"/>
      <c r="I103" s="2097"/>
      <c r="J103" s="2097"/>
      <c r="K103" s="2007"/>
      <c r="L103" s="2089"/>
      <c r="M103" s="2097"/>
      <c r="N103" s="2097"/>
      <c r="O103" s="2097"/>
      <c r="P103" s="2089"/>
      <c r="Q103" s="2097"/>
      <c r="R103" s="2097"/>
      <c r="S103" s="2097"/>
      <c r="T103" s="2097"/>
      <c r="U103" s="2098"/>
      <c r="V103" s="2075"/>
      <c r="W103" s="2075"/>
    </row>
    <row r="104" spans="1:23" ht="15">
      <c r="A104" s="1984"/>
      <c r="B104" s="2075"/>
      <c r="C104" s="2075"/>
      <c r="D104" s="2075"/>
      <c r="E104" s="2075"/>
      <c r="F104" s="2075"/>
      <c r="G104" s="2006"/>
      <c r="H104" s="2007"/>
      <c r="I104" s="2007"/>
      <c r="J104" s="2007"/>
      <c r="K104" s="2097"/>
      <c r="L104" s="2089"/>
      <c r="M104" s="2007"/>
      <c r="N104" s="2007"/>
      <c r="O104" s="2007"/>
      <c r="P104" s="2089"/>
      <c r="Q104" s="2065" t="s">
        <v>1044</v>
      </c>
      <c r="R104" s="2007"/>
      <c r="S104" s="2007"/>
      <c r="T104" s="2007"/>
      <c r="U104" s="2096">
        <f>K94-O94-U96-U100</f>
        <v>555792.6867255813</v>
      </c>
      <c r="V104" s="2075"/>
      <c r="W104" s="2075"/>
    </row>
    <row r="105" spans="1:23" ht="15">
      <c r="A105" s="1984"/>
      <c r="B105" s="2075"/>
      <c r="C105" s="2075"/>
      <c r="D105" s="2075"/>
      <c r="E105" s="2075"/>
      <c r="F105" s="2075"/>
      <c r="G105" s="2006"/>
      <c r="H105" s="2007"/>
      <c r="I105" s="2007"/>
      <c r="J105" s="2007"/>
      <c r="K105" s="2007"/>
      <c r="L105" s="2089"/>
      <c r="M105" s="2007"/>
      <c r="N105" s="2007"/>
      <c r="O105" s="2007"/>
      <c r="P105" s="2089"/>
      <c r="Q105" s="2007"/>
      <c r="R105" s="2007"/>
      <c r="S105" s="2007"/>
      <c r="T105" s="2007"/>
      <c r="U105" s="2014"/>
      <c r="V105" s="2075"/>
      <c r="W105" s="2075"/>
    </row>
    <row r="106" spans="1:23" ht="15">
      <c r="A106" s="1984"/>
      <c r="B106" s="2075"/>
      <c r="C106" s="2075"/>
      <c r="D106" s="2075"/>
      <c r="E106" s="2075"/>
      <c r="F106" s="2075"/>
      <c r="G106" s="2006"/>
      <c r="H106" s="2007"/>
      <c r="I106" s="2007"/>
      <c r="J106" s="2007"/>
      <c r="K106" s="2007"/>
      <c r="L106" s="2089"/>
      <c r="M106" s="2007"/>
      <c r="N106" s="2007"/>
      <c r="O106" s="2007"/>
      <c r="P106" s="2089"/>
      <c r="Q106" s="2092" t="s">
        <v>1295</v>
      </c>
      <c r="R106" s="2102"/>
      <c r="S106" s="2102"/>
      <c r="T106" s="2102"/>
      <c r="U106" s="2096">
        <f>(LFGTE!U58+LFGTE!V58+LFGTE!W58)*0.907184</f>
        <v>254654.47756081901</v>
      </c>
      <c r="V106" s="2075"/>
      <c r="W106" s="2075"/>
    </row>
    <row r="107" spans="1:23" ht="15">
      <c r="A107" s="1984"/>
      <c r="B107" s="2075"/>
      <c r="C107" s="2075"/>
      <c r="D107" s="2075"/>
      <c r="E107" s="2075"/>
      <c r="F107" s="2075"/>
      <c r="G107" s="2006"/>
      <c r="H107" s="2007"/>
      <c r="I107" s="2007"/>
      <c r="J107" s="2007"/>
      <c r="K107" s="2007"/>
      <c r="L107" s="2089"/>
      <c r="M107" s="2007"/>
      <c r="N107" s="2007"/>
      <c r="O107" s="2007"/>
      <c r="P107" s="2089"/>
      <c r="Q107" s="2092"/>
      <c r="R107" s="2102"/>
      <c r="S107" s="2102"/>
      <c r="T107" s="2102"/>
      <c r="U107" s="2096"/>
      <c r="V107" s="2075"/>
      <c r="W107" s="2075"/>
    </row>
    <row r="108" spans="1:23" ht="15">
      <c r="A108" s="1984"/>
      <c r="B108" s="2075"/>
      <c r="C108" s="2075"/>
      <c r="D108" s="2075"/>
      <c r="E108" s="2075"/>
      <c r="F108" s="2075"/>
      <c r="G108" s="2006"/>
      <c r="H108" s="2007"/>
      <c r="I108" s="2007"/>
      <c r="J108" s="2007"/>
      <c r="K108" s="2007"/>
      <c r="L108" s="2089"/>
      <c r="M108" s="2007"/>
      <c r="N108" s="2007"/>
      <c r="O108" s="2007"/>
      <c r="P108" s="2089"/>
      <c r="Q108" s="2092" t="s">
        <v>265</v>
      </c>
      <c r="R108" s="2102"/>
      <c r="S108" s="2102"/>
      <c r="T108" s="2102"/>
      <c r="U108" s="2103">
        <f>U106/1000000</f>
        <v>0.25465447756081899</v>
      </c>
      <c r="V108" s="2075"/>
      <c r="W108" s="2075"/>
    </row>
    <row r="109" spans="1:23" ht="15">
      <c r="A109" s="1984"/>
      <c r="B109" s="2075"/>
      <c r="C109" s="2075"/>
      <c r="D109" s="2075"/>
      <c r="E109" s="2075"/>
      <c r="F109" s="2075"/>
      <c r="G109" s="2006"/>
      <c r="H109" s="2007"/>
      <c r="I109" s="2007"/>
      <c r="J109" s="2007"/>
      <c r="K109" s="2007"/>
      <c r="L109" s="2089"/>
      <c r="M109" s="2007"/>
      <c r="N109" s="2007"/>
      <c r="O109" s="2007"/>
      <c r="P109" s="2089"/>
      <c r="Q109" s="2092"/>
      <c r="R109" s="2102"/>
      <c r="S109" s="2102"/>
      <c r="T109" s="2102"/>
      <c r="U109" s="2096"/>
      <c r="V109" s="2075"/>
      <c r="W109" s="2075"/>
    </row>
    <row r="110" spans="1:23" ht="18">
      <c r="A110" s="1984"/>
      <c r="B110" s="2075"/>
      <c r="C110" s="2075"/>
      <c r="D110" s="2075"/>
      <c r="E110" s="2075"/>
      <c r="F110" s="2075"/>
      <c r="G110" s="2006"/>
      <c r="H110" s="2007"/>
      <c r="I110" s="2007"/>
      <c r="J110" s="2007"/>
      <c r="K110" s="2007"/>
      <c r="L110" s="2089"/>
      <c r="M110" s="2007"/>
      <c r="N110" s="2007"/>
      <c r="O110" s="2007"/>
      <c r="P110" s="2089"/>
      <c r="Q110" s="2092" t="s">
        <v>1296</v>
      </c>
      <c r="R110" s="2102"/>
      <c r="S110" s="2102"/>
      <c r="T110" s="2102"/>
      <c r="U110" s="2096">
        <f>J85*0.90718474</f>
        <v>313142.57286404405</v>
      </c>
      <c r="V110" s="2075"/>
      <c r="W110" s="2075"/>
    </row>
    <row r="111" spans="1:23" ht="15">
      <c r="A111" s="1984"/>
      <c r="B111" s="2075"/>
      <c r="C111" s="2075"/>
      <c r="D111" s="2075"/>
      <c r="E111" s="2075"/>
      <c r="F111" s="2075"/>
      <c r="G111" s="2006"/>
      <c r="H111" s="2007"/>
      <c r="I111" s="2007"/>
      <c r="J111" s="2007"/>
      <c r="K111" s="2007"/>
      <c r="L111" s="2089"/>
      <c r="M111" s="2007"/>
      <c r="N111" s="2007"/>
      <c r="O111" s="2007"/>
      <c r="P111" s="2089"/>
      <c r="Q111" s="2092"/>
      <c r="R111" s="2102"/>
      <c r="S111" s="2102"/>
      <c r="T111" s="2102"/>
      <c r="U111" s="2096"/>
      <c r="V111" s="2075"/>
      <c r="W111" s="2075"/>
    </row>
    <row r="112" spans="1:23" ht="18">
      <c r="A112" s="1984"/>
      <c r="B112" s="2075"/>
      <c r="C112" s="2075"/>
      <c r="D112" s="2075"/>
      <c r="E112" s="2075"/>
      <c r="F112" s="2075"/>
      <c r="G112" s="2006"/>
      <c r="H112" s="2007"/>
      <c r="I112" s="2007"/>
      <c r="J112" s="2007"/>
      <c r="K112" s="2007"/>
      <c r="L112" s="2089"/>
      <c r="M112" s="2007"/>
      <c r="N112" s="2007"/>
      <c r="O112" s="2007"/>
      <c r="P112" s="2089"/>
      <c r="Q112" s="2092" t="s">
        <v>1297</v>
      </c>
      <c r="R112" s="2102"/>
      <c r="S112" s="2102"/>
      <c r="T112" s="2102"/>
      <c r="U112" s="2103">
        <f>U110/1000000</f>
        <v>0.31314257286404407</v>
      </c>
      <c r="V112" s="2075"/>
      <c r="W112" s="2075"/>
    </row>
    <row r="113" spans="1:23" ht="15">
      <c r="A113" s="1984"/>
      <c r="B113" s="2075"/>
      <c r="C113" s="2075"/>
      <c r="D113" s="2075"/>
      <c r="E113" s="2075"/>
      <c r="F113" s="2075"/>
      <c r="G113" s="2006"/>
      <c r="H113" s="2007"/>
      <c r="I113" s="2007"/>
      <c r="J113" s="2007"/>
      <c r="K113" s="2007"/>
      <c r="L113" s="2089"/>
      <c r="M113" s="2007"/>
      <c r="N113" s="2007"/>
      <c r="O113" s="2007"/>
      <c r="P113" s="2089"/>
      <c r="Q113" s="2092"/>
      <c r="R113" s="2102"/>
      <c r="S113" s="2102"/>
      <c r="T113" s="2102"/>
      <c r="U113" s="2096"/>
      <c r="V113" s="2075"/>
      <c r="W113" s="2075"/>
    </row>
    <row r="114" spans="1:23" ht="15">
      <c r="A114" s="1984"/>
      <c r="B114" s="2075"/>
      <c r="C114" s="2075"/>
      <c r="D114" s="2075"/>
      <c r="E114" s="2075"/>
      <c r="F114" s="2075"/>
      <c r="G114" s="2006"/>
      <c r="H114" s="2007"/>
      <c r="I114" s="2007"/>
      <c r="J114" s="2007"/>
      <c r="K114" s="2007"/>
      <c r="L114" s="2089"/>
      <c r="M114" s="2007"/>
      <c r="N114" s="2007"/>
      <c r="O114" s="2007"/>
      <c r="P114" s="2089"/>
      <c r="Q114" s="2007"/>
      <c r="R114" s="2007"/>
      <c r="S114" s="2007"/>
      <c r="T114" s="2007"/>
      <c r="U114" s="2014"/>
      <c r="V114" s="2075"/>
      <c r="W114" s="1984"/>
    </row>
    <row r="115" spans="1:23" ht="15">
      <c r="A115" s="1984"/>
      <c r="B115" s="2075"/>
      <c r="C115" s="2075"/>
      <c r="D115" s="2075"/>
      <c r="E115" s="2075"/>
      <c r="F115" s="2075"/>
      <c r="G115" s="2006"/>
      <c r="H115" s="2007"/>
      <c r="I115" s="2007"/>
      <c r="J115" s="2007"/>
      <c r="K115" s="2007"/>
      <c r="L115" s="2089"/>
      <c r="M115" s="2007"/>
      <c r="N115" s="2007"/>
      <c r="O115" s="2007"/>
      <c r="P115" s="2089"/>
      <c r="Q115" s="2065" t="s">
        <v>1298</v>
      </c>
      <c r="R115" s="2007"/>
      <c r="S115" s="2007"/>
      <c r="T115" s="2007"/>
      <c r="U115" s="2103">
        <f>U104/1000000</f>
        <v>0.55579268672558135</v>
      </c>
      <c r="V115" s="2075"/>
      <c r="W115" s="1984"/>
    </row>
    <row r="116" spans="1:23" ht="15.75" thickBot="1">
      <c r="A116" s="1984"/>
      <c r="B116" s="2075"/>
      <c r="C116" s="2075"/>
      <c r="D116" s="2075"/>
      <c r="E116" s="2075"/>
      <c r="F116" s="2075"/>
      <c r="G116" s="2066"/>
      <c r="H116" s="2067"/>
      <c r="I116" s="2067"/>
      <c r="J116" s="2067"/>
      <c r="K116" s="2007"/>
      <c r="L116" s="2104"/>
      <c r="M116" s="2067"/>
      <c r="N116" s="2067"/>
      <c r="O116" s="2067"/>
      <c r="P116" s="2104"/>
      <c r="Q116" s="2067"/>
      <c r="R116" s="2067"/>
      <c r="S116" s="2067"/>
      <c r="T116" s="2067"/>
      <c r="U116" s="2105"/>
      <c r="V116" s="2075"/>
      <c r="W116" s="1984"/>
    </row>
    <row r="117" spans="1:23" ht="16.5" thickTop="1" thickBot="1">
      <c r="A117" s="1984"/>
      <c r="B117" s="2075"/>
      <c r="C117" s="2075"/>
      <c r="D117" s="2075"/>
      <c r="E117" s="2075"/>
      <c r="F117" s="2075"/>
      <c r="G117" s="2075"/>
      <c r="H117" s="2075"/>
      <c r="I117" s="2075"/>
      <c r="J117" s="2075"/>
      <c r="K117" s="2067"/>
      <c r="L117" s="2075"/>
      <c r="M117" s="2075"/>
      <c r="N117" s="2075"/>
      <c r="O117" s="2075"/>
      <c r="P117" s="2075"/>
      <c r="Q117" s="2075"/>
      <c r="R117" s="2075"/>
      <c r="S117" s="2075"/>
      <c r="T117" s="2075"/>
      <c r="U117" s="2075"/>
      <c r="V117" s="2075"/>
      <c r="W117" s="1984"/>
    </row>
    <row r="118" spans="1:23" ht="12" thickTop="1"/>
  </sheetData>
  <sheetProtection password="CD58" sheet="1" objects="1" scenarios="1"/>
  <mergeCells count="8">
    <mergeCell ref="G96:I96"/>
    <mergeCell ref="M96:N96"/>
    <mergeCell ref="Q88:S88"/>
    <mergeCell ref="G90:I90"/>
    <mergeCell ref="M90:N90"/>
    <mergeCell ref="G92:I92"/>
    <mergeCell ref="G94:I94"/>
    <mergeCell ref="M94:N94"/>
  </mergeCells>
  <pageMargins left="0.7" right="0.7" top="0.75" bottom="0.75" header="0.3" footer="0.3"/>
  <pageSetup orientation="portrait" r:id="rId1"/>
  <drawing r:id="rId2"/>
  <legacyDrawing r:id="rId3"/>
  <picture r:id="rId4"/>
</worksheet>
</file>

<file path=xl/worksheets/sheet15.xml><?xml version="1.0" encoding="utf-8"?>
<worksheet xmlns="http://schemas.openxmlformats.org/spreadsheetml/2006/main" xmlns:r="http://schemas.openxmlformats.org/officeDocument/2006/relationships">
  <sheetPr codeName="Sheet21"/>
  <dimension ref="A1:AG75"/>
  <sheetViews>
    <sheetView zoomScaleNormal="100" workbookViewId="0">
      <selection activeCell="J6" sqref="J6"/>
    </sheetView>
  </sheetViews>
  <sheetFormatPr defaultRowHeight="11.25"/>
  <cols>
    <col min="1" max="1" width="3.33203125" customWidth="1"/>
    <col min="2" max="2" width="36.6640625" customWidth="1"/>
    <col min="3" max="3" width="14.83203125" customWidth="1"/>
    <col min="4" max="4" width="14.33203125" bestFit="1" customWidth="1"/>
    <col min="5" max="5" width="11" customWidth="1"/>
    <col min="6" max="6" width="8.33203125" customWidth="1"/>
    <col min="7" max="7" width="11.1640625" customWidth="1"/>
    <col min="8" max="8" width="10.83203125" customWidth="1"/>
    <col min="13" max="13" width="14.83203125" customWidth="1"/>
    <col min="14" max="14" width="11.83203125" customWidth="1"/>
    <col min="15" max="15" width="13.5" customWidth="1"/>
    <col min="18" max="18" width="12" customWidth="1"/>
    <col min="19" max="19" width="18.5" customWidth="1"/>
    <col min="20" max="20" width="12.33203125" customWidth="1"/>
    <col min="21" max="21" width="15.1640625" customWidth="1"/>
    <col min="22" max="22" width="14.1640625" customWidth="1"/>
    <col min="23" max="23" width="16.1640625" customWidth="1"/>
    <col min="24" max="24" width="13.83203125" customWidth="1"/>
    <col min="25" max="25" width="13.1640625" customWidth="1"/>
    <col min="26" max="26" width="14.83203125" customWidth="1"/>
  </cols>
  <sheetData>
    <row r="1" spans="1:30" ht="21">
      <c r="A1" s="550" t="s">
        <v>1728</v>
      </c>
      <c r="B1" s="210"/>
      <c r="C1" s="2106"/>
      <c r="D1" s="2106"/>
      <c r="E1" s="2106"/>
      <c r="F1" s="2106"/>
      <c r="G1" s="2106"/>
      <c r="H1" s="2106"/>
      <c r="I1" s="2106"/>
      <c r="J1" s="2106"/>
      <c r="K1" s="2106"/>
      <c r="L1" s="2106"/>
      <c r="M1" s="2106"/>
      <c r="N1" s="2106"/>
      <c r="O1" s="2106"/>
      <c r="P1" s="2106"/>
      <c r="Q1" s="2106"/>
      <c r="R1" s="2106"/>
      <c r="S1" s="2106"/>
      <c r="T1" s="2106"/>
      <c r="U1" s="2106"/>
      <c r="V1" s="2106"/>
      <c r="W1" s="2106"/>
      <c r="X1" s="2106"/>
      <c r="Y1" s="2106"/>
      <c r="Z1" s="2106"/>
      <c r="AA1" s="2106"/>
      <c r="AB1" s="2106"/>
      <c r="AC1" s="2106"/>
      <c r="AD1" s="2106"/>
    </row>
    <row r="2" spans="1:30" ht="15.75" thickBot="1">
      <c r="A2" s="2106"/>
      <c r="B2" s="2106"/>
      <c r="C2" s="2106"/>
      <c r="D2" s="2106"/>
      <c r="E2" s="2106"/>
      <c r="F2" s="2106"/>
      <c r="G2" s="2106"/>
      <c r="H2" s="2106"/>
      <c r="I2" s="2106"/>
      <c r="J2" s="2106"/>
      <c r="K2" s="2106"/>
      <c r="L2" s="2106"/>
      <c r="M2" s="2106"/>
      <c r="N2" s="2106"/>
      <c r="O2" s="2106"/>
      <c r="P2" s="2106"/>
      <c r="Q2" s="2106"/>
      <c r="R2" s="2106"/>
      <c r="S2" s="2106"/>
      <c r="T2" s="2106"/>
      <c r="U2" s="2106"/>
      <c r="V2" s="2106"/>
      <c r="W2" s="2106"/>
      <c r="X2" s="2106"/>
      <c r="Y2" s="2106"/>
      <c r="Z2" s="2106"/>
      <c r="AA2" s="2106"/>
      <c r="AB2" s="2106"/>
      <c r="AC2" s="2106"/>
      <c r="AD2" s="2106"/>
    </row>
    <row r="3" spans="1:30" ht="15.75" thickTop="1">
      <c r="A3" s="2106"/>
      <c r="B3" s="3092"/>
      <c r="C3" s="3093"/>
      <c r="D3" s="2150"/>
      <c r="E3" s="2146"/>
      <c r="F3" s="2107"/>
      <c r="G3" s="2107"/>
      <c r="H3" s="2108"/>
      <c r="I3" s="2106"/>
      <c r="J3" s="2106"/>
      <c r="K3" s="2106"/>
      <c r="L3" s="2106"/>
      <c r="M3" s="2106"/>
      <c r="N3" s="2106"/>
      <c r="O3" s="2106"/>
      <c r="P3" s="2106"/>
      <c r="Q3" s="2106"/>
      <c r="R3" s="2106"/>
      <c r="S3" s="2106"/>
      <c r="T3" s="2106"/>
      <c r="U3" s="2106"/>
      <c r="V3" s="2106"/>
      <c r="W3" s="2106"/>
      <c r="X3" s="2106"/>
      <c r="Y3" s="2106"/>
      <c r="Z3" s="2106"/>
      <c r="AA3" s="2106"/>
      <c r="AB3" s="2106"/>
      <c r="AC3" s="2106"/>
      <c r="AD3" s="2106"/>
    </row>
    <row r="4" spans="1:30" ht="18">
      <c r="A4" s="2106"/>
      <c r="B4" s="3094" t="s">
        <v>1299</v>
      </c>
      <c r="C4" s="3095"/>
      <c r="D4" s="2151">
        <v>44.01</v>
      </c>
      <c r="E4" s="2147" t="s">
        <v>1253</v>
      </c>
      <c r="F4" s="2109"/>
      <c r="G4" s="2109"/>
      <c r="H4" s="2110"/>
      <c r="I4" s="2106"/>
      <c r="J4" s="2106"/>
      <c r="K4" s="2106"/>
      <c r="L4" s="2106"/>
      <c r="M4" s="2106"/>
      <c r="N4" s="2106"/>
      <c r="O4" s="2106"/>
      <c r="P4" s="2106"/>
      <c r="Q4" s="2106"/>
      <c r="R4" s="2106"/>
      <c r="S4" s="2106"/>
      <c r="T4" s="2106"/>
      <c r="U4" s="2106"/>
      <c r="V4" s="2106"/>
      <c r="W4" s="2106"/>
      <c r="X4" s="2106"/>
      <c r="Y4" s="2106"/>
      <c r="Z4" s="2106"/>
      <c r="AA4" s="2106"/>
      <c r="AB4" s="2106"/>
      <c r="AC4" s="2106"/>
      <c r="AD4" s="2106"/>
    </row>
    <row r="5" spans="1:30" ht="18">
      <c r="A5" s="2106"/>
      <c r="B5" s="3094" t="s">
        <v>1303</v>
      </c>
      <c r="C5" s="3095"/>
      <c r="D5" s="2152">
        <v>16.044</v>
      </c>
      <c r="E5" s="2147" t="s">
        <v>1253</v>
      </c>
      <c r="F5" s="2109"/>
      <c r="G5" s="2109"/>
      <c r="H5" s="2110"/>
      <c r="I5" s="2106"/>
      <c r="J5" s="2106"/>
      <c r="K5" s="2106"/>
      <c r="L5" s="2106"/>
      <c r="M5" s="2106"/>
      <c r="N5" s="2106"/>
      <c r="O5" s="2106"/>
      <c r="P5" s="2106"/>
      <c r="Q5" s="2106"/>
      <c r="R5" s="2106"/>
      <c r="S5" s="2106"/>
      <c r="T5" s="2106"/>
      <c r="U5" s="2106"/>
      <c r="V5" s="2106"/>
      <c r="W5" s="2106"/>
      <c r="X5" s="2106"/>
      <c r="Y5" s="2106"/>
      <c r="Z5" s="2106"/>
      <c r="AA5" s="2106"/>
      <c r="AB5" s="2106"/>
      <c r="AC5" s="2106"/>
      <c r="AD5" s="2106"/>
    </row>
    <row r="6" spans="1:30" ht="17.25">
      <c r="A6" s="2106"/>
      <c r="B6" s="3094" t="s">
        <v>1254</v>
      </c>
      <c r="C6" s="3095"/>
      <c r="D6" s="2151">
        <v>8.2050000000000002E-5</v>
      </c>
      <c r="E6" s="2147" t="s">
        <v>1300</v>
      </c>
      <c r="F6" s="2109"/>
      <c r="G6" s="2109"/>
      <c r="H6" s="2110"/>
      <c r="I6" s="2111"/>
      <c r="J6" s="2111"/>
      <c r="K6" s="2111"/>
      <c r="L6" s="2106"/>
      <c r="M6" s="2106"/>
      <c r="N6" s="2106"/>
      <c r="O6" s="2106"/>
      <c r="P6" s="2106"/>
      <c r="Q6" s="2106"/>
      <c r="R6" s="2106"/>
      <c r="S6" s="2106"/>
      <c r="T6" s="2106"/>
      <c r="U6" s="2106"/>
      <c r="V6" s="2106"/>
      <c r="W6" s="2106"/>
      <c r="X6" s="2106"/>
      <c r="Y6" s="2106"/>
      <c r="Z6" s="2106"/>
      <c r="AA6" s="2106"/>
      <c r="AB6" s="2106"/>
      <c r="AC6" s="2106"/>
      <c r="AD6" s="2106"/>
    </row>
    <row r="7" spans="1:30" ht="17.25">
      <c r="A7" s="2106"/>
      <c r="B7" s="3094" t="s">
        <v>1255</v>
      </c>
      <c r="C7" s="3095"/>
      <c r="D7" s="2151">
        <v>25</v>
      </c>
      <c r="E7" s="2147" t="s">
        <v>1301</v>
      </c>
      <c r="F7" s="2109"/>
      <c r="G7" s="2109">
        <f>D7+273</f>
        <v>298</v>
      </c>
      <c r="H7" s="2110" t="s">
        <v>1302</v>
      </c>
      <c r="I7" s="2111"/>
      <c r="J7" s="2111"/>
      <c r="K7" s="2111"/>
      <c r="L7" s="2106"/>
      <c r="M7" s="2106"/>
      <c r="N7" s="2106"/>
      <c r="O7" s="2106"/>
      <c r="P7" s="2106"/>
      <c r="Q7" s="2106"/>
      <c r="R7" s="2106"/>
      <c r="S7" s="2106"/>
      <c r="T7" s="2106"/>
      <c r="U7" s="2106"/>
      <c r="V7" s="2106"/>
      <c r="W7" s="2106"/>
      <c r="X7" s="2106"/>
      <c r="Y7" s="2106"/>
      <c r="Z7" s="2106"/>
      <c r="AA7" s="2106"/>
      <c r="AB7" s="2106"/>
      <c r="AC7" s="2106"/>
      <c r="AD7" s="2106"/>
    </row>
    <row r="8" spans="1:30" ht="17.25">
      <c r="A8" s="2106"/>
      <c r="B8" s="3084" t="s">
        <v>1304</v>
      </c>
      <c r="C8" s="3085"/>
      <c r="D8" s="2153"/>
      <c r="E8" s="2147"/>
      <c r="F8" s="2109"/>
      <c r="G8" s="2109"/>
      <c r="H8" s="2110"/>
      <c r="I8" s="2111"/>
      <c r="J8" s="2111"/>
      <c r="K8" s="2111"/>
      <c r="L8" s="2106"/>
      <c r="M8" s="2106"/>
      <c r="N8" s="2106"/>
      <c r="O8" s="2106"/>
      <c r="P8" s="2106"/>
      <c r="Q8" s="2106"/>
      <c r="R8" s="2106"/>
      <c r="S8" s="2106"/>
      <c r="T8" s="2106"/>
      <c r="U8" s="2106"/>
      <c r="V8" s="2106"/>
      <c r="W8" s="2106"/>
      <c r="X8" s="2106"/>
      <c r="Y8" s="2106"/>
      <c r="Z8" s="2106"/>
      <c r="AA8" s="2106"/>
      <c r="AB8" s="2106"/>
      <c r="AC8" s="2106"/>
      <c r="AD8" s="2106"/>
    </row>
    <row r="9" spans="1:30" ht="15">
      <c r="A9" s="2106"/>
      <c r="B9" s="2112" t="s">
        <v>1256</v>
      </c>
      <c r="C9" s="2143"/>
      <c r="D9" s="2151"/>
      <c r="E9" s="2147"/>
      <c r="F9" s="2109"/>
      <c r="G9" s="2109"/>
      <c r="H9" s="2110"/>
      <c r="I9" s="2111"/>
      <c r="J9" s="2111"/>
      <c r="K9" s="2111"/>
      <c r="L9" s="2106"/>
      <c r="M9" s="2106"/>
      <c r="N9" s="2106"/>
      <c r="O9" s="2106"/>
      <c r="P9" s="2106"/>
      <c r="Q9" s="2106"/>
      <c r="R9" s="2106"/>
      <c r="S9" s="2106"/>
      <c r="T9" s="2106"/>
      <c r="U9" s="2106"/>
      <c r="V9" s="2106"/>
      <c r="W9" s="2106"/>
      <c r="X9" s="2106"/>
      <c r="Y9" s="2106"/>
      <c r="Z9" s="2106"/>
      <c r="AA9" s="2106"/>
      <c r="AB9" s="2106"/>
      <c r="AC9" s="2106"/>
      <c r="AD9" s="2106"/>
    </row>
    <row r="10" spans="1:30" ht="15">
      <c r="A10" s="2106"/>
      <c r="B10" s="3099" t="s">
        <v>1257</v>
      </c>
      <c r="C10" s="3100"/>
      <c r="D10" s="2151"/>
      <c r="E10" s="2147"/>
      <c r="F10" s="2109"/>
      <c r="G10" s="2109"/>
      <c r="H10" s="2110"/>
      <c r="I10" s="2111"/>
      <c r="J10" s="2111"/>
      <c r="K10" s="2111"/>
      <c r="L10" s="2106"/>
      <c r="M10" s="2106"/>
      <c r="N10" s="2106"/>
      <c r="O10" s="2106"/>
      <c r="P10" s="2106"/>
      <c r="Q10" s="2106"/>
      <c r="R10" s="2106"/>
      <c r="S10" s="2106"/>
      <c r="T10" s="2106"/>
      <c r="U10" s="2106"/>
      <c r="V10" s="2106"/>
      <c r="W10" s="2106"/>
      <c r="X10" s="2106"/>
      <c r="Y10" s="2106"/>
      <c r="Z10" s="2106"/>
      <c r="AA10" s="2106"/>
      <c r="AB10" s="2106"/>
      <c r="AC10" s="2106"/>
      <c r="AD10" s="2106"/>
    </row>
    <row r="11" spans="1:30" ht="15">
      <c r="A11" s="2106"/>
      <c r="B11" s="2113" t="s">
        <v>1258</v>
      </c>
      <c r="C11" s="2144"/>
      <c r="D11" s="2154">
        <v>1</v>
      </c>
      <c r="E11" s="2148" t="s">
        <v>1259</v>
      </c>
      <c r="F11" s="2114"/>
      <c r="G11" s="2114"/>
      <c r="H11" s="2115"/>
      <c r="I11" s="2111"/>
      <c r="J11" s="2111"/>
      <c r="K11" s="2111"/>
      <c r="L11" s="2106"/>
      <c r="M11" s="2106"/>
      <c r="N11" s="2106"/>
      <c r="O11" s="2106"/>
      <c r="P11" s="2106"/>
      <c r="Q11" s="2106"/>
      <c r="R11" s="2106"/>
      <c r="S11" s="2106"/>
      <c r="T11" s="2106"/>
      <c r="U11" s="2106"/>
      <c r="V11" s="2106"/>
      <c r="W11" s="2106"/>
      <c r="X11" s="2106"/>
      <c r="Y11" s="2106"/>
      <c r="Z11" s="2106"/>
      <c r="AA11" s="2106"/>
      <c r="AB11" s="2106"/>
      <c r="AC11" s="2106"/>
      <c r="AD11" s="2106"/>
    </row>
    <row r="12" spans="1:30" ht="15">
      <c r="A12" s="2106"/>
      <c r="B12" s="3084"/>
      <c r="C12" s="3101"/>
      <c r="D12" s="2154"/>
      <c r="E12" s="2148"/>
      <c r="F12" s="2114"/>
      <c r="G12" s="2114"/>
      <c r="H12" s="2115"/>
      <c r="I12" s="2111"/>
      <c r="J12" s="2111"/>
      <c r="K12" s="2111"/>
      <c r="L12" s="2106"/>
      <c r="M12" s="2106"/>
      <c r="N12" s="2106"/>
      <c r="O12" s="2106"/>
      <c r="P12" s="2106"/>
      <c r="Q12" s="2106"/>
      <c r="R12" s="2106"/>
      <c r="S12" s="2106"/>
      <c r="T12" s="2106"/>
      <c r="U12" s="2106"/>
      <c r="V12" s="2106"/>
      <c r="W12" s="2106"/>
      <c r="X12" s="2106"/>
      <c r="Y12" s="2106"/>
      <c r="Z12" s="2106"/>
      <c r="AA12" s="2106"/>
      <c r="AB12" s="2106"/>
      <c r="AC12" s="2106"/>
      <c r="AD12" s="2106"/>
    </row>
    <row r="13" spans="1:30" ht="18">
      <c r="A13" s="2106"/>
      <c r="B13" s="2113" t="s">
        <v>1305</v>
      </c>
      <c r="C13" s="2144"/>
      <c r="D13" s="2154">
        <v>1000</v>
      </c>
      <c r="E13" s="2148" t="s">
        <v>74</v>
      </c>
      <c r="F13" s="2114"/>
      <c r="G13" s="2114"/>
      <c r="H13" s="2115"/>
      <c r="I13" s="2111"/>
      <c r="J13" s="2111"/>
      <c r="K13" s="2111"/>
      <c r="L13" s="2106"/>
      <c r="M13" s="2106"/>
      <c r="N13" s="2106"/>
      <c r="O13" s="2106"/>
      <c r="P13" s="2106"/>
      <c r="Q13" s="2106"/>
      <c r="R13" s="2106"/>
      <c r="S13" s="2106"/>
      <c r="T13" s="2106"/>
      <c r="U13" s="2106"/>
      <c r="V13" s="2106"/>
      <c r="W13" s="2106"/>
      <c r="X13" s="2106"/>
      <c r="Y13" s="2106"/>
      <c r="Z13" s="2106"/>
      <c r="AA13" s="2106"/>
      <c r="AB13" s="2106"/>
      <c r="AC13" s="2106"/>
      <c r="AD13" s="2106"/>
    </row>
    <row r="14" spans="1:30" ht="15">
      <c r="A14" s="2106"/>
      <c r="B14" s="3084"/>
      <c r="C14" s="3101"/>
      <c r="D14" s="2155"/>
      <c r="E14" s="2148"/>
      <c r="F14" s="2114"/>
      <c r="G14" s="2114"/>
      <c r="H14" s="2115"/>
      <c r="I14" s="2111"/>
      <c r="J14" s="2111"/>
      <c r="K14" s="2111"/>
      <c r="L14" s="2106"/>
      <c r="M14" s="2106"/>
      <c r="N14" s="2106"/>
      <c r="O14" s="2106"/>
      <c r="P14" s="2106"/>
      <c r="Q14" s="2106"/>
      <c r="R14" s="2106"/>
      <c r="S14" s="2106"/>
      <c r="T14" s="2106"/>
      <c r="U14" s="2106"/>
      <c r="V14" s="2106"/>
      <c r="W14" s="2106"/>
      <c r="X14" s="2106"/>
      <c r="Y14" s="2106"/>
      <c r="Z14" s="2106"/>
      <c r="AA14" s="2106"/>
      <c r="AB14" s="2106"/>
      <c r="AC14" s="2106"/>
      <c r="AD14" s="2106"/>
    </row>
    <row r="15" spans="1:30" ht="18">
      <c r="A15" s="2106"/>
      <c r="B15" s="2113" t="s">
        <v>1306</v>
      </c>
      <c r="C15" s="2144"/>
      <c r="D15" s="2155">
        <v>0.98</v>
      </c>
      <c r="E15" s="2148"/>
      <c r="F15" s="2114"/>
      <c r="G15" s="2114"/>
      <c r="H15" s="2115"/>
      <c r="I15" s="2111"/>
      <c r="J15" s="2111"/>
      <c r="K15" s="2111"/>
      <c r="L15" s="2106"/>
      <c r="M15" s="2106"/>
      <c r="N15" s="2106"/>
      <c r="O15" s="2106"/>
      <c r="P15" s="2106"/>
      <c r="Q15" s="2106"/>
      <c r="R15" s="2106"/>
      <c r="S15" s="2106"/>
      <c r="T15" s="2106"/>
      <c r="U15" s="2106"/>
      <c r="V15" s="2106"/>
      <c r="W15" s="2106"/>
      <c r="X15" s="2106"/>
      <c r="Y15" s="2106"/>
      <c r="Z15" s="2106"/>
      <c r="AA15" s="2106"/>
      <c r="AB15" s="2106"/>
      <c r="AC15" s="2106"/>
      <c r="AD15" s="2106"/>
    </row>
    <row r="16" spans="1:30" ht="15">
      <c r="A16" s="2106"/>
      <c r="B16" s="2113" t="s">
        <v>1260</v>
      </c>
      <c r="C16" s="2144"/>
      <c r="D16" s="2155">
        <v>0.99909999999999999</v>
      </c>
      <c r="E16" s="2148"/>
      <c r="F16" s="2114"/>
      <c r="G16" s="2114"/>
      <c r="H16" s="2115"/>
      <c r="I16" s="2111"/>
      <c r="J16" s="2111"/>
      <c r="K16" s="2111"/>
      <c r="L16" s="2106"/>
      <c r="M16" s="2106"/>
      <c r="N16" s="2106"/>
      <c r="O16" s="2106"/>
      <c r="P16" s="2106"/>
      <c r="Q16" s="2106"/>
      <c r="R16" s="2106"/>
      <c r="S16" s="2106"/>
      <c r="T16" s="2106"/>
      <c r="U16" s="2106"/>
      <c r="V16" s="2106"/>
      <c r="W16" s="2106"/>
      <c r="X16" s="2106"/>
      <c r="Y16" s="2106"/>
      <c r="Z16" s="2106"/>
      <c r="AA16" s="2106"/>
      <c r="AB16" s="2106"/>
      <c r="AC16" s="2106"/>
      <c r="AD16" s="2106"/>
    </row>
    <row r="17" spans="1:33" ht="15">
      <c r="A17" s="2106"/>
      <c r="B17" s="2113" t="s">
        <v>1261</v>
      </c>
      <c r="C17" s="2144"/>
      <c r="D17" s="2155">
        <v>0.98</v>
      </c>
      <c r="E17" s="2148"/>
      <c r="F17" s="2114"/>
      <c r="G17" s="2114"/>
      <c r="H17" s="2115"/>
      <c r="I17" s="2111"/>
      <c r="J17" s="2111"/>
      <c r="K17" s="2111"/>
      <c r="L17" s="2106"/>
      <c r="M17" s="2106"/>
      <c r="N17" s="2106"/>
      <c r="O17" s="2106"/>
      <c r="P17" s="2106"/>
      <c r="Q17" s="2106"/>
      <c r="R17" s="2106"/>
      <c r="S17" s="2106"/>
      <c r="T17" s="2106"/>
      <c r="U17" s="2106"/>
      <c r="V17" s="2106"/>
      <c r="W17" s="2106"/>
      <c r="X17" s="2106"/>
      <c r="Y17" s="2106"/>
      <c r="Z17" s="2106"/>
      <c r="AA17" s="2106"/>
      <c r="AB17" s="2106"/>
      <c r="AC17" s="2106"/>
      <c r="AD17" s="2106"/>
    </row>
    <row r="18" spans="1:33" ht="15">
      <c r="A18" s="2106"/>
      <c r="B18" s="3084"/>
      <c r="C18" s="3101"/>
      <c r="D18" s="2156"/>
      <c r="E18" s="2148"/>
      <c r="F18" s="2114"/>
      <c r="G18" s="2114"/>
      <c r="H18" s="2115"/>
      <c r="I18" s="2111"/>
      <c r="J18" s="2111"/>
      <c r="K18" s="2111"/>
      <c r="L18" s="2106"/>
      <c r="M18" s="2106"/>
      <c r="N18" s="2106"/>
      <c r="O18" s="2106"/>
      <c r="P18" s="2106"/>
      <c r="Q18" s="2106"/>
      <c r="R18" s="2106"/>
      <c r="S18" s="2106"/>
      <c r="T18" s="2106"/>
      <c r="U18" s="2106"/>
      <c r="V18" s="2106"/>
      <c r="W18" s="2106"/>
      <c r="X18" s="2106"/>
      <c r="Y18" s="2106"/>
      <c r="Z18" s="2106"/>
      <c r="AA18" s="2106"/>
      <c r="AB18" s="2106"/>
      <c r="AC18" s="2106"/>
      <c r="AD18" s="2106"/>
    </row>
    <row r="19" spans="1:33" ht="18.75" thickBot="1">
      <c r="A19" s="2106"/>
      <c r="B19" s="2116" t="s">
        <v>1307</v>
      </c>
      <c r="C19" s="2145"/>
      <c r="D19" s="1979">
        <v>1.25</v>
      </c>
      <c r="E19" s="2149" t="s">
        <v>1262</v>
      </c>
      <c r="F19" s="2117"/>
      <c r="G19" s="2117"/>
      <c r="H19" s="2118"/>
      <c r="I19" s="2111"/>
      <c r="J19" s="2111"/>
      <c r="K19" s="2111"/>
      <c r="L19" s="2106"/>
      <c r="M19" s="2106"/>
      <c r="N19" s="2106"/>
      <c r="O19" s="2106"/>
      <c r="P19" s="2106"/>
      <c r="Q19" s="2106"/>
      <c r="R19" s="2106"/>
      <c r="S19" s="2106"/>
      <c r="T19" s="2106"/>
      <c r="U19" s="2106"/>
      <c r="V19" s="2106"/>
      <c r="W19" s="2106"/>
      <c r="X19" s="2106"/>
      <c r="Y19" s="2106"/>
      <c r="Z19" s="2106"/>
      <c r="AA19" s="2106"/>
      <c r="AB19" s="2106"/>
      <c r="AC19" s="2106"/>
      <c r="AD19" s="2106"/>
    </row>
    <row r="20" spans="1:33" ht="15.75" thickTop="1">
      <c r="A20" s="2106"/>
      <c r="B20" s="2119"/>
      <c r="C20" s="2119"/>
      <c r="D20" s="2119"/>
      <c r="E20" s="2119"/>
      <c r="F20" s="2119"/>
      <c r="G20" s="2119"/>
      <c r="H20" s="2119"/>
      <c r="I20" s="2111"/>
      <c r="J20" s="2111"/>
      <c r="K20" s="2111"/>
      <c r="L20" s="2106"/>
      <c r="M20" s="2106"/>
      <c r="N20" s="2106"/>
      <c r="O20" s="2106"/>
      <c r="P20" s="2106"/>
      <c r="Q20" s="2106"/>
      <c r="R20" s="2106"/>
      <c r="S20" s="2106"/>
      <c r="T20" s="2106"/>
      <c r="U20" s="2106"/>
      <c r="V20" s="2106"/>
      <c r="W20" s="2106"/>
      <c r="X20" s="2106"/>
      <c r="Y20" s="2106"/>
      <c r="Z20" s="2106"/>
      <c r="AA20" s="2106"/>
      <c r="AB20" s="2106"/>
      <c r="AC20" s="2106"/>
      <c r="AD20" s="2106"/>
    </row>
    <row r="21" spans="1:33" ht="15">
      <c r="A21" s="2106"/>
      <c r="B21" s="2119"/>
      <c r="C21" s="2119"/>
      <c r="D21" s="2119"/>
      <c r="E21" s="2119"/>
      <c r="F21" s="2119"/>
      <c r="G21" s="2119"/>
      <c r="H21" s="2119"/>
      <c r="I21" s="2111"/>
      <c r="J21" s="2111"/>
      <c r="K21" s="2111"/>
      <c r="L21" s="2106"/>
      <c r="M21" s="2106"/>
      <c r="N21" s="2106"/>
      <c r="O21" s="2106"/>
      <c r="P21" s="2106"/>
      <c r="Q21" s="2106"/>
      <c r="R21" s="2106"/>
      <c r="S21" s="2106"/>
      <c r="T21" s="2106"/>
      <c r="U21" s="2106"/>
      <c r="V21" s="2106"/>
      <c r="W21" s="2106"/>
      <c r="X21" s="2106"/>
      <c r="Y21" s="2106"/>
      <c r="Z21" s="2106"/>
      <c r="AA21" s="2106"/>
      <c r="AB21" s="2106"/>
      <c r="AC21" s="2106"/>
      <c r="AD21" s="2106"/>
    </row>
    <row r="22" spans="1:33" ht="15.75" thickBot="1">
      <c r="A22" s="2106"/>
      <c r="B22" s="2106"/>
      <c r="C22" s="2106"/>
      <c r="D22" s="2106"/>
      <c r="E22" s="2106"/>
      <c r="F22" s="2106"/>
      <c r="G22" s="2106"/>
      <c r="H22" s="2111"/>
      <c r="I22" s="2111"/>
      <c r="J22" s="2111"/>
      <c r="K22" s="2111"/>
      <c r="L22" s="2106"/>
      <c r="M22" s="2106"/>
      <c r="N22" s="2106"/>
      <c r="O22" s="2106"/>
      <c r="P22" s="2106"/>
      <c r="Q22" s="2106"/>
      <c r="R22" s="2106"/>
      <c r="S22" s="2106"/>
      <c r="T22" s="2106"/>
      <c r="U22" s="2106"/>
      <c r="V22" s="2106"/>
      <c r="W22" s="2106"/>
      <c r="X22" s="2106"/>
      <c r="Y22" s="2106"/>
      <c r="Z22" s="2106"/>
      <c r="AA22" s="2106"/>
      <c r="AB22" s="2106"/>
      <c r="AC22" s="2106"/>
      <c r="AD22" s="2106"/>
    </row>
    <row r="23" spans="1:33" ht="15.75" thickTop="1">
      <c r="A23" s="2106"/>
      <c r="B23" s="2120"/>
      <c r="C23" s="3089"/>
      <c r="D23" s="3090"/>
      <c r="E23" s="3091"/>
      <c r="F23" s="2121"/>
      <c r="G23" s="2121"/>
      <c r="H23" s="2121"/>
      <c r="I23" s="3089"/>
      <c r="J23" s="3090"/>
      <c r="K23" s="3091"/>
      <c r="L23" s="2122"/>
      <c r="M23" s="3089"/>
      <c r="N23" s="3090"/>
      <c r="O23" s="3091"/>
      <c r="P23" s="2123"/>
      <c r="Q23" s="2124"/>
      <c r="R23" s="2121"/>
      <c r="S23" s="2121"/>
      <c r="T23" s="2125"/>
      <c r="U23" s="2126"/>
      <c r="V23" s="2127"/>
      <c r="W23" s="2124"/>
      <c r="X23" s="2128"/>
      <c r="Y23" s="2121"/>
      <c r="Z23" s="2121"/>
      <c r="AA23" s="2121"/>
      <c r="AB23" s="2121"/>
      <c r="AC23" s="2106"/>
      <c r="AD23" s="2106"/>
    </row>
    <row r="24" spans="1:33" ht="272.25" thickBot="1">
      <c r="A24" s="2106"/>
      <c r="B24" s="2129"/>
      <c r="C24" s="3086" t="s">
        <v>1308</v>
      </c>
      <c r="D24" s="3087"/>
      <c r="E24" s="3088"/>
      <c r="F24" s="2165" t="s">
        <v>1312</v>
      </c>
      <c r="G24" s="2165" t="s">
        <v>1309</v>
      </c>
      <c r="H24" s="2166" t="s">
        <v>1310</v>
      </c>
      <c r="I24" s="3096" t="s">
        <v>1311</v>
      </c>
      <c r="J24" s="3097"/>
      <c r="K24" s="3098"/>
      <c r="L24" s="2158" t="s">
        <v>1282</v>
      </c>
      <c r="M24" s="3096" t="s">
        <v>1283</v>
      </c>
      <c r="N24" s="3097"/>
      <c r="O24" s="3098"/>
      <c r="P24" s="2159" t="s">
        <v>1313</v>
      </c>
      <c r="Q24" s="2165" t="s">
        <v>1263</v>
      </c>
      <c r="R24" s="2165" t="s">
        <v>1264</v>
      </c>
      <c r="S24" s="2165" t="s">
        <v>1314</v>
      </c>
      <c r="T24" s="2167" t="s">
        <v>1315</v>
      </c>
      <c r="U24" s="2168" t="s">
        <v>1316</v>
      </c>
      <c r="V24" s="2169" t="s">
        <v>1317</v>
      </c>
      <c r="W24" s="2170" t="s">
        <v>1318</v>
      </c>
      <c r="X24" s="2171" t="s">
        <v>1319</v>
      </c>
      <c r="Y24" s="2165" t="s">
        <v>1320</v>
      </c>
      <c r="Z24" s="2165" t="s">
        <v>1321</v>
      </c>
      <c r="AA24" s="2165" t="s">
        <v>1323</v>
      </c>
      <c r="AB24" s="2165" t="s">
        <v>1322</v>
      </c>
      <c r="AC24" s="2160"/>
      <c r="AD24" s="2160"/>
      <c r="AE24" s="2161"/>
      <c r="AF24" s="2161"/>
      <c r="AG24" s="2161"/>
    </row>
    <row r="25" spans="1:33" ht="15">
      <c r="A25" s="2106"/>
      <c r="B25" s="2130"/>
      <c r="C25" s="2162" t="s">
        <v>1265</v>
      </c>
      <c r="D25" s="2163" t="s">
        <v>1266</v>
      </c>
      <c r="E25" s="2164" t="s">
        <v>1267</v>
      </c>
      <c r="F25" s="2131"/>
      <c r="G25" s="2131"/>
      <c r="H25" s="1933"/>
      <c r="I25" s="2162" t="s">
        <v>1265</v>
      </c>
      <c r="J25" s="2163" t="s">
        <v>1266</v>
      </c>
      <c r="K25" s="2164" t="s">
        <v>1267</v>
      </c>
      <c r="L25" s="1934"/>
      <c r="M25" s="2172" t="s">
        <v>1265</v>
      </c>
      <c r="N25" s="2174" t="s">
        <v>1266</v>
      </c>
      <c r="O25" s="2173" t="s">
        <v>1267</v>
      </c>
      <c r="P25" s="1935"/>
      <c r="Q25" s="2131"/>
      <c r="R25" s="2131"/>
      <c r="S25" s="2131"/>
      <c r="T25" s="1936"/>
      <c r="U25" s="1937"/>
      <c r="V25" s="1938"/>
      <c r="W25" s="1939"/>
      <c r="X25" s="1940"/>
      <c r="Y25" s="2131"/>
      <c r="Z25" s="2131"/>
      <c r="AA25" s="2131"/>
      <c r="AB25" s="2131"/>
      <c r="AC25" s="2106"/>
      <c r="AD25" s="2106"/>
    </row>
    <row r="26" spans="1:33" ht="15">
      <c r="A26" s="2106"/>
      <c r="B26" s="2132"/>
      <c r="C26" s="2133"/>
      <c r="D26" s="2133"/>
      <c r="E26" s="2133"/>
      <c r="F26" s="2134"/>
      <c r="G26" s="2135"/>
      <c r="H26" s="1954"/>
      <c r="I26" s="1941"/>
      <c r="J26" s="1941"/>
      <c r="K26" s="1941"/>
      <c r="L26" s="1942"/>
      <c r="M26" s="1955"/>
      <c r="N26" s="1955"/>
      <c r="O26" s="1955"/>
      <c r="P26" s="1943"/>
      <c r="Q26" s="2135"/>
      <c r="R26" s="2136"/>
      <c r="S26" s="2134"/>
      <c r="T26" s="1944"/>
      <c r="U26" s="1945"/>
      <c r="V26" s="1946"/>
      <c r="W26" s="1947"/>
      <c r="X26" s="1948"/>
      <c r="Y26" s="2137"/>
      <c r="Z26" s="2138"/>
      <c r="AA26" s="2138"/>
      <c r="AB26" s="2137"/>
      <c r="AC26" s="2106"/>
      <c r="AD26" s="2106"/>
    </row>
    <row r="27" spans="1:33" ht="15">
      <c r="A27" s="2106"/>
      <c r="B27" s="2132" t="s">
        <v>1268</v>
      </c>
      <c r="C27" s="2133">
        <v>11.46</v>
      </c>
      <c r="D27" s="2133">
        <v>0</v>
      </c>
      <c r="E27" s="2133">
        <v>128.99</v>
      </c>
      <c r="F27" s="2134">
        <f>SUM(C27:E27)</f>
        <v>140.45000000000002</v>
      </c>
      <c r="G27" s="2135">
        <v>0.496</v>
      </c>
      <c r="H27" s="1954">
        <v>0.35399999999999998</v>
      </c>
      <c r="I27" s="1941">
        <f>C27*G27</f>
        <v>5.6841600000000003</v>
      </c>
      <c r="J27" s="1941">
        <f>D27*G27</f>
        <v>0</v>
      </c>
      <c r="K27" s="1941">
        <f>E27*G27</f>
        <v>63.979040000000005</v>
      </c>
      <c r="L27" s="1942">
        <f>SUM(I27:K27)</f>
        <v>69.663200000000003</v>
      </c>
      <c r="M27" s="1955">
        <f>((I27*1000000)/35.31)*($D$5/($D$6*$G$7))*0.0000011023</f>
        <v>116.43570787124911</v>
      </c>
      <c r="N27" s="1955">
        <f>((J27*1000000)/35.31)*($D$5/($D$6*$G$7))*0.0000011023</f>
        <v>0</v>
      </c>
      <c r="O27" s="1955">
        <f>((K27*1000000)/35.31)*($D$5/($D$6*$G$7))*0.0000011023</f>
        <v>1310.5621255071921</v>
      </c>
      <c r="P27" s="1943">
        <v>149.27000000000001</v>
      </c>
      <c r="Q27" s="2135">
        <f>L27/P27</f>
        <v>0.46669257050981444</v>
      </c>
      <c r="R27" s="2136">
        <f>F27/Q27</f>
        <v>300.94758064516134</v>
      </c>
      <c r="S27" s="2136">
        <f>((R27*H27*(1-Q27)*1000000))/35.31</f>
        <v>1609066.6538767235</v>
      </c>
      <c r="T27" s="2180">
        <f>((S27*$D$4)/($D$6*$G$7))*0.00000110231</f>
        <v>3192.5249575666253</v>
      </c>
      <c r="U27" s="2182">
        <f>(C27*($G$27+$H$27)*1000000/35.31)*($D$4/($D$6*$G$7))*0.00000110231</f>
        <v>547.35122219570849</v>
      </c>
      <c r="V27" s="2186">
        <f>(D27*($G$27+$H$27)*1000000/35.31)*($D$4/($D$6*$G$7))*0.00000110231</f>
        <v>0</v>
      </c>
      <c r="W27" s="2185">
        <f>(E27*($G$27+$H$27)*1000000/35.31)*($D$4/($D$6*$G$7))*0.00000110231</f>
        <v>6160.8057723407001</v>
      </c>
      <c r="X27" s="2188">
        <f>(((R27*G27)*(1-Q27))*1000000/35.31)*($D$5/($D$6*$G$7))*0.0000011023</f>
        <v>1630.6849401433026</v>
      </c>
      <c r="Y27" s="2176">
        <f>(((C27*G27)*(1-$D$15))*1000000/35.31)*($D$5/($D$6*$G$7))*0.0000011023</f>
        <v>2.3287141574249843</v>
      </c>
      <c r="Z27" s="2189">
        <f>(((D27*AA27)*$D$19))/2000</f>
        <v>0</v>
      </c>
      <c r="AA27" s="2133">
        <f>G27*$D$13</f>
        <v>496</v>
      </c>
      <c r="AB27" s="2133">
        <f>(((E27*AA27)*$D$19))/2000</f>
        <v>39.986900000000006</v>
      </c>
      <c r="AC27" s="2106"/>
      <c r="AD27" s="2106"/>
    </row>
    <row r="28" spans="1:33" ht="15">
      <c r="A28" s="2106"/>
      <c r="B28" s="2132"/>
      <c r="C28" s="2133"/>
      <c r="D28" s="2133"/>
      <c r="E28" s="2133"/>
      <c r="F28" s="2134"/>
      <c r="G28" s="2135"/>
      <c r="H28" s="1954"/>
      <c r="I28" s="1941"/>
      <c r="J28" s="1941"/>
      <c r="K28" s="1941"/>
      <c r="L28" s="1942"/>
      <c r="M28" s="1955"/>
      <c r="N28" s="1955"/>
      <c r="O28" s="1955"/>
      <c r="P28" s="1943"/>
      <c r="Q28" s="2135"/>
      <c r="R28" s="2136"/>
      <c r="S28" s="2136"/>
      <c r="T28" s="2180"/>
      <c r="U28" s="2182"/>
      <c r="V28" s="2184"/>
      <c r="W28" s="2185"/>
      <c r="X28" s="2188"/>
      <c r="Y28" s="2176"/>
      <c r="Z28" s="2176"/>
      <c r="AA28" s="2138"/>
      <c r="AB28" s="2137"/>
      <c r="AC28" s="2106"/>
      <c r="AD28" s="2106"/>
    </row>
    <row r="29" spans="1:33" ht="15">
      <c r="A29" s="2106"/>
      <c r="B29" s="2132" t="s">
        <v>1269</v>
      </c>
      <c r="C29" s="2133">
        <v>236.095</v>
      </c>
      <c r="D29" s="2133">
        <f>2.741+440</f>
        <v>442.74099999999999</v>
      </c>
      <c r="E29" s="2133">
        <v>805.43799999999999</v>
      </c>
      <c r="F29" s="2134">
        <f>SUM(C29:E29)</f>
        <v>1484.2739999999999</v>
      </c>
      <c r="G29" s="2135">
        <v>0.51400000000000001</v>
      </c>
      <c r="H29" s="1954">
        <v>0.38600000000000001</v>
      </c>
      <c r="I29" s="1941">
        <f>C29*G29</f>
        <v>121.35283</v>
      </c>
      <c r="J29" s="1941">
        <f>D29*G29</f>
        <v>227.56887399999999</v>
      </c>
      <c r="K29" s="1941">
        <f>E29*G29</f>
        <v>413.99513200000001</v>
      </c>
      <c r="L29" s="1942">
        <f>SUM(I29:K29)</f>
        <v>762.91683599999999</v>
      </c>
      <c r="M29" s="1955">
        <f>((I29*1000000)/35.31)*($D$5/($D$6*$G$7))*0.0000011023</f>
        <v>2485.8207128633526</v>
      </c>
      <c r="N29" s="1955">
        <f>((J29*1000000)/35.31)*($D$5/($D$6*$G$7))*0.0000011023</f>
        <v>4661.5758412242258</v>
      </c>
      <c r="O29" s="1955">
        <f>((K29*1000000)/35.31)*($D$5/($D$6*$G$7))*0.0000011023</f>
        <v>8480.3763880100505</v>
      </c>
      <c r="P29" s="1943">
        <f>(258298829+649173644)/1000000</f>
        <v>907.47247300000004</v>
      </c>
      <c r="Q29" s="2135">
        <f>L29/P29</f>
        <v>0.84070521001908116</v>
      </c>
      <c r="R29" s="2136">
        <f>F29/Q29</f>
        <v>1765.5106478599221</v>
      </c>
      <c r="S29" s="2136">
        <f>((R29*H29*(1-Q29)*1000000))/35.31</f>
        <v>3074407.9884998575</v>
      </c>
      <c r="T29" s="2180">
        <f>((S29*$D$4)/($D$6*$G$7))*0.00000110231</f>
        <v>6099.8866699402588</v>
      </c>
      <c r="U29" s="2182">
        <f>(C29*($G$27+$H$27)*1000000/35.31)*($D$4/($D$6*$G$7))*0.00000110231</f>
        <v>11276.342653079908</v>
      </c>
      <c r="V29" s="2184">
        <f>(D29*($G$27+$H$27)*1000000/35.31)*($D$4/($D$6*$G$7))*0.00000110231</f>
        <v>21146.145503154457</v>
      </c>
      <c r="W29" s="2185">
        <f>(E29*($G$27+$H$27)*1000000/35.31)*($D$4/($D$6*$G$7))*0.00000110231</f>
        <v>38469.238543007588</v>
      </c>
      <c r="X29" s="2188">
        <f>(((R29*G29)*(1-Q29))*1000000/35.31)*($D$5/($D$6*$G$7))*0.0000011023</f>
        <v>2961.112621895642</v>
      </c>
      <c r="Y29" s="2176">
        <f>(((C29*G29)*(1-$D$15))*1000000/35.31)*($D$5/($D$6*$G$7))*0.0000011023</f>
        <v>49.71641425726709</v>
      </c>
      <c r="Z29" s="2189">
        <f>(((D29*AA29)*$D$19))/2000</f>
        <v>142.23054624999997</v>
      </c>
      <c r="AA29" s="2133">
        <f>G29*$D$13</f>
        <v>514</v>
      </c>
      <c r="AB29" s="2133">
        <f>(((E29*AA29)*$D$19))/2000</f>
        <v>258.74695750000001</v>
      </c>
      <c r="AC29" s="2106"/>
      <c r="AD29" s="2106"/>
    </row>
    <row r="30" spans="1:33" ht="15">
      <c r="A30" s="2106"/>
      <c r="B30" s="2132"/>
      <c r="C30" s="2133"/>
      <c r="D30" s="2133"/>
      <c r="E30" s="2133"/>
      <c r="F30" s="2134"/>
      <c r="G30" s="2135"/>
      <c r="H30" s="1954"/>
      <c r="I30" s="1941"/>
      <c r="J30" s="1941"/>
      <c r="K30" s="1941"/>
      <c r="L30" s="1942"/>
      <c r="M30" s="1955"/>
      <c r="N30" s="1955"/>
      <c r="O30" s="1955"/>
      <c r="P30" s="1943"/>
      <c r="Q30" s="2135"/>
      <c r="R30" s="2136"/>
      <c r="S30" s="2136"/>
      <c r="T30" s="2180"/>
      <c r="U30" s="2182"/>
      <c r="V30" s="2184"/>
      <c r="W30" s="2185"/>
      <c r="X30" s="2188"/>
      <c r="Y30" s="2176"/>
      <c r="Z30" s="2176"/>
      <c r="AA30" s="2138"/>
      <c r="AB30" s="2137"/>
      <c r="AC30" s="2106"/>
      <c r="AD30" s="2106"/>
    </row>
    <row r="31" spans="1:33" ht="15">
      <c r="A31" s="2106"/>
      <c r="B31" s="2132" t="s">
        <v>1270</v>
      </c>
      <c r="C31" s="2133">
        <v>90.88</v>
      </c>
      <c r="D31" s="2133">
        <v>0</v>
      </c>
      <c r="E31" s="2133">
        <v>192.98</v>
      </c>
      <c r="F31" s="2134">
        <f>SUM(C31:E31)</f>
        <v>283.86</v>
      </c>
      <c r="G31" s="2135">
        <v>0.58199999999999996</v>
      </c>
      <c r="H31" s="1954">
        <v>0.2341</v>
      </c>
      <c r="I31" s="1941">
        <f>C31*G31</f>
        <v>52.892159999999997</v>
      </c>
      <c r="J31" s="1941">
        <f>D31*G31</f>
        <v>0</v>
      </c>
      <c r="K31" s="1941">
        <f>E31*G31</f>
        <v>112.31435999999999</v>
      </c>
      <c r="L31" s="1942">
        <f>SUM(I31:K31)</f>
        <v>165.20651999999998</v>
      </c>
      <c r="M31" s="1955">
        <f>((I31*1000000)/35.31)*($D$5/($D$6*$G$7))*0.0000011023</f>
        <v>1083.4557947769533</v>
      </c>
      <c r="N31" s="1955">
        <f>((J31*1000000)/35.31)*($D$5/($D$6*$G$7))*0.0000011023</f>
        <v>0</v>
      </c>
      <c r="O31" s="1955">
        <f>((K31*1000000)/35.31)*($D$5/($D$6*$G$7))*0.0000011023</f>
        <v>2300.6745078791423</v>
      </c>
      <c r="P31" s="1943">
        <f>378876300/1000000</f>
        <v>378.87630000000001</v>
      </c>
      <c r="Q31" s="2135">
        <f>L31/P31</f>
        <v>0.43604342631090931</v>
      </c>
      <c r="R31" s="2136">
        <f>F31/Q31</f>
        <v>650.99020618556722</v>
      </c>
      <c r="S31" s="2136">
        <f>((R31*H31*(1-Q31)*1000000))/35.31</f>
        <v>2434018.1610886795</v>
      </c>
      <c r="T31" s="2180">
        <f>((S31*$D$4)/($D$6*$G$7))*0.00000110231</f>
        <v>4829.2988408678875</v>
      </c>
      <c r="U31" s="2182">
        <f>(C31*($G$27+$H$27)*1000000/35.31)*($D$4/($D$6*$G$7))*0.00000110231</f>
        <v>4340.6002681628242</v>
      </c>
      <c r="V31" s="2186">
        <f>(D31*($G$27+$H$27)*1000000/35.31)*($D$4/($D$6*$G$7))*0.00000110231</f>
        <v>0</v>
      </c>
      <c r="W31" s="2185">
        <f>(E31*($G$27+$H$27)*1000000/35.31)*($D$4/($D$6*$G$7))*0.00000110231</f>
        <v>9217.0889057005061</v>
      </c>
      <c r="X31" s="2188">
        <f>(((R31*G31)*(1-Q31))*1000000/35.31)*($D$5/($D$6*$G$7))*0.0000011023</f>
        <v>4376.8634389239696</v>
      </c>
      <c r="Y31" s="2176">
        <f>(((C31*G31)*(1-$D$15))*1000000/35.31)*($D$5/($D$6*$G$7))*0.0000011023</f>
        <v>21.669115895539086</v>
      </c>
      <c r="Z31" s="2189">
        <f>(((D31*AA31)*$D$19))/2000</f>
        <v>0</v>
      </c>
      <c r="AA31" s="2133">
        <f>G31*$D$13</f>
        <v>582</v>
      </c>
      <c r="AB31" s="2133">
        <f>(((E31*AA31)*$D$19))/2000</f>
        <v>70.196475000000007</v>
      </c>
      <c r="AC31" s="2106"/>
      <c r="AD31" s="2106"/>
    </row>
    <row r="32" spans="1:33" ht="15">
      <c r="A32" s="2106"/>
      <c r="B32" s="2132"/>
      <c r="C32" s="2133"/>
      <c r="D32" s="2133"/>
      <c r="E32" s="2133"/>
      <c r="F32" s="2134"/>
      <c r="G32" s="2135"/>
      <c r="H32" s="1954"/>
      <c r="I32" s="1941"/>
      <c r="J32" s="1941"/>
      <c r="K32" s="1941"/>
      <c r="L32" s="1942"/>
      <c r="M32" s="1955"/>
      <c r="N32" s="1955"/>
      <c r="O32" s="1955"/>
      <c r="P32" s="1943"/>
      <c r="Q32" s="2135"/>
      <c r="R32" s="2136"/>
      <c r="S32" s="2136"/>
      <c r="T32" s="2180"/>
      <c r="U32" s="2182"/>
      <c r="V32" s="2186"/>
      <c r="W32" s="2185"/>
      <c r="X32" s="2188"/>
      <c r="Y32" s="2176"/>
      <c r="Z32" s="2189"/>
      <c r="AA32" s="2138"/>
      <c r="AB32" s="2137"/>
      <c r="AC32" s="2106"/>
      <c r="AD32" s="2106"/>
    </row>
    <row r="33" spans="1:30" ht="15">
      <c r="A33" s="2106"/>
      <c r="B33" s="2132" t="s">
        <v>1271</v>
      </c>
      <c r="C33" s="2133">
        <v>216.71</v>
      </c>
      <c r="D33" s="2133">
        <v>0</v>
      </c>
      <c r="E33" s="2133">
        <v>126.04</v>
      </c>
      <c r="F33" s="2134">
        <f>SUM(C33:E33)</f>
        <v>342.75</v>
      </c>
      <c r="G33" s="2135">
        <v>0.25080000000000002</v>
      </c>
      <c r="H33" s="1954">
        <v>0.2092</v>
      </c>
      <c r="I33" s="1941">
        <f>C33*G33</f>
        <v>54.350868000000006</v>
      </c>
      <c r="J33" s="1941">
        <f>D33*G33</f>
        <v>0</v>
      </c>
      <c r="K33" s="1941">
        <f>E33*G33</f>
        <v>31.610832000000006</v>
      </c>
      <c r="L33" s="1942">
        <f>SUM(I33:K33)</f>
        <v>85.961700000000008</v>
      </c>
      <c r="M33" s="1955">
        <f>((I33*1000000)/35.31)*($D$5/($D$6*$G$7))*0.0000011023</f>
        <v>1113.3363221648972</v>
      </c>
      <c r="N33" s="1955">
        <f>((J33*1000000)/35.31)*($D$5/($D$6*$G$7))*0.0000011023</f>
        <v>0</v>
      </c>
      <c r="O33" s="1955">
        <f>((K33*1000000)/35.31)*($D$5/($D$6*$G$7))*0.0000011023</f>
        <v>647.52392619474722</v>
      </c>
      <c r="P33" s="1943">
        <f>127398480/1000000</f>
        <v>127.39848000000001</v>
      </c>
      <c r="Q33" s="2135">
        <f>L33/P33</f>
        <v>0.67474666887705415</v>
      </c>
      <c r="R33" s="2136">
        <f>F33/Q33</f>
        <v>507.96842105263153</v>
      </c>
      <c r="S33" s="2136">
        <f>((R33*H33*(1-Q33)*1000000))/35.31</f>
        <v>978864.16551148437</v>
      </c>
      <c r="T33" s="2180">
        <f>((S33*$D$4)/($D$6*$G$7))*0.00000110231</f>
        <v>1942.1496747408596</v>
      </c>
      <c r="U33" s="2182">
        <f>(C33*($G$27+$H$27)*1000000/35.31)*($D$4/($D$6*$G$7))*0.00000110231</f>
        <v>10350.478478362298</v>
      </c>
      <c r="V33" s="2186">
        <f>(D33*($G$27+$H$27)*1000000/35.31)*($D$4/($D$6*$G$7))*0.00000110231</f>
        <v>0</v>
      </c>
      <c r="W33" s="2185">
        <f>(E33*($G$27+$H$27)*1000000/35.31)*($D$4/($D$6*$G$7))*0.00000110231</f>
        <v>6019.908206417721</v>
      </c>
      <c r="X33" s="2188">
        <f>(((R33*G33)*(1-Q33))*1000000/35.31)*($D$5/($D$6*$G$7))*0.0000011023</f>
        <v>848.80102094332608</v>
      </c>
      <c r="Y33" s="2176">
        <f>(((C33*G33)*(1-$D$15))*1000000/35.31)*($D$5/($D$6*$G$7))*0.0000011023</f>
        <v>22.266726443297959</v>
      </c>
      <c r="Z33" s="2189">
        <f>(((D33*AA33)*$D$19))/2000</f>
        <v>0</v>
      </c>
      <c r="AA33" s="2133">
        <f>G33*$D$13</f>
        <v>250.8</v>
      </c>
      <c r="AB33" s="2133">
        <f>(((E33*AA33)*$D$19))/2000</f>
        <v>19.756769999999999</v>
      </c>
      <c r="AC33" s="2106"/>
      <c r="AD33" s="2106"/>
    </row>
    <row r="34" spans="1:30" ht="15">
      <c r="A34" s="2106"/>
      <c r="B34" s="2132"/>
      <c r="C34" s="2133"/>
      <c r="D34" s="2133"/>
      <c r="E34" s="2133"/>
      <c r="F34" s="2134"/>
      <c r="G34" s="2135"/>
      <c r="H34" s="1954"/>
      <c r="I34" s="1941"/>
      <c r="J34" s="1941"/>
      <c r="K34" s="1941"/>
      <c r="L34" s="1942"/>
      <c r="M34" s="1955"/>
      <c r="N34" s="1955"/>
      <c r="O34" s="1955"/>
      <c r="P34" s="1943"/>
      <c r="Q34" s="2135"/>
      <c r="R34" s="2136"/>
      <c r="S34" s="2136"/>
      <c r="T34" s="2180"/>
      <c r="U34" s="2182"/>
      <c r="V34" s="2186"/>
      <c r="W34" s="2185"/>
      <c r="X34" s="2188"/>
      <c r="Y34" s="2176"/>
      <c r="Z34" s="2189"/>
      <c r="AA34" s="2138"/>
      <c r="AB34" s="2137"/>
      <c r="AC34" s="2106"/>
      <c r="AD34" s="2106"/>
    </row>
    <row r="35" spans="1:30" ht="15">
      <c r="A35" s="2106"/>
      <c r="B35" s="1951" t="s">
        <v>1272</v>
      </c>
      <c r="C35" s="1952">
        <f>0.34+16.88</f>
        <v>17.22</v>
      </c>
      <c r="D35" s="1952">
        <v>0</v>
      </c>
      <c r="E35" s="1952">
        <v>603.04</v>
      </c>
      <c r="F35" s="1953">
        <f>SUM(C35:E35)</f>
        <v>620.26</v>
      </c>
      <c r="G35" s="1954">
        <v>0.47699999999999998</v>
      </c>
      <c r="H35" s="1954">
        <v>0.378</v>
      </c>
      <c r="I35" s="1941">
        <f>C35*G35</f>
        <v>8.2139399999999991</v>
      </c>
      <c r="J35" s="1941">
        <f>D35*G35</f>
        <v>0</v>
      </c>
      <c r="K35" s="1941">
        <f>E35*G35</f>
        <v>287.65007999999995</v>
      </c>
      <c r="L35" s="1942">
        <f>SUM(I35:K35)</f>
        <v>295.86401999999993</v>
      </c>
      <c r="M35" s="1955">
        <f>((I35*1000000)/35.31)*($D$5/($D$6*$G$7))*0.0000011023</f>
        <v>168.25633309265885</v>
      </c>
      <c r="N35" s="1955">
        <f>((J35*1000000)/35.31)*($D$5/($D$6*$G$7))*0.0000011023</f>
        <v>0</v>
      </c>
      <c r="O35" s="1955">
        <f>((K35*1000000)/35.31)*($D$5/($D$6*$G$7))*0.0000011023</f>
        <v>5892.2937925782226</v>
      </c>
      <c r="P35" s="1943">
        <f>320579490/1000000</f>
        <v>320.57949000000002</v>
      </c>
      <c r="Q35" s="2135">
        <f>L35/P35</f>
        <v>0.92290377029422532</v>
      </c>
      <c r="R35" s="2136">
        <f>F35/Q35</f>
        <v>672.07440251572348</v>
      </c>
      <c r="S35" s="2136">
        <f>((R35*H35*(1-Q35)*1000000))/35.31</f>
        <v>554682.64375370939</v>
      </c>
      <c r="T35" s="2180">
        <f>((S35*$D$4)/($D$6*$G$7))*0.00000110231</f>
        <v>1100.5374944824534</v>
      </c>
      <c r="U35" s="2182">
        <f>(C35*($G$27+$H$27)*1000000/35.31)*($D$4/($D$6*$G$7))*0.00000110231</f>
        <v>822.45968989616892</v>
      </c>
      <c r="V35" s="2186">
        <f>(D35*($G$27+$H$27)*1000000/35.31)*($D$4/($D$6*$G$7))*0.00000110231</f>
        <v>0</v>
      </c>
      <c r="W35" s="2185">
        <f>(E35*($G$27+$H$27)*1000000/35.31)*($D$4/($D$6*$G$7))*0.00000110231</f>
        <v>28802.328187862124</v>
      </c>
      <c r="X35" s="2188">
        <f>(((R35*G35)*(1-Q35))*1000000/35.31)*($D$5/($D$6*$G$7))*0.0000011023</f>
        <v>506.27766368656643</v>
      </c>
      <c r="Y35" s="2176">
        <f>(((C35*G35)*(1-$D$15))*1000000/35.31)*($D$5/($D$6*$G$7))*0.0000011023</f>
        <v>3.3651266618531803</v>
      </c>
      <c r="Z35" s="2189">
        <f>(((D35*AA35)*$D$19))/2000</f>
        <v>0</v>
      </c>
      <c r="AA35" s="2133">
        <f>G35*$D$13</f>
        <v>477</v>
      </c>
      <c r="AB35" s="2133">
        <f>(((E35*AA35)*$D$19))/2000</f>
        <v>179.78129999999999</v>
      </c>
      <c r="AC35" s="2106"/>
      <c r="AD35" s="2106"/>
    </row>
    <row r="36" spans="1:30" ht="15">
      <c r="A36" s="2106"/>
      <c r="B36" s="2132"/>
      <c r="C36" s="2133"/>
      <c r="D36" s="2133"/>
      <c r="E36" s="2133"/>
      <c r="F36" s="2134"/>
      <c r="G36" s="2135"/>
      <c r="H36" s="1954"/>
      <c r="I36" s="1941"/>
      <c r="J36" s="1941"/>
      <c r="K36" s="1941"/>
      <c r="L36" s="1942"/>
      <c r="M36" s="1955"/>
      <c r="N36" s="1955"/>
      <c r="O36" s="1955"/>
      <c r="P36" s="1943"/>
      <c r="Q36" s="2135"/>
      <c r="R36" s="2136"/>
      <c r="S36" s="2136"/>
      <c r="T36" s="2180"/>
      <c r="U36" s="2182"/>
      <c r="V36" s="2186"/>
      <c r="W36" s="2185"/>
      <c r="X36" s="2188"/>
      <c r="Y36" s="2176"/>
      <c r="Z36" s="2189"/>
      <c r="AA36" s="2138"/>
      <c r="AB36" s="2137"/>
      <c r="AC36" s="2106"/>
      <c r="AD36" s="2106"/>
    </row>
    <row r="37" spans="1:30" ht="15">
      <c r="A37" s="2106"/>
      <c r="B37" s="1951" t="s">
        <v>1273</v>
      </c>
      <c r="C37" s="2139">
        <f>31.61</f>
        <v>31.61</v>
      </c>
      <c r="D37" s="1952">
        <v>0</v>
      </c>
      <c r="E37" s="1952">
        <f>314.07+189.55</f>
        <v>503.62</v>
      </c>
      <c r="F37" s="1953">
        <f>SUM(C37:E37)</f>
        <v>535.23</v>
      </c>
      <c r="G37" s="1954">
        <v>0.46300000000000002</v>
      </c>
      <c r="H37" s="1954">
        <v>0.36199999999999999</v>
      </c>
      <c r="I37" s="1941">
        <f>C37*G37</f>
        <v>14.635430000000001</v>
      </c>
      <c r="J37" s="1941">
        <f>D37*G37</f>
        <v>0</v>
      </c>
      <c r="K37" s="1941">
        <f>E37*G37</f>
        <v>233.17606000000001</v>
      </c>
      <c r="L37" s="1949">
        <f>SUM(I37:K37)</f>
        <v>247.81149000000002</v>
      </c>
      <c r="M37" s="1955">
        <f>((I37*1000000)/35.31)*($D$5/($D$6*$G$7))*0.0000011023</f>
        <v>299.79568697047858</v>
      </c>
      <c r="N37" s="1955">
        <f>((J37*1000000)/35.31)*($D$5/($D$6*$G$7))*0.0000011023</f>
        <v>0</v>
      </c>
      <c r="O37" s="1955">
        <f>((K37*1000000)/35.31)*($D$5/($D$6*$G$7))*0.0000011023</f>
        <v>4776.4347950671427</v>
      </c>
      <c r="P37" s="1950">
        <f>260840337/1000000</f>
        <v>260.84033699999998</v>
      </c>
      <c r="Q37" s="1954">
        <f>L37/P37</f>
        <v>0.95005049008198472</v>
      </c>
      <c r="R37" s="2140">
        <f>F37/Q37</f>
        <v>563.37005831533463</v>
      </c>
      <c r="S37" s="2136">
        <f>((R37*H37*(1-Q37)*1000000))/35.31</f>
        <v>288493.37610170327</v>
      </c>
      <c r="T37" s="2180">
        <f>((S37*$D$4)/($D$6*$G$7))*0.00000110231</f>
        <v>572.39537037096886</v>
      </c>
      <c r="U37" s="2182">
        <f>(C37*($G$27+$H$27)*1000000/35.31)*($D$4/($D$6*$G$7))*0.00000110231</f>
        <v>1509.7532402797854</v>
      </c>
      <c r="V37" s="2186">
        <f>(D37*($G$27+$H$27)*1000000/35.31)*($D$4/($D$6*$G$7))*0.00000110231</f>
        <v>0</v>
      </c>
      <c r="W37" s="2185">
        <f>(E37*($G$27+$H$27)*1000000/35.31)*($D$4/($D$6*$G$7))*0.00000110231</f>
        <v>24053.841406823962</v>
      </c>
      <c r="X37" s="2188">
        <f>(((R37*G37)*(1-Q37))*1000000/35.31)*($D$5/($D$6*$G$7))*0.0000011023</f>
        <v>266.88605232632329</v>
      </c>
      <c r="Y37" s="2176">
        <f>(((C37*G37)*(1-$D$15))*1000000/35.31)*($D$5/($D$6*$G$7))*0.0000011023</f>
        <v>5.9959137394095769</v>
      </c>
      <c r="Z37" s="2189">
        <f>(((D37*AA37)*$D$19))/2000</f>
        <v>0</v>
      </c>
      <c r="AA37" s="2133">
        <f>G37*$D$13</f>
        <v>463</v>
      </c>
      <c r="AB37" s="2133">
        <f>(((E37*AA37)*$D$19))/2000</f>
        <v>145.7350375</v>
      </c>
      <c r="AC37" s="2106"/>
      <c r="AD37" s="2106"/>
    </row>
    <row r="38" spans="1:30" ht="15">
      <c r="A38" s="2106"/>
      <c r="B38" s="1951"/>
      <c r="C38" s="1952"/>
      <c r="D38" s="1952"/>
      <c r="E38" s="1952"/>
      <c r="F38" s="2134"/>
      <c r="G38" s="2135"/>
      <c r="H38" s="1954"/>
      <c r="I38" s="1941"/>
      <c r="J38" s="1941"/>
      <c r="K38" s="1941"/>
      <c r="L38" s="1942"/>
      <c r="M38" s="1955"/>
      <c r="N38" s="1955"/>
      <c r="O38" s="1955"/>
      <c r="P38" s="1943"/>
      <c r="Q38" s="2135"/>
      <c r="R38" s="2136"/>
      <c r="S38" s="2136"/>
      <c r="T38" s="2180"/>
      <c r="U38" s="2182"/>
      <c r="V38" s="2186"/>
      <c r="W38" s="2185"/>
      <c r="X38" s="2188"/>
      <c r="Y38" s="2176"/>
      <c r="Z38" s="2189"/>
      <c r="AA38" s="2138"/>
      <c r="AB38" s="2137"/>
      <c r="AC38" s="2106"/>
      <c r="AD38" s="2106"/>
    </row>
    <row r="39" spans="1:30" ht="15">
      <c r="A39" s="2106"/>
      <c r="B39" s="1951" t="s">
        <v>1274</v>
      </c>
      <c r="C39" s="2139">
        <v>15.2</v>
      </c>
      <c r="D39" s="1952">
        <v>0</v>
      </c>
      <c r="E39" s="1952">
        <v>323.8</v>
      </c>
      <c r="F39" s="1953">
        <f>SUM(C39:E39)</f>
        <v>339</v>
      </c>
      <c r="G39" s="1954">
        <v>0.5</v>
      </c>
      <c r="H39" s="1954">
        <v>0.5</v>
      </c>
      <c r="I39" s="1941">
        <f>C39*G39</f>
        <v>7.6</v>
      </c>
      <c r="J39" s="1941">
        <f>D39*G39</f>
        <v>0</v>
      </c>
      <c r="K39" s="1941">
        <f>E39*G39</f>
        <v>161.9</v>
      </c>
      <c r="L39" s="2157">
        <f>SUM(I39:K39)</f>
        <v>169.5</v>
      </c>
      <c r="M39" s="1955">
        <f>((I39*1000000)/35.31)*($D$5/($D$6*$G$7))*0.0000011023</f>
        <v>155.68023768181985</v>
      </c>
      <c r="N39" s="1955">
        <f>((J39*1000000)/35.31)*($D$5/($D$6*$G$7))*0.0000011023</f>
        <v>0</v>
      </c>
      <c r="O39" s="1955">
        <f>((K39*1000000)/35.31)*($D$5/($D$6*$G$7))*0.0000011023</f>
        <v>3316.398747458768</v>
      </c>
      <c r="P39" s="1950">
        <f>260840337/1000000</f>
        <v>260.84033699999998</v>
      </c>
      <c r="Q39" s="1954">
        <f>L39/P39</f>
        <v>0.64982280712204421</v>
      </c>
      <c r="R39" s="2140">
        <f>F39/Q39</f>
        <v>521.68067399999995</v>
      </c>
      <c r="S39" s="2136">
        <f>((R39*H39*(1-Q39)*1000000))/35.31</f>
        <v>2586812.1495327093</v>
      </c>
      <c r="T39" s="2180">
        <f>((S39*$D$4)/($D$6*$G$7))*0.00000110231</f>
        <v>5132.455096265051</v>
      </c>
      <c r="U39" s="2182">
        <f>(C39*($G$27+$H$27)*1000000/35.31)*($D$4/($D$6*$G$7))*0.00000110231</f>
        <v>725.98067865399355</v>
      </c>
      <c r="V39" s="2186">
        <f>(D39*($G$27+$H$27)*1000000/35.31)*($D$4/($D$6*$G$7))*0.00000110231</f>
        <v>0</v>
      </c>
      <c r="W39" s="2185">
        <f>(E39*($G$27+$H$27)*1000000/35.31)*($D$4/($D$6*$G$7))*0.00000110231</f>
        <v>15465.298930800205</v>
      </c>
      <c r="X39" s="2188">
        <f>(((R39*G39)*(1-Q39))*1000000/35.31)*($D$5/($D$6*$G$7))*0.0000011023</f>
        <v>1871.0375492233579</v>
      </c>
      <c r="Y39" s="2176">
        <f>(((C39*G39)*(1-$D$15))*1000000/35.31)*($D$5/($D$6*$G$7))*0.0000011023</f>
        <v>3.1136047536364004</v>
      </c>
      <c r="Z39" s="2189">
        <f>(((D39*AA39)*$D$19))/2000</f>
        <v>0</v>
      </c>
      <c r="AA39" s="2133">
        <f>G39*$D$13</f>
        <v>500</v>
      </c>
      <c r="AB39" s="2133">
        <f>(((E39*AA39)*$D$19))/2000</f>
        <v>101.1875</v>
      </c>
      <c r="AC39" s="2106"/>
      <c r="AD39" s="2106"/>
    </row>
    <row r="40" spans="1:30" ht="15">
      <c r="A40" s="2106"/>
      <c r="B40" s="1951"/>
      <c r="C40" s="1952"/>
      <c r="D40" s="1952"/>
      <c r="E40" s="1952"/>
      <c r="F40" s="2134"/>
      <c r="G40" s="2135"/>
      <c r="H40" s="1954"/>
      <c r="I40" s="1941"/>
      <c r="J40" s="1941"/>
      <c r="K40" s="1941"/>
      <c r="L40" s="1942"/>
      <c r="M40" s="1955"/>
      <c r="N40" s="1955"/>
      <c r="O40" s="1955"/>
      <c r="P40" s="1943"/>
      <c r="Q40" s="2135"/>
      <c r="R40" s="2136"/>
      <c r="S40" s="2136"/>
      <c r="T40" s="2180"/>
      <c r="U40" s="2182"/>
      <c r="V40" s="2186"/>
      <c r="W40" s="2185"/>
      <c r="X40" s="2188"/>
      <c r="Y40" s="2176"/>
      <c r="Z40" s="2189"/>
      <c r="AA40" s="2138"/>
      <c r="AB40" s="2137"/>
      <c r="AC40" s="2106"/>
      <c r="AD40" s="2106"/>
    </row>
    <row r="41" spans="1:30" ht="15">
      <c r="A41" s="2106"/>
      <c r="B41" s="1951" t="s">
        <v>1275</v>
      </c>
      <c r="C41" s="1952">
        <f>28.65</f>
        <v>28.65</v>
      </c>
      <c r="D41" s="1952">
        <v>0</v>
      </c>
      <c r="E41" s="1952">
        <v>176.51</v>
      </c>
      <c r="F41" s="1953">
        <f>SUM(C41:E41)</f>
        <v>205.16</v>
      </c>
      <c r="G41" s="1954">
        <v>0.5212</v>
      </c>
      <c r="H41" s="1954">
        <v>9.7100000000000006E-2</v>
      </c>
      <c r="I41" s="1941">
        <f>C41*G41</f>
        <v>14.932379999999998</v>
      </c>
      <c r="J41" s="1941">
        <f>D41*G41</f>
        <v>0</v>
      </c>
      <c r="K41" s="1941">
        <f>E41*G41</f>
        <v>91.997011999999998</v>
      </c>
      <c r="L41" s="1949">
        <f>SUM(I41:K41)</f>
        <v>106.92939199999999</v>
      </c>
      <c r="M41" s="1955">
        <f>((I41*1000000)/35.31)*($D$5/($D$6*$G$7))*0.0000011023</f>
        <v>305.87848257305967</v>
      </c>
      <c r="N41" s="1955">
        <f>((J41*1000000)/35.31)*($D$5/($D$6*$G$7))*0.0000011023</f>
        <v>0</v>
      </c>
      <c r="O41" s="1955">
        <f>((K41*1000000)/35.31)*($D$5/($D$6*$G$7))*0.0000011023</f>
        <v>1884.4890387075311</v>
      </c>
      <c r="P41" s="1950">
        <f>392044635/1000000</f>
        <v>392.04463500000003</v>
      </c>
      <c r="Q41" s="1954">
        <f>L41/P41</f>
        <v>0.2727480048285828</v>
      </c>
      <c r="R41" s="2140">
        <f>F41/Q41</f>
        <v>752.19615310821189</v>
      </c>
      <c r="S41" s="2136">
        <f>((R41*H41*(1-Q41)*1000000))/35.31</f>
        <v>1504310.6900823386</v>
      </c>
      <c r="T41" s="2180">
        <f>((S41*$D$4)/($D$6*$G$7))*0.00000110231</f>
        <v>2984.6802246826501</v>
      </c>
      <c r="U41" s="2182">
        <f>(C41*($G$27+$H$27)*1000000/35.31)*($D$4/($D$6*$G$7))*0.00000110231</f>
        <v>1368.3780554892708</v>
      </c>
      <c r="V41" s="2186">
        <f>(D41*($G$27+$H$27)*1000000/35.31)*($D$4/($D$6*$G$7))*0.00000110231</f>
        <v>0</v>
      </c>
      <c r="W41" s="2185">
        <f>(E41*($G$27+$H$27)*1000000/35.31)*($D$4/($D$6*$G$7))*0.00000110231</f>
        <v>8430.4506308694981</v>
      </c>
      <c r="X41" s="2188">
        <f>(((R41*G41)*(1-Q41))*1000000/35.31)*($D$5/($D$6*$G$7))*0.0000011023</f>
        <v>5840.3695785460304</v>
      </c>
      <c r="Y41" s="2176">
        <f>(((C41*G41)*(1-$D$15))*1000000/35.31)*($D$5/($D$6*$G$7))*0.0000011023</f>
        <v>6.1175696514611984</v>
      </c>
      <c r="Z41" s="2189">
        <f>(((D41*AA41)*$D$19))/2000</f>
        <v>0</v>
      </c>
      <c r="AA41" s="2133">
        <f>G41*$D$13</f>
        <v>521.20000000000005</v>
      </c>
      <c r="AB41" s="2133">
        <f>(((E41*AA41)*$D$19))/2000</f>
        <v>57.498132499999997</v>
      </c>
      <c r="AC41" s="2106"/>
      <c r="AD41" s="2106"/>
    </row>
    <row r="42" spans="1:30" ht="15">
      <c r="A42" s="2106"/>
      <c r="B42" s="2141"/>
      <c r="C42" s="1941"/>
      <c r="D42" s="1941"/>
      <c r="E42" s="1941"/>
      <c r="F42" s="2134"/>
      <c r="G42" s="2135"/>
      <c r="H42" s="1954"/>
      <c r="I42" s="1941"/>
      <c r="J42" s="1941"/>
      <c r="K42" s="1941"/>
      <c r="L42" s="1942"/>
      <c r="M42" s="1955"/>
      <c r="N42" s="1955"/>
      <c r="O42" s="1955"/>
      <c r="P42" s="1943"/>
      <c r="Q42" s="2135"/>
      <c r="R42" s="2136"/>
      <c r="S42" s="2136"/>
      <c r="T42" s="2180"/>
      <c r="U42" s="2182"/>
      <c r="V42" s="2186"/>
      <c r="W42" s="2185"/>
      <c r="X42" s="2188"/>
      <c r="Y42" s="2176"/>
      <c r="Z42" s="2189"/>
      <c r="AA42" s="2138"/>
      <c r="AB42" s="2137"/>
      <c r="AC42" s="2106"/>
      <c r="AD42" s="2106"/>
    </row>
    <row r="43" spans="1:30" ht="15">
      <c r="A43" s="2106"/>
      <c r="B43" s="2132" t="s">
        <v>1276</v>
      </c>
      <c r="C43" s="2133">
        <v>121.98</v>
      </c>
      <c r="D43" s="2133">
        <v>0</v>
      </c>
      <c r="E43" s="2133">
        <v>154.36000000000001</v>
      </c>
      <c r="F43" s="2134">
        <f>SUM(C43:E43)</f>
        <v>276.34000000000003</v>
      </c>
      <c r="G43" s="2135">
        <v>0.51729999999999998</v>
      </c>
      <c r="H43" s="2135">
        <v>0.48270000000000002</v>
      </c>
      <c r="I43" s="1956">
        <f>C43*G43</f>
        <v>63.100254</v>
      </c>
      <c r="J43" s="1956">
        <f>D43*G43</f>
        <v>0</v>
      </c>
      <c r="K43" s="1956">
        <f>E43*G43</f>
        <v>79.850428000000008</v>
      </c>
      <c r="L43" s="1942">
        <f>SUM(I43:K43)</f>
        <v>142.950682</v>
      </c>
      <c r="M43" s="1955">
        <f>((I43*1000000)/35.31)*($D$5/($D$6*$G$7))*0.0000011023</f>
        <v>1292.560860592527</v>
      </c>
      <c r="N43" s="1955">
        <f>((J43*1000000)/35.31)*($D$5/($D$6*$G$7))*0.0000011023</f>
        <v>0</v>
      </c>
      <c r="O43" s="1955">
        <f>((K43*1000000)/35.31)*($D$5/($D$6*$G$7))*0.0000011023</f>
        <v>1635.6754750046114</v>
      </c>
      <c r="P43" s="1957">
        <f>191024851/1000000</f>
        <v>191.02485100000001</v>
      </c>
      <c r="Q43" s="2135">
        <f>L43/P43</f>
        <v>0.74833552415648785</v>
      </c>
      <c r="R43" s="2136">
        <f>F43/Q43</f>
        <v>369.27286100908572</v>
      </c>
      <c r="S43" s="2136">
        <f>((R43*H43*(1-Q43)*1000000))/35.31</f>
        <v>1270424.5825286221</v>
      </c>
      <c r="T43" s="2180">
        <f>((S43*$D$4)/($D$6*$G$7))*0.00000110231</f>
        <v>2520.6303148828547</v>
      </c>
      <c r="U43" s="2182">
        <f>(C43*($G$27+$H$27)*1000000/35.31)*($D$4/($D$6*$G$7))*0.00000110231</f>
        <v>5825.9949461982987</v>
      </c>
      <c r="V43" s="2186">
        <f>(D43*($G$27+$H$27)*1000000/35.31)*($D$4/($D$6*$G$7))*0.00000110231</f>
        <v>0</v>
      </c>
      <c r="W43" s="2185">
        <f>(E43*($G$27+$H$27)*1000000/35.31)*($D$4/($D$6*$G$7))*0.00000110231</f>
        <v>7372.5248392783205</v>
      </c>
      <c r="X43" s="2188">
        <f>(((R43*G43)*(1-Q43))*1000000/35.31)*($D$5/($D$6*$G$7))*0.0000011023</f>
        <v>984.76290214157632</v>
      </c>
      <c r="Y43" s="2176">
        <f>(((C43*G43)*(1-$D$15))*1000000/35.31)*($D$5/($D$6*$G$7))*0.0000011023</f>
        <v>25.85121721185056</v>
      </c>
      <c r="Z43" s="2189">
        <f>(((D43*AA43)*$D$19))/2000</f>
        <v>0</v>
      </c>
      <c r="AA43" s="2133">
        <f>G43*$D$13</f>
        <v>517.29999999999995</v>
      </c>
      <c r="AB43" s="2133">
        <f>(((E43*AA43)*$D$19))/2000</f>
        <v>49.9065175</v>
      </c>
      <c r="AC43" s="2106"/>
      <c r="AD43" s="2106"/>
    </row>
    <row r="44" spans="1:30" ht="15">
      <c r="A44" s="2106"/>
      <c r="B44" s="2132"/>
      <c r="C44" s="2133"/>
      <c r="D44" s="2133"/>
      <c r="E44" s="2133"/>
      <c r="F44" s="2134"/>
      <c r="G44" s="2135"/>
      <c r="H44" s="1954"/>
      <c r="I44" s="1941"/>
      <c r="J44" s="1941"/>
      <c r="K44" s="1941"/>
      <c r="L44" s="1942"/>
      <c r="M44" s="1955"/>
      <c r="N44" s="1955"/>
      <c r="O44" s="1955"/>
      <c r="P44" s="1943"/>
      <c r="Q44" s="2135"/>
      <c r="R44" s="2136"/>
      <c r="S44" s="2136"/>
      <c r="T44" s="2180"/>
      <c r="U44" s="2182"/>
      <c r="V44" s="2184"/>
      <c r="W44" s="2185"/>
      <c r="X44" s="2188"/>
      <c r="Y44" s="2176"/>
      <c r="Z44" s="2176"/>
      <c r="AA44" s="2138"/>
      <c r="AB44" s="2138"/>
      <c r="AC44" s="2106"/>
      <c r="AD44" s="2106"/>
    </row>
    <row r="45" spans="1:30" ht="15">
      <c r="A45" s="2106"/>
      <c r="B45" s="2142" t="s">
        <v>1277</v>
      </c>
      <c r="C45" s="2133">
        <v>385.94</v>
      </c>
      <c r="D45" s="2133">
        <v>445.49</v>
      </c>
      <c r="E45" s="2133">
        <v>0</v>
      </c>
      <c r="F45" s="2134">
        <f>SUM(C45:E45)</f>
        <v>831.43000000000006</v>
      </c>
      <c r="G45" s="2135">
        <v>0.51200000000000001</v>
      </c>
      <c r="H45" s="1954">
        <v>0.37919999999999998</v>
      </c>
      <c r="I45" s="1941">
        <f>C45*G45</f>
        <v>197.60128</v>
      </c>
      <c r="J45" s="1941">
        <f>D45*G45</f>
        <v>228.09088</v>
      </c>
      <c r="K45" s="1941">
        <f>E45*G45</f>
        <v>0</v>
      </c>
      <c r="L45" s="1942">
        <f>SUM(I45:K45)</f>
        <v>425.69216</v>
      </c>
      <c r="M45" s="1955">
        <f>((I45*1000000)/35.31)*($D$5/($D$6*$G$7))*0.0000011023</f>
        <v>4047.7123995568209</v>
      </c>
      <c r="N45" s="1955">
        <f>((J45*1000000)/35.31)*($D$5/($D$6*$G$7))*0.0000011023</f>
        <v>4672.2687383494012</v>
      </c>
      <c r="O45" s="1955">
        <f>((K45*1000000)/35.31)*($D$5/($D$6*$G$7))*0.0000011023</f>
        <v>0</v>
      </c>
      <c r="P45" s="1943">
        <v>450.13</v>
      </c>
      <c r="Q45" s="2135">
        <f>L45/P45</f>
        <v>0.94570937284784395</v>
      </c>
      <c r="R45" s="2136">
        <f>F45/Q45</f>
        <v>879.16015625000011</v>
      </c>
      <c r="S45" s="2136">
        <f>((R45*H45*(1-Q45)*1000000))/35.31</f>
        <v>512582.13678844518</v>
      </c>
      <c r="T45" s="2180">
        <f>((S45*$D$4)/($D$6*$G$7))*0.00000110231</f>
        <v>1017.006511543377</v>
      </c>
      <c r="U45" s="2182">
        <f>(C45*($G$27+$H$27)*1000000/35.31)*($D$4/($D$6*$G$7))*0.00000110231</f>
        <v>18433.222573665938</v>
      </c>
      <c r="V45" s="2184">
        <f>(D45*($G$27+$H$27)*1000000/35.31)*($D$4/($D$6*$G$7))*0.00000110231</f>
        <v>21277.442929839974</v>
      </c>
      <c r="W45" s="2187">
        <f>(E45*($G$27+$H$27)*1000000/35.31)*($D$4/($D$6*$G$7))*0.00000110231</f>
        <v>0</v>
      </c>
      <c r="X45" s="2188">
        <f>(((R45*G45)*(1-Q45))*1000000/35.31)*($D$5/($D$6*$G$7))*0.0000011023</f>
        <v>500.59062363556387</v>
      </c>
      <c r="Y45" s="2176">
        <f>(((C45*G45)*(1-$D$15))*1000000/35.31)*($D$5/($D$6*$G$7))*0.0000011023</f>
        <v>80.954247991136484</v>
      </c>
      <c r="Z45" s="2189">
        <f>(((D45*AA45)*$D$19))/2000</f>
        <v>142.55679999999998</v>
      </c>
      <c r="AA45" s="2133">
        <f>G45*$D$13</f>
        <v>512</v>
      </c>
      <c r="AB45" s="2133">
        <f>(((E45*AA45)*$D$19))/2000</f>
        <v>0</v>
      </c>
      <c r="AC45" s="2106"/>
      <c r="AD45" s="2106"/>
    </row>
    <row r="46" spans="1:30" ht="15">
      <c r="A46" s="2106"/>
      <c r="B46" s="1958"/>
      <c r="C46" s="1959"/>
      <c r="D46" s="1959"/>
      <c r="E46" s="1959"/>
      <c r="F46" s="1959"/>
      <c r="G46" s="1960"/>
      <c r="H46" s="1960"/>
      <c r="I46" s="1959"/>
      <c r="J46" s="1959"/>
      <c r="K46" s="1959"/>
      <c r="L46" s="1959"/>
      <c r="M46" s="1961"/>
      <c r="N46" s="1961"/>
      <c r="O46" s="1961"/>
      <c r="P46" s="1959"/>
      <c r="Q46" s="1959"/>
      <c r="R46" s="1962"/>
      <c r="S46" s="1962"/>
      <c r="T46" s="2177"/>
      <c r="U46" s="2177"/>
      <c r="V46" s="2177"/>
      <c r="W46" s="2177"/>
      <c r="X46" s="2177"/>
      <c r="Y46" s="2177"/>
      <c r="Z46" s="2177"/>
      <c r="AA46" s="1959"/>
      <c r="AB46" s="1959"/>
      <c r="AC46" s="2106"/>
      <c r="AD46" s="2106"/>
    </row>
    <row r="47" spans="1:30" ht="15">
      <c r="A47" s="2106"/>
      <c r="B47" s="1963"/>
      <c r="C47" s="1964"/>
      <c r="D47" s="1964"/>
      <c r="E47" s="1964"/>
      <c r="F47" s="1964"/>
      <c r="G47" s="1965"/>
      <c r="H47" s="1965"/>
      <c r="I47" s="1964"/>
      <c r="J47" s="1964"/>
      <c r="K47" s="1964"/>
      <c r="L47" s="1964"/>
      <c r="M47" s="1966"/>
      <c r="N47" s="1966"/>
      <c r="O47" s="1966"/>
      <c r="P47" s="1964"/>
      <c r="Q47" s="1964"/>
      <c r="R47" s="1967"/>
      <c r="S47" s="1967"/>
      <c r="T47" s="2178"/>
      <c r="U47" s="2178"/>
      <c r="V47" s="2178"/>
      <c r="W47" s="2178"/>
      <c r="X47" s="2178"/>
      <c r="Y47" s="2178"/>
      <c r="Z47" s="2178"/>
      <c r="AA47" s="1964"/>
      <c r="AB47" s="1964"/>
      <c r="AC47" s="2106"/>
      <c r="AD47" s="2106"/>
    </row>
    <row r="48" spans="1:30" ht="15">
      <c r="A48" s="2106"/>
      <c r="B48" s="1968"/>
      <c r="C48" s="1969"/>
      <c r="D48" s="1969"/>
      <c r="E48" s="1969"/>
      <c r="F48" s="2134"/>
      <c r="G48" s="2135"/>
      <c r="H48" s="1954"/>
      <c r="I48" s="1941"/>
      <c r="J48" s="1941"/>
      <c r="K48" s="1941"/>
      <c r="L48" s="1942"/>
      <c r="M48" s="1955"/>
      <c r="N48" s="1955"/>
      <c r="O48" s="1955"/>
      <c r="P48" s="1943"/>
      <c r="Q48" s="2135"/>
      <c r="R48" s="2136"/>
      <c r="S48" s="2136"/>
      <c r="T48" s="2180"/>
      <c r="U48" s="2182"/>
      <c r="V48" s="2184"/>
      <c r="W48" s="2185"/>
      <c r="X48" s="2188"/>
      <c r="Y48" s="2176"/>
      <c r="Z48" s="2176"/>
      <c r="AA48" s="2138"/>
      <c r="AB48" s="2138"/>
      <c r="AC48" s="2106"/>
      <c r="AD48" s="2106"/>
    </row>
    <row r="49" spans="1:30" ht="15">
      <c r="A49" s="2106"/>
      <c r="B49" s="1968" t="s">
        <v>1278</v>
      </c>
      <c r="C49" s="1969">
        <v>200.83</v>
      </c>
      <c r="D49" s="1969">
        <v>0</v>
      </c>
      <c r="E49" s="1969">
        <v>0</v>
      </c>
      <c r="F49" s="1969">
        <f>SUM(C49:E49)</f>
        <v>200.83</v>
      </c>
      <c r="G49" s="1970">
        <v>0.498</v>
      </c>
      <c r="H49" s="1970">
        <v>0.35499999999999998</v>
      </c>
      <c r="I49" s="1969">
        <f>C49*G49</f>
        <v>100.01334</v>
      </c>
      <c r="J49" s="1969">
        <f>D49*G49</f>
        <v>0</v>
      </c>
      <c r="K49" s="1969">
        <f>E49*G49</f>
        <v>0</v>
      </c>
      <c r="L49" s="1969">
        <f>SUM(I49:K49)</f>
        <v>100.01334</v>
      </c>
      <c r="M49" s="1955">
        <f>((I49*1000000)/35.31)*($D$5/($D$6*$G$7))*0.0000011023</f>
        <v>2048.6974398095604</v>
      </c>
      <c r="N49" s="1955">
        <f>((J49*1000000)/35.31)*($D$5/($D$6*$G$7))*0.0000011023</f>
        <v>0</v>
      </c>
      <c r="O49" s="1955">
        <f>((K49*1000000)/35.31)*($D$5/($D$6*$G$7))*0.0000011023</f>
        <v>0</v>
      </c>
      <c r="P49" s="1969">
        <f>166557270/1000000</f>
        <v>166.55726999999999</v>
      </c>
      <c r="Q49" s="1970">
        <f>L49/P49</f>
        <v>0.60047417924177071</v>
      </c>
      <c r="R49" s="1972">
        <f>F49/Q49</f>
        <v>334.45234939759041</v>
      </c>
      <c r="S49" s="1972">
        <f>((R49*H49*(1-Q49)*1000000))/35.31</f>
        <v>1343413.5949063885</v>
      </c>
      <c r="T49" s="2180">
        <f>((S49*$D$4)/($D$6*$G$7))*0.00000110231</f>
        <v>2665.446717039189</v>
      </c>
      <c r="U49" s="2182">
        <f>(C49*($G$27+$H$27)*1000000/35.31)*($D$4/($D$6*$G$7))*0.00000110231</f>
        <v>9592.0197167158894</v>
      </c>
      <c r="V49" s="2186">
        <f>(D49*($G$27+$H$27)*1000000/35.31)*($D$4/($D$6*$G$7))*0.00000110231</f>
        <v>0</v>
      </c>
      <c r="W49" s="2187">
        <f>(E49*($G$27+$H$27)*1000000/35.31)*($D$4/($D$6*$G$7))*0.00000110231</f>
        <v>0</v>
      </c>
      <c r="X49" s="2188">
        <f>(((R49*G49)*(1-Q49))*1000000/35.31)*($D$5/($D$6*$G$7))*0.0000011023</f>
        <v>1363.1019524582084</v>
      </c>
      <c r="Y49" s="2176">
        <f>(((C49*G49)*(1-$D$15))*1000000/35.31)*($D$5/($D$6*$G$7))*0.0000011023</f>
        <v>40.973948796191259</v>
      </c>
      <c r="Z49" s="2189">
        <f>(((D49*AA49)*$D$19))/2000</f>
        <v>0</v>
      </c>
      <c r="AA49" s="2133">
        <f>G49*$D$13</f>
        <v>498</v>
      </c>
      <c r="AB49" s="2133">
        <f>(((E49*AA49)*$D$19))/2000</f>
        <v>0</v>
      </c>
      <c r="AC49" s="2106"/>
      <c r="AD49" s="2106"/>
    </row>
    <row r="50" spans="1:30" ht="15">
      <c r="A50" s="2106"/>
      <c r="B50" s="1968"/>
      <c r="C50" s="1969"/>
      <c r="D50" s="1969"/>
      <c r="E50" s="1969"/>
      <c r="F50" s="2134"/>
      <c r="G50" s="2135"/>
      <c r="H50" s="1954"/>
      <c r="I50" s="1941"/>
      <c r="J50" s="1941"/>
      <c r="K50" s="1941"/>
      <c r="L50" s="1942"/>
      <c r="M50" s="1955"/>
      <c r="N50" s="1955"/>
      <c r="O50" s="1955"/>
      <c r="P50" s="1943"/>
      <c r="Q50" s="2135"/>
      <c r="R50" s="2136"/>
      <c r="S50" s="2136"/>
      <c r="T50" s="2180"/>
      <c r="U50" s="2182"/>
      <c r="V50" s="2186"/>
      <c r="W50" s="2187"/>
      <c r="X50" s="2188"/>
      <c r="Y50" s="2176"/>
      <c r="Z50" s="2189"/>
      <c r="AA50" s="2138"/>
      <c r="AB50" s="2138"/>
      <c r="AC50" s="2106"/>
      <c r="AD50" s="2106"/>
    </row>
    <row r="51" spans="1:30" ht="15">
      <c r="A51" s="2106"/>
      <c r="B51" s="1968" t="s">
        <v>1279</v>
      </c>
      <c r="C51" s="1969">
        <v>278.04000000000002</v>
      </c>
      <c r="D51" s="1969">
        <v>0</v>
      </c>
      <c r="E51" s="1969">
        <v>0</v>
      </c>
      <c r="F51" s="1969">
        <f>SUM(C51:E51)</f>
        <v>278.04000000000002</v>
      </c>
      <c r="G51" s="1970">
        <v>0.505</v>
      </c>
      <c r="H51" s="1970">
        <v>0.47649999999999998</v>
      </c>
      <c r="I51" s="1969">
        <f>C51*G51</f>
        <v>140.4102</v>
      </c>
      <c r="J51" s="1969">
        <f>D51*G51</f>
        <v>0</v>
      </c>
      <c r="K51" s="1969">
        <f>E51*G51</f>
        <v>0</v>
      </c>
      <c r="L51" s="1969">
        <f>SUM(I51:K51)</f>
        <v>140.4102</v>
      </c>
      <c r="M51" s="1955">
        <f>((I51*1000000)/35.31)*($D$5/($D$6*$G$7))*0.0000011023</f>
        <v>2876.1964880199826</v>
      </c>
      <c r="N51" s="1955">
        <f>((J51*1000000)/35.31)*($D$5/($D$6*$G$7))*0.0000011023</f>
        <v>0</v>
      </c>
      <c r="O51" s="1955">
        <f>((K51*1000000)/35.31)*($D$5/($D$6*$G$7))*0.0000011023</f>
        <v>0</v>
      </c>
      <c r="P51" s="1969">
        <f>210765390/1000000</f>
        <v>210.76539</v>
      </c>
      <c r="Q51" s="1970">
        <f>L51/P51</f>
        <v>0.66619192078927192</v>
      </c>
      <c r="R51" s="1972">
        <f>F51/Q51</f>
        <v>417.35720792079212</v>
      </c>
      <c r="S51" s="1972">
        <f>((R51*H51*(1-Q51)*1000000))/35.31</f>
        <v>1880052.3810324958</v>
      </c>
      <c r="T51" s="2180">
        <f>((S51*$D$4)/($D$6*$G$7))*0.00000110231</f>
        <v>3730.183664870508</v>
      </c>
      <c r="U51" s="2182">
        <f>(C51*($G$27+$H$27)*1000000/35.31)*($D$4/($D$6*$G$7))*0.00000110231</f>
        <v>13279.714992957657</v>
      </c>
      <c r="V51" s="2186">
        <f>(D51*($G$27+$H$27)*1000000/35.31)*($D$4/($D$6*$G$7))*0.00000110231</f>
        <v>0</v>
      </c>
      <c r="W51" s="2187">
        <f>(E51*($G$27+$H$27)*1000000/35.31)*($D$4/($D$6*$G$7))*0.00000110231</f>
        <v>0</v>
      </c>
      <c r="X51" s="2188">
        <f>(((R51*G51)*(1-Q51))*1000000/35.31)*($D$5/($D$6*$G$7))*0.0000011023</f>
        <v>1441.1727238617889</v>
      </c>
      <c r="Y51" s="2176">
        <f>(((C51*G51)*(1-$D$15))*1000000/35.31)*($D$5/($D$6*$G$7))*0.0000011023</f>
        <v>57.523929760399703</v>
      </c>
      <c r="Z51" s="2189">
        <f>(((D51*AA51)*$D$19))/2000</f>
        <v>0</v>
      </c>
      <c r="AA51" s="2133">
        <f>G51*$D$13</f>
        <v>505</v>
      </c>
      <c r="AB51" s="2133">
        <f>(((E51*AA51)*$D$19))/2000</f>
        <v>0</v>
      </c>
      <c r="AC51" s="2106"/>
      <c r="AD51" s="2106"/>
    </row>
    <row r="52" spans="1:30" ht="15">
      <c r="A52" s="2106"/>
      <c r="B52" s="1968"/>
      <c r="C52" s="1969"/>
      <c r="D52" s="1969"/>
      <c r="E52" s="1969"/>
      <c r="F52" s="2134"/>
      <c r="G52" s="2135"/>
      <c r="H52" s="1954"/>
      <c r="I52" s="1941"/>
      <c r="J52" s="1941"/>
      <c r="K52" s="1941"/>
      <c r="L52" s="1942"/>
      <c r="M52" s="1955"/>
      <c r="N52" s="1955"/>
      <c r="O52" s="1955"/>
      <c r="P52" s="1943"/>
      <c r="Q52" s="2135"/>
      <c r="R52" s="2136"/>
      <c r="S52" s="2136"/>
      <c r="T52" s="2180"/>
      <c r="U52" s="2182"/>
      <c r="V52" s="2186"/>
      <c r="W52" s="2187"/>
      <c r="X52" s="2188"/>
      <c r="Y52" s="2176"/>
      <c r="Z52" s="2189"/>
      <c r="AA52" s="2138"/>
      <c r="AB52" s="2138"/>
      <c r="AC52" s="2106"/>
      <c r="AD52" s="2106"/>
    </row>
    <row r="53" spans="1:30" ht="15">
      <c r="A53" s="2106"/>
      <c r="B53" s="1968" t="s">
        <v>1280</v>
      </c>
      <c r="C53" s="1969">
        <v>28.13</v>
      </c>
      <c r="D53" s="1969">
        <v>0</v>
      </c>
      <c r="E53" s="1969">
        <v>0</v>
      </c>
      <c r="F53" s="1969">
        <f>SUM(C53:E53)</f>
        <v>28.13</v>
      </c>
      <c r="G53" s="1970">
        <v>0.30259999999999998</v>
      </c>
      <c r="H53" s="1970">
        <v>0.2213</v>
      </c>
      <c r="I53" s="1969">
        <f>C53*G53</f>
        <v>8.5121379999999984</v>
      </c>
      <c r="J53" s="1969">
        <f>D53*G53</f>
        <v>0</v>
      </c>
      <c r="K53" s="1969">
        <f>E53*G53</f>
        <v>0</v>
      </c>
      <c r="L53" s="1969">
        <f>SUM(I53:K53)</f>
        <v>8.5121379999999984</v>
      </c>
      <c r="M53" s="1955">
        <f>((I53*1000000)/35.31)*($D$5/($D$6*$G$7))*0.0000011023</f>
        <v>174.36469302900665</v>
      </c>
      <c r="N53" s="1955">
        <f>((J53*1000000)/35.31)*($D$5/($D$6*$G$7))*0.0000011023</f>
        <v>0</v>
      </c>
      <c r="O53" s="1955">
        <f>((K53*1000000)/35.31)*($D$5/($D$6*$G$7))*0.0000011023</f>
        <v>0</v>
      </c>
      <c r="P53" s="1969">
        <f>66453420/1000000</f>
        <v>66.453419999999994</v>
      </c>
      <c r="Q53" s="1970">
        <f>L53/P53</f>
        <v>0.12809179723180536</v>
      </c>
      <c r="R53" s="1972">
        <f>F53/Q53</f>
        <v>219.60812954395243</v>
      </c>
      <c r="S53" s="1972">
        <f>((R53*H53*(1-Q53)*1000000))/35.31</f>
        <v>1200059.7583709054</v>
      </c>
      <c r="T53" s="2180">
        <f>((S53*$D$4)/($D$6*$G$7))*0.00000110231</f>
        <v>2381.0205251223938</v>
      </c>
      <c r="U53" s="2182">
        <f>(C53*($G$27+$H$27)*1000000/35.31)*($D$4/($D$6*$G$7))*0.00000110231</f>
        <v>1343.5418743774237</v>
      </c>
      <c r="V53" s="2186">
        <f>(D53*($G$27+$H$27)*1000000/35.31)*($D$4/($D$6*$G$7))*0.00000110231</f>
        <v>0</v>
      </c>
      <c r="W53" s="2187">
        <f>(E53*($G$27+$H$27)*1000000/35.31)*($D$4/($D$6*$G$7))*0.00000110231</f>
        <v>0</v>
      </c>
      <c r="X53" s="2188">
        <f>(((R53*G53)*(1-Q53))*1000000/35.31)*($D$5/($D$6*$G$7))*0.0000011023</f>
        <v>1186.8832307038617</v>
      </c>
      <c r="Y53" s="2176">
        <f>(((C53*G53)*(1-$D$15))*1000000/35.31)*($D$5/($D$6*$G$7))*0.0000011023</f>
        <v>3.4872938605801362</v>
      </c>
      <c r="Z53" s="2189">
        <f>(((D53*AA53)*$D$19))/2000</f>
        <v>0</v>
      </c>
      <c r="AA53" s="2133">
        <f>G53*$D$13</f>
        <v>302.59999999999997</v>
      </c>
      <c r="AB53" s="2133">
        <f>(((E53*AA53)*$D$19))/2000</f>
        <v>0</v>
      </c>
      <c r="AC53" s="2106"/>
      <c r="AD53" s="2106"/>
    </row>
    <row r="54" spans="1:30" ht="15">
      <c r="A54" s="2106"/>
      <c r="B54" s="1968"/>
      <c r="C54" s="1969"/>
      <c r="D54" s="1969"/>
      <c r="E54" s="1969"/>
      <c r="F54" s="2134"/>
      <c r="G54" s="2135"/>
      <c r="H54" s="1954"/>
      <c r="I54" s="1941"/>
      <c r="J54" s="1941"/>
      <c r="K54" s="1941"/>
      <c r="L54" s="1942"/>
      <c r="M54" s="1955"/>
      <c r="N54" s="1955"/>
      <c r="O54" s="1955"/>
      <c r="P54" s="1943"/>
      <c r="Q54" s="2135"/>
      <c r="R54" s="2136"/>
      <c r="S54" s="2136"/>
      <c r="T54" s="2180"/>
      <c r="U54" s="2182"/>
      <c r="V54" s="2186"/>
      <c r="W54" s="2187"/>
      <c r="X54" s="2188"/>
      <c r="Y54" s="2176"/>
      <c r="Z54" s="2189"/>
      <c r="AA54" s="2138"/>
      <c r="AB54" s="2138"/>
      <c r="AC54" s="2106"/>
      <c r="AD54" s="2106"/>
    </row>
    <row r="55" spans="1:30" ht="15">
      <c r="A55" s="2106"/>
      <c r="B55" s="1968" t="s">
        <v>1281</v>
      </c>
      <c r="C55" s="1969">
        <f>(445000000/1000000)*70%</f>
        <v>311.5</v>
      </c>
      <c r="D55" s="1969">
        <v>0</v>
      </c>
      <c r="E55" s="1969">
        <v>0</v>
      </c>
      <c r="F55" s="1969">
        <f>SUM(C55:E55)</f>
        <v>311.5</v>
      </c>
      <c r="G55" s="1970">
        <v>0.5</v>
      </c>
      <c r="H55" s="1970">
        <v>0.5</v>
      </c>
      <c r="I55" s="1969">
        <f>C55*G55</f>
        <v>155.75</v>
      </c>
      <c r="J55" s="1969">
        <f>D55*G55</f>
        <v>0</v>
      </c>
      <c r="K55" s="1969">
        <f>E55*G55</f>
        <v>0</v>
      </c>
      <c r="L55" s="1969">
        <f>SUM(I55:K55)</f>
        <v>155.75</v>
      </c>
      <c r="M55" s="1955">
        <f>((I55*1000000)/35.31)*($D$5/($D$6*$G$7))*0.0000011023</f>
        <v>3190.4206603872954</v>
      </c>
      <c r="N55" s="1955">
        <f>((J55*1000000)/35.31)*($D$5/($D$6*$G$7))*0.0000011023</f>
        <v>0</v>
      </c>
      <c r="O55" s="1955">
        <f>((K55*1000000)/35.31)*($D$5/($D$6*$G$7))*0.0000011023</f>
        <v>0</v>
      </c>
      <c r="P55" s="1969">
        <f>222600000/1000000</f>
        <v>222.6</v>
      </c>
      <c r="Q55" s="1970">
        <f>L55/P55</f>
        <v>0.69968553459119498</v>
      </c>
      <c r="R55" s="1972">
        <f>F55/Q55</f>
        <v>445.2</v>
      </c>
      <c r="S55" s="1972">
        <f>((R55*H55*(1-Q55)*1000000))/35.31</f>
        <v>1893231.3792126873</v>
      </c>
      <c r="T55" s="2180">
        <f>((S55*$D$4)/($D$6*$G$7))*0.00000110231</f>
        <v>3756.3319170293707</v>
      </c>
      <c r="U55" s="2182">
        <f>(C55*($G$27+$H$27)*1000000/35.31)*($D$4/($D$6*$G$7))*0.00000110231</f>
        <v>14877.827723731514</v>
      </c>
      <c r="V55" s="2186">
        <f>(D55*($G$27+$H$27)*1000000/35.31)*($D$4/($D$6*$G$7))*0.00000110231</f>
        <v>0</v>
      </c>
      <c r="W55" s="2187">
        <f>(E55*($G$27+$H$27)*1000000/35.31)*($D$4/($D$6*$G$7))*0.00000110231</f>
        <v>0</v>
      </c>
      <c r="X55" s="2188">
        <f>(((R55*G55)*(1-Q55))*1000000/35.31)*($D$5/($D$6*$G$7))*0.0000011023</f>
        <v>1369.3715643460075</v>
      </c>
      <c r="Y55" s="2176">
        <f>(((C55*G55)*(1-$D$15))*1000000/35.31)*($D$5/($D$6*$G$7))*0.0000011023</f>
        <v>63.808413207745964</v>
      </c>
      <c r="Z55" s="2189">
        <f>(((D55*AA55)*$D$19))/2000</f>
        <v>0</v>
      </c>
      <c r="AA55" s="2133">
        <f>G55*$D$13</f>
        <v>500</v>
      </c>
      <c r="AB55" s="2133">
        <f>(((E55*AA55)*$D$19))/2000</f>
        <v>0</v>
      </c>
      <c r="AC55" s="2106"/>
      <c r="AD55" s="2106"/>
    </row>
    <row r="56" spans="1:30" ht="15">
      <c r="A56" s="2106"/>
      <c r="B56" s="1968"/>
      <c r="C56" s="1969"/>
      <c r="D56" s="1969"/>
      <c r="E56" s="1969"/>
      <c r="F56" s="1969"/>
      <c r="G56" s="1970"/>
      <c r="H56" s="1970"/>
      <c r="I56" s="1969"/>
      <c r="J56" s="1969"/>
      <c r="K56" s="1969"/>
      <c r="L56" s="1969"/>
      <c r="M56" s="1971"/>
      <c r="N56" s="1971"/>
      <c r="O56" s="1971"/>
      <c r="P56" s="1969"/>
      <c r="Q56" s="1969"/>
      <c r="R56" s="1972"/>
      <c r="S56" s="1969"/>
      <c r="T56" s="2179"/>
      <c r="U56" s="2179"/>
      <c r="V56" s="2179"/>
      <c r="W56" s="2179"/>
      <c r="X56" s="1969"/>
      <c r="Y56" s="1969"/>
      <c r="Z56" s="2179"/>
      <c r="AA56" s="1969"/>
      <c r="AB56" s="1969"/>
      <c r="AC56" s="2106"/>
      <c r="AD56" s="2106"/>
    </row>
    <row r="57" spans="1:30" ht="15">
      <c r="A57" s="2106"/>
      <c r="B57" s="1973"/>
      <c r="C57" s="1974"/>
      <c r="D57" s="1974"/>
      <c r="E57" s="1974"/>
      <c r="F57" s="1974"/>
      <c r="G57" s="1975"/>
      <c r="H57" s="1975"/>
      <c r="I57" s="1974"/>
      <c r="J57" s="1974"/>
      <c r="K57" s="1974"/>
      <c r="L57" s="1974"/>
      <c r="M57" s="1976"/>
      <c r="N57" s="1976"/>
      <c r="O57" s="1976"/>
      <c r="P57" s="1974"/>
      <c r="Q57" s="1974"/>
      <c r="R57" s="1977"/>
      <c r="S57" s="1974"/>
      <c r="T57" s="2181"/>
      <c r="U57" s="2183"/>
      <c r="V57" s="2183"/>
      <c r="W57" s="2183"/>
      <c r="X57" s="1974"/>
      <c r="Y57" s="1974"/>
      <c r="Z57" s="2181"/>
      <c r="AA57" s="1974"/>
      <c r="AB57" s="1974"/>
      <c r="AC57" s="2106"/>
      <c r="AD57" s="2106"/>
    </row>
    <row r="58" spans="1:30" ht="15.75" thickBot="1">
      <c r="A58" s="2106"/>
      <c r="B58" s="1978" t="s">
        <v>194</v>
      </c>
      <c r="C58" s="1979"/>
      <c r="D58" s="1979"/>
      <c r="E58" s="1979"/>
      <c r="F58" s="1979"/>
      <c r="G58" s="1979"/>
      <c r="H58" s="1979"/>
      <c r="I58" s="1979"/>
      <c r="J58" s="1979"/>
      <c r="K58" s="1979"/>
      <c r="L58" s="1979"/>
      <c r="M58" s="2175">
        <f>SUM(M27:M57)</f>
        <v>19358.611819389662</v>
      </c>
      <c r="N58" s="2175">
        <f>SUM(N27:N57)</f>
        <v>9333.8445795736261</v>
      </c>
      <c r="O58" s="2175">
        <f>SUM(O27:O57)</f>
        <v>30244.428796407414</v>
      </c>
      <c r="P58" s="1979"/>
      <c r="Q58" s="1979"/>
      <c r="R58" s="1980"/>
      <c r="S58" s="1979"/>
      <c r="T58" s="1979"/>
      <c r="U58" s="2175">
        <f>SUM(U27:U57)</f>
        <v>94293.666113766682</v>
      </c>
      <c r="V58" s="2175">
        <f>SUM(V27:V57)</f>
        <v>42423.588432994431</v>
      </c>
      <c r="W58" s="2175">
        <f>SUM(W27:W57)</f>
        <v>143991.48542310062</v>
      </c>
      <c r="X58" s="1979"/>
      <c r="Y58" s="1979"/>
      <c r="Z58" s="1979"/>
      <c r="AA58" s="1979"/>
      <c r="AB58" s="1979"/>
      <c r="AC58" s="2106"/>
      <c r="AD58" s="2106"/>
    </row>
    <row r="59" spans="1:30" ht="15.75" thickTop="1">
      <c r="A59" s="2106"/>
      <c r="B59" s="2106"/>
      <c r="C59" s="2106"/>
      <c r="D59" s="2106"/>
      <c r="E59" s="2106"/>
      <c r="F59" s="2106"/>
      <c r="G59" s="2106"/>
      <c r="H59" s="2106"/>
      <c r="I59" s="2106"/>
      <c r="J59" s="2106"/>
      <c r="K59" s="2106"/>
      <c r="L59" s="2106"/>
      <c r="M59" s="2106"/>
      <c r="N59" s="2106"/>
      <c r="O59" s="2106"/>
      <c r="P59" s="2106"/>
      <c r="Q59" s="2106"/>
      <c r="R59" s="2106"/>
      <c r="S59" s="2106"/>
      <c r="T59" s="2106"/>
      <c r="U59" s="2106"/>
      <c r="V59" s="2106"/>
      <c r="W59" s="2106"/>
      <c r="X59" s="2106"/>
      <c r="Y59" s="2106"/>
      <c r="Z59" s="2106"/>
      <c r="AA59" s="2106"/>
      <c r="AB59" s="2106"/>
      <c r="AC59" s="2106"/>
      <c r="AD59" s="2106"/>
    </row>
    <row r="60" spans="1:30" ht="15">
      <c r="A60" s="2106"/>
      <c r="B60" s="2106"/>
      <c r="C60" s="2106"/>
      <c r="D60" s="2106"/>
      <c r="E60" s="2106"/>
      <c r="F60" s="2106"/>
      <c r="G60" s="2106"/>
      <c r="H60" s="2106"/>
      <c r="I60" s="2106"/>
      <c r="J60" s="2106"/>
      <c r="K60" s="2106"/>
      <c r="L60" s="2106"/>
      <c r="M60" s="2106"/>
      <c r="N60" s="2106"/>
      <c r="O60" s="2106"/>
      <c r="P60" s="2106"/>
      <c r="Q60" s="2106"/>
      <c r="R60" s="2106"/>
      <c r="S60" s="2106"/>
      <c r="T60" s="2106"/>
      <c r="U60" s="2106"/>
      <c r="V60" s="2106"/>
      <c r="W60" s="2106"/>
      <c r="X60" s="2106"/>
      <c r="Y60" s="2106"/>
      <c r="Z60" s="2106"/>
      <c r="AA60" s="2106"/>
      <c r="AB60" s="2106"/>
      <c r="AC60" s="2106"/>
      <c r="AD60" s="2106"/>
    </row>
    <row r="61" spans="1:30" ht="15">
      <c r="A61" s="2106"/>
      <c r="B61" s="2106"/>
      <c r="C61" s="2106"/>
      <c r="D61" s="2106"/>
      <c r="E61" s="2106"/>
      <c r="F61" s="2106"/>
      <c r="G61" s="2106"/>
      <c r="H61" s="2106"/>
      <c r="I61" s="2106"/>
      <c r="J61" s="2106"/>
      <c r="K61" s="2106"/>
      <c r="L61" s="2106"/>
      <c r="M61" s="2106"/>
      <c r="N61" s="2106"/>
      <c r="O61" s="2106"/>
      <c r="P61" s="2106"/>
      <c r="Q61" s="2106"/>
      <c r="R61" s="2106"/>
      <c r="S61" s="2106"/>
      <c r="T61" s="2106"/>
      <c r="U61" s="2106"/>
      <c r="V61" s="2106"/>
      <c r="W61" s="2106"/>
      <c r="X61" s="2106"/>
      <c r="Y61" s="2106"/>
      <c r="Z61" s="2106"/>
      <c r="AA61" s="2106"/>
      <c r="AB61" s="2106"/>
      <c r="AC61" s="2106"/>
      <c r="AD61" s="2106"/>
    </row>
    <row r="62" spans="1:30" ht="15">
      <c r="A62" s="2106"/>
      <c r="B62" s="2106"/>
      <c r="C62" s="2106"/>
      <c r="D62" s="2106"/>
      <c r="E62" s="2106"/>
      <c r="F62" s="2106"/>
      <c r="G62" s="2106"/>
      <c r="H62" s="2106"/>
      <c r="I62" s="2106"/>
      <c r="J62" s="2106"/>
      <c r="K62" s="2106"/>
      <c r="L62" s="2106"/>
      <c r="M62" s="2106"/>
      <c r="N62" s="2106"/>
      <c r="O62" s="2106"/>
      <c r="P62" s="2106"/>
      <c r="Q62" s="2106"/>
      <c r="R62" s="2106"/>
      <c r="S62" s="2106"/>
      <c r="T62" s="2106"/>
      <c r="U62" s="2106"/>
      <c r="V62" s="2106"/>
      <c r="W62" s="2106"/>
      <c r="X62" s="2106"/>
      <c r="Y62" s="2106"/>
      <c r="Z62" s="2106"/>
      <c r="AA62" s="2106"/>
      <c r="AB62" s="2106"/>
      <c r="AC62" s="2106"/>
      <c r="AD62" s="2106"/>
    </row>
    <row r="63" spans="1:30" ht="15">
      <c r="A63" s="2106"/>
      <c r="B63" s="2106"/>
      <c r="C63" s="2106"/>
      <c r="D63" s="2106"/>
      <c r="E63" s="2106"/>
      <c r="F63" s="2106"/>
      <c r="G63" s="2106"/>
      <c r="H63" s="2106"/>
      <c r="I63" s="2106"/>
      <c r="J63" s="2106"/>
      <c r="K63" s="2106"/>
      <c r="L63" s="2106"/>
      <c r="M63" s="2106"/>
      <c r="N63" s="2106"/>
      <c r="O63" s="2106"/>
      <c r="P63" s="2106"/>
      <c r="Q63" s="2106"/>
      <c r="R63" s="2106"/>
      <c r="S63" s="2106"/>
      <c r="T63" s="2106"/>
      <c r="U63" s="2106"/>
      <c r="V63" s="2106"/>
      <c r="W63" s="2106"/>
      <c r="X63" s="2106"/>
      <c r="Y63" s="2106"/>
      <c r="Z63" s="2106"/>
      <c r="AA63" s="2106"/>
      <c r="AB63" s="2106"/>
      <c r="AC63" s="2106"/>
      <c r="AD63" s="2106"/>
    </row>
    <row r="64" spans="1:30" ht="15">
      <c r="A64" s="2106"/>
      <c r="B64" s="2106"/>
      <c r="C64" s="2106"/>
      <c r="D64" s="2106"/>
      <c r="E64" s="2106"/>
      <c r="F64" s="2106"/>
      <c r="G64" s="2106"/>
      <c r="H64" s="2106"/>
      <c r="I64" s="2106"/>
      <c r="J64" s="2106"/>
      <c r="K64" s="2106"/>
      <c r="L64" s="2106"/>
      <c r="M64" s="2106"/>
      <c r="N64" s="2106"/>
      <c r="O64" s="2106"/>
      <c r="P64" s="2106"/>
      <c r="Q64" s="2106"/>
      <c r="R64" s="2106"/>
      <c r="S64" s="2106"/>
      <c r="T64" s="2106"/>
      <c r="U64" s="2106"/>
      <c r="V64" s="2106"/>
      <c r="W64" s="2106"/>
      <c r="X64" s="2106"/>
      <c r="Y64" s="2106"/>
      <c r="Z64" s="2106"/>
      <c r="AA64" s="2106"/>
      <c r="AB64" s="2106"/>
      <c r="AC64" s="2106"/>
      <c r="AD64" s="2106"/>
    </row>
    <row r="65" spans="1:30" ht="15">
      <c r="A65" s="2106"/>
      <c r="B65" s="2106"/>
      <c r="C65" s="2106"/>
      <c r="D65" s="2106"/>
      <c r="E65" s="2106"/>
      <c r="F65" s="2106"/>
      <c r="G65" s="2106"/>
      <c r="H65" s="2106"/>
      <c r="I65" s="2106"/>
      <c r="J65" s="2106"/>
      <c r="K65" s="2106"/>
      <c r="L65" s="2106"/>
      <c r="M65" s="2106"/>
      <c r="N65" s="2106"/>
      <c r="O65" s="2106"/>
      <c r="P65" s="2106"/>
      <c r="Q65" s="2106"/>
      <c r="R65" s="2106"/>
      <c r="S65" s="2106"/>
      <c r="T65" s="2106"/>
      <c r="U65" s="2106"/>
      <c r="V65" s="2106"/>
      <c r="W65" s="2106"/>
      <c r="X65" s="2106"/>
      <c r="Y65" s="2106"/>
      <c r="Z65" s="2106"/>
      <c r="AA65" s="2106"/>
      <c r="AB65" s="2106"/>
      <c r="AC65" s="2106"/>
      <c r="AD65" s="2106"/>
    </row>
    <row r="66" spans="1:30" ht="15">
      <c r="A66" s="2106"/>
      <c r="B66" s="2106"/>
      <c r="C66" s="2106"/>
      <c r="D66" s="2106"/>
      <c r="E66" s="2106"/>
      <c r="F66" s="2106"/>
      <c r="G66" s="2106"/>
      <c r="H66" s="2106"/>
      <c r="I66" s="2106"/>
      <c r="J66" s="2106"/>
      <c r="K66" s="2106"/>
      <c r="L66" s="2106"/>
      <c r="M66" s="2106"/>
      <c r="N66" s="2106"/>
      <c r="O66" s="2106"/>
      <c r="P66" s="2106"/>
      <c r="Q66" s="2106"/>
      <c r="R66" s="2106"/>
      <c r="S66" s="2106"/>
      <c r="T66" s="2106"/>
      <c r="U66" s="2106"/>
      <c r="V66" s="2106"/>
      <c r="W66" s="2106"/>
      <c r="X66" s="2106"/>
      <c r="Y66" s="2106"/>
      <c r="Z66" s="2106"/>
      <c r="AA66" s="2106"/>
      <c r="AB66" s="2106"/>
      <c r="AC66" s="2106"/>
      <c r="AD66" s="2106"/>
    </row>
    <row r="67" spans="1:30" ht="15">
      <c r="A67" s="2106"/>
      <c r="B67" s="2106"/>
      <c r="C67" s="2106"/>
      <c r="D67" s="2106"/>
      <c r="E67" s="2106"/>
      <c r="F67" s="2106"/>
      <c r="G67" s="2106"/>
      <c r="H67" s="2106"/>
      <c r="I67" s="2106"/>
      <c r="J67" s="2106"/>
      <c r="K67" s="2106"/>
      <c r="L67" s="2106"/>
      <c r="M67" s="2106"/>
      <c r="N67" s="2106"/>
      <c r="O67" s="2106"/>
      <c r="P67" s="2106"/>
      <c r="Q67" s="2106"/>
      <c r="R67" s="2106"/>
      <c r="S67" s="2106"/>
      <c r="T67" s="2106"/>
      <c r="U67" s="2106"/>
      <c r="V67" s="2106"/>
      <c r="W67" s="2106"/>
      <c r="X67" s="2106"/>
      <c r="Y67" s="2106"/>
      <c r="Z67" s="2106"/>
      <c r="AA67" s="2106"/>
      <c r="AB67" s="2106"/>
      <c r="AC67" s="2106"/>
      <c r="AD67" s="2106"/>
    </row>
    <row r="68" spans="1:30" ht="15">
      <c r="A68" s="2106"/>
      <c r="B68" s="2106"/>
      <c r="C68" s="2106"/>
      <c r="D68" s="2106"/>
      <c r="E68" s="2106"/>
      <c r="F68" s="2106"/>
      <c r="G68" s="2106"/>
      <c r="H68" s="2106"/>
      <c r="I68" s="2106"/>
      <c r="J68" s="2106"/>
      <c r="K68" s="2106"/>
      <c r="L68" s="2106"/>
      <c r="M68" s="2106"/>
      <c r="N68" s="2106"/>
      <c r="O68" s="2106"/>
      <c r="P68" s="2106"/>
      <c r="Q68" s="2106"/>
      <c r="R68" s="2106"/>
      <c r="S68" s="2106"/>
      <c r="T68" s="2106"/>
      <c r="U68" s="2106"/>
      <c r="V68" s="2106"/>
      <c r="W68" s="2106"/>
      <c r="X68" s="2106"/>
      <c r="Y68" s="2106"/>
      <c r="Z68" s="2106"/>
      <c r="AA68" s="2106"/>
      <c r="AB68" s="2106"/>
      <c r="AC68" s="2106"/>
      <c r="AD68" s="2106"/>
    </row>
    <row r="69" spans="1:30" ht="15">
      <c r="A69" s="2106"/>
      <c r="B69" s="2106"/>
      <c r="C69" s="2106"/>
      <c r="D69" s="2106"/>
      <c r="E69" s="2106"/>
      <c r="F69" s="2106"/>
      <c r="G69" s="2106"/>
      <c r="H69" s="2106"/>
      <c r="I69" s="2106"/>
      <c r="J69" s="2106"/>
      <c r="K69" s="2106"/>
      <c r="L69" s="2106"/>
      <c r="M69" s="2106"/>
      <c r="N69" s="2106"/>
      <c r="O69" s="2106"/>
      <c r="P69" s="2106"/>
      <c r="Q69" s="2106"/>
      <c r="R69" s="2106"/>
      <c r="S69" s="2106"/>
      <c r="T69" s="2106"/>
      <c r="U69" s="2106"/>
      <c r="V69" s="2106"/>
      <c r="W69" s="2106"/>
      <c r="X69" s="2106"/>
      <c r="Y69" s="2106"/>
      <c r="Z69" s="2106"/>
      <c r="AA69" s="2106"/>
      <c r="AB69" s="2106"/>
      <c r="AC69" s="2106"/>
      <c r="AD69" s="2106"/>
    </row>
    <row r="70" spans="1:30" ht="15">
      <c r="A70" s="2106"/>
      <c r="B70" s="2106"/>
      <c r="C70" s="2106"/>
      <c r="D70" s="2106"/>
      <c r="E70" s="2106"/>
      <c r="F70" s="2106"/>
      <c r="G70" s="2106"/>
      <c r="H70" s="2106"/>
      <c r="I70" s="2106"/>
      <c r="J70" s="2106"/>
      <c r="K70" s="2106"/>
      <c r="L70" s="2106"/>
      <c r="M70" s="2106"/>
      <c r="N70" s="2106"/>
      <c r="O70" s="2106"/>
      <c r="P70" s="2106"/>
      <c r="Q70" s="2106"/>
      <c r="R70" s="2106"/>
      <c r="S70" s="2106"/>
      <c r="T70" s="2106"/>
      <c r="U70" s="2106"/>
      <c r="V70" s="2106"/>
      <c r="W70" s="2106"/>
      <c r="X70" s="2106"/>
      <c r="Y70" s="2106"/>
      <c r="Z70" s="2106"/>
      <c r="AA70" s="2106"/>
      <c r="AB70" s="2106"/>
      <c r="AC70" s="2106"/>
      <c r="AD70" s="2106"/>
    </row>
    <row r="71" spans="1:30" ht="15">
      <c r="A71" s="2106"/>
      <c r="B71" s="2106"/>
      <c r="C71" s="2106"/>
      <c r="D71" s="2106"/>
      <c r="E71" s="2106"/>
      <c r="F71" s="2106"/>
      <c r="G71" s="2106"/>
      <c r="H71" s="2106"/>
      <c r="I71" s="2106"/>
      <c r="J71" s="2106"/>
      <c r="K71" s="2106"/>
      <c r="L71" s="2106"/>
      <c r="M71" s="2106"/>
      <c r="N71" s="2106"/>
      <c r="O71" s="2106"/>
      <c r="P71" s="2106"/>
      <c r="Q71" s="2106"/>
      <c r="R71" s="2106"/>
      <c r="S71" s="2106"/>
      <c r="T71" s="2106"/>
      <c r="U71" s="2106"/>
      <c r="V71" s="2106"/>
      <c r="W71" s="2106"/>
      <c r="X71" s="2106"/>
      <c r="Y71" s="2106"/>
      <c r="Z71" s="2106"/>
      <c r="AA71" s="2106"/>
      <c r="AB71" s="2106"/>
      <c r="AC71" s="2106"/>
      <c r="AD71" s="2106"/>
    </row>
    <row r="72" spans="1:30" ht="15">
      <c r="A72" s="2106"/>
      <c r="B72" s="2106"/>
      <c r="C72" s="2106"/>
      <c r="D72" s="2106"/>
      <c r="E72" s="2106"/>
      <c r="F72" s="2106"/>
      <c r="G72" s="2106"/>
      <c r="H72" s="2106"/>
      <c r="I72" s="2106"/>
      <c r="J72" s="2106"/>
      <c r="K72" s="2106"/>
      <c r="L72" s="2106"/>
      <c r="M72" s="2106"/>
      <c r="N72" s="2106"/>
      <c r="O72" s="2106"/>
      <c r="P72" s="2106"/>
      <c r="Q72" s="2106"/>
      <c r="R72" s="2106"/>
      <c r="S72" s="2106"/>
      <c r="T72" s="2106"/>
      <c r="U72" s="2106"/>
      <c r="V72" s="2106"/>
      <c r="W72" s="2106"/>
      <c r="X72" s="2106"/>
      <c r="Y72" s="2106"/>
      <c r="Z72" s="2106"/>
      <c r="AA72" s="2106"/>
      <c r="AB72" s="2106"/>
      <c r="AC72" s="2106"/>
      <c r="AD72" s="2106"/>
    </row>
    <row r="73" spans="1:30" ht="15">
      <c r="A73" s="2106"/>
      <c r="B73" s="2106"/>
      <c r="C73" s="2106"/>
      <c r="D73" s="2106"/>
      <c r="E73" s="2106"/>
      <c r="F73" s="2106"/>
      <c r="G73" s="2106"/>
      <c r="H73" s="2106"/>
      <c r="I73" s="2106"/>
      <c r="J73" s="2106"/>
      <c r="K73" s="2106"/>
      <c r="L73" s="2106"/>
      <c r="M73" s="2106"/>
      <c r="N73" s="2106"/>
      <c r="O73" s="2106"/>
      <c r="P73" s="2106"/>
      <c r="Q73" s="2106"/>
      <c r="R73" s="2106"/>
      <c r="S73" s="2106"/>
      <c r="T73" s="2106"/>
      <c r="U73" s="2106"/>
      <c r="V73" s="2106"/>
      <c r="W73" s="2106"/>
      <c r="X73" s="2106"/>
      <c r="Y73" s="2106"/>
      <c r="Z73" s="2106"/>
      <c r="AA73" s="2106"/>
      <c r="AB73" s="2106"/>
      <c r="AC73" s="2106"/>
      <c r="AD73" s="2106"/>
    </row>
    <row r="74" spans="1:30" ht="15">
      <c r="A74" s="2106"/>
      <c r="B74" s="2106"/>
      <c r="C74" s="2106"/>
      <c r="D74" s="2106"/>
      <c r="E74" s="2106"/>
      <c r="F74" s="2106"/>
      <c r="G74" s="2106"/>
      <c r="H74" s="2106"/>
      <c r="I74" s="2106"/>
      <c r="J74" s="2106"/>
      <c r="K74" s="2106"/>
      <c r="L74" s="2106"/>
      <c r="M74" s="2106"/>
      <c r="N74" s="2106"/>
      <c r="O74" s="2106"/>
      <c r="P74" s="2106"/>
      <c r="Q74" s="2106"/>
      <c r="R74" s="2106"/>
      <c r="S74" s="2106"/>
      <c r="T74" s="2106"/>
      <c r="U74" s="2106"/>
      <c r="V74" s="2106"/>
      <c r="W74" s="2106"/>
      <c r="X74" s="2106"/>
      <c r="Y74" s="2106"/>
      <c r="Z74" s="2106"/>
      <c r="AA74" s="2106"/>
      <c r="AB74" s="2106"/>
      <c r="AC74" s="2106"/>
      <c r="AD74" s="2106"/>
    </row>
    <row r="75" spans="1:30" ht="15">
      <c r="A75" s="2106"/>
      <c r="B75" s="2106"/>
      <c r="C75" s="2106"/>
      <c r="D75" s="2106"/>
      <c r="E75" s="2106"/>
      <c r="F75" s="2106"/>
      <c r="G75" s="2106"/>
      <c r="H75" s="2106"/>
      <c r="I75" s="2106"/>
      <c r="J75" s="2106"/>
      <c r="K75" s="2106"/>
      <c r="L75" s="2106"/>
      <c r="M75" s="2106"/>
      <c r="N75" s="2106"/>
      <c r="O75" s="2106"/>
      <c r="P75" s="2106"/>
      <c r="Q75" s="2106"/>
      <c r="R75" s="2106"/>
      <c r="S75" s="2106"/>
      <c r="T75" s="2106"/>
      <c r="U75" s="2106"/>
      <c r="V75" s="2106"/>
      <c r="W75" s="2106"/>
      <c r="X75" s="2106"/>
      <c r="Y75" s="2106"/>
      <c r="Z75" s="2106"/>
      <c r="AA75" s="2106"/>
      <c r="AB75" s="2106"/>
      <c r="AC75" s="2106"/>
      <c r="AD75" s="2106"/>
    </row>
  </sheetData>
  <sheetProtection password="CD58" sheet="1" objects="1" scenarios="1"/>
  <mergeCells count="16">
    <mergeCell ref="M23:O23"/>
    <mergeCell ref="M24:O24"/>
    <mergeCell ref="B10:C10"/>
    <mergeCell ref="B12:C12"/>
    <mergeCell ref="B14:C14"/>
    <mergeCell ref="B18:C18"/>
    <mergeCell ref="I24:K24"/>
    <mergeCell ref="I23:K23"/>
    <mergeCell ref="B8:C8"/>
    <mergeCell ref="C24:E24"/>
    <mergeCell ref="C23:E23"/>
    <mergeCell ref="B3:C3"/>
    <mergeCell ref="B4:C4"/>
    <mergeCell ref="B5:C5"/>
    <mergeCell ref="B6:C6"/>
    <mergeCell ref="B7:C7"/>
  </mergeCells>
  <pageMargins left="0.7" right="0.7" top="0.75" bottom="0.75" header="0.3" footer="0.3"/>
  <pageSetup orientation="portrait" r:id="rId1"/>
  <picture r:id="rId2"/>
</worksheet>
</file>

<file path=xl/worksheets/sheet16.xml><?xml version="1.0" encoding="utf-8"?>
<worksheet xmlns="http://schemas.openxmlformats.org/spreadsheetml/2006/main" xmlns:r="http://schemas.openxmlformats.org/officeDocument/2006/relationships">
  <sheetPr codeName="Sheet13"/>
  <dimension ref="A1:AD53"/>
  <sheetViews>
    <sheetView zoomScaleNormal="100" workbookViewId="0">
      <selection activeCell="K2" sqref="K2"/>
    </sheetView>
  </sheetViews>
  <sheetFormatPr defaultRowHeight="11.25"/>
  <cols>
    <col min="2" max="2" width="35.6640625" customWidth="1"/>
    <col min="3" max="3" width="21.6640625" customWidth="1"/>
    <col min="4" max="4" width="15.6640625" customWidth="1"/>
    <col min="5" max="5" width="16.1640625" customWidth="1"/>
    <col min="6" max="6" width="17.1640625" customWidth="1"/>
    <col min="7" max="7" width="11.5" customWidth="1"/>
    <col min="8" max="8" width="3" customWidth="1"/>
    <col min="9" max="9" width="33.6640625" customWidth="1"/>
    <col min="10" max="10" width="25.5" customWidth="1"/>
    <col min="11" max="12" width="16.1640625" bestFit="1" customWidth="1"/>
    <col min="13" max="13" width="11.1640625" customWidth="1"/>
    <col min="14" max="14" width="11.5" customWidth="1"/>
    <col min="15" max="15" width="2" customWidth="1"/>
    <col min="16" max="16" width="32.33203125" customWidth="1"/>
    <col min="17" max="17" width="12.6640625" customWidth="1"/>
    <col min="18" max="18" width="14.5" customWidth="1"/>
    <col min="19" max="20" width="14.83203125" customWidth="1"/>
    <col min="21" max="21" width="9.5" bestFit="1" customWidth="1"/>
    <col min="23" max="23" width="4.1640625" customWidth="1"/>
    <col min="24" max="24" width="31.6640625" customWidth="1"/>
    <col min="25" max="25" width="17.83203125" bestFit="1" customWidth="1"/>
    <col min="27" max="27" width="4" customWidth="1"/>
    <col min="28" max="28" width="38.1640625" customWidth="1"/>
    <col min="29" max="29" width="14.1640625" customWidth="1"/>
    <col min="30" max="30" width="12.5" customWidth="1"/>
  </cols>
  <sheetData>
    <row r="1" spans="1:30" ht="33">
      <c r="A1" s="550" t="s">
        <v>537</v>
      </c>
      <c r="B1" s="210"/>
      <c r="C1" s="547"/>
      <c r="G1" s="1"/>
      <c r="H1" s="1"/>
    </row>
    <row r="2" spans="1:30" ht="54" customHeight="1"/>
    <row r="4" spans="1:30" ht="12" thickBot="1"/>
    <row r="5" spans="1:30" ht="12" thickTop="1">
      <c r="B5" s="94"/>
      <c r="C5" s="713">
        <v>2014</v>
      </c>
      <c r="D5" s="556"/>
      <c r="E5" s="556"/>
      <c r="F5" s="556"/>
      <c r="G5" s="557"/>
      <c r="I5" s="94"/>
      <c r="J5" s="556">
        <v>2014</v>
      </c>
      <c r="K5" s="556"/>
      <c r="L5" s="556"/>
      <c r="M5" s="556"/>
      <c r="N5" s="557"/>
      <c r="P5" s="94"/>
      <c r="Q5" s="556">
        <v>2014</v>
      </c>
      <c r="R5" s="556"/>
      <c r="S5" s="556"/>
      <c r="T5" s="556"/>
      <c r="U5" s="556"/>
      <c r="V5" s="557"/>
      <c r="X5" s="94"/>
      <c r="Y5" s="556">
        <v>2014</v>
      </c>
      <c r="Z5" s="557"/>
      <c r="AB5" s="182"/>
      <c r="AC5" s="674">
        <v>2014</v>
      </c>
      <c r="AD5" s="183"/>
    </row>
    <row r="6" spans="1:30">
      <c r="B6" s="95"/>
      <c r="C6" s="32"/>
      <c r="D6" s="32"/>
      <c r="E6" s="32"/>
      <c r="F6" s="32"/>
      <c r="G6" s="560"/>
      <c r="I6" s="95"/>
      <c r="J6" s="32"/>
      <c r="K6" s="32"/>
      <c r="L6" s="32"/>
      <c r="M6" s="32"/>
      <c r="N6" s="560"/>
      <c r="P6" s="95"/>
      <c r="Q6" s="32"/>
      <c r="R6" s="32"/>
      <c r="S6" s="32"/>
      <c r="T6" s="32"/>
      <c r="U6" s="32"/>
      <c r="V6" s="560"/>
      <c r="X6" s="696" t="s">
        <v>1008</v>
      </c>
      <c r="Y6" s="32"/>
      <c r="Z6" s="560"/>
      <c r="AB6" s="700" t="s">
        <v>398</v>
      </c>
      <c r="AC6" s="32"/>
      <c r="AD6" s="184"/>
    </row>
    <row r="7" spans="1:30">
      <c r="B7" s="712" t="s">
        <v>1050</v>
      </c>
      <c r="C7" s="694" t="s">
        <v>1128</v>
      </c>
      <c r="D7" s="694" t="s">
        <v>1130</v>
      </c>
      <c r="E7" s="694" t="s">
        <v>1147</v>
      </c>
      <c r="F7" s="694" t="s">
        <v>194</v>
      </c>
      <c r="G7" s="560"/>
      <c r="I7" s="712" t="s">
        <v>399</v>
      </c>
      <c r="J7" s="694" t="s">
        <v>1128</v>
      </c>
      <c r="K7" s="694" t="s">
        <v>1130</v>
      </c>
      <c r="L7" s="694" t="s">
        <v>1147</v>
      </c>
      <c r="M7" s="694" t="s">
        <v>194</v>
      </c>
      <c r="N7" s="560"/>
      <c r="P7" s="712" t="s">
        <v>1048</v>
      </c>
      <c r="Q7" s="32" t="s">
        <v>1045</v>
      </c>
      <c r="R7" s="32" t="s">
        <v>1046</v>
      </c>
      <c r="S7" s="32" t="s">
        <v>1047</v>
      </c>
      <c r="T7" s="32" t="s">
        <v>650</v>
      </c>
      <c r="U7" s="694" t="s">
        <v>194</v>
      </c>
      <c r="V7" s="560"/>
      <c r="X7" s="95"/>
      <c r="Y7" s="32"/>
      <c r="Z7" s="560"/>
      <c r="AB7" s="31"/>
      <c r="AC7" s="32"/>
      <c r="AD7" s="184"/>
    </row>
    <row r="8" spans="1:30">
      <c r="B8" s="95"/>
      <c r="C8" s="32"/>
      <c r="D8" s="32"/>
      <c r="E8" s="32"/>
      <c r="F8" s="32"/>
      <c r="G8" s="560"/>
      <c r="I8" s="95"/>
      <c r="J8" s="32"/>
      <c r="K8" s="32"/>
      <c r="L8" s="32"/>
      <c r="M8" s="32"/>
      <c r="N8" s="560"/>
      <c r="P8" s="95"/>
      <c r="Q8" s="32"/>
      <c r="R8" s="32"/>
      <c r="S8" s="32"/>
      <c r="T8" s="32"/>
      <c r="U8" s="32"/>
      <c r="V8" s="560"/>
      <c r="X8" s="95"/>
      <c r="Y8" s="32"/>
      <c r="Z8" s="560"/>
      <c r="AB8" s="31"/>
      <c r="AC8" s="32"/>
      <c r="AD8" s="184"/>
    </row>
    <row r="9" spans="1:30">
      <c r="B9" s="95" t="s">
        <v>1049</v>
      </c>
      <c r="C9" s="559">
        <v>242597</v>
      </c>
      <c r="D9" s="559">
        <v>244122</v>
      </c>
      <c r="E9" s="559">
        <v>239619</v>
      </c>
      <c r="F9" s="701">
        <f>SUM(C9:E9)</f>
        <v>726338</v>
      </c>
      <c r="G9" s="560"/>
      <c r="I9" s="95" t="s">
        <v>1049</v>
      </c>
      <c r="J9" s="559">
        <v>199842</v>
      </c>
      <c r="K9" s="559">
        <v>187152</v>
      </c>
      <c r="L9" s="559">
        <v>208396</v>
      </c>
      <c r="M9" s="701">
        <f>SUM(J9:L9)</f>
        <v>595390</v>
      </c>
      <c r="N9" s="560"/>
      <c r="P9" s="95" t="s">
        <v>1049</v>
      </c>
      <c r="Q9" s="670">
        <f>1669512*0.0005</f>
        <v>834.75599999999997</v>
      </c>
      <c r="R9" s="670">
        <f>2271697*0.0005</f>
        <v>1135.8485000000001</v>
      </c>
      <c r="S9" s="670">
        <f>633393*0.0005</f>
        <v>316.69650000000001</v>
      </c>
      <c r="T9" s="670">
        <f>574154*0.0005</f>
        <v>287.077</v>
      </c>
      <c r="U9" s="690">
        <f>SUM(Q9:S9)</f>
        <v>2287.3009999999999</v>
      </c>
      <c r="V9" s="560"/>
      <c r="X9" s="95" t="s">
        <v>1049</v>
      </c>
      <c r="Y9" s="701">
        <v>119589</v>
      </c>
      <c r="Z9" s="560"/>
      <c r="AB9" s="31" t="s">
        <v>1049</v>
      </c>
      <c r="AC9" s="559">
        <f>F9+M9+U9+Y9</f>
        <v>1443604.301</v>
      </c>
      <c r="AD9" s="184"/>
    </row>
    <row r="10" spans="1:30">
      <c r="B10" s="95"/>
      <c r="C10" s="559"/>
      <c r="D10" s="559"/>
      <c r="E10" s="559"/>
      <c r="F10" s="559"/>
      <c r="G10" s="560"/>
      <c r="I10" s="95"/>
      <c r="J10" s="671"/>
      <c r="K10" s="671"/>
      <c r="L10" s="671"/>
      <c r="M10" s="671"/>
      <c r="N10" s="560"/>
      <c r="P10" s="95"/>
      <c r="Q10" s="32"/>
      <c r="R10" s="32"/>
      <c r="S10" s="32"/>
      <c r="T10" s="32"/>
      <c r="U10" s="32"/>
      <c r="V10" s="560"/>
      <c r="X10" s="95"/>
      <c r="Y10" s="32"/>
      <c r="Z10" s="560"/>
      <c r="AB10" s="31"/>
      <c r="AC10" s="32"/>
      <c r="AD10" s="184"/>
    </row>
    <row r="11" spans="1:30">
      <c r="B11" s="95" t="s">
        <v>400</v>
      </c>
      <c r="C11" s="670">
        <v>9.9499999999999993</v>
      </c>
      <c r="D11" s="670">
        <v>9.9499999999999993</v>
      </c>
      <c r="E11" s="670">
        <v>9.9499999999999993</v>
      </c>
      <c r="F11" s="670"/>
      <c r="G11" s="560"/>
      <c r="I11" s="95" t="s">
        <v>400</v>
      </c>
      <c r="J11" s="671">
        <v>9.9499999999999993</v>
      </c>
      <c r="K11" s="671">
        <v>9.9499999999999993</v>
      </c>
      <c r="L11" s="671">
        <v>9.9499999999999993</v>
      </c>
      <c r="M11" s="671"/>
      <c r="N11" s="560" t="s">
        <v>401</v>
      </c>
      <c r="P11" s="95" t="s">
        <v>400</v>
      </c>
      <c r="Q11" s="32">
        <v>9.9499999999999993</v>
      </c>
      <c r="R11" s="32">
        <v>9.9499999999999993</v>
      </c>
      <c r="S11" s="32">
        <v>9.9499999999999993</v>
      </c>
      <c r="T11" s="32">
        <v>9.9499999999999993</v>
      </c>
      <c r="U11" s="32"/>
      <c r="V11" s="560" t="s">
        <v>401</v>
      </c>
      <c r="X11" s="95" t="s">
        <v>400</v>
      </c>
      <c r="Y11" s="32">
        <v>9.9499999999999993</v>
      </c>
      <c r="Z11" s="560" t="s">
        <v>401</v>
      </c>
      <c r="AB11" s="31" t="s">
        <v>400</v>
      </c>
      <c r="AC11" s="32">
        <v>9.9499999999999993</v>
      </c>
      <c r="AD11" s="184" t="s">
        <v>401</v>
      </c>
    </row>
    <row r="12" spans="1:30">
      <c r="B12" s="95"/>
      <c r="C12" s="670"/>
      <c r="D12" s="670"/>
      <c r="E12" s="670"/>
      <c r="F12" s="670"/>
      <c r="G12" s="560"/>
      <c r="I12" s="95"/>
      <c r="J12" s="671"/>
      <c r="K12" s="671"/>
      <c r="L12" s="671"/>
      <c r="M12" s="671"/>
      <c r="N12" s="560"/>
      <c r="P12" s="95"/>
      <c r="Q12" s="32"/>
      <c r="R12" s="32"/>
      <c r="S12" s="32"/>
      <c r="T12" s="32"/>
      <c r="U12" s="32"/>
      <c r="V12" s="560"/>
      <c r="X12" s="95"/>
      <c r="Y12" s="32"/>
      <c r="Z12" s="560"/>
      <c r="AB12" s="31"/>
      <c r="AC12" s="32"/>
      <c r="AD12" s="184"/>
    </row>
    <row r="13" spans="1:30">
      <c r="B13" s="95" t="s">
        <v>402</v>
      </c>
      <c r="C13" s="670">
        <f>C9*C11</f>
        <v>2413840.15</v>
      </c>
      <c r="D13" s="670">
        <f>D9*D11</f>
        <v>2429013.9</v>
      </c>
      <c r="E13" s="670">
        <f>E9*E11</f>
        <v>2384209.0499999998</v>
      </c>
      <c r="F13" s="670"/>
      <c r="G13" s="560"/>
      <c r="I13" s="95" t="s">
        <v>402</v>
      </c>
      <c r="J13" s="670">
        <f>J9*J11</f>
        <v>1988427.9</v>
      </c>
      <c r="K13" s="670">
        <f>K9*K11</f>
        <v>1862162.4</v>
      </c>
      <c r="L13" s="670">
        <f>L9*L11</f>
        <v>2073540.2</v>
      </c>
      <c r="M13" s="671"/>
      <c r="N13" s="560"/>
      <c r="P13" s="95" t="s">
        <v>402</v>
      </c>
      <c r="Q13" s="670">
        <f>Q9*Q11</f>
        <v>8305.8221999999987</v>
      </c>
      <c r="R13" s="670">
        <f>R9*R11</f>
        <v>11301.692574999999</v>
      </c>
      <c r="S13" s="670">
        <f>S9*S11</f>
        <v>3151.1301749999998</v>
      </c>
      <c r="T13" s="670">
        <f>T9*T11</f>
        <v>2856.4161499999996</v>
      </c>
      <c r="U13" s="32"/>
      <c r="V13" s="560"/>
      <c r="X13" s="95" t="s">
        <v>402</v>
      </c>
      <c r="Y13" s="559">
        <f>Y9*Y11</f>
        <v>1189910.5499999998</v>
      </c>
      <c r="Z13" s="560"/>
      <c r="AB13" s="31" t="s">
        <v>402</v>
      </c>
      <c r="AC13" s="559">
        <f>AC9*AC11</f>
        <v>14363862.794949999</v>
      </c>
      <c r="AD13" s="184"/>
    </row>
    <row r="14" spans="1:30">
      <c r="B14" s="95"/>
      <c r="C14" s="670"/>
      <c r="D14" s="670"/>
      <c r="E14" s="670"/>
      <c r="F14" s="670"/>
      <c r="G14" s="560"/>
      <c r="I14" s="95"/>
      <c r="J14" s="671"/>
      <c r="K14" s="671"/>
      <c r="L14" s="671"/>
      <c r="M14" s="671"/>
      <c r="N14" s="560"/>
      <c r="P14" s="95"/>
      <c r="Q14" s="32"/>
      <c r="R14" s="32"/>
      <c r="S14" s="32"/>
      <c r="T14" s="32"/>
      <c r="U14" s="32"/>
      <c r="V14" s="560"/>
      <c r="X14" s="95"/>
      <c r="Y14" s="32"/>
      <c r="Z14" s="560"/>
      <c r="AB14" s="31"/>
      <c r="AC14" s="32"/>
      <c r="AD14" s="184"/>
    </row>
    <row r="15" spans="1:30">
      <c r="B15" s="95" t="s">
        <v>644</v>
      </c>
      <c r="C15" s="670">
        <v>90.7</v>
      </c>
      <c r="D15" s="670">
        <v>90.7</v>
      </c>
      <c r="E15" s="670">
        <v>90.7</v>
      </c>
      <c r="F15" s="670"/>
      <c r="G15" s="560"/>
      <c r="I15" s="95" t="s">
        <v>644</v>
      </c>
      <c r="J15" s="671">
        <v>90.7</v>
      </c>
      <c r="K15" s="671">
        <v>90.7</v>
      </c>
      <c r="L15" s="671">
        <v>90.7</v>
      </c>
      <c r="M15" s="671"/>
      <c r="N15" s="560" t="s">
        <v>401</v>
      </c>
      <c r="P15" s="95" t="s">
        <v>644</v>
      </c>
      <c r="Q15" s="32">
        <v>90.7</v>
      </c>
      <c r="R15" s="32">
        <v>90.7</v>
      </c>
      <c r="S15" s="32">
        <v>90.7</v>
      </c>
      <c r="T15" s="32">
        <v>90.7</v>
      </c>
      <c r="U15" s="32"/>
      <c r="V15" s="560"/>
      <c r="X15" s="95" t="s">
        <v>644</v>
      </c>
      <c r="Y15" s="32">
        <v>90.7</v>
      </c>
      <c r="Z15" s="560" t="s">
        <v>401</v>
      </c>
      <c r="AB15" s="31" t="s">
        <v>644</v>
      </c>
      <c r="AC15" s="32">
        <v>90.7</v>
      </c>
      <c r="AD15" s="184" t="s">
        <v>401</v>
      </c>
    </row>
    <row r="16" spans="1:30">
      <c r="B16" s="95"/>
      <c r="C16" s="670"/>
      <c r="D16" s="670"/>
      <c r="E16" s="670"/>
      <c r="F16" s="670"/>
      <c r="G16" s="560"/>
      <c r="I16" s="95"/>
      <c r="J16" s="671"/>
      <c r="K16" s="671"/>
      <c r="L16" s="671"/>
      <c r="M16" s="671"/>
      <c r="N16" s="560"/>
      <c r="P16" s="95"/>
      <c r="Q16" s="32"/>
      <c r="R16" s="32"/>
      <c r="S16" s="32"/>
      <c r="T16" s="32"/>
      <c r="U16" s="32"/>
      <c r="V16" s="560"/>
      <c r="X16" s="95"/>
      <c r="Y16" s="32"/>
      <c r="Z16" s="560"/>
      <c r="AB16" s="31"/>
      <c r="AC16" s="32"/>
      <c r="AD16" s="184"/>
    </row>
    <row r="17" spans="2:30">
      <c r="B17" s="95" t="s">
        <v>645</v>
      </c>
      <c r="C17" s="559">
        <f>C13*C15</f>
        <v>218935301.60499999</v>
      </c>
      <c r="D17" s="559">
        <f>D13*D15</f>
        <v>220311560.72999999</v>
      </c>
      <c r="E17" s="559">
        <f>E13*E15</f>
        <v>216247760.83499998</v>
      </c>
      <c r="F17" s="670"/>
      <c r="G17" s="560"/>
      <c r="I17" s="95" t="s">
        <v>645</v>
      </c>
      <c r="J17" s="670">
        <f>J13*J15</f>
        <v>180350410.53</v>
      </c>
      <c r="K17" s="670">
        <f>K13*K15</f>
        <v>168898129.68000001</v>
      </c>
      <c r="L17" s="670">
        <f>L13*L15</f>
        <v>188070096.14000002</v>
      </c>
      <c r="M17" s="671"/>
      <c r="N17" s="560"/>
      <c r="P17" s="95" t="s">
        <v>645</v>
      </c>
      <c r="Q17" s="670">
        <f>Q13*Q15</f>
        <v>753338.0735399999</v>
      </c>
      <c r="R17" s="670">
        <f>R13*R15</f>
        <v>1025063.5165525</v>
      </c>
      <c r="S17" s="670">
        <f>S13*S15</f>
        <v>285807.5068725</v>
      </c>
      <c r="T17" s="670">
        <f>T13*T15</f>
        <v>259076.94480499998</v>
      </c>
      <c r="U17" s="32"/>
      <c r="V17" s="560"/>
      <c r="X17" s="95" t="s">
        <v>645</v>
      </c>
      <c r="Y17" s="670">
        <f>Y13*Y15</f>
        <v>107924886.88499999</v>
      </c>
      <c r="Z17" s="560"/>
      <c r="AB17" s="31" t="s">
        <v>645</v>
      </c>
      <c r="AC17" s="559">
        <f>AC13*AC15</f>
        <v>1302802355.501965</v>
      </c>
      <c r="AD17" s="184"/>
    </row>
    <row r="18" spans="2:30">
      <c r="B18" s="95"/>
      <c r="C18" s="670"/>
      <c r="D18" s="670"/>
      <c r="E18" s="670"/>
      <c r="F18" s="670"/>
      <c r="G18" s="560"/>
      <c r="I18" s="95"/>
      <c r="J18" s="671"/>
      <c r="K18" s="671"/>
      <c r="L18" s="671"/>
      <c r="M18" s="671"/>
      <c r="N18" s="560"/>
      <c r="P18" s="95"/>
      <c r="Q18" s="32"/>
      <c r="R18" s="32"/>
      <c r="S18" s="32"/>
      <c r="T18" s="32"/>
      <c r="U18" s="32"/>
      <c r="V18" s="560"/>
      <c r="X18" s="95"/>
      <c r="Y18" s="32"/>
      <c r="Z18" s="560"/>
      <c r="AB18" s="31"/>
      <c r="AC18" s="32"/>
      <c r="AD18" s="184"/>
    </row>
    <row r="19" spans="2:30">
      <c r="B19" s="95" t="s">
        <v>647</v>
      </c>
      <c r="C19" s="559">
        <f>C17*0.0011023</f>
        <v>241332.38295919151</v>
      </c>
      <c r="D19" s="559">
        <f>D17*0.0011023</f>
        <v>242849.433392679</v>
      </c>
      <c r="E19" s="559">
        <f>E17*0.0011023</f>
        <v>238369.90676842048</v>
      </c>
      <c r="F19" s="690">
        <f>SUM(C19:E19)</f>
        <v>722551.72312029102</v>
      </c>
      <c r="G19" s="560" t="s">
        <v>401</v>
      </c>
      <c r="I19" s="95" t="s">
        <v>647</v>
      </c>
      <c r="J19" s="670">
        <f>J17*0.0011023</f>
        <v>198800.25752721902</v>
      </c>
      <c r="K19" s="670">
        <f>K17*0.0011023</f>
        <v>186176.40834626401</v>
      </c>
      <c r="L19" s="670">
        <f>L17*0.0011023</f>
        <v>207309.66697512203</v>
      </c>
      <c r="M19" s="671">
        <v>554009.90692775359</v>
      </c>
      <c r="N19" s="560" t="s">
        <v>401</v>
      </c>
      <c r="P19" s="95" t="s">
        <v>647</v>
      </c>
      <c r="Q19" s="559">
        <f>Q17*0.0011023</f>
        <v>830.40455846314194</v>
      </c>
      <c r="R19" s="559">
        <f>R17*0.0011023</f>
        <v>1129.9275142958209</v>
      </c>
      <c r="S19" s="559">
        <f>S17*0.0011023</f>
        <v>315.04561482555675</v>
      </c>
      <c r="T19" s="559">
        <f>T17*0.0011023</f>
        <v>285.58051625855148</v>
      </c>
      <c r="U19" s="48">
        <f>SUM(Q19:S19)</f>
        <v>2275.3776875845197</v>
      </c>
      <c r="V19" s="560" t="s">
        <v>401</v>
      </c>
      <c r="X19" s="95" t="s">
        <v>647</v>
      </c>
      <c r="Y19" s="559">
        <f>Y17*0.0011023</f>
        <v>118965.6028133355</v>
      </c>
      <c r="Z19" s="560" t="s">
        <v>401</v>
      </c>
      <c r="AB19" s="31" t="s">
        <v>648</v>
      </c>
      <c r="AC19" s="559">
        <f>AC17*0.0011023</f>
        <v>1436079.0364698162</v>
      </c>
      <c r="AD19" s="184" t="s">
        <v>401</v>
      </c>
    </row>
    <row r="20" spans="2:30">
      <c r="B20" s="95"/>
      <c r="C20" s="670"/>
      <c r="D20" s="670"/>
      <c r="E20" s="670"/>
      <c r="F20" s="670"/>
      <c r="G20" s="560"/>
      <c r="I20" s="95"/>
      <c r="J20" s="671"/>
      <c r="K20" s="671"/>
      <c r="L20" s="671"/>
      <c r="M20" s="671"/>
      <c r="N20" s="560"/>
      <c r="P20" s="95"/>
      <c r="Q20" s="32"/>
      <c r="R20" s="32"/>
      <c r="S20" s="32"/>
      <c r="T20" s="32"/>
      <c r="U20" s="32"/>
      <c r="V20" s="560"/>
      <c r="X20" s="95"/>
      <c r="Y20" s="731"/>
      <c r="Z20" s="560"/>
      <c r="AB20" s="31"/>
      <c r="AC20" s="32"/>
      <c r="AD20" s="184"/>
    </row>
    <row r="21" spans="2:30">
      <c r="B21" s="95" t="s">
        <v>646</v>
      </c>
      <c r="C21" s="559">
        <v>215257</v>
      </c>
      <c r="D21" s="559">
        <v>200828</v>
      </c>
      <c r="E21" s="559">
        <v>229653</v>
      </c>
      <c r="F21" s="670">
        <f>C21+D21+E21</f>
        <v>645738</v>
      </c>
      <c r="G21" s="560" t="s">
        <v>403</v>
      </c>
      <c r="I21" s="95" t="s">
        <v>646</v>
      </c>
      <c r="J21" s="671">
        <f>J23*0.907441</f>
        <v>181909.25262400002</v>
      </c>
      <c r="K21" s="671">
        <f>K23*0.907441</f>
        <v>172961.884364</v>
      </c>
      <c r="L21" s="671">
        <f>L23*0.907441</f>
        <v>193654.26148700001</v>
      </c>
      <c r="M21" s="671"/>
      <c r="N21" s="699" t="s">
        <v>404</v>
      </c>
      <c r="P21" s="95" t="s">
        <v>646</v>
      </c>
      <c r="Q21" s="667">
        <f>Q23*0.907441</f>
        <v>745.91650200000004</v>
      </c>
      <c r="R21" s="667">
        <f>R23*0.907441</f>
        <v>1016.33392</v>
      </c>
      <c r="S21" s="667">
        <f>S23*0.907441</f>
        <v>283.12159200000002</v>
      </c>
      <c r="T21" s="667">
        <f>T23*0.907441</f>
        <v>2304.9001400000002</v>
      </c>
      <c r="U21" s="32"/>
      <c r="V21" s="699" t="s">
        <v>404</v>
      </c>
      <c r="X21" s="95" t="s">
        <v>646</v>
      </c>
      <c r="Y21" s="731">
        <f>Y23*0.907441</f>
        <v>101447.366595</v>
      </c>
      <c r="Z21" s="699" t="s">
        <v>404</v>
      </c>
      <c r="AB21" s="31"/>
      <c r="AC21" s="32"/>
      <c r="AD21" s="184"/>
    </row>
    <row r="22" spans="2:30">
      <c r="B22" s="95"/>
      <c r="C22" s="670"/>
      <c r="D22" s="670"/>
      <c r="E22" s="670"/>
      <c r="F22" s="670"/>
      <c r="G22" s="560"/>
      <c r="I22" s="95"/>
      <c r="J22" s="671"/>
      <c r="K22" s="671"/>
      <c r="L22" s="671"/>
      <c r="M22" s="671"/>
      <c r="N22" s="560"/>
      <c r="P22" s="95"/>
      <c r="Q22" s="32"/>
      <c r="R22" s="32"/>
      <c r="S22" s="32"/>
      <c r="T22" s="32"/>
      <c r="U22" s="32"/>
      <c r="V22" s="560"/>
      <c r="X22" s="95"/>
      <c r="Y22" s="731"/>
      <c r="Z22" s="560"/>
      <c r="AB22" s="31"/>
      <c r="AC22" s="32"/>
      <c r="AD22" s="184"/>
    </row>
    <row r="23" spans="2:30">
      <c r="B23" s="696" t="s">
        <v>647</v>
      </c>
      <c r="C23" s="697">
        <f>C21*1.1023</f>
        <v>237277.7911</v>
      </c>
      <c r="D23" s="697">
        <f>D21*1.1023</f>
        <v>221372.70440000002</v>
      </c>
      <c r="E23" s="697">
        <f>E21*1.1023</f>
        <v>253146.5019</v>
      </c>
      <c r="F23" s="709">
        <f>SUM(C23:E23)</f>
        <v>711796.99739999999</v>
      </c>
      <c r="G23" s="699" t="s">
        <v>403</v>
      </c>
      <c r="I23" s="696" t="s">
        <v>647</v>
      </c>
      <c r="J23" s="697">
        <v>200464</v>
      </c>
      <c r="K23" s="697">
        <v>190604</v>
      </c>
      <c r="L23" s="697">
        <v>213407</v>
      </c>
      <c r="M23" s="714">
        <f>SUM(J23:L23)</f>
        <v>604475</v>
      </c>
      <c r="N23" s="699" t="s">
        <v>404</v>
      </c>
      <c r="P23" s="696" t="s">
        <v>647</v>
      </c>
      <c r="Q23" s="719">
        <v>822</v>
      </c>
      <c r="R23" s="719">
        <v>1120</v>
      </c>
      <c r="S23" s="719">
        <v>312</v>
      </c>
      <c r="T23" s="719">
        <v>2540</v>
      </c>
      <c r="U23" s="703">
        <f>SUM(Q23:S23)</f>
        <v>2254</v>
      </c>
      <c r="V23" s="699" t="s">
        <v>404</v>
      </c>
      <c r="X23" s="696" t="s">
        <v>647</v>
      </c>
      <c r="Y23" s="744">
        <v>111795</v>
      </c>
      <c r="Z23" s="699" t="s">
        <v>404</v>
      </c>
      <c r="AB23" s="702" t="s">
        <v>649</v>
      </c>
      <c r="AC23" s="703">
        <f>F23+M23+U23+Y23</f>
        <v>1430320.9974</v>
      </c>
      <c r="AD23" s="184"/>
    </row>
    <row r="24" spans="2:30">
      <c r="B24" s="95"/>
      <c r="C24" s="670"/>
      <c r="D24" s="670"/>
      <c r="E24" s="670"/>
      <c r="F24" s="670"/>
      <c r="G24" s="560"/>
      <c r="I24" s="95"/>
      <c r="J24" s="671"/>
      <c r="K24" s="671"/>
      <c r="L24" s="671"/>
      <c r="M24" s="671"/>
      <c r="N24" s="560"/>
      <c r="P24" s="95"/>
      <c r="Q24" s="32"/>
      <c r="R24" s="32"/>
      <c r="S24" s="32"/>
      <c r="T24" s="32"/>
      <c r="U24" s="32"/>
      <c r="V24" s="560"/>
      <c r="X24" s="95"/>
      <c r="Y24" s="731"/>
      <c r="Z24" s="560"/>
      <c r="AB24" s="31"/>
      <c r="AC24" s="32"/>
      <c r="AD24" s="184"/>
    </row>
    <row r="25" spans="2:30">
      <c r="B25" s="95" t="s">
        <v>405</v>
      </c>
      <c r="C25" s="670">
        <v>3.2000000000000001E-2</v>
      </c>
      <c r="D25" s="670">
        <v>3.2000000000000001E-2</v>
      </c>
      <c r="E25" s="670">
        <v>3.2000000000000001E-2</v>
      </c>
      <c r="F25" s="670"/>
      <c r="G25" s="560"/>
      <c r="I25" s="95" t="s">
        <v>405</v>
      </c>
      <c r="J25" s="671">
        <v>3.2000000000000001E-2</v>
      </c>
      <c r="K25" s="671">
        <v>3.2000000000000001E-2</v>
      </c>
      <c r="L25" s="671">
        <v>3.2000000000000001E-2</v>
      </c>
      <c r="M25" s="671"/>
      <c r="N25" s="560"/>
      <c r="P25" s="95" t="s">
        <v>405</v>
      </c>
      <c r="Q25" s="32">
        <v>3.2000000000000001E-2</v>
      </c>
      <c r="R25" s="32">
        <v>3.2000000000000001E-2</v>
      </c>
      <c r="S25" s="32">
        <v>3.2000000000000001E-2</v>
      </c>
      <c r="T25" s="32">
        <v>3.2000000000000001E-2</v>
      </c>
      <c r="U25" s="32"/>
      <c r="V25" s="560" t="s">
        <v>401</v>
      </c>
      <c r="X25" s="95" t="s">
        <v>405</v>
      </c>
      <c r="Y25" s="731">
        <v>3.2000000000000001E-2</v>
      </c>
      <c r="Z25" s="560"/>
      <c r="AB25" s="31" t="s">
        <v>405</v>
      </c>
      <c r="AC25" s="32">
        <v>3.2000000000000001E-2</v>
      </c>
      <c r="AD25" s="184"/>
    </row>
    <row r="26" spans="2:30">
      <c r="B26" s="95" t="s">
        <v>406</v>
      </c>
      <c r="C26" s="670">
        <f>C13*C25</f>
        <v>77242.8848</v>
      </c>
      <c r="D26" s="670">
        <f>D13*D25</f>
        <v>77728.444799999997</v>
      </c>
      <c r="E26" s="670">
        <f>E13*E25</f>
        <v>76294.689599999998</v>
      </c>
      <c r="F26" s="670"/>
      <c r="G26" s="560"/>
      <c r="I26" s="95" t="s">
        <v>406</v>
      </c>
      <c r="J26" s="670">
        <f>J13*J25</f>
        <v>63629.692799999997</v>
      </c>
      <c r="K26" s="670">
        <f>K13*K25</f>
        <v>59589.196799999998</v>
      </c>
      <c r="L26" s="670">
        <f>L13*L25</f>
        <v>66353.286399999997</v>
      </c>
      <c r="M26" s="671"/>
      <c r="N26" s="560"/>
      <c r="P26" s="95" t="s">
        <v>406</v>
      </c>
      <c r="Q26" s="670">
        <f>Q13*Q25</f>
        <v>265.78631039999999</v>
      </c>
      <c r="R26" s="670">
        <f>R13*R25</f>
        <v>361.65416239999996</v>
      </c>
      <c r="S26" s="670">
        <f>S13*S25</f>
        <v>100.8361656</v>
      </c>
      <c r="T26" s="670">
        <f>T13*T25</f>
        <v>91.405316799999994</v>
      </c>
      <c r="U26" s="32"/>
      <c r="V26" s="560"/>
      <c r="X26" s="95" t="s">
        <v>406</v>
      </c>
      <c r="Y26" s="698">
        <v>37630.422399999996</v>
      </c>
      <c r="Z26" s="560"/>
      <c r="AB26" s="31" t="s">
        <v>406</v>
      </c>
      <c r="AC26" s="667">
        <f>AC13*AC25</f>
        <v>459643.60943839996</v>
      </c>
      <c r="AD26" s="184"/>
    </row>
    <row r="27" spans="2:30">
      <c r="B27" s="715" t="s">
        <v>407</v>
      </c>
      <c r="C27" s="669">
        <f>C26*0.0011023</f>
        <v>85.144831915040001</v>
      </c>
      <c r="D27" s="669">
        <f>D26*0.0011023</f>
        <v>85.680064703040003</v>
      </c>
      <c r="E27" s="669">
        <f>E26*0.0011023</f>
        <v>84.099636346080004</v>
      </c>
      <c r="F27" s="737">
        <f>SUM(C27:E27)</f>
        <v>254.92453296415999</v>
      </c>
      <c r="G27" s="560" t="s">
        <v>401</v>
      </c>
      <c r="I27" s="715" t="s">
        <v>407</v>
      </c>
      <c r="J27" s="669">
        <v>83.394994316799981</v>
      </c>
      <c r="K27" s="669">
        <v>82.256329721440011</v>
      </c>
      <c r="L27" s="669">
        <v>81.416452959680001</v>
      </c>
      <c r="M27" s="716">
        <v>195.44356166143999</v>
      </c>
      <c r="N27" s="560" t="s">
        <v>401</v>
      </c>
      <c r="P27" s="715" t="s">
        <v>407</v>
      </c>
      <c r="Q27" s="669">
        <f>Q26*0.0011023</f>
        <v>0.29297624995392002</v>
      </c>
      <c r="R27" s="669">
        <f>R26*0.0011023</f>
        <v>0.39865138321352001</v>
      </c>
      <c r="S27" s="669">
        <f>S26*0.0011023</f>
        <v>0.11115170534088001</v>
      </c>
      <c r="T27" s="669">
        <f>T26*0.0011023</f>
        <v>0.10075608070864001</v>
      </c>
      <c r="U27" s="724">
        <f>SUM(Q27:S27)</f>
        <v>0.80277933850832006</v>
      </c>
      <c r="V27" s="560"/>
      <c r="X27" s="715" t="s">
        <v>407</v>
      </c>
      <c r="Y27" s="733">
        <v>41.46872548479999</v>
      </c>
      <c r="Z27" s="718" t="s">
        <v>401</v>
      </c>
      <c r="AB27" s="672" t="s">
        <v>407</v>
      </c>
      <c r="AC27" s="722">
        <f>AC26*0.0011023</f>
        <v>506.6651506839483</v>
      </c>
      <c r="AD27" s="184" t="s">
        <v>401</v>
      </c>
    </row>
    <row r="28" spans="2:30">
      <c r="B28" s="715"/>
      <c r="C28" s="669"/>
      <c r="D28" s="669"/>
      <c r="E28" s="669"/>
      <c r="F28" s="736"/>
      <c r="G28" s="560"/>
      <c r="I28" s="715"/>
      <c r="J28" s="669"/>
      <c r="K28" s="669"/>
      <c r="L28" s="669"/>
      <c r="M28" s="716"/>
      <c r="N28" s="560"/>
      <c r="P28" s="715"/>
      <c r="Q28" s="669"/>
      <c r="R28" s="669"/>
      <c r="S28" s="669"/>
      <c r="T28" s="669"/>
      <c r="U28" s="666"/>
      <c r="V28" s="560"/>
      <c r="X28" s="715"/>
      <c r="Y28" s="733"/>
      <c r="Z28" s="718"/>
      <c r="AB28" s="672"/>
      <c r="AC28" s="666"/>
      <c r="AD28" s="184"/>
    </row>
    <row r="29" spans="2:30">
      <c r="B29" s="704" t="s">
        <v>407</v>
      </c>
      <c r="C29" s="705">
        <v>1.44</v>
      </c>
      <c r="D29" s="705">
        <v>1.42</v>
      </c>
      <c r="E29" s="705">
        <v>1.4</v>
      </c>
      <c r="F29" s="710">
        <f>SUM(C29:E29)</f>
        <v>4.26</v>
      </c>
      <c r="G29" s="720" t="s">
        <v>403</v>
      </c>
      <c r="I29" s="704" t="s">
        <v>407</v>
      </c>
      <c r="J29" s="717">
        <v>1.29E-2</v>
      </c>
      <c r="K29" s="717">
        <v>9.5999999999999992E-3</v>
      </c>
      <c r="L29" s="717">
        <v>7.6E-3</v>
      </c>
      <c r="M29" s="717">
        <f>SUM(J29:L29)</f>
        <v>3.0099999999999998E-2</v>
      </c>
      <c r="N29" s="720" t="s">
        <v>404</v>
      </c>
      <c r="P29" s="704" t="s">
        <v>407</v>
      </c>
      <c r="Q29" s="730">
        <v>1.1900000000000001E-2</v>
      </c>
      <c r="R29" s="730">
        <v>9.41E-3</v>
      </c>
      <c r="S29" s="730">
        <v>5.79E-3</v>
      </c>
      <c r="T29" s="730">
        <v>6.1000000000000004E-3</v>
      </c>
      <c r="U29" s="723">
        <f>SUM(Q29:T29)</f>
        <v>3.32E-2</v>
      </c>
      <c r="V29" s="720" t="s">
        <v>404</v>
      </c>
      <c r="X29" s="704" t="s">
        <v>407</v>
      </c>
      <c r="Y29" s="732">
        <f>Y33</f>
        <v>5.5088812769129998</v>
      </c>
      <c r="Z29" s="720"/>
      <c r="AB29" s="706" t="s">
        <v>407</v>
      </c>
      <c r="AC29" s="745">
        <f>F29+M29+U29+Y29</f>
        <v>9.8321812769129995</v>
      </c>
      <c r="AD29" s="720" t="s">
        <v>404</v>
      </c>
    </row>
    <row r="30" spans="2:30">
      <c r="B30" s="95"/>
      <c r="C30" s="670"/>
      <c r="D30" s="670"/>
      <c r="E30" s="670"/>
      <c r="F30" s="670"/>
      <c r="G30" s="560"/>
      <c r="I30" s="95"/>
      <c r="J30" s="671"/>
      <c r="K30" s="671"/>
      <c r="L30" s="671"/>
      <c r="M30" s="671"/>
      <c r="N30" s="560"/>
      <c r="P30" s="95"/>
      <c r="Q30" s="32"/>
      <c r="R30" s="32"/>
      <c r="S30" s="32"/>
      <c r="T30" s="32"/>
      <c r="U30" s="32"/>
      <c r="V30" s="560"/>
      <c r="X30" s="95"/>
      <c r="Y30" s="731"/>
      <c r="Z30" s="560"/>
      <c r="AB30" s="31"/>
      <c r="AC30" s="32"/>
      <c r="AD30" s="184"/>
    </row>
    <row r="31" spans="2:30">
      <c r="B31" s="95" t="s">
        <v>408</v>
      </c>
      <c r="C31" s="711">
        <v>4.1999999999999997E-3</v>
      </c>
      <c r="D31" s="711">
        <v>4.1999999999999997E-3</v>
      </c>
      <c r="E31" s="711">
        <v>4.1999999999999997E-3</v>
      </c>
      <c r="F31" s="670"/>
      <c r="G31" s="560"/>
      <c r="I31" s="95" t="s">
        <v>408</v>
      </c>
      <c r="J31" s="711">
        <v>4.1999999999999997E-3</v>
      </c>
      <c r="K31" s="711">
        <v>4.1999999999999997E-3</v>
      </c>
      <c r="L31" s="711">
        <v>4.1999999999999997E-3</v>
      </c>
      <c r="M31" s="671"/>
      <c r="N31" s="560"/>
      <c r="P31" s="95" t="s">
        <v>408</v>
      </c>
      <c r="Q31" s="32">
        <v>4.1999999999999997E-3</v>
      </c>
      <c r="R31" s="32">
        <v>4.1999999999999997E-3</v>
      </c>
      <c r="S31" s="32">
        <v>4.1999999999999997E-3</v>
      </c>
      <c r="T31" s="32">
        <v>4.1999999999999997E-3</v>
      </c>
      <c r="U31" s="32"/>
      <c r="V31" s="560" t="s">
        <v>401</v>
      </c>
      <c r="X31" s="95" t="s">
        <v>408</v>
      </c>
      <c r="Y31" s="735">
        <v>4.1999999999999997E-3</v>
      </c>
      <c r="Z31" s="560"/>
      <c r="AB31" s="31" t="s">
        <v>408</v>
      </c>
      <c r="AC31" s="32">
        <v>4.1999999999999997E-3</v>
      </c>
      <c r="AD31" s="184"/>
    </row>
    <row r="32" spans="2:30">
      <c r="B32" s="95" t="s">
        <v>409</v>
      </c>
      <c r="C32" s="670">
        <f>C13*C31</f>
        <v>10138.128629999999</v>
      </c>
      <c r="D32" s="670">
        <f>D13*D31</f>
        <v>10201.85838</v>
      </c>
      <c r="E32" s="670">
        <f>E13*E31</f>
        <v>10013.678009999998</v>
      </c>
      <c r="F32" s="670"/>
      <c r="G32" s="560"/>
      <c r="I32" s="95" t="s">
        <v>409</v>
      </c>
      <c r="J32" s="670">
        <f>J13*J31</f>
        <v>8351.3971799999999</v>
      </c>
      <c r="K32" s="670">
        <f>K13*K31</f>
        <v>7821.0820799999992</v>
      </c>
      <c r="L32" s="670">
        <f>L13*L31</f>
        <v>8708.8688399999992</v>
      </c>
      <c r="M32" s="671"/>
      <c r="N32" s="560"/>
      <c r="P32" s="95" t="s">
        <v>409</v>
      </c>
      <c r="Q32" s="670">
        <f>Q13*Q31</f>
        <v>34.884453239999992</v>
      </c>
      <c r="R32" s="670">
        <f>R13*R31</f>
        <v>47.467108814999996</v>
      </c>
      <c r="S32" s="670">
        <f>S13*S31</f>
        <v>13.234746734999998</v>
      </c>
      <c r="T32" s="670">
        <f>T13*T31</f>
        <v>11.996947829999998</v>
      </c>
      <c r="U32" s="32"/>
      <c r="V32" s="560"/>
      <c r="X32" s="95" t="s">
        <v>409</v>
      </c>
      <c r="Y32" s="731">
        <f>Y13*Y31</f>
        <v>4997.6243099999992</v>
      </c>
      <c r="Z32" s="560"/>
      <c r="AB32" s="31" t="s">
        <v>409</v>
      </c>
      <c r="AC32" s="667">
        <f>AC13*AC31</f>
        <v>60328.223738789995</v>
      </c>
      <c r="AD32" s="184"/>
    </row>
    <row r="33" spans="2:30">
      <c r="B33" s="715" t="s">
        <v>410</v>
      </c>
      <c r="C33" s="669">
        <f>C32*0.0011023</f>
        <v>11.175259188848999</v>
      </c>
      <c r="D33" s="669">
        <f>D32*0.0011023</f>
        <v>11.245508492274</v>
      </c>
      <c r="E33" s="669">
        <f>E32*0.0011023</f>
        <v>11.038077270422999</v>
      </c>
      <c r="F33" s="736">
        <f>SUM(C33:E33)</f>
        <v>33.458844951545998</v>
      </c>
      <c r="G33" s="560" t="s">
        <v>401</v>
      </c>
      <c r="I33" s="715" t="s">
        <v>410</v>
      </c>
      <c r="J33" s="669">
        <f>J32*0.0011023</f>
        <v>9.2057451115140001</v>
      </c>
      <c r="K33" s="669">
        <f>K32*0.0011023</f>
        <v>8.6211787767839994</v>
      </c>
      <c r="L33" s="669">
        <f>L32*0.0011023</f>
        <v>9.5997861223320005</v>
      </c>
      <c r="M33" s="716">
        <f>SUM(J33:L33)</f>
        <v>27.426710010629996</v>
      </c>
      <c r="N33" s="718" t="s">
        <v>401</v>
      </c>
      <c r="P33" s="715" t="s">
        <v>410</v>
      </c>
      <c r="Q33" s="669">
        <f>Q32*0.0011023</f>
        <v>3.8453132806451996E-2</v>
      </c>
      <c r="R33" s="669">
        <f>R32*0.0011023</f>
        <v>5.2322994046774499E-2</v>
      </c>
      <c r="S33" s="669">
        <f>S32*0.0011023</f>
        <v>1.45886613259905E-2</v>
      </c>
      <c r="T33" s="669">
        <f>T32*0.0011023</f>
        <v>1.3224235593008999E-2</v>
      </c>
      <c r="U33" s="677">
        <v>9.8723234772949489E-2</v>
      </c>
      <c r="V33" s="560"/>
      <c r="X33" s="715" t="s">
        <v>410</v>
      </c>
      <c r="Y33" s="733">
        <f>Y32*0.0011023</f>
        <v>5.5088812769129998</v>
      </c>
      <c r="Z33" s="560" t="s">
        <v>401</v>
      </c>
      <c r="AB33" s="672" t="s">
        <v>410</v>
      </c>
      <c r="AC33" s="722">
        <f>AC32*0.0011023</f>
        <v>66.499801027268219</v>
      </c>
      <c r="AD33" s="184" t="s">
        <v>401</v>
      </c>
    </row>
    <row r="34" spans="2:30">
      <c r="B34" s="738"/>
      <c r="C34" s="739"/>
      <c r="D34" s="739"/>
      <c r="E34" s="739"/>
      <c r="F34" s="739"/>
      <c r="G34" s="665"/>
      <c r="I34" s="95"/>
      <c r="J34" s="32"/>
      <c r="K34" s="32"/>
      <c r="L34" s="32"/>
      <c r="M34" s="32"/>
      <c r="N34" s="560"/>
      <c r="P34" s="95"/>
      <c r="Q34" s="32"/>
      <c r="R34" s="32"/>
      <c r="S34" s="32"/>
      <c r="T34" s="32"/>
      <c r="U34" s="32"/>
      <c r="V34" s="560"/>
      <c r="X34" s="95"/>
      <c r="Y34" s="32"/>
      <c r="Z34" s="560"/>
      <c r="AB34" s="565"/>
      <c r="AC34" s="203"/>
      <c r="AD34" s="743"/>
    </row>
    <row r="35" spans="2:30">
      <c r="B35" s="740" t="s">
        <v>410</v>
      </c>
      <c r="C35" s="741">
        <v>12.01</v>
      </c>
      <c r="D35" s="741">
        <v>11.84</v>
      </c>
      <c r="E35" s="741">
        <v>11.72</v>
      </c>
      <c r="F35" s="748">
        <f>SUM(C35:E35)</f>
        <v>35.57</v>
      </c>
      <c r="G35" s="742" t="s">
        <v>403</v>
      </c>
      <c r="I35" s="707" t="s">
        <v>410</v>
      </c>
      <c r="J35" s="668">
        <v>1.24E-2</v>
      </c>
      <c r="K35" s="668">
        <v>9.1000000000000004E-3</v>
      </c>
      <c r="L35" s="668">
        <v>7.3000000000000001E-3</v>
      </c>
      <c r="M35" s="747">
        <f>SUM(J35:L35)</f>
        <v>2.8799999999999999E-2</v>
      </c>
      <c r="N35" s="721" t="s">
        <v>404</v>
      </c>
      <c r="P35" s="707" t="s">
        <v>410</v>
      </c>
      <c r="Q35" s="725">
        <v>1.14E-2</v>
      </c>
      <c r="R35" s="725">
        <v>8.9999999999999993E-3</v>
      </c>
      <c r="S35" s="725">
        <v>5.5399999999999998E-3</v>
      </c>
      <c r="T35" s="725">
        <v>5.8399999999999997E-3</v>
      </c>
      <c r="U35" s="726">
        <f>SUM(Q35:S35)</f>
        <v>2.5940000000000001E-2</v>
      </c>
      <c r="V35" s="721" t="s">
        <v>404</v>
      </c>
      <c r="X35" s="707" t="s">
        <v>410</v>
      </c>
      <c r="Y35" s="734">
        <v>0.5</v>
      </c>
      <c r="Z35" s="721" t="s">
        <v>404</v>
      </c>
      <c r="AB35" s="708" t="s">
        <v>410</v>
      </c>
      <c r="AC35" s="746">
        <f>F35+M35+U35+Y35</f>
        <v>36.124739999999996</v>
      </c>
      <c r="AD35" s="24"/>
    </row>
    <row r="36" spans="2:30" ht="12" thickBot="1">
      <c r="B36" s="7"/>
      <c r="C36" s="8"/>
      <c r="D36" s="8"/>
      <c r="E36" s="8"/>
      <c r="F36" s="8"/>
      <c r="G36" s="9"/>
      <c r="I36" s="8"/>
      <c r="J36" s="8"/>
      <c r="K36" s="8"/>
      <c r="L36" s="8"/>
      <c r="M36" s="8"/>
      <c r="N36" s="727"/>
      <c r="P36" s="728"/>
      <c r="Q36" s="729"/>
      <c r="R36" s="729"/>
      <c r="S36" s="729"/>
      <c r="T36" s="729"/>
      <c r="U36" s="729"/>
      <c r="V36" s="727"/>
      <c r="X36" s="7"/>
      <c r="Y36" s="8"/>
      <c r="Z36" s="9"/>
      <c r="AB36" s="25"/>
      <c r="AC36" s="26"/>
      <c r="AD36" s="27"/>
    </row>
    <row r="38" spans="2:30">
      <c r="C38" s="13"/>
    </row>
    <row r="43" spans="2:30">
      <c r="B43" s="32"/>
      <c r="C43" s="1730" t="s">
        <v>1213</v>
      </c>
      <c r="D43" s="32"/>
      <c r="E43" s="32"/>
    </row>
    <row r="44" spans="2:30">
      <c r="B44" s="1729" t="s">
        <v>1156</v>
      </c>
      <c r="C44" s="1729" t="s">
        <v>1214</v>
      </c>
      <c r="D44" s="1729" t="s">
        <v>412</v>
      </c>
      <c r="E44" s="32"/>
    </row>
    <row r="45" spans="2:30">
      <c r="B45" s="1729" t="s">
        <v>1215</v>
      </c>
      <c r="C45" s="32">
        <v>90.7</v>
      </c>
      <c r="D45" s="32">
        <v>53.06</v>
      </c>
      <c r="E45" s="1729" t="s">
        <v>1218</v>
      </c>
    </row>
    <row r="46" spans="2:30">
      <c r="B46" s="1729" t="s">
        <v>1216</v>
      </c>
      <c r="C46" s="32">
        <v>3.2000000000000001E-2</v>
      </c>
      <c r="D46" s="32">
        <v>1E-3</v>
      </c>
      <c r="E46" s="1729" t="s">
        <v>1219</v>
      </c>
    </row>
    <row r="47" spans="2:30">
      <c r="B47" s="1729" t="s">
        <v>1217</v>
      </c>
      <c r="C47" s="32">
        <v>4.1999999999999997E-3</v>
      </c>
      <c r="D47" s="32">
        <v>1E-4</v>
      </c>
      <c r="E47" s="1729" t="s">
        <v>1220</v>
      </c>
    </row>
    <row r="50" spans="2:5">
      <c r="B50" s="1729" t="s">
        <v>77</v>
      </c>
      <c r="C50" s="1730" t="s">
        <v>1221</v>
      </c>
      <c r="D50" s="554"/>
      <c r="E50" s="3"/>
    </row>
    <row r="51" spans="2:5">
      <c r="B51" s="1729" t="s">
        <v>1222</v>
      </c>
      <c r="C51" s="32">
        <v>1</v>
      </c>
      <c r="D51" s="554"/>
      <c r="E51" s="1731"/>
    </row>
    <row r="52" spans="2:5">
      <c r="B52" s="1729" t="s">
        <v>1223</v>
      </c>
      <c r="C52" s="32">
        <v>21</v>
      </c>
      <c r="D52" s="1732" t="s">
        <v>1225</v>
      </c>
      <c r="E52" s="1733"/>
    </row>
    <row r="53" spans="2:5">
      <c r="B53" s="1729" t="s">
        <v>1224</v>
      </c>
      <c r="C53" s="32">
        <v>310</v>
      </c>
      <c r="D53" s="554"/>
      <c r="E53" s="1731"/>
    </row>
  </sheetData>
  <sheetProtection password="CD58" sheet="1" objects="1" scenarios="1"/>
  <phoneticPr fontId="0" type="noConversion"/>
  <pageMargins left="0.75" right="0.75" top="1" bottom="1" header="0.5" footer="0.5"/>
  <pageSetup orientation="portrait" r:id="rId1"/>
  <headerFooter alignWithMargins="0"/>
  <drawing r:id="rId2"/>
  <legacyDrawing r:id="rId3"/>
  <picture r:id="rId4"/>
</worksheet>
</file>

<file path=xl/worksheets/sheet17.xml><?xml version="1.0" encoding="utf-8"?>
<worksheet xmlns="http://schemas.openxmlformats.org/spreadsheetml/2006/main" xmlns:r="http://schemas.openxmlformats.org/officeDocument/2006/relationships">
  <sheetPr codeName="Sheet22"/>
  <dimension ref="A1:S9"/>
  <sheetViews>
    <sheetView workbookViewId="0">
      <selection activeCell="I39" sqref="I39"/>
    </sheetView>
  </sheetViews>
  <sheetFormatPr defaultRowHeight="11.25"/>
  <cols>
    <col min="3" max="3" width="20.83203125" bestFit="1" customWidth="1"/>
    <col min="4" max="4" width="15.5" customWidth="1"/>
    <col min="5" max="5" width="12.6640625" bestFit="1" customWidth="1"/>
    <col min="7" max="7" width="18.33203125" bestFit="1" customWidth="1"/>
    <col min="9" max="9" width="11" bestFit="1" customWidth="1"/>
    <col min="10" max="10" width="12.6640625" bestFit="1" customWidth="1"/>
  </cols>
  <sheetData>
    <row r="1" spans="1:19" ht="33">
      <c r="A1" s="550" t="s">
        <v>540</v>
      </c>
      <c r="B1" s="210"/>
      <c r="G1" s="547"/>
      <c r="H1" s="1"/>
    </row>
    <row r="2" spans="1:19" s="444" customFormat="1" ht="93.75" customHeight="1" thickBot="1">
      <c r="B2" s="526"/>
      <c r="C2" s="526"/>
      <c r="D2" s="527"/>
      <c r="E2" s="527"/>
      <c r="F2" s="527"/>
      <c r="G2" s="527"/>
      <c r="H2" s="528"/>
      <c r="I2" s="529"/>
      <c r="J2" s="528"/>
      <c r="K2" s="528"/>
      <c r="L2" s="528"/>
      <c r="M2" s="529"/>
      <c r="N2" s="529"/>
      <c r="O2" s="529"/>
      <c r="P2" s="529"/>
      <c r="Q2" s="529"/>
      <c r="R2" s="529"/>
      <c r="S2" s="529"/>
    </row>
    <row r="3" spans="1:19" s="444" customFormat="1" ht="15.75" thickTop="1">
      <c r="B3" s="530"/>
      <c r="C3" s="531"/>
      <c r="D3" s="532" t="s">
        <v>106</v>
      </c>
      <c r="E3" s="529"/>
      <c r="F3" s="529"/>
      <c r="G3" s="529"/>
      <c r="H3" s="529"/>
      <c r="I3" s="529"/>
      <c r="J3" s="529"/>
      <c r="K3" s="529"/>
      <c r="L3" s="529"/>
      <c r="M3" s="529"/>
    </row>
    <row r="4" spans="1:19" s="444" customFormat="1" ht="18">
      <c r="B4" s="533"/>
      <c r="C4" s="534"/>
      <c r="D4" s="535" t="s">
        <v>473</v>
      </c>
      <c r="E4" s="529"/>
      <c r="F4" s="529"/>
      <c r="G4" s="529"/>
      <c r="H4" s="529"/>
      <c r="I4" s="529"/>
      <c r="J4" s="529"/>
      <c r="K4" s="529"/>
      <c r="L4" s="529"/>
      <c r="M4" s="529"/>
    </row>
    <row r="5" spans="1:19" s="444" customFormat="1" ht="15">
      <c r="B5" s="533"/>
      <c r="C5" s="536"/>
      <c r="D5" s="537"/>
      <c r="E5" s="529"/>
      <c r="F5" s="529"/>
      <c r="G5" s="529"/>
      <c r="H5" s="529"/>
      <c r="I5" s="529"/>
      <c r="J5" s="529"/>
      <c r="K5" s="529"/>
      <c r="L5" s="529"/>
      <c r="M5" s="529"/>
    </row>
    <row r="6" spans="1:19" s="444" customFormat="1" ht="15">
      <c r="B6" s="538"/>
      <c r="C6" s="539"/>
      <c r="D6" s="537"/>
      <c r="E6" s="529"/>
      <c r="F6" s="529"/>
      <c r="G6" s="529"/>
      <c r="H6" s="529"/>
      <c r="I6" s="529"/>
      <c r="J6" s="529"/>
      <c r="K6" s="529"/>
      <c r="L6" s="529"/>
      <c r="M6" s="529"/>
    </row>
    <row r="7" spans="1:19" s="444" customFormat="1" ht="15">
      <c r="B7" s="540">
        <v>2014</v>
      </c>
      <c r="C7" s="541" t="s">
        <v>541</v>
      </c>
      <c r="D7" s="537">
        <v>3.3000000000000002E-2</v>
      </c>
      <c r="E7" s="542"/>
      <c r="F7" s="529"/>
      <c r="G7" s="529"/>
      <c r="H7" s="529"/>
      <c r="I7" s="529"/>
      <c r="J7" s="529"/>
      <c r="K7" s="529"/>
      <c r="L7" s="529"/>
      <c r="M7" s="529"/>
    </row>
    <row r="8" spans="1:19" s="444" customFormat="1" ht="15.75" thickBot="1">
      <c r="B8" s="543"/>
      <c r="C8" s="544"/>
      <c r="D8" s="545"/>
      <c r="E8" s="529"/>
      <c r="F8" s="529"/>
      <c r="G8" s="529"/>
      <c r="H8" s="529"/>
      <c r="I8" s="529"/>
      <c r="J8" s="529"/>
      <c r="K8" s="529"/>
      <c r="L8" s="529"/>
      <c r="M8" s="529"/>
    </row>
    <row r="9" spans="1:19" s="444" customFormat="1" ht="15.75" thickTop="1"/>
  </sheetData>
  <sheetProtection password="CD58" sheet="1" objects="1" scenarios="1"/>
  <phoneticPr fontId="0" type="noConversion"/>
  <pageMargins left="0.75" right="0.75" top="1" bottom="1" header="0.5" footer="0.5"/>
  <pageSetup orientation="portrait" r:id="rId1"/>
  <headerFooter alignWithMargins="0"/>
  <drawing r:id="rId2"/>
  <picture r:id="rId3"/>
</worksheet>
</file>

<file path=xl/worksheets/sheet18.xml><?xml version="1.0" encoding="utf-8"?>
<worksheet xmlns="http://schemas.openxmlformats.org/spreadsheetml/2006/main" xmlns:r="http://schemas.openxmlformats.org/officeDocument/2006/relationships">
  <sheetPr codeName="Sheet16"/>
  <dimension ref="A1:L89"/>
  <sheetViews>
    <sheetView zoomScaleNormal="100" workbookViewId="0">
      <selection activeCell="G10" sqref="G10"/>
    </sheetView>
  </sheetViews>
  <sheetFormatPr defaultRowHeight="11.25"/>
  <cols>
    <col min="1" max="1" width="3.6640625" customWidth="1"/>
    <col min="2" max="2" width="30.33203125" customWidth="1"/>
    <col min="3" max="3" width="17.1640625" customWidth="1"/>
    <col min="4" max="4" width="21.6640625" customWidth="1"/>
    <col min="5" max="5" width="18.1640625" customWidth="1"/>
    <col min="6" max="6" width="17.83203125" customWidth="1"/>
    <col min="7" max="7" width="18.83203125" customWidth="1"/>
    <col min="8" max="9" width="18" customWidth="1"/>
    <col min="10" max="10" width="16.83203125" customWidth="1"/>
    <col min="11" max="11" width="20.1640625" customWidth="1"/>
  </cols>
  <sheetData>
    <row r="1" spans="1:12" ht="33">
      <c r="A1" s="550" t="s">
        <v>428</v>
      </c>
      <c r="B1" s="210"/>
      <c r="E1" s="547"/>
      <c r="G1" s="1"/>
      <c r="H1" s="1"/>
    </row>
    <row r="2" spans="1:12" ht="171.75" customHeight="1">
      <c r="A2" s="211"/>
    </row>
    <row r="3" spans="1:12" ht="14.25">
      <c r="B3" s="107"/>
      <c r="C3" s="101"/>
      <c r="D3" s="102"/>
      <c r="E3" s="108"/>
      <c r="F3" s="101"/>
      <c r="G3" s="108"/>
      <c r="H3" s="109"/>
      <c r="I3" s="110"/>
      <c r="J3" s="111"/>
      <c r="K3" s="101"/>
    </row>
    <row r="4" spans="1:12" ht="21">
      <c r="B4" s="120" t="s">
        <v>1061</v>
      </c>
      <c r="C4" s="99"/>
      <c r="D4" s="120">
        <v>2014</v>
      </c>
      <c r="E4" s="100"/>
      <c r="F4" s="99"/>
      <c r="G4" s="121"/>
      <c r="H4" s="40"/>
      <c r="I4" s="40"/>
      <c r="J4" s="40"/>
      <c r="K4" s="40"/>
      <c r="L4" s="15"/>
    </row>
    <row r="5" spans="1:12" ht="13.5" thickBot="1">
      <c r="B5" s="101"/>
      <c r="C5" s="101"/>
      <c r="D5" s="101"/>
      <c r="E5" s="103"/>
      <c r="F5" s="101"/>
      <c r="G5" s="108"/>
      <c r="H5" s="101"/>
      <c r="I5" s="101"/>
      <c r="J5" s="101"/>
      <c r="K5" s="101"/>
    </row>
    <row r="6" spans="1:12" ht="15" thickTop="1">
      <c r="B6" s="122"/>
      <c r="C6" s="123" t="s">
        <v>1062</v>
      </c>
      <c r="D6" s="123" t="s">
        <v>105</v>
      </c>
      <c r="E6" s="123" t="s">
        <v>1063</v>
      </c>
      <c r="F6" s="124" t="s">
        <v>1064</v>
      </c>
      <c r="G6" s="108"/>
      <c r="I6" s="108"/>
      <c r="K6" s="101"/>
    </row>
    <row r="7" spans="1:12" ht="25.5">
      <c r="B7" s="125"/>
      <c r="C7" s="102"/>
      <c r="D7" s="104" t="s">
        <v>1065</v>
      </c>
      <c r="E7" s="102"/>
      <c r="F7" s="126"/>
      <c r="G7" s="108"/>
      <c r="I7" s="108"/>
      <c r="K7" s="101"/>
    </row>
    <row r="8" spans="1:12" ht="12.75">
      <c r="B8" s="127" t="s">
        <v>1066</v>
      </c>
      <c r="C8" s="128">
        <v>7</v>
      </c>
      <c r="D8" s="105">
        <v>4.1021717966689701</v>
      </c>
      <c r="E8" s="106">
        <f>C8*D8</f>
        <v>28.715202576682792</v>
      </c>
      <c r="F8" s="129">
        <f>E8*21/1000000</f>
        <v>6.0301925411033856E-4</v>
      </c>
      <c r="G8" s="108"/>
      <c r="I8" s="110"/>
      <c r="K8" s="101"/>
    </row>
    <row r="9" spans="1:12" ht="25.5">
      <c r="B9" s="127" t="s">
        <v>1067</v>
      </c>
      <c r="C9" s="128">
        <v>0</v>
      </c>
      <c r="D9" s="105">
        <v>13.055796863999998</v>
      </c>
      <c r="E9" s="106">
        <v>0</v>
      </c>
      <c r="F9" s="129">
        <f>E9*21/1000000</f>
        <v>0</v>
      </c>
      <c r="G9" s="108"/>
      <c r="I9" s="110"/>
      <c r="K9" s="101"/>
    </row>
    <row r="10" spans="1:12" ht="14.25">
      <c r="B10" s="130" t="s">
        <v>1068</v>
      </c>
      <c r="C10" s="131"/>
      <c r="D10" s="132"/>
      <c r="E10" s="133">
        <v>21.095017507998922</v>
      </c>
      <c r="F10" s="134">
        <f>F8+F9</f>
        <v>6.0301925411033856E-4</v>
      </c>
      <c r="G10" s="108"/>
      <c r="I10" s="110"/>
      <c r="K10" s="101"/>
    </row>
    <row r="11" spans="1:12" ht="12" thickBot="1">
      <c r="B11" s="25"/>
      <c r="C11" s="26"/>
      <c r="D11" s="26"/>
      <c r="E11" s="26"/>
      <c r="F11" s="27"/>
    </row>
    <row r="12" spans="1:12" ht="12" thickTop="1">
      <c r="B12" s="3"/>
      <c r="C12" s="3"/>
      <c r="D12" s="3"/>
      <c r="E12" s="3"/>
      <c r="F12" s="3"/>
    </row>
    <row r="13" spans="1:12">
      <c r="B13" s="3" t="s">
        <v>238</v>
      </c>
      <c r="C13" s="3"/>
      <c r="D13" s="3"/>
      <c r="E13" s="3"/>
      <c r="F13" s="3"/>
    </row>
    <row r="14" spans="1:12">
      <c r="B14" s="3"/>
      <c r="C14" s="2749" t="s">
        <v>1376</v>
      </c>
      <c r="D14" s="3"/>
      <c r="E14" s="3"/>
      <c r="F14" s="3"/>
    </row>
    <row r="15" spans="1:12">
      <c r="B15" s="3102" t="s">
        <v>241</v>
      </c>
      <c r="C15" s="3102"/>
      <c r="D15" s="3102"/>
      <c r="E15" s="3102"/>
      <c r="F15" s="3102"/>
      <c r="G15" s="3102"/>
      <c r="H15" s="3102"/>
      <c r="I15" s="3102"/>
    </row>
    <row r="16" spans="1:12">
      <c r="B16" s="3"/>
      <c r="C16" s="3"/>
      <c r="D16" s="3"/>
      <c r="E16" s="3"/>
      <c r="F16" s="3"/>
    </row>
    <row r="17" spans="2:7">
      <c r="B17" s="3"/>
      <c r="C17" s="3"/>
      <c r="D17" s="3"/>
      <c r="E17" s="3"/>
      <c r="F17" s="3"/>
    </row>
    <row r="20" spans="2:7" ht="21">
      <c r="B20" s="136" t="s">
        <v>1077</v>
      </c>
      <c r="C20" s="136"/>
      <c r="D20" s="114"/>
      <c r="E20" s="114"/>
      <c r="F20" s="114"/>
    </row>
    <row r="21" spans="2:7" ht="12" thickBot="1">
      <c r="C21" s="3102"/>
      <c r="D21" s="3102"/>
      <c r="E21" s="3102"/>
      <c r="F21" s="3102"/>
    </row>
    <row r="22" spans="2:7" ht="12" thickTop="1">
      <c r="B22" s="137"/>
      <c r="C22" s="2714" t="s">
        <v>1062</v>
      </c>
      <c r="D22" s="2714" t="s">
        <v>105</v>
      </c>
      <c r="E22" s="2714" t="s">
        <v>242</v>
      </c>
      <c r="F22" s="2715" t="s">
        <v>243</v>
      </c>
      <c r="G22" s="138"/>
    </row>
    <row r="23" spans="2:7" ht="19.5" thickBot="1">
      <c r="B23" s="2701" t="s">
        <v>1078</v>
      </c>
      <c r="C23" s="2716"/>
      <c r="D23" s="2717" t="s">
        <v>244</v>
      </c>
      <c r="E23" s="2718"/>
      <c r="F23" s="2719"/>
      <c r="G23" s="139"/>
    </row>
    <row r="24" spans="2:7">
      <c r="B24" s="140"/>
      <c r="C24" s="2720"/>
      <c r="D24" s="2720"/>
      <c r="E24" s="2721"/>
      <c r="F24" s="2722"/>
      <c r="G24" s="141"/>
    </row>
    <row r="25" spans="2:7">
      <c r="B25" s="2711" t="s">
        <v>1079</v>
      </c>
      <c r="C25" s="142">
        <v>1278</v>
      </c>
      <c r="D25" s="143">
        <v>5.8037235656204409</v>
      </c>
      <c r="E25" s="144">
        <f>C25*D25</f>
        <v>7417.158716862923</v>
      </c>
      <c r="F25" s="145">
        <f>E25*21/1000000</f>
        <v>0.15576033305412137</v>
      </c>
      <c r="G25" s="146"/>
    </row>
    <row r="26" spans="2:7" ht="18">
      <c r="B26" s="2711" t="s">
        <v>1080</v>
      </c>
      <c r="C26" s="142">
        <v>35</v>
      </c>
      <c r="D26" s="143">
        <v>2.1221753994811778</v>
      </c>
      <c r="E26" s="147">
        <f>C26*D26</f>
        <v>74.276138981841228</v>
      </c>
      <c r="F26" s="145">
        <f>E26*21/1000000</f>
        <v>1.5597989186186658E-3</v>
      </c>
      <c r="G26" s="146"/>
    </row>
    <row r="27" spans="2:7" ht="18">
      <c r="B27" s="2711" t="s">
        <v>1081</v>
      </c>
      <c r="C27" s="142">
        <v>2817</v>
      </c>
      <c r="D27" s="143">
        <v>6.0046884276387047E-2</v>
      </c>
      <c r="E27" s="147">
        <f>C27*D27</f>
        <v>169.1520730065823</v>
      </c>
      <c r="F27" s="145">
        <f>E27*21/1000000</f>
        <v>3.5521935331382284E-3</v>
      </c>
      <c r="G27" s="146"/>
    </row>
    <row r="28" spans="2:7">
      <c r="B28" s="2711" t="s">
        <v>1082</v>
      </c>
      <c r="C28" s="142">
        <v>3292</v>
      </c>
      <c r="D28" s="143">
        <v>0.37164760100393374</v>
      </c>
      <c r="E28" s="147">
        <f>C28*D28</f>
        <v>1223.4639025049498</v>
      </c>
      <c r="F28" s="145">
        <f>E28*21/1000000</f>
        <v>2.5692741952603945E-2</v>
      </c>
      <c r="G28" s="146"/>
    </row>
    <row r="29" spans="2:7" ht="12" thickBot="1">
      <c r="B29" s="148"/>
      <c r="C29" s="2723"/>
      <c r="D29" s="2724"/>
      <c r="E29" s="2725"/>
      <c r="F29" s="2726"/>
      <c r="G29" s="146"/>
    </row>
    <row r="30" spans="2:7" ht="12" thickBot="1">
      <c r="B30" s="2706" t="s">
        <v>1083</v>
      </c>
      <c r="C30" s="2727"/>
      <c r="D30" s="2728"/>
      <c r="E30" s="2729"/>
      <c r="F30" s="2730"/>
      <c r="G30" s="146"/>
    </row>
    <row r="31" spans="2:7">
      <c r="B31" s="2712" t="s">
        <v>1084</v>
      </c>
      <c r="C31" s="2702">
        <v>544843</v>
      </c>
      <c r="D31" s="2703">
        <v>1.5267140136098032E-2</v>
      </c>
      <c r="E31" s="2704">
        <f>C31*D31</f>
        <v>8318.1944331720606</v>
      </c>
      <c r="F31" s="2705">
        <f>E31*21/1000000</f>
        <v>0.17468208309661326</v>
      </c>
      <c r="G31" s="146"/>
    </row>
    <row r="32" spans="2:7">
      <c r="B32" s="2713" t="s">
        <v>1085</v>
      </c>
      <c r="C32" s="142">
        <v>77194</v>
      </c>
      <c r="D32" s="143">
        <v>3.2750300015441415E-2</v>
      </c>
      <c r="E32" s="147">
        <f>C32*D32</f>
        <v>2528.1266593919845</v>
      </c>
      <c r="F32" s="145">
        <f>E32*21/1000000</f>
        <v>5.3090659847231679E-2</v>
      </c>
      <c r="G32" s="146"/>
    </row>
    <row r="33" spans="2:10">
      <c r="B33" s="2713" t="s">
        <v>1086</v>
      </c>
      <c r="C33" s="142">
        <v>78296</v>
      </c>
      <c r="D33" s="143">
        <v>3.4007868318860182E-3</v>
      </c>
      <c r="E33" s="147">
        <f>C33*D33</f>
        <v>266.26800578934768</v>
      </c>
      <c r="F33" s="145">
        <f>E33*21/1000000</f>
        <v>5.5916281215763006E-3</v>
      </c>
      <c r="G33" s="146"/>
    </row>
    <row r="34" spans="2:10" ht="12" thickBot="1">
      <c r="B34" s="149" t="s">
        <v>1068</v>
      </c>
      <c r="C34" s="2731"/>
      <c r="D34" s="2731"/>
      <c r="E34" s="150">
        <f>SUM(E25:E33)</f>
        <v>19996.63992970969</v>
      </c>
      <c r="F34" s="151">
        <f>SUM(F25:F33)</f>
        <v>0.41992943852390346</v>
      </c>
      <c r="G34" s="152"/>
    </row>
    <row r="35" spans="2:10" ht="12" thickTop="1"/>
    <row r="36" spans="2:10">
      <c r="B36" s="3102" t="s">
        <v>1087</v>
      </c>
      <c r="C36" s="3102"/>
      <c r="D36" s="3102"/>
      <c r="E36" s="3102"/>
      <c r="F36" s="3102"/>
      <c r="G36" s="3102"/>
      <c r="H36" s="3102"/>
      <c r="I36" s="3102"/>
    </row>
    <row r="37" spans="2:10">
      <c r="B37" s="135"/>
      <c r="C37" s="135"/>
      <c r="D37" s="135"/>
      <c r="E37" s="135"/>
      <c r="F37" s="135"/>
      <c r="G37" s="135"/>
      <c r="H37" s="135"/>
      <c r="I37" s="135"/>
    </row>
    <row r="38" spans="2:10">
      <c r="B38" s="3102" t="s">
        <v>245</v>
      </c>
      <c r="C38" s="3102"/>
      <c r="D38" s="3102"/>
      <c r="E38" s="3102"/>
      <c r="F38" s="3102"/>
      <c r="G38" s="3102"/>
      <c r="H38" s="3102"/>
      <c r="I38" s="3102"/>
    </row>
    <row r="43" spans="2:10" ht="21">
      <c r="B43" s="153" t="s">
        <v>1069</v>
      </c>
      <c r="C43" s="153"/>
      <c r="D43" s="153"/>
      <c r="E43" s="112"/>
      <c r="F43" s="113"/>
      <c r="G43" s="121"/>
      <c r="H43" s="40"/>
      <c r="I43" s="40"/>
      <c r="J43" s="40"/>
    </row>
    <row r="44" spans="2:10" ht="13.5" thickBot="1">
      <c r="B44" s="101"/>
      <c r="C44" s="101"/>
      <c r="D44" s="101"/>
      <c r="E44" s="103"/>
      <c r="F44" s="101"/>
      <c r="G44" s="108"/>
      <c r="H44" s="101"/>
      <c r="I44" s="101"/>
      <c r="J44" s="101"/>
    </row>
    <row r="45" spans="2:10" ht="15" thickTop="1">
      <c r="B45" s="122"/>
      <c r="C45" s="2734" t="s">
        <v>1062</v>
      </c>
      <c r="D45" s="2734" t="s">
        <v>105</v>
      </c>
      <c r="E45" s="2734" t="s">
        <v>1063</v>
      </c>
      <c r="F45" s="2735" t="s">
        <v>1064</v>
      </c>
      <c r="G45" s="108"/>
      <c r="I45" s="108"/>
    </row>
    <row r="46" spans="2:10" ht="12.75">
      <c r="B46" s="125"/>
      <c r="C46" s="2736"/>
      <c r="D46" s="3105" t="s">
        <v>1065</v>
      </c>
      <c r="E46" s="2736"/>
      <c r="F46" s="2737"/>
      <c r="G46" s="108"/>
      <c r="I46" s="108"/>
    </row>
    <row r="47" spans="2:10" ht="13.5" thickBot="1">
      <c r="B47" s="2710"/>
      <c r="C47" s="2738"/>
      <c r="D47" s="3106"/>
      <c r="E47" s="2739"/>
      <c r="F47" s="2740"/>
      <c r="G47" s="108"/>
      <c r="I47" s="154"/>
    </row>
    <row r="48" spans="2:10" ht="12.75">
      <c r="B48" s="2732" t="s">
        <v>1070</v>
      </c>
      <c r="C48" s="2707">
        <v>978.173</v>
      </c>
      <c r="D48" s="155">
        <v>0.61847932799999994</v>
      </c>
      <c r="E48" s="2708">
        <f>C48*D48</f>
        <v>604.97977970774389</v>
      </c>
      <c r="F48" s="2709">
        <f>E48*21/1000000</f>
        <v>1.2704575373862621E-2</v>
      </c>
      <c r="G48" s="108"/>
      <c r="I48" s="154"/>
    </row>
    <row r="49" spans="2:9" ht="25.5">
      <c r="B49" s="2733" t="s">
        <v>1071</v>
      </c>
      <c r="C49" s="128">
        <f>C48*0.006</f>
        <v>5.8690379999999998</v>
      </c>
      <c r="D49" s="156">
        <v>983.65967615375553</v>
      </c>
      <c r="E49" s="106">
        <f>C49*D49</f>
        <v>5773.1360184140849</v>
      </c>
      <c r="F49" s="129">
        <f>E49*21/1000000</f>
        <v>0.12123585638669579</v>
      </c>
      <c r="G49" s="108"/>
      <c r="I49" s="154"/>
    </row>
    <row r="50" spans="2:9" ht="25.5">
      <c r="B50" s="2733" t="s">
        <v>1072</v>
      </c>
      <c r="C50" s="128">
        <f>C48*0.0015</f>
        <v>1.4672594999999999</v>
      </c>
      <c r="D50" s="156">
        <v>964.14925058889139</v>
      </c>
      <c r="E50" s="106">
        <f>C50*D50</f>
        <v>1414.6571473444315</v>
      </c>
      <c r="F50" s="129">
        <f>E50*21/1000000</f>
        <v>2.9707800094233062E-2</v>
      </c>
      <c r="G50" s="108"/>
      <c r="I50" s="154"/>
    </row>
    <row r="51" spans="2:9" ht="14.25">
      <c r="B51" s="130" t="s">
        <v>1068</v>
      </c>
      <c r="C51" s="2743"/>
      <c r="D51" s="2743"/>
      <c r="E51" s="133">
        <f>SUM(E47:E50)</f>
        <v>7792.7729454662604</v>
      </c>
      <c r="F51" s="134">
        <f>SUM(F48:F50)</f>
        <v>0.16364823185479149</v>
      </c>
      <c r="G51" s="108"/>
      <c r="I51" s="157"/>
    </row>
    <row r="52" spans="2:9" ht="12" thickBot="1">
      <c r="B52" s="25"/>
      <c r="C52" s="2741"/>
      <c r="D52" s="2741"/>
      <c r="E52" s="2741"/>
      <c r="F52" s="2742"/>
    </row>
    <row r="53" spans="2:9" ht="12" thickTop="1">
      <c r="B53" s="3"/>
      <c r="C53" s="3"/>
      <c r="D53" s="3"/>
      <c r="E53" s="3"/>
      <c r="F53" s="3"/>
    </row>
    <row r="54" spans="2:9">
      <c r="B54" s="3102" t="s">
        <v>1073</v>
      </c>
      <c r="C54" s="3102"/>
      <c r="D54" s="3102"/>
      <c r="E54" s="3102"/>
      <c r="F54" s="3102"/>
      <c r="G54" s="3102"/>
      <c r="H54" s="3102"/>
      <c r="I54" s="3102"/>
    </row>
    <row r="55" spans="2:9">
      <c r="B55" s="3102" t="s">
        <v>1074</v>
      </c>
      <c r="C55" s="3102"/>
      <c r="D55" s="3102"/>
      <c r="E55" s="3102"/>
      <c r="F55" s="3102"/>
      <c r="G55" s="3102"/>
      <c r="H55" s="3102"/>
      <c r="I55" s="3102"/>
    </row>
    <row r="56" spans="2:9">
      <c r="B56" s="3102" t="s">
        <v>1075</v>
      </c>
      <c r="C56" s="3102"/>
      <c r="D56" s="3102"/>
      <c r="E56" s="3102"/>
      <c r="F56" s="3102"/>
      <c r="G56" s="3102"/>
      <c r="H56" s="3102"/>
      <c r="I56" s="3102"/>
    </row>
    <row r="57" spans="2:9">
      <c r="B57" s="3102" t="s">
        <v>1076</v>
      </c>
      <c r="C57" s="3102"/>
      <c r="D57" s="3102"/>
      <c r="E57" s="3102"/>
      <c r="F57" s="3102"/>
      <c r="G57" s="3102"/>
      <c r="H57" s="3102"/>
      <c r="I57" s="3102"/>
    </row>
    <row r="58" spans="2:9">
      <c r="B58" s="3102" t="s">
        <v>245</v>
      </c>
      <c r="C58" s="3102"/>
      <c r="D58" s="3102"/>
      <c r="E58" s="3102"/>
      <c r="F58" s="3102"/>
      <c r="G58" s="3102"/>
      <c r="H58" s="3102"/>
      <c r="I58" s="3102"/>
    </row>
    <row r="59" spans="2:9">
      <c r="B59" s="3"/>
      <c r="C59" s="3"/>
      <c r="D59" s="3"/>
      <c r="E59" s="3"/>
      <c r="F59" s="3"/>
    </row>
    <row r="60" spans="2:9">
      <c r="B60" s="3"/>
      <c r="C60" s="3"/>
      <c r="D60" s="3"/>
      <c r="E60" s="3"/>
      <c r="F60" s="3"/>
    </row>
    <row r="61" spans="2:9">
      <c r="B61" s="3"/>
      <c r="C61" s="3"/>
      <c r="D61" s="3"/>
      <c r="E61" s="3"/>
      <c r="F61" s="3"/>
    </row>
    <row r="62" spans="2:9">
      <c r="B62" s="3"/>
      <c r="C62" s="3"/>
      <c r="D62" s="3"/>
      <c r="E62" s="3"/>
      <c r="F62" s="3"/>
    </row>
    <row r="63" spans="2:9">
      <c r="B63" s="3"/>
      <c r="C63" s="3"/>
      <c r="D63" s="3"/>
      <c r="E63" s="3"/>
      <c r="F63" s="3"/>
    </row>
    <row r="65" spans="2:11" ht="21">
      <c r="B65" s="136" t="s">
        <v>246</v>
      </c>
      <c r="C65" s="136"/>
      <c r="D65" s="114"/>
      <c r="E65" s="114"/>
      <c r="F65" s="114"/>
    </row>
    <row r="66" spans="2:11" ht="12" thickBot="1"/>
    <row r="67" spans="2:11" ht="15" thickBot="1">
      <c r="B67" s="2"/>
      <c r="C67" s="158">
        <v>2014</v>
      </c>
      <c r="D67" s="3103" t="s">
        <v>247</v>
      </c>
      <c r="E67" s="3103"/>
      <c r="F67" s="3104"/>
      <c r="G67" s="159" t="s">
        <v>248</v>
      </c>
      <c r="H67" s="97" t="s">
        <v>249</v>
      </c>
      <c r="I67" s="29" t="s">
        <v>250</v>
      </c>
      <c r="J67" s="29" t="s">
        <v>251</v>
      </c>
      <c r="K67" s="160" t="s">
        <v>252</v>
      </c>
    </row>
    <row r="68" spans="2:11" ht="14.25">
      <c r="B68" s="161" t="s">
        <v>253</v>
      </c>
      <c r="C68" s="96" t="s">
        <v>254</v>
      </c>
      <c r="D68" s="97" t="s">
        <v>192</v>
      </c>
      <c r="E68" s="97" t="s">
        <v>155</v>
      </c>
      <c r="F68" s="97" t="s">
        <v>156</v>
      </c>
      <c r="G68" s="162" t="s">
        <v>151</v>
      </c>
      <c r="H68" s="163" t="s">
        <v>153</v>
      </c>
      <c r="I68" s="4" t="s">
        <v>153</v>
      </c>
      <c r="J68" s="4" t="s">
        <v>153</v>
      </c>
      <c r="K68" s="20"/>
    </row>
    <row r="69" spans="2:11" ht="12" thickBot="1">
      <c r="B69" s="7"/>
      <c r="C69" s="164"/>
      <c r="D69" s="164" t="s">
        <v>255</v>
      </c>
      <c r="E69" s="164" t="s">
        <v>256</v>
      </c>
      <c r="F69" s="164" t="s">
        <v>256</v>
      </c>
      <c r="G69" s="28"/>
      <c r="H69" s="164"/>
      <c r="I69" s="8"/>
      <c r="J69" s="8"/>
      <c r="K69" s="9"/>
    </row>
    <row r="70" spans="2:11" ht="13.5" thickBot="1">
      <c r="B70" s="165" t="s">
        <v>257</v>
      </c>
      <c r="C70" s="2696">
        <v>6644</v>
      </c>
      <c r="D70" s="166">
        <v>31.87</v>
      </c>
      <c r="E70" s="167">
        <v>9.4955026735800017E-5</v>
      </c>
      <c r="F70" s="167">
        <v>9.4955026735800007E-4</v>
      </c>
      <c r="G70" s="168">
        <v>1</v>
      </c>
      <c r="H70" s="169">
        <f>C70*1000*D70*(44/12)*0.00045359237*0.001/1000000</f>
        <v>3.5216716259685977E-4</v>
      </c>
      <c r="I70" s="170">
        <f>C70*E70*310*0.000001</f>
        <v>1.9557317126612313E-4</v>
      </c>
      <c r="J70" s="171">
        <f>C70*F70*21*0.000001</f>
        <v>1.3248505150285759E-4</v>
      </c>
      <c r="K70" s="172">
        <f>H70+I70+J70</f>
        <v>6.802253853658406E-4</v>
      </c>
    </row>
    <row r="72" spans="2:11" ht="12.75">
      <c r="B72" s="173" t="s">
        <v>258</v>
      </c>
      <c r="C72" s="52">
        <f>C70*1000</f>
        <v>6644000</v>
      </c>
    </row>
    <row r="75" spans="2:11">
      <c r="B75" t="s">
        <v>259</v>
      </c>
    </row>
    <row r="77" spans="2:11">
      <c r="B77" s="3102" t="s">
        <v>655</v>
      </c>
      <c r="C77" s="3102"/>
      <c r="D77" s="3102"/>
      <c r="E77" s="3102"/>
      <c r="F77" s="3102"/>
      <c r="G77" s="3102"/>
      <c r="H77" s="3102"/>
      <c r="I77" s="3102"/>
    </row>
    <row r="78" spans="2:11">
      <c r="B78" s="135"/>
      <c r="C78" s="135"/>
      <c r="D78" s="135"/>
      <c r="E78" s="135"/>
      <c r="F78" s="135"/>
      <c r="G78" s="135"/>
      <c r="H78" s="135"/>
      <c r="I78" s="135"/>
    </row>
    <row r="79" spans="2:11">
      <c r="B79" s="135"/>
      <c r="C79" s="135"/>
      <c r="D79" s="135"/>
      <c r="E79" s="135"/>
      <c r="F79" s="135"/>
      <c r="G79" s="135"/>
      <c r="H79" s="135"/>
      <c r="I79" s="135"/>
    </row>
    <row r="80" spans="2:11" ht="12" thickBot="1"/>
    <row r="81" spans="2:3" ht="15.75" thickTop="1" thickBot="1">
      <c r="B81" s="174" t="s">
        <v>260</v>
      </c>
      <c r="C81" s="175"/>
    </row>
    <row r="82" spans="2:3" ht="15" thickBot="1">
      <c r="B82" s="176"/>
      <c r="C82" s="177">
        <v>2014</v>
      </c>
    </row>
    <row r="83" spans="2:3" ht="12.75">
      <c r="B83" s="178" t="s">
        <v>1104</v>
      </c>
      <c r="C83" s="179">
        <f>C84+C85+C86+C87</f>
        <v>0.58486091501817106</v>
      </c>
    </row>
    <row r="84" spans="2:3" ht="12.75">
      <c r="B84" s="180" t="s">
        <v>189</v>
      </c>
      <c r="C84" s="181">
        <f>F10</f>
        <v>6.0301925411033856E-4</v>
      </c>
    </row>
    <row r="85" spans="2:3" ht="12.75">
      <c r="B85" s="180" t="s">
        <v>261</v>
      </c>
      <c r="C85" s="181">
        <f>F51</f>
        <v>0.16364823185479149</v>
      </c>
    </row>
    <row r="86" spans="2:3" ht="12.75">
      <c r="B86" s="180" t="s">
        <v>262</v>
      </c>
      <c r="C86" s="181">
        <f>F34</f>
        <v>0.41992943852390346</v>
      </c>
    </row>
    <row r="87" spans="2:3" ht="12.75">
      <c r="B87" s="178" t="s">
        <v>263</v>
      </c>
      <c r="C87" s="181">
        <f>K70</f>
        <v>6.802253853658406E-4</v>
      </c>
    </row>
    <row r="88" spans="2:3" ht="12" thickBot="1">
      <c r="B88" s="25"/>
      <c r="C88" s="27"/>
    </row>
    <row r="89" spans="2:3" ht="12" thickTop="1"/>
  </sheetData>
  <sheetProtection password="CD58" sheet="1" objects="1" scenarios="1"/>
  <mergeCells count="12">
    <mergeCell ref="B15:I15"/>
    <mergeCell ref="C21:F21"/>
    <mergeCell ref="B36:I36"/>
    <mergeCell ref="B38:I38"/>
    <mergeCell ref="B77:I77"/>
    <mergeCell ref="B57:I57"/>
    <mergeCell ref="B58:I58"/>
    <mergeCell ref="D67:F67"/>
    <mergeCell ref="D46:D47"/>
    <mergeCell ref="B54:I54"/>
    <mergeCell ref="B55:I55"/>
    <mergeCell ref="B56:I56"/>
  </mergeCells>
  <phoneticPr fontId="0" type="noConversion"/>
  <dataValidations count="1">
    <dataValidation allowBlank="1" showInputMessage="1" showErrorMessage="1" prompt="There is no default data available for this sector. Click on the button above to find potential data sources." sqref="C8 C25"/>
  </dataValidations>
  <hyperlinks>
    <hyperlink ref="C14" r:id="rId1"/>
  </hyperlinks>
  <printOptions gridLines="1"/>
  <pageMargins left="0.16" right="0.16" top="1" bottom="1" header="0.5" footer="0.5"/>
  <pageSetup paperSize="5" scale="65" orientation="portrait" r:id="rId2"/>
  <headerFooter alignWithMargins="0"/>
  <drawing r:id="rId3"/>
  <legacyDrawing r:id="rId4"/>
  <picture r:id="rId5"/>
</worksheet>
</file>

<file path=xl/worksheets/sheet19.xml><?xml version="1.0" encoding="utf-8"?>
<worksheet xmlns="http://schemas.openxmlformats.org/spreadsheetml/2006/main" xmlns:r="http://schemas.openxmlformats.org/officeDocument/2006/relationships">
  <sheetPr codeName="Sheet17"/>
  <dimension ref="A1:N69"/>
  <sheetViews>
    <sheetView topLeftCell="A7" workbookViewId="0">
      <selection activeCell="P27" sqref="P27"/>
    </sheetView>
  </sheetViews>
  <sheetFormatPr defaultRowHeight="11.25"/>
  <cols>
    <col min="1" max="1" width="4.6640625" customWidth="1"/>
    <col min="2" max="2" width="26.6640625" customWidth="1"/>
    <col min="3" max="3" width="25" customWidth="1"/>
    <col min="4" max="4" width="17" customWidth="1"/>
    <col min="5" max="5" width="3.83203125" customWidth="1"/>
    <col min="6" max="6" width="13.83203125" customWidth="1"/>
    <col min="7" max="7" width="3.83203125" customWidth="1"/>
    <col min="8" max="8" width="18.83203125" customWidth="1"/>
    <col min="9" max="9" width="3.83203125" customWidth="1"/>
    <col min="10" max="10" width="10.6640625" customWidth="1"/>
    <col min="11" max="11" width="3.83203125" customWidth="1"/>
    <col min="12" max="12" width="11.5" customWidth="1"/>
    <col min="13" max="13" width="3.83203125" customWidth="1"/>
    <col min="14" max="14" width="10.33203125" customWidth="1"/>
  </cols>
  <sheetData>
    <row r="1" spans="1:14" ht="33">
      <c r="A1" s="550" t="s">
        <v>429</v>
      </c>
      <c r="B1" s="210"/>
      <c r="D1" s="547"/>
      <c r="G1" s="1"/>
      <c r="H1" s="1"/>
    </row>
    <row r="2" spans="1:14" ht="206.25" customHeight="1">
      <c r="A2" s="115"/>
      <c r="B2" s="116"/>
      <c r="C2" s="117"/>
    </row>
    <row r="3" spans="1:14" s="213" customFormat="1" ht="21" thickBot="1">
      <c r="B3" s="221" t="s">
        <v>656</v>
      </c>
    </row>
    <row r="4" spans="1:14" s="213" customFormat="1" ht="45.75">
      <c r="A4" s="222"/>
      <c r="B4" s="811" t="s">
        <v>430</v>
      </c>
      <c r="C4" s="812" t="s">
        <v>1370</v>
      </c>
      <c r="D4" s="813" t="s">
        <v>441</v>
      </c>
      <c r="E4" s="814"/>
      <c r="F4" s="813" t="s">
        <v>440</v>
      </c>
      <c r="G4" s="814"/>
      <c r="H4" s="813" t="s">
        <v>439</v>
      </c>
      <c r="I4" s="815"/>
      <c r="J4" s="813" t="s">
        <v>445</v>
      </c>
      <c r="K4" s="815"/>
      <c r="L4" s="813" t="s">
        <v>446</v>
      </c>
      <c r="M4" s="816"/>
      <c r="N4" s="817" t="s">
        <v>447</v>
      </c>
    </row>
    <row r="5" spans="1:14" s="213" customFormat="1" ht="12.75">
      <c r="A5" s="222"/>
      <c r="B5" s="818" t="s">
        <v>431</v>
      </c>
      <c r="C5" s="819"/>
      <c r="D5" s="820"/>
      <c r="E5" s="421"/>
      <c r="F5" s="821"/>
      <c r="G5" s="821"/>
      <c r="H5" s="821"/>
      <c r="I5" s="821"/>
      <c r="J5" s="822"/>
      <c r="K5" s="821"/>
      <c r="L5" s="821"/>
      <c r="M5" s="821"/>
      <c r="N5" s="823"/>
    </row>
    <row r="6" spans="1:14" s="213" customFormat="1" ht="12.75">
      <c r="A6" s="222"/>
      <c r="B6" s="824" t="s">
        <v>432</v>
      </c>
      <c r="C6" s="825"/>
      <c r="D6" s="223">
        <v>0</v>
      </c>
      <c r="E6" s="421" t="s">
        <v>952</v>
      </c>
      <c r="F6" s="223">
        <v>0</v>
      </c>
      <c r="G6" s="826" t="s">
        <v>433</v>
      </c>
      <c r="H6" s="223">
        <v>0</v>
      </c>
      <c r="I6" s="827" t="s">
        <v>951</v>
      </c>
      <c r="J6" s="225">
        <f>D6+F6-H6</f>
        <v>0</v>
      </c>
      <c r="K6" s="421" t="s">
        <v>951</v>
      </c>
      <c r="L6" s="226">
        <f>J6*1000000*0.0000192</f>
        <v>0</v>
      </c>
      <c r="M6" s="421" t="s">
        <v>951</v>
      </c>
      <c r="N6" s="828">
        <f>(L6*21)</f>
        <v>0</v>
      </c>
    </row>
    <row r="7" spans="1:14" s="213" customFormat="1" ht="12.75">
      <c r="A7" s="222"/>
      <c r="B7" s="818"/>
      <c r="C7" s="825"/>
      <c r="D7" s="829"/>
      <c r="E7" s="421"/>
      <c r="F7" s="820"/>
      <c r="G7" s="421"/>
      <c r="H7" s="830"/>
      <c r="I7" s="421"/>
      <c r="J7" s="831"/>
      <c r="K7" s="421"/>
      <c r="L7" s="832"/>
      <c r="M7" s="421"/>
      <c r="N7" s="833"/>
    </row>
    <row r="8" spans="1:14" s="213" customFormat="1" ht="27.75">
      <c r="A8" s="222"/>
      <c r="B8" s="834"/>
      <c r="C8" s="835"/>
      <c r="D8" s="836" t="s">
        <v>442</v>
      </c>
      <c r="E8" s="827"/>
      <c r="F8" s="837" t="s">
        <v>448</v>
      </c>
      <c r="G8" s="827"/>
      <c r="H8" s="837" t="s">
        <v>449</v>
      </c>
      <c r="I8" s="827"/>
      <c r="J8" s="837" t="s">
        <v>446</v>
      </c>
      <c r="K8" s="821"/>
      <c r="L8" s="837" t="s">
        <v>447</v>
      </c>
      <c r="M8" s="827"/>
      <c r="N8" s="838"/>
    </row>
    <row r="9" spans="1:14" s="213" customFormat="1" ht="12.75">
      <c r="A9" s="222"/>
      <c r="B9" s="2697" t="s">
        <v>434</v>
      </c>
      <c r="C9" s="839" t="s">
        <v>851</v>
      </c>
      <c r="D9" s="223">
        <v>1200</v>
      </c>
      <c r="E9" s="827" t="s">
        <v>950</v>
      </c>
      <c r="F9" s="229">
        <v>119</v>
      </c>
      <c r="G9" s="827" t="s">
        <v>951</v>
      </c>
      <c r="H9" s="230">
        <f>D9*F9</f>
        <v>142800</v>
      </c>
      <c r="I9" s="827" t="s">
        <v>951</v>
      </c>
      <c r="J9" s="231">
        <v>5090.5343999999996</v>
      </c>
      <c r="K9" s="827" t="s">
        <v>951</v>
      </c>
      <c r="L9" s="226">
        <f>(J9*21)</f>
        <v>106901.22239999998</v>
      </c>
      <c r="M9" s="421"/>
      <c r="N9" s="838"/>
    </row>
    <row r="10" spans="1:14" s="213" customFormat="1" ht="12.75">
      <c r="A10" s="222"/>
      <c r="B10" s="818"/>
      <c r="C10" s="839" t="s">
        <v>438</v>
      </c>
      <c r="D10" s="232">
        <v>0</v>
      </c>
      <c r="E10" s="827" t="s">
        <v>950</v>
      </c>
      <c r="F10" s="229">
        <v>0</v>
      </c>
      <c r="G10" s="827" t="s">
        <v>951</v>
      </c>
      <c r="H10" s="233" t="s">
        <v>433</v>
      </c>
      <c r="I10" s="827" t="s">
        <v>951</v>
      </c>
      <c r="J10" s="234" t="s">
        <v>433</v>
      </c>
      <c r="K10" s="343" t="s">
        <v>951</v>
      </c>
      <c r="L10" s="235" t="s">
        <v>433</v>
      </c>
      <c r="M10" s="421"/>
      <c r="N10" s="838"/>
    </row>
    <row r="11" spans="1:14" s="213" customFormat="1" ht="12.75">
      <c r="A11" s="222"/>
      <c r="B11" s="840"/>
      <c r="C11" s="821"/>
      <c r="D11" s="841"/>
      <c r="E11" s="821"/>
      <c r="F11" s="842"/>
      <c r="G11" s="821"/>
      <c r="H11" s="821"/>
      <c r="I11" s="821"/>
      <c r="J11" s="821"/>
      <c r="K11" s="821"/>
      <c r="L11" s="821"/>
      <c r="M11" s="821"/>
      <c r="N11" s="823"/>
    </row>
    <row r="12" spans="1:14" s="213" customFormat="1" ht="27.75">
      <c r="A12" s="222"/>
      <c r="B12" s="2698" t="s">
        <v>435</v>
      </c>
      <c r="C12" s="819"/>
      <c r="D12" s="836" t="s">
        <v>443</v>
      </c>
      <c r="E12" s="421"/>
      <c r="F12" s="843" t="s">
        <v>450</v>
      </c>
      <c r="G12" s="421"/>
      <c r="H12" s="837" t="s">
        <v>449</v>
      </c>
      <c r="I12" s="821"/>
      <c r="J12" s="837" t="s">
        <v>446</v>
      </c>
      <c r="K12" s="821"/>
      <c r="L12" s="837" t="s">
        <v>447</v>
      </c>
      <c r="M12" s="821"/>
      <c r="N12" s="844"/>
    </row>
    <row r="13" spans="1:14" s="213" customFormat="1" ht="12.75">
      <c r="A13" s="222"/>
      <c r="B13" s="824" t="s">
        <v>432</v>
      </c>
      <c r="C13" s="839" t="s">
        <v>851</v>
      </c>
      <c r="D13" s="223">
        <v>700</v>
      </c>
      <c r="E13" s="421" t="s">
        <v>950</v>
      </c>
      <c r="F13" s="229">
        <v>44.98</v>
      </c>
      <c r="G13" s="421" t="s">
        <v>951</v>
      </c>
      <c r="H13" s="230">
        <f>D13*F13</f>
        <v>31485.999999999996</v>
      </c>
      <c r="I13" s="421" t="s">
        <v>951</v>
      </c>
      <c r="J13" s="231">
        <f>H13*0.0000192*1000</f>
        <v>604.5311999999999</v>
      </c>
      <c r="K13" s="351" t="s">
        <v>951</v>
      </c>
      <c r="L13" s="226">
        <f>(J13*21)</f>
        <v>12695.155199999997</v>
      </c>
      <c r="M13" s="421"/>
      <c r="N13" s="833"/>
    </row>
    <row r="14" spans="1:14" s="213" customFormat="1" ht="12.75">
      <c r="A14" s="222"/>
      <c r="B14" s="818"/>
      <c r="C14" s="839" t="s">
        <v>438</v>
      </c>
      <c r="D14" s="223">
        <v>0</v>
      </c>
      <c r="E14" s="421" t="s">
        <v>950</v>
      </c>
      <c r="F14" s="229">
        <v>0</v>
      </c>
      <c r="G14" s="421" t="s">
        <v>951</v>
      </c>
      <c r="H14" s="233" t="s">
        <v>433</v>
      </c>
      <c r="I14" s="421" t="s">
        <v>951</v>
      </c>
      <c r="J14" s="234" t="s">
        <v>433</v>
      </c>
      <c r="K14" s="351" t="s">
        <v>951</v>
      </c>
      <c r="L14" s="234" t="s">
        <v>433</v>
      </c>
      <c r="M14" s="421"/>
      <c r="N14" s="833"/>
    </row>
    <row r="15" spans="1:14" s="213" customFormat="1" ht="12.75">
      <c r="A15" s="222"/>
      <c r="B15" s="824" t="s">
        <v>434</v>
      </c>
      <c r="C15" s="839" t="s">
        <v>851</v>
      </c>
      <c r="D15" s="223">
        <v>1200</v>
      </c>
      <c r="E15" s="421" t="s">
        <v>950</v>
      </c>
      <c r="F15" s="229">
        <v>19.337499999999999</v>
      </c>
      <c r="G15" s="421" t="s">
        <v>951</v>
      </c>
      <c r="H15" s="230">
        <f>D15*F15</f>
        <v>23205</v>
      </c>
      <c r="I15" s="421" t="s">
        <v>951</v>
      </c>
      <c r="J15" s="231">
        <f>H15*0.0000192*1000</f>
        <v>445.536</v>
      </c>
      <c r="K15" s="351" t="s">
        <v>951</v>
      </c>
      <c r="L15" s="226">
        <f>(J15*21)</f>
        <v>9356.2559999999994</v>
      </c>
      <c r="M15" s="421"/>
      <c r="N15" s="833"/>
    </row>
    <row r="16" spans="1:14" s="213" customFormat="1" ht="12.75">
      <c r="A16" s="222"/>
      <c r="B16" s="818"/>
      <c r="C16" s="839" t="s">
        <v>438</v>
      </c>
      <c r="D16" s="223">
        <v>0</v>
      </c>
      <c r="E16" s="421" t="s">
        <v>950</v>
      </c>
      <c r="F16" s="229">
        <v>0</v>
      </c>
      <c r="G16" s="421" t="s">
        <v>951</v>
      </c>
      <c r="H16" s="236" t="s">
        <v>438</v>
      </c>
      <c r="I16" s="421" t="s">
        <v>951</v>
      </c>
      <c r="J16" s="236" t="s">
        <v>438</v>
      </c>
      <c r="K16" s="351" t="s">
        <v>951</v>
      </c>
      <c r="L16" s="236" t="s">
        <v>438</v>
      </c>
      <c r="M16" s="421"/>
      <c r="N16" s="833"/>
    </row>
    <row r="17" spans="1:14" s="213" customFormat="1" ht="12.75">
      <c r="A17" s="222"/>
      <c r="B17" s="824" t="s">
        <v>436</v>
      </c>
      <c r="C17" s="839"/>
      <c r="D17" s="845"/>
      <c r="E17" s="421"/>
      <c r="F17" s="820"/>
      <c r="G17" s="421"/>
      <c r="H17" s="230">
        <f>SUM(H13:H16)</f>
        <v>54691</v>
      </c>
      <c r="I17" s="421" t="s">
        <v>951</v>
      </c>
      <c r="J17" s="226">
        <f>SUM(J13:J16)</f>
        <v>1050.0672</v>
      </c>
      <c r="K17" s="351" t="s">
        <v>951</v>
      </c>
      <c r="L17" s="226">
        <f>SUM(L13:L16)</f>
        <v>22051.411199999995</v>
      </c>
      <c r="M17" s="821"/>
      <c r="N17" s="823"/>
    </row>
    <row r="18" spans="1:14" s="213" customFormat="1" ht="12.75">
      <c r="A18" s="222"/>
      <c r="B18" s="840"/>
      <c r="C18" s="821"/>
      <c r="D18" s="841"/>
      <c r="E18" s="821"/>
      <c r="F18" s="821"/>
      <c r="G18" s="821"/>
      <c r="H18" s="821"/>
      <c r="I18" s="821"/>
      <c r="J18" s="821"/>
      <c r="K18" s="821"/>
      <c r="L18" s="821"/>
      <c r="M18" s="821"/>
      <c r="N18" s="823"/>
    </row>
    <row r="19" spans="1:14" s="213" customFormat="1" ht="12.75">
      <c r="A19" s="222"/>
      <c r="B19" s="2699" t="s">
        <v>437</v>
      </c>
      <c r="C19" s="846" t="s">
        <v>451</v>
      </c>
      <c r="D19" s="847">
        <f>SUM(D20:D22)</f>
        <v>128952.63359999997</v>
      </c>
      <c r="E19" s="821"/>
      <c r="F19" s="848"/>
      <c r="G19" s="821"/>
      <c r="H19" s="821"/>
      <c r="I19" s="821"/>
      <c r="J19" s="821"/>
      <c r="K19" s="821"/>
      <c r="L19" s="821"/>
      <c r="M19" s="821"/>
      <c r="N19" s="823"/>
    </row>
    <row r="20" spans="1:14" s="213" customFormat="1" ht="12.75">
      <c r="A20" s="222"/>
      <c r="B20" s="840"/>
      <c r="C20" s="849" t="s">
        <v>432</v>
      </c>
      <c r="D20" s="237">
        <f>N6</f>
        <v>0</v>
      </c>
      <c r="E20" s="821"/>
      <c r="F20" s="821"/>
      <c r="G20" s="821"/>
      <c r="H20" s="821"/>
      <c r="I20" s="821"/>
      <c r="J20" s="821"/>
      <c r="K20" s="821"/>
      <c r="L20" s="821"/>
      <c r="M20" s="821"/>
      <c r="N20" s="823"/>
    </row>
    <row r="21" spans="1:14" s="213" customFormat="1" ht="12.75">
      <c r="A21" s="222"/>
      <c r="B21" s="840"/>
      <c r="C21" s="849" t="s">
        <v>434</v>
      </c>
      <c r="D21" s="237">
        <f>SUM(L9:L10)</f>
        <v>106901.22239999998</v>
      </c>
      <c r="E21" s="821"/>
      <c r="F21" s="850"/>
      <c r="G21" s="821"/>
      <c r="H21" s="821"/>
      <c r="I21" s="821"/>
      <c r="J21" s="821"/>
      <c r="K21" s="821"/>
      <c r="L21" s="821"/>
      <c r="M21" s="821"/>
      <c r="N21" s="823"/>
    </row>
    <row r="22" spans="1:14" s="213" customFormat="1" ht="12.75">
      <c r="A22" s="222"/>
      <c r="B22" s="840"/>
      <c r="C22" s="849" t="s">
        <v>435</v>
      </c>
      <c r="D22" s="237">
        <f>L17</f>
        <v>22051.411199999995</v>
      </c>
      <c r="E22" s="821"/>
      <c r="F22" s="850"/>
      <c r="G22" s="821"/>
      <c r="H22" s="850"/>
      <c r="I22" s="821"/>
      <c r="J22" s="821"/>
      <c r="K22" s="821"/>
      <c r="L22" s="821"/>
      <c r="M22" s="821"/>
      <c r="N22" s="823"/>
    </row>
    <row r="23" spans="1:14" s="213" customFormat="1" ht="12.75">
      <c r="A23" s="222"/>
      <c r="B23" s="840"/>
      <c r="C23" s="821"/>
      <c r="D23" s="841"/>
      <c r="E23" s="821"/>
      <c r="F23" s="821"/>
      <c r="G23" s="821"/>
      <c r="H23" s="821"/>
      <c r="I23" s="821"/>
      <c r="J23" s="821"/>
      <c r="K23" s="821"/>
      <c r="L23" s="821"/>
      <c r="M23" s="821"/>
      <c r="N23" s="823"/>
    </row>
    <row r="24" spans="1:14" s="213" customFormat="1" ht="19.5" thickBot="1">
      <c r="A24" s="238"/>
      <c r="B24" s="851"/>
      <c r="C24" s="852"/>
      <c r="D24" s="853"/>
      <c r="E24" s="853"/>
      <c r="F24" s="853"/>
      <c r="G24" s="853"/>
      <c r="H24" s="853"/>
      <c r="I24" s="853"/>
      <c r="J24" s="853"/>
      <c r="K24" s="853"/>
      <c r="L24" s="853"/>
      <c r="M24" s="853"/>
      <c r="N24" s="854"/>
    </row>
    <row r="25" spans="1:14" s="213" customFormat="1" ht="18.75">
      <c r="A25" s="238"/>
      <c r="B25" s="220"/>
      <c r="C25" s="239"/>
      <c r="D25" s="220"/>
      <c r="E25" s="220"/>
      <c r="F25" s="220"/>
      <c r="G25" s="220"/>
      <c r="H25" s="220"/>
      <c r="I25" s="220"/>
      <c r="J25" s="220"/>
      <c r="K25" s="220"/>
      <c r="L25" s="220"/>
      <c r="M25" s="220"/>
      <c r="N25" s="220"/>
    </row>
    <row r="26" spans="1:14" s="213" customFormat="1" ht="19.5" thickBot="1">
      <c r="A26" s="238"/>
      <c r="B26" s="240" t="s">
        <v>444</v>
      </c>
    </row>
    <row r="27" spans="1:14" s="213" customFormat="1" ht="36.75" thickTop="1">
      <c r="A27" s="238"/>
      <c r="B27" s="855"/>
      <c r="C27" s="856"/>
      <c r="D27" s="857" t="s">
        <v>463</v>
      </c>
      <c r="E27" s="858"/>
      <c r="F27" s="859" t="s">
        <v>464</v>
      </c>
      <c r="G27" s="856"/>
      <c r="H27" s="860" t="s">
        <v>452</v>
      </c>
      <c r="I27" s="861"/>
      <c r="J27" s="860" t="s">
        <v>446</v>
      </c>
      <c r="K27" s="856"/>
      <c r="L27" s="860" t="s">
        <v>447</v>
      </c>
      <c r="M27" s="856"/>
      <c r="N27" s="862"/>
    </row>
    <row r="28" spans="1:14" s="213" customFormat="1" ht="18.75">
      <c r="A28" s="238"/>
      <c r="B28" s="863"/>
      <c r="C28" s="864" t="s">
        <v>1089</v>
      </c>
      <c r="D28" s="822">
        <v>0.2893143272</v>
      </c>
      <c r="E28" s="421" t="s">
        <v>950</v>
      </c>
      <c r="F28" s="865">
        <v>0.125</v>
      </c>
      <c r="G28" s="421" t="s">
        <v>951</v>
      </c>
      <c r="H28" s="866">
        <f>D28*F28*1000*12/44*21</f>
        <v>207.12275697272727</v>
      </c>
      <c r="I28" s="421" t="s">
        <v>951</v>
      </c>
      <c r="J28" s="866">
        <f>D28*F28*1000</f>
        <v>36.164290899999997</v>
      </c>
      <c r="K28" s="421" t="s">
        <v>951</v>
      </c>
      <c r="L28" s="866">
        <f>D28*F28*1000*21</f>
        <v>759.45010889999992</v>
      </c>
      <c r="M28" s="821"/>
      <c r="N28" s="867"/>
    </row>
    <row r="29" spans="1:14" s="213" customFormat="1" ht="18.75">
      <c r="A29" s="238"/>
      <c r="B29" s="863"/>
      <c r="C29" s="864" t="s">
        <v>1090</v>
      </c>
      <c r="D29" s="822">
        <v>0.2893143272</v>
      </c>
      <c r="E29" s="421" t="s">
        <v>950</v>
      </c>
      <c r="F29" s="865">
        <v>0.25</v>
      </c>
      <c r="G29" s="421" t="s">
        <v>951</v>
      </c>
      <c r="H29" s="866">
        <f>D29*F29*1000*12/44*21</f>
        <v>414.24551394545455</v>
      </c>
      <c r="I29" s="421" t="s">
        <v>951</v>
      </c>
      <c r="J29" s="866">
        <f>D29*F29*1000</f>
        <v>72.328581799999995</v>
      </c>
      <c r="K29" s="421" t="s">
        <v>951</v>
      </c>
      <c r="L29" s="866">
        <f>D29*F29*1000*21</f>
        <v>1518.9002177999998</v>
      </c>
      <c r="M29" s="821"/>
      <c r="N29" s="867"/>
    </row>
    <row r="30" spans="1:14" s="213" customFormat="1" ht="19.5" thickBot="1">
      <c r="A30" s="238"/>
      <c r="B30" s="868"/>
      <c r="C30" s="869" t="s">
        <v>1091</v>
      </c>
      <c r="D30" s="870">
        <v>0.2893143272</v>
      </c>
      <c r="E30" s="871" t="s">
        <v>950</v>
      </c>
      <c r="F30" s="872">
        <v>0.625</v>
      </c>
      <c r="G30" s="871" t="s">
        <v>951</v>
      </c>
      <c r="H30" s="873">
        <f>D30*F30*1000*12/44*21</f>
        <v>1035.6137848636363</v>
      </c>
      <c r="I30" s="871" t="s">
        <v>951</v>
      </c>
      <c r="J30" s="873">
        <f>D30*F30*1000</f>
        <v>180.82145450000002</v>
      </c>
      <c r="K30" s="871" t="s">
        <v>951</v>
      </c>
      <c r="L30" s="873">
        <f>D30*F30*1000*21</f>
        <v>3797.2505445000002</v>
      </c>
      <c r="M30" s="874"/>
      <c r="N30" s="875"/>
    </row>
    <row r="31" spans="1:14" s="213" customFormat="1" ht="19.5" thickTop="1">
      <c r="A31" s="238"/>
      <c r="B31" s="241"/>
      <c r="C31" s="239"/>
    </row>
    <row r="32" spans="1:14" s="213" customFormat="1" ht="18.75">
      <c r="A32" s="238"/>
      <c r="B32" s="241"/>
      <c r="C32" s="239"/>
    </row>
    <row r="33" spans="1:4" s="213" customFormat="1" ht="19.5" thickBot="1">
      <c r="A33" s="238"/>
      <c r="B33" s="240" t="s">
        <v>453</v>
      </c>
    </row>
    <row r="34" spans="1:4" s="213" customFormat="1" ht="19.5" thickBot="1">
      <c r="A34" s="238"/>
      <c r="B34" s="243" t="s">
        <v>657</v>
      </c>
      <c r="C34" s="244"/>
    </row>
    <row r="35" spans="1:4" s="213" customFormat="1" ht="19.5" thickBot="1">
      <c r="A35" s="238"/>
      <c r="B35" s="243"/>
      <c r="C35" s="245">
        <v>2014</v>
      </c>
    </row>
    <row r="36" spans="1:4" s="213" customFormat="1" ht="18.75">
      <c r="A36" s="238"/>
      <c r="B36" s="246" t="s">
        <v>893</v>
      </c>
      <c r="C36" s="247">
        <f>D19/1000000</f>
        <v>0.12895263359999998</v>
      </c>
      <c r="D36" s="248"/>
    </row>
    <row r="37" spans="1:4" s="213" customFormat="1" ht="18.75">
      <c r="A37" s="238"/>
      <c r="B37" s="246" t="s">
        <v>1088</v>
      </c>
      <c r="C37" s="247">
        <f>SUM(C38:C40)</f>
        <v>6.0756008711999997E-3</v>
      </c>
      <c r="D37" s="249"/>
    </row>
    <row r="38" spans="1:4" s="213" customFormat="1" ht="18.75">
      <c r="A38" s="238"/>
      <c r="B38" s="250" t="s">
        <v>1089</v>
      </c>
      <c r="C38" s="247">
        <f>L28/1000000</f>
        <v>7.5945010889999997E-4</v>
      </c>
      <c r="D38" s="249"/>
    </row>
    <row r="39" spans="1:4" s="213" customFormat="1" ht="18.75">
      <c r="A39" s="238"/>
      <c r="B39" s="250" t="s">
        <v>1090</v>
      </c>
      <c r="C39" s="247">
        <f>L29/1000000</f>
        <v>1.5189002177999999E-3</v>
      </c>
      <c r="D39" s="249"/>
    </row>
    <row r="40" spans="1:4" s="213" customFormat="1" ht="18.75">
      <c r="A40" s="238"/>
      <c r="B40" s="250" t="s">
        <v>1091</v>
      </c>
      <c r="C40" s="247">
        <f>L30/1000000</f>
        <v>3.7972505445000001E-3</v>
      </c>
      <c r="D40" s="249"/>
    </row>
    <row r="41" spans="1:4" s="213" customFormat="1" ht="19.5" thickBot="1">
      <c r="A41" s="238"/>
      <c r="B41" s="251"/>
      <c r="C41" s="252"/>
    </row>
    <row r="42" spans="1:4" s="213" customFormat="1" ht="18.75">
      <c r="A42" s="238"/>
      <c r="B42" s="241"/>
      <c r="C42" s="239"/>
    </row>
    <row r="43" spans="1:4" s="213" customFormat="1" ht="19.5" thickBot="1">
      <c r="A43" s="238"/>
      <c r="B43" s="253"/>
      <c r="C43" s="239"/>
    </row>
    <row r="44" spans="1:4" s="213" customFormat="1" ht="13.5" thickBot="1">
      <c r="B44" s="243" t="s">
        <v>658</v>
      </c>
      <c r="C44" s="244"/>
    </row>
    <row r="45" spans="1:4" s="213" customFormat="1" ht="12" thickBot="1">
      <c r="B45" s="243"/>
      <c r="C45" s="245">
        <v>2014</v>
      </c>
    </row>
    <row r="46" spans="1:4" s="213" customFormat="1">
      <c r="B46" s="246" t="s">
        <v>893</v>
      </c>
      <c r="C46" s="254">
        <f>D19</f>
        <v>128952.63359999997</v>
      </c>
    </row>
    <row r="47" spans="1:4" s="213" customFormat="1">
      <c r="B47" s="246" t="s">
        <v>1088</v>
      </c>
      <c r="C47" s="254">
        <f>SUM(C48:C50)</f>
        <v>6075.6008712000003</v>
      </c>
    </row>
    <row r="48" spans="1:4" s="213" customFormat="1">
      <c r="B48" s="250" t="s">
        <v>1089</v>
      </c>
      <c r="C48" s="254">
        <f>L28</f>
        <v>759.45010889999992</v>
      </c>
    </row>
    <row r="49" spans="2:4" s="213" customFormat="1">
      <c r="B49" s="250" t="s">
        <v>1090</v>
      </c>
      <c r="C49" s="254">
        <f>L29</f>
        <v>1518.9002177999998</v>
      </c>
    </row>
    <row r="50" spans="2:4" s="213" customFormat="1">
      <c r="B50" s="250" t="s">
        <v>1091</v>
      </c>
      <c r="C50" s="254">
        <f>L30</f>
        <v>3797.2505445000002</v>
      </c>
    </row>
    <row r="51" spans="2:4" s="213" customFormat="1" ht="12" thickBot="1">
      <c r="B51" s="255"/>
      <c r="C51" s="256"/>
    </row>
    <row r="52" spans="2:4" s="213" customFormat="1" ht="12" thickBot="1">
      <c r="B52" s="243" t="s">
        <v>1052</v>
      </c>
      <c r="C52" s="257">
        <v>2014</v>
      </c>
    </row>
    <row r="53" spans="2:4" s="213" customFormat="1">
      <c r="B53" s="246" t="s">
        <v>893</v>
      </c>
      <c r="C53" s="254">
        <f>C46*12/44</f>
        <v>35168.900072727265</v>
      </c>
      <c r="D53" s="259"/>
    </row>
    <row r="54" spans="2:4" s="213" customFormat="1">
      <c r="B54" s="246" t="s">
        <v>1088</v>
      </c>
      <c r="C54" s="254">
        <f>SUM(C55:C57)</f>
        <v>1656.982055781818</v>
      </c>
    </row>
    <row r="55" spans="2:4" s="213" customFormat="1">
      <c r="B55" s="250" t="s">
        <v>1089</v>
      </c>
      <c r="C55" s="254">
        <f>H28</f>
        <v>207.12275697272727</v>
      </c>
      <c r="D55" s="259"/>
    </row>
    <row r="56" spans="2:4" s="213" customFormat="1">
      <c r="B56" s="250" t="s">
        <v>1090</v>
      </c>
      <c r="C56" s="254">
        <f>H29</f>
        <v>414.24551394545455</v>
      </c>
      <c r="D56" s="259"/>
    </row>
    <row r="57" spans="2:4" s="213" customFormat="1">
      <c r="B57" s="250" t="s">
        <v>1091</v>
      </c>
      <c r="C57" s="254">
        <f>H30</f>
        <v>1035.6137848636363</v>
      </c>
      <c r="D57" s="259"/>
    </row>
    <row r="58" spans="2:4" s="213" customFormat="1" ht="12" thickBot="1">
      <c r="B58" s="255"/>
      <c r="C58" s="256"/>
    </row>
    <row r="59" spans="2:4" s="213" customFormat="1" ht="13.5" thickBot="1">
      <c r="B59" s="243" t="s">
        <v>659</v>
      </c>
      <c r="C59" s="257">
        <v>2014</v>
      </c>
    </row>
    <row r="60" spans="2:4" s="213" customFormat="1">
      <c r="B60" s="246" t="s">
        <v>893</v>
      </c>
      <c r="C60" s="254">
        <f>C46/21</f>
        <v>6140.6015999999991</v>
      </c>
    </row>
    <row r="61" spans="2:4" s="213" customFormat="1">
      <c r="B61" s="246" t="s">
        <v>1088</v>
      </c>
      <c r="C61" s="254">
        <f>SUM(C62:C64)</f>
        <v>289.31432719999998</v>
      </c>
    </row>
    <row r="62" spans="2:4" s="213" customFormat="1">
      <c r="B62" s="250" t="s">
        <v>1089</v>
      </c>
      <c r="C62" s="254">
        <f>J28</f>
        <v>36.164290899999997</v>
      </c>
      <c r="D62" s="259"/>
    </row>
    <row r="63" spans="2:4" s="213" customFormat="1">
      <c r="B63" s="250" t="s">
        <v>1090</v>
      </c>
      <c r="C63" s="254">
        <f>J29</f>
        <v>72.328581799999995</v>
      </c>
    </row>
    <row r="64" spans="2:4" s="213" customFormat="1" ht="12" thickBot="1">
      <c r="B64" s="258" t="s">
        <v>1091</v>
      </c>
      <c r="C64" s="256">
        <f>J30</f>
        <v>180.82145450000002</v>
      </c>
    </row>
    <row r="65" spans="4:4" s="213" customFormat="1"/>
    <row r="66" spans="4:4">
      <c r="D66" t="s">
        <v>654</v>
      </c>
    </row>
    <row r="67" spans="4:4">
      <c r="D67" t="s">
        <v>1679</v>
      </c>
    </row>
    <row r="68" spans="4:4">
      <c r="D68" s="2700" t="s">
        <v>1680</v>
      </c>
    </row>
    <row r="69" spans="4:4">
      <c r="D69" t="s">
        <v>1371</v>
      </c>
    </row>
  </sheetData>
  <sheetProtection password="CD58" sheet="1" objects="1" scenarios="1"/>
  <phoneticPr fontId="0" type="noConversion"/>
  <dataValidations count="1">
    <dataValidation allowBlank="1" showErrorMessage="1" sqref="D6:D16"/>
  </dataValidations>
  <pageMargins left="0.75" right="0.75" top="1" bottom="1" header="0.5" footer="0.5"/>
  <pageSetup orientation="portrait" r:id="rId1"/>
  <headerFooter alignWithMargins="0"/>
  <drawing r:id="rId2"/>
  <legacyDrawing r:id="rId3"/>
  <picture r:id="rId4"/>
</worksheet>
</file>

<file path=xl/worksheets/sheet2.xml><?xml version="1.0" encoding="utf-8"?>
<worksheet xmlns="http://schemas.openxmlformats.org/spreadsheetml/2006/main" xmlns:r="http://schemas.openxmlformats.org/officeDocument/2006/relationships">
  <sheetPr codeName="Sheet3"/>
  <dimension ref="A1:M508"/>
  <sheetViews>
    <sheetView zoomScaleNormal="100" zoomScaleSheetLayoutView="100" workbookViewId="0">
      <selection activeCell="E17" sqref="E17"/>
    </sheetView>
  </sheetViews>
  <sheetFormatPr defaultRowHeight="12.75"/>
  <cols>
    <col min="1" max="1" width="3.6640625" style="2439" customWidth="1"/>
    <col min="2" max="2" width="19.1640625" style="2439" customWidth="1"/>
    <col min="3" max="3" width="43.5" style="2439" customWidth="1"/>
    <col min="4" max="4" width="41.5" style="2439" customWidth="1"/>
    <col min="5" max="5" width="22.1640625" style="2439" customWidth="1"/>
    <col min="6" max="6" width="21.83203125" style="2439" customWidth="1"/>
    <col min="7" max="7" width="20.5" style="2439" customWidth="1"/>
    <col min="8" max="8" width="12.33203125" style="2439" customWidth="1"/>
    <col min="9" max="9" width="28.33203125" style="2439" customWidth="1"/>
    <col min="10" max="10" width="21.6640625" style="2439" customWidth="1"/>
    <col min="11" max="11" width="22.1640625" style="2439" customWidth="1"/>
    <col min="12" max="12" width="22.5" style="2439" customWidth="1"/>
    <col min="13" max="13" width="20.33203125" style="2439" customWidth="1"/>
    <col min="14" max="16384" width="9.33203125" style="2439"/>
  </cols>
  <sheetData>
    <row r="1" spans="1:3" ht="21">
      <c r="A1" s="211" t="s">
        <v>1726</v>
      </c>
    </row>
    <row r="3" spans="1:3" ht="14.25">
      <c r="B3" s="2438" t="s">
        <v>1345</v>
      </c>
    </row>
    <row r="16" spans="1:3">
      <c r="B16" s="2440" t="s">
        <v>281</v>
      </c>
      <c r="C16" s="2441"/>
    </row>
    <row r="18" spans="2:13" ht="13.5" thickBot="1"/>
    <row r="19" spans="2:13" ht="15" thickTop="1">
      <c r="B19" s="2442" t="s">
        <v>1107</v>
      </c>
      <c r="C19" s="2443" t="s">
        <v>1108</v>
      </c>
      <c r="D19" s="2443" t="s">
        <v>1109</v>
      </c>
      <c r="E19" s="2443" t="s">
        <v>1110</v>
      </c>
      <c r="F19" s="2443" t="s">
        <v>1111</v>
      </c>
      <c r="G19" s="2443" t="s">
        <v>1111</v>
      </c>
      <c r="H19" s="2443" t="s">
        <v>796</v>
      </c>
      <c r="I19" s="2443" t="s">
        <v>798</v>
      </c>
      <c r="J19" s="2444" t="s">
        <v>800</v>
      </c>
      <c r="K19" s="2443" t="s">
        <v>1346</v>
      </c>
      <c r="L19" s="2443" t="s">
        <v>1347</v>
      </c>
      <c r="M19" s="2445" t="s">
        <v>1348</v>
      </c>
    </row>
    <row r="20" spans="2:13">
      <c r="B20" s="2446"/>
      <c r="C20" s="2447"/>
      <c r="D20" s="2447"/>
      <c r="E20" s="2447"/>
      <c r="F20" s="2447"/>
      <c r="G20" s="2447" t="s">
        <v>1113</v>
      </c>
      <c r="H20" s="2447" t="s">
        <v>797</v>
      </c>
      <c r="I20" s="2447" t="s">
        <v>799</v>
      </c>
      <c r="J20" s="2447" t="s">
        <v>1114</v>
      </c>
      <c r="K20" s="2447" t="s">
        <v>1112</v>
      </c>
      <c r="L20" s="2447" t="s">
        <v>1112</v>
      </c>
      <c r="M20" s="2448" t="s">
        <v>1112</v>
      </c>
    </row>
    <row r="21" spans="2:13" ht="13.5" thickBot="1">
      <c r="B21" s="2449"/>
      <c r="C21" s="2450"/>
      <c r="D21" s="2450"/>
      <c r="E21" s="2450"/>
      <c r="F21" s="2450"/>
      <c r="G21" s="2450"/>
      <c r="H21" s="2450"/>
      <c r="I21" s="2450"/>
      <c r="J21" s="2450"/>
      <c r="K21" s="2451"/>
      <c r="L21" s="2450"/>
      <c r="M21" s="2452"/>
    </row>
    <row r="22" spans="2:13">
      <c r="B22" s="2453" t="s">
        <v>1115</v>
      </c>
      <c r="C22" s="2454" t="s">
        <v>1116</v>
      </c>
      <c r="D22" s="2455"/>
      <c r="E22" s="2455"/>
      <c r="F22" s="2456"/>
      <c r="G22" s="2455"/>
      <c r="H22" s="2455"/>
      <c r="I22" s="2457"/>
      <c r="J22" s="2455"/>
      <c r="K22" s="2458"/>
      <c r="L22" s="2455"/>
      <c r="M22" s="2459"/>
    </row>
    <row r="23" spans="2:13">
      <c r="B23" s="2449"/>
      <c r="C23" s="2450" t="s">
        <v>1117</v>
      </c>
      <c r="D23" s="2460" t="s">
        <v>1118</v>
      </c>
      <c r="E23" s="2450" t="s">
        <v>1102</v>
      </c>
      <c r="F23" s="2461">
        <v>644453</v>
      </c>
      <c r="G23" s="2460" t="s">
        <v>279</v>
      </c>
      <c r="H23" s="2462">
        <v>10777</v>
      </c>
      <c r="I23" s="2463" t="s">
        <v>1119</v>
      </c>
      <c r="J23" s="2464">
        <v>14615569</v>
      </c>
      <c r="K23" s="2464">
        <v>1496167.2380759774</v>
      </c>
      <c r="L23" s="2464">
        <v>176.96781822588017</v>
      </c>
      <c r="M23" s="2465">
        <v>25.750209859724261</v>
      </c>
    </row>
    <row r="24" spans="2:13" ht="13.5" thickBot="1">
      <c r="B24" s="2466"/>
      <c r="C24" s="2467"/>
      <c r="D24" s="2468"/>
      <c r="E24" s="2467"/>
      <c r="F24" s="2469"/>
      <c r="G24" s="2468"/>
      <c r="H24" s="2470"/>
      <c r="I24" s="2471"/>
      <c r="J24" s="2464"/>
      <c r="K24" s="2464"/>
      <c r="L24" s="2464"/>
      <c r="M24" s="2465"/>
    </row>
    <row r="25" spans="2:13">
      <c r="B25" s="2449"/>
      <c r="C25" s="2450"/>
      <c r="D25" s="2460"/>
      <c r="E25" s="2450"/>
      <c r="F25" s="2462"/>
      <c r="G25" s="2460"/>
      <c r="H25" s="2462"/>
      <c r="I25" s="2463"/>
      <c r="J25" s="2472"/>
      <c r="K25" s="2472"/>
      <c r="L25" s="2472"/>
      <c r="M25" s="2473"/>
    </row>
    <row r="26" spans="2:13">
      <c r="B26" s="2449" t="s">
        <v>1120</v>
      </c>
      <c r="C26" s="2474" t="s">
        <v>1127</v>
      </c>
      <c r="D26" s="2460"/>
      <c r="E26" s="2450"/>
      <c r="F26" s="2462"/>
      <c r="G26" s="2460"/>
      <c r="H26" s="2462"/>
      <c r="I26" s="2463"/>
      <c r="J26" s="2464"/>
      <c r="K26" s="2464"/>
      <c r="L26" s="2464"/>
      <c r="M26" s="2465"/>
    </row>
    <row r="27" spans="2:13">
      <c r="B27" s="2449"/>
      <c r="C27" s="2474"/>
      <c r="D27" s="2460"/>
      <c r="E27" s="2450"/>
      <c r="F27" s="2462"/>
      <c r="G27" s="2460"/>
      <c r="H27" s="2462"/>
      <c r="I27" s="2463"/>
      <c r="J27" s="2464"/>
      <c r="K27" s="2464"/>
      <c r="L27" s="2464"/>
      <c r="M27" s="2465"/>
    </row>
    <row r="28" spans="2:13">
      <c r="B28" s="2449"/>
      <c r="C28" s="2450" t="s">
        <v>14</v>
      </c>
      <c r="D28" s="2460" t="s">
        <v>1128</v>
      </c>
      <c r="E28" s="2450" t="s">
        <v>1129</v>
      </c>
      <c r="F28" s="2461">
        <v>1067574</v>
      </c>
      <c r="G28" s="2460" t="s">
        <v>279</v>
      </c>
      <c r="H28" s="2475">
        <v>25.91</v>
      </c>
      <c r="I28" s="2463" t="s">
        <v>1149</v>
      </c>
      <c r="J28" s="2464">
        <v>27660842.34</v>
      </c>
      <c r="K28" s="2464">
        <v>2911316.958882587</v>
      </c>
      <c r="L28" s="2464">
        <v>30.4</v>
      </c>
      <c r="M28" s="2465">
        <v>48.68</v>
      </c>
    </row>
    <row r="29" spans="2:13">
      <c r="B29" s="2449"/>
      <c r="C29" s="2450"/>
      <c r="D29" s="2460"/>
      <c r="E29" s="2450"/>
      <c r="F29" s="2462"/>
      <c r="G29" s="2460"/>
      <c r="H29" s="2462"/>
      <c r="I29" s="2463"/>
      <c r="J29" s="2464"/>
      <c r="K29" s="2464"/>
      <c r="L29" s="2464"/>
      <c r="M29" s="2465"/>
    </row>
    <row r="30" spans="2:13">
      <c r="B30" s="2449"/>
      <c r="C30" s="2450" t="s">
        <v>17</v>
      </c>
      <c r="D30" s="2460" t="s">
        <v>1130</v>
      </c>
      <c r="E30" s="2450" t="s">
        <v>1129</v>
      </c>
      <c r="F30" s="2461">
        <v>946129</v>
      </c>
      <c r="G30" s="2460" t="s">
        <v>279</v>
      </c>
      <c r="H30" s="2475">
        <v>25.91</v>
      </c>
      <c r="I30" s="2463" t="s">
        <v>1149</v>
      </c>
      <c r="J30" s="2464">
        <v>24514202.390000001</v>
      </c>
      <c r="K30" s="2464">
        <v>2652716.6332997652</v>
      </c>
      <c r="L30" s="2464">
        <v>27</v>
      </c>
      <c r="M30" s="2465">
        <v>43.14</v>
      </c>
    </row>
    <row r="31" spans="2:13" ht="13.5" thickBot="1">
      <c r="B31" s="2449"/>
      <c r="C31" s="2450"/>
      <c r="D31" s="2460"/>
      <c r="E31" s="2450"/>
      <c r="F31" s="2462"/>
      <c r="G31" s="2460"/>
      <c r="H31" s="2462"/>
      <c r="I31" s="2463"/>
      <c r="J31" s="2464"/>
      <c r="K31" s="2464"/>
      <c r="L31" s="2464"/>
      <c r="M31" s="2465"/>
    </row>
    <row r="32" spans="2:13">
      <c r="B32" s="2453"/>
      <c r="C32" s="2455"/>
      <c r="D32" s="2476"/>
      <c r="E32" s="2455"/>
      <c r="F32" s="2477"/>
      <c r="G32" s="2476"/>
      <c r="H32" s="2477"/>
      <c r="I32" s="2478"/>
      <c r="J32" s="2472"/>
      <c r="K32" s="2472"/>
      <c r="L32" s="2472"/>
      <c r="M32" s="2473"/>
    </row>
    <row r="33" spans="2:13">
      <c r="B33" s="2449" t="s">
        <v>1131</v>
      </c>
      <c r="C33" s="2474" t="s">
        <v>1132</v>
      </c>
      <c r="D33" s="2460"/>
      <c r="E33" s="2450"/>
      <c r="F33" s="2462"/>
      <c r="G33" s="2460"/>
      <c r="H33" s="2462"/>
      <c r="I33" s="2463"/>
      <c r="J33" s="2464"/>
      <c r="K33" s="2464"/>
      <c r="L33" s="2464"/>
      <c r="M33" s="2465"/>
    </row>
    <row r="34" spans="2:13">
      <c r="B34" s="2449"/>
      <c r="C34" s="2450" t="s">
        <v>1133</v>
      </c>
      <c r="D34" s="2460" t="s">
        <v>1134</v>
      </c>
      <c r="E34" s="2450" t="s">
        <v>1173</v>
      </c>
      <c r="F34" s="2461">
        <v>3300</v>
      </c>
      <c r="G34" s="2460" t="s">
        <v>279</v>
      </c>
      <c r="H34" s="2475">
        <v>26.12</v>
      </c>
      <c r="I34" s="2463" t="s">
        <v>1175</v>
      </c>
      <c r="J34" s="2464">
        <v>86196</v>
      </c>
      <c r="K34" s="2464">
        <v>8996.1644735173377</v>
      </c>
      <c r="L34" s="2464">
        <v>9.5000000000000001E-2</v>
      </c>
      <c r="M34" s="2465">
        <v>0.152</v>
      </c>
    </row>
    <row r="35" spans="2:13">
      <c r="B35" s="2449"/>
      <c r="C35" s="2450"/>
      <c r="D35" s="2460" t="s">
        <v>1134</v>
      </c>
      <c r="E35" s="2450" t="s">
        <v>1174</v>
      </c>
      <c r="F35" s="2461">
        <v>115044</v>
      </c>
      <c r="G35" s="2460" t="s">
        <v>279</v>
      </c>
      <c r="H35" s="2475">
        <v>17.8</v>
      </c>
      <c r="I35" s="2463" t="s">
        <v>1175</v>
      </c>
      <c r="J35" s="2464">
        <v>2047783.2000000002</v>
      </c>
      <c r="K35" s="2464">
        <v>213724.47066343739</v>
      </c>
      <c r="L35" s="2464">
        <v>2.2530000000000001</v>
      </c>
      <c r="M35" s="2465">
        <v>3.6040000000000001</v>
      </c>
    </row>
    <row r="36" spans="2:13">
      <c r="B36" s="2449"/>
      <c r="C36" s="2450"/>
      <c r="D36" s="2460"/>
      <c r="E36" s="2450"/>
      <c r="F36" s="2462"/>
      <c r="G36" s="2460"/>
      <c r="H36" s="2462"/>
      <c r="I36" s="2463"/>
      <c r="J36" s="2464"/>
      <c r="K36" s="2464"/>
      <c r="L36" s="2464"/>
      <c r="M36" s="2465"/>
    </row>
    <row r="37" spans="2:13">
      <c r="B37" s="2449"/>
      <c r="C37" s="2450" t="s">
        <v>1135</v>
      </c>
      <c r="D37" s="2460" t="s">
        <v>1136</v>
      </c>
      <c r="E37" s="2450" t="s">
        <v>1173</v>
      </c>
      <c r="F37" s="2461">
        <v>11562</v>
      </c>
      <c r="G37" s="2460"/>
      <c r="H37" s="2475">
        <v>26.12</v>
      </c>
      <c r="I37" s="2463" t="s">
        <v>1175</v>
      </c>
      <c r="J37" s="2464">
        <v>301999.44</v>
      </c>
      <c r="K37" s="2464">
        <v>36283.383251433639</v>
      </c>
      <c r="L37" s="2464">
        <v>0.33200000000000002</v>
      </c>
      <c r="M37" s="2465">
        <v>0.53200000000000003</v>
      </c>
    </row>
    <row r="38" spans="2:13">
      <c r="B38" s="2449"/>
      <c r="C38" s="2450"/>
      <c r="D38" s="2460" t="s">
        <v>1136</v>
      </c>
      <c r="E38" s="2450" t="s">
        <v>1174</v>
      </c>
      <c r="F38" s="2461">
        <v>180195</v>
      </c>
      <c r="G38" s="2460" t="s">
        <v>279</v>
      </c>
      <c r="H38" s="2475">
        <v>17.79</v>
      </c>
      <c r="I38" s="2463" t="s">
        <v>1175</v>
      </c>
      <c r="J38" s="2464">
        <v>3205669.05</v>
      </c>
      <c r="K38" s="2464">
        <v>385141.504627986</v>
      </c>
      <c r="L38" s="2464">
        <v>3.5259999999999998</v>
      </c>
      <c r="M38" s="2465">
        <v>5.6420000000000003</v>
      </c>
    </row>
    <row r="39" spans="2:13">
      <c r="B39" s="2449"/>
      <c r="C39" s="2450"/>
      <c r="D39" s="2460"/>
      <c r="E39" s="2450"/>
      <c r="F39" s="2462"/>
      <c r="G39" s="2460"/>
      <c r="H39" s="2462"/>
      <c r="I39" s="2463"/>
      <c r="J39" s="2464"/>
      <c r="K39" s="2464"/>
      <c r="L39" s="2464"/>
      <c r="M39" s="2465"/>
    </row>
    <row r="40" spans="2:13" ht="13.5" thickBot="1">
      <c r="B40" s="2449"/>
      <c r="C40" s="2450"/>
      <c r="D40" s="2460"/>
      <c r="E40" s="2450"/>
      <c r="F40" s="2462"/>
      <c r="G40" s="2460"/>
      <c r="H40" s="2462"/>
      <c r="I40" s="2463"/>
      <c r="J40" s="2464"/>
      <c r="K40" s="2464"/>
      <c r="L40" s="2464"/>
      <c r="M40" s="2465"/>
    </row>
    <row r="41" spans="2:13">
      <c r="B41" s="2453"/>
      <c r="C41" s="2454"/>
      <c r="D41" s="2476"/>
      <c r="E41" s="2455"/>
      <c r="F41" s="2477"/>
      <c r="G41" s="2476"/>
      <c r="H41" s="2477"/>
      <c r="I41" s="2478"/>
      <c r="J41" s="2472"/>
      <c r="K41" s="2472"/>
      <c r="L41" s="2472"/>
      <c r="M41" s="2473"/>
    </row>
    <row r="42" spans="2:13">
      <c r="B42" s="2449" t="s">
        <v>1137</v>
      </c>
      <c r="C42" s="2474" t="s">
        <v>1138</v>
      </c>
      <c r="D42" s="2460"/>
      <c r="E42" s="2450"/>
      <c r="F42" s="2462"/>
      <c r="G42" s="2460"/>
      <c r="H42" s="2462"/>
      <c r="I42" s="2463"/>
      <c r="J42" s="2464"/>
      <c r="K42" s="2464"/>
      <c r="L42" s="2464"/>
      <c r="M42" s="2465"/>
    </row>
    <row r="43" spans="2:13">
      <c r="B43" s="2449"/>
      <c r="C43" s="2450" t="s">
        <v>1139</v>
      </c>
      <c r="D43" s="2460" t="s">
        <v>1128</v>
      </c>
      <c r="E43" s="2450" t="s">
        <v>1102</v>
      </c>
      <c r="F43" s="2461">
        <v>497291</v>
      </c>
      <c r="G43" s="2460" t="s">
        <v>279</v>
      </c>
      <c r="H43" s="2462">
        <v>12871</v>
      </c>
      <c r="I43" s="2463" t="s">
        <v>1140</v>
      </c>
      <c r="J43" s="2464">
        <v>12801264.922</v>
      </c>
      <c r="K43" s="2464">
        <v>1360379.0915007901</v>
      </c>
      <c r="L43" s="2464">
        <v>155.17693338448399</v>
      </c>
      <c r="M43" s="2465">
        <v>22.571190310470399</v>
      </c>
    </row>
    <row r="44" spans="2:13">
      <c r="B44" s="2449"/>
      <c r="C44" s="2450"/>
      <c r="D44" s="2460"/>
      <c r="E44" s="2450"/>
      <c r="F44" s="2462"/>
      <c r="G44" s="2460"/>
      <c r="H44" s="2462"/>
      <c r="I44" s="2463"/>
      <c r="J44" s="2464"/>
      <c r="K44" s="2464"/>
      <c r="L44" s="2464"/>
      <c r="M44" s="2465"/>
    </row>
    <row r="45" spans="2:13">
      <c r="B45" s="2449"/>
      <c r="C45" s="2450" t="s">
        <v>1141</v>
      </c>
      <c r="D45" s="2460" t="s">
        <v>1130</v>
      </c>
      <c r="E45" s="2450" t="s">
        <v>1102</v>
      </c>
      <c r="F45" s="2461">
        <v>547259</v>
      </c>
      <c r="G45" s="2460" t="s">
        <v>279</v>
      </c>
      <c r="H45" s="2462">
        <v>12855</v>
      </c>
      <c r="I45" s="2463" t="s">
        <v>1140</v>
      </c>
      <c r="J45" s="2464">
        <v>14070028.890000001</v>
      </c>
      <c r="K45" s="2464">
        <v>1559573.2339340833</v>
      </c>
      <c r="L45" s="2464">
        <v>170.55689020457999</v>
      </c>
      <c r="M45" s="2465">
        <v>24.815028552715201</v>
      </c>
    </row>
    <row r="46" spans="2:13">
      <c r="B46" s="2449"/>
      <c r="C46" s="2450"/>
      <c r="D46" s="2460"/>
      <c r="E46" s="2450"/>
      <c r="F46" s="2462"/>
      <c r="G46" s="2460"/>
      <c r="H46" s="2462"/>
      <c r="I46" s="2463"/>
      <c r="J46" s="2464"/>
      <c r="K46" s="2464"/>
      <c r="L46" s="2464"/>
      <c r="M46" s="2465"/>
    </row>
    <row r="47" spans="2:13">
      <c r="B47" s="2449"/>
      <c r="C47" s="2450" t="s">
        <v>19</v>
      </c>
      <c r="D47" s="2460" t="s">
        <v>1147</v>
      </c>
      <c r="E47" s="2450" t="s">
        <v>1102</v>
      </c>
      <c r="F47" s="2461">
        <v>2757</v>
      </c>
      <c r="G47" s="2460" t="s">
        <v>279</v>
      </c>
      <c r="H47" s="2462">
        <v>12865</v>
      </c>
      <c r="I47" s="2463" t="s">
        <v>1140</v>
      </c>
      <c r="J47" s="2464">
        <v>70937.61</v>
      </c>
      <c r="K47" s="2464">
        <v>3950.2586876140026</v>
      </c>
      <c r="L47" s="2464">
        <v>0.86013980253300004</v>
      </c>
      <c r="M47" s="2465">
        <v>0.12507719395200001</v>
      </c>
    </row>
    <row r="48" spans="2:13">
      <c r="B48" s="2449"/>
      <c r="C48" s="2450"/>
      <c r="D48" s="2460"/>
      <c r="E48" s="2450"/>
      <c r="F48" s="2462"/>
      <c r="G48" s="2460"/>
      <c r="H48" s="2462"/>
      <c r="I48" s="2463"/>
      <c r="J48" s="2464"/>
      <c r="K48" s="2464"/>
      <c r="L48" s="2464"/>
      <c r="M48" s="2465"/>
    </row>
    <row r="49" spans="2:13">
      <c r="B49" s="2449"/>
      <c r="C49" s="2450" t="s">
        <v>21</v>
      </c>
      <c r="D49" s="2460" t="s">
        <v>20</v>
      </c>
      <c r="E49" s="2450" t="s">
        <v>1102</v>
      </c>
      <c r="F49" s="2461">
        <v>2399</v>
      </c>
      <c r="G49" s="2460" t="s">
        <v>279</v>
      </c>
      <c r="H49" s="2462">
        <v>12865</v>
      </c>
      <c r="I49" s="2463" t="s">
        <v>1140</v>
      </c>
      <c r="J49" s="2464">
        <v>61726.27</v>
      </c>
      <c r="K49" s="2464">
        <v>3685.1145177804701</v>
      </c>
      <c r="L49" s="2464">
        <v>0.74824584493999979</v>
      </c>
      <c r="M49" s="2465">
        <v>0.10883575926399999</v>
      </c>
    </row>
    <row r="50" spans="2:13">
      <c r="B50" s="2449"/>
      <c r="C50" s="2450"/>
      <c r="D50" s="2460"/>
      <c r="E50" s="2450"/>
      <c r="F50" s="2462"/>
      <c r="G50" s="2460"/>
      <c r="H50" s="2462"/>
      <c r="I50" s="2463"/>
      <c r="J50" s="2464"/>
      <c r="K50" s="2464"/>
      <c r="L50" s="2464"/>
      <c r="M50" s="2465"/>
    </row>
    <row r="51" spans="2:13" ht="13.5" thickBot="1">
      <c r="B51" s="2449"/>
      <c r="C51" s="2450"/>
      <c r="D51" s="2460"/>
      <c r="E51" s="2450"/>
      <c r="F51" s="2462"/>
      <c r="G51" s="2460"/>
      <c r="H51" s="2462"/>
      <c r="I51" s="2463"/>
      <c r="J51" s="2464"/>
      <c r="K51" s="2464"/>
      <c r="L51" s="2464"/>
      <c r="M51" s="2465"/>
    </row>
    <row r="52" spans="2:13">
      <c r="B52" s="2453"/>
      <c r="C52" s="2455"/>
      <c r="D52" s="2476"/>
      <c r="E52" s="2455"/>
      <c r="F52" s="2479"/>
      <c r="G52" s="2476"/>
      <c r="H52" s="2477"/>
      <c r="I52" s="2478"/>
      <c r="J52" s="2472"/>
      <c r="K52" s="2472"/>
      <c r="L52" s="2472"/>
      <c r="M52" s="2473"/>
    </row>
    <row r="53" spans="2:13">
      <c r="B53" s="2449" t="s">
        <v>1142</v>
      </c>
      <c r="C53" s="2474" t="s">
        <v>1143</v>
      </c>
      <c r="D53" s="2460"/>
      <c r="E53" s="2450"/>
      <c r="F53" s="2462"/>
      <c r="G53" s="2460"/>
      <c r="H53" s="2462"/>
      <c r="I53" s="2463"/>
      <c r="J53" s="2464"/>
      <c r="K53" s="2464"/>
      <c r="L53" s="2464"/>
      <c r="M53" s="2465"/>
    </row>
    <row r="54" spans="2:13">
      <c r="B54" s="2449"/>
      <c r="C54" s="2450" t="s">
        <v>1144</v>
      </c>
      <c r="D54" s="2460" t="s">
        <v>1130</v>
      </c>
      <c r="E54" s="2450" t="s">
        <v>1129</v>
      </c>
      <c r="F54" s="2461">
        <v>105869</v>
      </c>
      <c r="G54" s="2460" t="s">
        <v>279</v>
      </c>
      <c r="H54" s="2460">
        <v>24</v>
      </c>
      <c r="I54" s="2463" t="s">
        <v>1145</v>
      </c>
      <c r="J54" s="2464">
        <v>2540856</v>
      </c>
      <c r="K54" s="2464">
        <v>285306.24512721144</v>
      </c>
      <c r="L54" s="2464">
        <v>2.8</v>
      </c>
      <c r="M54" s="2465">
        <v>4.47</v>
      </c>
    </row>
    <row r="55" spans="2:13">
      <c r="B55" s="2449"/>
      <c r="C55" s="2450"/>
      <c r="D55" s="2460"/>
      <c r="E55" s="2450"/>
      <c r="F55" s="2462"/>
      <c r="G55" s="2460"/>
      <c r="H55" s="2462"/>
      <c r="I55" s="2463"/>
      <c r="J55" s="2464"/>
      <c r="K55" s="2464"/>
      <c r="L55" s="2464"/>
      <c r="M55" s="2465"/>
    </row>
    <row r="56" spans="2:13">
      <c r="B56" s="2449"/>
      <c r="C56" s="2450" t="s">
        <v>1146</v>
      </c>
      <c r="D56" s="2460" t="s">
        <v>1147</v>
      </c>
      <c r="E56" s="2450" t="s">
        <v>1129</v>
      </c>
      <c r="F56" s="2461">
        <v>422531</v>
      </c>
      <c r="G56" s="2460" t="s">
        <v>279</v>
      </c>
      <c r="H56" s="2480">
        <v>23.8</v>
      </c>
      <c r="I56" s="2463" t="s">
        <v>1145</v>
      </c>
      <c r="J56" s="2464">
        <v>10056237.800000001</v>
      </c>
      <c r="K56" s="2464">
        <v>1054332.5248044224</v>
      </c>
      <c r="L56" s="2464">
        <v>11.1</v>
      </c>
      <c r="M56" s="2465">
        <v>17.7</v>
      </c>
    </row>
    <row r="57" spans="2:13" ht="13.5" thickBot="1">
      <c r="B57" s="2449"/>
      <c r="C57" s="2450"/>
      <c r="D57" s="2460"/>
      <c r="E57" s="2450"/>
      <c r="F57" s="2461"/>
      <c r="G57" s="2460"/>
      <c r="H57" s="2481"/>
      <c r="I57" s="2463"/>
      <c r="J57" s="2464"/>
      <c r="K57" s="2464"/>
      <c r="L57" s="2464"/>
      <c r="M57" s="2465"/>
    </row>
    <row r="58" spans="2:13">
      <c r="B58" s="2453"/>
      <c r="C58" s="2455"/>
      <c r="D58" s="2476"/>
      <c r="E58" s="2455"/>
      <c r="F58" s="2476"/>
      <c r="G58" s="2476"/>
      <c r="H58" s="2476"/>
      <c r="I58" s="2478"/>
      <c r="J58" s="2472"/>
      <c r="K58" s="2472"/>
      <c r="L58" s="2472"/>
      <c r="M58" s="2473"/>
    </row>
    <row r="59" spans="2:13">
      <c r="B59" s="2449" t="s">
        <v>0</v>
      </c>
      <c r="C59" s="2474" t="s">
        <v>1</v>
      </c>
      <c r="D59" s="2460"/>
      <c r="E59" s="2450"/>
      <c r="F59" s="2460"/>
      <c r="G59" s="2460"/>
      <c r="H59" s="2460"/>
      <c r="I59" s="2463"/>
      <c r="J59" s="2464"/>
      <c r="K59" s="2464"/>
      <c r="L59" s="2464"/>
      <c r="M59" s="2465"/>
    </row>
    <row r="60" spans="2:13">
      <c r="B60" s="2449"/>
      <c r="C60" s="2450" t="s">
        <v>2</v>
      </c>
      <c r="D60" s="2460" t="s">
        <v>3</v>
      </c>
      <c r="E60" s="2450" t="s">
        <v>1102</v>
      </c>
      <c r="F60" s="2482">
        <v>173361</v>
      </c>
      <c r="G60" s="2460" t="s">
        <v>279</v>
      </c>
      <c r="H60" s="2483">
        <v>12882.09</v>
      </c>
      <c r="I60" s="2463" t="s">
        <v>1119</v>
      </c>
      <c r="J60" s="2464">
        <v>4466504.0089800013</v>
      </c>
      <c r="K60" s="2464">
        <v>441072.1482277519</v>
      </c>
      <c r="L60" s="2464">
        <v>54.158300960753287</v>
      </c>
      <c r="M60" s="2465">
        <v>7.8775649703616057</v>
      </c>
    </row>
    <row r="61" spans="2:13">
      <c r="B61" s="2449"/>
      <c r="C61" s="2450"/>
      <c r="D61" s="2460"/>
      <c r="E61" s="2450"/>
      <c r="F61" s="2484"/>
      <c r="G61" s="2460"/>
      <c r="H61" s="2462"/>
      <c r="I61" s="2463"/>
      <c r="J61" s="2464"/>
      <c r="K61" s="2464"/>
      <c r="L61" s="2464"/>
      <c r="M61" s="2465"/>
    </row>
    <row r="62" spans="2:13">
      <c r="B62" s="2449"/>
      <c r="C62" s="2450" t="s">
        <v>4</v>
      </c>
      <c r="D62" s="2460" t="s">
        <v>5</v>
      </c>
      <c r="E62" s="2450" t="s">
        <v>1102</v>
      </c>
      <c r="F62" s="2482">
        <v>175090</v>
      </c>
      <c r="G62" s="2460" t="s">
        <v>279</v>
      </c>
      <c r="H62" s="2483">
        <v>12882.09</v>
      </c>
      <c r="I62" s="2463" t="s">
        <v>1119</v>
      </c>
      <c r="J62" s="2464">
        <v>4511050.2762000002</v>
      </c>
      <c r="K62" s="2464">
        <v>445470.91911752173</v>
      </c>
      <c r="L62" s="2464">
        <v>54.698401591428954</v>
      </c>
      <c r="M62" s="2465">
        <v>7.9561311405714852</v>
      </c>
    </row>
    <row r="63" spans="2:13">
      <c r="B63" s="2449"/>
      <c r="C63" s="2450"/>
      <c r="D63" s="2460"/>
      <c r="E63" s="2450"/>
      <c r="F63" s="2484"/>
      <c r="G63" s="2460"/>
      <c r="H63" s="2462"/>
      <c r="I63" s="2463"/>
      <c r="J63" s="2464"/>
      <c r="K63" s="2464"/>
      <c r="L63" s="2464"/>
      <c r="M63" s="2465"/>
    </row>
    <row r="64" spans="2:13">
      <c r="B64" s="2449"/>
      <c r="C64" s="2450" t="s">
        <v>6</v>
      </c>
      <c r="D64" s="2460" t="s">
        <v>7</v>
      </c>
      <c r="E64" s="2450" t="s">
        <v>1102</v>
      </c>
      <c r="F64" s="2482">
        <v>156270</v>
      </c>
      <c r="G64" s="2460" t="s">
        <v>279</v>
      </c>
      <c r="H64" s="2483">
        <v>12882.09</v>
      </c>
      <c r="I64" s="2463" t="s">
        <v>1119</v>
      </c>
      <c r="J64" s="2464">
        <v>4026168.4086000002</v>
      </c>
      <c r="K64" s="2464">
        <v>397588.45191653183</v>
      </c>
      <c r="L64" s="2464">
        <v>48.819002893898009</v>
      </c>
      <c r="M64" s="2465">
        <v>7.100945875476075</v>
      </c>
    </row>
    <row r="65" spans="2:13" ht="13.5" thickBot="1">
      <c r="B65" s="2449"/>
      <c r="C65" s="2450"/>
      <c r="D65" s="2460"/>
      <c r="E65" s="2450"/>
      <c r="F65" s="2484"/>
      <c r="G65" s="2460"/>
      <c r="H65" s="2462"/>
      <c r="I65" s="2463"/>
      <c r="J65" s="2464"/>
      <c r="K65" s="2464"/>
      <c r="L65" s="2464"/>
      <c r="M65" s="2465"/>
    </row>
    <row r="66" spans="2:13">
      <c r="B66" s="2453"/>
      <c r="C66" s="2455"/>
      <c r="D66" s="2476"/>
      <c r="E66" s="2455"/>
      <c r="F66" s="2485"/>
      <c r="G66" s="2476"/>
      <c r="H66" s="2477"/>
      <c r="I66" s="2476"/>
      <c r="J66" s="2472"/>
      <c r="K66" s="2472"/>
      <c r="L66" s="2472"/>
      <c r="M66" s="2473"/>
    </row>
    <row r="67" spans="2:13">
      <c r="B67" s="2449" t="s">
        <v>8</v>
      </c>
      <c r="C67" s="2474" t="s">
        <v>9</v>
      </c>
      <c r="D67" s="2460"/>
      <c r="E67" s="2450"/>
      <c r="F67" s="2484"/>
      <c r="G67" s="2460"/>
      <c r="H67" s="2462"/>
      <c r="I67" s="2460"/>
      <c r="J67" s="2464"/>
      <c r="K67" s="2464"/>
      <c r="L67" s="2464"/>
      <c r="M67" s="2465"/>
    </row>
    <row r="68" spans="2:13">
      <c r="B68" s="2449"/>
      <c r="C68" s="2450" t="s">
        <v>10</v>
      </c>
      <c r="D68" s="2460" t="s">
        <v>1128</v>
      </c>
      <c r="E68" s="2450" t="s">
        <v>1102</v>
      </c>
      <c r="F68" s="2486">
        <v>1181982</v>
      </c>
      <c r="G68" s="2460" t="s">
        <v>279</v>
      </c>
      <c r="H68" s="2464">
        <v>12975.7</v>
      </c>
      <c r="I68" s="2460" t="s">
        <v>1119</v>
      </c>
      <c r="J68" s="2464">
        <v>30674087.674800005</v>
      </c>
      <c r="K68" s="2464">
        <v>3033463.0443535028</v>
      </c>
      <c r="L68" s="2464">
        <v>357.83700104466419</v>
      </c>
      <c r="M68" s="2465">
        <v>52.054650872476991</v>
      </c>
    </row>
    <row r="69" spans="2:13">
      <c r="B69" s="2449"/>
      <c r="C69" s="2450"/>
      <c r="D69" s="2460"/>
      <c r="E69" s="2450"/>
      <c r="F69" s="2484"/>
      <c r="G69" s="2460"/>
      <c r="H69" s="2462"/>
      <c r="I69" s="2460"/>
      <c r="J69" s="2464"/>
      <c r="K69" s="2464"/>
      <c r="L69" s="2464"/>
      <c r="M69" s="2465"/>
    </row>
    <row r="70" spans="2:13">
      <c r="B70" s="2449"/>
      <c r="C70" s="2450" t="s">
        <v>11</v>
      </c>
      <c r="D70" s="2460" t="s">
        <v>1130</v>
      </c>
      <c r="E70" s="2450" t="s">
        <v>1102</v>
      </c>
      <c r="F70" s="2486">
        <v>1175132</v>
      </c>
      <c r="G70" s="2460" t="s">
        <v>279</v>
      </c>
      <c r="H70" s="2464">
        <v>12975.7</v>
      </c>
      <c r="I70" s="2460" t="s">
        <v>1119</v>
      </c>
      <c r="J70" s="2464">
        <v>30496320.584800005</v>
      </c>
      <c r="K70" s="2464">
        <v>3111761.2303939178</v>
      </c>
      <c r="L70" s="2464">
        <v>367.43966619338244</v>
      </c>
      <c r="M70" s="2465">
        <v>53.447768049068678</v>
      </c>
    </row>
    <row r="71" spans="2:13">
      <c r="B71" s="2449"/>
      <c r="C71" s="2450"/>
      <c r="D71" s="2450"/>
      <c r="E71" s="2450"/>
      <c r="F71" s="2460"/>
      <c r="G71" s="2460"/>
      <c r="H71" s="2460"/>
      <c r="I71" s="2460"/>
      <c r="J71" s="2464"/>
      <c r="K71" s="2464"/>
      <c r="L71" s="2464"/>
      <c r="M71" s="2465"/>
    </row>
    <row r="72" spans="2:13">
      <c r="B72" s="2449"/>
      <c r="C72" s="2450"/>
      <c r="D72" s="2450"/>
      <c r="E72" s="2450"/>
      <c r="F72" s="2460"/>
      <c r="G72" s="2460"/>
      <c r="H72" s="2460"/>
      <c r="I72" s="2460"/>
      <c r="J72" s="2464"/>
      <c r="K72" s="2464"/>
      <c r="L72" s="2464"/>
      <c r="M72" s="2465"/>
    </row>
    <row r="73" spans="2:13">
      <c r="B73" s="2487"/>
      <c r="C73" s="2488"/>
      <c r="D73" s="2488"/>
      <c r="E73" s="2488"/>
      <c r="F73" s="2489"/>
      <c r="G73" s="2489"/>
      <c r="H73" s="2489"/>
      <c r="I73" s="2489"/>
      <c r="J73" s="2464"/>
      <c r="K73" s="2464"/>
      <c r="L73" s="2464"/>
      <c r="M73" s="2465"/>
    </row>
    <row r="74" spans="2:13">
      <c r="B74" s="2487"/>
      <c r="C74" s="2488"/>
      <c r="D74" s="2488"/>
      <c r="E74" s="2490" t="s">
        <v>1243</v>
      </c>
      <c r="F74" s="2491">
        <f>SUM(F23:F73)</f>
        <v>7408198</v>
      </c>
      <c r="G74" s="2490"/>
      <c r="H74" s="2490"/>
      <c r="I74" s="2490"/>
      <c r="J74" s="2492">
        <f>SUM(J23:J73)</f>
        <v>186207443.86538002</v>
      </c>
      <c r="K74" s="2492">
        <f>SUM(K23:K73)</f>
        <v>19400928.615855832</v>
      </c>
      <c r="L74" s="2492">
        <f>SUM(L23:L73)</f>
        <v>1464.7684001465441</v>
      </c>
      <c r="M74" s="2493">
        <f>SUM(M23:M73)</f>
        <v>325.72740258408061</v>
      </c>
    </row>
    <row r="75" spans="2:13">
      <c r="B75" s="2487"/>
      <c r="C75" s="2488"/>
      <c r="D75" s="2488"/>
      <c r="E75" s="2488"/>
      <c r="F75" s="2489"/>
      <c r="G75" s="2489"/>
      <c r="H75" s="2489"/>
      <c r="I75" s="2489"/>
      <c r="J75" s="2464"/>
      <c r="K75" s="2464"/>
      <c r="L75" s="2464"/>
      <c r="M75" s="2465"/>
    </row>
    <row r="76" spans="2:13" ht="14.25">
      <c r="B76" s="2487"/>
      <c r="C76" s="2488"/>
      <c r="D76" s="2488"/>
      <c r="E76" s="2494" t="s">
        <v>1349</v>
      </c>
      <c r="F76" s="2494"/>
      <c r="G76" s="2494"/>
      <c r="H76" s="2494"/>
      <c r="I76" s="2494"/>
      <c r="J76" s="2495"/>
      <c r="K76" s="2495">
        <f>(+K74*0.907184)/1000000</f>
        <v>17.600212025446556</v>
      </c>
      <c r="L76" s="2496">
        <f>(+L74*21*0.907184)/1000000</f>
        <v>2.7905103582689394E-2</v>
      </c>
      <c r="M76" s="2497">
        <f>(+M74*310*0.907184)/1000000</f>
        <v>9.1603353275609339E-2</v>
      </c>
    </row>
    <row r="77" spans="2:13" ht="13.5" thickBot="1">
      <c r="B77" s="2498"/>
      <c r="C77" s="2499"/>
      <c r="D77" s="2499"/>
      <c r="E77" s="2499"/>
      <c r="F77" s="2499"/>
      <c r="G77" s="2499"/>
      <c r="H77" s="2499"/>
      <c r="I77" s="2499"/>
      <c r="J77" s="2499"/>
      <c r="K77" s="2500"/>
      <c r="L77" s="2500"/>
      <c r="M77" s="2501"/>
    </row>
    <row r="78" spans="2:13" ht="13.5" thickTop="1"/>
    <row r="82" spans="2:13">
      <c r="B82" s="2440" t="s">
        <v>282</v>
      </c>
      <c r="C82" s="2441"/>
    </row>
    <row r="84" spans="2:13" ht="13.5" thickBot="1"/>
    <row r="85" spans="2:13" ht="15" thickTop="1">
      <c r="B85" s="2442" t="s">
        <v>1107</v>
      </c>
      <c r="C85" s="2443" t="s">
        <v>1108</v>
      </c>
      <c r="D85" s="2443" t="s">
        <v>1109</v>
      </c>
      <c r="E85" s="2443" t="s">
        <v>1110</v>
      </c>
      <c r="F85" s="2443" t="s">
        <v>1111</v>
      </c>
      <c r="G85" s="2443" t="s">
        <v>1111</v>
      </c>
      <c r="H85" s="2443" t="s">
        <v>796</v>
      </c>
      <c r="I85" s="2443" t="s">
        <v>798</v>
      </c>
      <c r="J85" s="2444" t="s">
        <v>800</v>
      </c>
      <c r="K85" s="2443" t="s">
        <v>1346</v>
      </c>
      <c r="L85" s="2443" t="s">
        <v>1347</v>
      </c>
      <c r="M85" s="2445" t="s">
        <v>1348</v>
      </c>
    </row>
    <row r="86" spans="2:13">
      <c r="B86" s="2446"/>
      <c r="C86" s="2447"/>
      <c r="D86" s="2447"/>
      <c r="E86" s="2447"/>
      <c r="F86" s="2447"/>
      <c r="G86" s="2447" t="s">
        <v>1113</v>
      </c>
      <c r="H86" s="2447" t="s">
        <v>797</v>
      </c>
      <c r="I86" s="2447" t="s">
        <v>799</v>
      </c>
      <c r="J86" s="2447" t="s">
        <v>1114</v>
      </c>
      <c r="K86" s="2447" t="s">
        <v>1112</v>
      </c>
      <c r="L86" s="2447" t="s">
        <v>1112</v>
      </c>
      <c r="M86" s="2448" t="s">
        <v>1112</v>
      </c>
    </row>
    <row r="87" spans="2:13" ht="13.5" thickBot="1">
      <c r="B87" s="2449"/>
      <c r="C87" s="2450"/>
      <c r="D87" s="2450"/>
      <c r="E87" s="2450"/>
      <c r="F87" s="2450"/>
      <c r="G87" s="2450"/>
      <c r="H87" s="2450"/>
      <c r="I87" s="2450"/>
      <c r="J87" s="2450"/>
      <c r="K87" s="2451"/>
      <c r="L87" s="2450"/>
      <c r="M87" s="2452"/>
    </row>
    <row r="88" spans="2:13">
      <c r="B88" s="2453" t="s">
        <v>1115</v>
      </c>
      <c r="C88" s="2454" t="s">
        <v>1116</v>
      </c>
      <c r="D88" s="2455"/>
      <c r="E88" s="2455"/>
      <c r="F88" s="2456"/>
      <c r="G88" s="2455"/>
      <c r="H88" s="2455"/>
      <c r="I88" s="2455"/>
      <c r="J88" s="2455"/>
      <c r="K88" s="2458"/>
      <c r="L88" s="2455"/>
      <c r="M88" s="2459"/>
    </row>
    <row r="89" spans="2:13">
      <c r="B89" s="2449"/>
      <c r="C89" s="2450" t="s">
        <v>1117</v>
      </c>
      <c r="D89" s="2450" t="s">
        <v>1118</v>
      </c>
      <c r="E89" s="2450" t="s">
        <v>219</v>
      </c>
      <c r="F89" s="2451">
        <v>201860</v>
      </c>
      <c r="G89" s="2450" t="s">
        <v>67</v>
      </c>
      <c r="H89" s="2502">
        <v>140000</v>
      </c>
      <c r="I89" s="2450" t="s">
        <v>12</v>
      </c>
      <c r="J89" s="2503">
        <v>28260.400000000001</v>
      </c>
      <c r="K89" s="2504">
        <v>2892.9619240224147</v>
      </c>
      <c r="L89" s="2505">
        <v>0.34218177411982142</v>
      </c>
      <c r="M89" s="2505">
        <v>4.9790140275739629E-2</v>
      </c>
    </row>
    <row r="90" spans="2:13">
      <c r="B90" s="2449"/>
      <c r="C90" s="2450"/>
      <c r="D90" s="2450"/>
      <c r="E90" s="2450"/>
      <c r="F90" s="2451"/>
      <c r="G90" s="2450"/>
      <c r="H90" s="2502"/>
      <c r="I90" s="2450"/>
      <c r="J90" s="2450"/>
      <c r="K90" s="2504"/>
      <c r="L90" s="2505"/>
      <c r="M90" s="2506"/>
    </row>
    <row r="91" spans="2:13">
      <c r="B91" s="2449"/>
      <c r="C91" s="2450" t="s">
        <v>286</v>
      </c>
      <c r="D91" s="2450" t="s">
        <v>13</v>
      </c>
      <c r="E91" s="2450" t="s">
        <v>219</v>
      </c>
      <c r="F91" s="2451">
        <v>620</v>
      </c>
      <c r="G91" s="2450" t="s">
        <v>67</v>
      </c>
      <c r="H91" s="2502">
        <v>140000</v>
      </c>
      <c r="I91" s="2450" t="s">
        <v>12</v>
      </c>
      <c r="J91" s="2507">
        <v>86.8</v>
      </c>
      <c r="K91" s="2508">
        <v>6.98</v>
      </c>
      <c r="L91" s="2509">
        <v>0</v>
      </c>
      <c r="M91" s="2510">
        <v>0</v>
      </c>
    </row>
    <row r="92" spans="2:13" ht="13.5" thickBot="1">
      <c r="B92" s="2466"/>
      <c r="C92" s="2467"/>
      <c r="D92" s="2467"/>
      <c r="E92" s="2467"/>
      <c r="F92" s="2511"/>
      <c r="G92" s="2467"/>
      <c r="H92" s="2512"/>
      <c r="I92" s="2467"/>
      <c r="J92" s="2513"/>
      <c r="K92" s="2514"/>
      <c r="L92" s="2515"/>
      <c r="M92" s="2516"/>
    </row>
    <row r="93" spans="2:13">
      <c r="B93" s="2449"/>
      <c r="C93" s="2450"/>
      <c r="D93" s="2450"/>
      <c r="E93" s="2450"/>
      <c r="F93" s="2502"/>
      <c r="G93" s="2450"/>
      <c r="H93" s="2502"/>
      <c r="I93" s="2450"/>
      <c r="J93" s="2517"/>
      <c r="K93" s="2502"/>
      <c r="L93" s="2518"/>
      <c r="M93" s="2452"/>
    </row>
    <row r="94" spans="2:13">
      <c r="B94" s="2449" t="s">
        <v>1120</v>
      </c>
      <c r="C94" s="2474" t="s">
        <v>1127</v>
      </c>
      <c r="D94" s="2450"/>
      <c r="E94" s="2450"/>
      <c r="F94" s="2502"/>
      <c r="G94" s="2450"/>
      <c r="H94" s="2502"/>
      <c r="I94" s="2450"/>
      <c r="J94" s="2450"/>
      <c r="K94" s="2502"/>
      <c r="L94" s="2518"/>
      <c r="M94" s="2452"/>
    </row>
    <row r="95" spans="2:13">
      <c r="B95" s="2449"/>
      <c r="C95" s="2474"/>
      <c r="D95" s="2450"/>
      <c r="E95" s="2450"/>
      <c r="F95" s="2502"/>
      <c r="G95" s="2450"/>
      <c r="H95" s="2502"/>
      <c r="I95" s="2450"/>
      <c r="J95" s="2450"/>
      <c r="K95" s="2519"/>
      <c r="L95" s="2518"/>
      <c r="M95" s="2452"/>
    </row>
    <row r="96" spans="2:13">
      <c r="B96" s="2449"/>
      <c r="C96" s="2450" t="s">
        <v>14</v>
      </c>
      <c r="D96" s="2460" t="s">
        <v>1128</v>
      </c>
      <c r="E96" s="2450" t="s">
        <v>15</v>
      </c>
      <c r="F96" s="2451">
        <v>973350</v>
      </c>
      <c r="G96" s="2450" t="s">
        <v>67</v>
      </c>
      <c r="H96" s="2520">
        <v>0.13700000000000001</v>
      </c>
      <c r="I96" s="2450" t="s">
        <v>1148</v>
      </c>
      <c r="J96" s="2521">
        <v>133348.95000000001</v>
      </c>
      <c r="K96" s="2504">
        <v>14035.041117413279</v>
      </c>
      <c r="L96" s="2522">
        <v>0.44</v>
      </c>
      <c r="M96" s="2523">
        <v>8.7999999999999995E-2</v>
      </c>
    </row>
    <row r="97" spans="2:13">
      <c r="B97" s="2449"/>
      <c r="C97" s="2450"/>
      <c r="D97" s="2460"/>
      <c r="E97" s="2450"/>
      <c r="F97" s="2502"/>
      <c r="G97" s="2450"/>
      <c r="H97" s="2502"/>
      <c r="I97" s="2450"/>
      <c r="J97" s="2524"/>
      <c r="K97" s="2525"/>
      <c r="L97" s="2508"/>
      <c r="M97" s="2523"/>
    </row>
    <row r="98" spans="2:13">
      <c r="B98" s="2449"/>
      <c r="C98" s="2450" t="s">
        <v>17</v>
      </c>
      <c r="D98" s="2460" t="s">
        <v>1130</v>
      </c>
      <c r="E98" s="2450" t="s">
        <v>15</v>
      </c>
      <c r="F98" s="2451">
        <v>1295070</v>
      </c>
      <c r="G98" s="2450" t="s">
        <v>67</v>
      </c>
      <c r="H98" s="2519">
        <v>0.13700000000000001</v>
      </c>
      <c r="I98" s="2450" t="s">
        <v>1148</v>
      </c>
      <c r="J98" s="2521">
        <v>177424.59000000003</v>
      </c>
      <c r="K98" s="2504">
        <v>19199.366700235161</v>
      </c>
      <c r="L98" s="2526">
        <v>0.58599999999999997</v>
      </c>
      <c r="M98" s="2523">
        <v>0.11700000000000001</v>
      </c>
    </row>
    <row r="99" spans="2:13" ht="13.5" thickBot="1">
      <c r="B99" s="2449"/>
      <c r="C99" s="2450"/>
      <c r="D99" s="2460"/>
      <c r="E99" s="2450"/>
      <c r="F99" s="2502"/>
      <c r="G99" s="2450"/>
      <c r="H99" s="2502"/>
      <c r="I99" s="2450"/>
      <c r="J99" s="2450"/>
      <c r="K99" s="2502"/>
      <c r="L99" s="2518"/>
      <c r="M99" s="2452"/>
    </row>
    <row r="100" spans="2:13">
      <c r="B100" s="2453"/>
      <c r="C100" s="2455"/>
      <c r="D100" s="2476"/>
      <c r="E100" s="2455"/>
      <c r="F100" s="2456"/>
      <c r="G100" s="2455"/>
      <c r="H100" s="2456"/>
      <c r="I100" s="2455"/>
      <c r="J100" s="2455"/>
      <c r="K100" s="2456"/>
      <c r="L100" s="2527"/>
      <c r="M100" s="2459"/>
    </row>
    <row r="101" spans="2:13">
      <c r="B101" s="2449" t="s">
        <v>1131</v>
      </c>
      <c r="C101" s="2474" t="s">
        <v>1132</v>
      </c>
      <c r="D101" s="2460"/>
      <c r="E101" s="2450"/>
      <c r="F101" s="2502"/>
      <c r="G101" s="2450"/>
      <c r="H101" s="2502"/>
      <c r="I101" s="2450"/>
      <c r="J101" s="2450"/>
      <c r="K101" s="2502"/>
      <c r="L101" s="2518"/>
      <c r="M101" s="2452"/>
    </row>
    <row r="102" spans="2:13">
      <c r="B102" s="2449"/>
      <c r="C102" s="2450" t="s">
        <v>112</v>
      </c>
      <c r="D102" s="2460" t="s">
        <v>113</v>
      </c>
      <c r="E102" s="2450" t="s">
        <v>15</v>
      </c>
      <c r="F102" s="2451">
        <v>137930</v>
      </c>
      <c r="G102" s="2450" t="s">
        <v>67</v>
      </c>
      <c r="H102" s="2502">
        <v>139</v>
      </c>
      <c r="I102" s="2450" t="s">
        <v>16</v>
      </c>
      <c r="J102" s="2524">
        <v>19172.27</v>
      </c>
      <c r="K102" s="2525">
        <v>1403</v>
      </c>
      <c r="L102" s="2528">
        <v>6.4000000000000001E-2</v>
      </c>
      <c r="M102" s="2529">
        <v>1.2999999999999999E-2</v>
      </c>
    </row>
    <row r="103" spans="2:13">
      <c r="B103" s="2449"/>
      <c r="C103" s="2450"/>
      <c r="D103" s="2460"/>
      <c r="E103" s="2450"/>
      <c r="F103" s="2502"/>
      <c r="G103" s="2450"/>
      <c r="H103" s="2502"/>
      <c r="I103" s="2450"/>
      <c r="J103" s="2517"/>
      <c r="K103" s="2450"/>
      <c r="L103" s="2519"/>
      <c r="M103" s="2530"/>
    </row>
    <row r="104" spans="2:13">
      <c r="B104" s="2449"/>
      <c r="C104" s="2450" t="s">
        <v>114</v>
      </c>
      <c r="D104" s="2460" t="s">
        <v>115</v>
      </c>
      <c r="E104" s="2450" t="s">
        <v>15</v>
      </c>
      <c r="F104" s="2451">
        <v>100730</v>
      </c>
      <c r="G104" s="2450" t="s">
        <v>67</v>
      </c>
      <c r="H104" s="2502">
        <v>139</v>
      </c>
      <c r="I104" s="2450" t="s">
        <v>16</v>
      </c>
      <c r="J104" s="2524">
        <v>14001.47</v>
      </c>
      <c r="K104" s="2525">
        <v>1015</v>
      </c>
      <c r="L104" s="2531">
        <v>4.5999999999999999E-2</v>
      </c>
      <c r="M104" s="2532">
        <v>8.9999999999999993E-3</v>
      </c>
    </row>
    <row r="105" spans="2:13">
      <c r="B105" s="2449"/>
      <c r="C105" s="2450"/>
      <c r="D105" s="2460"/>
      <c r="E105" s="2450"/>
      <c r="F105" s="2451"/>
      <c r="G105" s="2450"/>
      <c r="H105" s="2502"/>
      <c r="I105" s="2450"/>
      <c r="J105" s="2517"/>
      <c r="K105" s="2450"/>
      <c r="L105" s="2450"/>
      <c r="M105" s="2530"/>
    </row>
    <row r="106" spans="2:13">
      <c r="B106" s="2449"/>
      <c r="C106" s="2450" t="s">
        <v>116</v>
      </c>
      <c r="D106" s="2460" t="s">
        <v>117</v>
      </c>
      <c r="E106" s="2450" t="s">
        <v>15</v>
      </c>
      <c r="F106" s="2451">
        <v>349138</v>
      </c>
      <c r="G106" s="2450" t="s">
        <v>67</v>
      </c>
      <c r="H106" s="2502">
        <v>139</v>
      </c>
      <c r="I106" s="2450" t="s">
        <v>16</v>
      </c>
      <c r="J106" s="2524">
        <v>48530.182000000001</v>
      </c>
      <c r="K106" s="2525">
        <v>3517</v>
      </c>
      <c r="L106" s="2531">
        <v>0.154</v>
      </c>
      <c r="M106" s="2532">
        <v>3.2000000000000001E-2</v>
      </c>
    </row>
    <row r="107" spans="2:13" ht="13.5" thickBot="1">
      <c r="B107" s="2449"/>
      <c r="C107" s="2450"/>
      <c r="D107" s="2450"/>
      <c r="E107" s="2450"/>
      <c r="F107" s="2502"/>
      <c r="G107" s="2450"/>
      <c r="H107" s="2502"/>
      <c r="I107" s="2450"/>
      <c r="J107" s="2517"/>
      <c r="K107" s="2502"/>
      <c r="L107" s="2518"/>
      <c r="M107" s="2452"/>
    </row>
    <row r="108" spans="2:13">
      <c r="B108" s="2453"/>
      <c r="C108" s="2454"/>
      <c r="D108" s="2455"/>
      <c r="E108" s="2455"/>
      <c r="F108" s="2456"/>
      <c r="G108" s="2455"/>
      <c r="H108" s="2456"/>
      <c r="I108" s="2455"/>
      <c r="J108" s="2533"/>
      <c r="K108" s="2456"/>
      <c r="L108" s="2527"/>
      <c r="M108" s="2459"/>
    </row>
    <row r="109" spans="2:13">
      <c r="B109" s="2449" t="s">
        <v>1137</v>
      </c>
      <c r="C109" s="2474" t="s">
        <v>1138</v>
      </c>
      <c r="D109" s="2450"/>
      <c r="E109" s="2450"/>
      <c r="F109" s="2502"/>
      <c r="G109" s="2450"/>
      <c r="H109" s="2502"/>
      <c r="I109" s="2450"/>
      <c r="J109" s="2517"/>
      <c r="K109" s="2502"/>
      <c r="L109" s="2518"/>
      <c r="M109" s="2534"/>
    </row>
    <row r="110" spans="2:13">
      <c r="B110" s="2449"/>
      <c r="C110" s="2450" t="s">
        <v>1139</v>
      </c>
      <c r="D110" s="2460" t="s">
        <v>1128</v>
      </c>
      <c r="E110" s="2450" t="s">
        <v>18</v>
      </c>
      <c r="F110" s="2451">
        <v>308618</v>
      </c>
      <c r="G110" s="2450" t="s">
        <v>67</v>
      </c>
      <c r="H110" s="2502">
        <v>136269</v>
      </c>
      <c r="I110" s="2450" t="s">
        <v>12</v>
      </c>
      <c r="J110" s="2517">
        <v>42055.066242000001</v>
      </c>
      <c r="K110" s="2502">
        <v>4469.154662128436</v>
      </c>
      <c r="L110" s="2518">
        <v>0.13903404899605198</v>
      </c>
      <c r="M110" s="2506">
        <v>2.7806809799210398E-2</v>
      </c>
    </row>
    <row r="111" spans="2:13">
      <c r="B111" s="2449"/>
      <c r="C111" s="2450"/>
      <c r="D111" s="2450"/>
      <c r="E111" s="2450"/>
      <c r="F111" s="2502"/>
      <c r="G111" s="2450"/>
      <c r="H111" s="2502"/>
      <c r="I111" s="2450"/>
      <c r="J111" s="2524"/>
      <c r="K111" s="2525"/>
      <c r="L111" s="2531"/>
      <c r="M111" s="2506"/>
    </row>
    <row r="112" spans="2:13">
      <c r="B112" s="2449"/>
      <c r="C112" s="2450" t="s">
        <v>1141</v>
      </c>
      <c r="D112" s="2460" t="s">
        <v>1130</v>
      </c>
      <c r="E112" s="2450" t="s">
        <v>18</v>
      </c>
      <c r="F112" s="2451">
        <v>501774</v>
      </c>
      <c r="G112" s="2450" t="s">
        <v>67</v>
      </c>
      <c r="H112" s="2502">
        <v>136306</v>
      </c>
      <c r="I112" s="2450" t="s">
        <v>12</v>
      </c>
      <c r="J112" s="2517">
        <v>68394.806844000006</v>
      </c>
      <c r="K112" s="2502">
        <v>7581.1294296492415</v>
      </c>
      <c r="L112" s="2518">
        <v>0.22611323142626399</v>
      </c>
      <c r="M112" s="2506">
        <v>4.5222646285252799E-2</v>
      </c>
    </row>
    <row r="113" spans="2:13">
      <c r="B113" s="2449"/>
      <c r="C113" s="2450"/>
      <c r="D113" s="2460"/>
      <c r="E113" s="2450"/>
      <c r="F113" s="2502"/>
      <c r="G113" s="2450"/>
      <c r="H113" s="2502"/>
      <c r="I113" s="2450"/>
      <c r="J113" s="2517"/>
      <c r="K113" s="2502"/>
      <c r="L113" s="2518"/>
      <c r="M113" s="2535"/>
    </row>
    <row r="114" spans="2:13">
      <c r="B114" s="2449"/>
      <c r="C114" s="2450" t="s">
        <v>19</v>
      </c>
      <c r="D114" s="2460" t="s">
        <v>1147</v>
      </c>
      <c r="E114" s="2450" t="s">
        <v>18</v>
      </c>
      <c r="F114" s="2451">
        <v>54180</v>
      </c>
      <c r="G114" s="2450" t="s">
        <v>67</v>
      </c>
      <c r="H114" s="2502">
        <v>135811</v>
      </c>
      <c r="I114" s="2450" t="s">
        <v>12</v>
      </c>
      <c r="J114" s="2517">
        <v>7358.2399800000003</v>
      </c>
      <c r="K114" s="2502">
        <v>409.75374567234064</v>
      </c>
      <c r="L114" s="2518">
        <v>2.4326341373879998E-2</v>
      </c>
      <c r="M114" s="2506">
        <v>4.8652682747759995E-3</v>
      </c>
    </row>
    <row r="115" spans="2:13">
      <c r="B115" s="2449"/>
      <c r="C115" s="2450"/>
      <c r="D115" s="2460"/>
      <c r="E115" s="2450"/>
      <c r="F115" s="2502"/>
      <c r="G115" s="2450"/>
      <c r="H115" s="2502"/>
      <c r="I115" s="2450"/>
      <c r="J115" s="2517"/>
      <c r="K115" s="2502"/>
      <c r="L115" s="2518"/>
      <c r="M115" s="2535"/>
    </row>
    <row r="116" spans="2:13">
      <c r="B116" s="2449"/>
      <c r="C116" s="2450" t="s">
        <v>21</v>
      </c>
      <c r="D116" s="2460" t="s">
        <v>20</v>
      </c>
      <c r="E116" s="2450" t="s">
        <v>18</v>
      </c>
      <c r="F116" s="2451">
        <v>70660</v>
      </c>
      <c r="G116" s="2450" t="s">
        <v>67</v>
      </c>
      <c r="H116" s="2502">
        <v>135444</v>
      </c>
      <c r="I116" s="2450" t="s">
        <v>12</v>
      </c>
      <c r="J116" s="2517">
        <v>9570.4730400000008</v>
      </c>
      <c r="K116" s="2502">
        <v>571.3659539403659</v>
      </c>
      <c r="L116" s="2518">
        <v>3.1639983870240002E-2</v>
      </c>
      <c r="M116" s="2506">
        <v>6.327996774048E-3</v>
      </c>
    </row>
    <row r="117" spans="2:13">
      <c r="B117" s="2449"/>
      <c r="C117" s="2450"/>
      <c r="D117" s="2460"/>
      <c r="E117" s="2450"/>
      <c r="F117" s="2502"/>
      <c r="G117" s="2450"/>
      <c r="H117" s="2502"/>
      <c r="I117" s="2450"/>
      <c r="J117" s="2524"/>
      <c r="K117" s="2502"/>
      <c r="L117" s="2518"/>
      <c r="M117" s="2535"/>
    </row>
    <row r="118" spans="2:13">
      <c r="B118" s="2449"/>
      <c r="C118" s="2450" t="s">
        <v>287</v>
      </c>
      <c r="D118" s="2247" t="s">
        <v>22</v>
      </c>
      <c r="E118" s="2450" t="s">
        <v>18</v>
      </c>
      <c r="F118" s="2451">
        <v>202020</v>
      </c>
      <c r="G118" s="2450" t="s">
        <v>67</v>
      </c>
      <c r="H118" s="2502">
        <v>136306</v>
      </c>
      <c r="I118" s="2450" t="s">
        <v>12</v>
      </c>
      <c r="J118" s="2524">
        <v>27536.538120000001</v>
      </c>
      <c r="K118" s="2525">
        <v>2244.9699999999998</v>
      </c>
      <c r="L118" s="2536">
        <v>9.1035795024720007E-2</v>
      </c>
      <c r="M118" s="2510">
        <v>1.8207159004943997E-2</v>
      </c>
    </row>
    <row r="119" spans="2:13">
      <c r="B119" s="2449"/>
      <c r="C119" s="2450"/>
      <c r="D119" s="2460"/>
      <c r="E119" s="2450"/>
      <c r="F119" s="2502"/>
      <c r="G119" s="2450"/>
      <c r="H119" s="2502"/>
      <c r="I119" s="2450"/>
      <c r="J119" s="2517"/>
      <c r="K119" s="2502"/>
      <c r="L119" s="2518"/>
      <c r="M119" s="2535"/>
    </row>
    <row r="120" spans="2:13">
      <c r="B120" s="2449"/>
      <c r="C120" s="2450" t="s">
        <v>23</v>
      </c>
      <c r="D120" s="2460" t="s">
        <v>24</v>
      </c>
      <c r="E120" s="2450" t="s">
        <v>18</v>
      </c>
      <c r="F120" s="2451">
        <v>227840</v>
      </c>
      <c r="G120" s="2450" t="s">
        <v>67</v>
      </c>
      <c r="H120" s="2502">
        <v>136306</v>
      </c>
      <c r="I120" s="2450" t="s">
        <v>12</v>
      </c>
      <c r="J120" s="2524">
        <v>10527</v>
      </c>
      <c r="K120" s="2525">
        <v>2467.3000000000002</v>
      </c>
      <c r="L120" s="2536">
        <v>3.4802261999999994E-2</v>
      </c>
      <c r="M120" s="2510">
        <v>6.9604523999999991E-3</v>
      </c>
    </row>
    <row r="121" spans="2:13">
      <c r="B121" s="2449"/>
      <c r="C121" s="2450"/>
      <c r="D121" s="2460"/>
      <c r="E121" s="2450"/>
      <c r="F121" s="2502"/>
      <c r="G121" s="2450"/>
      <c r="H121" s="2502"/>
      <c r="I121" s="2450"/>
      <c r="J121" s="2517"/>
      <c r="K121" s="2502"/>
      <c r="L121" s="2518"/>
      <c r="M121" s="2535"/>
    </row>
    <row r="122" spans="2:13">
      <c r="B122" s="2449"/>
      <c r="C122" s="2450" t="s">
        <v>26</v>
      </c>
      <c r="D122" s="2247" t="s">
        <v>27</v>
      </c>
      <c r="E122" s="2450" t="s">
        <v>18</v>
      </c>
      <c r="F122" s="2451">
        <v>901320</v>
      </c>
      <c r="G122" s="2450" t="s">
        <v>67</v>
      </c>
      <c r="H122" s="2502">
        <v>136306</v>
      </c>
      <c r="I122" s="2450" t="s">
        <v>12</v>
      </c>
      <c r="J122" s="2517">
        <v>122855.32392</v>
      </c>
      <c r="K122" s="2504">
        <v>9966.4848386597823</v>
      </c>
      <c r="L122" s="2518">
        <v>0.40615970087951991</v>
      </c>
      <c r="M122" s="2506">
        <v>8.1231940175903974E-2</v>
      </c>
    </row>
    <row r="123" spans="2:13">
      <c r="B123" s="2449"/>
      <c r="C123" s="2450"/>
      <c r="D123" s="2460"/>
      <c r="E123" s="2450"/>
      <c r="F123" s="2502"/>
      <c r="G123" s="2450"/>
      <c r="H123" s="2502"/>
      <c r="I123" s="2450"/>
      <c r="J123" s="2504"/>
      <c r="K123" s="2504"/>
      <c r="L123" s="2508"/>
      <c r="M123" s="2506"/>
    </row>
    <row r="124" spans="2:13">
      <c r="B124" s="2449"/>
      <c r="C124" s="2450" t="s">
        <v>28</v>
      </c>
      <c r="D124" s="2247" t="s">
        <v>29</v>
      </c>
      <c r="E124" s="2450" t="s">
        <v>18</v>
      </c>
      <c r="F124" s="2451">
        <v>204227</v>
      </c>
      <c r="G124" s="2450" t="s">
        <v>67</v>
      </c>
      <c r="H124" s="2502">
        <v>136306</v>
      </c>
      <c r="I124" s="2450" t="s">
        <v>12</v>
      </c>
      <c r="J124" s="2517">
        <v>27837.365462000002</v>
      </c>
      <c r="K124" s="2504">
        <v>1933.0026849959586</v>
      </c>
      <c r="L124" s="2518">
        <v>9.2030330217372003E-2</v>
      </c>
      <c r="M124" s="2506">
        <v>1.84060660434744E-2</v>
      </c>
    </row>
    <row r="125" spans="2:13">
      <c r="B125" s="2449"/>
      <c r="C125" s="2450"/>
      <c r="D125" s="2460"/>
      <c r="E125" s="2450"/>
      <c r="F125" s="2451"/>
      <c r="G125" s="2450"/>
      <c r="H125" s="2502"/>
      <c r="I125" s="2450"/>
      <c r="J125" s="2524"/>
      <c r="K125" s="2504"/>
      <c r="L125" s="2508"/>
      <c r="M125" s="2506"/>
    </row>
    <row r="126" spans="2:13">
      <c r="B126" s="2449"/>
      <c r="C126" s="2450"/>
      <c r="D126" s="2247" t="s">
        <v>751</v>
      </c>
      <c r="E126" s="2450" t="s">
        <v>18</v>
      </c>
      <c r="F126" s="2451">
        <v>1208420</v>
      </c>
      <c r="G126" s="2450" t="s">
        <v>67</v>
      </c>
      <c r="H126" s="2502">
        <v>136306</v>
      </c>
      <c r="I126" s="2450" t="s">
        <v>12</v>
      </c>
      <c r="J126" s="2517">
        <v>164714.89652000001</v>
      </c>
      <c r="K126" s="2504">
        <v>11437.660566931972</v>
      </c>
      <c r="L126" s="2518">
        <v>0.54454744789512</v>
      </c>
      <c r="M126" s="2506">
        <v>0.10890948957902399</v>
      </c>
    </row>
    <row r="127" spans="2:13">
      <c r="B127" s="2449"/>
      <c r="C127" s="2450"/>
      <c r="D127" s="2460"/>
      <c r="E127" s="2450"/>
      <c r="F127" s="2502"/>
      <c r="G127" s="2450"/>
      <c r="H127" s="2502"/>
      <c r="I127" s="2450"/>
      <c r="J127" s="2524"/>
      <c r="K127" s="2504"/>
      <c r="L127" s="2508"/>
      <c r="M127" s="2506"/>
    </row>
    <row r="128" spans="2:13">
      <c r="B128" s="2449"/>
      <c r="C128" s="2450" t="s">
        <v>30</v>
      </c>
      <c r="D128" s="2247" t="s">
        <v>31</v>
      </c>
      <c r="E128" s="2450" t="s">
        <v>18</v>
      </c>
      <c r="F128" s="2451">
        <v>916689</v>
      </c>
      <c r="G128" s="2450" t="s">
        <v>67</v>
      </c>
      <c r="H128" s="2502">
        <v>136306</v>
      </c>
      <c r="I128" s="2450" t="s">
        <v>12</v>
      </c>
      <c r="J128" s="2517">
        <v>124950.210834</v>
      </c>
      <c r="K128" s="2504">
        <v>9242.4067769236335</v>
      </c>
      <c r="L128" s="2518">
        <v>0.41308539701720398</v>
      </c>
      <c r="M128" s="2506">
        <v>8.2617079403440777E-2</v>
      </c>
    </row>
    <row r="129" spans="2:13">
      <c r="B129" s="2449"/>
      <c r="C129" s="2450"/>
      <c r="D129" s="2460"/>
      <c r="E129" s="2450"/>
      <c r="F129" s="2502"/>
      <c r="G129" s="2450"/>
      <c r="H129" s="2502"/>
      <c r="I129" s="2450"/>
      <c r="J129" s="2524"/>
      <c r="K129" s="2502"/>
      <c r="L129" s="2518"/>
      <c r="M129" s="2535"/>
    </row>
    <row r="130" spans="2:13">
      <c r="B130" s="2449"/>
      <c r="C130" s="2450" t="s">
        <v>288</v>
      </c>
      <c r="D130" s="2460" t="s">
        <v>289</v>
      </c>
      <c r="E130" s="2450" t="s">
        <v>18</v>
      </c>
      <c r="F130" s="2451">
        <v>183788</v>
      </c>
      <c r="G130" s="2450" t="s">
        <v>67</v>
      </c>
      <c r="H130" s="2502">
        <v>136306</v>
      </c>
      <c r="I130" s="2450" t="s">
        <v>12</v>
      </c>
      <c r="J130" s="2524">
        <v>25051.407127999999</v>
      </c>
      <c r="K130" s="2525">
        <v>2042.37</v>
      </c>
      <c r="L130" s="2531">
        <v>8.281995196516799E-2</v>
      </c>
      <c r="M130" s="2510">
        <v>1.6563990393033596E-2</v>
      </c>
    </row>
    <row r="131" spans="2:13">
      <c r="B131" s="2449"/>
      <c r="C131" s="2450" t="s">
        <v>290</v>
      </c>
      <c r="D131" s="2460" t="s">
        <v>291</v>
      </c>
      <c r="E131" s="2450" t="s">
        <v>18</v>
      </c>
      <c r="F131" s="2451">
        <v>181738</v>
      </c>
      <c r="G131" s="2450" t="s">
        <v>67</v>
      </c>
      <c r="H131" s="2502">
        <v>136306</v>
      </c>
      <c r="I131" s="2450" t="s">
        <v>12</v>
      </c>
      <c r="J131" s="2524">
        <v>24771.979828</v>
      </c>
      <c r="K131" s="2525">
        <v>2019</v>
      </c>
      <c r="L131" s="2531">
        <v>8.1896165311367994E-2</v>
      </c>
      <c r="M131" s="2510">
        <v>1.6379233062273596E-2</v>
      </c>
    </row>
    <row r="132" spans="2:13">
      <c r="B132" s="2449"/>
      <c r="C132" s="2450" t="s">
        <v>292</v>
      </c>
      <c r="D132" s="2460" t="s">
        <v>293</v>
      </c>
      <c r="E132" s="2450" t="s">
        <v>18</v>
      </c>
      <c r="F132" s="2451">
        <v>196838</v>
      </c>
      <c r="G132" s="2450" t="s">
        <v>67</v>
      </c>
      <c r="H132" s="2502">
        <v>136306</v>
      </c>
      <c r="I132" s="2450" t="s">
        <v>12</v>
      </c>
      <c r="J132" s="2524">
        <v>26830.200428</v>
      </c>
      <c r="K132" s="2525">
        <v>2187.39</v>
      </c>
      <c r="L132" s="2531">
        <v>8.8700642614968003E-2</v>
      </c>
      <c r="M132" s="2510">
        <v>1.7740128522993597E-2</v>
      </c>
    </row>
    <row r="133" spans="2:13" ht="13.5" thickBot="1">
      <c r="B133" s="2449"/>
      <c r="C133" s="2450"/>
      <c r="D133" s="2450"/>
      <c r="E133" s="2450"/>
      <c r="F133" s="2502"/>
      <c r="G133" s="2450"/>
      <c r="H133" s="2502"/>
      <c r="I133" s="2450"/>
      <c r="J133" s="2517"/>
      <c r="K133" s="2502"/>
      <c r="L133" s="2518"/>
      <c r="M133" s="2452"/>
    </row>
    <row r="134" spans="2:13">
      <c r="B134" s="2453"/>
      <c r="C134" s="2455"/>
      <c r="D134" s="2476"/>
      <c r="E134" s="2455"/>
      <c r="F134" s="2456"/>
      <c r="G134" s="2455"/>
      <c r="H134" s="2456"/>
      <c r="I134" s="2455"/>
      <c r="J134" s="2533"/>
      <c r="K134" s="2456"/>
      <c r="L134" s="2527"/>
      <c r="M134" s="2459"/>
    </row>
    <row r="135" spans="2:13">
      <c r="B135" s="2449" t="s">
        <v>78</v>
      </c>
      <c r="C135" s="2474" t="s">
        <v>79</v>
      </c>
      <c r="D135" s="2460"/>
      <c r="E135" s="2450"/>
      <c r="F135" s="2502"/>
      <c r="G135" s="2450"/>
      <c r="H135" s="2502"/>
      <c r="I135" s="2450"/>
      <c r="J135" s="2517"/>
      <c r="K135" s="2502"/>
      <c r="L135" s="2518"/>
      <c r="M135" s="2452"/>
    </row>
    <row r="136" spans="2:13">
      <c r="B136" s="2449"/>
      <c r="C136" s="2450" t="s">
        <v>294</v>
      </c>
      <c r="D136" s="2460" t="s">
        <v>80</v>
      </c>
      <c r="E136" s="2450" t="s">
        <v>18</v>
      </c>
      <c r="F136" s="2451">
        <v>876185</v>
      </c>
      <c r="G136" s="2450" t="s">
        <v>67</v>
      </c>
      <c r="H136" s="2502">
        <v>136821.28</v>
      </c>
      <c r="I136" s="2450" t="s">
        <v>12</v>
      </c>
      <c r="J136" s="2517">
        <v>119880.7532168</v>
      </c>
      <c r="K136" s="2451">
        <v>9109.3429013205059</v>
      </c>
      <c r="L136" s="2521">
        <v>0.3963257701347408</v>
      </c>
      <c r="M136" s="2537">
        <v>7.9265154026948156E-2</v>
      </c>
    </row>
    <row r="137" spans="2:13" ht="13.5" thickBot="1">
      <c r="B137" s="2449"/>
      <c r="C137" s="2450"/>
      <c r="D137" s="2460"/>
      <c r="E137" s="2450"/>
      <c r="F137" s="2451"/>
      <c r="G137" s="2450"/>
      <c r="H137" s="2502"/>
      <c r="I137" s="2450"/>
      <c r="J137" s="2450"/>
      <c r="K137" s="2450"/>
      <c r="L137" s="2450"/>
      <c r="M137" s="2452"/>
    </row>
    <row r="138" spans="2:13">
      <c r="B138" s="2453"/>
      <c r="C138" s="2455"/>
      <c r="D138" s="2476"/>
      <c r="E138" s="2455"/>
      <c r="F138" s="2458"/>
      <c r="G138" s="2455"/>
      <c r="H138" s="2456"/>
      <c r="I138" s="2455"/>
      <c r="J138" s="2455"/>
      <c r="K138" s="2455"/>
      <c r="L138" s="2455"/>
      <c r="M138" s="2459"/>
    </row>
    <row r="139" spans="2:13">
      <c r="B139" s="2449" t="s">
        <v>1142</v>
      </c>
      <c r="C139" s="2474" t="s">
        <v>1143</v>
      </c>
      <c r="D139" s="2460"/>
      <c r="E139" s="2450"/>
      <c r="F139" s="2502"/>
      <c r="G139" s="2450"/>
      <c r="H139" s="2502"/>
      <c r="I139" s="2450"/>
      <c r="J139" s="2517"/>
      <c r="K139" s="2502"/>
      <c r="L139" s="2518"/>
      <c r="M139" s="2452"/>
    </row>
    <row r="140" spans="2:13">
      <c r="B140" s="2449"/>
      <c r="C140" s="2450"/>
      <c r="D140" s="2460"/>
      <c r="E140" s="2450"/>
      <c r="F140" s="2502"/>
      <c r="G140" s="2450"/>
      <c r="H140" s="2502"/>
      <c r="I140" s="2450"/>
      <c r="J140" s="2517"/>
      <c r="K140" s="2502"/>
      <c r="L140" s="2518"/>
      <c r="M140" s="2534"/>
    </row>
    <row r="141" spans="2:13">
      <c r="B141" s="2449"/>
      <c r="C141" s="2450" t="s">
        <v>32</v>
      </c>
      <c r="D141" s="2460" t="s">
        <v>193</v>
      </c>
      <c r="E141" s="2450" t="s">
        <v>33</v>
      </c>
      <c r="F141" s="2451">
        <v>277368</v>
      </c>
      <c r="G141" s="2450" t="s">
        <v>67</v>
      </c>
      <c r="H141" s="2538">
        <v>0.13700000000000001</v>
      </c>
      <c r="I141" s="2450" t="s">
        <v>1150</v>
      </c>
      <c r="J141" s="2524">
        <v>37999.416000000005</v>
      </c>
      <c r="K141" s="2525">
        <v>3098</v>
      </c>
      <c r="L141" s="2539">
        <v>0.121</v>
      </c>
      <c r="M141" s="2529">
        <v>2.5000000000000001E-2</v>
      </c>
    </row>
    <row r="142" spans="2:13" ht="13.5" thickBot="1">
      <c r="B142" s="2449"/>
      <c r="C142" s="2450"/>
      <c r="D142" s="2460"/>
      <c r="E142" s="2450"/>
      <c r="F142" s="2451"/>
      <c r="G142" s="2450"/>
      <c r="H142" s="2538"/>
      <c r="I142" s="2450"/>
      <c r="J142" s="2524"/>
      <c r="K142" s="2525"/>
      <c r="L142" s="2539"/>
      <c r="M142" s="2452"/>
    </row>
    <row r="143" spans="2:13">
      <c r="B143" s="2453"/>
      <c r="C143" s="2455"/>
      <c r="D143" s="2476"/>
      <c r="E143" s="2455"/>
      <c r="F143" s="2458"/>
      <c r="G143" s="2455"/>
      <c r="H143" s="2540"/>
      <c r="I143" s="2455"/>
      <c r="J143" s="2541"/>
      <c r="K143" s="2542"/>
      <c r="L143" s="2543"/>
      <c r="M143" s="2459"/>
    </row>
    <row r="144" spans="2:13">
      <c r="B144" s="2449" t="s">
        <v>35</v>
      </c>
      <c r="C144" s="2474" t="s">
        <v>36</v>
      </c>
      <c r="D144" s="2460"/>
      <c r="E144" s="2450"/>
      <c r="F144" s="2502"/>
      <c r="G144" s="2450"/>
      <c r="H144" s="2502"/>
      <c r="I144" s="2450"/>
      <c r="J144" s="2517"/>
      <c r="K144" s="2502"/>
      <c r="L144" s="2518"/>
      <c r="M144" s="2452"/>
    </row>
    <row r="145" spans="2:13">
      <c r="B145" s="2449"/>
      <c r="C145" s="2450" t="s">
        <v>37</v>
      </c>
      <c r="D145" s="2460" t="s">
        <v>38</v>
      </c>
      <c r="E145" s="2450" t="s">
        <v>33</v>
      </c>
      <c r="F145" s="2451">
        <v>4170000</v>
      </c>
      <c r="G145" s="2450" t="s">
        <v>67</v>
      </c>
      <c r="H145" s="2502">
        <v>138</v>
      </c>
      <c r="I145" s="2450" t="s">
        <v>34</v>
      </c>
      <c r="J145" s="2517">
        <v>575460</v>
      </c>
      <c r="K145" s="2504">
        <v>36179.925868807069</v>
      </c>
      <c r="L145" s="2508">
        <v>0.32271989625138015</v>
      </c>
      <c r="M145" s="2544">
        <v>3.5297488652494706E-2</v>
      </c>
    </row>
    <row r="146" spans="2:13">
      <c r="B146" s="2449"/>
      <c r="C146" s="2450"/>
      <c r="D146" s="2460"/>
      <c r="E146" s="2450"/>
      <c r="F146" s="2451"/>
      <c r="G146" s="2450"/>
      <c r="H146" s="2502"/>
      <c r="I146" s="2450"/>
      <c r="J146" s="2517"/>
      <c r="K146" s="2502"/>
      <c r="L146" s="2518"/>
      <c r="M146" s="2534"/>
    </row>
    <row r="147" spans="2:13">
      <c r="B147" s="2449"/>
      <c r="C147" s="2450" t="s">
        <v>39</v>
      </c>
      <c r="D147" s="2460" t="s">
        <v>40</v>
      </c>
      <c r="E147" s="2450" t="s">
        <v>33</v>
      </c>
      <c r="F147" s="2451">
        <v>568000</v>
      </c>
      <c r="G147" s="2450" t="s">
        <v>67</v>
      </c>
      <c r="H147" s="2502">
        <v>138.07300000000001</v>
      </c>
      <c r="I147" s="2450" t="s">
        <v>34</v>
      </c>
      <c r="J147" s="2524">
        <v>78425.464000000007</v>
      </c>
      <c r="K147" s="2525">
        <v>7031</v>
      </c>
      <c r="L147" s="2545">
        <v>0</v>
      </c>
      <c r="M147" s="2546">
        <v>0</v>
      </c>
    </row>
    <row r="148" spans="2:13">
      <c r="B148" s="2449"/>
      <c r="C148" s="2450"/>
      <c r="D148" s="2460"/>
      <c r="E148" s="2450"/>
      <c r="F148" s="2451"/>
      <c r="G148" s="2450"/>
      <c r="H148" s="2502"/>
      <c r="I148" s="2450"/>
      <c r="J148" s="2517"/>
      <c r="K148" s="2525"/>
      <c r="L148" s="2545"/>
      <c r="M148" s="2546"/>
    </row>
    <row r="149" spans="2:13">
      <c r="B149" s="2449"/>
      <c r="C149" s="2450" t="s">
        <v>41</v>
      </c>
      <c r="D149" s="2460" t="s">
        <v>42</v>
      </c>
      <c r="E149" s="2450" t="s">
        <v>33</v>
      </c>
      <c r="F149" s="2451">
        <v>999000</v>
      </c>
      <c r="G149" s="2450" t="s">
        <v>67</v>
      </c>
      <c r="H149" s="2502">
        <v>138.07300000000001</v>
      </c>
      <c r="I149" s="2450" t="s">
        <v>34</v>
      </c>
      <c r="J149" s="2524">
        <v>137934.927</v>
      </c>
      <c r="K149" s="2525">
        <v>12430</v>
      </c>
      <c r="L149" s="2545">
        <v>0</v>
      </c>
      <c r="M149" s="2546">
        <v>0</v>
      </c>
    </row>
    <row r="150" spans="2:13">
      <c r="B150" s="2449"/>
      <c r="C150" s="2450"/>
      <c r="D150" s="2460"/>
      <c r="E150" s="2450"/>
      <c r="F150" s="2451"/>
      <c r="G150" s="2450"/>
      <c r="H150" s="2502"/>
      <c r="I150" s="2450"/>
      <c r="J150" s="2517"/>
      <c r="K150" s="2525"/>
      <c r="L150" s="2545"/>
      <c r="M150" s="2546"/>
    </row>
    <row r="151" spans="2:13">
      <c r="B151" s="2449"/>
      <c r="C151" s="2450" t="s">
        <v>43</v>
      </c>
      <c r="D151" s="2460" t="s">
        <v>44</v>
      </c>
      <c r="E151" s="2450" t="s">
        <v>33</v>
      </c>
      <c r="F151" s="2451">
        <v>29000</v>
      </c>
      <c r="G151" s="2450" t="s">
        <v>67</v>
      </c>
      <c r="H151" s="2502">
        <v>138.07300000000001</v>
      </c>
      <c r="I151" s="2450" t="s">
        <v>34</v>
      </c>
      <c r="J151" s="2524">
        <v>4004.1170000000002</v>
      </c>
      <c r="K151" s="2525">
        <v>641</v>
      </c>
      <c r="L151" s="2545">
        <v>0</v>
      </c>
      <c r="M151" s="2546">
        <v>0</v>
      </c>
    </row>
    <row r="152" spans="2:13">
      <c r="B152" s="2449"/>
      <c r="C152" s="2450"/>
      <c r="D152" s="2460"/>
      <c r="E152" s="2450"/>
      <c r="F152" s="2451"/>
      <c r="G152" s="2450"/>
      <c r="H152" s="2502"/>
      <c r="I152" s="2450"/>
      <c r="J152" s="2517"/>
      <c r="K152" s="2525"/>
      <c r="L152" s="2545"/>
      <c r="M152" s="2546"/>
    </row>
    <row r="153" spans="2:13">
      <c r="B153" s="2449"/>
      <c r="C153" s="2450" t="s">
        <v>45</v>
      </c>
      <c r="D153" s="2460" t="s">
        <v>46</v>
      </c>
      <c r="E153" s="2450" t="s">
        <v>33</v>
      </c>
      <c r="F153" s="2451">
        <v>680000</v>
      </c>
      <c r="G153" s="2450" t="s">
        <v>67</v>
      </c>
      <c r="H153" s="2502">
        <v>138.07300000000001</v>
      </c>
      <c r="I153" s="2450" t="s">
        <v>34</v>
      </c>
      <c r="J153" s="2524">
        <v>93889.64</v>
      </c>
      <c r="K153" s="2525">
        <v>8489</v>
      </c>
      <c r="L153" s="2545">
        <v>0</v>
      </c>
      <c r="M153" s="2546">
        <v>0</v>
      </c>
    </row>
    <row r="154" spans="2:13">
      <c r="B154" s="2449"/>
      <c r="C154" s="2450"/>
      <c r="D154" s="2460"/>
      <c r="E154" s="2450"/>
      <c r="F154" s="2502"/>
      <c r="G154" s="2450"/>
      <c r="H154" s="2502"/>
      <c r="I154" s="2450"/>
      <c r="J154" s="2517"/>
      <c r="K154" s="2502"/>
      <c r="L154" s="2518"/>
      <c r="M154" s="2452"/>
    </row>
    <row r="155" spans="2:13" ht="13.5" thickBot="1">
      <c r="B155" s="2449"/>
      <c r="C155" s="2450"/>
      <c r="D155" s="2460"/>
      <c r="E155" s="2450"/>
      <c r="F155" s="2451"/>
      <c r="G155" s="2450"/>
      <c r="H155" s="2502"/>
      <c r="I155" s="2450"/>
      <c r="J155" s="2517"/>
      <c r="K155" s="2504"/>
      <c r="L155" s="2508"/>
      <c r="M155" s="2452"/>
    </row>
    <row r="156" spans="2:13">
      <c r="B156" s="2453"/>
      <c r="C156" s="2455"/>
      <c r="D156" s="2476"/>
      <c r="E156" s="2455"/>
      <c r="F156" s="2458"/>
      <c r="G156" s="2455"/>
      <c r="H156" s="2456"/>
      <c r="I156" s="2455"/>
      <c r="J156" s="2533"/>
      <c r="K156" s="2547"/>
      <c r="L156" s="2548"/>
      <c r="M156" s="2459"/>
    </row>
    <row r="157" spans="2:13">
      <c r="B157" s="2449" t="s">
        <v>48</v>
      </c>
      <c r="C157" s="2474" t="s">
        <v>49</v>
      </c>
      <c r="D157" s="2460"/>
      <c r="E157" s="2450"/>
      <c r="F157" s="2502"/>
      <c r="G157" s="2450"/>
      <c r="H157" s="2502"/>
      <c r="I157" s="2450"/>
      <c r="J157" s="2450"/>
      <c r="K157" s="2502"/>
      <c r="L157" s="2518"/>
      <c r="M157" s="2452"/>
    </row>
    <row r="158" spans="2:13">
      <c r="B158" s="2449"/>
      <c r="C158" s="2450" t="s">
        <v>64</v>
      </c>
      <c r="D158" s="2460" t="s">
        <v>65</v>
      </c>
      <c r="E158" s="2450" t="s">
        <v>47</v>
      </c>
      <c r="F158" s="2451">
        <v>183000</v>
      </c>
      <c r="G158" s="2450" t="s">
        <v>67</v>
      </c>
      <c r="H158" s="2502">
        <v>138.774</v>
      </c>
      <c r="I158" s="2450" t="s">
        <v>82</v>
      </c>
      <c r="J158" s="2524">
        <v>25395.642</v>
      </c>
      <c r="K158" s="2525">
        <v>4368</v>
      </c>
      <c r="L158" s="2528">
        <v>0.2</v>
      </c>
      <c r="M158" s="2549">
        <v>0</v>
      </c>
    </row>
    <row r="159" spans="2:13">
      <c r="B159" s="2449"/>
      <c r="C159" s="2450"/>
      <c r="D159" s="2460"/>
      <c r="E159" s="2550"/>
      <c r="F159" s="2451"/>
      <c r="G159" s="2550"/>
      <c r="H159" s="2502"/>
      <c r="I159" s="2550"/>
      <c r="J159" s="2517"/>
      <c r="K159" s="2525"/>
      <c r="L159" s="2528"/>
      <c r="M159" s="2549"/>
    </row>
    <row r="160" spans="2:13">
      <c r="B160" s="2449"/>
      <c r="C160" s="2450" t="s">
        <v>50</v>
      </c>
      <c r="D160" s="2460" t="s">
        <v>51</v>
      </c>
      <c r="E160" s="2450" t="s">
        <v>47</v>
      </c>
      <c r="F160" s="2451">
        <v>172000</v>
      </c>
      <c r="G160" s="2450" t="s">
        <v>67</v>
      </c>
      <c r="H160" s="2502">
        <v>138.774</v>
      </c>
      <c r="I160" s="2550" t="s">
        <v>34</v>
      </c>
      <c r="J160" s="2524">
        <v>23869.128000000001</v>
      </c>
      <c r="K160" s="2525">
        <v>1947</v>
      </c>
      <c r="L160" s="2528">
        <v>0.1</v>
      </c>
      <c r="M160" s="2549">
        <v>0</v>
      </c>
    </row>
    <row r="161" spans="2:13">
      <c r="B161" s="2449"/>
      <c r="C161" s="2450"/>
      <c r="D161" s="2460"/>
      <c r="E161" s="2550"/>
      <c r="F161" s="2451"/>
      <c r="G161" s="2550"/>
      <c r="H161" s="2502"/>
      <c r="I161" s="2550"/>
      <c r="J161" s="2517"/>
      <c r="K161" s="2525"/>
      <c r="L161" s="2528"/>
      <c r="M161" s="2549"/>
    </row>
    <row r="162" spans="2:13">
      <c r="B162" s="2449"/>
      <c r="C162" s="2450" t="s">
        <v>52</v>
      </c>
      <c r="D162" s="2460" t="s">
        <v>53</v>
      </c>
      <c r="E162" s="2450" t="s">
        <v>47</v>
      </c>
      <c r="F162" s="2451">
        <v>197000</v>
      </c>
      <c r="G162" s="2450" t="s">
        <v>67</v>
      </c>
      <c r="H162" s="2502">
        <v>138.774</v>
      </c>
      <c r="I162" s="2550" t="s">
        <v>34</v>
      </c>
      <c r="J162" s="2524">
        <v>27338.477999999999</v>
      </c>
      <c r="K162" s="2525">
        <v>2230</v>
      </c>
      <c r="L162" s="2528">
        <v>0.1</v>
      </c>
      <c r="M162" s="2549">
        <v>0</v>
      </c>
    </row>
    <row r="163" spans="2:13" ht="13.5" thickBot="1">
      <c r="B163" s="2449"/>
      <c r="C163" s="2450"/>
      <c r="D163" s="2460"/>
      <c r="E163" s="2450"/>
      <c r="F163" s="2451"/>
      <c r="G163" s="2450"/>
      <c r="H163" s="2502"/>
      <c r="I163" s="2550"/>
      <c r="J163" s="2524"/>
      <c r="K163" s="2450"/>
      <c r="L163" s="2450"/>
      <c r="M163" s="2452"/>
    </row>
    <row r="164" spans="2:13">
      <c r="B164" s="2453"/>
      <c r="C164" s="2455"/>
      <c r="D164" s="2476"/>
      <c r="E164" s="2455"/>
      <c r="F164" s="2458"/>
      <c r="G164" s="2455"/>
      <c r="H164" s="2456"/>
      <c r="I164" s="2551"/>
      <c r="J164" s="2541"/>
      <c r="K164" s="2455"/>
      <c r="L164" s="2455"/>
      <c r="M164" s="2459"/>
    </row>
    <row r="165" spans="2:13">
      <c r="B165" s="2449" t="s">
        <v>54</v>
      </c>
      <c r="C165" s="2474" t="s">
        <v>55</v>
      </c>
      <c r="D165" s="2460"/>
      <c r="E165" s="2450"/>
      <c r="F165" s="2450"/>
      <c r="G165" s="2450"/>
      <c r="H165" s="2450"/>
      <c r="I165" s="2450"/>
      <c r="J165" s="2450"/>
      <c r="K165" s="2450"/>
      <c r="L165" s="2450"/>
      <c r="M165" s="2452"/>
    </row>
    <row r="166" spans="2:13">
      <c r="B166" s="2449"/>
      <c r="C166" s="2450" t="s">
        <v>295</v>
      </c>
      <c r="D166" s="2460" t="s">
        <v>56</v>
      </c>
      <c r="E166" s="2450" t="s">
        <v>47</v>
      </c>
      <c r="F166" s="2503">
        <v>53219</v>
      </c>
      <c r="G166" s="2450" t="s">
        <v>67</v>
      </c>
      <c r="H166" s="2503">
        <v>138465</v>
      </c>
      <c r="I166" s="2450" t="s">
        <v>57</v>
      </c>
      <c r="J166" s="2552">
        <v>7368.9688349999997</v>
      </c>
      <c r="K166" s="2553">
        <v>623.17072477230727</v>
      </c>
      <c r="L166" s="2554">
        <v>0.03</v>
      </c>
      <c r="M166" s="2555">
        <v>0.01</v>
      </c>
    </row>
    <row r="167" spans="2:13">
      <c r="B167" s="2449"/>
      <c r="C167" s="2450"/>
      <c r="D167" s="2460"/>
      <c r="E167" s="2450"/>
      <c r="F167" s="2450"/>
      <c r="G167" s="2450"/>
      <c r="H167" s="2450"/>
      <c r="I167" s="2450"/>
      <c r="J167" s="2450"/>
      <c r="K167" s="2450"/>
      <c r="L167" s="2450"/>
      <c r="M167" s="2555"/>
    </row>
    <row r="168" spans="2:13">
      <c r="B168" s="2449"/>
      <c r="C168" s="2450" t="s">
        <v>296</v>
      </c>
      <c r="D168" s="2460" t="s">
        <v>742</v>
      </c>
      <c r="E168" s="2450" t="s">
        <v>47</v>
      </c>
      <c r="F168" s="2503">
        <v>34860</v>
      </c>
      <c r="G168" s="2450" t="s">
        <v>67</v>
      </c>
      <c r="H168" s="2503">
        <v>138451</v>
      </c>
      <c r="I168" s="2450" t="s">
        <v>57</v>
      </c>
      <c r="J168" s="2504">
        <v>4826.4018599999999</v>
      </c>
      <c r="K168" s="2507">
        <v>393.48</v>
      </c>
      <c r="L168" s="2507">
        <v>0.02</v>
      </c>
      <c r="M168" s="2529">
        <v>0</v>
      </c>
    </row>
    <row r="169" spans="2:13">
      <c r="B169" s="2449"/>
      <c r="C169" s="2450"/>
      <c r="D169" s="2460"/>
      <c r="E169" s="2450"/>
      <c r="F169" s="2450"/>
      <c r="G169" s="2450"/>
      <c r="H169" s="2450"/>
      <c r="I169" s="2450"/>
      <c r="J169" s="2556"/>
      <c r="K169" s="2450"/>
      <c r="L169" s="2507"/>
      <c r="M169" s="2555"/>
    </row>
    <row r="170" spans="2:13">
      <c r="B170" s="2449"/>
      <c r="C170" s="2450" t="s">
        <v>297</v>
      </c>
      <c r="D170" s="2460" t="s">
        <v>743</v>
      </c>
      <c r="E170" s="2450" t="s">
        <v>47</v>
      </c>
      <c r="F170" s="2503">
        <v>130151</v>
      </c>
      <c r="G170" s="2450" t="s">
        <v>67</v>
      </c>
      <c r="H170" s="2503">
        <v>138411</v>
      </c>
      <c r="I170" s="2450" t="s">
        <v>57</v>
      </c>
      <c r="J170" s="2504">
        <v>18014.330061000001</v>
      </c>
      <c r="K170" s="2525">
        <v>1468.64</v>
      </c>
      <c r="L170" s="2507">
        <v>0.06</v>
      </c>
      <c r="M170" s="2529">
        <v>0.01</v>
      </c>
    </row>
    <row r="171" spans="2:13" ht="13.5" thickBot="1">
      <c r="B171" s="2449"/>
      <c r="C171" s="2450"/>
      <c r="D171" s="2460"/>
      <c r="E171" s="2450"/>
      <c r="F171" s="2552"/>
      <c r="G171" s="2450"/>
      <c r="H171" s="2552"/>
      <c r="I171" s="2450"/>
      <c r="J171" s="2502"/>
      <c r="K171" s="2507"/>
      <c r="L171" s="2450"/>
      <c r="M171" s="2452"/>
    </row>
    <row r="172" spans="2:13">
      <c r="B172" s="2453"/>
      <c r="C172" s="2455"/>
      <c r="D172" s="2476"/>
      <c r="E172" s="2455"/>
      <c r="F172" s="2455"/>
      <c r="G172" s="2455"/>
      <c r="H172" s="2455"/>
      <c r="I172" s="2455"/>
      <c r="J172" s="2455"/>
      <c r="K172" s="2455"/>
      <c r="L172" s="2455"/>
      <c r="M172" s="2459"/>
    </row>
    <row r="173" spans="2:13">
      <c r="B173" s="2449" t="s">
        <v>0</v>
      </c>
      <c r="C173" s="2474" t="s">
        <v>1</v>
      </c>
      <c r="D173" s="2460"/>
      <c r="E173" s="2450"/>
      <c r="F173" s="2450"/>
      <c r="G173" s="2450"/>
      <c r="H173" s="2450"/>
      <c r="I173" s="2450"/>
      <c r="J173" s="2450"/>
      <c r="K173" s="2450"/>
      <c r="L173" s="2450"/>
      <c r="M173" s="2452"/>
    </row>
    <row r="174" spans="2:13">
      <c r="B174" s="2449"/>
      <c r="C174" s="2450" t="s">
        <v>2</v>
      </c>
      <c r="D174" s="2460" t="s">
        <v>3</v>
      </c>
      <c r="E174" s="2450" t="s">
        <v>47</v>
      </c>
      <c r="F174" s="2503">
        <v>183120</v>
      </c>
      <c r="G174" s="2450" t="s">
        <v>67</v>
      </c>
      <c r="H174" s="2552">
        <v>139181</v>
      </c>
      <c r="I174" s="2450" t="s">
        <v>57</v>
      </c>
      <c r="J174" s="2451">
        <v>25486.824720000001</v>
      </c>
      <c r="K174" s="2502">
        <v>2516.8517722481024</v>
      </c>
      <c r="L174" s="2557">
        <v>8.4283249221465045E-2</v>
      </c>
      <c r="M174" s="2544">
        <v>1.6856649844293008E-2</v>
      </c>
    </row>
    <row r="175" spans="2:13">
      <c r="B175" s="2449"/>
      <c r="C175" s="2450"/>
      <c r="D175" s="2460"/>
      <c r="E175" s="2450"/>
      <c r="F175" s="2450"/>
      <c r="G175" s="2450"/>
      <c r="H175" s="2450"/>
      <c r="I175" s="2450"/>
      <c r="J175" s="2450"/>
      <c r="K175" s="2450"/>
      <c r="L175" s="2450"/>
      <c r="M175" s="2452"/>
    </row>
    <row r="176" spans="2:13">
      <c r="B176" s="2449"/>
      <c r="C176" s="2450" t="s">
        <v>4</v>
      </c>
      <c r="D176" s="2460" t="s">
        <v>5</v>
      </c>
      <c r="E176" s="2450" t="s">
        <v>47</v>
      </c>
      <c r="F176" s="2503">
        <v>173460</v>
      </c>
      <c r="G176" s="2450" t="s">
        <v>67</v>
      </c>
      <c r="H176" s="2552">
        <v>139181</v>
      </c>
      <c r="I176" s="2450" t="s">
        <v>57</v>
      </c>
      <c r="J176" s="2451">
        <v>24142.33626</v>
      </c>
      <c r="K176" s="2502">
        <v>2384.0808824782107</v>
      </c>
      <c r="L176" s="2557">
        <v>7.9837114514828139E-2</v>
      </c>
      <c r="M176" s="2544">
        <v>1.5967422902965624E-2</v>
      </c>
    </row>
    <row r="177" spans="2:13">
      <c r="B177" s="2449"/>
      <c r="C177" s="2450"/>
      <c r="D177" s="2460"/>
      <c r="E177" s="2450"/>
      <c r="F177" s="2450"/>
      <c r="G177" s="2450"/>
      <c r="H177" s="2450"/>
      <c r="I177" s="2450"/>
      <c r="J177" s="2450"/>
      <c r="K177" s="2450"/>
      <c r="L177" s="2450"/>
      <c r="M177" s="2452"/>
    </row>
    <row r="178" spans="2:13">
      <c r="B178" s="2449"/>
      <c r="C178" s="2450" t="s">
        <v>6</v>
      </c>
      <c r="D178" s="2460" t="s">
        <v>7</v>
      </c>
      <c r="E178" s="2450" t="s">
        <v>47</v>
      </c>
      <c r="F178" s="2503">
        <v>279720</v>
      </c>
      <c r="G178" s="2450" t="s">
        <v>67</v>
      </c>
      <c r="H178" s="2552">
        <v>139181</v>
      </c>
      <c r="I178" s="2450" t="s">
        <v>57</v>
      </c>
      <c r="J178" s="2451">
        <v>38931.709320000002</v>
      </c>
      <c r="K178" s="2502">
        <v>3844.548083468168</v>
      </c>
      <c r="L178" s="2557">
        <v>0.12874459628783422</v>
      </c>
      <c r="M178" s="2544">
        <v>2.5748919257566841E-2</v>
      </c>
    </row>
    <row r="179" spans="2:13">
      <c r="B179" s="2449"/>
      <c r="C179" s="2450"/>
      <c r="D179" s="2460"/>
      <c r="E179" s="2450"/>
      <c r="F179" s="2450"/>
      <c r="G179" s="2450"/>
      <c r="H179" s="2450"/>
      <c r="I179" s="2450"/>
      <c r="J179" s="2450"/>
      <c r="K179" s="2450"/>
      <c r="L179" s="2450"/>
      <c r="M179" s="2452"/>
    </row>
    <row r="180" spans="2:13">
      <c r="B180" s="2449"/>
      <c r="C180" s="2450" t="s">
        <v>298</v>
      </c>
      <c r="D180" s="2460" t="s">
        <v>743</v>
      </c>
      <c r="E180" s="2450" t="s">
        <v>47</v>
      </c>
      <c r="F180" s="2503">
        <v>55212</v>
      </c>
      <c r="G180" s="2450" t="s">
        <v>67</v>
      </c>
      <c r="H180" s="2552">
        <v>139181</v>
      </c>
      <c r="I180" s="2450" t="s">
        <v>57</v>
      </c>
      <c r="J180" s="2558">
        <v>7684.4613719999998</v>
      </c>
      <c r="K180" s="2507">
        <v>626</v>
      </c>
      <c r="L180" s="2528">
        <v>2.0701407331935825E-3</v>
      </c>
      <c r="M180" s="2555">
        <v>4.1402814663871646E-4</v>
      </c>
    </row>
    <row r="181" spans="2:13" ht="13.5" thickBot="1">
      <c r="B181" s="2449"/>
      <c r="C181" s="2450"/>
      <c r="D181" s="2460"/>
      <c r="E181" s="2450"/>
      <c r="F181" s="2450"/>
      <c r="G181" s="2450"/>
      <c r="H181" s="2450"/>
      <c r="I181" s="2450"/>
      <c r="J181" s="2450"/>
      <c r="K181" s="2450"/>
      <c r="L181" s="2450"/>
      <c r="M181" s="2452"/>
    </row>
    <row r="182" spans="2:13">
      <c r="B182" s="2453"/>
      <c r="C182" s="2455"/>
      <c r="D182" s="2476"/>
      <c r="E182" s="2455"/>
      <c r="F182" s="2455"/>
      <c r="G182" s="2455"/>
      <c r="H182" s="2455"/>
      <c r="I182" s="2455"/>
      <c r="J182" s="2455"/>
      <c r="K182" s="2455"/>
      <c r="L182" s="2455"/>
      <c r="M182" s="2459"/>
    </row>
    <row r="183" spans="2:13">
      <c r="B183" s="2449" t="s">
        <v>58</v>
      </c>
      <c r="C183" s="2474" t="s">
        <v>59</v>
      </c>
      <c r="D183" s="2460"/>
      <c r="E183" s="2450"/>
      <c r="F183" s="2450"/>
      <c r="G183" s="2450"/>
      <c r="H183" s="2450"/>
      <c r="I183" s="2450"/>
      <c r="J183" s="2450"/>
      <c r="K183" s="2450"/>
      <c r="L183" s="2450"/>
      <c r="M183" s="2452"/>
    </row>
    <row r="184" spans="2:13">
      <c r="B184" s="2449"/>
      <c r="C184" s="2450" t="s">
        <v>60</v>
      </c>
      <c r="D184" s="2460" t="s">
        <v>747</v>
      </c>
      <c r="E184" s="2450" t="s">
        <v>47</v>
      </c>
      <c r="F184" s="2503">
        <v>1638420</v>
      </c>
      <c r="G184" s="2450" t="s">
        <v>67</v>
      </c>
      <c r="H184" s="2552">
        <v>139181</v>
      </c>
      <c r="I184" s="2450" t="s">
        <v>57</v>
      </c>
      <c r="J184" s="2451">
        <v>228036.93401999999</v>
      </c>
      <c r="K184" s="2502">
        <v>17136.712688158765</v>
      </c>
      <c r="L184" s="2557">
        <v>0.75410310828654847</v>
      </c>
      <c r="M184" s="2559">
        <v>0.15082062165730967</v>
      </c>
    </row>
    <row r="185" spans="2:13">
      <c r="B185" s="2449"/>
      <c r="C185" s="2450"/>
      <c r="D185" s="2460"/>
      <c r="E185" s="2450"/>
      <c r="F185" s="2450"/>
      <c r="G185" s="2450"/>
      <c r="H185" s="2450"/>
      <c r="I185" s="2450"/>
      <c r="J185" s="2450"/>
      <c r="K185" s="2450"/>
      <c r="L185" s="2450"/>
      <c r="M185" s="2452"/>
    </row>
    <row r="186" spans="2:13">
      <c r="B186" s="2449"/>
      <c r="C186" s="2450"/>
      <c r="D186" s="2460" t="s">
        <v>24</v>
      </c>
      <c r="E186" s="2450" t="s">
        <v>47</v>
      </c>
      <c r="F186" s="2503">
        <v>1167180</v>
      </c>
      <c r="G186" s="2450" t="s">
        <v>67</v>
      </c>
      <c r="H186" s="2552">
        <v>139181</v>
      </c>
      <c r="I186" s="2450" t="s">
        <v>57</v>
      </c>
      <c r="J186" s="2451">
        <v>162449.27958</v>
      </c>
      <c r="K186" s="2502">
        <v>10478.670150563274</v>
      </c>
      <c r="L186" s="2557">
        <v>0.53720905868452151</v>
      </c>
      <c r="M186" s="2559">
        <v>0.10744181173690427</v>
      </c>
    </row>
    <row r="187" spans="2:13" ht="13.5" thickBot="1">
      <c r="B187" s="2449"/>
      <c r="C187" s="2450"/>
      <c r="D187" s="2460"/>
      <c r="E187" s="2450"/>
      <c r="F187" s="2450"/>
      <c r="G187" s="2450"/>
      <c r="H187" s="2450"/>
      <c r="I187" s="2450"/>
      <c r="J187" s="2450"/>
      <c r="K187" s="2450"/>
      <c r="L187" s="2450"/>
      <c r="M187" s="2452"/>
    </row>
    <row r="188" spans="2:13">
      <c r="B188" s="2453"/>
      <c r="C188" s="2455"/>
      <c r="D188" s="2476"/>
      <c r="E188" s="2455"/>
      <c r="F188" s="2455"/>
      <c r="G188" s="2455"/>
      <c r="H188" s="2455"/>
      <c r="I188" s="2455"/>
      <c r="J188" s="2455"/>
      <c r="K188" s="2455"/>
      <c r="L188" s="2455"/>
      <c r="M188" s="2459"/>
    </row>
    <row r="189" spans="2:13">
      <c r="B189" s="2449" t="s">
        <v>8</v>
      </c>
      <c r="C189" s="2474" t="s">
        <v>9</v>
      </c>
      <c r="D189" s="2460"/>
      <c r="E189" s="2450"/>
      <c r="F189" s="2450"/>
      <c r="G189" s="2450"/>
      <c r="H189" s="2450"/>
      <c r="I189" s="2450"/>
      <c r="J189" s="2450"/>
      <c r="K189" s="2450"/>
      <c r="L189" s="2450"/>
      <c r="M189" s="2452"/>
    </row>
    <row r="190" spans="2:13">
      <c r="B190" s="2449"/>
      <c r="C190" s="2450" t="s">
        <v>10</v>
      </c>
      <c r="D190" s="2460" t="s">
        <v>1128</v>
      </c>
      <c r="E190" s="2450" t="s">
        <v>47</v>
      </c>
      <c r="F190" s="2503">
        <v>150606</v>
      </c>
      <c r="G190" s="2450" t="s">
        <v>67</v>
      </c>
      <c r="H190" s="2552">
        <v>138308.39499999999</v>
      </c>
      <c r="I190" s="2450" t="s">
        <v>57</v>
      </c>
      <c r="J190" s="2451">
        <v>20830.07413737</v>
      </c>
      <c r="K190" s="2502">
        <v>2059.9556464972366</v>
      </c>
      <c r="L190" s="2557">
        <v>0.24299895533577917</v>
      </c>
      <c r="M190" s="2544">
        <v>3.5349127523013682E-2</v>
      </c>
    </row>
    <row r="191" spans="2:13">
      <c r="B191" s="2449"/>
      <c r="C191" s="2450"/>
      <c r="D191" s="2460"/>
      <c r="E191" s="2450"/>
      <c r="F191" s="2450"/>
      <c r="G191" s="2450"/>
      <c r="H191" s="2450"/>
      <c r="I191" s="2450"/>
      <c r="J191" s="2517"/>
      <c r="K191" s="2552"/>
      <c r="L191" s="2450"/>
      <c r="M191" s="2452"/>
    </row>
    <row r="192" spans="2:13">
      <c r="B192" s="2449"/>
      <c r="C192" s="2450" t="s">
        <v>11</v>
      </c>
      <c r="D192" s="2460" t="s">
        <v>1130</v>
      </c>
      <c r="E192" s="2450" t="s">
        <v>47</v>
      </c>
      <c r="F192" s="2503">
        <v>174225</v>
      </c>
      <c r="G192" s="2450" t="s">
        <v>67</v>
      </c>
      <c r="H192" s="2552">
        <v>138308.39499999999</v>
      </c>
      <c r="I192" s="2450" t="s">
        <v>57</v>
      </c>
      <c r="J192" s="2451">
        <v>24096.780118875002</v>
      </c>
      <c r="K192" s="2502">
        <v>2458.7696060821008</v>
      </c>
      <c r="L192" s="2557">
        <v>0.29033380661757069</v>
      </c>
      <c r="M192" s="2544">
        <v>4.2231950931318783E-2</v>
      </c>
    </row>
    <row r="193" spans="2:13">
      <c r="B193" s="2449"/>
      <c r="C193" s="2450"/>
      <c r="D193" s="2460"/>
      <c r="E193" s="2450"/>
      <c r="F193" s="2450"/>
      <c r="G193" s="2450"/>
      <c r="H193" s="2450"/>
      <c r="I193" s="2450"/>
      <c r="J193" s="2450"/>
      <c r="K193" s="2450"/>
      <c r="L193" s="2450"/>
      <c r="M193" s="2452"/>
    </row>
    <row r="194" spans="2:13">
      <c r="B194" s="2449"/>
      <c r="C194" s="2450" t="s">
        <v>299</v>
      </c>
      <c r="D194" s="2460" t="s">
        <v>300</v>
      </c>
      <c r="E194" s="2450" t="s">
        <v>47</v>
      </c>
      <c r="F194" s="2503">
        <v>197104</v>
      </c>
      <c r="G194" s="2450" t="s">
        <v>67</v>
      </c>
      <c r="H194" s="2552">
        <v>138308.39499999999</v>
      </c>
      <c r="I194" s="2450" t="s">
        <v>57</v>
      </c>
      <c r="J194" s="2525">
        <v>27261.137888079997</v>
      </c>
      <c r="K194" s="2525">
        <v>2223</v>
      </c>
      <c r="L194" s="2507">
        <v>0.09</v>
      </c>
      <c r="M194" s="2560">
        <v>0.02</v>
      </c>
    </row>
    <row r="195" spans="2:13">
      <c r="B195" s="2449"/>
      <c r="C195" s="2450" t="s">
        <v>301</v>
      </c>
      <c r="D195" s="2460" t="s">
        <v>747</v>
      </c>
      <c r="E195" s="2450" t="s">
        <v>47</v>
      </c>
      <c r="F195" s="2503">
        <v>349049</v>
      </c>
      <c r="G195" s="2450" t="s">
        <v>67</v>
      </c>
      <c r="H195" s="2552">
        <v>138308.39499999999</v>
      </c>
      <c r="I195" s="2450" t="s">
        <v>57</v>
      </c>
      <c r="J195" s="2451">
        <v>48276.406966354996</v>
      </c>
      <c r="K195" s="2525">
        <v>3936</v>
      </c>
      <c r="L195" s="2507">
        <v>0.16</v>
      </c>
      <c r="M195" s="2560">
        <v>0.03</v>
      </c>
    </row>
    <row r="196" spans="2:13">
      <c r="B196" s="2449"/>
      <c r="C196" s="2450" t="s">
        <v>302</v>
      </c>
      <c r="D196" s="2460" t="s">
        <v>24</v>
      </c>
      <c r="E196" s="2450" t="s">
        <v>47</v>
      </c>
      <c r="F196" s="2503">
        <v>348120</v>
      </c>
      <c r="G196" s="2450" t="s">
        <v>67</v>
      </c>
      <c r="H196" s="2552">
        <v>138308.39499999999</v>
      </c>
      <c r="I196" s="2450" t="s">
        <v>57</v>
      </c>
      <c r="J196" s="2451">
        <v>48147.918467399992</v>
      </c>
      <c r="K196" s="2525">
        <v>3925</v>
      </c>
      <c r="L196" s="2507">
        <v>0.16</v>
      </c>
      <c r="M196" s="2560">
        <v>0.03</v>
      </c>
    </row>
    <row r="197" spans="2:13">
      <c r="B197" s="2449"/>
      <c r="C197" s="2450" t="s">
        <v>61</v>
      </c>
      <c r="D197" s="2460" t="s">
        <v>749</v>
      </c>
      <c r="E197" s="2450" t="s">
        <v>47</v>
      </c>
      <c r="F197" s="2503">
        <v>971924</v>
      </c>
      <c r="G197" s="2450" t="s">
        <v>67</v>
      </c>
      <c r="H197" s="2552">
        <v>138308.39499999999</v>
      </c>
      <c r="I197" s="2450" t="s">
        <v>57</v>
      </c>
      <c r="J197" s="2451">
        <v>134425.24850198001</v>
      </c>
      <c r="K197" s="2525">
        <v>10345</v>
      </c>
      <c r="L197" s="2507">
        <v>0.43</v>
      </c>
      <c r="M197" s="2560">
        <v>0.09</v>
      </c>
    </row>
    <row r="198" spans="2:13">
      <c r="B198" s="2449"/>
      <c r="C198" s="2450" t="s">
        <v>303</v>
      </c>
      <c r="D198" s="2460" t="s">
        <v>750</v>
      </c>
      <c r="E198" s="2450" t="s">
        <v>47</v>
      </c>
      <c r="F198" s="2503">
        <v>991621</v>
      </c>
      <c r="G198" s="2450" t="s">
        <v>67</v>
      </c>
      <c r="H198" s="2552">
        <v>138308.39499999999</v>
      </c>
      <c r="I198" s="2450" t="s">
        <v>57</v>
      </c>
      <c r="J198" s="2451">
        <v>137149.50895829499</v>
      </c>
      <c r="K198" s="2525">
        <v>10835</v>
      </c>
      <c r="L198" s="2507">
        <v>0.44</v>
      </c>
      <c r="M198" s="2560">
        <v>0.09</v>
      </c>
    </row>
    <row r="199" spans="2:13">
      <c r="B199" s="2449"/>
      <c r="C199" s="2450" t="s">
        <v>62</v>
      </c>
      <c r="D199" s="2460" t="s">
        <v>751</v>
      </c>
      <c r="E199" s="2450" t="s">
        <v>47</v>
      </c>
      <c r="F199" s="2503">
        <v>1126646</v>
      </c>
      <c r="G199" s="2450" t="s">
        <v>67</v>
      </c>
      <c r="H199" s="2552">
        <v>138308.39499999999</v>
      </c>
      <c r="I199" s="2450" t="s">
        <v>57</v>
      </c>
      <c r="J199" s="2451">
        <v>155824.59999316998</v>
      </c>
      <c r="K199" s="2525">
        <v>12551</v>
      </c>
      <c r="L199" s="2507">
        <v>0.51</v>
      </c>
      <c r="M199" s="2560">
        <v>0.1</v>
      </c>
    </row>
    <row r="200" spans="2:13">
      <c r="B200" s="2449"/>
      <c r="C200" s="2450" t="s">
        <v>63</v>
      </c>
      <c r="D200" s="2460" t="s">
        <v>752</v>
      </c>
      <c r="E200" s="2450" t="s">
        <v>47</v>
      </c>
      <c r="F200" s="2503">
        <v>891165</v>
      </c>
      <c r="G200" s="2450" t="s">
        <v>67</v>
      </c>
      <c r="H200" s="2552">
        <v>138308.39499999999</v>
      </c>
      <c r="I200" s="2450" t="s">
        <v>57</v>
      </c>
      <c r="J200" s="2451">
        <v>123255.60083017498</v>
      </c>
      <c r="K200" s="2525">
        <v>9425.2999999999993</v>
      </c>
      <c r="L200" s="2507">
        <v>0.38</v>
      </c>
      <c r="M200" s="2560">
        <v>0.08</v>
      </c>
    </row>
    <row r="201" spans="2:13" ht="13.5" thickBot="1">
      <c r="B201" s="2449"/>
      <c r="C201" s="2450"/>
      <c r="D201" s="2460"/>
      <c r="E201" s="2450"/>
      <c r="F201" s="2450"/>
      <c r="G201" s="2450"/>
      <c r="H201" s="2450"/>
      <c r="I201" s="2450"/>
      <c r="J201" s="2450"/>
      <c r="K201" s="2450"/>
      <c r="L201" s="2450"/>
      <c r="M201" s="2452"/>
    </row>
    <row r="202" spans="2:13">
      <c r="B202" s="2453"/>
      <c r="C202" s="2455"/>
      <c r="D202" s="2476"/>
      <c r="E202" s="2455"/>
      <c r="F202" s="2455"/>
      <c r="G202" s="2455"/>
      <c r="H202" s="2455"/>
      <c r="I202" s="2455"/>
      <c r="J202" s="2455"/>
      <c r="K202" s="2455"/>
      <c r="L202" s="2455"/>
      <c r="M202" s="2459"/>
    </row>
    <row r="203" spans="2:13">
      <c r="B203" s="2449"/>
      <c r="C203" s="2450"/>
      <c r="D203" s="2460"/>
      <c r="E203" s="2450"/>
      <c r="F203" s="2450"/>
      <c r="G203" s="2450"/>
      <c r="H203" s="2450"/>
      <c r="I203" s="2450"/>
      <c r="J203" s="2450"/>
      <c r="K203" s="2450"/>
      <c r="L203" s="2450"/>
      <c r="M203" s="2452"/>
    </row>
    <row r="204" spans="2:13">
      <c r="B204" s="2449" t="s">
        <v>87</v>
      </c>
      <c r="C204" s="2474" t="s">
        <v>88</v>
      </c>
      <c r="D204" s="2460"/>
      <c r="E204" s="2450"/>
      <c r="F204" s="2450"/>
      <c r="G204" s="2450"/>
      <c r="H204" s="2450"/>
      <c r="I204" s="2450"/>
      <c r="J204" s="2450"/>
      <c r="K204" s="2450"/>
      <c r="L204" s="2450"/>
      <c r="M204" s="2452"/>
    </row>
    <row r="205" spans="2:13">
      <c r="B205" s="2449"/>
      <c r="C205" s="2450" t="s">
        <v>89</v>
      </c>
      <c r="D205" s="2460" t="s">
        <v>1128</v>
      </c>
      <c r="E205" s="2450" t="s">
        <v>304</v>
      </c>
      <c r="F205" s="2451">
        <v>44550</v>
      </c>
      <c r="G205" s="2450" t="s">
        <v>67</v>
      </c>
      <c r="H205" s="2552">
        <v>140000</v>
      </c>
      <c r="I205" s="2450" t="s">
        <v>137</v>
      </c>
      <c r="J205" s="2451">
        <v>6237</v>
      </c>
      <c r="K205" s="2502">
        <v>370.86616796212962</v>
      </c>
      <c r="L205" s="2557">
        <v>2.6824849512009814E-2</v>
      </c>
      <c r="M205" s="2544">
        <v>9.3098007129916414E-3</v>
      </c>
    </row>
    <row r="206" spans="2:13">
      <c r="B206" s="2449"/>
      <c r="C206" s="2450"/>
      <c r="D206" s="2460"/>
      <c r="E206" s="2450"/>
      <c r="F206" s="2450"/>
      <c r="G206" s="2450"/>
      <c r="H206" s="2450"/>
      <c r="I206" s="2450"/>
      <c r="J206" s="2517"/>
      <c r="K206" s="2450"/>
      <c r="L206" s="2450"/>
      <c r="M206" s="2452"/>
    </row>
    <row r="207" spans="2:13">
      <c r="B207" s="2449"/>
      <c r="C207" s="2450" t="s">
        <v>90</v>
      </c>
      <c r="D207" s="2460" t="s">
        <v>1130</v>
      </c>
      <c r="E207" s="2450" t="s">
        <v>304</v>
      </c>
      <c r="F207" s="2451">
        <v>63771.42857142858</v>
      </c>
      <c r="G207" s="2450" t="s">
        <v>67</v>
      </c>
      <c r="H207" s="2552">
        <v>140000</v>
      </c>
      <c r="I207" s="2450" t="s">
        <v>137</v>
      </c>
      <c r="J207" s="2451">
        <v>8928</v>
      </c>
      <c r="K207" s="2502">
        <v>531.04316377752173</v>
      </c>
      <c r="L207" s="2557">
        <v>3.8285978204761456E-2</v>
      </c>
      <c r="M207" s="2544">
        <v>1.3316861984264853E-2</v>
      </c>
    </row>
    <row r="208" spans="2:13" ht="13.5" thickBot="1">
      <c r="B208" s="2449"/>
      <c r="C208" s="2450"/>
      <c r="D208" s="2460"/>
      <c r="E208" s="2450"/>
      <c r="F208" s="2450"/>
      <c r="G208" s="2450"/>
      <c r="H208" s="2450"/>
      <c r="I208" s="2450"/>
      <c r="J208" s="2450"/>
      <c r="K208" s="2450"/>
      <c r="L208" s="2450"/>
      <c r="M208" s="2516"/>
    </row>
    <row r="209" spans="2:13">
      <c r="B209" s="2453"/>
      <c r="C209" s="2455"/>
      <c r="D209" s="2476"/>
      <c r="E209" s="2455"/>
      <c r="F209" s="2455"/>
      <c r="G209" s="2455"/>
      <c r="H209" s="2455"/>
      <c r="I209" s="2455"/>
      <c r="J209" s="2455"/>
      <c r="K209" s="2455"/>
      <c r="L209" s="2455"/>
      <c r="M209" s="2459"/>
    </row>
    <row r="210" spans="2:13">
      <c r="B210" s="2449" t="s">
        <v>305</v>
      </c>
      <c r="C210" s="2474" t="s">
        <v>118</v>
      </c>
      <c r="D210" s="2460"/>
      <c r="E210" s="2450"/>
      <c r="F210" s="2450"/>
      <c r="G210" s="2450"/>
      <c r="H210" s="2450"/>
      <c r="I210" s="2450"/>
      <c r="J210" s="2450"/>
      <c r="K210" s="2450"/>
      <c r="L210" s="2450"/>
      <c r="M210" s="2452"/>
    </row>
    <row r="211" spans="2:13">
      <c r="B211" s="2449"/>
      <c r="C211" s="2450" t="s">
        <v>119</v>
      </c>
      <c r="D211" s="2460" t="s">
        <v>40</v>
      </c>
      <c r="E211" s="2450" t="s">
        <v>47</v>
      </c>
      <c r="F211" s="2451">
        <v>370000</v>
      </c>
      <c r="G211" s="2450" t="s">
        <v>67</v>
      </c>
      <c r="H211" s="2450">
        <v>138</v>
      </c>
      <c r="I211" s="2450" t="s">
        <v>756</v>
      </c>
      <c r="J211" s="2450">
        <v>51060</v>
      </c>
      <c r="K211" s="2451">
        <v>4159</v>
      </c>
      <c r="L211" s="2561">
        <v>0.01</v>
      </c>
      <c r="M211" s="2562">
        <v>0</v>
      </c>
    </row>
    <row r="212" spans="2:13">
      <c r="B212" s="2449"/>
      <c r="C212" s="2450" t="s">
        <v>120</v>
      </c>
      <c r="D212" s="2460" t="s">
        <v>42</v>
      </c>
      <c r="E212" s="2450" t="s">
        <v>47</v>
      </c>
      <c r="F212" s="2451">
        <v>460000</v>
      </c>
      <c r="G212" s="2450" t="s">
        <v>67</v>
      </c>
      <c r="H212" s="2450">
        <v>138</v>
      </c>
      <c r="I212" s="2450" t="s">
        <v>756</v>
      </c>
      <c r="J212" s="2450">
        <v>63480</v>
      </c>
      <c r="K212" s="2451">
        <v>5171</v>
      </c>
      <c r="L212" s="2561">
        <v>0.02</v>
      </c>
      <c r="M212" s="2562">
        <v>0</v>
      </c>
    </row>
    <row r="213" spans="2:13">
      <c r="B213" s="2449"/>
      <c r="C213" s="2450" t="s">
        <v>121</v>
      </c>
      <c r="D213" s="2460" t="s">
        <v>44</v>
      </c>
      <c r="E213" s="2450" t="s">
        <v>47</v>
      </c>
      <c r="F213" s="2451">
        <v>458000</v>
      </c>
      <c r="G213" s="2450" t="s">
        <v>67</v>
      </c>
      <c r="H213" s="2450">
        <v>138</v>
      </c>
      <c r="I213" s="2450" t="s">
        <v>756</v>
      </c>
      <c r="J213" s="2450">
        <v>63204</v>
      </c>
      <c r="K213" s="2451">
        <v>5148</v>
      </c>
      <c r="L213" s="2561">
        <v>0.02</v>
      </c>
      <c r="M213" s="2562">
        <v>0</v>
      </c>
    </row>
    <row r="214" spans="2:13">
      <c r="B214" s="2449"/>
      <c r="C214" s="2450" t="s">
        <v>122</v>
      </c>
      <c r="D214" s="2460" t="s">
        <v>46</v>
      </c>
      <c r="E214" s="2450" t="s">
        <v>47</v>
      </c>
      <c r="F214" s="2451">
        <v>457000</v>
      </c>
      <c r="G214" s="2450" t="s">
        <v>67</v>
      </c>
      <c r="H214" s="2450">
        <v>138</v>
      </c>
      <c r="I214" s="2450" t="s">
        <v>756</v>
      </c>
      <c r="J214" s="2450">
        <v>63066</v>
      </c>
      <c r="K214" s="2451">
        <v>5137</v>
      </c>
      <c r="L214" s="2561">
        <v>0.02</v>
      </c>
      <c r="M214" s="2562">
        <v>0</v>
      </c>
    </row>
    <row r="215" spans="2:13" ht="13.5" thickBot="1">
      <c r="B215" s="2449"/>
      <c r="C215" s="2450"/>
      <c r="D215" s="2460"/>
      <c r="E215" s="2450"/>
      <c r="F215" s="2450"/>
      <c r="G215" s="2450"/>
      <c r="H215" s="2450"/>
      <c r="I215" s="2450"/>
      <c r="J215" s="2450"/>
      <c r="K215" s="2502"/>
      <c r="L215" s="2450"/>
      <c r="M215" s="2452"/>
    </row>
    <row r="216" spans="2:13">
      <c r="B216" s="2453"/>
      <c r="C216" s="2455"/>
      <c r="D216" s="2476"/>
      <c r="E216" s="2455"/>
      <c r="F216" s="2455"/>
      <c r="G216" s="2455"/>
      <c r="H216" s="2455"/>
      <c r="I216" s="2455"/>
      <c r="J216" s="2455"/>
      <c r="K216" s="2455"/>
      <c r="L216" s="2455"/>
      <c r="M216" s="2459"/>
    </row>
    <row r="217" spans="2:13">
      <c r="B217" s="2449" t="s">
        <v>306</v>
      </c>
      <c r="C217" s="2474" t="s">
        <v>123</v>
      </c>
      <c r="D217" s="2460"/>
      <c r="E217" s="2450"/>
      <c r="F217" s="2450"/>
      <c r="G217" s="2450"/>
      <c r="H217" s="2450"/>
      <c r="I217" s="2450"/>
      <c r="J217" s="2450"/>
      <c r="K217" s="2450"/>
      <c r="L217" s="2450"/>
      <c r="M217" s="2452"/>
    </row>
    <row r="218" spans="2:13">
      <c r="B218" s="2449"/>
      <c r="C218" s="2450" t="s">
        <v>142</v>
      </c>
      <c r="D218" s="2460" t="s">
        <v>758</v>
      </c>
      <c r="E218" s="2450" t="s">
        <v>47</v>
      </c>
      <c r="F218" s="2451">
        <v>2301</v>
      </c>
      <c r="G218" s="2450" t="s">
        <v>67</v>
      </c>
      <c r="H218" s="2450">
        <v>137</v>
      </c>
      <c r="I218" s="2450" t="s">
        <v>756</v>
      </c>
      <c r="J218" s="2450">
        <v>315.23700000000002</v>
      </c>
      <c r="K218" s="2563">
        <v>26</v>
      </c>
      <c r="L218" s="2563">
        <v>1E-3</v>
      </c>
      <c r="M218" s="2564">
        <v>0</v>
      </c>
    </row>
    <row r="219" spans="2:13">
      <c r="B219" s="2449"/>
      <c r="C219" s="2450" t="s">
        <v>141</v>
      </c>
      <c r="D219" s="2460" t="s">
        <v>759</v>
      </c>
      <c r="E219" s="2450" t="s">
        <v>47</v>
      </c>
      <c r="F219" s="2451">
        <v>4148</v>
      </c>
      <c r="G219" s="2450" t="s">
        <v>67</v>
      </c>
      <c r="H219" s="2450">
        <v>137</v>
      </c>
      <c r="I219" s="2450" t="s">
        <v>756</v>
      </c>
      <c r="J219" s="2450">
        <v>568.27599999999995</v>
      </c>
      <c r="K219" s="2563">
        <v>46.9</v>
      </c>
      <c r="L219" s="2563">
        <v>2E-3</v>
      </c>
      <c r="M219" s="2564">
        <v>0</v>
      </c>
    </row>
    <row r="220" spans="2:13">
      <c r="B220" s="2449"/>
      <c r="C220" s="2450" t="s">
        <v>307</v>
      </c>
      <c r="D220" s="2460" t="s">
        <v>760</v>
      </c>
      <c r="E220" s="2450" t="s">
        <v>47</v>
      </c>
      <c r="F220" s="2451">
        <v>32299</v>
      </c>
      <c r="G220" s="2450" t="s">
        <v>67</v>
      </c>
      <c r="H220" s="2450">
        <v>137</v>
      </c>
      <c r="I220" s="2450" t="s">
        <v>756</v>
      </c>
      <c r="J220" s="2450">
        <v>4424.9629999999997</v>
      </c>
      <c r="K220" s="2563">
        <v>365</v>
      </c>
      <c r="L220" s="2563">
        <v>0.18</v>
      </c>
      <c r="M220" s="2564">
        <v>2E-3</v>
      </c>
    </row>
    <row r="221" spans="2:13">
      <c r="B221" s="2449"/>
      <c r="C221" s="2450" t="s">
        <v>308</v>
      </c>
      <c r="D221" s="2460" t="s">
        <v>56</v>
      </c>
      <c r="E221" s="2450" t="s">
        <v>47</v>
      </c>
      <c r="F221" s="2451">
        <v>37193</v>
      </c>
      <c r="G221" s="2450" t="s">
        <v>67</v>
      </c>
      <c r="H221" s="2450">
        <v>137</v>
      </c>
      <c r="I221" s="2450" t="s">
        <v>756</v>
      </c>
      <c r="J221" s="2450">
        <v>5095.4409999999998</v>
      </c>
      <c r="K221" s="2563">
        <v>420.3</v>
      </c>
      <c r="L221" s="2563">
        <v>2.1000000000000001E-2</v>
      </c>
      <c r="M221" s="2564">
        <v>2E-3</v>
      </c>
    </row>
    <row r="222" spans="2:13">
      <c r="B222" s="2449"/>
      <c r="C222" s="2450" t="s">
        <v>309</v>
      </c>
      <c r="D222" s="2460" t="s">
        <v>761</v>
      </c>
      <c r="E222" s="2450" t="s">
        <v>47</v>
      </c>
      <c r="F222" s="2451">
        <v>12022</v>
      </c>
      <c r="G222" s="2450" t="s">
        <v>67</v>
      </c>
      <c r="H222" s="2450">
        <v>137</v>
      </c>
      <c r="I222" s="2450" t="s">
        <v>756</v>
      </c>
      <c r="J222" s="2450">
        <v>1647.0139999999999</v>
      </c>
      <c r="K222" s="2563">
        <v>135.80000000000001</v>
      </c>
      <c r="L222" s="2563">
        <v>7.0000000000000001E-3</v>
      </c>
      <c r="M222" s="2564">
        <v>1E-3</v>
      </c>
    </row>
    <row r="223" spans="2:13">
      <c r="B223" s="2449"/>
      <c r="C223" s="2450" t="s">
        <v>310</v>
      </c>
      <c r="D223" s="2460" t="s">
        <v>762</v>
      </c>
      <c r="E223" s="2450" t="s">
        <v>47</v>
      </c>
      <c r="F223" s="2451">
        <v>56276</v>
      </c>
      <c r="G223" s="2450" t="s">
        <v>67</v>
      </c>
      <c r="H223" s="2450">
        <v>137</v>
      </c>
      <c r="I223" s="2450" t="s">
        <v>756</v>
      </c>
      <c r="J223" s="2450">
        <v>7709.8119999999999</v>
      </c>
      <c r="K223" s="2563">
        <v>635.9</v>
      </c>
      <c r="L223" s="2563">
        <v>0.31</v>
      </c>
      <c r="M223" s="2564">
        <v>3.0000000000000001E-3</v>
      </c>
    </row>
    <row r="224" spans="2:13">
      <c r="B224" s="2449"/>
      <c r="C224" s="2450" t="s">
        <v>311</v>
      </c>
      <c r="D224" s="2460" t="s">
        <v>763</v>
      </c>
      <c r="E224" s="2450" t="s">
        <v>47</v>
      </c>
      <c r="F224" s="2451">
        <v>55333</v>
      </c>
      <c r="G224" s="2450" t="s">
        <v>67</v>
      </c>
      <c r="H224" s="2450">
        <v>137</v>
      </c>
      <c r="I224" s="2450" t="s">
        <v>756</v>
      </c>
      <c r="J224" s="2450">
        <v>7580.6210000000001</v>
      </c>
      <c r="K224" s="2563">
        <v>625.29999999999995</v>
      </c>
      <c r="L224" s="2563">
        <v>3.1E-2</v>
      </c>
      <c r="M224" s="2564">
        <v>3.0000000000000001E-3</v>
      </c>
    </row>
    <row r="225" spans="2:13">
      <c r="B225" s="2449"/>
      <c r="C225" s="2450" t="s">
        <v>139</v>
      </c>
      <c r="D225" s="2460" t="s">
        <v>764</v>
      </c>
      <c r="E225" s="2450" t="s">
        <v>47</v>
      </c>
      <c r="F225" s="2451">
        <v>67936</v>
      </c>
      <c r="G225" s="2450" t="s">
        <v>67</v>
      </c>
      <c r="H225" s="2450">
        <v>137</v>
      </c>
      <c r="I225" s="2450" t="s">
        <v>756</v>
      </c>
      <c r="J225" s="2450">
        <v>9307.232</v>
      </c>
      <c r="K225" s="2563">
        <v>767.7</v>
      </c>
      <c r="L225" s="2563">
        <v>3.7999999999999999E-2</v>
      </c>
      <c r="M225" s="2564">
        <v>4.0000000000000001E-3</v>
      </c>
    </row>
    <row r="226" spans="2:13">
      <c r="B226" s="2449"/>
      <c r="C226" s="2450" t="s">
        <v>140</v>
      </c>
      <c r="D226" s="2460" t="s">
        <v>765</v>
      </c>
      <c r="E226" s="2450" t="s">
        <v>47</v>
      </c>
      <c r="F226" s="2451">
        <v>82457</v>
      </c>
      <c r="G226" s="2450" t="s">
        <v>67</v>
      </c>
      <c r="H226" s="2450">
        <v>137</v>
      </c>
      <c r="I226" s="2450" t="s">
        <v>756</v>
      </c>
      <c r="J226" s="2450">
        <v>11296.609</v>
      </c>
      <c r="K226" s="2563">
        <v>931.8</v>
      </c>
      <c r="L226" s="2563">
        <v>4.5999999999999999E-2</v>
      </c>
      <c r="M226" s="2564">
        <v>5.0000000000000001E-3</v>
      </c>
    </row>
    <row r="227" spans="2:13">
      <c r="B227" s="2449"/>
      <c r="C227" s="2450" t="s">
        <v>312</v>
      </c>
      <c r="D227" s="2460" t="s">
        <v>766</v>
      </c>
      <c r="E227" s="2450" t="s">
        <v>47</v>
      </c>
      <c r="F227" s="2451">
        <v>88270</v>
      </c>
      <c r="G227" s="2450" t="s">
        <v>67</v>
      </c>
      <c r="H227" s="2450">
        <v>137</v>
      </c>
      <c r="I227" s="2450" t="s">
        <v>756</v>
      </c>
      <c r="J227" s="2450">
        <v>12092.99</v>
      </c>
      <c r="K227" s="2563">
        <v>997.5</v>
      </c>
      <c r="L227" s="2563">
        <v>4.9000000000000002E-2</v>
      </c>
      <c r="M227" s="2564">
        <v>5.0000000000000001E-3</v>
      </c>
    </row>
    <row r="228" spans="2:13" ht="13.5" thickBot="1">
      <c r="B228" s="2449"/>
      <c r="C228" s="2450"/>
      <c r="D228" s="2460"/>
      <c r="E228" s="2450"/>
      <c r="F228" s="2450"/>
      <c r="G228" s="2450"/>
      <c r="H228" s="2450"/>
      <c r="I228" s="2450"/>
      <c r="J228" s="2450"/>
      <c r="K228" s="2450"/>
      <c r="L228" s="2450"/>
      <c r="M228" s="2452"/>
    </row>
    <row r="229" spans="2:13">
      <c r="B229" s="2453"/>
      <c r="C229" s="2455"/>
      <c r="D229" s="2476"/>
      <c r="E229" s="2455"/>
      <c r="F229" s="2455"/>
      <c r="G229" s="2455"/>
      <c r="H229" s="2455"/>
      <c r="I229" s="2455"/>
      <c r="J229" s="2455"/>
      <c r="K229" s="2455"/>
      <c r="L229" s="2455"/>
      <c r="M229" s="2459"/>
    </row>
    <row r="230" spans="2:13">
      <c r="B230" s="2449" t="s">
        <v>313</v>
      </c>
      <c r="C230" s="2474" t="s">
        <v>767</v>
      </c>
      <c r="D230" s="2460"/>
      <c r="E230" s="2450"/>
      <c r="F230" s="2450"/>
      <c r="G230" s="2450"/>
      <c r="H230" s="2450"/>
      <c r="I230" s="2450"/>
      <c r="J230" s="2450"/>
      <c r="K230" s="2450"/>
      <c r="L230" s="2450"/>
      <c r="M230" s="2452"/>
    </row>
    <row r="231" spans="2:13">
      <c r="B231" s="2449"/>
      <c r="C231" s="2450" t="s">
        <v>316</v>
      </c>
      <c r="D231" s="2460" t="s">
        <v>768</v>
      </c>
      <c r="E231" s="2450" t="s">
        <v>47</v>
      </c>
      <c r="F231" s="2451">
        <v>6597</v>
      </c>
      <c r="G231" s="2450" t="s">
        <v>67</v>
      </c>
      <c r="H231" s="2450">
        <v>137</v>
      </c>
      <c r="I231" s="2450" t="s">
        <v>756</v>
      </c>
      <c r="J231" s="2450">
        <v>903.78899999999999</v>
      </c>
      <c r="K231" s="2561">
        <v>74.5</v>
      </c>
      <c r="L231" s="2565">
        <v>4.0000000000000001E-3</v>
      </c>
      <c r="M231" s="2566">
        <v>0</v>
      </c>
    </row>
    <row r="232" spans="2:13">
      <c r="B232" s="2449"/>
      <c r="C232" s="2450" t="s">
        <v>317</v>
      </c>
      <c r="D232" s="2460" t="s">
        <v>769</v>
      </c>
      <c r="E232" s="2450" t="s">
        <v>47</v>
      </c>
      <c r="F232" s="2451">
        <v>6985</v>
      </c>
      <c r="G232" s="2450" t="s">
        <v>67</v>
      </c>
      <c r="H232" s="2450">
        <v>137</v>
      </c>
      <c r="I232" s="2450" t="s">
        <v>756</v>
      </c>
      <c r="J232" s="2450">
        <v>956.94500000000005</v>
      </c>
      <c r="K232" s="2561">
        <v>78.900000000000006</v>
      </c>
      <c r="L232" s="2565">
        <v>4.0000000000000001E-3</v>
      </c>
      <c r="M232" s="2566">
        <v>0</v>
      </c>
    </row>
    <row r="233" spans="2:13">
      <c r="B233" s="2449"/>
      <c r="C233" s="2450" t="s">
        <v>314</v>
      </c>
      <c r="D233" s="2460" t="s">
        <v>770</v>
      </c>
      <c r="E233" s="2450" t="s">
        <v>47</v>
      </c>
      <c r="F233" s="2451">
        <v>89887</v>
      </c>
      <c r="G233" s="2450" t="s">
        <v>67</v>
      </c>
      <c r="H233" s="2450">
        <v>137</v>
      </c>
      <c r="I233" s="2450" t="s">
        <v>756</v>
      </c>
      <c r="J233" s="2450">
        <v>12314.519</v>
      </c>
      <c r="K233" s="2561">
        <v>1015.7</v>
      </c>
      <c r="L233" s="2565">
        <v>0</v>
      </c>
      <c r="M233" s="2566">
        <v>0</v>
      </c>
    </row>
    <row r="234" spans="2:13">
      <c r="B234" s="2449"/>
      <c r="C234" s="2450" t="s">
        <v>315</v>
      </c>
      <c r="D234" s="2460" t="s">
        <v>771</v>
      </c>
      <c r="E234" s="2450" t="s">
        <v>47</v>
      </c>
      <c r="F234" s="2451">
        <v>72114</v>
      </c>
      <c r="G234" s="2450" t="s">
        <v>67</v>
      </c>
      <c r="H234" s="2450">
        <v>137</v>
      </c>
      <c r="I234" s="2450" t="s">
        <v>756</v>
      </c>
      <c r="J234" s="2450">
        <v>9879.6180000000004</v>
      </c>
      <c r="K234" s="2561">
        <v>814.9</v>
      </c>
      <c r="L234" s="2565">
        <v>0</v>
      </c>
      <c r="M234" s="2566">
        <v>0</v>
      </c>
    </row>
    <row r="235" spans="2:13">
      <c r="B235" s="2449"/>
      <c r="C235" s="2450" t="s">
        <v>776</v>
      </c>
      <c r="D235" s="2460" t="s">
        <v>772</v>
      </c>
      <c r="E235" s="2450" t="s">
        <v>47</v>
      </c>
      <c r="F235" s="2451">
        <v>99514</v>
      </c>
      <c r="G235" s="2450" t="s">
        <v>67</v>
      </c>
      <c r="H235" s="2450">
        <v>137</v>
      </c>
      <c r="I235" s="2450" t="s">
        <v>756</v>
      </c>
      <c r="J235" s="2450">
        <v>13633.418</v>
      </c>
      <c r="K235" s="2561">
        <v>1124.5</v>
      </c>
      <c r="L235" s="2565">
        <v>5.5E-2</v>
      </c>
      <c r="M235" s="2523">
        <v>5.0000000000000001E-3</v>
      </c>
    </row>
    <row r="236" spans="2:13">
      <c r="B236" s="2449"/>
      <c r="C236" s="2450" t="s">
        <v>777</v>
      </c>
      <c r="D236" s="2460" t="s">
        <v>773</v>
      </c>
      <c r="E236" s="2450" t="s">
        <v>47</v>
      </c>
      <c r="F236" s="2451">
        <v>97480</v>
      </c>
      <c r="G236" s="2450" t="s">
        <v>67</v>
      </c>
      <c r="H236" s="2450">
        <v>137</v>
      </c>
      <c r="I236" s="2450" t="s">
        <v>756</v>
      </c>
      <c r="J236" s="2450">
        <v>13354.76</v>
      </c>
      <c r="K236" s="2561">
        <v>1101.5</v>
      </c>
      <c r="L236" s="2565">
        <v>5.3999999999999999E-2</v>
      </c>
      <c r="M236" s="2523">
        <v>5.0000000000000001E-3</v>
      </c>
    </row>
    <row r="237" spans="2:13">
      <c r="B237" s="2449"/>
      <c r="C237" s="2450" t="s">
        <v>778</v>
      </c>
      <c r="D237" s="2460" t="s">
        <v>774</v>
      </c>
      <c r="E237" s="2450" t="s">
        <v>47</v>
      </c>
      <c r="F237" s="2451">
        <v>93640</v>
      </c>
      <c r="G237" s="2450" t="s">
        <v>67</v>
      </c>
      <c r="H237" s="2450">
        <v>137</v>
      </c>
      <c r="I237" s="2450" t="s">
        <v>756</v>
      </c>
      <c r="J237" s="2450">
        <v>12828.68</v>
      </c>
      <c r="K237" s="2561">
        <v>1058.0999999999999</v>
      </c>
      <c r="L237" s="2565">
        <v>5.1999999999999998E-2</v>
      </c>
      <c r="M237" s="2523">
        <v>5.0000000000000001E-3</v>
      </c>
    </row>
    <row r="238" spans="2:13">
      <c r="B238" s="2449"/>
      <c r="C238" s="2450" t="s">
        <v>779</v>
      </c>
      <c r="D238" s="2460" t="s">
        <v>775</v>
      </c>
      <c r="E238" s="2450" t="s">
        <v>47</v>
      </c>
      <c r="F238" s="2451">
        <v>129235</v>
      </c>
      <c r="G238" s="2450" t="s">
        <v>67</v>
      </c>
      <c r="H238" s="2450">
        <v>137</v>
      </c>
      <c r="I238" s="2450" t="s">
        <v>756</v>
      </c>
      <c r="J238" s="2450">
        <v>17705.195</v>
      </c>
      <c r="K238" s="2561">
        <v>1460.4</v>
      </c>
      <c r="L238" s="2565">
        <v>7.1999999999999995E-2</v>
      </c>
      <c r="M238" s="2523">
        <v>7.0000000000000001E-3</v>
      </c>
    </row>
    <row r="239" spans="2:13" ht="13.5" thickBot="1">
      <c r="B239" s="2449"/>
      <c r="C239" s="2450"/>
      <c r="D239" s="2460"/>
      <c r="E239" s="2450"/>
      <c r="F239" s="2450"/>
      <c r="G239" s="2450"/>
      <c r="H239" s="2450"/>
      <c r="I239" s="2450"/>
      <c r="J239" s="2450"/>
      <c r="K239" s="2450"/>
      <c r="L239" s="2450"/>
      <c r="M239" s="2452"/>
    </row>
    <row r="240" spans="2:13">
      <c r="B240" s="2453"/>
      <c r="C240" s="2455"/>
      <c r="D240" s="2476"/>
      <c r="E240" s="2455"/>
      <c r="F240" s="2455"/>
      <c r="G240" s="2455"/>
      <c r="H240" s="2455"/>
      <c r="I240" s="2455"/>
      <c r="J240" s="2455"/>
      <c r="K240" s="2455"/>
      <c r="L240" s="2455"/>
      <c r="M240" s="2459"/>
    </row>
    <row r="241" spans="2:13">
      <c r="B241" s="2449" t="s">
        <v>318</v>
      </c>
      <c r="C241" s="2474" t="s">
        <v>138</v>
      </c>
      <c r="D241" s="2460"/>
      <c r="E241" s="2450"/>
      <c r="F241" s="2450"/>
      <c r="G241" s="2450"/>
      <c r="H241" s="2450"/>
      <c r="I241" s="2450"/>
      <c r="J241" s="2450"/>
      <c r="K241" s="2450"/>
      <c r="L241" s="2450"/>
      <c r="M241" s="2452"/>
    </row>
    <row r="242" spans="2:13">
      <c r="B242" s="2449"/>
      <c r="C242" s="2450" t="s">
        <v>140</v>
      </c>
      <c r="D242" s="2460" t="s">
        <v>780</v>
      </c>
      <c r="E242" s="2450" t="s">
        <v>47</v>
      </c>
      <c r="F242" s="2451">
        <v>1600</v>
      </c>
      <c r="G242" s="2450" t="s">
        <v>67</v>
      </c>
      <c r="H242" s="2502">
        <v>140984</v>
      </c>
      <c r="I242" s="2450" t="s">
        <v>137</v>
      </c>
      <c r="J242" s="2556">
        <v>225.5744</v>
      </c>
      <c r="K242" s="2563">
        <v>18.309999999999999</v>
      </c>
      <c r="L242" s="2554">
        <v>0</v>
      </c>
      <c r="M242" s="2555">
        <v>0</v>
      </c>
    </row>
    <row r="243" spans="2:13">
      <c r="B243" s="2449"/>
      <c r="C243" s="2450" t="s">
        <v>139</v>
      </c>
      <c r="D243" s="2460" t="s">
        <v>781</v>
      </c>
      <c r="E243" s="2450" t="s">
        <v>47</v>
      </c>
      <c r="F243" s="2451">
        <v>2829</v>
      </c>
      <c r="G243" s="2450" t="s">
        <v>67</v>
      </c>
      <c r="H243" s="2502">
        <v>140983</v>
      </c>
      <c r="I243" s="2450" t="s">
        <v>137</v>
      </c>
      <c r="J243" s="2556">
        <v>398.84090700000002</v>
      </c>
      <c r="K243" s="2563">
        <v>42.85</v>
      </c>
      <c r="L243" s="2554">
        <v>0</v>
      </c>
      <c r="M243" s="2555">
        <v>0</v>
      </c>
    </row>
    <row r="244" spans="2:13">
      <c r="B244" s="2449"/>
      <c r="C244" s="2450" t="s">
        <v>141</v>
      </c>
      <c r="D244" s="2460" t="s">
        <v>782</v>
      </c>
      <c r="E244" s="2450" t="s">
        <v>47</v>
      </c>
      <c r="F244" s="2451">
        <v>2829</v>
      </c>
      <c r="G244" s="2450" t="s">
        <v>67</v>
      </c>
      <c r="H244" s="2502">
        <v>140987</v>
      </c>
      <c r="I244" s="2450" t="s">
        <v>137</v>
      </c>
      <c r="J244" s="2556">
        <v>398.85222299999998</v>
      </c>
      <c r="K244" s="2563">
        <v>24.59</v>
      </c>
      <c r="L244" s="2554">
        <v>0</v>
      </c>
      <c r="M244" s="2555">
        <v>0</v>
      </c>
    </row>
    <row r="245" spans="2:13">
      <c r="B245" s="2449"/>
      <c r="C245" s="2450" t="s">
        <v>143</v>
      </c>
      <c r="D245" s="2460" t="s">
        <v>782</v>
      </c>
      <c r="E245" s="2450" t="s">
        <v>47</v>
      </c>
      <c r="F245" s="2451">
        <v>3600</v>
      </c>
      <c r="G245" s="2450" t="s">
        <v>67</v>
      </c>
      <c r="H245" s="2502">
        <v>140987</v>
      </c>
      <c r="I245" s="2450" t="s">
        <v>137</v>
      </c>
      <c r="J245" s="2556">
        <v>507.5532</v>
      </c>
      <c r="K245" s="2563">
        <v>24.91</v>
      </c>
      <c r="L245" s="2554">
        <v>0</v>
      </c>
      <c r="M245" s="2555">
        <v>0</v>
      </c>
    </row>
    <row r="246" spans="2:13" ht="13.5" thickBot="1">
      <c r="B246" s="2449"/>
      <c r="C246" s="2450"/>
      <c r="D246" s="2460"/>
      <c r="E246" s="2450"/>
      <c r="F246" s="2502"/>
      <c r="G246" s="2450"/>
      <c r="H246" s="2450"/>
      <c r="I246" s="2450"/>
      <c r="J246" s="2502"/>
      <c r="K246" s="2450"/>
      <c r="L246" s="2450"/>
      <c r="M246" s="2452"/>
    </row>
    <row r="247" spans="2:13">
      <c r="B247" s="2453"/>
      <c r="C247" s="2455"/>
      <c r="D247" s="2476"/>
      <c r="E247" s="2455"/>
      <c r="F247" s="2455"/>
      <c r="G247" s="2455"/>
      <c r="H247" s="2455"/>
      <c r="I247" s="2455"/>
      <c r="J247" s="2455"/>
      <c r="K247" s="2455"/>
      <c r="L247" s="2455"/>
      <c r="M247" s="2459"/>
    </row>
    <row r="248" spans="2:13">
      <c r="B248" s="2449" t="s">
        <v>319</v>
      </c>
      <c r="C248" s="2474" t="s">
        <v>783</v>
      </c>
      <c r="D248" s="2460"/>
      <c r="E248" s="2450"/>
      <c r="F248" s="2450"/>
      <c r="G248" s="2450"/>
      <c r="H248" s="2450"/>
      <c r="I248" s="2450"/>
      <c r="J248" s="2450"/>
      <c r="K248" s="2450"/>
      <c r="L248" s="2450"/>
      <c r="M248" s="2452"/>
    </row>
    <row r="249" spans="2:13">
      <c r="B249" s="2449"/>
      <c r="C249" s="2450" t="s">
        <v>320</v>
      </c>
      <c r="D249" s="2460" t="s">
        <v>784</v>
      </c>
      <c r="E249" s="2450" t="s">
        <v>47</v>
      </c>
      <c r="F249" s="2451">
        <v>44465</v>
      </c>
      <c r="G249" s="2450" t="s">
        <v>67</v>
      </c>
      <c r="H249" s="2502">
        <v>141494</v>
      </c>
      <c r="I249" s="2450" t="s">
        <v>137</v>
      </c>
      <c r="J249" s="2556">
        <v>6291.53071</v>
      </c>
      <c r="K249" s="2563">
        <v>502</v>
      </c>
      <c r="L249" s="2565">
        <v>2.5000000000000001E-2</v>
      </c>
      <c r="M249" s="2555">
        <v>0</v>
      </c>
    </row>
    <row r="250" spans="2:13">
      <c r="B250" s="2449"/>
      <c r="C250" s="2450" t="s">
        <v>321</v>
      </c>
      <c r="D250" s="2460" t="s">
        <v>1130</v>
      </c>
      <c r="E250" s="2450" t="s">
        <v>47</v>
      </c>
      <c r="F250" s="2451">
        <v>36200</v>
      </c>
      <c r="G250" s="2450" t="s">
        <v>67</v>
      </c>
      <c r="H250" s="2502">
        <v>141494</v>
      </c>
      <c r="I250" s="2450" t="s">
        <v>137</v>
      </c>
      <c r="J250" s="2556">
        <v>5122.0828000000001</v>
      </c>
      <c r="K250" s="2563">
        <v>409</v>
      </c>
      <c r="L250" s="2565">
        <v>0.02</v>
      </c>
      <c r="M250" s="2555">
        <v>0</v>
      </c>
    </row>
    <row r="251" spans="2:13">
      <c r="B251" s="2449"/>
      <c r="C251" s="2450" t="s">
        <v>322</v>
      </c>
      <c r="D251" s="2460" t="s">
        <v>1147</v>
      </c>
      <c r="E251" s="2450" t="s">
        <v>47</v>
      </c>
      <c r="F251" s="2451">
        <v>43527</v>
      </c>
      <c r="G251" s="2450" t="s">
        <v>67</v>
      </c>
      <c r="H251" s="2502">
        <v>141494</v>
      </c>
      <c r="I251" s="2450" t="s">
        <v>137</v>
      </c>
      <c r="J251" s="2556">
        <v>6158.809338</v>
      </c>
      <c r="K251" s="2563">
        <v>492</v>
      </c>
      <c r="L251" s="2565">
        <v>2.4E-2</v>
      </c>
      <c r="M251" s="2555">
        <v>0</v>
      </c>
    </row>
    <row r="252" spans="2:13">
      <c r="B252" s="2449"/>
      <c r="C252" s="2450" t="s">
        <v>323</v>
      </c>
      <c r="D252" s="2460" t="s">
        <v>20</v>
      </c>
      <c r="E252" s="2450" t="s">
        <v>47</v>
      </c>
      <c r="F252" s="2451">
        <v>44904</v>
      </c>
      <c r="G252" s="2450" t="s">
        <v>67</v>
      </c>
      <c r="H252" s="2502">
        <v>141494</v>
      </c>
      <c r="I252" s="2450" t="s">
        <v>137</v>
      </c>
      <c r="J252" s="2556">
        <v>6353.6465760000001</v>
      </c>
      <c r="K252" s="2563">
        <v>507</v>
      </c>
      <c r="L252" s="2565">
        <v>2.5000000000000001E-2</v>
      </c>
      <c r="M252" s="2555">
        <v>0</v>
      </c>
    </row>
    <row r="253" spans="2:13" ht="13.5" thickBot="1">
      <c r="B253" s="2449"/>
      <c r="C253" s="2450"/>
      <c r="D253" s="2460"/>
      <c r="E253" s="2450"/>
      <c r="F253" s="2450"/>
      <c r="G253" s="2450"/>
      <c r="H253" s="2450"/>
      <c r="I253" s="2450"/>
      <c r="J253" s="2450"/>
      <c r="K253" s="2450"/>
      <c r="L253" s="2450"/>
      <c r="M253" s="2452"/>
    </row>
    <row r="254" spans="2:13">
      <c r="B254" s="2453"/>
      <c r="C254" s="2455"/>
      <c r="D254" s="2478"/>
      <c r="E254" s="2455"/>
      <c r="F254" s="2455"/>
      <c r="G254" s="2455"/>
      <c r="H254" s="2455"/>
      <c r="I254" s="2455"/>
      <c r="J254" s="2455"/>
      <c r="K254" s="2455"/>
      <c r="L254" s="2455"/>
      <c r="M254" s="2567"/>
    </row>
    <row r="255" spans="2:13">
      <c r="B255" s="2449" t="s">
        <v>324</v>
      </c>
      <c r="C255" s="2474" t="s">
        <v>325</v>
      </c>
      <c r="D255" s="2463"/>
      <c r="E255" s="2450"/>
      <c r="F255" s="2450"/>
      <c r="G255" s="2450"/>
      <c r="H255" s="2450"/>
      <c r="I255" s="2450"/>
      <c r="J255" s="2450"/>
      <c r="K255" s="2450"/>
      <c r="L255" s="2450"/>
      <c r="M255" s="2569"/>
    </row>
    <row r="256" spans="2:13">
      <c r="B256" s="2449"/>
      <c r="C256" s="2450" t="s">
        <v>326</v>
      </c>
      <c r="D256" s="2463" t="s">
        <v>785</v>
      </c>
      <c r="E256" s="2450" t="s">
        <v>47</v>
      </c>
      <c r="F256" s="2451">
        <v>23372</v>
      </c>
      <c r="G256" s="2450" t="s">
        <v>67</v>
      </c>
      <c r="H256" s="2502">
        <v>137030</v>
      </c>
      <c r="I256" s="2450" t="s">
        <v>137</v>
      </c>
      <c r="J256" s="2556">
        <v>3202.66516</v>
      </c>
      <c r="K256" s="2570">
        <v>260.59780000000001</v>
      </c>
      <c r="L256" s="2554">
        <v>0</v>
      </c>
      <c r="M256" s="2571">
        <v>0</v>
      </c>
    </row>
    <row r="257" spans="2:13">
      <c r="B257" s="2449"/>
      <c r="C257" s="2450" t="s">
        <v>1203</v>
      </c>
      <c r="D257" s="2463" t="s">
        <v>1204</v>
      </c>
      <c r="E257" s="2450" t="s">
        <v>47</v>
      </c>
      <c r="F257" s="2451">
        <v>11690</v>
      </c>
      <c r="G257" s="2450" t="s">
        <v>67</v>
      </c>
      <c r="H257" s="2502">
        <v>137030</v>
      </c>
      <c r="I257" s="2450" t="s">
        <v>137</v>
      </c>
      <c r="J257" s="2556">
        <v>1601.8806999999999</v>
      </c>
      <c r="K257" s="2570">
        <v>130.34350000000001</v>
      </c>
      <c r="L257" s="2554">
        <v>0</v>
      </c>
      <c r="M257" s="2571">
        <v>0</v>
      </c>
    </row>
    <row r="258" spans="2:13">
      <c r="B258" s="2449"/>
      <c r="C258" s="2450" t="s">
        <v>329</v>
      </c>
      <c r="D258" s="2463" t="s">
        <v>786</v>
      </c>
      <c r="E258" s="2450" t="s">
        <v>47</v>
      </c>
      <c r="F258" s="2451">
        <v>9816</v>
      </c>
      <c r="G258" s="2450" t="s">
        <v>67</v>
      </c>
      <c r="H258" s="2502">
        <v>137030</v>
      </c>
      <c r="I258" s="2450" t="s">
        <v>137</v>
      </c>
      <c r="J258" s="2556">
        <v>1345.0864799999999</v>
      </c>
      <c r="K258" s="2570">
        <v>110.96963459999999</v>
      </c>
      <c r="L258" s="2554">
        <v>0.01</v>
      </c>
      <c r="M258" s="2571">
        <v>0</v>
      </c>
    </row>
    <row r="259" spans="2:13">
      <c r="B259" s="2449"/>
      <c r="C259" s="2450" t="s">
        <v>69</v>
      </c>
      <c r="D259" s="2463" t="s">
        <v>787</v>
      </c>
      <c r="E259" s="2450" t="s">
        <v>47</v>
      </c>
      <c r="F259" s="2451">
        <v>9840</v>
      </c>
      <c r="G259" s="2450" t="s">
        <v>67</v>
      </c>
      <c r="H259" s="2502">
        <v>137030</v>
      </c>
      <c r="I259" s="2450" t="s">
        <v>137</v>
      </c>
      <c r="J259" s="2556">
        <v>1348.3751999999999</v>
      </c>
      <c r="K259" s="2570">
        <v>111.240954</v>
      </c>
      <c r="L259" s="2554">
        <v>0.01</v>
      </c>
      <c r="M259" s="2571">
        <v>0</v>
      </c>
    </row>
    <row r="260" spans="2:13">
      <c r="B260" s="2449"/>
      <c r="C260" s="2450" t="s">
        <v>330</v>
      </c>
      <c r="D260" s="2463" t="s">
        <v>788</v>
      </c>
      <c r="E260" s="2450" t="s">
        <v>47</v>
      </c>
      <c r="F260" s="2451">
        <v>16267</v>
      </c>
      <c r="G260" s="2450" t="s">
        <v>67</v>
      </c>
      <c r="H260" s="2502">
        <v>137030</v>
      </c>
      <c r="I260" s="2450" t="s">
        <v>137</v>
      </c>
      <c r="J260" s="2556">
        <v>2229.0670100000002</v>
      </c>
      <c r="K260" s="2570">
        <v>183.89802832500001</v>
      </c>
      <c r="L260" s="2554">
        <v>0.01</v>
      </c>
      <c r="M260" s="2571">
        <v>0</v>
      </c>
    </row>
    <row r="261" spans="2:13">
      <c r="B261" s="2449"/>
      <c r="C261" s="2450" t="s">
        <v>1206</v>
      </c>
      <c r="D261" s="2463" t="s">
        <v>789</v>
      </c>
      <c r="E261" s="2450" t="s">
        <v>47</v>
      </c>
      <c r="F261" s="2451">
        <v>13669</v>
      </c>
      <c r="G261" s="2450" t="s">
        <v>67</v>
      </c>
      <c r="H261" s="2502">
        <v>137030</v>
      </c>
      <c r="I261" s="2450" t="s">
        <v>137</v>
      </c>
      <c r="J261" s="2556">
        <v>1873.0630699999999</v>
      </c>
      <c r="K261" s="2570">
        <v>154.52770327499999</v>
      </c>
      <c r="L261" s="2554">
        <v>0.01</v>
      </c>
      <c r="M261" s="2571">
        <v>0</v>
      </c>
    </row>
    <row r="262" spans="2:13">
      <c r="B262" s="2449"/>
      <c r="C262" s="2450" t="s">
        <v>1205</v>
      </c>
      <c r="D262" s="2463" t="s">
        <v>790</v>
      </c>
      <c r="E262" s="2450" t="s">
        <v>47</v>
      </c>
      <c r="F262" s="2451">
        <v>436</v>
      </c>
      <c r="G262" s="2450" t="s">
        <v>67</v>
      </c>
      <c r="H262" s="2502">
        <v>137030</v>
      </c>
      <c r="I262" s="2450" t="s">
        <v>137</v>
      </c>
      <c r="J262" s="2556">
        <v>59.745080000000002</v>
      </c>
      <c r="K262" s="2570">
        <v>4.9289691000000007</v>
      </c>
      <c r="L262" s="2554">
        <v>0.01</v>
      </c>
      <c r="M262" s="2571">
        <v>0</v>
      </c>
    </row>
    <row r="263" spans="2:13">
      <c r="B263" s="2449"/>
      <c r="C263" s="2450" t="s">
        <v>331</v>
      </c>
      <c r="D263" s="2463" t="s">
        <v>791</v>
      </c>
      <c r="E263" s="2450" t="s">
        <v>47</v>
      </c>
      <c r="F263" s="2451">
        <v>19260</v>
      </c>
      <c r="G263" s="2450" t="s">
        <v>67</v>
      </c>
      <c r="H263" s="2502">
        <v>137030</v>
      </c>
      <c r="I263" s="2450" t="s">
        <v>137</v>
      </c>
      <c r="J263" s="2556">
        <v>2639.1977999999999</v>
      </c>
      <c r="K263" s="2570">
        <v>217.73381849999998</v>
      </c>
      <c r="L263" s="2554">
        <v>0</v>
      </c>
      <c r="M263" s="2571">
        <v>0</v>
      </c>
    </row>
    <row r="264" spans="2:13">
      <c r="B264" s="2449"/>
      <c r="C264" s="2450"/>
      <c r="D264" s="2568"/>
      <c r="E264" s="2450"/>
      <c r="F264" s="2451"/>
      <c r="G264" s="2450"/>
      <c r="H264" s="2502"/>
      <c r="I264" s="2450"/>
      <c r="J264" s="2556"/>
      <c r="K264" s="2570"/>
      <c r="L264" s="2554"/>
      <c r="M264" s="2572"/>
    </row>
    <row r="265" spans="2:13">
      <c r="B265" s="2449"/>
      <c r="C265" s="2450"/>
      <c r="D265" s="2568"/>
      <c r="E265" s="2450"/>
      <c r="F265" s="2451"/>
      <c r="G265" s="2450"/>
      <c r="H265" s="2502"/>
      <c r="I265" s="2450"/>
      <c r="J265" s="2556"/>
      <c r="K265" s="2570"/>
      <c r="L265" s="2554"/>
      <c r="M265" s="2572"/>
    </row>
    <row r="266" spans="2:13">
      <c r="B266" s="2449"/>
      <c r="C266" s="2450"/>
      <c r="D266" s="2573" t="s">
        <v>1244</v>
      </c>
      <c r="E266" s="2494"/>
      <c r="F266" s="2574">
        <f>SUM(F89:F265)</f>
        <v>28455477.428571429</v>
      </c>
      <c r="G266" s="2574"/>
      <c r="H266" s="2574"/>
      <c r="I266" s="2574"/>
      <c r="J266" s="2574">
        <f>SUM(J89:J265)</f>
        <v>3901030.3471064996</v>
      </c>
      <c r="K266" s="2574">
        <f>SUM(K89:K265)</f>
        <v>316788.29646450793</v>
      </c>
      <c r="L266" s="2574">
        <f>SUM(L89:L265)</f>
        <v>10.733109596496325</v>
      </c>
      <c r="M266" s="2575">
        <f>SUM(M89:M265)</f>
        <v>1.8240482373708244</v>
      </c>
    </row>
    <row r="267" spans="2:13">
      <c r="B267" s="2449"/>
      <c r="C267" s="2450"/>
      <c r="D267" s="2568"/>
      <c r="E267" s="2450"/>
      <c r="F267" s="2451"/>
      <c r="G267" s="2450"/>
      <c r="H267" s="2502"/>
      <c r="I267" s="2450"/>
      <c r="J267" s="2556"/>
      <c r="K267" s="2570"/>
      <c r="L267" s="2554"/>
      <c r="M267" s="2572"/>
    </row>
    <row r="268" spans="2:13" ht="14.25">
      <c r="B268" s="2449"/>
      <c r="C268" s="2450"/>
      <c r="D268" s="2576" t="s">
        <v>1350</v>
      </c>
      <c r="E268" s="2574"/>
      <c r="F268" s="2574"/>
      <c r="G268" s="2574"/>
      <c r="H268" s="2574"/>
      <c r="I268" s="2574"/>
      <c r="J268" s="2574"/>
      <c r="K268" s="2574">
        <f>(+K266*0.907184)/1000000</f>
        <v>0.28738527393985819</v>
      </c>
      <c r="L268" s="2574">
        <f>(+L266*21*0.907184)/1000000</f>
        <v>2.0447501121994636E-4</v>
      </c>
      <c r="M268" s="2575">
        <f>(+M266*310*0.907184)/1000000</f>
        <v>5.1297168661301425E-4</v>
      </c>
    </row>
    <row r="269" spans="2:13" ht="13.5" thickBot="1">
      <c r="B269" s="2577"/>
      <c r="C269" s="2578"/>
      <c r="D269" s="2579"/>
      <c r="E269" s="2578"/>
      <c r="F269" s="2578"/>
      <c r="G269" s="2578"/>
      <c r="H269" s="2578"/>
      <c r="I269" s="2578"/>
      <c r="J269" s="2578"/>
      <c r="K269" s="2578"/>
      <c r="L269" s="2578"/>
      <c r="M269" s="2580"/>
    </row>
    <row r="270" spans="2:13" ht="13.5" thickTop="1"/>
    <row r="275" spans="2:13" ht="13.5" thickBot="1"/>
    <row r="276" spans="2:13" ht="15" thickTop="1">
      <c r="B276" s="2442" t="s">
        <v>1107</v>
      </c>
      <c r="C276" s="2443" t="s">
        <v>1108</v>
      </c>
      <c r="D276" s="2443" t="s">
        <v>1109</v>
      </c>
      <c r="E276" s="2443" t="s">
        <v>1110</v>
      </c>
      <c r="F276" s="2443" t="s">
        <v>1111</v>
      </c>
      <c r="G276" s="2443" t="s">
        <v>1111</v>
      </c>
      <c r="H276" s="2443" t="s">
        <v>796</v>
      </c>
      <c r="I276" s="2443" t="s">
        <v>798</v>
      </c>
      <c r="J276" s="2444" t="s">
        <v>800</v>
      </c>
      <c r="K276" s="2443" t="s">
        <v>1346</v>
      </c>
      <c r="L276" s="2443" t="s">
        <v>1351</v>
      </c>
      <c r="M276" s="2445" t="s">
        <v>1348</v>
      </c>
    </row>
    <row r="277" spans="2:13">
      <c r="B277" s="2446"/>
      <c r="C277" s="2447"/>
      <c r="D277" s="2447"/>
      <c r="E277" s="2447"/>
      <c r="F277" s="2447"/>
      <c r="G277" s="2447" t="s">
        <v>1113</v>
      </c>
      <c r="H277" s="2447" t="s">
        <v>797</v>
      </c>
      <c r="I277" s="2447" t="s">
        <v>799</v>
      </c>
      <c r="J277" s="2447" t="s">
        <v>1114</v>
      </c>
      <c r="K277" s="2447" t="s">
        <v>1112</v>
      </c>
      <c r="L277" s="2447" t="s">
        <v>1112</v>
      </c>
      <c r="M277" s="2448" t="s">
        <v>1112</v>
      </c>
    </row>
    <row r="278" spans="2:13" ht="13.5" thickBot="1">
      <c r="B278" s="2449"/>
      <c r="C278" s="2450"/>
      <c r="D278" s="2450"/>
      <c r="E278" s="2450"/>
      <c r="F278" s="2450"/>
      <c r="G278" s="2450"/>
      <c r="H278" s="2450"/>
      <c r="I278" s="2450"/>
      <c r="J278" s="2450"/>
      <c r="K278" s="2451"/>
      <c r="L278" s="2450"/>
      <c r="M278" s="2452"/>
    </row>
    <row r="279" spans="2:13">
      <c r="B279" s="2453"/>
      <c r="C279" s="2454"/>
      <c r="D279" s="2455"/>
      <c r="E279" s="2455"/>
      <c r="F279" s="2456"/>
      <c r="G279" s="2455"/>
      <c r="H279" s="2456"/>
      <c r="I279" s="2455"/>
      <c r="J279" s="2533"/>
      <c r="K279" s="2456"/>
      <c r="L279" s="2527"/>
      <c r="M279" s="2459"/>
    </row>
    <row r="280" spans="2:13">
      <c r="B280" s="2449" t="s">
        <v>1137</v>
      </c>
      <c r="C280" s="2474" t="s">
        <v>1138</v>
      </c>
      <c r="D280" s="2450"/>
      <c r="E280" s="2450"/>
      <c r="F280" s="2502"/>
      <c r="G280" s="2450"/>
      <c r="H280" s="2502"/>
      <c r="I280" s="2450"/>
      <c r="J280" s="2517"/>
      <c r="K280" s="2502"/>
      <c r="L280" s="2518"/>
      <c r="M280" s="2534"/>
    </row>
    <row r="281" spans="2:13">
      <c r="B281" s="2449"/>
      <c r="C281" s="2450" t="s">
        <v>1139</v>
      </c>
      <c r="D281" s="2460" t="s">
        <v>1128</v>
      </c>
      <c r="E281" s="2450" t="s">
        <v>1154</v>
      </c>
      <c r="F281" s="2451">
        <v>8068</v>
      </c>
      <c r="G281" s="2450" t="s">
        <v>67</v>
      </c>
      <c r="H281" s="2502">
        <v>152312</v>
      </c>
      <c r="I281" s="2450" t="s">
        <v>12</v>
      </c>
      <c r="J281" s="2517">
        <v>1228.853216</v>
      </c>
      <c r="K281" s="2581">
        <v>130.5891434757313</v>
      </c>
      <c r="L281" s="2582">
        <v>4.0625887320959991E-3</v>
      </c>
      <c r="M281" s="2583">
        <v>8.1251774641919979E-4</v>
      </c>
    </row>
    <row r="282" spans="2:13">
      <c r="B282" s="2449"/>
      <c r="C282" s="2450"/>
      <c r="D282" s="2460"/>
      <c r="E282" s="2450"/>
      <c r="F282" s="2502"/>
      <c r="G282" s="2450"/>
      <c r="H282" s="2502"/>
      <c r="I282" s="2450"/>
      <c r="J282" s="2524"/>
      <c r="K282" s="2581"/>
      <c r="L282" s="2582"/>
      <c r="M282" s="2583"/>
    </row>
    <row r="283" spans="2:13">
      <c r="B283" s="2449"/>
      <c r="C283" s="2450" t="s">
        <v>1141</v>
      </c>
      <c r="D283" s="2460" t="s">
        <v>1130</v>
      </c>
      <c r="E283" s="2450" t="s">
        <v>1154</v>
      </c>
      <c r="F283" s="2451">
        <v>8068</v>
      </c>
      <c r="G283" s="2450" t="s">
        <v>67</v>
      </c>
      <c r="H283" s="2502">
        <v>140366</v>
      </c>
      <c r="I283" s="2450" t="s">
        <v>12</v>
      </c>
      <c r="J283" s="2517">
        <v>1132.472888</v>
      </c>
      <c r="K283" s="2581">
        <v>126.11460133466296</v>
      </c>
      <c r="L283" s="2582">
        <v>3.7439553677279997E-3</v>
      </c>
      <c r="M283" s="2583">
        <v>7.487910735455999E-4</v>
      </c>
    </row>
    <row r="284" spans="2:13">
      <c r="B284" s="2449"/>
      <c r="C284" s="2450"/>
      <c r="D284" s="2460"/>
      <c r="E284" s="2450"/>
      <c r="F284" s="2502"/>
      <c r="G284" s="2450"/>
      <c r="H284" s="2502"/>
      <c r="I284" s="2450"/>
      <c r="J284" s="2517"/>
      <c r="K284" s="2581"/>
      <c r="L284" s="2582"/>
      <c r="M284" s="2584"/>
    </row>
    <row r="285" spans="2:13" ht="13.5" thickBot="1">
      <c r="B285" s="2449"/>
      <c r="C285" s="2450"/>
      <c r="D285" s="2460"/>
      <c r="E285" s="2450"/>
      <c r="F285" s="2502"/>
      <c r="G285" s="2450"/>
      <c r="H285" s="2502"/>
      <c r="I285" s="2450"/>
      <c r="J285" s="2517"/>
      <c r="K285" s="2581"/>
      <c r="L285" s="2582"/>
      <c r="M285" s="2584"/>
    </row>
    <row r="286" spans="2:13">
      <c r="B286" s="2453"/>
      <c r="C286" s="2455"/>
      <c r="D286" s="2476"/>
      <c r="E286" s="2455"/>
      <c r="F286" s="2458"/>
      <c r="G286" s="2455"/>
      <c r="H286" s="2456"/>
      <c r="I286" s="2455"/>
      <c r="J286" s="2455"/>
      <c r="K286" s="2585"/>
      <c r="L286" s="2586"/>
      <c r="M286" s="2587"/>
    </row>
    <row r="287" spans="2:13">
      <c r="B287" s="2449" t="s">
        <v>1142</v>
      </c>
      <c r="C287" s="2474" t="s">
        <v>1143</v>
      </c>
      <c r="D287" s="2460"/>
      <c r="E287" s="2450"/>
      <c r="F287" s="2502"/>
      <c r="G287" s="2450"/>
      <c r="H287" s="2502"/>
      <c r="I287" s="2450"/>
      <c r="J287" s="2517"/>
      <c r="K287" s="2581"/>
      <c r="L287" s="2582"/>
      <c r="M287" s="2584"/>
    </row>
    <row r="288" spans="2:13">
      <c r="B288" s="2449"/>
      <c r="C288" s="2450" t="s">
        <v>68</v>
      </c>
      <c r="D288" s="2460" t="s">
        <v>1128</v>
      </c>
      <c r="E288" s="2450" t="s">
        <v>71</v>
      </c>
      <c r="F288" s="2451">
        <v>2016252</v>
      </c>
      <c r="G288" s="2450" t="s">
        <v>67</v>
      </c>
      <c r="H288" s="2538">
        <v>0.152</v>
      </c>
      <c r="I288" s="2450" t="s">
        <v>1150</v>
      </c>
      <c r="J288" s="2521">
        <v>306470.304</v>
      </c>
      <c r="K288" s="2581">
        <v>12509.358786335381</v>
      </c>
      <c r="L288" s="2582">
        <v>1.0109999999999999</v>
      </c>
      <c r="M288" s="2584">
        <v>0.2</v>
      </c>
    </row>
    <row r="289" spans="2:13">
      <c r="B289" s="2449"/>
      <c r="C289" s="2450"/>
      <c r="D289" s="2460"/>
      <c r="E289" s="2450"/>
      <c r="F289" s="2502"/>
      <c r="G289" s="2450"/>
      <c r="H289" s="2502"/>
      <c r="I289" s="2450"/>
      <c r="J289" s="2524"/>
      <c r="K289" s="2581"/>
      <c r="L289" s="2588"/>
      <c r="M289" s="2584"/>
    </row>
    <row r="290" spans="2:13">
      <c r="B290" s="2449"/>
      <c r="C290" s="2450"/>
      <c r="D290" s="2460"/>
      <c r="E290" s="2450"/>
      <c r="F290" s="2502"/>
      <c r="G290" s="2450"/>
      <c r="H290" s="2502"/>
      <c r="I290" s="2450"/>
      <c r="J290" s="2524"/>
      <c r="K290" s="2581"/>
      <c r="L290" s="2588"/>
      <c r="M290" s="2584"/>
    </row>
    <row r="291" spans="2:13">
      <c r="B291" s="2449"/>
      <c r="C291" s="2450" t="s">
        <v>69</v>
      </c>
      <c r="D291" s="2460" t="s">
        <v>70</v>
      </c>
      <c r="E291" s="2450" t="s">
        <v>71</v>
      </c>
      <c r="F291" s="2451">
        <v>6804042</v>
      </c>
      <c r="G291" s="2450" t="s">
        <v>67</v>
      </c>
      <c r="H291" s="2538">
        <v>0.152</v>
      </c>
      <c r="I291" s="2450" t="s">
        <v>1151</v>
      </c>
      <c r="J291" s="2589">
        <v>1034214.384</v>
      </c>
      <c r="K291" s="2581">
        <v>88113.610930699593</v>
      </c>
      <c r="L291" s="2582">
        <v>3.4129999999999998</v>
      </c>
      <c r="M291" s="2584">
        <v>0.68</v>
      </c>
    </row>
    <row r="292" spans="2:13" ht="13.5" thickBot="1">
      <c r="B292" s="2449"/>
      <c r="C292" s="2450"/>
      <c r="D292" s="2460"/>
      <c r="E292" s="2450"/>
      <c r="F292" s="2451"/>
      <c r="G292" s="2450"/>
      <c r="H292" s="2538"/>
      <c r="I292" s="2450"/>
      <c r="J292" s="2524"/>
      <c r="K292" s="2581"/>
      <c r="L292" s="2582"/>
      <c r="M292" s="2584"/>
    </row>
    <row r="293" spans="2:13">
      <c r="B293" s="2453"/>
      <c r="C293" s="2455"/>
      <c r="D293" s="2476"/>
      <c r="E293" s="2455"/>
      <c r="F293" s="2458"/>
      <c r="G293" s="2455"/>
      <c r="H293" s="2456"/>
      <c r="I293" s="2551"/>
      <c r="J293" s="2541"/>
      <c r="K293" s="2585"/>
      <c r="L293" s="2586"/>
      <c r="M293" s="2587"/>
    </row>
    <row r="294" spans="2:13">
      <c r="B294" s="2449" t="s">
        <v>54</v>
      </c>
      <c r="C294" s="2474" t="s">
        <v>55</v>
      </c>
      <c r="D294" s="2460"/>
      <c r="E294" s="2450"/>
      <c r="F294" s="2450"/>
      <c r="G294" s="2450"/>
      <c r="H294" s="2450"/>
      <c r="I294" s="2450"/>
      <c r="J294" s="2450"/>
      <c r="K294" s="2590"/>
      <c r="L294" s="2591"/>
      <c r="M294" s="2584"/>
    </row>
    <row r="295" spans="2:13">
      <c r="B295" s="2449"/>
      <c r="C295" s="2450" t="s">
        <v>295</v>
      </c>
      <c r="D295" s="2460" t="s">
        <v>56</v>
      </c>
      <c r="E295" s="2450" t="s">
        <v>66</v>
      </c>
      <c r="F295" s="2503">
        <v>1595518</v>
      </c>
      <c r="G295" s="2450" t="s">
        <v>67</v>
      </c>
      <c r="H295" s="2503">
        <v>151504</v>
      </c>
      <c r="I295" s="2450" t="s">
        <v>57</v>
      </c>
      <c r="J295" s="2552">
        <v>241727.35907199999</v>
      </c>
      <c r="K295" s="2581">
        <v>20442.12927522769</v>
      </c>
      <c r="L295" s="2582">
        <v>0.83</v>
      </c>
      <c r="M295" s="2584">
        <v>0.17</v>
      </c>
    </row>
    <row r="296" spans="2:13" ht="13.5" thickBot="1">
      <c r="B296" s="2449"/>
      <c r="C296" s="2450"/>
      <c r="D296" s="2450"/>
      <c r="E296" s="2450"/>
      <c r="F296" s="2503"/>
      <c r="G296" s="2450"/>
      <c r="H296" s="2503"/>
      <c r="I296" s="2450"/>
      <c r="J296" s="2552"/>
      <c r="K296" s="2488"/>
      <c r="L296" s="2488"/>
      <c r="M296" s="2584"/>
    </row>
    <row r="297" spans="2:13">
      <c r="B297" s="2453"/>
      <c r="C297" s="2455"/>
      <c r="D297" s="2457"/>
      <c r="E297" s="2455"/>
      <c r="F297" s="2592"/>
      <c r="G297" s="2455"/>
      <c r="H297" s="2592"/>
      <c r="I297" s="2455"/>
      <c r="J297" s="2592"/>
      <c r="K297" s="2592"/>
      <c r="L297" s="2592"/>
      <c r="M297" s="2587"/>
    </row>
    <row r="298" spans="2:13">
      <c r="B298" s="2449"/>
      <c r="C298" s="2450"/>
      <c r="D298" s="2568"/>
      <c r="E298" s="2450"/>
      <c r="F298" s="2503"/>
      <c r="G298" s="2450"/>
      <c r="H298" s="2503"/>
      <c r="I298" s="2450"/>
      <c r="J298" s="2552"/>
      <c r="K298" s="2488"/>
      <c r="L298" s="2488"/>
      <c r="M298" s="2584"/>
    </row>
    <row r="299" spans="2:13">
      <c r="B299" s="2449"/>
      <c r="C299" s="2450"/>
      <c r="D299" s="2576" t="s">
        <v>1245</v>
      </c>
      <c r="E299" s="2574"/>
      <c r="F299" s="2574">
        <f>SUM(F281:F298)</f>
        <v>10431948</v>
      </c>
      <c r="G299" s="2574"/>
      <c r="H299" s="2574"/>
      <c r="I299" s="2574"/>
      <c r="J299" s="2574">
        <f>SUM(J281:J298)</f>
        <v>1584773.3731759998</v>
      </c>
      <c r="K299" s="2574">
        <f>SUM(K281:K298)</f>
        <v>121321.80273707306</v>
      </c>
      <c r="L299" s="2574">
        <f>SUM(L281:L298)</f>
        <v>5.2618065440998238</v>
      </c>
      <c r="M299" s="2593">
        <f>SUM(M281:M298)</f>
        <v>1.0515613088199649</v>
      </c>
    </row>
    <row r="300" spans="2:13">
      <c r="B300" s="2449"/>
      <c r="C300" s="2450"/>
      <c r="D300" s="2568"/>
      <c r="E300" s="2450"/>
      <c r="F300" s="2503"/>
      <c r="G300" s="2450"/>
      <c r="H300" s="2503"/>
      <c r="I300" s="2450"/>
      <c r="J300" s="2552"/>
      <c r="K300" s="2552"/>
      <c r="L300" s="2554"/>
      <c r="M300" s="2555"/>
    </row>
    <row r="301" spans="2:13" ht="14.25">
      <c r="B301" s="2449"/>
      <c r="C301" s="2450"/>
      <c r="D301" s="2576" t="s">
        <v>1352</v>
      </c>
      <c r="E301" s="2574"/>
      <c r="F301" s="2574"/>
      <c r="G301" s="2574"/>
      <c r="H301" s="2574"/>
      <c r="I301" s="2574"/>
      <c r="J301" s="2574"/>
      <c r="K301" s="2574">
        <f>(+K299*0.907184)/1000000</f>
        <v>0.11006119829422889</v>
      </c>
      <c r="L301" s="2574">
        <f>(+L299*21*0.907184)/1000000</f>
        <v>1.0024196086595575E-4</v>
      </c>
      <c r="M301" s="2593">
        <f>(+M299*310*0.907184)/1000000</f>
        <v>2.9572747425796463E-4</v>
      </c>
    </row>
    <row r="302" spans="2:13">
      <c r="B302" s="2449"/>
      <c r="C302" s="2450"/>
      <c r="D302" s="2568"/>
      <c r="E302" s="2450"/>
      <c r="F302" s="2503"/>
      <c r="G302" s="2450"/>
      <c r="H302" s="2503"/>
      <c r="I302" s="2450"/>
      <c r="J302" s="2552"/>
      <c r="K302" s="2552"/>
      <c r="L302" s="2554"/>
      <c r="M302" s="2555"/>
    </row>
    <row r="303" spans="2:13">
      <c r="B303" s="2449"/>
      <c r="C303" s="2450"/>
      <c r="D303" s="2568"/>
      <c r="E303" s="2450"/>
      <c r="F303" s="2503"/>
      <c r="G303" s="2450"/>
      <c r="H303" s="2503"/>
      <c r="I303" s="2450"/>
      <c r="J303" s="2552"/>
      <c r="K303" s="2552"/>
      <c r="L303" s="2554"/>
      <c r="M303" s="2555"/>
    </row>
    <row r="304" spans="2:13">
      <c r="B304" s="2449"/>
      <c r="C304" s="2450"/>
      <c r="D304" s="2568"/>
      <c r="E304" s="2450"/>
      <c r="F304" s="2503"/>
      <c r="G304" s="2450"/>
      <c r="H304" s="2503"/>
      <c r="I304" s="2450"/>
      <c r="J304" s="2552"/>
      <c r="K304" s="2552"/>
      <c r="L304" s="2554"/>
      <c r="M304" s="2555"/>
    </row>
    <row r="305" spans="2:13">
      <c r="B305" s="2449"/>
      <c r="C305" s="2450"/>
      <c r="D305" s="2568"/>
      <c r="E305" s="2450"/>
      <c r="F305" s="2552"/>
      <c r="G305" s="2450"/>
      <c r="H305" s="2552"/>
      <c r="I305" s="2450"/>
      <c r="J305" s="2502"/>
      <c r="K305" s="2507"/>
      <c r="L305" s="2450"/>
      <c r="M305" s="2452"/>
    </row>
    <row r="306" spans="2:13" ht="13.5" thickBot="1">
      <c r="B306" s="2577"/>
      <c r="C306" s="2578"/>
      <c r="D306" s="2579"/>
      <c r="E306" s="2578"/>
      <c r="F306" s="2578"/>
      <c r="G306" s="2578"/>
      <c r="H306" s="2578"/>
      <c r="I306" s="2578"/>
      <c r="J306" s="2578"/>
      <c r="K306" s="2578"/>
      <c r="L306" s="2578"/>
      <c r="M306" s="2594"/>
    </row>
    <row r="307" spans="2:13" ht="13.5" thickTop="1"/>
    <row r="312" spans="2:13">
      <c r="B312" s="2440" t="s">
        <v>332</v>
      </c>
      <c r="C312" s="2595"/>
      <c r="D312" s="2595"/>
    </row>
    <row r="315" spans="2:13" ht="13.5" thickBot="1"/>
    <row r="316" spans="2:13" ht="13.5" thickTop="1">
      <c r="B316" s="2442" t="s">
        <v>1107</v>
      </c>
      <c r="C316" s="2443" t="s">
        <v>1108</v>
      </c>
      <c r="D316" s="2443" t="s">
        <v>1109</v>
      </c>
      <c r="E316" s="2443" t="s">
        <v>1110</v>
      </c>
      <c r="F316" s="2443" t="s">
        <v>1111</v>
      </c>
      <c r="G316" s="2443" t="s">
        <v>1111</v>
      </c>
      <c r="H316" s="2443" t="s">
        <v>796</v>
      </c>
      <c r="I316" s="2443" t="s">
        <v>798</v>
      </c>
      <c r="J316" s="2444" t="s">
        <v>800</v>
      </c>
      <c r="K316" s="2443" t="s">
        <v>1239</v>
      </c>
      <c r="L316" s="2443" t="s">
        <v>1240</v>
      </c>
      <c r="M316" s="2445" t="s">
        <v>1241</v>
      </c>
    </row>
    <row r="317" spans="2:13">
      <c r="B317" s="2446"/>
      <c r="C317" s="2447"/>
      <c r="D317" s="2447"/>
      <c r="E317" s="2447"/>
      <c r="F317" s="2447"/>
      <c r="G317" s="2447" t="s">
        <v>1113</v>
      </c>
      <c r="H317" s="2447" t="s">
        <v>797</v>
      </c>
      <c r="I317" s="2447" t="s">
        <v>799</v>
      </c>
      <c r="J317" s="2447" t="s">
        <v>1114</v>
      </c>
      <c r="K317" s="2447" t="s">
        <v>1112</v>
      </c>
      <c r="L317" s="2447" t="s">
        <v>1112</v>
      </c>
      <c r="M317" s="2448" t="s">
        <v>1112</v>
      </c>
    </row>
    <row r="318" spans="2:13" ht="13.5" thickBot="1">
      <c r="B318" s="2449"/>
      <c r="C318" s="2450"/>
      <c r="D318" s="2450"/>
      <c r="E318" s="2450"/>
      <c r="F318" s="2450"/>
      <c r="G318" s="2450"/>
      <c r="H318" s="2450"/>
      <c r="I318" s="2450"/>
      <c r="J318" s="2450"/>
      <c r="K318" s="2451"/>
      <c r="L318" s="2450"/>
      <c r="M318" s="2452"/>
    </row>
    <row r="319" spans="2:13">
      <c r="B319" s="2453" t="s">
        <v>1115</v>
      </c>
      <c r="C319" s="2454" t="s">
        <v>1116</v>
      </c>
      <c r="D319" s="2455"/>
      <c r="E319" s="2455"/>
      <c r="F319" s="2456"/>
      <c r="G319" s="2455"/>
      <c r="H319" s="2455"/>
      <c r="I319" s="2455"/>
      <c r="J319" s="2455"/>
      <c r="K319" s="2458"/>
      <c r="L319" s="2455"/>
      <c r="M319" s="2459"/>
    </row>
    <row r="320" spans="2:13">
      <c r="B320" s="2449"/>
      <c r="C320" s="2450"/>
      <c r="D320" s="2450"/>
      <c r="E320" s="2450"/>
      <c r="F320" s="2450"/>
      <c r="G320" s="2450"/>
      <c r="H320" s="2450"/>
      <c r="I320" s="2450"/>
      <c r="J320" s="2450"/>
      <c r="K320" s="2450"/>
      <c r="L320" s="2596"/>
      <c r="M320" s="2510"/>
    </row>
    <row r="321" spans="2:13">
      <c r="B321" s="2449"/>
      <c r="C321" s="2450" t="s">
        <v>72</v>
      </c>
      <c r="D321" s="2460" t="s">
        <v>73</v>
      </c>
      <c r="E321" s="2450" t="s">
        <v>1104</v>
      </c>
      <c r="F321" s="2451">
        <v>2627700</v>
      </c>
      <c r="G321" s="2450" t="s">
        <v>144</v>
      </c>
      <c r="H321" s="2502">
        <v>1020</v>
      </c>
      <c r="I321" s="2450" t="s">
        <v>74</v>
      </c>
      <c r="J321" s="2597">
        <v>2680.2539999999999</v>
      </c>
      <c r="K321" s="2505">
        <v>157.87</v>
      </c>
      <c r="L321" s="2509">
        <v>0</v>
      </c>
      <c r="M321" s="2510">
        <v>0</v>
      </c>
    </row>
    <row r="322" spans="2:13" ht="13.5" thickBot="1">
      <c r="B322" s="2466"/>
      <c r="C322" s="2467"/>
      <c r="D322" s="2467"/>
      <c r="E322" s="2467"/>
      <c r="F322" s="2511"/>
      <c r="G322" s="2467"/>
      <c r="H322" s="2512"/>
      <c r="I322" s="2467"/>
      <c r="J322" s="2513"/>
      <c r="K322" s="2649"/>
      <c r="L322" s="2650"/>
      <c r="M322" s="2651"/>
    </row>
    <row r="323" spans="2:13">
      <c r="B323" s="2449"/>
      <c r="C323" s="2450"/>
      <c r="D323" s="2450"/>
      <c r="E323" s="2450"/>
      <c r="F323" s="2451"/>
      <c r="G323" s="2450"/>
      <c r="H323" s="2502"/>
      <c r="I323" s="2450"/>
      <c r="J323" s="2598"/>
      <c r="K323" s="2475"/>
      <c r="L323" s="2652"/>
      <c r="M323" s="2653"/>
    </row>
    <row r="324" spans="2:13">
      <c r="B324" s="2449" t="s">
        <v>1131</v>
      </c>
      <c r="C324" s="2474" t="s">
        <v>1132</v>
      </c>
      <c r="D324" s="2450"/>
      <c r="E324" s="2450"/>
      <c r="F324" s="2451"/>
      <c r="G324" s="2450"/>
      <c r="H324" s="2502"/>
      <c r="I324" s="2450"/>
      <c r="J324" s="2598"/>
      <c r="K324" s="2475"/>
      <c r="L324" s="2652"/>
      <c r="M324" s="2653"/>
    </row>
    <row r="325" spans="2:13">
      <c r="B325" s="2449"/>
      <c r="C325" s="2450" t="s">
        <v>1133</v>
      </c>
      <c r="D325" s="2460" t="s">
        <v>1134</v>
      </c>
      <c r="E325" s="2450" t="s">
        <v>75</v>
      </c>
      <c r="F325" s="2451">
        <v>25595000</v>
      </c>
      <c r="G325" s="2450" t="s">
        <v>144</v>
      </c>
      <c r="H325" s="2502">
        <v>1082</v>
      </c>
      <c r="I325" s="2450" t="s">
        <v>76</v>
      </c>
      <c r="J325" s="2598">
        <v>27693.79</v>
      </c>
      <c r="K325" s="2475">
        <v>2890.3648630452653</v>
      </c>
      <c r="L325" s="2652">
        <v>0.03</v>
      </c>
      <c r="M325" s="2653">
        <v>3.0000000000000001E-3</v>
      </c>
    </row>
    <row r="326" spans="2:13">
      <c r="B326" s="2449"/>
      <c r="C326" s="2450"/>
      <c r="D326" s="2450"/>
      <c r="E326" s="2450"/>
      <c r="F326" s="2451"/>
      <c r="G326" s="2450"/>
      <c r="H326" s="2502"/>
      <c r="I326" s="2450"/>
      <c r="J326" s="2598"/>
      <c r="K326" s="2475"/>
      <c r="L326" s="2652"/>
      <c r="M326" s="2653"/>
    </row>
    <row r="327" spans="2:13">
      <c r="B327" s="2449"/>
      <c r="C327" s="2450" t="s">
        <v>1135</v>
      </c>
      <c r="D327" s="2460" t="s">
        <v>1136</v>
      </c>
      <c r="E327" s="2450" t="s">
        <v>75</v>
      </c>
      <c r="F327" s="2451">
        <v>39774000</v>
      </c>
      <c r="G327" s="2450" t="s">
        <v>144</v>
      </c>
      <c r="H327" s="2502">
        <v>1079</v>
      </c>
      <c r="I327" s="2450" t="s">
        <v>76</v>
      </c>
      <c r="J327" s="2589">
        <v>42916.146000000001</v>
      </c>
      <c r="K327" s="2462">
        <v>5156.1121205803584</v>
      </c>
      <c r="L327" s="2475">
        <v>4.7E-2</v>
      </c>
      <c r="M327" s="2653">
        <v>5.0000000000000001E-3</v>
      </c>
    </row>
    <row r="328" spans="2:13" ht="13.5" thickBot="1">
      <c r="B328" s="2449"/>
      <c r="C328" s="2450"/>
      <c r="D328" s="2450"/>
      <c r="E328" s="2450"/>
      <c r="F328" s="2451"/>
      <c r="G328" s="2450"/>
      <c r="H328" s="2502"/>
      <c r="I328" s="2450"/>
      <c r="J328" s="2598"/>
      <c r="K328" s="2475"/>
      <c r="L328" s="2652"/>
      <c r="M328" s="2653"/>
    </row>
    <row r="329" spans="2:13">
      <c r="B329" s="2453"/>
      <c r="C329" s="2454"/>
      <c r="D329" s="2455"/>
      <c r="E329" s="2455"/>
      <c r="F329" s="2456"/>
      <c r="G329" s="2455"/>
      <c r="H329" s="2456"/>
      <c r="I329" s="2455"/>
      <c r="J329" s="2533"/>
      <c r="K329" s="2477"/>
      <c r="L329" s="2654"/>
      <c r="M329" s="2655"/>
    </row>
    <row r="330" spans="2:13">
      <c r="B330" s="2449" t="s">
        <v>1137</v>
      </c>
      <c r="C330" s="2474" t="s">
        <v>1138</v>
      </c>
      <c r="D330" s="2450"/>
      <c r="E330" s="2450"/>
      <c r="F330" s="2502"/>
      <c r="G330" s="2450"/>
      <c r="H330" s="2502"/>
      <c r="I330" s="2450"/>
      <c r="J330" s="2517"/>
      <c r="K330" s="2462"/>
      <c r="L330" s="2475"/>
      <c r="M330" s="2656"/>
    </row>
    <row r="331" spans="2:13">
      <c r="B331" s="2449"/>
      <c r="C331" s="2450" t="s">
        <v>1139</v>
      </c>
      <c r="D331" s="2460" t="s">
        <v>1128</v>
      </c>
      <c r="E331" s="2450" t="s">
        <v>77</v>
      </c>
      <c r="F331" s="2451">
        <v>43540</v>
      </c>
      <c r="G331" s="2450" t="s">
        <v>144</v>
      </c>
      <c r="H331" s="2502">
        <v>1060</v>
      </c>
      <c r="I331" s="2450" t="s">
        <v>76</v>
      </c>
      <c r="J331" s="2517">
        <v>46152.4</v>
      </c>
      <c r="K331" s="2462">
        <v>4904.5746936055066</v>
      </c>
      <c r="L331" s="2475">
        <v>5.0859944799999994E-2</v>
      </c>
      <c r="M331" s="2506">
        <v>5.0859944799999997E-3</v>
      </c>
    </row>
    <row r="332" spans="2:13">
      <c r="B332" s="2449"/>
      <c r="C332" s="2450"/>
      <c r="D332" s="2450"/>
      <c r="E332" s="2450"/>
      <c r="F332" s="2502"/>
      <c r="G332" s="2450"/>
      <c r="H332" s="2502"/>
      <c r="I332" s="2450"/>
      <c r="J332" s="2524"/>
      <c r="K332" s="2657"/>
      <c r="L332" s="2658"/>
      <c r="M332" s="2506"/>
    </row>
    <row r="333" spans="2:13">
      <c r="B333" s="2449"/>
      <c r="C333" s="2450" t="s">
        <v>1141</v>
      </c>
      <c r="D333" s="2460" t="s">
        <v>1130</v>
      </c>
      <c r="E333" s="2450" t="s">
        <v>77</v>
      </c>
      <c r="F333" s="2451">
        <v>287710</v>
      </c>
      <c r="G333" s="2450" t="s">
        <v>144</v>
      </c>
      <c r="H333" s="2502">
        <v>1067</v>
      </c>
      <c r="I333" s="2450" t="s">
        <v>76</v>
      </c>
      <c r="J333" s="2517">
        <v>306986.57</v>
      </c>
      <c r="K333" s="2462">
        <v>34030.176863160646</v>
      </c>
      <c r="L333" s="2475">
        <v>0.33829920013999998</v>
      </c>
      <c r="M333" s="2506">
        <v>3.38391296111E-2</v>
      </c>
    </row>
    <row r="334" spans="2:13">
      <c r="B334" s="2449"/>
      <c r="C334" s="2450"/>
      <c r="D334" s="2460"/>
      <c r="E334" s="2450"/>
      <c r="F334" s="2502"/>
      <c r="G334" s="2450"/>
      <c r="H334" s="2502"/>
      <c r="I334" s="2450"/>
      <c r="J334" s="2517"/>
      <c r="K334" s="2462"/>
      <c r="L334" s="2475"/>
      <c r="M334" s="2535"/>
    </row>
    <row r="335" spans="2:13">
      <c r="B335" s="2449"/>
      <c r="C335" s="2450" t="s">
        <v>19</v>
      </c>
      <c r="D335" s="2460" t="s">
        <v>1147</v>
      </c>
      <c r="E335" s="2450" t="s">
        <v>77</v>
      </c>
      <c r="F335" s="2451">
        <v>2610880</v>
      </c>
      <c r="G335" s="2450" t="s">
        <v>144</v>
      </c>
      <c r="H335" s="2502">
        <v>1064.175</v>
      </c>
      <c r="I335" s="2450" t="s">
        <v>76</v>
      </c>
      <c r="J335" s="2517">
        <v>2778433.2239999999</v>
      </c>
      <c r="K335" s="2462">
        <v>154720.88756671365</v>
      </c>
      <c r="L335" s="2475">
        <v>3.0618334128479994</v>
      </c>
      <c r="M335" s="2506">
        <v>0.30618334128480001</v>
      </c>
    </row>
    <row r="336" spans="2:13">
      <c r="B336" s="2449"/>
      <c r="C336" s="2450"/>
      <c r="D336" s="2460"/>
      <c r="E336" s="2450"/>
      <c r="F336" s="2502"/>
      <c r="G336" s="2450"/>
      <c r="H336" s="2502"/>
      <c r="I336" s="2450"/>
      <c r="J336" s="2517"/>
      <c r="K336" s="2462"/>
      <c r="L336" s="2475"/>
      <c r="M336" s="2535"/>
    </row>
    <row r="337" spans="2:13">
      <c r="B337" s="2449"/>
      <c r="C337" s="2450" t="s">
        <v>21</v>
      </c>
      <c r="D337" s="2460" t="s">
        <v>20</v>
      </c>
      <c r="E337" s="2450" t="s">
        <v>77</v>
      </c>
      <c r="F337" s="2451">
        <v>2095750</v>
      </c>
      <c r="G337" s="2450" t="s">
        <v>144</v>
      </c>
      <c r="H337" s="2502">
        <v>1068</v>
      </c>
      <c r="I337" s="2450" t="s">
        <v>76</v>
      </c>
      <c r="J337" s="2517">
        <v>2238261</v>
      </c>
      <c r="K337" s="2462">
        <v>133626.21952827918</v>
      </c>
      <c r="L337" s="2475">
        <v>2.4665636219999998</v>
      </c>
      <c r="M337" s="2506">
        <v>0.24665636219999998</v>
      </c>
    </row>
    <row r="338" spans="2:13">
      <c r="B338" s="2449"/>
      <c r="C338" s="2450"/>
      <c r="D338" s="2460"/>
      <c r="E338" s="2450"/>
      <c r="F338" s="2502"/>
      <c r="G338" s="2450"/>
      <c r="H338" s="2502"/>
      <c r="I338" s="2450"/>
      <c r="J338" s="2524"/>
      <c r="K338" s="2462"/>
      <c r="L338" s="2475"/>
      <c r="M338" s="2535"/>
    </row>
    <row r="339" spans="2:13">
      <c r="B339" s="2449"/>
      <c r="C339" s="2450" t="s">
        <v>26</v>
      </c>
      <c r="D339" s="2247" t="s">
        <v>27</v>
      </c>
      <c r="E339" s="2450" t="s">
        <v>77</v>
      </c>
      <c r="F339" s="2451">
        <v>28104</v>
      </c>
      <c r="G339" s="2450" t="s">
        <v>144</v>
      </c>
      <c r="H339" s="2502">
        <v>1069</v>
      </c>
      <c r="I339" s="2450" t="s">
        <v>76</v>
      </c>
      <c r="J339" s="2517">
        <v>30043.175999999999</v>
      </c>
      <c r="K339" s="2659">
        <v>2437.2151613402175</v>
      </c>
      <c r="L339" s="2475">
        <v>3.3107579951999998E-2</v>
      </c>
      <c r="M339" s="2506">
        <v>3.3107579951999998E-3</v>
      </c>
    </row>
    <row r="340" spans="2:13">
      <c r="B340" s="2449"/>
      <c r="C340" s="2450"/>
      <c r="D340" s="2460"/>
      <c r="E340" s="2450"/>
      <c r="F340" s="2502"/>
      <c r="G340" s="2450"/>
      <c r="H340" s="2502"/>
      <c r="I340" s="2450"/>
      <c r="J340" s="2504"/>
      <c r="K340" s="2659"/>
      <c r="L340" s="2505"/>
      <c r="M340" s="2506"/>
    </row>
    <row r="341" spans="2:13">
      <c r="B341" s="2449"/>
      <c r="C341" s="2450" t="s">
        <v>28</v>
      </c>
      <c r="D341" s="2247" t="s">
        <v>29</v>
      </c>
      <c r="E341" s="2450" t="s">
        <v>77</v>
      </c>
      <c r="F341" s="2451">
        <v>36128</v>
      </c>
      <c r="G341" s="2450" t="s">
        <v>144</v>
      </c>
      <c r="H341" s="2502">
        <v>1069</v>
      </c>
      <c r="I341" s="2450" t="s">
        <v>76</v>
      </c>
      <c r="J341" s="2517">
        <v>38620.832000000002</v>
      </c>
      <c r="K341" s="2659">
        <v>2681.7973150040411</v>
      </c>
      <c r="L341" s="2475">
        <v>4.2560156863999998E-2</v>
      </c>
      <c r="M341" s="2506">
        <v>4.2560156863999995E-3</v>
      </c>
    </row>
    <row r="342" spans="2:13">
      <c r="B342" s="2449"/>
      <c r="C342" s="2450"/>
      <c r="D342" s="2460"/>
      <c r="E342" s="2450"/>
      <c r="F342" s="2451"/>
      <c r="G342" s="2450"/>
      <c r="H342" s="2502"/>
      <c r="I342" s="2450"/>
      <c r="J342" s="2524"/>
      <c r="K342" s="2659"/>
      <c r="L342" s="2505"/>
      <c r="M342" s="2506"/>
    </row>
    <row r="343" spans="2:13">
      <c r="B343" s="2449"/>
      <c r="C343" s="2450"/>
      <c r="D343" s="2247" t="s">
        <v>751</v>
      </c>
      <c r="E343" s="2450" t="s">
        <v>77</v>
      </c>
      <c r="F343" s="2451">
        <v>45011</v>
      </c>
      <c r="G343" s="2450" t="s">
        <v>144</v>
      </c>
      <c r="H343" s="2502">
        <v>1069</v>
      </c>
      <c r="I343" s="2450" t="s">
        <v>76</v>
      </c>
      <c r="J343" s="2517">
        <v>48116.758999999998</v>
      </c>
      <c r="K343" s="2659">
        <v>3341.1863082829627</v>
      </c>
      <c r="L343" s="2475">
        <v>5.3024668418E-2</v>
      </c>
      <c r="M343" s="2506">
        <v>5.3024668417999991E-3</v>
      </c>
    </row>
    <row r="344" spans="2:13">
      <c r="B344" s="2449"/>
      <c r="C344" s="2450"/>
      <c r="D344" s="2460"/>
      <c r="E344" s="2450"/>
      <c r="F344" s="2502"/>
      <c r="G344" s="2450"/>
      <c r="H344" s="2502"/>
      <c r="I344" s="2450"/>
      <c r="J344" s="2524"/>
      <c r="K344" s="2659"/>
      <c r="L344" s="2505"/>
      <c r="M344" s="2506"/>
    </row>
    <row r="345" spans="2:13">
      <c r="B345" s="2449"/>
      <c r="C345" s="2450" t="s">
        <v>30</v>
      </c>
      <c r="D345" s="2247" t="s">
        <v>31</v>
      </c>
      <c r="E345" s="2450" t="s">
        <v>77</v>
      </c>
      <c r="F345" s="2451">
        <v>50900</v>
      </c>
      <c r="G345" s="2450" t="s">
        <v>144</v>
      </c>
      <c r="H345" s="2502">
        <v>1069</v>
      </c>
      <c r="I345" s="2450" t="s">
        <v>76</v>
      </c>
      <c r="J345" s="2517">
        <v>54412.1</v>
      </c>
      <c r="K345" s="2659">
        <v>4024.7932230763668</v>
      </c>
      <c r="L345" s="2475">
        <v>5.9962134199999996E-2</v>
      </c>
      <c r="M345" s="2506">
        <v>4.4353221318301563E-4</v>
      </c>
    </row>
    <row r="346" spans="2:13">
      <c r="B346" s="2449"/>
      <c r="C346" s="2450"/>
      <c r="D346" s="2460"/>
      <c r="E346" s="2450"/>
      <c r="F346" s="2502"/>
      <c r="G346" s="2450"/>
      <c r="H346" s="2502"/>
      <c r="I346" s="2450"/>
      <c r="J346" s="2524"/>
      <c r="K346" s="2462"/>
      <c r="L346" s="2475"/>
      <c r="M346" s="2535"/>
    </row>
    <row r="347" spans="2:13" ht="13.5" thickBot="1">
      <c r="B347" s="2449"/>
      <c r="C347" s="2450"/>
      <c r="D347" s="2450"/>
      <c r="E347" s="2450"/>
      <c r="F347" s="2502"/>
      <c r="G347" s="2450"/>
      <c r="H347" s="2502"/>
      <c r="I347" s="2450"/>
      <c r="J347" s="2517"/>
      <c r="K347" s="2462"/>
      <c r="L347" s="2475"/>
      <c r="M347" s="2653"/>
    </row>
    <row r="348" spans="2:13">
      <c r="B348" s="2453"/>
      <c r="C348" s="2455"/>
      <c r="D348" s="2476"/>
      <c r="E348" s="2455"/>
      <c r="F348" s="2456"/>
      <c r="G348" s="2455"/>
      <c r="H348" s="2456"/>
      <c r="I348" s="2455"/>
      <c r="J348" s="2533"/>
      <c r="K348" s="2477"/>
      <c r="L348" s="2654"/>
      <c r="M348" s="2655"/>
    </row>
    <row r="349" spans="2:13">
      <c r="B349" s="2449" t="s">
        <v>78</v>
      </c>
      <c r="C349" s="2474" t="s">
        <v>79</v>
      </c>
      <c r="D349" s="2460"/>
      <c r="E349" s="2450"/>
      <c r="F349" s="2502"/>
      <c r="G349" s="2450"/>
      <c r="H349" s="2502"/>
      <c r="I349" s="2450"/>
      <c r="J349" s="2517"/>
      <c r="K349" s="2462"/>
      <c r="L349" s="2475"/>
      <c r="M349" s="2653"/>
    </row>
    <row r="350" spans="2:13">
      <c r="B350" s="2449"/>
      <c r="C350" s="2450" t="s">
        <v>294</v>
      </c>
      <c r="D350" s="2460" t="s">
        <v>80</v>
      </c>
      <c r="E350" s="2450" t="s">
        <v>77</v>
      </c>
      <c r="F350" s="2451">
        <v>31680</v>
      </c>
      <c r="G350" s="2450" t="s">
        <v>144</v>
      </c>
      <c r="H350" s="2502">
        <v>1060.4000000000001</v>
      </c>
      <c r="I350" s="2450" t="s">
        <v>74</v>
      </c>
      <c r="J350" s="2517">
        <v>33593.472000000002</v>
      </c>
      <c r="K350" s="2461">
        <v>2552.6570986794945</v>
      </c>
      <c r="L350" s="2660">
        <v>3.7020006144000001E-2</v>
      </c>
      <c r="M350" s="2537">
        <v>3.7020006144000001E-3</v>
      </c>
    </row>
    <row r="351" spans="2:13" ht="13.5" thickBot="1">
      <c r="B351" s="2449"/>
      <c r="C351" s="2450"/>
      <c r="D351" s="2460"/>
      <c r="E351" s="2450"/>
      <c r="F351" s="2451"/>
      <c r="G351" s="2450"/>
      <c r="H351" s="2502"/>
      <c r="I351" s="2450"/>
      <c r="J351" s="2450"/>
      <c r="K351" s="2460"/>
      <c r="L351" s="2460"/>
      <c r="M351" s="2653"/>
    </row>
    <row r="352" spans="2:13">
      <c r="B352" s="2453"/>
      <c r="C352" s="2455"/>
      <c r="D352" s="2476"/>
      <c r="E352" s="2455"/>
      <c r="F352" s="2458"/>
      <c r="G352" s="2455"/>
      <c r="H352" s="2456"/>
      <c r="I352" s="2455"/>
      <c r="J352" s="2455"/>
      <c r="K352" s="2476"/>
      <c r="L352" s="2476"/>
      <c r="M352" s="2655"/>
    </row>
    <row r="353" spans="2:13">
      <c r="B353" s="2449"/>
      <c r="C353" s="2450"/>
      <c r="D353" s="2460"/>
      <c r="E353" s="2450"/>
      <c r="F353" s="2502"/>
      <c r="G353" s="2450"/>
      <c r="H353" s="2502"/>
      <c r="I353" s="2450"/>
      <c r="J353" s="2450"/>
      <c r="K353" s="2460"/>
      <c r="L353" s="2460"/>
      <c r="M353" s="2653"/>
    </row>
    <row r="354" spans="2:13">
      <c r="B354" s="2449" t="s">
        <v>1142</v>
      </c>
      <c r="C354" s="2474" t="s">
        <v>1143</v>
      </c>
      <c r="D354" s="2460"/>
      <c r="E354" s="2450"/>
      <c r="F354" s="2502"/>
      <c r="G354" s="2450"/>
      <c r="H354" s="2502"/>
      <c r="I354" s="2450"/>
      <c r="J354" s="2517"/>
      <c r="K354" s="2462"/>
      <c r="L354" s="2475"/>
      <c r="M354" s="2653"/>
    </row>
    <row r="355" spans="2:13">
      <c r="B355" s="2449"/>
      <c r="C355" s="2450" t="s">
        <v>68</v>
      </c>
      <c r="D355" s="2460" t="s">
        <v>1128</v>
      </c>
      <c r="E355" s="2450" t="s">
        <v>77</v>
      </c>
      <c r="F355" s="2451">
        <v>178220</v>
      </c>
      <c r="G355" s="2450" t="s">
        <v>1152</v>
      </c>
      <c r="H355" s="2538">
        <v>1.083</v>
      </c>
      <c r="I355" s="2450" t="s">
        <v>1153</v>
      </c>
      <c r="J355" s="2521">
        <v>193012.25999999998</v>
      </c>
      <c r="K355" s="2661">
        <v>12712.204138561281</v>
      </c>
      <c r="L355" s="2481">
        <v>0.21199999999999999</v>
      </c>
      <c r="M355" s="2537">
        <v>2.1000000000000001E-2</v>
      </c>
    </row>
    <row r="356" spans="2:13">
      <c r="B356" s="2449"/>
      <c r="C356" s="2450"/>
      <c r="D356" s="2460"/>
      <c r="E356" s="2450"/>
      <c r="F356" s="2502"/>
      <c r="G356" s="2450"/>
      <c r="H356" s="2502"/>
      <c r="I356" s="2450"/>
      <c r="J356" s="2524"/>
      <c r="K356" s="2657"/>
      <c r="L356" s="2505"/>
      <c r="M356" s="2653"/>
    </row>
    <row r="357" spans="2:13">
      <c r="B357" s="2449"/>
      <c r="C357" s="2450" t="s">
        <v>1144</v>
      </c>
      <c r="D357" s="2460" t="s">
        <v>1130</v>
      </c>
      <c r="E357" s="2450" t="s">
        <v>75</v>
      </c>
      <c r="F357" s="2451">
        <v>52838</v>
      </c>
      <c r="G357" s="2450" t="s">
        <v>1152</v>
      </c>
      <c r="H357" s="2450">
        <v>1.079</v>
      </c>
      <c r="I357" s="2450" t="s">
        <v>1153</v>
      </c>
      <c r="J357" s="2589">
        <v>57012.201999999997</v>
      </c>
      <c r="K357" s="2659">
        <v>6401.7548727885769</v>
      </c>
      <c r="L357" s="2480">
        <v>6.3E-2</v>
      </c>
      <c r="M357" s="2537">
        <v>6.0000000000000001E-3</v>
      </c>
    </row>
    <row r="358" spans="2:13">
      <c r="B358" s="2449"/>
      <c r="C358" s="2450"/>
      <c r="D358" s="2460"/>
      <c r="E358" s="2450"/>
      <c r="F358" s="2502"/>
      <c r="G358" s="2450"/>
      <c r="H358" s="2502"/>
      <c r="I358" s="2450"/>
      <c r="J358" s="2524"/>
      <c r="K358" s="2657"/>
      <c r="L358" s="2505"/>
      <c r="M358" s="2653"/>
    </row>
    <row r="359" spans="2:13">
      <c r="B359" s="2449"/>
      <c r="C359" s="2450" t="s">
        <v>1146</v>
      </c>
      <c r="D359" s="2460" t="s">
        <v>1147</v>
      </c>
      <c r="E359" s="2450" t="s">
        <v>75</v>
      </c>
      <c r="F359" s="2451">
        <v>31308</v>
      </c>
      <c r="G359" s="2450" t="s">
        <v>1152</v>
      </c>
      <c r="H359" s="2538">
        <v>1.0780000000000001</v>
      </c>
      <c r="I359" s="2450" t="s">
        <v>1153</v>
      </c>
      <c r="J359" s="2589">
        <v>33750.024000000005</v>
      </c>
      <c r="K359" s="2659">
        <v>3538.4751955776001</v>
      </c>
      <c r="L359" s="2481">
        <v>3.6999999999999998E-2</v>
      </c>
      <c r="M359" s="2537">
        <v>3.7100000000000002E-3</v>
      </c>
    </row>
    <row r="360" spans="2:13">
      <c r="B360" s="2449"/>
      <c r="C360" s="2450"/>
      <c r="D360" s="2460"/>
      <c r="E360" s="2450"/>
      <c r="F360" s="2502"/>
      <c r="G360" s="2450"/>
      <c r="H360" s="2502"/>
      <c r="I360" s="2450"/>
      <c r="J360" s="2524"/>
      <c r="K360" s="2657"/>
      <c r="L360" s="2505"/>
      <c r="M360" s="2653"/>
    </row>
    <row r="361" spans="2:13">
      <c r="B361" s="2449"/>
      <c r="C361" s="2450" t="s">
        <v>69</v>
      </c>
      <c r="D361" s="2460" t="s">
        <v>70</v>
      </c>
      <c r="E361" s="2450" t="s">
        <v>75</v>
      </c>
      <c r="F361" s="2451">
        <v>22551</v>
      </c>
      <c r="G361" s="2450" t="s">
        <v>1152</v>
      </c>
      <c r="H361" s="2538">
        <v>1.0880000000000001</v>
      </c>
      <c r="I361" s="2450" t="s">
        <v>1153</v>
      </c>
      <c r="J361" s="2589">
        <v>24535.488000000001</v>
      </c>
      <c r="K361" s="2462">
        <v>2090.3890693004023</v>
      </c>
      <c r="L361" s="2481">
        <v>2.7E-2</v>
      </c>
      <c r="M361" s="2537">
        <v>2.7000000000000001E-3</v>
      </c>
    </row>
    <row r="362" spans="2:13" ht="13.5" thickBot="1">
      <c r="B362" s="2449"/>
      <c r="C362" s="2450"/>
      <c r="D362" s="2460"/>
      <c r="E362" s="2450"/>
      <c r="F362" s="2451"/>
      <c r="G362" s="2450"/>
      <c r="H362" s="2538"/>
      <c r="I362" s="2450"/>
      <c r="J362" s="2524"/>
      <c r="K362" s="2657"/>
      <c r="L362" s="2662"/>
      <c r="M362" s="2653"/>
    </row>
    <row r="363" spans="2:13">
      <c r="B363" s="2453"/>
      <c r="C363" s="2455"/>
      <c r="D363" s="2476"/>
      <c r="E363" s="2455"/>
      <c r="F363" s="2458"/>
      <c r="G363" s="2455"/>
      <c r="H363" s="2540"/>
      <c r="I363" s="2455"/>
      <c r="J363" s="2541"/>
      <c r="K363" s="2663"/>
      <c r="L363" s="2664"/>
      <c r="M363" s="2655"/>
    </row>
    <row r="364" spans="2:13">
      <c r="B364" s="2449"/>
      <c r="C364" s="2450"/>
      <c r="D364" s="2460"/>
      <c r="E364" s="2450"/>
      <c r="F364" s="2502"/>
      <c r="G364" s="2450"/>
      <c r="H364" s="2502"/>
      <c r="I364" s="2450"/>
      <c r="J364" s="2450"/>
      <c r="K364" s="2462"/>
      <c r="L364" s="2475"/>
      <c r="M364" s="2653"/>
    </row>
    <row r="365" spans="2:13">
      <c r="B365" s="2449" t="s">
        <v>35</v>
      </c>
      <c r="C365" s="2474" t="s">
        <v>36</v>
      </c>
      <c r="D365" s="2460"/>
      <c r="E365" s="2450"/>
      <c r="F365" s="2502"/>
      <c r="G365" s="2450"/>
      <c r="H365" s="2502"/>
      <c r="I365" s="2450"/>
      <c r="J365" s="2517"/>
      <c r="K365" s="2462"/>
      <c r="L365" s="2475"/>
      <c r="M365" s="2653"/>
    </row>
    <row r="366" spans="2:13">
      <c r="B366" s="2449"/>
      <c r="C366" s="2450" t="s">
        <v>37</v>
      </c>
      <c r="D366" s="2460" t="s">
        <v>38</v>
      </c>
      <c r="E366" s="2450" t="s">
        <v>77</v>
      </c>
      <c r="F366" s="2451">
        <v>544000000</v>
      </c>
      <c r="G366" s="2450" t="s">
        <v>144</v>
      </c>
      <c r="H366" s="2502">
        <v>1040</v>
      </c>
      <c r="I366" s="2450" t="s">
        <v>81</v>
      </c>
      <c r="J366" s="2517">
        <v>565760</v>
      </c>
      <c r="K366" s="2659">
        <v>35570.074131192938</v>
      </c>
      <c r="L366" s="2505">
        <v>0.31728010374861992</v>
      </c>
      <c r="M366" s="2506">
        <v>3.4702511347505308E-2</v>
      </c>
    </row>
    <row r="367" spans="2:13">
      <c r="B367" s="2449"/>
      <c r="C367" s="2450"/>
      <c r="D367" s="2460"/>
      <c r="E367" s="2450"/>
      <c r="F367" s="2451"/>
      <c r="G367" s="2450"/>
      <c r="H367" s="2502"/>
      <c r="I367" s="2450"/>
      <c r="J367" s="2517"/>
      <c r="K367" s="2462"/>
      <c r="L367" s="2475"/>
      <c r="M367" s="2656"/>
    </row>
    <row r="368" spans="2:13" ht="13.5" thickBot="1">
      <c r="B368" s="2449"/>
      <c r="C368" s="2450"/>
      <c r="D368" s="2460"/>
      <c r="E368" s="2450"/>
      <c r="F368" s="2451"/>
      <c r="G368" s="2450"/>
      <c r="H368" s="2502"/>
      <c r="I368" s="2450"/>
      <c r="J368" s="2517"/>
      <c r="K368" s="2659"/>
      <c r="L368" s="2505"/>
      <c r="M368" s="2653"/>
    </row>
    <row r="369" spans="2:13">
      <c r="B369" s="2453"/>
      <c r="C369" s="2455"/>
      <c r="D369" s="2476"/>
      <c r="E369" s="2455"/>
      <c r="F369" s="2458"/>
      <c r="G369" s="2455"/>
      <c r="H369" s="2456"/>
      <c r="I369" s="2455"/>
      <c r="J369" s="2533"/>
      <c r="K369" s="2665"/>
      <c r="L369" s="2666"/>
      <c r="M369" s="2655"/>
    </row>
    <row r="370" spans="2:13">
      <c r="B370" s="2449"/>
      <c r="C370" s="2450"/>
      <c r="D370" s="2460"/>
      <c r="E370" s="2450"/>
      <c r="F370" s="2451"/>
      <c r="G370" s="2450"/>
      <c r="H370" s="2502"/>
      <c r="I370" s="2450"/>
      <c r="J370" s="2517"/>
      <c r="K370" s="2659"/>
      <c r="L370" s="2475"/>
      <c r="M370" s="2653"/>
    </row>
    <row r="371" spans="2:13">
      <c r="B371" s="2449" t="s">
        <v>48</v>
      </c>
      <c r="C371" s="2474" t="s">
        <v>49</v>
      </c>
      <c r="D371" s="2460"/>
      <c r="E371" s="2450"/>
      <c r="F371" s="2502"/>
      <c r="G371" s="2450"/>
      <c r="H371" s="2502"/>
      <c r="I371" s="2450"/>
      <c r="J371" s="2450"/>
      <c r="K371" s="2462"/>
      <c r="L371" s="2475"/>
      <c r="M371" s="2653"/>
    </row>
    <row r="372" spans="2:13">
      <c r="B372" s="2449"/>
      <c r="C372" s="2450" t="s">
        <v>83</v>
      </c>
      <c r="D372" s="2460" t="s">
        <v>84</v>
      </c>
      <c r="E372" s="2450" t="s">
        <v>77</v>
      </c>
      <c r="F372" s="2451">
        <v>213000000</v>
      </c>
      <c r="G372" s="2450" t="s">
        <v>144</v>
      </c>
      <c r="H372" s="2502">
        <v>1020</v>
      </c>
      <c r="I372" s="2450" t="s">
        <v>82</v>
      </c>
      <c r="J372" s="2524">
        <v>217260</v>
      </c>
      <c r="K372" s="2657">
        <v>12703</v>
      </c>
      <c r="L372" s="2667">
        <v>0</v>
      </c>
      <c r="M372" s="2668">
        <v>0</v>
      </c>
    </row>
    <row r="373" spans="2:13" ht="13.5" thickBot="1">
      <c r="B373" s="2449"/>
      <c r="C373" s="2450"/>
      <c r="D373" s="2460"/>
      <c r="E373" s="2450"/>
      <c r="F373" s="2451"/>
      <c r="G373" s="2450"/>
      <c r="H373" s="2502"/>
      <c r="I373" s="2550"/>
      <c r="J373" s="2524"/>
      <c r="K373" s="2460"/>
      <c r="L373" s="2460"/>
      <c r="M373" s="2653"/>
    </row>
    <row r="374" spans="2:13">
      <c r="B374" s="2453"/>
      <c r="C374" s="2455"/>
      <c r="D374" s="2476"/>
      <c r="E374" s="2455"/>
      <c r="F374" s="2455"/>
      <c r="G374" s="2455"/>
      <c r="H374" s="2455"/>
      <c r="I374" s="2455"/>
      <c r="J374" s="2455"/>
      <c r="K374" s="2476"/>
      <c r="L374" s="2476"/>
      <c r="M374" s="2655"/>
    </row>
    <row r="375" spans="2:13">
      <c r="B375" s="2449" t="s">
        <v>85</v>
      </c>
      <c r="C375" s="2474" t="s">
        <v>744</v>
      </c>
      <c r="D375" s="2460"/>
      <c r="E375" s="2450"/>
      <c r="F375" s="2450"/>
      <c r="G375" s="2450"/>
      <c r="H375" s="2450"/>
      <c r="I375" s="2450"/>
      <c r="J375" s="2450"/>
      <c r="K375" s="2460"/>
      <c r="L375" s="2460"/>
      <c r="M375" s="2653"/>
    </row>
    <row r="376" spans="2:13">
      <c r="B376" s="2449"/>
      <c r="C376" s="2450" t="s">
        <v>86</v>
      </c>
      <c r="D376" s="2460" t="s">
        <v>745</v>
      </c>
      <c r="E376" s="2450" t="s">
        <v>77</v>
      </c>
      <c r="F376" s="2451">
        <v>97000000</v>
      </c>
      <c r="G376" s="2450" t="s">
        <v>144</v>
      </c>
      <c r="H376" s="2552">
        <v>1064</v>
      </c>
      <c r="I376" s="2450" t="s">
        <v>746</v>
      </c>
      <c r="J376" s="2504">
        <v>103208</v>
      </c>
      <c r="K376" s="2657">
        <v>5975</v>
      </c>
      <c r="L376" s="2667">
        <v>1</v>
      </c>
      <c r="M376" s="2669">
        <v>0.01</v>
      </c>
    </row>
    <row r="377" spans="2:13" ht="13.5" thickBot="1">
      <c r="B377" s="2449"/>
      <c r="C377" s="2450"/>
      <c r="D377" s="2460"/>
      <c r="E377" s="2450"/>
      <c r="F377" s="2599"/>
      <c r="G377" s="2450"/>
      <c r="H377" s="2552"/>
      <c r="I377" s="2450"/>
      <c r="J377" s="2552"/>
      <c r="K377" s="2460"/>
      <c r="L377" s="2460"/>
      <c r="M377" s="2653"/>
    </row>
    <row r="378" spans="2:13">
      <c r="B378" s="2453"/>
      <c r="C378" s="2455"/>
      <c r="D378" s="2476"/>
      <c r="E378" s="2455"/>
      <c r="F378" s="2455"/>
      <c r="G378" s="2455"/>
      <c r="H378" s="2455"/>
      <c r="I378" s="2455"/>
      <c r="J378" s="2455"/>
      <c r="K378" s="2476"/>
      <c r="L378" s="2476"/>
      <c r="M378" s="2655"/>
    </row>
    <row r="379" spans="2:13">
      <c r="B379" s="2449"/>
      <c r="C379" s="2450"/>
      <c r="D379" s="2460"/>
      <c r="E379" s="2450"/>
      <c r="F379" s="2450"/>
      <c r="G379" s="2450"/>
      <c r="H379" s="2450"/>
      <c r="I379" s="2450"/>
      <c r="J379" s="2450"/>
      <c r="K379" s="2460"/>
      <c r="L379" s="2460"/>
      <c r="M379" s="2653"/>
    </row>
    <row r="380" spans="2:13">
      <c r="B380" s="2449" t="s">
        <v>58</v>
      </c>
      <c r="C380" s="2474" t="s">
        <v>59</v>
      </c>
      <c r="D380" s="2460"/>
      <c r="E380" s="2450"/>
      <c r="F380" s="2450"/>
      <c r="G380" s="2450"/>
      <c r="H380" s="2450"/>
      <c r="I380" s="2450"/>
      <c r="J380" s="2450"/>
      <c r="K380" s="2460"/>
      <c r="L380" s="2460"/>
      <c r="M380" s="2653"/>
    </row>
    <row r="381" spans="2:13">
      <c r="B381" s="2449"/>
      <c r="C381" s="2450" t="s">
        <v>60</v>
      </c>
      <c r="D381" s="2460" t="s">
        <v>747</v>
      </c>
      <c r="E381" s="2450" t="s">
        <v>77</v>
      </c>
      <c r="F381" s="2503">
        <v>79260000</v>
      </c>
      <c r="G381" s="2450" t="s">
        <v>144</v>
      </c>
      <c r="H381" s="2552">
        <v>1046</v>
      </c>
      <c r="I381" s="2450" t="s">
        <v>748</v>
      </c>
      <c r="J381" s="2451">
        <v>82905.960000000006</v>
      </c>
      <c r="K381" s="2462">
        <v>6230.2873118412363</v>
      </c>
      <c r="L381" s="2670">
        <v>9.1388181480573913E-2</v>
      </c>
      <c r="M381" s="2671">
        <v>9.1388181480573909E-3</v>
      </c>
    </row>
    <row r="382" spans="2:13">
      <c r="B382" s="2449"/>
      <c r="C382" s="2450"/>
      <c r="D382" s="2460"/>
      <c r="E382" s="2450"/>
      <c r="F382" s="2450"/>
      <c r="G382" s="2450"/>
      <c r="H382" s="2450"/>
      <c r="I382" s="2450"/>
      <c r="J382" s="2450"/>
      <c r="K382" s="2460"/>
      <c r="L382" s="2460"/>
      <c r="M382" s="2653"/>
    </row>
    <row r="383" spans="2:13">
      <c r="B383" s="2449"/>
      <c r="C383" s="2450"/>
      <c r="D383" s="2460" t="s">
        <v>24</v>
      </c>
      <c r="E383" s="2450" t="s">
        <v>77</v>
      </c>
      <c r="F383" s="2503">
        <v>462230000</v>
      </c>
      <c r="G383" s="2450" t="s">
        <v>144</v>
      </c>
      <c r="H383" s="2552">
        <v>1046</v>
      </c>
      <c r="I383" s="2450" t="s">
        <v>748</v>
      </c>
      <c r="J383" s="2451">
        <v>483492.58</v>
      </c>
      <c r="K383" s="2462">
        <v>31187.329849436726</v>
      </c>
      <c r="L383" s="2670">
        <v>0.53295936318149983</v>
      </c>
      <c r="M383" s="2671">
        <v>5.3295936318149995E-2</v>
      </c>
    </row>
    <row r="384" spans="2:13" ht="13.5" thickBot="1">
      <c r="B384" s="2449"/>
      <c r="C384" s="2450"/>
      <c r="D384" s="2460"/>
      <c r="E384" s="2450"/>
      <c r="F384" s="2450"/>
      <c r="G384" s="2450"/>
      <c r="H384" s="2450"/>
      <c r="I384" s="2450"/>
      <c r="J384" s="2450"/>
      <c r="K384" s="2460"/>
      <c r="L384" s="2460"/>
      <c r="M384" s="2653"/>
    </row>
    <row r="385" spans="2:13">
      <c r="B385" s="2453"/>
      <c r="C385" s="2455"/>
      <c r="D385" s="2476"/>
      <c r="E385" s="2455"/>
      <c r="F385" s="2455"/>
      <c r="G385" s="2455"/>
      <c r="H385" s="2455"/>
      <c r="I385" s="2455"/>
      <c r="J385" s="2455"/>
      <c r="K385" s="2476"/>
      <c r="L385" s="2476"/>
      <c r="M385" s="2655"/>
    </row>
    <row r="386" spans="2:13">
      <c r="B386" s="2449"/>
      <c r="C386" s="2450"/>
      <c r="D386" s="2460"/>
      <c r="E386" s="2450"/>
      <c r="F386" s="2450"/>
      <c r="G386" s="2450"/>
      <c r="H386" s="2450"/>
      <c r="I386" s="2450"/>
      <c r="J386" s="2450"/>
      <c r="K386" s="2460"/>
      <c r="L386" s="2460"/>
      <c r="M386" s="2653"/>
    </row>
    <row r="387" spans="2:13">
      <c r="B387" s="2449" t="s">
        <v>87</v>
      </c>
      <c r="C387" s="2474" t="s">
        <v>88</v>
      </c>
      <c r="D387" s="2460"/>
      <c r="E387" s="2450"/>
      <c r="F387" s="2450"/>
      <c r="G387" s="2450"/>
      <c r="H387" s="2450"/>
      <c r="I387" s="2450"/>
      <c r="J387" s="2450"/>
      <c r="K387" s="2460"/>
      <c r="L387" s="2460"/>
      <c r="M387" s="2653"/>
    </row>
    <row r="388" spans="2:13">
      <c r="B388" s="2449"/>
      <c r="C388" s="2450" t="s">
        <v>89</v>
      </c>
      <c r="D388" s="2460" t="s">
        <v>1128</v>
      </c>
      <c r="E388" s="2450" t="s">
        <v>1104</v>
      </c>
      <c r="F388" s="2503">
        <v>3780080.4597701146</v>
      </c>
      <c r="G388" s="2450" t="s">
        <v>144</v>
      </c>
      <c r="H388" s="2450">
        <v>1.044</v>
      </c>
      <c r="I388" s="2450" t="s">
        <v>753</v>
      </c>
      <c r="J388" s="2451">
        <v>3946404</v>
      </c>
      <c r="K388" s="2462">
        <v>234662.13383203789</v>
      </c>
      <c r="L388" s="2670">
        <v>16.97317515048799</v>
      </c>
      <c r="M388" s="2506">
        <v>5.8906901992870084</v>
      </c>
    </row>
    <row r="389" spans="2:13">
      <c r="B389" s="2449"/>
      <c r="C389" s="2450"/>
      <c r="D389" s="2460"/>
      <c r="E389" s="2450"/>
      <c r="F389" s="2450"/>
      <c r="G389" s="2450"/>
      <c r="H389" s="2450"/>
      <c r="I389" s="2450"/>
      <c r="J389" s="2517"/>
      <c r="K389" s="2460"/>
      <c r="L389" s="2460"/>
      <c r="M389" s="2653"/>
    </row>
    <row r="390" spans="2:13">
      <c r="B390" s="2449"/>
      <c r="C390" s="2450" t="s">
        <v>90</v>
      </c>
      <c r="D390" s="2460" t="s">
        <v>1130</v>
      </c>
      <c r="E390" s="2450" t="s">
        <v>1104</v>
      </c>
      <c r="F390" s="2451">
        <v>3587614.9425287354</v>
      </c>
      <c r="G390" s="2450" t="s">
        <v>144</v>
      </c>
      <c r="H390" s="2450">
        <v>1.044</v>
      </c>
      <c r="I390" s="2450" t="s">
        <v>753</v>
      </c>
      <c r="J390" s="2451">
        <v>3745470</v>
      </c>
      <c r="K390" s="2462">
        <v>222782.9568362225</v>
      </c>
      <c r="L390" s="2670">
        <v>16.06171402179524</v>
      </c>
      <c r="M390" s="2506">
        <v>5.5866831380157347</v>
      </c>
    </row>
    <row r="391" spans="2:13" ht="13.5" thickBot="1">
      <c r="B391" s="2449"/>
      <c r="C391" s="2450"/>
      <c r="D391" s="2460"/>
      <c r="E391" s="2450"/>
      <c r="F391" s="2450"/>
      <c r="G391" s="2450"/>
      <c r="H391" s="2450"/>
      <c r="I391" s="2450"/>
      <c r="J391" s="2450"/>
      <c r="K391" s="2460"/>
      <c r="L391" s="2460"/>
      <c r="M391" s="2653"/>
    </row>
    <row r="392" spans="2:13">
      <c r="B392" s="2453"/>
      <c r="C392" s="2455"/>
      <c r="D392" s="2476"/>
      <c r="E392" s="2455"/>
      <c r="F392" s="2455"/>
      <c r="G392" s="2455"/>
      <c r="H392" s="2455"/>
      <c r="I392" s="2455"/>
      <c r="J392" s="2455"/>
      <c r="K392" s="2476"/>
      <c r="L392" s="2476"/>
      <c r="M392" s="2655"/>
    </row>
    <row r="393" spans="2:13">
      <c r="B393" s="2449"/>
      <c r="C393" s="2450"/>
      <c r="D393" s="2460"/>
      <c r="E393" s="2450"/>
      <c r="F393" s="2450"/>
      <c r="G393" s="2450"/>
      <c r="H393" s="2450"/>
      <c r="I393" s="2450"/>
      <c r="J393" s="2450"/>
      <c r="K393" s="2460"/>
      <c r="L393" s="2460"/>
      <c r="M393" s="2653"/>
    </row>
    <row r="394" spans="2:13">
      <c r="B394" s="2449" t="s">
        <v>754</v>
      </c>
      <c r="C394" s="2474" t="s">
        <v>755</v>
      </c>
      <c r="D394" s="2460"/>
      <c r="E394" s="2450"/>
      <c r="F394" s="2450"/>
      <c r="G394" s="2450"/>
      <c r="H394" s="2450"/>
      <c r="I394" s="2450"/>
      <c r="J394" s="2450"/>
      <c r="K394" s="2460"/>
      <c r="L394" s="2460"/>
      <c r="M394" s="2653"/>
    </row>
    <row r="395" spans="2:13">
      <c r="B395" s="2449"/>
      <c r="C395" s="2450" t="s">
        <v>86</v>
      </c>
      <c r="D395" s="2460" t="s">
        <v>40</v>
      </c>
      <c r="E395" s="2450" t="s">
        <v>77</v>
      </c>
      <c r="F395" s="2451">
        <v>8000000</v>
      </c>
      <c r="G395" s="2450" t="s">
        <v>144</v>
      </c>
      <c r="H395" s="2552">
        <v>1089</v>
      </c>
      <c r="I395" s="2450" t="s">
        <v>748</v>
      </c>
      <c r="J395" s="2552">
        <v>8712</v>
      </c>
      <c r="K395" s="2461">
        <v>505</v>
      </c>
      <c r="L395" s="2672">
        <v>0.01</v>
      </c>
      <c r="M395" s="2537">
        <v>0</v>
      </c>
    </row>
    <row r="396" spans="2:13">
      <c r="B396" s="2449"/>
      <c r="C396" s="2450" t="s">
        <v>333</v>
      </c>
      <c r="D396" s="2460" t="s">
        <v>42</v>
      </c>
      <c r="E396" s="2450" t="s">
        <v>77</v>
      </c>
      <c r="F396" s="2451">
        <v>18000000</v>
      </c>
      <c r="G396" s="2450" t="s">
        <v>144</v>
      </c>
      <c r="H396" s="2552">
        <v>1042</v>
      </c>
      <c r="I396" s="2450" t="s">
        <v>748</v>
      </c>
      <c r="J396" s="2552">
        <v>18756</v>
      </c>
      <c r="K396" s="2461">
        <v>1096</v>
      </c>
      <c r="L396" s="2672">
        <v>0.02</v>
      </c>
      <c r="M396" s="2537">
        <v>0</v>
      </c>
    </row>
    <row r="397" spans="2:13">
      <c r="B397" s="2449"/>
      <c r="C397" s="2450" t="s">
        <v>334</v>
      </c>
      <c r="D397" s="2460" t="s">
        <v>44</v>
      </c>
      <c r="E397" s="2450" t="s">
        <v>77</v>
      </c>
      <c r="F397" s="2451">
        <v>16000000</v>
      </c>
      <c r="G397" s="2450" t="s">
        <v>144</v>
      </c>
      <c r="H397" s="2552">
        <v>1079</v>
      </c>
      <c r="I397" s="2450" t="s">
        <v>748</v>
      </c>
      <c r="J397" s="2552">
        <v>17264</v>
      </c>
      <c r="K397" s="2461">
        <v>1009</v>
      </c>
      <c r="L397" s="2672">
        <v>0.02</v>
      </c>
      <c r="M397" s="2537">
        <v>0</v>
      </c>
    </row>
    <row r="398" spans="2:13">
      <c r="B398" s="2449"/>
      <c r="C398" s="2450" t="s">
        <v>335</v>
      </c>
      <c r="D398" s="2460" t="s">
        <v>46</v>
      </c>
      <c r="E398" s="2450" t="s">
        <v>77</v>
      </c>
      <c r="F398" s="2451">
        <v>18000000</v>
      </c>
      <c r="G398" s="2450" t="s">
        <v>144</v>
      </c>
      <c r="H398" s="2552">
        <v>1071</v>
      </c>
      <c r="I398" s="2450" t="s">
        <v>748</v>
      </c>
      <c r="J398" s="2552">
        <v>19278</v>
      </c>
      <c r="K398" s="2461">
        <v>1149</v>
      </c>
      <c r="L398" s="2672">
        <v>0.02</v>
      </c>
      <c r="M398" s="2537">
        <v>0</v>
      </c>
    </row>
    <row r="399" spans="2:13">
      <c r="B399" s="2449"/>
      <c r="C399" s="2450" t="s">
        <v>336</v>
      </c>
      <c r="D399" s="2460" t="s">
        <v>145</v>
      </c>
      <c r="E399" s="2450" t="s">
        <v>77</v>
      </c>
      <c r="F399" s="2451">
        <v>4000000</v>
      </c>
      <c r="G399" s="2450" t="s">
        <v>144</v>
      </c>
      <c r="H399" s="2552">
        <v>1049</v>
      </c>
      <c r="I399" s="2450" t="s">
        <v>748</v>
      </c>
      <c r="J399" s="2552">
        <v>4196</v>
      </c>
      <c r="K399" s="2461">
        <v>215</v>
      </c>
      <c r="L399" s="2673">
        <v>0</v>
      </c>
      <c r="M399" s="2537">
        <v>0</v>
      </c>
    </row>
    <row r="400" spans="2:13">
      <c r="B400" s="2449"/>
      <c r="C400" s="2450" t="s">
        <v>337</v>
      </c>
      <c r="D400" s="2460" t="s">
        <v>146</v>
      </c>
      <c r="E400" s="2450" t="s">
        <v>77</v>
      </c>
      <c r="F400" s="2451">
        <v>21000000</v>
      </c>
      <c r="G400" s="2450" t="s">
        <v>144</v>
      </c>
      <c r="H400" s="2552">
        <v>1075</v>
      </c>
      <c r="I400" s="2450" t="s">
        <v>748</v>
      </c>
      <c r="J400" s="2552">
        <v>22575</v>
      </c>
      <c r="K400" s="2461">
        <v>1334</v>
      </c>
      <c r="L400" s="2672">
        <v>0.03</v>
      </c>
      <c r="M400" s="2537">
        <v>0</v>
      </c>
    </row>
    <row r="401" spans="2:13">
      <c r="B401" s="2449"/>
      <c r="C401" s="2450" t="s">
        <v>338</v>
      </c>
      <c r="D401" s="2460" t="s">
        <v>147</v>
      </c>
      <c r="E401" s="2450" t="s">
        <v>77</v>
      </c>
      <c r="F401" s="2451">
        <v>19000000</v>
      </c>
      <c r="G401" s="2450" t="s">
        <v>144</v>
      </c>
      <c r="H401" s="2552">
        <v>1072</v>
      </c>
      <c r="I401" s="2450" t="s">
        <v>748</v>
      </c>
      <c r="J401" s="2552">
        <v>20368</v>
      </c>
      <c r="K401" s="2461">
        <v>1193</v>
      </c>
      <c r="L401" s="2672">
        <v>0.02</v>
      </c>
      <c r="M401" s="2537">
        <v>0</v>
      </c>
    </row>
    <row r="402" spans="2:13">
      <c r="B402" s="2449"/>
      <c r="C402" s="2450" t="s">
        <v>339</v>
      </c>
      <c r="D402" s="2460" t="s">
        <v>148</v>
      </c>
      <c r="E402" s="2450" t="s">
        <v>77</v>
      </c>
      <c r="F402" s="2451">
        <v>19000000</v>
      </c>
      <c r="G402" s="2450" t="s">
        <v>144</v>
      </c>
      <c r="H402" s="2552">
        <v>1068</v>
      </c>
      <c r="I402" s="2450" t="s">
        <v>748</v>
      </c>
      <c r="J402" s="2552">
        <v>20292</v>
      </c>
      <c r="K402" s="2461">
        <v>1198</v>
      </c>
      <c r="L402" s="2672">
        <v>0.02</v>
      </c>
      <c r="M402" s="2537">
        <v>0</v>
      </c>
    </row>
    <row r="403" spans="2:13" ht="13.5" thickBot="1">
      <c r="B403" s="2449"/>
      <c r="C403" s="2450"/>
      <c r="D403" s="2460"/>
      <c r="E403" s="2450"/>
      <c r="F403" s="2450"/>
      <c r="G403" s="2450"/>
      <c r="H403" s="2552"/>
      <c r="I403" s="2450"/>
      <c r="J403" s="2450"/>
      <c r="K403" s="2462"/>
      <c r="L403" s="2460"/>
      <c r="M403" s="2653"/>
    </row>
    <row r="404" spans="2:13">
      <c r="B404" s="2453"/>
      <c r="C404" s="2455"/>
      <c r="D404" s="2476"/>
      <c r="E404" s="2455"/>
      <c r="F404" s="2455"/>
      <c r="G404" s="2455"/>
      <c r="H404" s="2455"/>
      <c r="I404" s="2455"/>
      <c r="J404" s="2455"/>
      <c r="K404" s="2476"/>
      <c r="L404" s="2476"/>
      <c r="M404" s="2655"/>
    </row>
    <row r="405" spans="2:13">
      <c r="B405" s="2449"/>
      <c r="C405" s="2450"/>
      <c r="D405" s="2460"/>
      <c r="E405" s="2450"/>
      <c r="F405" s="2450"/>
      <c r="G405" s="2450"/>
      <c r="H405" s="2450"/>
      <c r="I405" s="2450"/>
      <c r="J405" s="2450"/>
      <c r="K405" s="2460"/>
      <c r="L405" s="2460"/>
      <c r="M405" s="2653"/>
    </row>
    <row r="406" spans="2:13">
      <c r="B406" s="2449" t="s">
        <v>91</v>
      </c>
      <c r="C406" s="2474" t="s">
        <v>757</v>
      </c>
      <c r="D406" s="2460"/>
      <c r="E406" s="2450"/>
      <c r="F406" s="2450"/>
      <c r="G406" s="2450"/>
      <c r="H406" s="2450"/>
      <c r="I406" s="2450"/>
      <c r="J406" s="2450"/>
      <c r="K406" s="2460"/>
      <c r="L406" s="2460"/>
      <c r="M406" s="2653"/>
    </row>
    <row r="407" spans="2:13">
      <c r="B407" s="2449"/>
      <c r="C407" s="2450" t="s">
        <v>92</v>
      </c>
      <c r="D407" s="2460" t="s">
        <v>93</v>
      </c>
      <c r="E407" s="2450" t="s">
        <v>1104</v>
      </c>
      <c r="F407" s="2589">
        <v>495510389.80737144</v>
      </c>
      <c r="G407" s="2450" t="s">
        <v>144</v>
      </c>
      <c r="H407" s="2600">
        <v>1.05488</v>
      </c>
      <c r="I407" s="2450" t="s">
        <v>753</v>
      </c>
      <c r="J407" s="2451">
        <v>522704</v>
      </c>
      <c r="K407" s="2674">
        <v>31063.3</v>
      </c>
      <c r="L407" s="2674">
        <v>13.1</v>
      </c>
      <c r="M407" s="2675">
        <v>15.16</v>
      </c>
    </row>
    <row r="408" spans="2:13">
      <c r="B408" s="2449"/>
      <c r="C408" s="2450" t="s">
        <v>94</v>
      </c>
      <c r="D408" s="2460" t="s">
        <v>95</v>
      </c>
      <c r="E408" s="2450" t="s">
        <v>1104</v>
      </c>
      <c r="F408" s="2589">
        <v>485497876.53571969</v>
      </c>
      <c r="G408" s="2450" t="s">
        <v>144</v>
      </c>
      <c r="H408" s="2600">
        <v>1.05488</v>
      </c>
      <c r="I408" s="2450" t="s">
        <v>753</v>
      </c>
      <c r="J408" s="2451">
        <v>512142</v>
      </c>
      <c r="K408" s="2674">
        <v>30436.1</v>
      </c>
      <c r="L408" s="2674">
        <v>12.8</v>
      </c>
      <c r="M408" s="2675">
        <v>15.3</v>
      </c>
    </row>
    <row r="409" spans="2:13">
      <c r="B409" s="2449"/>
      <c r="C409" s="2450" t="s">
        <v>96</v>
      </c>
      <c r="D409" s="2460" t="s">
        <v>97</v>
      </c>
      <c r="E409" s="2450" t="s">
        <v>1104</v>
      </c>
      <c r="F409" s="2589">
        <v>1002311163.3550736</v>
      </c>
      <c r="G409" s="2450" t="s">
        <v>144</v>
      </c>
      <c r="H409" s="2600">
        <v>1.05488</v>
      </c>
      <c r="I409" s="2450" t="s">
        <v>753</v>
      </c>
      <c r="J409" s="2451">
        <v>1057318</v>
      </c>
      <c r="K409" s="2674">
        <v>62834.5</v>
      </c>
      <c r="L409" s="2674">
        <v>26.4</v>
      </c>
      <c r="M409" s="2675">
        <v>31.5</v>
      </c>
    </row>
    <row r="410" spans="2:13">
      <c r="B410" s="2449"/>
      <c r="C410" s="2450" t="s">
        <v>98</v>
      </c>
      <c r="D410" s="2460" t="s">
        <v>99</v>
      </c>
      <c r="E410" s="2450" t="s">
        <v>1104</v>
      </c>
      <c r="F410" s="2589">
        <v>1026439026.2399514</v>
      </c>
      <c r="G410" s="2450" t="s">
        <v>144</v>
      </c>
      <c r="H410" s="2600">
        <v>1.05488</v>
      </c>
      <c r="I410" s="2450" t="s">
        <v>753</v>
      </c>
      <c r="J410" s="2451">
        <v>1082770</v>
      </c>
      <c r="K410" s="2674">
        <v>64347.7</v>
      </c>
      <c r="L410" s="2674">
        <v>27.1</v>
      </c>
      <c r="M410" s="2675">
        <v>32.299999999999997</v>
      </c>
    </row>
    <row r="411" spans="2:13">
      <c r="B411" s="2449"/>
      <c r="C411" s="2450" t="s">
        <v>340</v>
      </c>
      <c r="D411" s="2460" t="s">
        <v>341</v>
      </c>
      <c r="E411" s="2450" t="s">
        <v>1104</v>
      </c>
      <c r="F411" s="2451">
        <v>10541000</v>
      </c>
      <c r="G411" s="2450" t="s">
        <v>144</v>
      </c>
      <c r="H411" s="2600">
        <v>1.05488</v>
      </c>
      <c r="I411" s="2450" t="s">
        <v>753</v>
      </c>
      <c r="J411" s="2451">
        <v>11119.49008</v>
      </c>
      <c r="K411" s="2674">
        <v>632.4</v>
      </c>
      <c r="L411" s="2674">
        <v>1.2E-2</v>
      </c>
      <c r="M411" s="2675">
        <v>1E-3</v>
      </c>
    </row>
    <row r="412" spans="2:13" ht="13.5" thickBot="1">
      <c r="B412" s="2449"/>
      <c r="C412" s="2450"/>
      <c r="D412" s="2460"/>
      <c r="E412" s="2450"/>
      <c r="F412" s="2450"/>
      <c r="G412" s="2450"/>
      <c r="H412" s="2450"/>
      <c r="I412" s="2450"/>
      <c r="J412" s="2450"/>
      <c r="K412" s="2460"/>
      <c r="L412" s="2460"/>
      <c r="M412" s="2653"/>
    </row>
    <row r="413" spans="2:13">
      <c r="B413" s="2453"/>
      <c r="C413" s="2455"/>
      <c r="D413" s="2476"/>
      <c r="E413" s="2455"/>
      <c r="F413" s="2455"/>
      <c r="G413" s="2455"/>
      <c r="H413" s="2455"/>
      <c r="I413" s="2455"/>
      <c r="J413" s="2456"/>
      <c r="K413" s="2477"/>
      <c r="L413" s="2477"/>
      <c r="M413" s="2676"/>
    </row>
    <row r="414" spans="2:13">
      <c r="B414" s="2449" t="s">
        <v>342</v>
      </c>
      <c r="C414" s="2474" t="s">
        <v>1242</v>
      </c>
      <c r="D414" s="2460"/>
      <c r="E414" s="2450"/>
      <c r="F414" s="2450"/>
      <c r="G414" s="2450"/>
      <c r="H414" s="2450"/>
      <c r="I414" s="2450"/>
      <c r="J414" s="2502"/>
      <c r="K414" s="2462"/>
      <c r="L414" s="2462"/>
      <c r="M414" s="2677"/>
    </row>
    <row r="415" spans="2:13">
      <c r="B415" s="2449"/>
      <c r="C415" s="2450" t="s">
        <v>343</v>
      </c>
      <c r="D415" s="2460" t="s">
        <v>795</v>
      </c>
      <c r="E415" s="2450" t="s">
        <v>77</v>
      </c>
      <c r="F415" s="2451">
        <v>211000000</v>
      </c>
      <c r="G415" s="2450" t="s">
        <v>144</v>
      </c>
      <c r="H415" s="2502">
        <v>1045</v>
      </c>
      <c r="I415" s="2450" t="s">
        <v>748</v>
      </c>
      <c r="J415" s="2504">
        <v>220495</v>
      </c>
      <c r="K415" s="2461">
        <v>13102</v>
      </c>
      <c r="L415" s="2678">
        <v>0</v>
      </c>
      <c r="M415" s="2679">
        <v>0</v>
      </c>
    </row>
    <row r="416" spans="2:13" ht="13.5" thickBot="1">
      <c r="B416" s="2449"/>
      <c r="C416" s="2450"/>
      <c r="D416" s="2450"/>
      <c r="E416" s="2450"/>
      <c r="F416" s="2451"/>
      <c r="G416" s="2450"/>
      <c r="H416" s="2502"/>
      <c r="I416" s="2450"/>
      <c r="J416" s="2504"/>
      <c r="K416" s="2461"/>
      <c r="L416" s="2678"/>
      <c r="M416" s="2679"/>
    </row>
    <row r="417" spans="2:13">
      <c r="B417" s="2453"/>
      <c r="C417" s="2455"/>
      <c r="D417" s="2457"/>
      <c r="E417" s="2455"/>
      <c r="F417" s="2458"/>
      <c r="G417" s="2455"/>
      <c r="H417" s="2456"/>
      <c r="I417" s="2455"/>
      <c r="J417" s="2547"/>
      <c r="K417" s="2680"/>
      <c r="L417" s="2680"/>
      <c r="M417" s="2680"/>
    </row>
    <row r="418" spans="2:13">
      <c r="B418" s="2449"/>
      <c r="C418" s="2450"/>
      <c r="D418" s="2568"/>
      <c r="E418" s="2450"/>
      <c r="F418" s="2451"/>
      <c r="G418" s="2450"/>
      <c r="H418" s="2502"/>
      <c r="I418" s="2450"/>
      <c r="J418" s="2504"/>
      <c r="K418" s="2461"/>
      <c r="L418" s="2678"/>
      <c r="M418" s="2678"/>
    </row>
    <row r="419" spans="2:13">
      <c r="B419" s="2449"/>
      <c r="C419" s="2450"/>
      <c r="D419" s="2576" t="s">
        <v>1246</v>
      </c>
      <c r="E419" s="2574"/>
      <c r="F419" s="2574">
        <f>SUM(F321:F418)</f>
        <v>4830668471.340415</v>
      </c>
      <c r="G419" s="2574"/>
      <c r="H419" s="2574"/>
      <c r="I419" s="2574"/>
      <c r="J419" s="2574">
        <f>SUM(J321:J418)</f>
        <v>18638709.727079999</v>
      </c>
      <c r="K419" s="2681">
        <f>SUM(K321:K418)</f>
        <v>1134492.4599787265</v>
      </c>
      <c r="L419" s="2681">
        <f>SUM(L321:L418)</f>
        <v>121.08774754605994</v>
      </c>
      <c r="M419" s="2681">
        <f>SUM(M321:M418)</f>
        <v>106.49570020404335</v>
      </c>
    </row>
    <row r="420" spans="2:13">
      <c r="B420" s="2449"/>
      <c r="C420" s="2450"/>
      <c r="D420" s="2568"/>
      <c r="E420" s="2450"/>
      <c r="F420" s="2451"/>
      <c r="G420" s="2450"/>
      <c r="H420" s="2502"/>
      <c r="I420" s="2450"/>
      <c r="J420" s="2504"/>
      <c r="K420" s="2461"/>
      <c r="L420" s="2678"/>
      <c r="M420" s="2678"/>
    </row>
    <row r="421" spans="2:13" ht="14.25">
      <c r="B421" s="2449"/>
      <c r="C421" s="2450"/>
      <c r="D421" s="2576" t="s">
        <v>1353</v>
      </c>
      <c r="E421" s="2574"/>
      <c r="F421" s="2574"/>
      <c r="G421" s="2574"/>
      <c r="H421" s="2574"/>
      <c r="I421" s="2574"/>
      <c r="J421" s="2574"/>
      <c r="K421" s="2681">
        <f>(+K419*0.907184)/1000000</f>
        <v>1.0291934078133409</v>
      </c>
      <c r="L421" s="2681">
        <f>(+L419*21*0.907184)/1000000</f>
        <v>2.3068262105663214E-3</v>
      </c>
      <c r="M421" s="2681">
        <f>(+M419*310*0.907184)/1000000</f>
        <v>2.9949470541110506E-2</v>
      </c>
    </row>
    <row r="422" spans="2:13" ht="13.5" thickBot="1">
      <c r="B422" s="2577"/>
      <c r="C422" s="2578"/>
      <c r="D422" s="2579"/>
      <c r="E422" s="2578"/>
      <c r="F422" s="2578"/>
      <c r="G422" s="2578"/>
      <c r="H422" s="2578"/>
      <c r="I422" s="2578"/>
      <c r="J422" s="2578"/>
      <c r="K422" s="2578"/>
      <c r="L422" s="2578"/>
      <c r="M422" s="2578"/>
    </row>
    <row r="423" spans="2:13" ht="13.5" thickTop="1"/>
    <row r="432" spans="2:13" ht="14.25">
      <c r="B432" s="2436" t="s">
        <v>1354</v>
      </c>
      <c r="C432" s="2437"/>
    </row>
    <row r="433" spans="2:7">
      <c r="B433" s="2601" t="s">
        <v>344</v>
      </c>
      <c r="C433" s="2437"/>
    </row>
    <row r="434" spans="2:7" ht="14.25">
      <c r="B434" s="2602" t="s">
        <v>1355</v>
      </c>
      <c r="C434" s="2603"/>
    </row>
    <row r="435" spans="2:7" ht="13.5" thickBot="1"/>
    <row r="436" spans="2:7" ht="15" thickTop="1">
      <c r="B436" s="2604"/>
      <c r="C436" s="2605" t="s">
        <v>100</v>
      </c>
      <c r="D436" s="2605" t="s">
        <v>1356</v>
      </c>
      <c r="E436" s="2605" t="s">
        <v>1356</v>
      </c>
      <c r="F436" s="2605" t="s">
        <v>1357</v>
      </c>
      <c r="G436" s="2606" t="s">
        <v>1356</v>
      </c>
    </row>
    <row r="437" spans="2:7" ht="14.25">
      <c r="B437" s="2607"/>
      <c r="C437" s="2608"/>
      <c r="D437" s="2608" t="s">
        <v>101</v>
      </c>
      <c r="E437" s="2608" t="s">
        <v>102</v>
      </c>
      <c r="F437" s="2608" t="s">
        <v>1358</v>
      </c>
      <c r="G437" s="2609" t="s">
        <v>103</v>
      </c>
    </row>
    <row r="438" spans="2:7">
      <c r="B438" s="2607"/>
      <c r="C438" s="2608"/>
      <c r="D438" s="2608"/>
      <c r="E438" s="2608"/>
      <c r="F438" s="2608"/>
      <c r="G438" s="2610"/>
    </row>
    <row r="439" spans="2:7">
      <c r="B439" s="2347" t="s">
        <v>1102</v>
      </c>
      <c r="C439" s="2611">
        <f>J74</f>
        <v>186207443.86538002</v>
      </c>
      <c r="D439" s="2611">
        <f>K74</f>
        <v>19400928.615855832</v>
      </c>
      <c r="E439" s="2612">
        <f>D439*0.907441</f>
        <v>17605198.064100832</v>
      </c>
      <c r="F439" s="2613">
        <f>E439/1000000</f>
        <v>17.605198064100833</v>
      </c>
      <c r="G439" s="2610">
        <f>F439*(12/44)</f>
        <v>4.8014176538456814</v>
      </c>
    </row>
    <row r="440" spans="2:7">
      <c r="B440" s="2347"/>
      <c r="C440" s="2613"/>
      <c r="D440" s="2613"/>
      <c r="E440" s="2612"/>
      <c r="F440" s="2613"/>
      <c r="G440" s="2610"/>
    </row>
    <row r="441" spans="2:7">
      <c r="B441" s="2347" t="s">
        <v>1103</v>
      </c>
      <c r="C441" s="2611">
        <f>J266+J299</f>
        <v>5485803.7202824997</v>
      </c>
      <c r="D441" s="2611">
        <f>K266+K299</f>
        <v>438110.09920158098</v>
      </c>
      <c r="E441" s="2612">
        <f>D441*0.907441</f>
        <v>397559.06652958185</v>
      </c>
      <c r="F441" s="2613">
        <f>E441/1000000</f>
        <v>0.39755906652958184</v>
      </c>
      <c r="G441" s="2610">
        <f>F441*(12/44)</f>
        <v>0.10842519996261323</v>
      </c>
    </row>
    <row r="442" spans="2:7">
      <c r="B442" s="2347"/>
      <c r="C442" s="2613"/>
      <c r="D442" s="2613"/>
      <c r="E442" s="2612"/>
      <c r="F442" s="2613"/>
      <c r="G442" s="2610"/>
    </row>
    <row r="443" spans="2:7">
      <c r="B443" s="2347" t="s">
        <v>1104</v>
      </c>
      <c r="C443" s="2611">
        <f>J419</f>
        <v>18638709.727079999</v>
      </c>
      <c r="D443" s="2611">
        <f>K419</f>
        <v>1134492.4599787265</v>
      </c>
      <c r="E443" s="2612">
        <f>D443*0.907441</f>
        <v>1029484.9723755555</v>
      </c>
      <c r="F443" s="2613">
        <f>E443/1000000</f>
        <v>1.0294849723755555</v>
      </c>
      <c r="G443" s="2610">
        <f>F443*(12/44)</f>
        <v>0.28076862882969694</v>
      </c>
    </row>
    <row r="444" spans="2:7">
      <c r="B444" s="2347"/>
      <c r="C444" s="2608"/>
      <c r="D444" s="2608"/>
      <c r="E444" s="2613"/>
      <c r="F444" s="2613"/>
      <c r="G444" s="2610"/>
    </row>
    <row r="445" spans="2:7">
      <c r="B445" s="2614" t="s">
        <v>194</v>
      </c>
      <c r="C445" s="2615"/>
      <c r="D445" s="2615">
        <f>SUM(D438:D443)</f>
        <v>20973531.17503614</v>
      </c>
      <c r="E445" s="2615">
        <f>SUM(E438:E443)</f>
        <v>19032242.103005972</v>
      </c>
      <c r="F445" s="2615">
        <f>E445/1000000</f>
        <v>19.03224210300597</v>
      </c>
      <c r="G445" s="2616">
        <f>SUM(G438:G443)</f>
        <v>5.1906114826379914</v>
      </c>
    </row>
    <row r="446" spans="2:7" ht="13.5" thickBot="1">
      <c r="B446" s="2617"/>
      <c r="C446" s="2618"/>
      <c r="D446" s="2618"/>
      <c r="E446" s="2618"/>
      <c r="F446" s="2618"/>
      <c r="G446" s="2619"/>
    </row>
    <row r="447" spans="2:7" ht="13.5" thickTop="1"/>
    <row r="451" spans="2:7" ht="14.25">
      <c r="B451" s="2436" t="s">
        <v>1359</v>
      </c>
      <c r="C451" s="2437"/>
    </row>
    <row r="452" spans="2:7">
      <c r="B452" s="2601" t="s">
        <v>344</v>
      </c>
      <c r="C452" s="2437"/>
    </row>
    <row r="454" spans="2:7" ht="14.25">
      <c r="B454" s="2603" t="s">
        <v>1360</v>
      </c>
      <c r="C454" s="2603"/>
      <c r="D454" s="2603"/>
      <c r="E454" s="2603">
        <v>2014</v>
      </c>
      <c r="F454" s="2603"/>
      <c r="G454" s="2603"/>
    </row>
    <row r="455" spans="2:7" ht="13.5" thickBot="1">
      <c r="B455" s="2603"/>
      <c r="C455" s="2603"/>
      <c r="D455" s="2603"/>
      <c r="E455" s="2603"/>
      <c r="F455" s="2603"/>
      <c r="G455" s="2603"/>
    </row>
    <row r="456" spans="2:7" ht="13.5" thickTop="1">
      <c r="B456" s="2620"/>
      <c r="C456" s="2621" t="s">
        <v>104</v>
      </c>
      <c r="D456" s="2622" t="s">
        <v>106</v>
      </c>
      <c r="E456" s="2622" t="s">
        <v>106</v>
      </c>
      <c r="F456" s="2621" t="s">
        <v>107</v>
      </c>
      <c r="G456" s="2623" t="s">
        <v>106</v>
      </c>
    </row>
    <row r="457" spans="2:7" ht="14.25">
      <c r="B457" s="2347" t="s">
        <v>1110</v>
      </c>
      <c r="C457" s="2624" t="s">
        <v>108</v>
      </c>
      <c r="D457" s="2613" t="s">
        <v>1361</v>
      </c>
      <c r="E457" s="2613" t="s">
        <v>1342</v>
      </c>
      <c r="F457" s="2624"/>
      <c r="G457" s="2610" t="s">
        <v>1343</v>
      </c>
    </row>
    <row r="458" spans="2:7">
      <c r="B458" s="2347"/>
      <c r="C458" s="2624"/>
      <c r="D458" s="2613"/>
      <c r="E458" s="2613"/>
      <c r="F458" s="2624"/>
      <c r="G458" s="2610"/>
    </row>
    <row r="459" spans="2:7">
      <c r="B459" s="2347" t="s">
        <v>1102</v>
      </c>
      <c r="C459" s="2625">
        <f>J74/1000</f>
        <v>186207.44386538002</v>
      </c>
      <c r="D459" s="2611">
        <f>L74</f>
        <v>1464.7684001465441</v>
      </c>
      <c r="E459" s="2613">
        <f>D459*0.907441</f>
        <v>1329.1909017973801</v>
      </c>
      <c r="F459" s="2613">
        <v>21</v>
      </c>
      <c r="G459" s="2610">
        <f>(E459*F459)/1000000</f>
        <v>2.7913008937744982E-2</v>
      </c>
    </row>
    <row r="460" spans="2:7">
      <c r="B460" s="2347"/>
      <c r="C460" s="2613"/>
      <c r="D460" s="2613"/>
      <c r="E460" s="2613"/>
      <c r="F460" s="2613"/>
      <c r="G460" s="2610"/>
    </row>
    <row r="461" spans="2:7">
      <c r="B461" s="2347" t="s">
        <v>884</v>
      </c>
      <c r="C461" s="2625">
        <f>J266/1000</f>
        <v>3901.0303471064994</v>
      </c>
      <c r="D461" s="2625">
        <f>L266</f>
        <v>10.733109596496325</v>
      </c>
      <c r="E461" s="2613">
        <f>D461*0.907441</f>
        <v>9.7396637053542214</v>
      </c>
      <c r="F461" s="2613">
        <v>21</v>
      </c>
      <c r="G461" s="2610">
        <f>(E461*F461)/1000000</f>
        <v>2.0453293781243865E-4</v>
      </c>
    </row>
    <row r="462" spans="2:7">
      <c r="B462" s="2347"/>
      <c r="C462" s="2613"/>
      <c r="D462" s="2613"/>
      <c r="E462" s="2613"/>
      <c r="F462" s="2613"/>
      <c r="G462" s="2610"/>
    </row>
    <row r="463" spans="2:7">
      <c r="B463" s="2347" t="s">
        <v>888</v>
      </c>
      <c r="C463" s="2625">
        <f>J299/1000</f>
        <v>1584.773373176</v>
      </c>
      <c r="D463" s="2625">
        <f>L299</f>
        <v>5.2618065440998238</v>
      </c>
      <c r="E463" s="2613">
        <f>D463*0.907441</f>
        <v>4.7747789921844888</v>
      </c>
      <c r="F463" s="2613">
        <v>21</v>
      </c>
      <c r="G463" s="2610">
        <f>(E463*F463)/1000000</f>
        <v>1.0027035883587426E-4</v>
      </c>
    </row>
    <row r="464" spans="2:7">
      <c r="B464" s="2347"/>
      <c r="C464" s="2613"/>
      <c r="D464" s="2613"/>
      <c r="E464" s="2613"/>
      <c r="F464" s="2613"/>
      <c r="G464" s="2610"/>
    </row>
    <row r="465" spans="2:7">
      <c r="B465" s="2347" t="s">
        <v>1104</v>
      </c>
      <c r="C465" s="2625">
        <f>J419/1000</f>
        <v>18638.70972708</v>
      </c>
      <c r="D465" s="2625">
        <f>L419</f>
        <v>121.08774754605994</v>
      </c>
      <c r="E465" s="2613">
        <f>D465*0.907441</f>
        <v>109.87998672094419</v>
      </c>
      <c r="F465" s="2613">
        <v>21</v>
      </c>
      <c r="G465" s="2610">
        <f>(E465*F465)/1000000</f>
        <v>2.3074797211398283E-3</v>
      </c>
    </row>
    <row r="466" spans="2:7">
      <c r="B466" s="2347"/>
      <c r="C466" s="2613"/>
      <c r="D466" s="2613"/>
      <c r="E466" s="2613"/>
      <c r="F466" s="2613"/>
      <c r="G466" s="2610"/>
    </row>
    <row r="467" spans="2:7">
      <c r="B467" s="2347"/>
      <c r="C467" s="2613"/>
      <c r="D467" s="2613"/>
      <c r="E467" s="2613"/>
      <c r="F467" s="2613"/>
      <c r="G467" s="2610"/>
    </row>
    <row r="468" spans="2:7">
      <c r="B468" s="2626" t="s">
        <v>194</v>
      </c>
      <c r="C468" s="2627"/>
      <c r="D468" s="2627">
        <f>SUM(D459:D465)</f>
        <v>1601.8510638332002</v>
      </c>
      <c r="E468" s="2627"/>
      <c r="F468" s="2627" t="s">
        <v>194</v>
      </c>
      <c r="G468" s="2628">
        <f>SUM(G459:G465)</f>
        <v>3.0525291955533124E-2</v>
      </c>
    </row>
    <row r="469" spans="2:7" ht="13.5" thickBot="1">
      <c r="B469" s="2336"/>
      <c r="C469" s="2337"/>
      <c r="D469" s="2337"/>
      <c r="E469" s="2337"/>
      <c r="F469" s="2337"/>
      <c r="G469" s="2349"/>
    </row>
    <row r="470" spans="2:7" ht="13.5" thickTop="1">
      <c r="B470" s="2629"/>
      <c r="C470" s="2629"/>
      <c r="D470" s="2629"/>
      <c r="E470" s="2629"/>
      <c r="F470" s="2629"/>
      <c r="G470" s="2629"/>
    </row>
    <row r="471" spans="2:7">
      <c r="B471" s="2629"/>
      <c r="C471" s="2629"/>
      <c r="D471" s="2629"/>
      <c r="E471" s="2629"/>
      <c r="F471" s="2629"/>
      <c r="G471" s="2629"/>
    </row>
    <row r="472" spans="2:7">
      <c r="B472" s="2629"/>
      <c r="C472" s="2629"/>
      <c r="D472" s="2629"/>
      <c r="E472" s="2629"/>
      <c r="F472" s="2629"/>
      <c r="G472" s="2629"/>
    </row>
    <row r="473" spans="2:7" ht="14.25">
      <c r="B473" s="2436" t="s">
        <v>1362</v>
      </c>
    </row>
    <row r="474" spans="2:7">
      <c r="B474" s="2601" t="s">
        <v>345</v>
      </c>
    </row>
    <row r="475" spans="2:7" ht="14.25">
      <c r="B475" s="2602" t="s">
        <v>1363</v>
      </c>
      <c r="C475" s="2603"/>
      <c r="D475" s="2603"/>
      <c r="E475" s="2603">
        <v>2014</v>
      </c>
      <c r="F475" s="2603"/>
      <c r="G475" s="2603"/>
    </row>
    <row r="476" spans="2:7" ht="13.5" thickBot="1">
      <c r="B476" s="2602"/>
      <c r="C476" s="2603"/>
      <c r="D476" s="2603"/>
      <c r="E476" s="2603"/>
      <c r="F476" s="2603"/>
      <c r="G476" s="2603"/>
    </row>
    <row r="477" spans="2:7" ht="13.5" thickTop="1">
      <c r="B477" s="2630"/>
      <c r="C477" s="2621" t="s">
        <v>104</v>
      </c>
      <c r="D477" s="2622" t="s">
        <v>110</v>
      </c>
      <c r="E477" s="2622" t="s">
        <v>110</v>
      </c>
      <c r="F477" s="2621" t="s">
        <v>107</v>
      </c>
      <c r="G477" s="2623" t="s">
        <v>106</v>
      </c>
    </row>
    <row r="478" spans="2:7" ht="14.25">
      <c r="B478" s="2347" t="s">
        <v>1110</v>
      </c>
      <c r="C478" s="2624" t="s">
        <v>108</v>
      </c>
      <c r="D478" s="2613" t="s">
        <v>1364</v>
      </c>
      <c r="E478" s="2613" t="s">
        <v>1365</v>
      </c>
      <c r="F478" s="2624"/>
      <c r="G478" s="2610" t="s">
        <v>1343</v>
      </c>
    </row>
    <row r="479" spans="2:7">
      <c r="B479" s="2347"/>
      <c r="C479" s="2624"/>
      <c r="D479" s="2613"/>
      <c r="E479" s="2613"/>
      <c r="F479" s="2624"/>
      <c r="G479" s="2610"/>
    </row>
    <row r="480" spans="2:7">
      <c r="B480" s="2347" t="s">
        <v>1102</v>
      </c>
      <c r="C480" s="2613">
        <f>C459</f>
        <v>186207.44386538002</v>
      </c>
      <c r="D480" s="2611">
        <f>M74</f>
        <v>325.72740258408061</v>
      </c>
      <c r="E480" s="2613">
        <f>D480*0.907441</f>
        <v>295.57839992830071</v>
      </c>
      <c r="F480" s="2613">
        <v>310</v>
      </c>
      <c r="G480" s="2610">
        <f>E480*F480/1000000</f>
        <v>9.1629303977773219E-2</v>
      </c>
    </row>
    <row r="481" spans="2:7">
      <c r="B481" s="2347"/>
      <c r="C481" s="2613"/>
      <c r="D481" s="2611"/>
      <c r="E481" s="2613"/>
      <c r="F481" s="2613"/>
      <c r="G481" s="2610"/>
    </row>
    <row r="482" spans="2:7">
      <c r="B482" s="2347" t="s">
        <v>884</v>
      </c>
      <c r="C482" s="2613">
        <f>C461</f>
        <v>3901.0303471064994</v>
      </c>
      <c r="D482" s="2625">
        <f>M266</f>
        <v>1.8240482373708244</v>
      </c>
      <c r="E482" s="2631">
        <f>D482*0.907441</f>
        <v>1.6552161565680183</v>
      </c>
      <c r="F482" s="2613">
        <v>310</v>
      </c>
      <c r="G482" s="2610">
        <f>E482*F482/1000000</f>
        <v>5.1311700853608568E-4</v>
      </c>
    </row>
    <row r="483" spans="2:7">
      <c r="B483" s="2347"/>
      <c r="C483" s="2613"/>
      <c r="D483" s="2625"/>
      <c r="E483" s="2631"/>
      <c r="F483" s="2613"/>
      <c r="G483" s="2610"/>
    </row>
    <row r="484" spans="2:7">
      <c r="B484" s="2347" t="s">
        <v>888</v>
      </c>
      <c r="C484" s="2613">
        <f>C463</f>
        <v>1584.773373176</v>
      </c>
      <c r="D484" s="2625">
        <f>M299</f>
        <v>1.0515613088199649</v>
      </c>
      <c r="E484" s="2631">
        <f>D484*0.907441</f>
        <v>0.95422984563689783</v>
      </c>
      <c r="F484" s="2613">
        <v>310</v>
      </c>
      <c r="G484" s="2610">
        <f>E484*F484/1000000</f>
        <v>2.9581125214743834E-4</v>
      </c>
    </row>
    <row r="485" spans="2:7">
      <c r="B485" s="2347"/>
      <c r="C485" s="2613"/>
      <c r="D485" s="2625"/>
      <c r="E485" s="2631"/>
      <c r="F485" s="2613"/>
      <c r="G485" s="2610"/>
    </row>
    <row r="486" spans="2:7">
      <c r="B486" s="2347" t="s">
        <v>1104</v>
      </c>
      <c r="C486" s="2613">
        <f>C465</f>
        <v>18638.70972708</v>
      </c>
      <c r="D486" s="2625">
        <f>M419</f>
        <v>106.49570020404335</v>
      </c>
      <c r="E486" s="2631">
        <f>D486*0.907441</f>
        <v>96.638564688857301</v>
      </c>
      <c r="F486" s="2613">
        <v>310</v>
      </c>
      <c r="G486" s="2610">
        <f>E486*F486/1000000</f>
        <v>2.9957955053545763E-2</v>
      </c>
    </row>
    <row r="487" spans="2:7">
      <c r="B487" s="2347"/>
      <c r="C487" s="2613"/>
      <c r="D487" s="2613"/>
      <c r="E487" s="2631"/>
      <c r="F487" s="2613"/>
      <c r="G487" s="2610"/>
    </row>
    <row r="488" spans="2:7">
      <c r="B488" s="2626" t="s">
        <v>194</v>
      </c>
      <c r="C488" s="2627"/>
      <c r="D488" s="2627"/>
      <c r="E488" s="2627"/>
      <c r="F488" s="2627"/>
      <c r="G488" s="2628">
        <f>SUM(G480:G486)</f>
        <v>0.1223961872920025</v>
      </c>
    </row>
    <row r="489" spans="2:7" ht="13.5" thickBot="1">
      <c r="B489" s="2336"/>
      <c r="C489" s="2632"/>
      <c r="D489" s="2632"/>
      <c r="E489" s="2632"/>
      <c r="F489" s="2633"/>
      <c r="G489" s="2634"/>
    </row>
    <row r="490" spans="2:7" ht="13.5" thickTop="1"/>
    <row r="491" spans="2:7">
      <c r="B491" s="2601" t="s">
        <v>277</v>
      </c>
      <c r="C491" s="2635"/>
      <c r="D491" s="2636"/>
      <c r="E491" s="2636"/>
      <c r="F491" s="2637"/>
      <c r="G491" s="2638"/>
    </row>
    <row r="492" spans="2:7">
      <c r="B492" s="2601" t="s">
        <v>345</v>
      </c>
      <c r="C492" s="2437"/>
    </row>
    <row r="493" spans="2:7">
      <c r="B493" s="2602" t="s">
        <v>111</v>
      </c>
      <c r="C493" s="2603"/>
      <c r="D493" s="2603"/>
      <c r="E493" s="2603">
        <v>2014</v>
      </c>
      <c r="F493" s="2603"/>
      <c r="G493" s="2603"/>
    </row>
    <row r="494" spans="2:7" ht="13.5" thickBot="1"/>
    <row r="495" spans="2:7" ht="13.5" thickTop="1">
      <c r="B495" s="2630"/>
      <c r="C495" s="2621"/>
      <c r="D495" s="2622" t="s">
        <v>106</v>
      </c>
      <c r="E495" s="2622" t="s">
        <v>106</v>
      </c>
      <c r="F495" s="2622" t="s">
        <v>106</v>
      </c>
      <c r="G495" s="2623" t="s">
        <v>106</v>
      </c>
    </row>
    <row r="496" spans="2:7" ht="14.25">
      <c r="B496" s="2345"/>
      <c r="C496" s="2624" t="s">
        <v>104</v>
      </c>
      <c r="D496" s="2639" t="s">
        <v>1366</v>
      </c>
      <c r="E496" s="2639" t="s">
        <v>1367</v>
      </c>
      <c r="F496" s="2639" t="s">
        <v>1368</v>
      </c>
      <c r="G496" s="2640" t="s">
        <v>194</v>
      </c>
    </row>
    <row r="497" spans="2:7" ht="14.25">
      <c r="B497" s="2641" t="s">
        <v>1110</v>
      </c>
      <c r="C497" s="2624" t="s">
        <v>108</v>
      </c>
      <c r="D497" s="2639" t="s">
        <v>1343</v>
      </c>
      <c r="E497" s="2639" t="s">
        <v>1343</v>
      </c>
      <c r="F497" s="2639" t="s">
        <v>1343</v>
      </c>
      <c r="G497" s="2640" t="s">
        <v>1343</v>
      </c>
    </row>
    <row r="498" spans="2:7">
      <c r="B498" s="2641"/>
      <c r="C498" s="2624"/>
      <c r="D498" s="2639"/>
      <c r="E498" s="2639"/>
      <c r="F498" s="2639"/>
      <c r="G498" s="2640"/>
    </row>
    <row r="499" spans="2:7">
      <c r="B499" s="2347" t="s">
        <v>1102</v>
      </c>
      <c r="C499" s="2642">
        <f>C480</f>
        <v>186207.44386538002</v>
      </c>
      <c r="D499" s="2643">
        <f>D439*0.9072/1000000</f>
        <v>17.60052244030441</v>
      </c>
      <c r="E499" s="2613">
        <f>G480</f>
        <v>9.1629303977773219E-2</v>
      </c>
      <c r="F499" s="2613">
        <f>G459</f>
        <v>2.7913008937744982E-2</v>
      </c>
      <c r="G499" s="2610">
        <f>D499+E499+F499</f>
        <v>17.720064753219926</v>
      </c>
    </row>
    <row r="500" spans="2:7">
      <c r="B500" s="2347"/>
      <c r="C500" s="2642"/>
      <c r="D500" s="2644"/>
      <c r="E500" s="2613"/>
      <c r="F500" s="2613"/>
      <c r="G500" s="2610"/>
    </row>
    <row r="501" spans="2:7">
      <c r="B501" s="2347" t="s">
        <v>884</v>
      </c>
      <c r="C501" s="2642">
        <f>C482</f>
        <v>3901.0303471064994</v>
      </c>
      <c r="D501" s="2643">
        <f>(K270*0.9072)/1000000</f>
        <v>0</v>
      </c>
      <c r="E501" s="2613">
        <f>G482</f>
        <v>5.1311700853608568E-4</v>
      </c>
      <c r="F501" s="2613">
        <f>G461</f>
        <v>2.0453293781243865E-4</v>
      </c>
      <c r="G501" s="2610">
        <f>D501+E501+F501</f>
        <v>7.1764994634852439E-4</v>
      </c>
    </row>
    <row r="502" spans="2:7">
      <c r="B502" s="2347"/>
      <c r="C502" s="2642"/>
      <c r="D502" s="2643"/>
      <c r="E502" s="2613"/>
      <c r="F502" s="2613"/>
      <c r="G502" s="2610"/>
    </row>
    <row r="503" spans="2:7">
      <c r="B503" s="2347" t="s">
        <v>888</v>
      </c>
      <c r="C503" s="2642">
        <f>C484</f>
        <v>1584.773373176</v>
      </c>
      <c r="D503" s="2643">
        <f>(K314*0.9072)/1000000</f>
        <v>0</v>
      </c>
      <c r="E503" s="2613">
        <f>G484</f>
        <v>2.9581125214743834E-4</v>
      </c>
      <c r="F503" s="2613">
        <f>G463</f>
        <v>1.0027035883587426E-4</v>
      </c>
      <c r="G503" s="2610">
        <f>D503+E503+F503</f>
        <v>3.9608161098331261E-4</v>
      </c>
    </row>
    <row r="504" spans="2:7">
      <c r="B504" s="2347"/>
      <c r="C504" s="2642"/>
      <c r="D504" s="2643"/>
      <c r="E504" s="2613"/>
      <c r="F504" s="2613"/>
      <c r="G504" s="2610"/>
    </row>
    <row r="505" spans="2:7">
      <c r="B505" s="2347" t="s">
        <v>1104</v>
      </c>
      <c r="C505" s="2642">
        <f>C486</f>
        <v>18638.70972708</v>
      </c>
      <c r="D505" s="2643">
        <f>(K426*0.9072)/1000000</f>
        <v>0</v>
      </c>
      <c r="E505" s="2613">
        <f>G486</f>
        <v>2.9957955053545763E-2</v>
      </c>
      <c r="F505" s="2613">
        <f>G465</f>
        <v>2.3074797211398283E-3</v>
      </c>
      <c r="G505" s="2610">
        <f>D505+E505+F505</f>
        <v>3.2265434774685589E-2</v>
      </c>
    </row>
    <row r="506" spans="2:7">
      <c r="B506" s="2347"/>
      <c r="C506" s="2613"/>
      <c r="D506" s="2613"/>
      <c r="E506" s="2613"/>
      <c r="F506" s="2613"/>
      <c r="G506" s="2610"/>
    </row>
    <row r="507" spans="2:7" ht="13.5" thickBot="1">
      <c r="B507" s="2645"/>
      <c r="C507" s="2646"/>
      <c r="D507" s="2647">
        <f>SUM(D499:D505)</f>
        <v>17.60052244030441</v>
      </c>
      <c r="E507" s="2647">
        <f>SUM(E499:E505)</f>
        <v>0.1223961872920025</v>
      </c>
      <c r="F507" s="2647">
        <f>SUM(F499:F505)</f>
        <v>3.0525291955533124E-2</v>
      </c>
      <c r="G507" s="2648">
        <f>SUM(D507:F507)</f>
        <v>17.753443919551945</v>
      </c>
    </row>
    <row r="508" spans="2:7" ht="13.5" thickTop="1"/>
  </sheetData>
  <sheetProtection password="CD58" sheet="1" objects="1" scenarios="1"/>
  <pageMargins left="0.45" right="0.45" top="0.75" bottom="0.5" header="0.3" footer="0.3"/>
  <pageSetup scale="52" orientation="landscape" r:id="rId1"/>
  <rowBreaks count="5" manualBreakCount="5">
    <brk id="81" max="16383" man="1"/>
    <brk id="163" max="16383" man="1"/>
    <brk id="311" max="16383" man="1"/>
    <brk id="393" max="16383" man="1"/>
    <brk id="450" max="16383" man="1"/>
  </rowBreaks>
  <drawing r:id="rId2"/>
  <legacyDrawing r:id="rId3"/>
</worksheet>
</file>

<file path=xl/worksheets/sheet20.xml><?xml version="1.0" encoding="utf-8"?>
<worksheet xmlns="http://schemas.openxmlformats.org/spreadsheetml/2006/main" xmlns:r="http://schemas.openxmlformats.org/officeDocument/2006/relationships">
  <sheetPr codeName="Sheet18"/>
  <dimension ref="A1:AM45"/>
  <sheetViews>
    <sheetView workbookViewId="0">
      <selection activeCell="M1" sqref="M1"/>
    </sheetView>
  </sheetViews>
  <sheetFormatPr defaultRowHeight="11.25"/>
  <cols>
    <col min="1" max="1" width="3.83203125" customWidth="1"/>
    <col min="2" max="2" width="23" customWidth="1"/>
    <col min="3" max="3" width="12.6640625" bestFit="1" customWidth="1"/>
    <col min="4" max="4" width="10.6640625" bestFit="1" customWidth="1"/>
    <col min="5" max="5" width="11.83203125" customWidth="1"/>
    <col min="7" max="7" width="16.5" customWidth="1"/>
    <col min="9" max="9" width="13.33203125" customWidth="1"/>
    <col min="11" max="11" width="11.1640625" customWidth="1"/>
    <col min="13" max="13" width="12.33203125" customWidth="1"/>
    <col min="15" max="15" width="12.5" customWidth="1"/>
    <col min="19" max="19" width="14" bestFit="1" customWidth="1"/>
    <col min="21" max="21" width="12.5" customWidth="1"/>
    <col min="25" max="25" width="11.33203125" customWidth="1"/>
    <col min="27" max="27" width="10.6640625" customWidth="1"/>
    <col min="29" max="29" width="11.33203125" customWidth="1"/>
    <col min="33" max="33" width="10.33203125" customWidth="1"/>
    <col min="35" max="35" width="10.1640625" customWidth="1"/>
    <col min="37" max="37" width="10.6640625" customWidth="1"/>
    <col min="39" max="39" width="12" customWidth="1"/>
  </cols>
  <sheetData>
    <row r="1" spans="1:39" ht="33">
      <c r="B1" s="552" t="s">
        <v>475</v>
      </c>
      <c r="C1" s="185"/>
      <c r="D1" s="186"/>
      <c r="E1" s="186"/>
      <c r="G1" s="547"/>
    </row>
    <row r="2" spans="1:39" ht="252.75" customHeight="1" thickBot="1"/>
    <row r="3" spans="1:39" ht="20.25" thickTop="1">
      <c r="B3" s="3108" t="s">
        <v>470</v>
      </c>
      <c r="C3" s="3109"/>
      <c r="D3" s="3109"/>
      <c r="E3" s="3109"/>
      <c r="F3" s="3109"/>
      <c r="G3" s="3109"/>
      <c r="H3" s="3109"/>
      <c r="I3" s="3109"/>
      <c r="J3" s="876"/>
      <c r="K3" s="876"/>
      <c r="L3" s="876"/>
      <c r="M3" s="876"/>
      <c r="N3" s="876"/>
      <c r="O3" s="876"/>
      <c r="P3" s="876"/>
      <c r="Q3" s="876"/>
      <c r="R3" s="876"/>
      <c r="S3" s="876"/>
      <c r="T3" s="876"/>
      <c r="U3" s="876"/>
      <c r="V3" s="876"/>
      <c r="W3" s="876"/>
      <c r="X3" s="876"/>
      <c r="Y3" s="877"/>
    </row>
    <row r="4" spans="1:39" s="213" customFormat="1" ht="45.75">
      <c r="B4" s="878" t="s">
        <v>185</v>
      </c>
      <c r="C4" s="261" t="s">
        <v>465</v>
      </c>
      <c r="D4" s="879"/>
      <c r="E4" s="261" t="s">
        <v>471</v>
      </c>
      <c r="F4" s="263"/>
      <c r="G4" s="261" t="s">
        <v>466</v>
      </c>
      <c r="H4" s="263"/>
      <c r="I4" s="261" t="s">
        <v>467</v>
      </c>
      <c r="J4" s="263"/>
      <c r="K4" s="261" t="s">
        <v>454</v>
      </c>
      <c r="L4" s="263"/>
      <c r="M4" s="261" t="s">
        <v>472</v>
      </c>
      <c r="N4" s="263"/>
      <c r="O4" s="261" t="s">
        <v>455</v>
      </c>
      <c r="P4" s="263"/>
      <c r="Q4" s="261" t="s">
        <v>456</v>
      </c>
      <c r="R4" s="263"/>
      <c r="S4" s="261" t="s">
        <v>468</v>
      </c>
      <c r="T4" s="261"/>
      <c r="U4" s="261" t="s">
        <v>474</v>
      </c>
      <c r="V4" s="263"/>
      <c r="W4" s="261" t="s">
        <v>469</v>
      </c>
      <c r="X4" s="264"/>
      <c r="Y4" s="880" t="s">
        <v>457</v>
      </c>
    </row>
    <row r="5" spans="1:39" s="297" customFormat="1">
      <c r="B5" s="881">
        <v>2014</v>
      </c>
      <c r="C5" s="298">
        <v>5976407</v>
      </c>
      <c r="D5" s="260" t="s">
        <v>950</v>
      </c>
      <c r="E5" s="299">
        <v>0.09</v>
      </c>
      <c r="F5" s="260" t="s">
        <v>950</v>
      </c>
      <c r="G5" s="300">
        <v>365</v>
      </c>
      <c r="H5" s="260" t="s">
        <v>950</v>
      </c>
      <c r="I5" s="280">
        <v>1E-3</v>
      </c>
      <c r="J5" s="260" t="s">
        <v>950</v>
      </c>
      <c r="K5" s="287">
        <v>0.6</v>
      </c>
      <c r="L5" s="260" t="s">
        <v>950</v>
      </c>
      <c r="M5" s="301">
        <v>0.16250000000000001</v>
      </c>
      <c r="N5" s="281" t="s">
        <v>951</v>
      </c>
      <c r="O5" s="287">
        <f>C5*$E$5*$G$5*$M$5*$K$5*$I$5</f>
        <v>19141.684570124999</v>
      </c>
      <c r="P5" s="260" t="s">
        <v>950</v>
      </c>
      <c r="Q5" s="282">
        <v>21</v>
      </c>
      <c r="R5" s="260" t="s">
        <v>950</v>
      </c>
      <c r="S5" s="288">
        <v>9.9999999999999995E-7</v>
      </c>
      <c r="T5" s="260" t="s">
        <v>950</v>
      </c>
      <c r="U5" s="287">
        <f>12/44</f>
        <v>0.27272727272727271</v>
      </c>
      <c r="V5" s="260" t="s">
        <v>951</v>
      </c>
      <c r="W5" s="302">
        <f>O5*Q$5*S$5*U$5</f>
        <v>0.10962964799253407</v>
      </c>
      <c r="X5" s="260" t="s">
        <v>951</v>
      </c>
      <c r="Y5" s="882">
        <f>W5*44/12</f>
        <v>0.40197537597262495</v>
      </c>
    </row>
    <row r="6" spans="1:39" ht="12" thickBot="1">
      <c r="B6" s="883"/>
      <c r="C6" s="603"/>
      <c r="D6" s="603"/>
      <c r="E6" s="603"/>
      <c r="F6" s="603"/>
      <c r="G6" s="603"/>
      <c r="H6" s="603"/>
      <c r="I6" s="603"/>
      <c r="J6" s="603"/>
      <c r="K6" s="603"/>
      <c r="L6" s="603"/>
      <c r="M6" s="603"/>
      <c r="N6" s="603"/>
      <c r="O6" s="603"/>
      <c r="P6" s="603"/>
      <c r="Q6" s="603"/>
      <c r="R6" s="603"/>
      <c r="S6" s="603"/>
      <c r="T6" s="603"/>
      <c r="U6" s="603"/>
      <c r="V6" s="603"/>
      <c r="W6" s="603"/>
      <c r="X6" s="603"/>
      <c r="Y6" s="884"/>
    </row>
    <row r="7" spans="1:39" ht="12.75" thickTop="1" thickBot="1">
      <c r="B7" s="3"/>
      <c r="C7" s="3"/>
      <c r="D7" s="3"/>
      <c r="E7" s="3"/>
      <c r="F7" s="3"/>
      <c r="G7" s="3"/>
      <c r="H7" s="3"/>
      <c r="I7" s="3"/>
      <c r="J7" s="3"/>
      <c r="K7" s="3"/>
      <c r="L7" s="3"/>
      <c r="M7" s="3"/>
      <c r="N7" s="3"/>
      <c r="O7" s="3"/>
      <c r="P7" s="3"/>
      <c r="Q7" s="3"/>
      <c r="R7" s="3"/>
      <c r="S7" s="3"/>
      <c r="T7" s="3"/>
      <c r="U7" s="3"/>
      <c r="V7" s="3"/>
      <c r="W7" s="3"/>
      <c r="X7" s="3"/>
      <c r="Y7" s="3"/>
    </row>
    <row r="8" spans="1:39" ht="20.25" thickTop="1">
      <c r="B8" s="923" t="s">
        <v>476</v>
      </c>
      <c r="C8" s="924"/>
      <c r="D8" s="924"/>
      <c r="E8" s="924"/>
      <c r="F8" s="924"/>
      <c r="G8" s="924"/>
      <c r="H8" s="924"/>
      <c r="I8" s="924"/>
      <c r="J8" s="876"/>
      <c r="K8" s="876"/>
      <c r="L8" s="876"/>
      <c r="M8" s="876"/>
      <c r="N8" s="876"/>
      <c r="O8" s="876"/>
      <c r="P8" s="876"/>
      <c r="Q8" s="876"/>
      <c r="R8" s="876"/>
      <c r="S8" s="876"/>
      <c r="T8" s="876"/>
      <c r="U8" s="876"/>
      <c r="V8" s="876"/>
      <c r="W8" s="876"/>
      <c r="X8" s="876"/>
      <c r="Y8" s="877"/>
    </row>
    <row r="9" spans="1:39" ht="54.75">
      <c r="B9" s="878" t="s">
        <v>185</v>
      </c>
      <c r="C9" s="261" t="s">
        <v>465</v>
      </c>
      <c r="D9" s="262"/>
      <c r="E9" s="228" t="s">
        <v>477</v>
      </c>
      <c r="F9" s="263"/>
      <c r="G9" s="261" t="s">
        <v>462</v>
      </c>
      <c r="H9" s="263"/>
      <c r="I9" s="261" t="s">
        <v>478</v>
      </c>
      <c r="J9" s="261"/>
      <c r="K9" s="261" t="s">
        <v>461</v>
      </c>
      <c r="L9" s="263"/>
      <c r="M9" s="261" t="s">
        <v>460</v>
      </c>
      <c r="N9" s="263"/>
      <c r="O9" s="261" t="s">
        <v>479</v>
      </c>
      <c r="P9" s="261"/>
      <c r="Q9" s="261" t="s">
        <v>474</v>
      </c>
      <c r="R9" s="263"/>
      <c r="S9" s="261" t="s">
        <v>469</v>
      </c>
      <c r="T9" s="264"/>
      <c r="U9" s="261" t="s">
        <v>457</v>
      </c>
      <c r="V9" s="220"/>
      <c r="W9" s="220"/>
      <c r="X9" s="220"/>
      <c r="Y9" s="885"/>
      <c r="Z9" s="220"/>
      <c r="AA9" s="220"/>
      <c r="AB9" s="220"/>
      <c r="AC9" s="220"/>
      <c r="AD9" s="220"/>
    </row>
    <row r="10" spans="1:39" s="293" customFormat="1">
      <c r="B10" s="881">
        <v>2014</v>
      </c>
      <c r="C10" s="276">
        <v>5976407</v>
      </c>
      <c r="D10" s="260" t="s">
        <v>950</v>
      </c>
      <c r="E10" s="294">
        <v>0.81169999999999998</v>
      </c>
      <c r="F10" s="260" t="s">
        <v>950</v>
      </c>
      <c r="G10" s="295">
        <v>4</v>
      </c>
      <c r="H10" s="260" t="s">
        <v>950</v>
      </c>
      <c r="I10" s="296">
        <v>9.9999999999999995E-7</v>
      </c>
      <c r="J10" s="281" t="s">
        <v>951</v>
      </c>
      <c r="K10" s="285">
        <f>C10*E10*G10*I10</f>
        <v>19.4041982476</v>
      </c>
      <c r="L10" s="260" t="s">
        <v>950</v>
      </c>
      <c r="M10" s="282">
        <v>310</v>
      </c>
      <c r="N10" s="260" t="s">
        <v>950</v>
      </c>
      <c r="O10" s="288">
        <f>1/1000000</f>
        <v>9.9999999999999995E-7</v>
      </c>
      <c r="P10" s="260" t="s">
        <v>950</v>
      </c>
      <c r="Q10" s="287">
        <f>12/44</f>
        <v>0.27272727272727271</v>
      </c>
      <c r="R10" s="281" t="s">
        <v>951</v>
      </c>
      <c r="S10" s="289">
        <f>K10*M10*O10*Q10</f>
        <v>1.6405367609334544E-3</v>
      </c>
      <c r="T10" s="281" t="s">
        <v>951</v>
      </c>
      <c r="U10" s="289">
        <f>S10*44/12</f>
        <v>6.0153014567559992E-3</v>
      </c>
      <c r="V10" s="297"/>
      <c r="W10" s="297"/>
      <c r="X10" s="297"/>
      <c r="Y10" s="886"/>
      <c r="Z10" s="297"/>
      <c r="AA10" s="297"/>
      <c r="AB10" s="297"/>
      <c r="AC10" s="297"/>
      <c r="AD10" s="297"/>
    </row>
    <row r="11" spans="1:39" ht="12" thickBot="1">
      <c r="B11" s="887"/>
      <c r="C11" s="888"/>
      <c r="D11" s="888"/>
      <c r="E11" s="888"/>
      <c r="F11" s="888"/>
      <c r="G11" s="888"/>
      <c r="H11" s="888"/>
      <c r="I11" s="888"/>
      <c r="J11" s="888"/>
      <c r="K11" s="888"/>
      <c r="L11" s="888"/>
      <c r="M11" s="888"/>
      <c r="N11" s="888"/>
      <c r="O11" s="888"/>
      <c r="P11" s="888"/>
      <c r="Q11" s="888"/>
      <c r="R11" s="888"/>
      <c r="S11" s="888"/>
      <c r="T11" s="888"/>
      <c r="U11" s="888"/>
      <c r="V11" s="888"/>
      <c r="W11" s="888"/>
      <c r="X11" s="888"/>
      <c r="Y11" s="889"/>
      <c r="Z11" s="220"/>
      <c r="AA11" s="220"/>
      <c r="AB11" s="220"/>
      <c r="AC11" s="220"/>
      <c r="AD11" s="220"/>
    </row>
    <row r="12" spans="1:39" ht="12.75" thickTop="1" thickBot="1">
      <c r="B12" s="220"/>
      <c r="C12" s="220"/>
      <c r="D12" s="220"/>
      <c r="E12" s="220"/>
      <c r="F12" s="220"/>
      <c r="G12" s="220"/>
      <c r="H12" s="220"/>
      <c r="I12" s="220"/>
      <c r="J12" s="220"/>
      <c r="K12" s="220"/>
      <c r="L12" s="220"/>
      <c r="M12" s="220"/>
      <c r="N12" s="220"/>
      <c r="O12" s="220"/>
      <c r="P12" s="220"/>
      <c r="Q12" s="220"/>
      <c r="R12" s="220"/>
      <c r="S12" s="220"/>
      <c r="T12" s="220"/>
      <c r="U12" s="220"/>
      <c r="V12" s="220"/>
      <c r="W12" s="220"/>
      <c r="X12" s="220"/>
      <c r="Y12" s="220"/>
      <c r="Z12" s="220"/>
      <c r="AA12" s="220"/>
      <c r="AB12" s="220"/>
      <c r="AC12" s="220"/>
      <c r="AD12" s="220"/>
    </row>
    <row r="13" spans="1:39" ht="20.25" thickTop="1">
      <c r="B13" s="923" t="s">
        <v>480</v>
      </c>
      <c r="C13" s="924"/>
      <c r="D13" s="924"/>
      <c r="E13" s="924"/>
      <c r="F13" s="924"/>
      <c r="G13" s="924"/>
      <c r="H13" s="924"/>
      <c r="I13" s="924"/>
      <c r="J13" s="876"/>
      <c r="K13" s="876"/>
      <c r="L13" s="876"/>
      <c r="M13" s="876"/>
      <c r="N13" s="876"/>
      <c r="O13" s="876"/>
      <c r="P13" s="876"/>
      <c r="Q13" s="876"/>
      <c r="R13" s="876"/>
      <c r="S13" s="876"/>
      <c r="T13" s="876"/>
      <c r="U13" s="876"/>
      <c r="V13" s="876"/>
      <c r="W13" s="876"/>
      <c r="X13" s="876"/>
      <c r="Y13" s="876"/>
      <c r="Z13" s="876"/>
      <c r="AA13" s="876"/>
      <c r="AB13" s="876"/>
      <c r="AC13" s="876"/>
      <c r="AD13" s="876"/>
      <c r="AE13" s="876"/>
      <c r="AF13" s="876"/>
      <c r="AG13" s="876"/>
      <c r="AH13" s="876"/>
      <c r="AI13" s="876"/>
      <c r="AJ13" s="876"/>
      <c r="AK13" s="876"/>
      <c r="AL13" s="876"/>
      <c r="AM13" s="877"/>
    </row>
    <row r="14" spans="1:39" ht="54.75">
      <c r="B14" s="878" t="s">
        <v>185</v>
      </c>
      <c r="C14" s="890" t="s">
        <v>465</v>
      </c>
      <c r="D14" s="891"/>
      <c r="E14" s="265" t="s">
        <v>488</v>
      </c>
      <c r="F14" s="892"/>
      <c r="G14" s="890" t="s">
        <v>489</v>
      </c>
      <c r="H14" s="892"/>
      <c r="I14" s="890" t="s">
        <v>481</v>
      </c>
      <c r="J14" s="892"/>
      <c r="K14" s="890" t="s">
        <v>467</v>
      </c>
      <c r="L14" s="890"/>
      <c r="M14" s="890" t="s">
        <v>490</v>
      </c>
      <c r="N14" s="890"/>
      <c r="O14" s="890" t="s">
        <v>492</v>
      </c>
      <c r="P14" s="893"/>
      <c r="Q14" s="890" t="s">
        <v>493</v>
      </c>
      <c r="R14" s="890"/>
      <c r="S14" s="890" t="s">
        <v>483</v>
      </c>
      <c r="T14" s="890"/>
      <c r="U14" s="890" t="s">
        <v>459</v>
      </c>
      <c r="V14" s="892"/>
      <c r="W14" s="890" t="s">
        <v>484</v>
      </c>
      <c r="X14" s="892"/>
      <c r="Y14" s="890" t="s">
        <v>458</v>
      </c>
      <c r="Z14" s="892"/>
      <c r="AA14" s="890" t="s">
        <v>494</v>
      </c>
      <c r="AB14" s="892"/>
      <c r="AC14" s="890" t="s">
        <v>468</v>
      </c>
      <c r="AD14" s="890"/>
      <c r="AE14" s="890" t="s">
        <v>1051</v>
      </c>
      <c r="AF14" s="892"/>
      <c r="AG14" s="890" t="s">
        <v>495</v>
      </c>
      <c r="AH14" s="890"/>
      <c r="AI14" s="890" t="s">
        <v>496</v>
      </c>
      <c r="AJ14" s="890"/>
      <c r="AK14" s="890" t="s">
        <v>497</v>
      </c>
      <c r="AL14" s="891"/>
      <c r="AM14" s="894" t="s">
        <v>498</v>
      </c>
    </row>
    <row r="15" spans="1:39">
      <c r="B15" s="895"/>
      <c r="C15" s="268"/>
      <c r="D15" s="268"/>
      <c r="E15" s="896"/>
      <c r="F15" s="266"/>
      <c r="G15" s="896"/>
      <c r="H15" s="266"/>
      <c r="I15" s="266"/>
      <c r="J15" s="266"/>
      <c r="K15" s="266"/>
      <c r="L15" s="266"/>
      <c r="M15" s="266"/>
      <c r="N15" s="266"/>
      <c r="O15" s="266"/>
      <c r="P15" s="266"/>
      <c r="Q15" s="266"/>
      <c r="R15" s="266"/>
      <c r="S15" s="266"/>
      <c r="T15" s="266"/>
      <c r="U15" s="896"/>
      <c r="V15" s="266"/>
      <c r="W15" s="266"/>
      <c r="X15" s="266"/>
      <c r="Y15" s="266"/>
      <c r="Z15" s="266"/>
      <c r="AA15" s="267"/>
      <c r="AB15" s="266"/>
      <c r="AC15" s="266" t="s">
        <v>486</v>
      </c>
      <c r="AD15" s="268"/>
      <c r="AE15" s="268"/>
      <c r="AF15" s="268"/>
      <c r="AG15" s="267"/>
      <c r="AH15" s="267"/>
      <c r="AI15" s="267"/>
      <c r="AJ15" s="267"/>
      <c r="AK15" s="267"/>
      <c r="AL15" s="268"/>
      <c r="AM15" s="897"/>
    </row>
    <row r="16" spans="1:39" s="292" customFormat="1">
      <c r="A16" s="275"/>
      <c r="B16" s="881">
        <v>2014</v>
      </c>
      <c r="C16" s="276">
        <v>5828289</v>
      </c>
      <c r="D16" s="260" t="s">
        <v>950</v>
      </c>
      <c r="E16" s="277">
        <v>42.6</v>
      </c>
      <c r="F16" s="260" t="s">
        <v>950</v>
      </c>
      <c r="G16" s="278">
        <v>0.16</v>
      </c>
      <c r="H16" s="260" t="s">
        <v>950</v>
      </c>
      <c r="I16" s="279">
        <v>1.75</v>
      </c>
      <c r="J16" s="260" t="s">
        <v>950</v>
      </c>
      <c r="K16" s="280">
        <v>1E-3</v>
      </c>
      <c r="L16" s="281" t="s">
        <v>951</v>
      </c>
      <c r="M16" s="282">
        <f>C16*E16*G16*I16*K16</f>
        <v>69519.831191999998</v>
      </c>
      <c r="N16" s="283" t="s">
        <v>433</v>
      </c>
      <c r="O16" s="282">
        <v>11.265631541818182</v>
      </c>
      <c r="P16" s="281" t="s">
        <v>951</v>
      </c>
      <c r="Q16" s="282">
        <f>M16-O16</f>
        <v>69508.565560458184</v>
      </c>
      <c r="R16" s="282" t="s">
        <v>950</v>
      </c>
      <c r="S16" s="284">
        <v>0</v>
      </c>
      <c r="T16" s="260" t="s">
        <v>950</v>
      </c>
      <c r="U16" s="285">
        <v>5.0000000000000001E-3</v>
      </c>
      <c r="V16" s="260" t="s">
        <v>950</v>
      </c>
      <c r="W16" s="286">
        <f>44/28</f>
        <v>1.5714285714285714</v>
      </c>
      <c r="X16" s="281" t="s">
        <v>951</v>
      </c>
      <c r="Y16" s="287">
        <f>Q16*(1-S16)*U16*W16</f>
        <v>546.1387294036</v>
      </c>
      <c r="Z16" s="260" t="s">
        <v>950</v>
      </c>
      <c r="AA16" s="282">
        <v>310</v>
      </c>
      <c r="AB16" s="260" t="s">
        <v>950</v>
      </c>
      <c r="AC16" s="288">
        <f>1/1000000</f>
        <v>9.9999999999999995E-7</v>
      </c>
      <c r="AD16" s="260" t="s">
        <v>950</v>
      </c>
      <c r="AE16" s="287">
        <f>12/44</f>
        <v>0.27272727272727271</v>
      </c>
      <c r="AF16" s="281" t="s">
        <v>951</v>
      </c>
      <c r="AG16" s="289">
        <f>Y16*AA$16*AC$16*AE$16</f>
        <v>4.6173547122304363E-2</v>
      </c>
      <c r="AH16" s="290" t="s">
        <v>952</v>
      </c>
      <c r="AI16" s="289">
        <v>1.4967196191272725E-3</v>
      </c>
      <c r="AJ16" s="291" t="s">
        <v>951</v>
      </c>
      <c r="AK16" s="289">
        <f>AG16+AI16</f>
        <v>4.7670266741431634E-2</v>
      </c>
      <c r="AL16" s="291" t="s">
        <v>951</v>
      </c>
      <c r="AM16" s="898">
        <v>0.16554953623351598</v>
      </c>
    </row>
    <row r="17" spans="1:39" s="292" customFormat="1" ht="12" thickBot="1">
      <c r="A17" s="275"/>
      <c r="B17" s="899"/>
      <c r="C17" s="900"/>
      <c r="D17" s="901"/>
      <c r="E17" s="902"/>
      <c r="F17" s="901"/>
      <c r="G17" s="903"/>
      <c r="H17" s="901"/>
      <c r="I17" s="904"/>
      <c r="J17" s="901"/>
      <c r="K17" s="905"/>
      <c r="L17" s="906"/>
      <c r="M17" s="907"/>
      <c r="N17" s="908"/>
      <c r="O17" s="907"/>
      <c r="P17" s="906"/>
      <c r="Q17" s="907"/>
      <c r="R17" s="907"/>
      <c r="S17" s="909"/>
      <c r="T17" s="901"/>
      <c r="U17" s="910"/>
      <c r="V17" s="901"/>
      <c r="W17" s="911"/>
      <c r="X17" s="906"/>
      <c r="Y17" s="912"/>
      <c r="Z17" s="901"/>
      <c r="AA17" s="907"/>
      <c r="AB17" s="901"/>
      <c r="AC17" s="913"/>
      <c r="AD17" s="901"/>
      <c r="AE17" s="912"/>
      <c r="AF17" s="906"/>
      <c r="AG17" s="914"/>
      <c r="AH17" s="915"/>
      <c r="AI17" s="914"/>
      <c r="AJ17" s="916"/>
      <c r="AK17" s="914"/>
      <c r="AL17" s="916"/>
      <c r="AM17" s="917"/>
    </row>
    <row r="18" spans="1:39" ht="12.75" thickTop="1" thickBot="1">
      <c r="B18" s="220"/>
      <c r="C18" s="220"/>
      <c r="D18" s="220"/>
      <c r="E18" s="220"/>
      <c r="F18" s="220"/>
      <c r="G18" s="220"/>
      <c r="H18" s="220"/>
      <c r="I18" s="220"/>
      <c r="J18" s="220"/>
      <c r="K18" s="220"/>
      <c r="L18" s="220"/>
      <c r="M18" s="220"/>
      <c r="N18" s="220"/>
      <c r="O18" s="220"/>
      <c r="P18" s="220"/>
      <c r="Q18" s="220"/>
      <c r="R18" s="220"/>
      <c r="S18" s="220"/>
      <c r="T18" s="220"/>
      <c r="U18" s="220"/>
      <c r="V18" s="220"/>
      <c r="W18" s="220"/>
      <c r="X18" s="220"/>
      <c r="Y18" s="220"/>
      <c r="Z18" s="220"/>
      <c r="AA18" s="220"/>
      <c r="AB18" s="220"/>
      <c r="AC18" s="220"/>
      <c r="AD18" s="220"/>
    </row>
    <row r="19" spans="1:39" ht="20.25" thickTop="1">
      <c r="B19" s="923" t="s">
        <v>660</v>
      </c>
      <c r="C19" s="925"/>
      <c r="D19" s="925"/>
      <c r="E19" s="925"/>
      <c r="F19" s="925"/>
      <c r="G19" s="925"/>
      <c r="H19" s="918"/>
      <c r="I19" s="918"/>
      <c r="J19" s="918"/>
      <c r="K19" s="918"/>
      <c r="L19" s="918"/>
      <c r="M19" s="918"/>
      <c r="N19" s="918"/>
      <c r="O19" s="918"/>
      <c r="P19" s="918"/>
      <c r="Q19" s="918"/>
      <c r="R19" s="918"/>
      <c r="S19" s="918"/>
      <c r="T19" s="918"/>
      <c r="U19" s="918"/>
      <c r="V19" s="918"/>
      <c r="W19" s="918"/>
      <c r="X19" s="918"/>
      <c r="Y19" s="918"/>
      <c r="Z19" s="918"/>
      <c r="AA19" s="919"/>
      <c r="AB19" s="220"/>
      <c r="AC19" s="220"/>
      <c r="AD19" s="220"/>
    </row>
    <row r="20" spans="1:39" ht="27.75">
      <c r="B20" s="878" t="s">
        <v>185</v>
      </c>
      <c r="C20" s="890" t="s">
        <v>499</v>
      </c>
      <c r="D20" s="890"/>
      <c r="E20" s="890" t="s">
        <v>500</v>
      </c>
      <c r="F20" s="892"/>
      <c r="G20" s="890" t="s">
        <v>482</v>
      </c>
      <c r="H20" s="892"/>
      <c r="I20" s="890" t="s">
        <v>501</v>
      </c>
      <c r="J20" s="892"/>
      <c r="K20" s="890" t="s">
        <v>105</v>
      </c>
      <c r="L20" s="892"/>
      <c r="M20" s="890" t="s">
        <v>502</v>
      </c>
      <c r="N20" s="892"/>
      <c r="O20" s="890" t="s">
        <v>106</v>
      </c>
      <c r="P20" s="892"/>
      <c r="Q20" s="890" t="s">
        <v>482</v>
      </c>
      <c r="R20" s="892"/>
      <c r="S20" s="890" t="s">
        <v>106</v>
      </c>
      <c r="T20" s="892"/>
      <c r="U20" s="890" t="s">
        <v>503</v>
      </c>
      <c r="V20" s="890"/>
      <c r="W20" s="890" t="s">
        <v>1051</v>
      </c>
      <c r="X20" s="892"/>
      <c r="Y20" s="890" t="s">
        <v>106</v>
      </c>
      <c r="Z20" s="893"/>
      <c r="AA20" s="894" t="s">
        <v>106</v>
      </c>
      <c r="AB20" s="220"/>
      <c r="AC20" s="220"/>
      <c r="AD20" s="220"/>
    </row>
    <row r="21" spans="1:39">
      <c r="B21" s="895"/>
      <c r="C21" s="268" t="s">
        <v>102</v>
      </c>
      <c r="D21" s="920"/>
      <c r="E21" s="268" t="s">
        <v>504</v>
      </c>
      <c r="F21" s="268"/>
      <c r="G21" s="268" t="s">
        <v>505</v>
      </c>
      <c r="H21" s="268"/>
      <c r="I21" s="268" t="s">
        <v>506</v>
      </c>
      <c r="J21" s="268"/>
      <c r="K21" s="268" t="s">
        <v>507</v>
      </c>
      <c r="L21" s="268"/>
      <c r="M21" s="268" t="s">
        <v>508</v>
      </c>
      <c r="N21" s="268"/>
      <c r="O21" s="268" t="s">
        <v>509</v>
      </c>
      <c r="P21" s="268"/>
      <c r="Q21" s="268" t="s">
        <v>510</v>
      </c>
      <c r="R21" s="268"/>
      <c r="S21" s="268" t="s">
        <v>511</v>
      </c>
      <c r="T21" s="268"/>
      <c r="U21" s="274" t="s">
        <v>485</v>
      </c>
      <c r="V21" s="268"/>
      <c r="W21" s="268"/>
      <c r="X21" s="268"/>
      <c r="Y21" s="274" t="s">
        <v>1058</v>
      </c>
      <c r="Z21" s="893"/>
      <c r="AA21" s="921" t="s">
        <v>487</v>
      </c>
      <c r="AB21" s="220"/>
      <c r="AC21" s="220"/>
      <c r="AD21" s="220"/>
    </row>
    <row r="22" spans="1:39" s="6" customFormat="1">
      <c r="A22" s="275"/>
      <c r="B22" s="881">
        <v>2014</v>
      </c>
      <c r="C22" s="303">
        <f>(31100000/2204.58)</f>
        <v>14106.995436772537</v>
      </c>
      <c r="D22" s="260" t="s">
        <v>950</v>
      </c>
      <c r="E22" s="304">
        <v>7.9</v>
      </c>
      <c r="F22" s="260" t="s">
        <v>950</v>
      </c>
      <c r="G22" s="282">
        <v>1000</v>
      </c>
      <c r="H22" s="260" t="s">
        <v>950</v>
      </c>
      <c r="I22" s="305">
        <v>4.0999999999999996</v>
      </c>
      <c r="J22" s="260" t="s">
        <v>950</v>
      </c>
      <c r="K22" s="287">
        <v>0.25</v>
      </c>
      <c r="L22" s="260" t="s">
        <v>950</v>
      </c>
      <c r="M22" s="306">
        <v>0.33</v>
      </c>
      <c r="N22" s="260" t="s">
        <v>951</v>
      </c>
      <c r="O22" s="307">
        <f>C22*$E$22*$I$22*$M$22*$K$22*$G$22</f>
        <v>37696360.531257652</v>
      </c>
      <c r="P22" s="260" t="s">
        <v>950</v>
      </c>
      <c r="Q22" s="308">
        <v>9.9999999999999998E-13</v>
      </c>
      <c r="R22" s="281" t="s">
        <v>951</v>
      </c>
      <c r="S22" s="287">
        <f>O22*Q22</f>
        <v>3.7696360531257653E-5</v>
      </c>
      <c r="T22" s="260" t="s">
        <v>950</v>
      </c>
      <c r="U22" s="282">
        <v>21</v>
      </c>
      <c r="V22" s="260" t="s">
        <v>950</v>
      </c>
      <c r="W22" s="287">
        <f>12/44</f>
        <v>0.27272727272727271</v>
      </c>
      <c r="X22" s="281" t="s">
        <v>951</v>
      </c>
      <c r="Y22" s="289">
        <f>S22*U$22*W$22</f>
        <v>2.1589733758811198E-4</v>
      </c>
      <c r="Z22" s="281" t="s">
        <v>951</v>
      </c>
      <c r="AA22" s="922">
        <f>Y22*44/12</f>
        <v>7.9162357115641067E-4</v>
      </c>
      <c r="AB22" s="269"/>
      <c r="AC22" s="269"/>
      <c r="AD22" s="269"/>
    </row>
    <row r="23" spans="1:39" ht="12" thickBot="1">
      <c r="B23" s="887"/>
      <c r="C23" s="888"/>
      <c r="D23" s="888"/>
      <c r="E23" s="888"/>
      <c r="F23" s="888"/>
      <c r="G23" s="888"/>
      <c r="H23" s="888"/>
      <c r="I23" s="888"/>
      <c r="J23" s="888"/>
      <c r="K23" s="888"/>
      <c r="L23" s="888"/>
      <c r="M23" s="888"/>
      <c r="N23" s="888"/>
      <c r="O23" s="888"/>
      <c r="P23" s="888"/>
      <c r="Q23" s="888"/>
      <c r="R23" s="888"/>
      <c r="S23" s="888"/>
      <c r="T23" s="888"/>
      <c r="U23" s="888"/>
      <c r="V23" s="888"/>
      <c r="W23" s="888"/>
      <c r="X23" s="888"/>
      <c r="Y23" s="888"/>
      <c r="Z23" s="888"/>
      <c r="AA23" s="889"/>
      <c r="AB23" s="220"/>
      <c r="AC23" s="220"/>
      <c r="AD23" s="220"/>
    </row>
    <row r="24" spans="1:39" ht="12" thickTop="1">
      <c r="B24" s="220"/>
      <c r="C24" s="220"/>
      <c r="D24" s="220"/>
      <c r="E24" s="220"/>
      <c r="F24" s="220"/>
      <c r="G24" s="220"/>
      <c r="H24" s="220"/>
      <c r="I24" s="220"/>
      <c r="J24" s="220"/>
      <c r="K24" s="220"/>
      <c r="L24" s="220"/>
      <c r="M24" s="220"/>
      <c r="N24" s="220"/>
      <c r="O24" s="220"/>
      <c r="P24" s="220"/>
      <c r="Q24" s="220"/>
      <c r="R24" s="220"/>
      <c r="S24" s="220"/>
      <c r="T24" s="220"/>
      <c r="U24" s="220"/>
      <c r="V24" s="220"/>
      <c r="W24" s="220"/>
      <c r="X24" s="220"/>
      <c r="Y24" s="220"/>
      <c r="Z24" s="220"/>
      <c r="AA24" s="220"/>
      <c r="AB24" s="220"/>
      <c r="AC24" s="220"/>
      <c r="AD24" s="220"/>
    </row>
    <row r="25" spans="1:39">
      <c r="B25" s="220"/>
      <c r="C25" s="220"/>
      <c r="D25" s="220"/>
      <c r="E25" s="220"/>
      <c r="F25" s="220"/>
      <c r="G25" s="220"/>
      <c r="H25" s="220"/>
      <c r="I25" s="220"/>
      <c r="J25" s="220"/>
      <c r="K25" s="220"/>
      <c r="L25" s="220"/>
      <c r="M25" s="220"/>
      <c r="N25" s="220"/>
      <c r="O25" s="220"/>
      <c r="P25" s="220"/>
      <c r="Q25" s="220"/>
      <c r="R25" s="220"/>
      <c r="S25" s="220"/>
      <c r="T25" s="220"/>
      <c r="U25" s="220"/>
      <c r="V25" s="220"/>
      <c r="W25" s="220"/>
      <c r="X25" s="220"/>
      <c r="Y25" s="220"/>
      <c r="Z25" s="220"/>
      <c r="AA25" s="220"/>
      <c r="AB25" s="220"/>
      <c r="AC25" s="220"/>
      <c r="AD25" s="220"/>
    </row>
    <row r="26" spans="1:39">
      <c r="B26" s="220"/>
      <c r="C26" s="220"/>
      <c r="D26" s="220"/>
      <c r="E26" s="220"/>
      <c r="F26" s="220"/>
      <c r="G26" s="220"/>
      <c r="H26" s="220"/>
      <c r="I26" s="220"/>
      <c r="J26" s="220"/>
      <c r="K26" s="220"/>
      <c r="L26" s="220"/>
      <c r="M26" s="220"/>
      <c r="N26" s="220"/>
      <c r="O26" s="220"/>
      <c r="P26" s="220"/>
      <c r="Q26" s="220"/>
      <c r="R26" s="220"/>
      <c r="S26" s="220"/>
      <c r="T26" s="220"/>
      <c r="U26" s="220"/>
      <c r="V26" s="220"/>
      <c r="W26" s="220"/>
      <c r="X26" s="220"/>
      <c r="Y26" s="220"/>
      <c r="Z26" s="220"/>
      <c r="AA26" s="220"/>
      <c r="AB26" s="220"/>
      <c r="AC26" s="220"/>
      <c r="AD26" s="220"/>
    </row>
    <row r="28" spans="1:39" ht="12.75">
      <c r="B28" s="3107" t="s">
        <v>266</v>
      </c>
      <c r="C28" s="3107"/>
      <c r="D28" s="3107"/>
      <c r="E28" s="3107"/>
      <c r="F28" s="3107"/>
      <c r="G28" s="3107"/>
      <c r="H28" s="3107"/>
      <c r="I28" s="3107"/>
      <c r="J28" s="3107"/>
      <c r="K28" s="3107"/>
      <c r="L28" s="3107"/>
      <c r="M28" s="3107"/>
      <c r="N28" s="3107"/>
    </row>
    <row r="30" spans="1:39" ht="15" thickBot="1">
      <c r="B30" s="119" t="s">
        <v>653</v>
      </c>
      <c r="C30" s="119">
        <v>2014</v>
      </c>
    </row>
    <row r="31" spans="1:39" ht="12.75">
      <c r="B31" s="40" t="s">
        <v>271</v>
      </c>
      <c r="C31" s="270">
        <f>Y5</f>
        <v>0.40197537597262495</v>
      </c>
      <c r="D31" s="273"/>
    </row>
    <row r="32" spans="1:39" ht="12.75">
      <c r="B32" s="40" t="s">
        <v>272</v>
      </c>
      <c r="C32" s="271">
        <f>AM16</f>
        <v>0.16554953623351598</v>
      </c>
      <c r="D32" s="273"/>
    </row>
    <row r="33" spans="2:24" ht="12.75">
      <c r="B33" s="40" t="s">
        <v>273</v>
      </c>
      <c r="C33" s="270">
        <f>SUM(C34:C37)</f>
        <v>7.9162357115641067E-4</v>
      </c>
      <c r="D33" s="273"/>
    </row>
    <row r="34" spans="2:24" ht="12.75">
      <c r="B34" s="187" t="s">
        <v>267</v>
      </c>
      <c r="C34" s="270">
        <v>0</v>
      </c>
      <c r="D34" s="273"/>
    </row>
    <row r="35" spans="2:24" ht="12.75">
      <c r="B35" s="187" t="s">
        <v>268</v>
      </c>
      <c r="C35" s="270">
        <f>AA22</f>
        <v>7.9162357115641067E-4</v>
      </c>
      <c r="D35" s="273"/>
    </row>
    <row r="36" spans="2:24" ht="12.75">
      <c r="B36" s="187" t="s">
        <v>269</v>
      </c>
      <c r="C36" s="270">
        <v>0</v>
      </c>
      <c r="D36" s="273"/>
    </row>
    <row r="37" spans="2:24" ht="13.5" thickBot="1">
      <c r="B37" s="187" t="s">
        <v>270</v>
      </c>
      <c r="C37" s="270">
        <v>0</v>
      </c>
      <c r="D37" s="273"/>
    </row>
    <row r="38" spans="2:24" ht="15" thickBot="1">
      <c r="B38" s="118" t="s">
        <v>237</v>
      </c>
      <c r="C38" s="272">
        <f>SUM(C31:C33)</f>
        <v>0.56831653577729735</v>
      </c>
      <c r="D38" s="273"/>
    </row>
    <row r="39" spans="2:24">
      <c r="S39" s="190">
        <f>SUM(C31:C33)</f>
        <v>0.56831653577729735</v>
      </c>
    </row>
    <row r="45" spans="2:24">
      <c r="C45" s="1" t="s">
        <v>1372</v>
      </c>
      <c r="D45" s="2744"/>
      <c r="E45" s="2744"/>
      <c r="F45" s="2744"/>
      <c r="G45" s="2744"/>
      <c r="H45" s="2744"/>
      <c r="I45" s="2744"/>
      <c r="J45" s="2744"/>
      <c r="K45" s="2744"/>
      <c r="L45" s="2744"/>
      <c r="M45" s="2744"/>
      <c r="N45" s="2744"/>
      <c r="O45" s="2744"/>
      <c r="P45" s="2744"/>
      <c r="Q45" s="2744"/>
      <c r="R45" s="2744"/>
      <c r="S45" s="2744"/>
      <c r="T45" s="2744"/>
      <c r="U45" s="2744"/>
      <c r="V45" s="2744"/>
      <c r="W45" s="2744"/>
      <c r="X45" s="2744"/>
    </row>
  </sheetData>
  <sheetProtection password="CD58" sheet="1" objects="1" scenarios="1"/>
  <mergeCells count="2">
    <mergeCell ref="B28:N28"/>
    <mergeCell ref="B3:I3"/>
  </mergeCells>
  <phoneticPr fontId="0" type="noConversion"/>
  <conditionalFormatting sqref="B28:N28">
    <cfRule type="cellIs" dxfId="1" priority="1" stopIfTrue="1" operator="equal">
      <formula>0</formula>
    </cfRule>
    <cfRule type="cellIs" dxfId="0" priority="2" stopIfTrue="1" operator="notEqual">
      <formula>0</formula>
    </cfRule>
  </conditionalFormatting>
  <pageMargins left="0.75" right="0.75" top="1" bottom="1" header="0.5" footer="0.5"/>
  <pageSetup orientation="portrait" r:id="rId1"/>
  <headerFooter alignWithMargins="0"/>
  <drawing r:id="rId2"/>
  <legacyDrawing r:id="rId3"/>
  <picture r:id="rId4"/>
</worksheet>
</file>

<file path=xl/worksheets/sheet21.xml><?xml version="1.0" encoding="utf-8"?>
<worksheet xmlns="http://schemas.openxmlformats.org/spreadsheetml/2006/main" xmlns:r="http://schemas.openxmlformats.org/officeDocument/2006/relationships">
  <sheetPr codeName="Sheet19"/>
  <dimension ref="A1:CC263"/>
  <sheetViews>
    <sheetView zoomScaleNormal="100" zoomScaleSheetLayoutView="100" workbookViewId="0">
      <selection activeCell="O4" sqref="O4"/>
    </sheetView>
  </sheetViews>
  <sheetFormatPr defaultRowHeight="11.25"/>
  <cols>
    <col min="1" max="1" width="6" customWidth="1"/>
    <col min="2" max="2" width="34.33203125" customWidth="1"/>
    <col min="3" max="3" width="11" customWidth="1"/>
    <col min="4" max="4" width="3.83203125" customWidth="1"/>
    <col min="5" max="5" width="13.1640625" customWidth="1"/>
    <col min="6" max="6" width="3.83203125" customWidth="1"/>
    <col min="7" max="7" width="15" customWidth="1"/>
    <col min="8" max="8" width="3.83203125" customWidth="1"/>
    <col min="9" max="9" width="12.33203125" customWidth="1"/>
    <col min="10" max="10" width="3.83203125" customWidth="1"/>
    <col min="11" max="11" width="12.33203125" customWidth="1"/>
    <col min="12" max="12" width="3.83203125" customWidth="1"/>
    <col min="13" max="13" width="14.1640625" customWidth="1"/>
    <col min="14" max="14" width="8.6640625" customWidth="1"/>
    <col min="15" max="15" width="10.83203125" customWidth="1"/>
    <col min="16" max="16" width="3.83203125" customWidth="1"/>
    <col min="17" max="17" width="11" customWidth="1"/>
    <col min="18" max="18" width="3.83203125" customWidth="1"/>
    <col min="19" max="19" width="12.6640625" customWidth="1"/>
    <col min="20" max="20" width="3.83203125" customWidth="1"/>
    <col min="21" max="21" width="13" customWidth="1"/>
    <col min="22" max="22" width="3.83203125" customWidth="1"/>
    <col min="23" max="23" width="12.5" customWidth="1"/>
    <col min="24" max="24" width="2.83203125" customWidth="1"/>
    <col min="25" max="25" width="14" customWidth="1"/>
    <col min="27" max="27" width="10.6640625" bestFit="1" customWidth="1"/>
    <col min="28" max="28" width="2.83203125" customWidth="1"/>
    <col min="29" max="29" width="10.6640625" bestFit="1" customWidth="1"/>
    <col min="30" max="30" width="2.83203125" customWidth="1"/>
    <col min="31" max="31" width="10.5" customWidth="1"/>
  </cols>
  <sheetData>
    <row r="1" spans="1:19" ht="33">
      <c r="A1" s="550" t="s">
        <v>512</v>
      </c>
      <c r="E1" s="547"/>
    </row>
    <row r="2" spans="1:19" s="309" customFormat="1" ht="362.25" customHeight="1" thickBot="1">
      <c r="B2" s="3111"/>
      <c r="C2" s="3067"/>
      <c r="D2" s="3067"/>
      <c r="E2" s="3067"/>
      <c r="F2" s="3067"/>
      <c r="G2" s="3067"/>
      <c r="H2" s="3067"/>
      <c r="I2" s="3067"/>
      <c r="J2" s="3067"/>
      <c r="K2" s="3067"/>
      <c r="L2" s="3067"/>
      <c r="M2" s="3067"/>
      <c r="N2" s="3067"/>
      <c r="O2" s="3067"/>
      <c r="P2" s="3067"/>
      <c r="Q2" s="3067"/>
      <c r="R2" s="3067"/>
      <c r="S2" s="3067"/>
    </row>
    <row r="3" spans="1:19" ht="19.5">
      <c r="B3" s="1234" t="s">
        <v>562</v>
      </c>
      <c r="C3" s="1235"/>
      <c r="D3" s="1235"/>
      <c r="E3" s="1235"/>
      <c r="F3" s="1235"/>
      <c r="G3" s="1235"/>
      <c r="H3" s="1235"/>
      <c r="I3" s="1235"/>
      <c r="J3" s="1235"/>
      <c r="K3" s="1235"/>
      <c r="L3" s="1235"/>
      <c r="M3" s="1236"/>
    </row>
    <row r="4" spans="1:19" ht="36.75">
      <c r="B4" s="1237"/>
      <c r="C4" s="1258" t="s">
        <v>556</v>
      </c>
      <c r="D4" s="1258"/>
      <c r="E4" s="1258" t="s">
        <v>557</v>
      </c>
      <c r="F4" s="1258"/>
      <c r="G4" s="1258" t="s">
        <v>558</v>
      </c>
      <c r="H4" s="1259"/>
      <c r="I4" s="1258" t="s">
        <v>559</v>
      </c>
      <c r="J4" s="1259"/>
      <c r="K4" s="1258" t="s">
        <v>469</v>
      </c>
      <c r="L4" s="1259"/>
      <c r="M4" s="1260" t="s">
        <v>560</v>
      </c>
    </row>
    <row r="5" spans="1:19">
      <c r="B5" s="1238" t="s">
        <v>513</v>
      </c>
      <c r="C5" s="1239"/>
      <c r="D5" s="1240"/>
      <c r="E5" s="32"/>
      <c r="F5" s="32"/>
      <c r="G5" s="32"/>
      <c r="H5" s="32"/>
      <c r="I5" s="1241"/>
      <c r="J5" s="32"/>
      <c r="K5" s="32"/>
      <c r="L5" s="32"/>
      <c r="M5" s="560"/>
    </row>
    <row r="6" spans="1:19">
      <c r="B6" s="1242" t="s">
        <v>514</v>
      </c>
      <c r="C6" s="310">
        <v>50</v>
      </c>
      <c r="D6" s="1240" t="s">
        <v>950</v>
      </c>
      <c r="E6" s="311">
        <v>135.52796557564673</v>
      </c>
      <c r="F6" s="1240" t="s">
        <v>951</v>
      </c>
      <c r="G6" s="312">
        <f>C6*E6*1000</f>
        <v>6776398.278782337</v>
      </c>
      <c r="H6" s="1240" t="s">
        <v>951</v>
      </c>
      <c r="I6" s="1243">
        <f>G6/1000*10^-6</f>
        <v>6.7763982787823369E-3</v>
      </c>
      <c r="J6" s="1240" t="s">
        <v>951</v>
      </c>
      <c r="K6" s="313">
        <f>(I6*21)*(12/44)</f>
        <v>3.8810281051207929E-2</v>
      </c>
      <c r="L6" s="1240" t="s">
        <v>951</v>
      </c>
      <c r="M6" s="1244">
        <f>K6/(12/44)</f>
        <v>0.14230436385442907</v>
      </c>
    </row>
    <row r="7" spans="1:19">
      <c r="B7" s="1242" t="s">
        <v>515</v>
      </c>
      <c r="C7" s="314">
        <v>25</v>
      </c>
      <c r="D7" s="1240" t="s">
        <v>950</v>
      </c>
      <c r="E7" s="311">
        <v>72.025911131270846</v>
      </c>
      <c r="F7" s="1240" t="s">
        <v>951</v>
      </c>
      <c r="G7" s="312">
        <f>C7*E7*1000</f>
        <v>1800647.7782817711</v>
      </c>
      <c r="H7" s="1240" t="s">
        <v>951</v>
      </c>
      <c r="I7" s="1243">
        <f>G7/1000*10^-6</f>
        <v>1.8006477782817709E-3</v>
      </c>
      <c r="J7" s="1240" t="s">
        <v>951</v>
      </c>
      <c r="K7" s="313">
        <f>(I7*21)*(12/44)</f>
        <v>1.0312800911977414E-2</v>
      </c>
      <c r="L7" s="1240" t="s">
        <v>951</v>
      </c>
      <c r="M7" s="1244">
        <f>K7/(12/44)</f>
        <v>3.7813603343917188E-2</v>
      </c>
    </row>
    <row r="8" spans="1:19">
      <c r="B8" s="1245" t="s">
        <v>516</v>
      </c>
      <c r="C8" s="314">
        <v>0</v>
      </c>
      <c r="D8" s="1240" t="s">
        <v>950</v>
      </c>
      <c r="E8" s="311">
        <v>53.69953033484164</v>
      </c>
      <c r="F8" s="1240" t="s">
        <v>951</v>
      </c>
      <c r="G8" s="312">
        <f>C8*E8*1000</f>
        <v>0</v>
      </c>
      <c r="H8" s="1240" t="s">
        <v>951</v>
      </c>
      <c r="I8" s="1243">
        <f>G8/1000*10^-6</f>
        <v>0</v>
      </c>
      <c r="J8" s="1240" t="s">
        <v>951</v>
      </c>
      <c r="K8" s="313">
        <f>(I8*21)*(12/44)</f>
        <v>0</v>
      </c>
      <c r="L8" s="1240" t="s">
        <v>951</v>
      </c>
      <c r="M8" s="1244">
        <f>K8/(12/44)</f>
        <v>0</v>
      </c>
    </row>
    <row r="9" spans="1:19">
      <c r="B9" s="1245" t="s">
        <v>517</v>
      </c>
      <c r="C9" s="314">
        <v>0</v>
      </c>
      <c r="D9" s="1240" t="s">
        <v>950</v>
      </c>
      <c r="E9" s="311">
        <v>79.741615387843581</v>
      </c>
      <c r="F9" s="1240" t="s">
        <v>951</v>
      </c>
      <c r="G9" s="312">
        <f>C9*E9*1000</f>
        <v>0</v>
      </c>
      <c r="H9" s="1240" t="s">
        <v>951</v>
      </c>
      <c r="I9" s="1243">
        <f>G9/1000*10^-6</f>
        <v>0</v>
      </c>
      <c r="J9" s="1240" t="s">
        <v>951</v>
      </c>
      <c r="K9" s="313">
        <f>(I9*21)*(12/44)</f>
        <v>0</v>
      </c>
      <c r="L9" s="1240" t="s">
        <v>951</v>
      </c>
      <c r="M9" s="1244">
        <f>K9/(12/44)</f>
        <v>0</v>
      </c>
    </row>
    <row r="10" spans="1:19">
      <c r="B10" s="1238" t="s">
        <v>543</v>
      </c>
      <c r="C10" s="1246"/>
      <c r="D10" s="1240"/>
      <c r="E10" s="311"/>
      <c r="F10" s="1240"/>
      <c r="G10" s="312"/>
      <c r="H10" s="1240"/>
      <c r="I10" s="1243"/>
      <c r="J10" s="1240"/>
      <c r="K10" s="313"/>
      <c r="L10" s="1240"/>
      <c r="M10" s="1244"/>
    </row>
    <row r="11" spans="1:19">
      <c r="B11" s="1247" t="s">
        <v>544</v>
      </c>
      <c r="C11" s="314">
        <v>38</v>
      </c>
      <c r="D11" s="1240" t="s">
        <v>950</v>
      </c>
      <c r="E11" s="311">
        <v>85.595205370316165</v>
      </c>
      <c r="F11" s="1240" t="s">
        <v>951</v>
      </c>
      <c r="G11" s="312">
        <f>C11*E11*1000</f>
        <v>3252617.8040720141</v>
      </c>
      <c r="H11" s="1240" t="s">
        <v>951</v>
      </c>
      <c r="I11" s="1243">
        <f>G11/1000*10^-6</f>
        <v>3.252617804072014E-3</v>
      </c>
      <c r="J11" s="1240" t="s">
        <v>951</v>
      </c>
      <c r="K11" s="313">
        <f t="shared" ref="K11:K19" si="0">(I11*21)*(12/44)</f>
        <v>1.8628629241503353E-2</v>
      </c>
      <c r="L11" s="1240" t="s">
        <v>951</v>
      </c>
      <c r="M11" s="1244">
        <f t="shared" ref="M11:M19" si="1">K11/(12/44)</f>
        <v>6.8304973885512293E-2</v>
      </c>
    </row>
    <row r="12" spans="1:19">
      <c r="B12" s="1242" t="s">
        <v>546</v>
      </c>
      <c r="C12" s="314">
        <v>10</v>
      </c>
      <c r="D12" s="1240" t="s">
        <v>950</v>
      </c>
      <c r="E12" s="311">
        <v>59.188893394935164</v>
      </c>
      <c r="F12" s="1240" t="s">
        <v>951</v>
      </c>
      <c r="G12" s="312">
        <f t="shared" ref="G12:G19" si="2">C12*E12*1000</f>
        <v>591888.93394935166</v>
      </c>
      <c r="H12" s="1240" t="s">
        <v>951</v>
      </c>
      <c r="I12" s="1243">
        <f t="shared" ref="I12:I19" si="3">G12/1000*10^-6</f>
        <v>5.9188893394935161E-4</v>
      </c>
      <c r="J12" s="1240" t="s">
        <v>951</v>
      </c>
      <c r="K12" s="313">
        <f t="shared" si="0"/>
        <v>3.38990934898265E-3</v>
      </c>
      <c r="L12" s="1240" t="s">
        <v>951</v>
      </c>
      <c r="M12" s="1244">
        <f t="shared" si="1"/>
        <v>1.2429667612936384E-2</v>
      </c>
    </row>
    <row r="13" spans="1:19">
      <c r="B13" s="1245" t="s">
        <v>516</v>
      </c>
      <c r="C13" s="314">
        <v>0</v>
      </c>
      <c r="D13" s="1240" t="s">
        <v>950</v>
      </c>
      <c r="E13" s="311">
        <v>53.442625254783813</v>
      </c>
      <c r="F13" s="1240" t="s">
        <v>951</v>
      </c>
      <c r="G13" s="312">
        <f t="shared" si="2"/>
        <v>0</v>
      </c>
      <c r="H13" s="1240" t="s">
        <v>951</v>
      </c>
      <c r="I13" s="1243">
        <f t="shared" si="3"/>
        <v>0</v>
      </c>
      <c r="J13" s="1240" t="s">
        <v>951</v>
      </c>
      <c r="K13" s="313">
        <f t="shared" si="0"/>
        <v>0</v>
      </c>
      <c r="L13" s="1240" t="s">
        <v>951</v>
      </c>
      <c r="M13" s="1244">
        <f t="shared" si="1"/>
        <v>0</v>
      </c>
    </row>
    <row r="14" spans="1:19">
      <c r="B14" s="1245" t="s">
        <v>517</v>
      </c>
      <c r="C14" s="314">
        <v>0</v>
      </c>
      <c r="D14" s="1240" t="s">
        <v>950</v>
      </c>
      <c r="E14" s="311">
        <v>61.566795443796686</v>
      </c>
      <c r="F14" s="1240" t="s">
        <v>951</v>
      </c>
      <c r="G14" s="312">
        <f t="shared" si="2"/>
        <v>0</v>
      </c>
      <c r="H14" s="1240" t="s">
        <v>951</v>
      </c>
      <c r="I14" s="1243">
        <f t="shared" si="3"/>
        <v>0</v>
      </c>
      <c r="J14" s="1240" t="s">
        <v>951</v>
      </c>
      <c r="K14" s="313">
        <f t="shared" si="0"/>
        <v>0</v>
      </c>
      <c r="L14" s="1240" t="s">
        <v>951</v>
      </c>
      <c r="M14" s="1244">
        <f t="shared" si="1"/>
        <v>0</v>
      </c>
    </row>
    <row r="15" spans="1:19">
      <c r="B15" s="1242" t="s">
        <v>547</v>
      </c>
      <c r="C15" s="314">
        <v>8</v>
      </c>
      <c r="D15" s="1240" t="s">
        <v>950</v>
      </c>
      <c r="E15" s="311">
        <v>28.537676403724976</v>
      </c>
      <c r="F15" s="1240" t="s">
        <v>951</v>
      </c>
      <c r="G15" s="312">
        <f t="shared" si="2"/>
        <v>228301.41122979982</v>
      </c>
      <c r="H15" s="1240" t="s">
        <v>951</v>
      </c>
      <c r="I15" s="1243">
        <f t="shared" si="3"/>
        <v>2.2830141122979981E-4</v>
      </c>
      <c r="J15" s="1240" t="s">
        <v>951</v>
      </c>
      <c r="K15" s="313">
        <f t="shared" si="0"/>
        <v>1.307544446134308E-3</v>
      </c>
      <c r="L15" s="1240" t="s">
        <v>951</v>
      </c>
      <c r="M15" s="1244">
        <f t="shared" si="1"/>
        <v>4.7943296358257965E-3</v>
      </c>
    </row>
    <row r="16" spans="1:19">
      <c r="B16" s="1242" t="s">
        <v>548</v>
      </c>
      <c r="C16" s="314">
        <v>15</v>
      </c>
      <c r="D16" s="1240" t="s">
        <v>950</v>
      </c>
      <c r="E16" s="311">
        <v>57.341151515894396</v>
      </c>
      <c r="F16" s="1240" t="s">
        <v>951</v>
      </c>
      <c r="G16" s="312">
        <f t="shared" si="2"/>
        <v>860117.27273841598</v>
      </c>
      <c r="H16" s="1240" t="s">
        <v>951</v>
      </c>
      <c r="I16" s="1243">
        <f t="shared" si="3"/>
        <v>8.6011727273841592E-4</v>
      </c>
      <c r="J16" s="1240" t="s">
        <v>951</v>
      </c>
      <c r="K16" s="313">
        <f t="shared" si="0"/>
        <v>4.9261261984109269E-3</v>
      </c>
      <c r="L16" s="1240" t="s">
        <v>951</v>
      </c>
      <c r="M16" s="1244">
        <f t="shared" si="1"/>
        <v>1.8062462727506733E-2</v>
      </c>
    </row>
    <row r="17" spans="2:24">
      <c r="B17" s="1242" t="s">
        <v>549</v>
      </c>
      <c r="C17" s="804">
        <v>3.9119999999999999</v>
      </c>
      <c r="D17" s="1240" t="s">
        <v>950</v>
      </c>
      <c r="E17" s="311">
        <v>57.017959375650115</v>
      </c>
      <c r="F17" s="1240" t="s">
        <v>951</v>
      </c>
      <c r="G17" s="312">
        <f t="shared" si="2"/>
        <v>223054.25707754324</v>
      </c>
      <c r="H17" s="1240" t="s">
        <v>951</v>
      </c>
      <c r="I17" s="1243">
        <f t="shared" si="3"/>
        <v>2.2305425707754324E-4</v>
      </c>
      <c r="J17" s="1240" t="s">
        <v>951</v>
      </c>
      <c r="K17" s="313">
        <f t="shared" si="0"/>
        <v>1.2774925632622928E-3</v>
      </c>
      <c r="L17" s="1240" t="s">
        <v>951</v>
      </c>
      <c r="M17" s="1244">
        <f t="shared" si="1"/>
        <v>4.6841393986284076E-3</v>
      </c>
    </row>
    <row r="18" spans="2:24">
      <c r="B18" s="1242" t="s">
        <v>550</v>
      </c>
      <c r="C18" s="804">
        <v>7.3949999999999996</v>
      </c>
      <c r="D18" s="1240" t="s">
        <v>950</v>
      </c>
      <c r="E18" s="311">
        <v>56.856488705063306</v>
      </c>
      <c r="F18" s="1240" t="s">
        <v>951</v>
      </c>
      <c r="G18" s="312">
        <f t="shared" si="2"/>
        <v>420453.73397394316</v>
      </c>
      <c r="H18" s="1240" t="s">
        <v>951</v>
      </c>
      <c r="I18" s="1243">
        <f t="shared" si="3"/>
        <v>4.2045373397394314E-4</v>
      </c>
      <c r="J18" s="1240" t="s">
        <v>951</v>
      </c>
      <c r="K18" s="313">
        <f t="shared" si="0"/>
        <v>2.408053203668947E-3</v>
      </c>
      <c r="L18" s="1240" t="s">
        <v>951</v>
      </c>
      <c r="M18" s="1244">
        <f t="shared" si="1"/>
        <v>8.8295284134528064E-3</v>
      </c>
    </row>
    <row r="19" spans="2:24">
      <c r="B19" s="1242" t="s">
        <v>551</v>
      </c>
      <c r="C19" s="314">
        <v>4</v>
      </c>
      <c r="D19" s="1240" t="s">
        <v>950</v>
      </c>
      <c r="E19" s="311">
        <v>53</v>
      </c>
      <c r="F19" s="1240" t="s">
        <v>951</v>
      </c>
      <c r="G19" s="312">
        <f t="shared" si="2"/>
        <v>212000</v>
      </c>
      <c r="H19" s="1240" t="s">
        <v>951</v>
      </c>
      <c r="I19" s="1243">
        <f t="shared" si="3"/>
        <v>2.12E-4</v>
      </c>
      <c r="J19" s="1240" t="s">
        <v>951</v>
      </c>
      <c r="K19" s="313">
        <f t="shared" si="0"/>
        <v>1.2141818181818182E-3</v>
      </c>
      <c r="L19" s="1240" t="s">
        <v>951</v>
      </c>
      <c r="M19" s="1244">
        <f t="shared" si="1"/>
        <v>4.4520000000000002E-3</v>
      </c>
    </row>
    <row r="20" spans="2:24">
      <c r="B20" s="1248" t="s">
        <v>187</v>
      </c>
      <c r="C20" s="1249"/>
      <c r="D20" s="1240"/>
      <c r="E20" s="311"/>
      <c r="F20" s="1240"/>
      <c r="G20" s="312"/>
      <c r="H20" s="1240"/>
      <c r="I20" s="1243"/>
      <c r="J20" s="1240"/>
      <c r="K20" s="313"/>
      <c r="L20" s="1240"/>
      <c r="M20" s="1244"/>
    </row>
    <row r="21" spans="2:24">
      <c r="B21" s="1247" t="s">
        <v>552</v>
      </c>
      <c r="C21" s="804">
        <v>24</v>
      </c>
      <c r="D21" s="1240" t="s">
        <v>950</v>
      </c>
      <c r="E21" s="311">
        <v>8</v>
      </c>
      <c r="F21" s="1240" t="s">
        <v>951</v>
      </c>
      <c r="G21" s="312">
        <f>C21*E21*1000</f>
        <v>192000</v>
      </c>
      <c r="H21" s="1240" t="s">
        <v>951</v>
      </c>
      <c r="I21" s="1243">
        <f>G21/1000*10^-6</f>
        <v>1.92E-4</v>
      </c>
      <c r="J21" s="1240" t="s">
        <v>951</v>
      </c>
      <c r="K21" s="313">
        <f>(I21*21)*(12/44)</f>
        <v>1.0996363636363636E-3</v>
      </c>
      <c r="L21" s="1240" t="s">
        <v>951</v>
      </c>
      <c r="M21" s="1244">
        <f>K21/(12/44)</f>
        <v>4.032E-3</v>
      </c>
    </row>
    <row r="22" spans="2:24">
      <c r="B22" s="1247" t="s">
        <v>553</v>
      </c>
      <c r="C22" s="314">
        <v>13</v>
      </c>
      <c r="D22" s="1240" t="s">
        <v>950</v>
      </c>
      <c r="E22" s="311">
        <v>5</v>
      </c>
      <c r="F22" s="1240" t="s">
        <v>951</v>
      </c>
      <c r="G22" s="312">
        <f>C22*E22*1000</f>
        <v>65000</v>
      </c>
      <c r="H22" s="1240" t="s">
        <v>951</v>
      </c>
      <c r="I22" s="1243">
        <f>G22/1000*10^-6</f>
        <v>6.4999999999999994E-5</v>
      </c>
      <c r="J22" s="1240" t="s">
        <v>951</v>
      </c>
      <c r="K22" s="313">
        <f>(I22*21)*(12/44)</f>
        <v>3.7227272727272722E-4</v>
      </c>
      <c r="L22" s="1240" t="s">
        <v>951</v>
      </c>
      <c r="M22" s="1244">
        <f>K22/(12/44)</f>
        <v>1.3649999999999999E-3</v>
      </c>
    </row>
    <row r="23" spans="2:24">
      <c r="B23" s="1247" t="s">
        <v>554</v>
      </c>
      <c r="C23" s="314">
        <v>21</v>
      </c>
      <c r="D23" s="1240" t="s">
        <v>950</v>
      </c>
      <c r="E23" s="311">
        <v>1.5</v>
      </c>
      <c r="F23" s="1240" t="s">
        <v>951</v>
      </c>
      <c r="G23" s="312">
        <f>C23*E23*1000</f>
        <v>31500</v>
      </c>
      <c r="H23" s="1240" t="s">
        <v>951</v>
      </c>
      <c r="I23" s="1243">
        <f>G23/1000*10^-6</f>
        <v>3.15E-5</v>
      </c>
      <c r="J23" s="1240" t="s">
        <v>951</v>
      </c>
      <c r="K23" s="313">
        <f>(I23*21)*(12/44)</f>
        <v>1.8040909090909088E-4</v>
      </c>
      <c r="L23" s="1240" t="s">
        <v>951</v>
      </c>
      <c r="M23" s="1244">
        <f>K23/(12/44)</f>
        <v>6.6149999999999998E-4</v>
      </c>
    </row>
    <row r="24" spans="2:24">
      <c r="B24" s="1247" t="s">
        <v>555</v>
      </c>
      <c r="C24" s="804">
        <v>80</v>
      </c>
      <c r="D24" s="1240" t="s">
        <v>950</v>
      </c>
      <c r="E24" s="311">
        <v>18</v>
      </c>
      <c r="F24" s="1240" t="s">
        <v>951</v>
      </c>
      <c r="G24" s="312">
        <f>C24*E24*1000</f>
        <v>1440000</v>
      </c>
      <c r="H24" s="1240" t="s">
        <v>951</v>
      </c>
      <c r="I24" s="1243">
        <f>G24/1000*10^-6</f>
        <v>1.4399999999999999E-3</v>
      </c>
      <c r="J24" s="1240" t="s">
        <v>951</v>
      </c>
      <c r="K24" s="313">
        <f>(I24*21)*(12/44)</f>
        <v>8.2472727272727264E-3</v>
      </c>
      <c r="L24" s="1240" t="s">
        <v>951</v>
      </c>
      <c r="M24" s="1244">
        <f>K24/(12/44)</f>
        <v>3.024E-2</v>
      </c>
    </row>
    <row r="25" spans="2:24" ht="12" thickBot="1">
      <c r="B25" s="1250" t="s">
        <v>184</v>
      </c>
      <c r="C25" s="1251"/>
      <c r="D25" s="1252"/>
      <c r="E25" s="1252"/>
      <c r="F25" s="1252"/>
      <c r="G25" s="1253">
        <f>SUM(G6:G24)</f>
        <v>16093979.470105177</v>
      </c>
      <c r="H25" s="1254"/>
      <c r="I25" s="1255">
        <f>SUM(I6:I24)</f>
        <v>1.6093979470105178E-2</v>
      </c>
      <c r="J25" s="1254"/>
      <c r="K25" s="1198">
        <f>SUM(K6:K24)</f>
        <v>9.2174609692420542E-2</v>
      </c>
      <c r="L25" s="1256"/>
      <c r="M25" s="1257">
        <f>SUM(M6:M24)</f>
        <v>0.33797356887220864</v>
      </c>
    </row>
    <row r="26" spans="2:24">
      <c r="B26" s="1231"/>
      <c r="C26" s="79"/>
      <c r="D26" s="1230"/>
      <c r="E26" s="1230"/>
      <c r="F26" s="1230"/>
      <c r="G26" s="356"/>
      <c r="H26" s="42"/>
      <c r="I26" s="1232"/>
      <c r="J26" s="42"/>
      <c r="K26" s="1233"/>
      <c r="L26" s="6"/>
      <c r="M26" s="1233"/>
    </row>
    <row r="27" spans="2:24">
      <c r="B27" s="1231"/>
      <c r="C27" s="79"/>
      <c r="D27" s="1230"/>
      <c r="E27" s="1230"/>
      <c r="F27" s="1230"/>
      <c r="G27" s="356"/>
      <c r="H27" s="42"/>
      <c r="I27" s="1232"/>
      <c r="J27" s="42"/>
      <c r="K27" s="1233"/>
      <c r="L27" s="6"/>
      <c r="M27" s="1233"/>
    </row>
    <row r="28" spans="2:24" ht="12" thickBot="1">
      <c r="B28" s="318"/>
      <c r="C28" s="319"/>
      <c r="D28" s="320"/>
      <c r="E28" s="320"/>
      <c r="F28" s="320"/>
      <c r="G28" s="321"/>
      <c r="H28" s="322"/>
      <c r="I28" s="323"/>
      <c r="J28" s="322"/>
      <c r="K28" s="324"/>
      <c r="L28" s="8"/>
      <c r="M28" s="324"/>
      <c r="N28" s="8"/>
      <c r="O28" s="8"/>
      <c r="P28" s="8"/>
      <c r="Q28" s="8"/>
      <c r="R28" s="8"/>
      <c r="S28" s="8"/>
      <c r="T28" s="8"/>
      <c r="U28" s="8"/>
      <c r="V28" s="8"/>
      <c r="W28" s="8"/>
    </row>
    <row r="29" spans="2:24" ht="19.5">
      <c r="B29" s="1234" t="s">
        <v>561</v>
      </c>
      <c r="C29" s="1261"/>
      <c r="D29" s="1262"/>
      <c r="E29" s="1262"/>
      <c r="F29" s="1262"/>
      <c r="G29" s="1263"/>
      <c r="H29" s="1264"/>
      <c r="I29" s="1265"/>
      <c r="J29" s="1264"/>
      <c r="K29" s="1266"/>
      <c r="L29" s="1235"/>
      <c r="M29" s="1266"/>
      <c r="N29" s="1235"/>
      <c r="O29" s="1235"/>
      <c r="P29" s="1235"/>
      <c r="Q29" s="1235"/>
      <c r="R29" s="1235"/>
      <c r="S29" s="1235"/>
      <c r="T29" s="1235"/>
      <c r="U29" s="1235"/>
      <c r="V29" s="1235"/>
      <c r="W29" s="1236"/>
      <c r="X29" s="15"/>
    </row>
    <row r="30" spans="2:24" ht="46.5" thickBot="1">
      <c r="B30" s="1311"/>
      <c r="C30" s="1312" t="s">
        <v>563</v>
      </c>
      <c r="D30" s="1313"/>
      <c r="E30" s="1312" t="s">
        <v>564</v>
      </c>
      <c r="F30" s="1312"/>
      <c r="G30" s="1314" t="s">
        <v>565</v>
      </c>
      <c r="H30" s="1314"/>
      <c r="I30" s="1312" t="s">
        <v>566</v>
      </c>
      <c r="J30" s="1315"/>
      <c r="K30" s="1312" t="s">
        <v>567</v>
      </c>
      <c r="L30" s="1312"/>
      <c r="M30" s="1312" t="s">
        <v>568</v>
      </c>
      <c r="N30" s="1312"/>
      <c r="O30" s="1316" t="s">
        <v>569</v>
      </c>
      <c r="P30" s="1316"/>
      <c r="Q30" s="1316" t="s">
        <v>570</v>
      </c>
      <c r="R30" s="1312"/>
      <c r="S30" s="1316" t="s">
        <v>571</v>
      </c>
      <c r="T30" s="1312"/>
      <c r="U30" s="1316" t="s">
        <v>572</v>
      </c>
      <c r="V30" s="1312"/>
      <c r="W30" s="1317" t="s">
        <v>573</v>
      </c>
    </row>
    <row r="31" spans="2:24" ht="15">
      <c r="B31" s="1301" t="s">
        <v>513</v>
      </c>
      <c r="C31" s="1302"/>
      <c r="D31" s="1303"/>
      <c r="E31" s="1304"/>
      <c r="F31" s="1303"/>
      <c r="G31" s="1303"/>
      <c r="H31" s="1303"/>
      <c r="I31" s="1302"/>
      <c r="J31" s="1302"/>
      <c r="K31" s="1302"/>
      <c r="L31" s="1302"/>
      <c r="M31" s="1305"/>
      <c r="N31" s="1302"/>
      <c r="O31" s="1306"/>
      <c r="P31" s="1307"/>
      <c r="Q31" s="1308"/>
      <c r="R31" s="1302"/>
      <c r="S31" s="1309"/>
      <c r="T31" s="1302"/>
      <c r="U31" s="1309"/>
      <c r="V31" s="1302"/>
      <c r="W31" s="1310"/>
    </row>
    <row r="32" spans="2:24">
      <c r="B32" s="1270" t="s">
        <v>514</v>
      </c>
      <c r="C32" s="805">
        <v>50</v>
      </c>
      <c r="D32" s="334" t="s">
        <v>950</v>
      </c>
      <c r="E32" s="325">
        <v>680</v>
      </c>
      <c r="F32" s="334" t="s">
        <v>950</v>
      </c>
      <c r="G32" s="326">
        <v>9.9102243378572403</v>
      </c>
      <c r="H32" s="334" t="s">
        <v>951</v>
      </c>
      <c r="I32" s="327">
        <f>C32*E32*G32*365</f>
        <v>122985884.03280835</v>
      </c>
      <c r="J32" s="334" t="s">
        <v>950</v>
      </c>
      <c r="K32" s="333">
        <v>0.24</v>
      </c>
      <c r="L32" s="1271" t="s">
        <v>950</v>
      </c>
      <c r="M32" s="328">
        <v>0.11818290022824871</v>
      </c>
      <c r="N32" s="1271" t="s">
        <v>951</v>
      </c>
      <c r="O32" s="329">
        <f>(I32*K32)*M32</f>
        <v>3488358.8309117649</v>
      </c>
      <c r="P32" s="334" t="s">
        <v>951</v>
      </c>
      <c r="Q32" s="330">
        <f>O32*0.000662</f>
        <v>2309.2935460635886</v>
      </c>
      <c r="R32" s="334" t="s">
        <v>951</v>
      </c>
      <c r="S32" s="331">
        <f>Q32/1000000</f>
        <v>2.3092935460635885E-3</v>
      </c>
      <c r="T32" s="334" t="s">
        <v>951</v>
      </c>
      <c r="U32" s="332">
        <f>(S32*21)*12/44</f>
        <v>1.3225953945636915E-2</v>
      </c>
      <c r="V32" s="334" t="s">
        <v>951</v>
      </c>
      <c r="W32" s="1272">
        <f>U32/(12/44)</f>
        <v>4.8495164467335358E-2</v>
      </c>
    </row>
    <row r="33" spans="2:23">
      <c r="B33" s="1273" t="s">
        <v>515</v>
      </c>
      <c r="C33" s="805">
        <v>25</v>
      </c>
      <c r="D33" s="334" t="s">
        <v>950</v>
      </c>
      <c r="E33" s="325">
        <v>476</v>
      </c>
      <c r="F33" s="334" t="s">
        <v>950</v>
      </c>
      <c r="G33" s="326">
        <v>8.4234562108475171</v>
      </c>
      <c r="H33" s="334" t="s">
        <v>951</v>
      </c>
      <c r="I33" s="327">
        <f>C33*E33*G33*365</f>
        <v>36587282.051816188</v>
      </c>
      <c r="J33" s="334" t="s">
        <v>950</v>
      </c>
      <c r="K33" s="333">
        <v>0.17</v>
      </c>
      <c r="L33" s="1271" t="s">
        <v>950</v>
      </c>
      <c r="M33" s="328">
        <v>1.2467660091668786E-2</v>
      </c>
      <c r="N33" s="1271" t="s">
        <v>951</v>
      </c>
      <c r="O33" s="329">
        <f>(I33*K33)*M33</f>
        <v>77546.825371009923</v>
      </c>
      <c r="P33" s="334" t="s">
        <v>951</v>
      </c>
      <c r="Q33" s="330">
        <f>O33*0.000662</f>
        <v>51.33599839560857</v>
      </c>
      <c r="R33" s="334" t="s">
        <v>951</v>
      </c>
      <c r="S33" s="331">
        <f>Q33/1000000</f>
        <v>5.1335998395608567E-5</v>
      </c>
      <c r="T33" s="334" t="s">
        <v>951</v>
      </c>
      <c r="U33" s="332">
        <f>(S33*21)*12/44</f>
        <v>2.9401526353848542E-4</v>
      </c>
      <c r="V33" s="334" t="s">
        <v>951</v>
      </c>
      <c r="W33" s="1272">
        <f>U33/(12/44)</f>
        <v>1.07805596630778E-3</v>
      </c>
    </row>
    <row r="34" spans="2:23">
      <c r="B34" s="1274" t="s">
        <v>543</v>
      </c>
      <c r="C34" s="1275"/>
      <c r="D34" s="334"/>
      <c r="E34" s="325"/>
      <c r="F34" s="334"/>
      <c r="G34" s="326"/>
      <c r="H34" s="334"/>
      <c r="I34" s="327"/>
      <c r="J34" s="334"/>
      <c r="K34" s="333"/>
      <c r="L34" s="334"/>
      <c r="M34" s="334"/>
      <c r="N34" s="334"/>
      <c r="O34" s="327"/>
      <c r="P34" s="334"/>
      <c r="Q34" s="330"/>
      <c r="R34" s="334"/>
      <c r="S34" s="331"/>
      <c r="T34" s="334"/>
      <c r="U34" s="332"/>
      <c r="V34" s="334"/>
      <c r="W34" s="1272"/>
    </row>
    <row r="35" spans="2:23">
      <c r="B35" s="1273" t="s">
        <v>549</v>
      </c>
      <c r="C35" s="1095">
        <v>3.9119999999999999</v>
      </c>
      <c r="D35" s="334" t="s">
        <v>950</v>
      </c>
      <c r="E35" s="325">
        <v>420</v>
      </c>
      <c r="F35" s="334" t="s">
        <v>950</v>
      </c>
      <c r="G35" s="326">
        <v>4.4494891690016054</v>
      </c>
      <c r="H35" s="334" t="s">
        <v>951</v>
      </c>
      <c r="I35" s="327">
        <f t="shared" ref="I35:I42" si="4">C35*E35*G35*365</f>
        <v>2668401.369746285</v>
      </c>
      <c r="J35" s="334" t="s">
        <v>950</v>
      </c>
      <c r="K35" s="333">
        <v>0.33</v>
      </c>
      <c r="L35" s="334" t="s">
        <v>950</v>
      </c>
      <c r="M35" s="328">
        <v>1.3123459123854105E-2</v>
      </c>
      <c r="N35" s="334" t="s">
        <v>951</v>
      </c>
      <c r="O35" s="327">
        <f t="shared" ref="O35:O42" si="5">(I35*K35)*M35</f>
        <v>11556.156579627554</v>
      </c>
      <c r="P35" s="334" t="s">
        <v>951</v>
      </c>
      <c r="Q35" s="330">
        <f t="shared" ref="Q35:Q42" si="6">O35*0.000662</f>
        <v>7.6501756557134408</v>
      </c>
      <c r="R35" s="1276" t="s">
        <v>951</v>
      </c>
      <c r="S35" s="331">
        <f t="shared" ref="S35:S42" si="7">Q35/1000000</f>
        <v>7.650175655713441E-6</v>
      </c>
      <c r="T35" s="1276" t="s">
        <v>951</v>
      </c>
      <c r="U35" s="332">
        <f t="shared" ref="U35:U42" si="8">(S35*21)*12/44</f>
        <v>4.3814642391813345E-5</v>
      </c>
      <c r="V35" s="1276" t="s">
        <v>951</v>
      </c>
      <c r="W35" s="1272">
        <f t="shared" ref="W35:W42" si="9">U35/(12/44)</f>
        <v>1.6065368876998229E-4</v>
      </c>
    </row>
    <row r="36" spans="2:23">
      <c r="B36" s="1273" t="s">
        <v>550</v>
      </c>
      <c r="C36" s="1095">
        <v>7.3949999999999996</v>
      </c>
      <c r="D36" s="334" t="s">
        <v>950</v>
      </c>
      <c r="E36" s="325">
        <v>420</v>
      </c>
      <c r="F36" s="334" t="s">
        <v>950</v>
      </c>
      <c r="G36" s="326">
        <v>4.0511716824525843</v>
      </c>
      <c r="H36" s="334" t="s">
        <v>951</v>
      </c>
      <c r="I36" s="327">
        <f t="shared" si="4"/>
        <v>4592624.9569132598</v>
      </c>
      <c r="J36" s="334" t="s">
        <v>950</v>
      </c>
      <c r="K36" s="333">
        <v>0.33</v>
      </c>
      <c r="L36" s="334" t="s">
        <v>950</v>
      </c>
      <c r="M36" s="328">
        <v>1.2974017738876182E-2</v>
      </c>
      <c r="N36" s="334" t="s">
        <v>951</v>
      </c>
      <c r="O36" s="327">
        <f t="shared" si="5"/>
        <v>19662.983227469373</v>
      </c>
      <c r="P36" s="334" t="s">
        <v>951</v>
      </c>
      <c r="Q36" s="330">
        <f t="shared" si="6"/>
        <v>13.016894896584725</v>
      </c>
      <c r="R36" s="1276" t="s">
        <v>951</v>
      </c>
      <c r="S36" s="331">
        <f t="shared" si="7"/>
        <v>1.3016894896584725E-5</v>
      </c>
      <c r="T36" s="1276" t="s">
        <v>951</v>
      </c>
      <c r="U36" s="332">
        <f t="shared" si="8"/>
        <v>7.4551307134985249E-5</v>
      </c>
      <c r="V36" s="1276" t="s">
        <v>951</v>
      </c>
      <c r="W36" s="1272">
        <f t="shared" si="9"/>
        <v>2.7335479282827928E-4</v>
      </c>
    </row>
    <row r="37" spans="2:23">
      <c r="B37" s="1273" t="s">
        <v>551</v>
      </c>
      <c r="C37" s="805">
        <v>4</v>
      </c>
      <c r="D37" s="334" t="s">
        <v>950</v>
      </c>
      <c r="E37" s="325">
        <v>750</v>
      </c>
      <c r="F37" s="334" t="s">
        <v>950</v>
      </c>
      <c r="G37" s="326">
        <v>6.04</v>
      </c>
      <c r="H37" s="334" t="s">
        <v>951</v>
      </c>
      <c r="I37" s="327">
        <f t="shared" si="4"/>
        <v>6613800</v>
      </c>
      <c r="J37" s="334" t="s">
        <v>950</v>
      </c>
      <c r="K37" s="333">
        <v>0.17</v>
      </c>
      <c r="L37" s="334" t="s">
        <v>950</v>
      </c>
      <c r="M37" s="328">
        <v>1.0999999999999999E-2</v>
      </c>
      <c r="N37" s="334" t="s">
        <v>951</v>
      </c>
      <c r="O37" s="327">
        <f t="shared" si="5"/>
        <v>12367.805999999999</v>
      </c>
      <c r="P37" s="334" t="s">
        <v>951</v>
      </c>
      <c r="Q37" s="330">
        <f t="shared" si="6"/>
        <v>8.1874875720000002</v>
      </c>
      <c r="R37" s="1276" t="s">
        <v>951</v>
      </c>
      <c r="S37" s="331">
        <f t="shared" si="7"/>
        <v>8.187487572000001E-6</v>
      </c>
      <c r="T37" s="1276" t="s">
        <v>951</v>
      </c>
      <c r="U37" s="332">
        <f t="shared" si="8"/>
        <v>4.6891974276000007E-5</v>
      </c>
      <c r="V37" s="1276" t="s">
        <v>951</v>
      </c>
      <c r="W37" s="1272">
        <f t="shared" si="9"/>
        <v>1.7193723901200004E-4</v>
      </c>
    </row>
    <row r="38" spans="2:23">
      <c r="B38" s="1273" t="s">
        <v>574</v>
      </c>
      <c r="C38" s="805">
        <v>33</v>
      </c>
      <c r="D38" s="334" t="s">
        <v>950</v>
      </c>
      <c r="E38" s="325">
        <v>118</v>
      </c>
      <c r="F38" s="334" t="s">
        <v>950</v>
      </c>
      <c r="G38" s="326">
        <v>6.41</v>
      </c>
      <c r="H38" s="334" t="s">
        <v>951</v>
      </c>
      <c r="I38" s="327">
        <f t="shared" si="4"/>
        <v>9110597.0999999996</v>
      </c>
      <c r="J38" s="334" t="s">
        <v>950</v>
      </c>
      <c r="K38" s="333">
        <v>0.17</v>
      </c>
      <c r="L38" s="334" t="s">
        <v>950</v>
      </c>
      <c r="M38" s="328">
        <v>1.0999999999999999E-2</v>
      </c>
      <c r="N38" s="334" t="s">
        <v>951</v>
      </c>
      <c r="O38" s="327">
        <f t="shared" si="5"/>
        <v>17036.816576999998</v>
      </c>
      <c r="P38" s="334" t="s">
        <v>951</v>
      </c>
      <c r="Q38" s="330">
        <f t="shared" si="6"/>
        <v>11.278372573974</v>
      </c>
      <c r="R38" s="1276" t="s">
        <v>951</v>
      </c>
      <c r="S38" s="331">
        <f t="shared" si="7"/>
        <v>1.1278372573974E-5</v>
      </c>
      <c r="T38" s="1276" t="s">
        <v>951</v>
      </c>
      <c r="U38" s="332">
        <f t="shared" si="8"/>
        <v>6.4594315650941988E-5</v>
      </c>
      <c r="V38" s="1276" t="s">
        <v>951</v>
      </c>
      <c r="W38" s="1272">
        <f t="shared" si="9"/>
        <v>2.3684582405345396E-4</v>
      </c>
    </row>
    <row r="39" spans="2:23">
      <c r="B39" s="1273" t="s">
        <v>544</v>
      </c>
      <c r="C39" s="805">
        <v>38</v>
      </c>
      <c r="D39" s="334" t="s">
        <v>950</v>
      </c>
      <c r="E39" s="325">
        <v>533</v>
      </c>
      <c r="F39" s="334" t="s">
        <v>950</v>
      </c>
      <c r="G39" s="326">
        <v>7.4944796348701379</v>
      </c>
      <c r="H39" s="334" t="s">
        <v>951</v>
      </c>
      <c r="I39" s="327">
        <f t="shared" si="4"/>
        <v>55404514.541500814</v>
      </c>
      <c r="J39" s="334" t="s">
        <v>950</v>
      </c>
      <c r="K39" s="333">
        <v>0.17</v>
      </c>
      <c r="L39" s="334" t="s">
        <v>950</v>
      </c>
      <c r="M39" s="328">
        <v>1.0999999999999999E-2</v>
      </c>
      <c r="N39" s="334" t="s">
        <v>951</v>
      </c>
      <c r="O39" s="327">
        <f t="shared" si="5"/>
        <v>103606.44219260653</v>
      </c>
      <c r="P39" s="334" t="s">
        <v>951</v>
      </c>
      <c r="Q39" s="330">
        <f t="shared" si="6"/>
        <v>68.58746473150552</v>
      </c>
      <c r="R39" s="1276" t="s">
        <v>951</v>
      </c>
      <c r="S39" s="331">
        <f t="shared" si="7"/>
        <v>6.8587464731505515E-5</v>
      </c>
      <c r="T39" s="1276" t="s">
        <v>951</v>
      </c>
      <c r="U39" s="332">
        <f t="shared" si="8"/>
        <v>3.9281911618953161E-4</v>
      </c>
      <c r="V39" s="1276" t="s">
        <v>951</v>
      </c>
      <c r="W39" s="1272">
        <f t="shared" si="9"/>
        <v>1.4403367593616161E-3</v>
      </c>
    </row>
    <row r="40" spans="2:23">
      <c r="B40" s="1273" t="s">
        <v>546</v>
      </c>
      <c r="C40" s="805">
        <v>10</v>
      </c>
      <c r="D40" s="334" t="s">
        <v>950</v>
      </c>
      <c r="E40" s="325">
        <v>420</v>
      </c>
      <c r="F40" s="334" t="s">
        <v>950</v>
      </c>
      <c r="G40" s="326">
        <v>7.5904766546383824</v>
      </c>
      <c r="H40" s="334" t="s">
        <v>951</v>
      </c>
      <c r="I40" s="327">
        <f t="shared" si="4"/>
        <v>11636200.71156064</v>
      </c>
      <c r="J40" s="334" t="s">
        <v>950</v>
      </c>
      <c r="K40" s="333">
        <v>0.17</v>
      </c>
      <c r="L40" s="334" t="s">
        <v>950</v>
      </c>
      <c r="M40" s="328">
        <v>1.0999999999999999E-2</v>
      </c>
      <c r="N40" s="334" t="s">
        <v>951</v>
      </c>
      <c r="O40" s="327">
        <f t="shared" si="5"/>
        <v>21759.695330618397</v>
      </c>
      <c r="P40" s="334" t="s">
        <v>951</v>
      </c>
      <c r="Q40" s="330">
        <f t="shared" si="6"/>
        <v>14.40491830886938</v>
      </c>
      <c r="R40" s="1276" t="s">
        <v>951</v>
      </c>
      <c r="S40" s="331">
        <f t="shared" si="7"/>
        <v>1.4404918308869381E-5</v>
      </c>
      <c r="T40" s="1276" t="s">
        <v>951</v>
      </c>
      <c r="U40" s="332">
        <f t="shared" si="8"/>
        <v>8.2500895768979188E-5</v>
      </c>
      <c r="V40" s="1276" t="s">
        <v>951</v>
      </c>
      <c r="W40" s="1272">
        <f t="shared" si="9"/>
        <v>3.0250328448625706E-4</v>
      </c>
    </row>
    <row r="41" spans="2:23">
      <c r="B41" s="1273" t="s">
        <v>548</v>
      </c>
      <c r="C41" s="805">
        <v>15</v>
      </c>
      <c r="D41" s="334" t="s">
        <v>950</v>
      </c>
      <c r="E41" s="325">
        <v>318</v>
      </c>
      <c r="F41" s="334" t="s">
        <v>950</v>
      </c>
      <c r="G41" s="326">
        <v>8.057750625264946</v>
      </c>
      <c r="H41" s="334" t="s">
        <v>951</v>
      </c>
      <c r="I41" s="327">
        <f t="shared" si="4"/>
        <v>14028946.726117536</v>
      </c>
      <c r="J41" s="334" t="s">
        <v>950</v>
      </c>
      <c r="K41" s="333">
        <v>0.17</v>
      </c>
      <c r="L41" s="334" t="s">
        <v>950</v>
      </c>
      <c r="M41" s="328">
        <v>1.0999999999999999E-2</v>
      </c>
      <c r="N41" s="334" t="s">
        <v>951</v>
      </c>
      <c r="O41" s="327">
        <f t="shared" si="5"/>
        <v>26234.130377839796</v>
      </c>
      <c r="P41" s="1277" t="s">
        <v>951</v>
      </c>
      <c r="Q41" s="330">
        <f t="shared" si="6"/>
        <v>17.366994310129947</v>
      </c>
      <c r="R41" s="1276" t="s">
        <v>951</v>
      </c>
      <c r="S41" s="331">
        <f t="shared" si="7"/>
        <v>1.7366994310129948E-5</v>
      </c>
      <c r="T41" s="1276" t="s">
        <v>951</v>
      </c>
      <c r="U41" s="332">
        <f t="shared" si="8"/>
        <v>9.9465512867107897E-5</v>
      </c>
      <c r="V41" s="1276" t="s">
        <v>951</v>
      </c>
      <c r="W41" s="1272">
        <f t="shared" si="9"/>
        <v>3.6470688051272899E-4</v>
      </c>
    </row>
    <row r="42" spans="2:23">
      <c r="B42" s="1273" t="s">
        <v>547</v>
      </c>
      <c r="C42" s="805">
        <v>8</v>
      </c>
      <c r="D42" s="334" t="s">
        <v>950</v>
      </c>
      <c r="E42" s="325">
        <v>420</v>
      </c>
      <c r="F42" s="334" t="s">
        <v>950</v>
      </c>
      <c r="G42" s="326">
        <v>8.4906077943936555</v>
      </c>
      <c r="H42" s="334" t="s">
        <v>951</v>
      </c>
      <c r="I42" s="327">
        <f t="shared" si="4"/>
        <v>10412881.39904438</v>
      </c>
      <c r="J42" s="334" t="s">
        <v>950</v>
      </c>
      <c r="K42" s="333">
        <v>0.17</v>
      </c>
      <c r="L42" s="334" t="s">
        <v>950</v>
      </c>
      <c r="M42" s="328">
        <v>1.0999999999999999E-2</v>
      </c>
      <c r="N42" s="334" t="s">
        <v>951</v>
      </c>
      <c r="O42" s="327">
        <f t="shared" si="5"/>
        <v>19472.088216212989</v>
      </c>
      <c r="P42" s="334" t="s">
        <v>951</v>
      </c>
      <c r="Q42" s="330">
        <f t="shared" si="6"/>
        <v>12.890522399132999</v>
      </c>
      <c r="R42" s="1276" t="s">
        <v>951</v>
      </c>
      <c r="S42" s="331">
        <f t="shared" si="7"/>
        <v>1.2890522399132999E-5</v>
      </c>
      <c r="T42" s="1276" t="s">
        <v>951</v>
      </c>
      <c r="U42" s="332">
        <f t="shared" si="8"/>
        <v>7.3827537376852621E-5</v>
      </c>
      <c r="V42" s="1276" t="s">
        <v>951</v>
      </c>
      <c r="W42" s="1272">
        <f t="shared" si="9"/>
        <v>2.7070097038179295E-4</v>
      </c>
    </row>
    <row r="43" spans="2:23">
      <c r="B43" s="1274" t="s">
        <v>554</v>
      </c>
      <c r="C43" s="1275"/>
      <c r="D43" s="1278"/>
      <c r="E43" s="325"/>
      <c r="F43" s="1278"/>
      <c r="G43" s="326"/>
      <c r="H43" s="1278"/>
      <c r="I43" s="327"/>
      <c r="J43" s="1278"/>
      <c r="K43" s="333"/>
      <c r="L43" s="1278"/>
      <c r="M43" s="334"/>
      <c r="N43" s="1278"/>
      <c r="O43" s="327"/>
      <c r="P43" s="1278"/>
      <c r="Q43" s="330"/>
      <c r="R43" s="1279"/>
      <c r="S43" s="331"/>
      <c r="T43" s="1279"/>
      <c r="U43" s="332"/>
      <c r="V43" s="1279"/>
      <c r="W43" s="1272"/>
    </row>
    <row r="44" spans="2:23">
      <c r="B44" s="1273" t="s">
        <v>575</v>
      </c>
      <c r="C44" s="805">
        <v>3</v>
      </c>
      <c r="D44" s="334" t="s">
        <v>950</v>
      </c>
      <c r="E44" s="325">
        <v>198</v>
      </c>
      <c r="F44" s="334" t="s">
        <v>950</v>
      </c>
      <c r="G44" s="326">
        <v>2.6</v>
      </c>
      <c r="H44" s="334" t="s">
        <v>951</v>
      </c>
      <c r="I44" s="327">
        <f>C44*E44*G44*365</f>
        <v>563706</v>
      </c>
      <c r="J44" s="334" t="s">
        <v>950</v>
      </c>
      <c r="K44" s="333">
        <v>0.48</v>
      </c>
      <c r="L44" s="334" t="s">
        <v>950</v>
      </c>
      <c r="M44" s="328">
        <v>0.30060131865467832</v>
      </c>
      <c r="N44" s="334" t="s">
        <v>951</v>
      </c>
      <c r="O44" s="327">
        <f>(I44*K44)*M44</f>
        <v>81336.368128105969</v>
      </c>
      <c r="P44" s="334" t="s">
        <v>951</v>
      </c>
      <c r="Q44" s="330">
        <f>O44*0.000662</f>
        <v>53.844675700806157</v>
      </c>
      <c r="R44" s="334" t="s">
        <v>951</v>
      </c>
      <c r="S44" s="331">
        <f>Q44/1000000</f>
        <v>5.3844675700806154E-5</v>
      </c>
      <c r="T44" s="334" t="s">
        <v>951</v>
      </c>
      <c r="U44" s="332">
        <f>(S44*21)*12/44</f>
        <v>3.0838314265007162E-4</v>
      </c>
      <c r="V44" s="334" t="s">
        <v>951</v>
      </c>
      <c r="W44" s="1272">
        <f>U44/(12/44)</f>
        <v>1.1307381897169293E-3</v>
      </c>
    </row>
    <row r="45" spans="2:23">
      <c r="B45" s="1273" t="s">
        <v>576</v>
      </c>
      <c r="C45" s="805">
        <v>7</v>
      </c>
      <c r="D45" s="334" t="s">
        <v>950</v>
      </c>
      <c r="E45" s="325">
        <v>15.88</v>
      </c>
      <c r="F45" s="334" t="s">
        <v>950</v>
      </c>
      <c r="G45" s="326">
        <v>8.8000000000000007</v>
      </c>
      <c r="H45" s="334" t="s">
        <v>951</v>
      </c>
      <c r="I45" s="327">
        <f>C45*E45*G45*365</f>
        <v>357045.9200000001</v>
      </c>
      <c r="J45" s="334" t="s">
        <v>950</v>
      </c>
      <c r="K45" s="333">
        <v>0.48</v>
      </c>
      <c r="L45" s="334" t="s">
        <v>950</v>
      </c>
      <c r="M45" s="328">
        <v>0.30016800271641908</v>
      </c>
      <c r="N45" s="334" t="s">
        <v>951</v>
      </c>
      <c r="O45" s="327">
        <f>(I45*K45)*M45</f>
        <v>51443.405128534265</v>
      </c>
      <c r="P45" s="334" t="s">
        <v>951</v>
      </c>
      <c r="Q45" s="330">
        <f>O45*0.000662</f>
        <v>34.055534195089685</v>
      </c>
      <c r="R45" s="334" t="s">
        <v>951</v>
      </c>
      <c r="S45" s="331">
        <f>Q45/1000000</f>
        <v>3.4055534195089685E-5</v>
      </c>
      <c r="T45" s="334" t="s">
        <v>951</v>
      </c>
      <c r="U45" s="332">
        <f>(S45*21)*12/44</f>
        <v>1.9504533220824095E-4</v>
      </c>
      <c r="V45" s="334" t="s">
        <v>951</v>
      </c>
      <c r="W45" s="1272">
        <f>U45/(12/44)</f>
        <v>7.1516621809688359E-4</v>
      </c>
    </row>
    <row r="46" spans="2:23">
      <c r="B46" s="1273" t="s">
        <v>577</v>
      </c>
      <c r="C46" s="1095">
        <v>4</v>
      </c>
      <c r="D46" s="334" t="s">
        <v>950</v>
      </c>
      <c r="E46" s="325">
        <v>40.6</v>
      </c>
      <c r="F46" s="334" t="s">
        <v>950</v>
      </c>
      <c r="G46" s="326">
        <v>5.4</v>
      </c>
      <c r="H46" s="334" t="s">
        <v>951</v>
      </c>
      <c r="I46" s="327">
        <f>C46*E46*G46*365</f>
        <v>320090.40000000002</v>
      </c>
      <c r="J46" s="334" t="s">
        <v>950</v>
      </c>
      <c r="K46" s="333">
        <v>0.48</v>
      </c>
      <c r="L46" s="334" t="s">
        <v>950</v>
      </c>
      <c r="M46" s="328">
        <v>0.30016800271641908</v>
      </c>
      <c r="N46" s="334" t="s">
        <v>951</v>
      </c>
      <c r="O46" s="327">
        <f>(I46*K46)*M46</f>
        <v>46118.830107215843</v>
      </c>
      <c r="P46" s="334" t="s">
        <v>951</v>
      </c>
      <c r="Q46" s="330">
        <f>O46*0.000662</f>
        <v>30.53066553097689</v>
      </c>
      <c r="R46" s="334" t="s">
        <v>951</v>
      </c>
      <c r="S46" s="331">
        <f>Q46/1000000</f>
        <v>3.0530665530976887E-5</v>
      </c>
      <c r="T46" s="334" t="s">
        <v>951</v>
      </c>
      <c r="U46" s="332">
        <f>(S46*21)*12/44</f>
        <v>1.7485744804104943E-4</v>
      </c>
      <c r="V46" s="334" t="s">
        <v>951</v>
      </c>
      <c r="W46" s="1272">
        <f>U46/(12/44)</f>
        <v>6.4114397615051464E-4</v>
      </c>
    </row>
    <row r="47" spans="2:23">
      <c r="B47" s="1273" t="s">
        <v>578</v>
      </c>
      <c r="C47" s="805">
        <v>3</v>
      </c>
      <c r="D47" s="334" t="s">
        <v>950</v>
      </c>
      <c r="E47" s="325">
        <v>67.819999999999993</v>
      </c>
      <c r="F47" s="334" t="s">
        <v>950</v>
      </c>
      <c r="G47" s="326">
        <v>5.4</v>
      </c>
      <c r="H47" s="334" t="s">
        <v>951</v>
      </c>
      <c r="I47" s="327">
        <f>C47*E47*G47*365</f>
        <v>401019.66</v>
      </c>
      <c r="J47" s="334" t="s">
        <v>950</v>
      </c>
      <c r="K47" s="333">
        <v>0.48</v>
      </c>
      <c r="L47" s="334" t="s">
        <v>950</v>
      </c>
      <c r="M47" s="328">
        <v>0.30016800271641908</v>
      </c>
      <c r="N47" s="334" t="s">
        <v>951</v>
      </c>
      <c r="O47" s="327">
        <f>(I47*K47)*M47</f>
        <v>57779.169788264371</v>
      </c>
      <c r="P47" s="334" t="s">
        <v>951</v>
      </c>
      <c r="Q47" s="330">
        <f>O47*0.000662</f>
        <v>38.249810399831013</v>
      </c>
      <c r="R47" s="334" t="s">
        <v>951</v>
      </c>
      <c r="S47" s="331">
        <f>Q47/1000000</f>
        <v>3.8249810399831015E-5</v>
      </c>
      <c r="T47" s="334" t="s">
        <v>951</v>
      </c>
      <c r="U47" s="332">
        <f>(S47*21)*12/44</f>
        <v>2.1906709592630489E-4</v>
      </c>
      <c r="V47" s="334" t="s">
        <v>951</v>
      </c>
      <c r="W47" s="1272">
        <f>U47/(12/44)</f>
        <v>8.0324601839645133E-4</v>
      </c>
    </row>
    <row r="48" spans="2:23">
      <c r="B48" s="1273" t="s">
        <v>579</v>
      </c>
      <c r="C48" s="805">
        <v>4</v>
      </c>
      <c r="D48" s="334" t="s">
        <v>950</v>
      </c>
      <c r="E48" s="325">
        <v>90.75</v>
      </c>
      <c r="F48" s="334" t="s">
        <v>950</v>
      </c>
      <c r="G48" s="326">
        <v>5.4</v>
      </c>
      <c r="H48" s="334" t="s">
        <v>951</v>
      </c>
      <c r="I48" s="327">
        <f>C48*E48*G48*365</f>
        <v>715473</v>
      </c>
      <c r="J48" s="334" t="s">
        <v>950</v>
      </c>
      <c r="K48" s="333">
        <v>0.48</v>
      </c>
      <c r="L48" s="334" t="s">
        <v>950</v>
      </c>
      <c r="M48" s="328">
        <v>0.30016800271641908</v>
      </c>
      <c r="N48" s="334" t="s">
        <v>951</v>
      </c>
      <c r="O48" s="327">
        <f>(I48*K48)*M48</f>
        <v>103085.80867561176</v>
      </c>
      <c r="P48" s="334" t="s">
        <v>951</v>
      </c>
      <c r="Q48" s="330">
        <f>O48*0.000662</f>
        <v>68.242805343254986</v>
      </c>
      <c r="R48" s="334" t="s">
        <v>951</v>
      </c>
      <c r="S48" s="331">
        <f>Q48/1000000</f>
        <v>6.8242805343254989E-5</v>
      </c>
      <c r="T48" s="334" t="s">
        <v>951</v>
      </c>
      <c r="U48" s="332">
        <f>(S48*21)*12/44</f>
        <v>3.9084515787500584E-4</v>
      </c>
      <c r="V48" s="334" t="s">
        <v>951</v>
      </c>
      <c r="W48" s="1272">
        <f>U48/(12/44)</f>
        <v>1.4330989122083549E-3</v>
      </c>
    </row>
    <row r="49" spans="1:23">
      <c r="B49" s="1274" t="s">
        <v>269</v>
      </c>
      <c r="C49" s="1275"/>
      <c r="D49" s="334"/>
      <c r="E49" s="325"/>
      <c r="F49" s="334"/>
      <c r="G49" s="334"/>
      <c r="H49" s="334"/>
      <c r="I49" s="327"/>
      <c r="J49" s="334"/>
      <c r="K49" s="333"/>
      <c r="L49" s="334"/>
      <c r="M49" s="337"/>
      <c r="N49" s="334"/>
      <c r="O49" s="327"/>
      <c r="P49" s="334"/>
      <c r="Q49" s="330"/>
      <c r="R49" s="334"/>
      <c r="S49" s="331"/>
      <c r="T49" s="334"/>
      <c r="U49" s="332"/>
      <c r="V49" s="334"/>
      <c r="W49" s="1272"/>
    </row>
    <row r="50" spans="1:23">
      <c r="B50" s="1280" t="s">
        <v>580</v>
      </c>
      <c r="C50" s="1281"/>
      <c r="D50" s="1282"/>
      <c r="E50" s="1283"/>
      <c r="F50" s="1282"/>
      <c r="G50" s="1282"/>
      <c r="H50" s="1282"/>
      <c r="I50" s="1284"/>
      <c r="J50" s="1282"/>
      <c r="K50" s="1285"/>
      <c r="L50" s="1282"/>
      <c r="M50" s="1286"/>
      <c r="N50" s="1282"/>
      <c r="O50" s="1284"/>
      <c r="P50" s="1287"/>
      <c r="Q50" s="1288"/>
      <c r="R50" s="1289"/>
      <c r="S50" s="1290"/>
      <c r="T50" s="1289"/>
      <c r="U50" s="1291"/>
      <c r="V50" s="1289"/>
      <c r="W50" s="1292"/>
    </row>
    <row r="51" spans="1:23">
      <c r="B51" s="1293" t="s">
        <v>581</v>
      </c>
      <c r="C51" s="805">
        <v>2364</v>
      </c>
      <c r="D51" s="1278" t="s">
        <v>950</v>
      </c>
      <c r="E51" s="325">
        <v>1.8</v>
      </c>
      <c r="F51" s="1278" t="s">
        <v>950</v>
      </c>
      <c r="G51" s="334">
        <v>10.8</v>
      </c>
      <c r="H51" s="1278" t="s">
        <v>951</v>
      </c>
      <c r="I51" s="327">
        <f>C51*E51*G51*365</f>
        <v>16773998.4</v>
      </c>
      <c r="J51" s="1278" t="s">
        <v>950</v>
      </c>
      <c r="K51" s="333">
        <v>0.39</v>
      </c>
      <c r="L51" s="1278" t="s">
        <v>950</v>
      </c>
      <c r="M51" s="328">
        <v>5.12259842612387E-2</v>
      </c>
      <c r="N51" s="1278" t="s">
        <v>951</v>
      </c>
      <c r="O51" s="327">
        <f>(I51*K51)*M51</f>
        <v>335113.18543421285</v>
      </c>
      <c r="P51" s="1294" t="s">
        <v>951</v>
      </c>
      <c r="Q51" s="330">
        <f>O51*0.000662</f>
        <v>221.84492875744891</v>
      </c>
      <c r="R51" s="1295" t="s">
        <v>951</v>
      </c>
      <c r="S51" s="331">
        <f>Q51/1000000</f>
        <v>2.2184492875744892E-4</v>
      </c>
      <c r="T51" s="1295" t="s">
        <v>951</v>
      </c>
      <c r="U51" s="332">
        <f>(S51*21)*12/44</f>
        <v>1.2705664101562983E-3</v>
      </c>
      <c r="V51" s="1295" t="s">
        <v>951</v>
      </c>
      <c r="W51" s="1272">
        <f>U51/(12/44)</f>
        <v>4.6587435039064278E-3</v>
      </c>
    </row>
    <row r="52" spans="1:23">
      <c r="B52" s="1293" t="s">
        <v>582</v>
      </c>
      <c r="C52" s="805">
        <v>708</v>
      </c>
      <c r="D52" s="1278" t="s">
        <v>950</v>
      </c>
      <c r="E52" s="325">
        <v>1.8</v>
      </c>
      <c r="F52" s="1278" t="s">
        <v>950</v>
      </c>
      <c r="G52" s="334">
        <v>9.6999999999999993</v>
      </c>
      <c r="H52" s="1278" t="s">
        <v>951</v>
      </c>
      <c r="I52" s="327">
        <f>C52*E52*G52*365</f>
        <v>4512013.2</v>
      </c>
      <c r="J52" s="1278" t="s">
        <v>950</v>
      </c>
      <c r="K52" s="333">
        <v>0.39</v>
      </c>
      <c r="L52" s="1278" t="s">
        <v>950</v>
      </c>
      <c r="M52" s="328">
        <v>5.12259842612387E-2</v>
      </c>
      <c r="N52" s="1278" t="s">
        <v>951</v>
      </c>
      <c r="O52" s="327">
        <f>(I52*K52)*M52</f>
        <v>90141.603696183491</v>
      </c>
      <c r="P52" s="1294" t="s">
        <v>951</v>
      </c>
      <c r="Q52" s="330">
        <f>O52*0.000662</f>
        <v>59.673741646873474</v>
      </c>
      <c r="R52" s="1295" t="s">
        <v>951</v>
      </c>
      <c r="S52" s="331">
        <f>Q52/1000000</f>
        <v>5.9673741646873475E-5</v>
      </c>
      <c r="T52" s="1295" t="s">
        <v>951</v>
      </c>
      <c r="U52" s="332">
        <f>(S52*21)*12/44</f>
        <v>3.4176779306845719E-4</v>
      </c>
      <c r="V52" s="1295" t="s">
        <v>951</v>
      </c>
      <c r="W52" s="1272">
        <f>U52/(12/44)</f>
        <v>1.2531485745843431E-3</v>
      </c>
    </row>
    <row r="53" spans="1:23">
      <c r="B53" s="1293" t="s">
        <v>583</v>
      </c>
      <c r="C53" s="805">
        <v>10</v>
      </c>
      <c r="D53" s="1278" t="s">
        <v>950</v>
      </c>
      <c r="E53" s="325">
        <v>1.8</v>
      </c>
      <c r="F53" s="1278" t="s">
        <v>950</v>
      </c>
      <c r="G53" s="326">
        <v>10.8</v>
      </c>
      <c r="H53" s="1278" t="s">
        <v>951</v>
      </c>
      <c r="I53" s="327">
        <f>C53*E53*G53*365</f>
        <v>70956</v>
      </c>
      <c r="J53" s="1278" t="s">
        <v>950</v>
      </c>
      <c r="K53" s="333">
        <v>0.39</v>
      </c>
      <c r="L53" s="1278" t="s">
        <v>950</v>
      </c>
      <c r="M53" s="328">
        <v>5.12259842612387E-2</v>
      </c>
      <c r="N53" s="1278" t="s">
        <v>951</v>
      </c>
      <c r="O53" s="327">
        <f>(I53*K53)*M53</f>
        <v>1417.5684663037766</v>
      </c>
      <c r="P53" s="1294" t="s">
        <v>951</v>
      </c>
      <c r="Q53" s="330">
        <f>O53*0.000662</f>
        <v>0.93843032469310017</v>
      </c>
      <c r="R53" s="1295" t="s">
        <v>951</v>
      </c>
      <c r="S53" s="331">
        <f>Q53/1000000</f>
        <v>9.3843032469310014E-7</v>
      </c>
      <c r="T53" s="1295" t="s">
        <v>951</v>
      </c>
      <c r="U53" s="332">
        <f>(S53*21)*12/44</f>
        <v>5.3746464050604831E-6</v>
      </c>
      <c r="V53" s="1295" t="s">
        <v>951</v>
      </c>
      <c r="W53" s="1272">
        <f>U53/(12/44)</f>
        <v>1.9707036818555105E-5</v>
      </c>
    </row>
    <row r="54" spans="1:23">
      <c r="B54" s="1280" t="s">
        <v>584</v>
      </c>
      <c r="C54" s="805">
        <v>52327</v>
      </c>
      <c r="D54" s="1296" t="s">
        <v>950</v>
      </c>
      <c r="E54" s="325">
        <v>0.9</v>
      </c>
      <c r="F54" s="1296" t="s">
        <v>950</v>
      </c>
      <c r="G54" s="334">
        <v>15</v>
      </c>
      <c r="H54" s="1296" t="s">
        <v>951</v>
      </c>
      <c r="I54" s="327">
        <f>C54*E54*G54*365</f>
        <v>257841292.5</v>
      </c>
      <c r="J54" s="1296" t="s">
        <v>950</v>
      </c>
      <c r="K54" s="333">
        <v>0.36</v>
      </c>
      <c r="L54" s="1296" t="s">
        <v>950</v>
      </c>
      <c r="M54" s="335">
        <v>1.4999999999999999E-2</v>
      </c>
      <c r="N54" s="1296" t="s">
        <v>951</v>
      </c>
      <c r="O54" s="327">
        <f>(I54*K54)*M54</f>
        <v>1392342.9794999999</v>
      </c>
      <c r="P54" s="1294" t="s">
        <v>951</v>
      </c>
      <c r="Q54" s="330">
        <f>O54*0.000662</f>
        <v>921.73105242899999</v>
      </c>
      <c r="R54" s="1297" t="s">
        <v>951</v>
      </c>
      <c r="S54" s="331">
        <f>Q54/1000000</f>
        <v>9.2173105242900001E-4</v>
      </c>
      <c r="T54" s="1297" t="s">
        <v>951</v>
      </c>
      <c r="U54" s="332">
        <f>(S54*21)*12/44</f>
        <v>5.2790051184570001E-3</v>
      </c>
      <c r="V54" s="1297" t="s">
        <v>951</v>
      </c>
      <c r="W54" s="1272">
        <f>U54/(12/44)</f>
        <v>1.9356352101009E-2</v>
      </c>
    </row>
    <row r="55" spans="1:23">
      <c r="B55" s="1298" t="s">
        <v>585</v>
      </c>
      <c r="C55" s="805">
        <v>421</v>
      </c>
      <c r="D55" s="1296" t="s">
        <v>950</v>
      </c>
      <c r="E55" s="325">
        <v>6.8</v>
      </c>
      <c r="F55" s="1296" t="s">
        <v>950</v>
      </c>
      <c r="G55" s="334">
        <v>9.6999999999999993</v>
      </c>
      <c r="H55" s="1296" t="s">
        <v>951</v>
      </c>
      <c r="I55" s="327">
        <f>C55*E55*G55*365</f>
        <v>10135743.399999999</v>
      </c>
      <c r="J55" s="1296" t="s">
        <v>950</v>
      </c>
      <c r="K55" s="333">
        <v>0.36</v>
      </c>
      <c r="L55" s="1296" t="s">
        <v>950</v>
      </c>
      <c r="M55" s="335">
        <v>1.4999999999999999E-2</v>
      </c>
      <c r="N55" s="1296" t="s">
        <v>951</v>
      </c>
      <c r="O55" s="327">
        <f>(I55*K55)*M55</f>
        <v>54733.014359999986</v>
      </c>
      <c r="P55" s="1299" t="s">
        <v>951</v>
      </c>
      <c r="Q55" s="330">
        <f>O55*0.000662</f>
        <v>36.233255506319992</v>
      </c>
      <c r="R55" s="1295" t="s">
        <v>951</v>
      </c>
      <c r="S55" s="331">
        <f>Q55/1000000</f>
        <v>3.623325550631999E-5</v>
      </c>
      <c r="T55" s="1295" t="s">
        <v>951</v>
      </c>
      <c r="U55" s="332">
        <f>(S55*21)*12/44</f>
        <v>2.0751773608165087E-4</v>
      </c>
      <c r="V55" s="1295" t="s">
        <v>951</v>
      </c>
      <c r="W55" s="1272">
        <f>U55/(12/44)</f>
        <v>7.6089836563271993E-4</v>
      </c>
    </row>
    <row r="56" spans="1:23">
      <c r="B56" s="1300" t="s">
        <v>187</v>
      </c>
      <c r="C56" s="1275"/>
      <c r="D56" s="1296"/>
      <c r="E56" s="325"/>
      <c r="F56" s="1296"/>
      <c r="G56" s="334"/>
      <c r="H56" s="1296"/>
      <c r="I56" s="327"/>
      <c r="J56" s="1295"/>
      <c r="K56" s="333"/>
      <c r="L56" s="1295"/>
      <c r="M56" s="337"/>
      <c r="N56" s="1295"/>
      <c r="O56" s="327"/>
      <c r="P56" s="1299"/>
      <c r="Q56" s="330"/>
      <c r="R56" s="1295"/>
      <c r="S56" s="331"/>
      <c r="T56" s="1295"/>
      <c r="U56" s="332"/>
      <c r="V56" s="1295"/>
      <c r="W56" s="1272"/>
    </row>
    <row r="57" spans="1:23">
      <c r="B57" s="1270" t="s">
        <v>586</v>
      </c>
      <c r="C57" s="805">
        <v>0</v>
      </c>
      <c r="D57" s="1296" t="s">
        <v>950</v>
      </c>
      <c r="E57" s="325">
        <v>25</v>
      </c>
      <c r="F57" s="1296" t="s">
        <v>950</v>
      </c>
      <c r="G57" s="326">
        <v>9.205479452054794</v>
      </c>
      <c r="H57" s="1296" t="s">
        <v>951</v>
      </c>
      <c r="I57" s="327">
        <f>C57*E57*G57*365</f>
        <v>0</v>
      </c>
      <c r="J57" s="1296" t="s">
        <v>950</v>
      </c>
      <c r="K57" s="333">
        <v>0.36056372132540354</v>
      </c>
      <c r="L57" s="1296" t="s">
        <v>950</v>
      </c>
      <c r="M57" s="337">
        <v>1.2E-2</v>
      </c>
      <c r="N57" s="1296" t="s">
        <v>951</v>
      </c>
      <c r="O57" s="327">
        <f>(I57*K57)*M57</f>
        <v>0</v>
      </c>
      <c r="P57" s="1299" t="s">
        <v>951</v>
      </c>
      <c r="Q57" s="330">
        <f>O57*0.000662</f>
        <v>0</v>
      </c>
      <c r="R57" s="1295" t="s">
        <v>951</v>
      </c>
      <c r="S57" s="331">
        <f>Q57/1000000</f>
        <v>0</v>
      </c>
      <c r="T57" s="1295" t="s">
        <v>951</v>
      </c>
      <c r="U57" s="332">
        <f>(S57*21)*12/44</f>
        <v>0</v>
      </c>
      <c r="V57" s="1295" t="s">
        <v>951</v>
      </c>
      <c r="W57" s="1272">
        <f>U57/(12/44)</f>
        <v>0</v>
      </c>
    </row>
    <row r="58" spans="1:23">
      <c r="B58" s="1270" t="s">
        <v>587</v>
      </c>
      <c r="C58" s="804">
        <v>12</v>
      </c>
      <c r="D58" s="1296" t="s">
        <v>950</v>
      </c>
      <c r="E58" s="325">
        <v>80</v>
      </c>
      <c r="F58" s="1296" t="s">
        <v>950</v>
      </c>
      <c r="G58" s="326">
        <v>9.205479452054794</v>
      </c>
      <c r="H58" s="1296" t="s">
        <v>951</v>
      </c>
      <c r="I58" s="327">
        <f>C58*E58*G58*365</f>
        <v>3225600</v>
      </c>
      <c r="J58" s="1296" t="s">
        <v>950</v>
      </c>
      <c r="K58" s="333">
        <v>0.1899677145284622</v>
      </c>
      <c r="L58" s="1296" t="s">
        <v>950</v>
      </c>
      <c r="M58" s="337">
        <v>1.0999999999999999E-2</v>
      </c>
      <c r="N58" s="1296" t="s">
        <v>951</v>
      </c>
      <c r="O58" s="327">
        <f>(I58*K58)*M58</f>
        <v>6740.3584598130838</v>
      </c>
      <c r="P58" s="1299" t="s">
        <v>951</v>
      </c>
      <c r="Q58" s="330">
        <f>O58*0.000662</f>
        <v>4.4621173003962618</v>
      </c>
      <c r="R58" s="1295" t="s">
        <v>951</v>
      </c>
      <c r="S58" s="331">
        <f>Q58/1000000</f>
        <v>4.462117300396262E-6</v>
      </c>
      <c r="T58" s="1295" t="s">
        <v>951</v>
      </c>
      <c r="U58" s="332">
        <f>(S58*21)*12/44</f>
        <v>2.5555762720451317E-5</v>
      </c>
      <c r="V58" s="1295" t="s">
        <v>951</v>
      </c>
      <c r="W58" s="1272">
        <f>U58/(12/44)</f>
        <v>9.37044633083215E-5</v>
      </c>
    </row>
    <row r="59" spans="1:23">
      <c r="B59" s="1270" t="s">
        <v>553</v>
      </c>
      <c r="C59" s="805">
        <v>13</v>
      </c>
      <c r="D59" s="1296" t="s">
        <v>950</v>
      </c>
      <c r="E59" s="325">
        <v>64</v>
      </c>
      <c r="F59" s="1296" t="s">
        <v>950</v>
      </c>
      <c r="G59" s="326">
        <v>9.5342465753424666</v>
      </c>
      <c r="H59" s="1296" t="s">
        <v>951</v>
      </c>
      <c r="I59" s="327">
        <f>C59*E59*G59*365</f>
        <v>2895360.0000000005</v>
      </c>
      <c r="J59" s="1296" t="s">
        <v>950</v>
      </c>
      <c r="K59" s="333">
        <v>0.16997111299915041</v>
      </c>
      <c r="L59" s="1296" t="s">
        <v>950</v>
      </c>
      <c r="M59" s="337">
        <v>1.0999999999999999E-2</v>
      </c>
      <c r="N59" s="1296" t="s">
        <v>951</v>
      </c>
      <c r="O59" s="327">
        <f>(I59*K59)*M59</f>
        <v>5413.4031790654217</v>
      </c>
      <c r="P59" s="1299" t="s">
        <v>951</v>
      </c>
      <c r="Q59" s="330">
        <f>O59*0.000662</f>
        <v>3.5836729045413094</v>
      </c>
      <c r="R59" s="1295" t="s">
        <v>951</v>
      </c>
      <c r="S59" s="331">
        <f>Q59/1000000</f>
        <v>3.5836729045413092E-6</v>
      </c>
      <c r="T59" s="1295" t="s">
        <v>951</v>
      </c>
      <c r="U59" s="332">
        <f>(S59*21)*12/44</f>
        <v>2.0524672089645678E-5</v>
      </c>
      <c r="V59" s="1295" t="s">
        <v>951</v>
      </c>
      <c r="W59" s="1272">
        <f>U59/(12/44)</f>
        <v>7.5257130995367495E-5</v>
      </c>
    </row>
    <row r="60" spans="1:23">
      <c r="B60" s="1270" t="s">
        <v>555</v>
      </c>
      <c r="C60" s="804">
        <v>80</v>
      </c>
      <c r="D60" s="1296" t="s">
        <v>950</v>
      </c>
      <c r="E60" s="325">
        <v>450</v>
      </c>
      <c r="F60" s="1296" t="s">
        <v>950</v>
      </c>
      <c r="G60" s="334">
        <v>10</v>
      </c>
      <c r="H60" s="1296" t="s">
        <v>951</v>
      </c>
      <c r="I60" s="327">
        <f>C60*E60*G60*365</f>
        <v>131400000</v>
      </c>
      <c r="J60" s="1296" t="s">
        <v>950</v>
      </c>
      <c r="K60" s="333">
        <v>0.33056881903143587</v>
      </c>
      <c r="L60" s="1296" t="s">
        <v>950</v>
      </c>
      <c r="M60" s="337">
        <v>1.0999999999999999E-2</v>
      </c>
      <c r="N60" s="1296" t="s">
        <v>951</v>
      </c>
      <c r="O60" s="327">
        <f>(I60*K60)*M60</f>
        <v>477804.17102803738</v>
      </c>
      <c r="P60" s="1299" t="s">
        <v>951</v>
      </c>
      <c r="Q60" s="330">
        <f>O60*0.000662</f>
        <v>316.30636122056075</v>
      </c>
      <c r="R60" s="1295" t="s">
        <v>951</v>
      </c>
      <c r="S60" s="331">
        <f>Q60/1000000</f>
        <v>3.1630636122056076E-4</v>
      </c>
      <c r="T60" s="1295" t="s">
        <v>951</v>
      </c>
      <c r="U60" s="332">
        <f>(S60*21)*12/44</f>
        <v>1.8115727960813935E-3</v>
      </c>
      <c r="V60" s="1295" t="s">
        <v>951</v>
      </c>
      <c r="W60" s="1272">
        <f>U60/(12/44)</f>
        <v>6.6424335856317771E-3</v>
      </c>
    </row>
    <row r="61" spans="1:23" ht="13.5" thickBot="1">
      <c r="B61" s="1318" t="s">
        <v>184</v>
      </c>
      <c r="C61" s="1319"/>
      <c r="D61" s="1319"/>
      <c r="E61" s="1320"/>
      <c r="F61" s="1319"/>
      <c r="G61" s="1319"/>
      <c r="H61" s="1319"/>
      <c r="I61" s="1319"/>
      <c r="J61" s="1321"/>
      <c r="K61" s="1321"/>
      <c r="L61" s="1321"/>
      <c r="M61" s="1321"/>
      <c r="N61" s="1321"/>
      <c r="O61" s="1322">
        <f>SUM(O32:O60)</f>
        <v>6501071.6407354986</v>
      </c>
      <c r="P61" s="1321"/>
      <c r="Q61" s="1323">
        <f>SUM(Q32:Q60)</f>
        <v>4303.7094261668999</v>
      </c>
      <c r="R61" s="1321"/>
      <c r="S61" s="1324">
        <f>SUM(S32:S60)</f>
        <v>4.3037094261668997E-3</v>
      </c>
      <c r="T61" s="1321"/>
      <c r="U61" s="1324">
        <f>SUM(U32:U60)</f>
        <v>2.4648517622592247E-2</v>
      </c>
      <c r="V61" s="1319"/>
      <c r="W61" s="1325">
        <f>SUM(W32:W60)</f>
        <v>9.0377897949504904E-2</v>
      </c>
    </row>
    <row r="62" spans="1:23" ht="12.75">
      <c r="A62" s="6"/>
      <c r="B62" s="1326"/>
      <c r="C62" s="338"/>
      <c r="D62" s="338"/>
      <c r="E62" s="1327"/>
      <c r="F62" s="338"/>
      <c r="G62" s="338"/>
      <c r="H62" s="338"/>
      <c r="I62" s="338"/>
      <c r="J62" s="336"/>
      <c r="K62" s="336"/>
      <c r="L62" s="336"/>
      <c r="M62" s="336"/>
      <c r="N62" s="336"/>
      <c r="O62" s="1328"/>
      <c r="P62" s="336"/>
      <c r="Q62" s="1329"/>
      <c r="R62" s="336"/>
      <c r="S62" s="1330"/>
      <c r="T62" s="336"/>
      <c r="U62" s="1330"/>
      <c r="V62" s="338"/>
      <c r="W62" s="1330"/>
    </row>
    <row r="63" spans="1:23" ht="12.75">
      <c r="A63" s="6"/>
      <c r="B63" s="1326"/>
      <c r="C63" s="338"/>
      <c r="D63" s="338"/>
      <c r="E63" s="1327"/>
      <c r="F63" s="338"/>
      <c r="G63" s="338"/>
      <c r="H63" s="338"/>
      <c r="I63" s="338"/>
      <c r="J63" s="336"/>
      <c r="K63" s="336"/>
      <c r="L63" s="336"/>
      <c r="M63" s="336"/>
      <c r="N63" s="336"/>
      <c r="O63" s="1328"/>
      <c r="P63" s="336"/>
      <c r="Q63" s="1329"/>
      <c r="R63" s="336"/>
      <c r="S63" s="1330"/>
      <c r="T63" s="336"/>
      <c r="U63" s="1330"/>
      <c r="V63" s="338"/>
      <c r="W63" s="1330"/>
    </row>
    <row r="64" spans="1:23" ht="12" thickBot="1">
      <c r="B64" s="318"/>
      <c r="C64" s="319"/>
      <c r="D64" s="320"/>
      <c r="E64" s="320"/>
      <c r="F64" s="320"/>
      <c r="G64" s="321"/>
      <c r="H64" s="322"/>
      <c r="I64" s="323"/>
      <c r="J64" s="322"/>
      <c r="K64" s="324"/>
      <c r="L64" s="8"/>
      <c r="M64" s="324"/>
      <c r="N64" s="8"/>
      <c r="O64" s="8"/>
      <c r="P64" s="8"/>
      <c r="Q64" s="8"/>
      <c r="R64" s="8"/>
      <c r="S64" s="8"/>
      <c r="T64" s="8"/>
      <c r="U64" s="8"/>
      <c r="V64" s="3"/>
      <c r="W64" s="3"/>
    </row>
    <row r="65" spans="2:23" ht="19.5">
      <c r="B65" s="1234" t="s">
        <v>365</v>
      </c>
      <c r="C65" s="1261"/>
      <c r="D65" s="1262"/>
      <c r="E65" s="1262"/>
      <c r="F65" s="1262"/>
      <c r="G65" s="1263"/>
      <c r="H65" s="1264"/>
      <c r="I65" s="1265"/>
      <c r="J65" s="1264"/>
      <c r="K65" s="1266"/>
      <c r="L65" s="1235"/>
      <c r="M65" s="1266"/>
      <c r="N65" s="1235"/>
      <c r="O65" s="1235"/>
      <c r="P65" s="1235"/>
      <c r="Q65" s="1235"/>
      <c r="R65" s="1235"/>
      <c r="S65" s="1235"/>
      <c r="T65" s="1235"/>
      <c r="U65" s="1236"/>
      <c r="V65" s="1367"/>
      <c r="W65" s="3"/>
    </row>
    <row r="66" spans="2:23" ht="81.75">
      <c r="B66" s="1331"/>
      <c r="C66" s="1364" t="s">
        <v>556</v>
      </c>
      <c r="D66" s="1267"/>
      <c r="E66" s="1258" t="s">
        <v>596</v>
      </c>
      <c r="F66" s="1365"/>
      <c r="G66" s="1258" t="s">
        <v>595</v>
      </c>
      <c r="H66" s="1258"/>
      <c r="I66" s="1258" t="s">
        <v>594</v>
      </c>
      <c r="J66" s="1365"/>
      <c r="K66" s="1258" t="s">
        <v>597</v>
      </c>
      <c r="L66" s="1366"/>
      <c r="M66" s="1258" t="s">
        <v>598</v>
      </c>
      <c r="N66" s="1365"/>
      <c r="O66" s="1258" t="s">
        <v>599</v>
      </c>
      <c r="P66" s="1365"/>
      <c r="Q66" s="1258" t="s">
        <v>452</v>
      </c>
      <c r="R66" s="1365"/>
      <c r="S66" s="1258" t="s">
        <v>469</v>
      </c>
      <c r="T66" s="1365"/>
      <c r="U66" s="1260" t="s">
        <v>560</v>
      </c>
    </row>
    <row r="67" spans="2:23" ht="15">
      <c r="B67" s="1268" t="s">
        <v>588</v>
      </c>
      <c r="C67" s="1332"/>
      <c r="D67" s="1269"/>
      <c r="E67" s="1333"/>
      <c r="F67" s="1334"/>
      <c r="G67" s="1334"/>
      <c r="H67" s="1334"/>
      <c r="I67" s="1335"/>
      <c r="J67" s="1334"/>
      <c r="K67" s="1334"/>
      <c r="L67" s="1336"/>
      <c r="M67" s="1334"/>
      <c r="N67" s="1334"/>
      <c r="O67" s="1334"/>
      <c r="P67" s="1334"/>
      <c r="Q67" s="1334"/>
      <c r="R67" s="1334"/>
      <c r="S67" s="1337"/>
      <c r="T67" s="1334"/>
      <c r="U67" s="1338"/>
    </row>
    <row r="68" spans="2:23" ht="12.75">
      <c r="B68" s="1270" t="s">
        <v>514</v>
      </c>
      <c r="C68" s="805">
        <v>50</v>
      </c>
      <c r="D68" s="334"/>
      <c r="E68" s="340">
        <v>5788024</v>
      </c>
      <c r="F68" s="1339"/>
      <c r="G68" s="340">
        <v>1338267.8842689372</v>
      </c>
      <c r="H68" s="312"/>
      <c r="I68" s="340">
        <v>1499202.3862762167</v>
      </c>
      <c r="J68" s="1334"/>
      <c r="K68" s="340">
        <v>1338.2678842689372</v>
      </c>
      <c r="L68" s="334" t="s">
        <v>952</v>
      </c>
      <c r="M68" s="340">
        <v>29984.047725524335</v>
      </c>
      <c r="N68" s="312" t="s">
        <v>951</v>
      </c>
      <c r="O68" s="340">
        <v>49220.781672532285</v>
      </c>
      <c r="P68" s="312" t="s">
        <v>951</v>
      </c>
      <c r="Q68" s="340">
        <f>O68/1000*310*12/44</f>
        <v>4161.3933595868202</v>
      </c>
      <c r="R68" s="312" t="s">
        <v>951</v>
      </c>
      <c r="S68" s="341">
        <f>Q68/10^6</f>
        <v>4.1613933595868206E-3</v>
      </c>
      <c r="T68" s="312" t="s">
        <v>951</v>
      </c>
      <c r="U68" s="1340">
        <f>S68/(12/44)</f>
        <v>1.525844231848501E-2</v>
      </c>
    </row>
    <row r="69" spans="2:23" ht="12.75">
      <c r="B69" s="1273" t="s">
        <v>515</v>
      </c>
      <c r="C69" s="805">
        <v>25</v>
      </c>
      <c r="D69" s="334"/>
      <c r="E69" s="340">
        <v>1508063.2</v>
      </c>
      <c r="F69" s="1334"/>
      <c r="G69" s="340">
        <v>348684.20518087747</v>
      </c>
      <c r="H69" s="312"/>
      <c r="I69" s="340">
        <v>739299.71515531605</v>
      </c>
      <c r="J69" s="1334"/>
      <c r="K69" s="340">
        <v>348.68420518087748</v>
      </c>
      <c r="L69" s="334" t="s">
        <v>952</v>
      </c>
      <c r="M69" s="340">
        <v>14785.994303106321</v>
      </c>
      <c r="N69" s="312" t="s">
        <v>951</v>
      </c>
      <c r="O69" s="340">
        <v>23235.133904881361</v>
      </c>
      <c r="P69" s="312" t="s">
        <v>951</v>
      </c>
      <c r="Q69" s="340">
        <f>O69/1000*310*12/44</f>
        <v>1964.4249574126968</v>
      </c>
      <c r="R69" s="312" t="s">
        <v>951</v>
      </c>
      <c r="S69" s="341">
        <f>Q69/10^6</f>
        <v>1.9644249574126966E-3</v>
      </c>
      <c r="T69" s="312" t="s">
        <v>951</v>
      </c>
      <c r="U69" s="1340">
        <f>S69/(12/44)</f>
        <v>7.2028915105132214E-3</v>
      </c>
    </row>
    <row r="70" spans="2:23" ht="12.75">
      <c r="B70" s="1274" t="s">
        <v>543</v>
      </c>
      <c r="C70" s="1341"/>
      <c r="D70" s="334"/>
      <c r="E70" s="327"/>
      <c r="F70" s="1334"/>
      <c r="G70" s="327"/>
      <c r="H70" s="312"/>
      <c r="I70" s="327"/>
      <c r="J70" s="1334"/>
      <c r="K70" s="327" t="s">
        <v>589</v>
      </c>
      <c r="L70" s="334"/>
      <c r="M70" s="327"/>
      <c r="N70" s="312"/>
      <c r="O70" s="327"/>
      <c r="P70" s="312"/>
      <c r="Q70" s="327"/>
      <c r="R70" s="312"/>
      <c r="S70" s="327"/>
      <c r="T70" s="312"/>
      <c r="U70" s="1342"/>
    </row>
    <row r="71" spans="2:23" ht="12.75">
      <c r="B71" s="1273" t="s">
        <v>549</v>
      </c>
      <c r="C71" s="804">
        <v>3.9119999999999999</v>
      </c>
      <c r="D71" s="334"/>
      <c r="E71" s="340">
        <v>179361</v>
      </c>
      <c r="F71" s="1334"/>
      <c r="G71" s="340" t="s">
        <v>947</v>
      </c>
      <c r="H71" s="312"/>
      <c r="I71" s="340">
        <v>179361</v>
      </c>
      <c r="J71" s="1334"/>
      <c r="K71" s="340" t="s">
        <v>947</v>
      </c>
      <c r="L71" s="334" t="s">
        <v>952</v>
      </c>
      <c r="M71" s="340">
        <v>3587.22</v>
      </c>
      <c r="N71" s="312" t="s">
        <v>951</v>
      </c>
      <c r="O71" s="340">
        <v>5637.06</v>
      </c>
      <c r="P71" s="312" t="s">
        <v>951</v>
      </c>
      <c r="Q71" s="340">
        <f>O71/1000*310*12/44</f>
        <v>476.58780000000002</v>
      </c>
      <c r="R71" s="312" t="s">
        <v>951</v>
      </c>
      <c r="S71" s="341">
        <f>Q71/10^6</f>
        <v>4.765878E-4</v>
      </c>
      <c r="T71" s="312" t="s">
        <v>951</v>
      </c>
      <c r="U71" s="1340">
        <f>S71/(12/44)</f>
        <v>1.7474886000000002E-3</v>
      </c>
    </row>
    <row r="72" spans="2:23" ht="12.75">
      <c r="B72" s="1273" t="s">
        <v>550</v>
      </c>
      <c r="C72" s="804">
        <v>7.3949999999999996</v>
      </c>
      <c r="D72" s="334"/>
      <c r="E72" s="340">
        <v>340326</v>
      </c>
      <c r="F72" s="1334"/>
      <c r="G72" s="340" t="s">
        <v>947</v>
      </c>
      <c r="H72" s="312"/>
      <c r="I72" s="340">
        <v>340326</v>
      </c>
      <c r="J72" s="1334"/>
      <c r="K72" s="340" t="s">
        <v>947</v>
      </c>
      <c r="L72" s="334" t="s">
        <v>952</v>
      </c>
      <c r="M72" s="340">
        <v>6806.52</v>
      </c>
      <c r="N72" s="312" t="s">
        <v>951</v>
      </c>
      <c r="O72" s="340">
        <v>10695.96</v>
      </c>
      <c r="P72" s="312" t="s">
        <v>951</v>
      </c>
      <c r="Q72" s="340">
        <f>O72/1000*310*12/44</f>
        <v>904.29480000000001</v>
      </c>
      <c r="R72" s="312" t="s">
        <v>951</v>
      </c>
      <c r="S72" s="341">
        <f>Q72/10^6</f>
        <v>9.0429479999999999E-4</v>
      </c>
      <c r="T72" s="312" t="s">
        <v>951</v>
      </c>
      <c r="U72" s="1340">
        <f>S72/(12/44)</f>
        <v>3.3157476000000002E-3</v>
      </c>
    </row>
    <row r="73" spans="2:23" ht="12.75">
      <c r="B73" s="1274" t="s">
        <v>554</v>
      </c>
      <c r="C73" s="1341"/>
      <c r="D73" s="1278"/>
      <c r="E73" s="341"/>
      <c r="F73" s="1334"/>
      <c r="G73" s="341"/>
      <c r="H73" s="312"/>
      <c r="I73" s="340"/>
      <c r="J73" s="1334"/>
      <c r="K73" s="340" t="s">
        <v>589</v>
      </c>
      <c r="L73" s="334"/>
      <c r="M73" s="340"/>
      <c r="N73" s="312"/>
      <c r="O73" s="340"/>
      <c r="P73" s="312"/>
      <c r="Q73" s="340"/>
      <c r="R73" s="312"/>
      <c r="S73" s="340"/>
      <c r="T73" s="312"/>
      <c r="U73" s="1343"/>
    </row>
    <row r="74" spans="2:23" ht="12.75">
      <c r="B74" s="1273" t="s">
        <v>575</v>
      </c>
      <c r="C74" s="805">
        <v>3</v>
      </c>
      <c r="D74" s="334"/>
      <c r="E74" s="340">
        <v>33966.9</v>
      </c>
      <c r="F74" s="1334"/>
      <c r="G74" s="340">
        <v>25508.812421069997</v>
      </c>
      <c r="H74" s="312"/>
      <c r="I74" s="340">
        <v>1277.2541478113997</v>
      </c>
      <c r="J74" s="1334"/>
      <c r="K74" s="340">
        <v>25.508812421069997</v>
      </c>
      <c r="L74" s="334" t="s">
        <v>952</v>
      </c>
      <c r="M74" s="340">
        <v>25.545082956227994</v>
      </c>
      <c r="N74" s="312" t="s">
        <v>951</v>
      </c>
      <c r="O74" s="340">
        <v>80.227549878611129</v>
      </c>
      <c r="P74" s="312" t="s">
        <v>951</v>
      </c>
      <c r="Q74" s="340">
        <f>O74/1000*310*12/44</f>
        <v>6.7828746715553043</v>
      </c>
      <c r="R74" s="312" t="s">
        <v>951</v>
      </c>
      <c r="S74" s="341">
        <f>Q74/10^6</f>
        <v>6.7828746715553047E-6</v>
      </c>
      <c r="T74" s="312" t="s">
        <v>951</v>
      </c>
      <c r="U74" s="1340">
        <f>S74/(12/44)</f>
        <v>2.4870540462369453E-5</v>
      </c>
    </row>
    <row r="75" spans="2:23" ht="12.75">
      <c r="B75" s="1273" t="s">
        <v>576</v>
      </c>
      <c r="C75" s="805">
        <v>7</v>
      </c>
      <c r="D75" s="334"/>
      <c r="E75" s="340">
        <v>31299.48</v>
      </c>
      <c r="F75" s="1334"/>
      <c r="G75" s="340">
        <v>23505.605875044002</v>
      </c>
      <c r="H75" s="312"/>
      <c r="I75" s="340">
        <v>1176.95140428888</v>
      </c>
      <c r="J75" s="1334"/>
      <c r="K75" s="340">
        <v>23.505605875044004</v>
      </c>
      <c r="L75" s="334" t="s">
        <v>952</v>
      </c>
      <c r="M75" s="340">
        <v>23.539028085777598</v>
      </c>
      <c r="N75" s="312" t="s">
        <v>951</v>
      </c>
      <c r="O75" s="340">
        <v>73.927281938433936</v>
      </c>
      <c r="P75" s="312" t="s">
        <v>951</v>
      </c>
      <c r="Q75" s="340">
        <f>O75/1000*310*12/44</f>
        <v>6.2502156547948706</v>
      </c>
      <c r="R75" s="312" t="s">
        <v>951</v>
      </c>
      <c r="S75" s="341">
        <f>Q75/10^6</f>
        <v>6.2502156547948703E-6</v>
      </c>
      <c r="T75" s="312" t="s">
        <v>951</v>
      </c>
      <c r="U75" s="1340">
        <f>S75/(12/44)</f>
        <v>2.2917457400914525E-5</v>
      </c>
    </row>
    <row r="76" spans="2:23" ht="12.75">
      <c r="B76" s="1273" t="s">
        <v>577</v>
      </c>
      <c r="C76" s="1095">
        <v>4</v>
      </c>
      <c r="D76" s="334"/>
      <c r="E76" s="340">
        <v>43567.86</v>
      </c>
      <c r="F76" s="1334"/>
      <c r="G76" s="340">
        <v>32719.040251757993</v>
      </c>
      <c r="H76" s="312"/>
      <c r="I76" s="340">
        <v>1638.2781442011596</v>
      </c>
      <c r="J76" s="1334"/>
      <c r="K76" s="340">
        <v>32.719040251757995</v>
      </c>
      <c r="L76" s="334" t="s">
        <v>952</v>
      </c>
      <c r="M76" s="340">
        <v>32.765562884023197</v>
      </c>
      <c r="N76" s="312" t="s">
        <v>951</v>
      </c>
      <c r="O76" s="340">
        <v>102.90437635622757</v>
      </c>
      <c r="P76" s="312" t="s">
        <v>951</v>
      </c>
      <c r="Q76" s="340">
        <f>O76/1000*310*12/44</f>
        <v>8.7000972737537854</v>
      </c>
      <c r="R76" s="312" t="s">
        <v>951</v>
      </c>
      <c r="S76" s="341">
        <f>Q76/10^6</f>
        <v>8.7000972737537862E-6</v>
      </c>
      <c r="T76" s="312" t="s">
        <v>951</v>
      </c>
      <c r="U76" s="1340">
        <f>S76/(12/44)</f>
        <v>3.1900356670430552E-5</v>
      </c>
    </row>
    <row r="77" spans="2:23" ht="12.75">
      <c r="B77" s="1273" t="s">
        <v>578</v>
      </c>
      <c r="C77" s="805">
        <v>3</v>
      </c>
      <c r="D77" s="334"/>
      <c r="E77" s="340">
        <v>41587.223999999995</v>
      </c>
      <c r="F77" s="1334"/>
      <c r="G77" s="340">
        <v>31231.601827927196</v>
      </c>
      <c r="H77" s="312"/>
      <c r="I77" s="340">
        <v>1563.8004748729438</v>
      </c>
      <c r="J77" s="1334"/>
      <c r="K77" s="340">
        <v>31.231601827927197</v>
      </c>
      <c r="L77" s="334" t="s">
        <v>952</v>
      </c>
      <c r="M77" s="340">
        <v>31.276009497458876</v>
      </c>
      <c r="N77" s="312" t="s">
        <v>951</v>
      </c>
      <c r="O77" s="340">
        <v>98.226246368463833</v>
      </c>
      <c r="P77" s="312" t="s">
        <v>951</v>
      </c>
      <c r="Q77" s="340">
        <f>O77/1000*310*12/44</f>
        <v>8.3045826475155788</v>
      </c>
      <c r="R77" s="312" t="s">
        <v>951</v>
      </c>
      <c r="S77" s="341">
        <f>Q77/10^6</f>
        <v>8.3045826475155791E-6</v>
      </c>
      <c r="T77" s="312" t="s">
        <v>951</v>
      </c>
      <c r="U77" s="1340">
        <f>S77/(12/44)</f>
        <v>3.0450136374223791E-5</v>
      </c>
    </row>
    <row r="78" spans="2:23" ht="12.75">
      <c r="B78" s="1273" t="s">
        <v>579</v>
      </c>
      <c r="C78" s="805">
        <v>4</v>
      </c>
      <c r="D78" s="334"/>
      <c r="E78" s="340">
        <v>55647.9</v>
      </c>
      <c r="F78" s="1334"/>
      <c r="G78" s="340">
        <v>41791.033115370003</v>
      </c>
      <c r="H78" s="312"/>
      <c r="I78" s="340">
        <v>2092.5227527973998</v>
      </c>
      <c r="J78" s="1334"/>
      <c r="K78" s="340">
        <v>41.791033115370006</v>
      </c>
      <c r="L78" s="334" t="s">
        <v>952</v>
      </c>
      <c r="M78" s="340">
        <v>41.850455055947997</v>
      </c>
      <c r="N78" s="312" t="s">
        <v>951</v>
      </c>
      <c r="O78" s="340">
        <v>131.43662426921401</v>
      </c>
      <c r="P78" s="312" t="s">
        <v>951</v>
      </c>
      <c r="Q78" s="340">
        <f>O78/1000*310*12/44</f>
        <v>11.112369142760821</v>
      </c>
      <c r="R78" s="312" t="s">
        <v>951</v>
      </c>
      <c r="S78" s="341">
        <f>Q78/10^6</f>
        <v>1.1112369142760821E-5</v>
      </c>
      <c r="T78" s="312" t="s">
        <v>951</v>
      </c>
      <c r="U78" s="1340">
        <f>S78/(12/44)</f>
        <v>4.0745353523456349E-5</v>
      </c>
    </row>
    <row r="79" spans="2:23" ht="12.75">
      <c r="B79" s="1274" t="s">
        <v>269</v>
      </c>
      <c r="C79" s="1341"/>
      <c r="D79" s="334"/>
      <c r="E79" s="340"/>
      <c r="F79" s="1334"/>
      <c r="G79" s="340"/>
      <c r="H79" s="312"/>
      <c r="I79" s="340"/>
      <c r="J79" s="1334"/>
      <c r="K79" s="340" t="s">
        <v>589</v>
      </c>
      <c r="L79" s="334"/>
      <c r="M79" s="340"/>
      <c r="N79" s="312"/>
      <c r="O79" s="340"/>
      <c r="P79" s="312"/>
      <c r="Q79" s="340"/>
      <c r="R79" s="312"/>
      <c r="S79" s="340"/>
      <c r="T79" s="312"/>
      <c r="U79" s="1343"/>
    </row>
    <row r="80" spans="2:23" ht="12.75">
      <c r="B80" s="1280" t="s">
        <v>580</v>
      </c>
      <c r="C80" s="1344"/>
      <c r="D80" s="1282"/>
      <c r="E80" s="1284"/>
      <c r="F80" s="1345"/>
      <c r="G80" s="1284"/>
      <c r="H80" s="1346"/>
      <c r="I80" s="1284"/>
      <c r="J80" s="1345"/>
      <c r="K80" s="1284"/>
      <c r="L80" s="1282"/>
      <c r="M80" s="1284"/>
      <c r="N80" s="1346"/>
      <c r="O80" s="1284"/>
      <c r="P80" s="1346"/>
      <c r="Q80" s="1284"/>
      <c r="R80" s="1346"/>
      <c r="S80" s="1284"/>
      <c r="T80" s="1346"/>
      <c r="U80" s="1347"/>
    </row>
    <row r="81" spans="1:33" ht="12.75">
      <c r="B81" s="1293" t="s">
        <v>581</v>
      </c>
      <c r="C81" s="805">
        <v>2364</v>
      </c>
      <c r="D81" s="1278"/>
      <c r="E81" s="340">
        <v>1249850.52</v>
      </c>
      <c r="F81" s="1334"/>
      <c r="G81" s="340">
        <v>62492.526000000005</v>
      </c>
      <c r="H81" s="312"/>
      <c r="I81" s="340">
        <v>1187357.9939999999</v>
      </c>
      <c r="J81" s="1334"/>
      <c r="K81" s="340">
        <v>62.492526000000005</v>
      </c>
      <c r="L81" s="334" t="s">
        <v>952</v>
      </c>
      <c r="M81" s="340">
        <v>5936.7899699999998</v>
      </c>
      <c r="N81" s="312" t="s">
        <v>951</v>
      </c>
      <c r="O81" s="340">
        <v>9427.4439222857145</v>
      </c>
      <c r="P81" s="312" t="s">
        <v>951</v>
      </c>
      <c r="Q81" s="340">
        <f>O81/1000*310*12/44</f>
        <v>797.04753161142867</v>
      </c>
      <c r="R81" s="312" t="s">
        <v>951</v>
      </c>
      <c r="S81" s="341">
        <f>Q81/10^6</f>
        <v>7.9704753161142865E-4</v>
      </c>
      <c r="T81" s="312" t="s">
        <v>951</v>
      </c>
      <c r="U81" s="1340">
        <f>S81/(12/44)</f>
        <v>2.9225076159085719E-3</v>
      </c>
    </row>
    <row r="82" spans="1:33" ht="12.75">
      <c r="B82" s="1293" t="s">
        <v>582</v>
      </c>
      <c r="C82" s="805">
        <v>708</v>
      </c>
      <c r="D82" s="1278"/>
      <c r="E82" s="340">
        <v>74950.559999999998</v>
      </c>
      <c r="F82" s="1334"/>
      <c r="G82" s="340">
        <v>3747.5280000000002</v>
      </c>
      <c r="H82" s="312"/>
      <c r="I82" s="340">
        <v>71203.031999999992</v>
      </c>
      <c r="J82" s="1334"/>
      <c r="K82" s="340">
        <v>3.7475280000000004</v>
      </c>
      <c r="L82" s="334" t="s">
        <v>952</v>
      </c>
      <c r="M82" s="340">
        <v>356.01515999999998</v>
      </c>
      <c r="N82" s="312" t="s">
        <v>951</v>
      </c>
      <c r="O82" s="340">
        <v>565.34136685714282</v>
      </c>
      <c r="P82" s="312" t="s">
        <v>951</v>
      </c>
      <c r="Q82" s="340">
        <f>O82/1000*310*12/44</f>
        <v>47.797042834285712</v>
      </c>
      <c r="R82" s="312" t="s">
        <v>951</v>
      </c>
      <c r="S82" s="341">
        <f>Q82/10^6</f>
        <v>4.7797042834285709E-5</v>
      </c>
      <c r="T82" s="312" t="s">
        <v>951</v>
      </c>
      <c r="U82" s="1340">
        <f>S82/(12/44)</f>
        <v>1.7525582372571427E-4</v>
      </c>
    </row>
    <row r="83" spans="1:33" ht="12.75">
      <c r="B83" s="1293" t="s">
        <v>583</v>
      </c>
      <c r="C83" s="805">
        <v>10</v>
      </c>
      <c r="D83" s="1278"/>
      <c r="E83" s="340">
        <v>6543.72</v>
      </c>
      <c r="F83" s="1334"/>
      <c r="G83" s="340">
        <v>327.18600000000004</v>
      </c>
      <c r="H83" s="312"/>
      <c r="I83" s="340">
        <v>6216.5339999999997</v>
      </c>
      <c r="J83" s="1334"/>
      <c r="K83" s="340">
        <v>0.32718600000000003</v>
      </c>
      <c r="L83" s="334" t="s">
        <v>952</v>
      </c>
      <c r="M83" s="340">
        <v>31.08267</v>
      </c>
      <c r="N83" s="312" t="s">
        <v>951</v>
      </c>
      <c r="O83" s="340">
        <v>49.358345142857146</v>
      </c>
      <c r="P83" s="312" t="s">
        <v>951</v>
      </c>
      <c r="Q83" s="340">
        <f>O83/1000*310*12/44</f>
        <v>4.1730237257142866</v>
      </c>
      <c r="R83" s="312" t="s">
        <v>951</v>
      </c>
      <c r="S83" s="341">
        <f>Q83/10^6</f>
        <v>4.1730237257142869E-6</v>
      </c>
      <c r="T83" s="312" t="s">
        <v>951</v>
      </c>
      <c r="U83" s="1340">
        <f>S83/(12/44)</f>
        <v>1.5301086994285719E-5</v>
      </c>
    </row>
    <row r="84" spans="1:33" ht="12.75">
      <c r="B84" s="1280" t="s">
        <v>584</v>
      </c>
      <c r="C84" s="805">
        <v>52327</v>
      </c>
      <c r="D84" s="1296"/>
      <c r="E84" s="340">
        <v>19177820.145000003</v>
      </c>
      <c r="F84" s="1334"/>
      <c r="G84" s="340" t="s">
        <v>947</v>
      </c>
      <c r="H84" s="312"/>
      <c r="I84" s="340">
        <v>19177820.145000003</v>
      </c>
      <c r="J84" s="1334"/>
      <c r="K84" s="340" t="s">
        <v>947</v>
      </c>
      <c r="L84" s="334" t="s">
        <v>952</v>
      </c>
      <c r="M84" s="340">
        <v>383556.40290000004</v>
      </c>
      <c r="N84" s="312" t="s">
        <v>951</v>
      </c>
      <c r="O84" s="340">
        <v>602731.4902714286</v>
      </c>
      <c r="P84" s="312" t="s">
        <v>951</v>
      </c>
      <c r="Q84" s="340">
        <f>O84/1000*310*12/44</f>
        <v>50958.207813857145</v>
      </c>
      <c r="R84" s="312" t="s">
        <v>951</v>
      </c>
      <c r="S84" s="341">
        <f>Q84/10^6</f>
        <v>5.0958207813857147E-2</v>
      </c>
      <c r="T84" s="312" t="s">
        <v>951</v>
      </c>
      <c r="U84" s="1340">
        <f>S84/(12/44)</f>
        <v>0.18684676198414288</v>
      </c>
    </row>
    <row r="85" spans="1:33" ht="12.75">
      <c r="B85" s="1298" t="s">
        <v>585</v>
      </c>
      <c r="C85" s="805">
        <v>421</v>
      </c>
      <c r="D85" s="1296"/>
      <c r="E85" s="340">
        <v>1293022.72</v>
      </c>
      <c r="F85" s="1334"/>
      <c r="G85" s="340" t="s">
        <v>947</v>
      </c>
      <c r="H85" s="312"/>
      <c r="I85" s="340">
        <v>1293022.72</v>
      </c>
      <c r="J85" s="1334"/>
      <c r="K85" s="340" t="s">
        <v>947</v>
      </c>
      <c r="L85" s="334" t="s">
        <v>952</v>
      </c>
      <c r="M85" s="340">
        <v>25860.454399999999</v>
      </c>
      <c r="N85" s="312" t="s">
        <v>951</v>
      </c>
      <c r="O85" s="340">
        <v>40637.856914285709</v>
      </c>
      <c r="P85" s="312" t="s">
        <v>951</v>
      </c>
      <c r="Q85" s="340">
        <f>O85/1000*310*12/44</f>
        <v>3435.7460845714277</v>
      </c>
      <c r="R85" s="312" t="s">
        <v>951</v>
      </c>
      <c r="S85" s="341">
        <f>Q85/10^6</f>
        <v>3.4357460845714275E-3</v>
      </c>
      <c r="T85" s="312" t="s">
        <v>951</v>
      </c>
      <c r="U85" s="1340">
        <f>S85/(12/44)</f>
        <v>1.2597735643428568E-2</v>
      </c>
    </row>
    <row r="86" spans="1:33" ht="12.75">
      <c r="B86" s="1300" t="s">
        <v>187</v>
      </c>
      <c r="C86" s="1341"/>
      <c r="D86" s="1296"/>
      <c r="E86" s="340"/>
      <c r="F86" s="1334"/>
      <c r="G86" s="340"/>
      <c r="H86" s="312"/>
      <c r="I86" s="340"/>
      <c r="J86" s="1334"/>
      <c r="K86" s="340" t="s">
        <v>589</v>
      </c>
      <c r="L86" s="334"/>
      <c r="M86" s="340"/>
      <c r="N86" s="312"/>
      <c r="O86" s="340"/>
      <c r="P86" s="312"/>
      <c r="Q86" s="340"/>
      <c r="R86" s="312"/>
      <c r="S86" s="340"/>
      <c r="T86" s="312"/>
      <c r="U86" s="1343"/>
    </row>
    <row r="87" spans="1:33" ht="12.75">
      <c r="B87" s="1270" t="s">
        <v>586</v>
      </c>
      <c r="C87" s="805">
        <v>0</v>
      </c>
      <c r="D87" s="1296"/>
      <c r="E87" s="340">
        <v>0</v>
      </c>
      <c r="F87" s="1334"/>
      <c r="G87" s="340" t="s">
        <v>947</v>
      </c>
      <c r="H87" s="312"/>
      <c r="I87" s="340">
        <v>0</v>
      </c>
      <c r="J87" s="1334"/>
      <c r="K87" s="340" t="s">
        <v>947</v>
      </c>
      <c r="L87" s="334" t="s">
        <v>952</v>
      </c>
      <c r="M87" s="340">
        <v>0</v>
      </c>
      <c r="N87" s="312" t="s">
        <v>951</v>
      </c>
      <c r="O87" s="340">
        <v>0</v>
      </c>
      <c r="P87" s="312" t="s">
        <v>951</v>
      </c>
      <c r="Q87" s="340">
        <f>O87/1000*310*12/44</f>
        <v>0</v>
      </c>
      <c r="R87" s="312" t="s">
        <v>951</v>
      </c>
      <c r="S87" s="341">
        <f>Q87/10^6</f>
        <v>0</v>
      </c>
      <c r="T87" s="312" t="s">
        <v>951</v>
      </c>
      <c r="U87" s="1340">
        <f>S87/(12/44)</f>
        <v>0</v>
      </c>
    </row>
    <row r="88" spans="1:33" ht="12.75">
      <c r="B88" s="1270" t="s">
        <v>587</v>
      </c>
      <c r="C88" s="804">
        <v>24</v>
      </c>
      <c r="D88" s="1296"/>
      <c r="E88" s="340">
        <v>294336</v>
      </c>
      <c r="F88" s="1334"/>
      <c r="G88" s="340" t="s">
        <v>947</v>
      </c>
      <c r="H88" s="312"/>
      <c r="I88" s="340">
        <v>0</v>
      </c>
      <c r="J88" s="1334"/>
      <c r="K88" s="340" t="s">
        <v>947</v>
      </c>
      <c r="L88" s="334" t="s">
        <v>952</v>
      </c>
      <c r="M88" s="340">
        <v>0</v>
      </c>
      <c r="N88" s="312" t="s">
        <v>951</v>
      </c>
      <c r="O88" s="340">
        <v>0</v>
      </c>
      <c r="P88" s="312" t="s">
        <v>951</v>
      </c>
      <c r="Q88" s="340">
        <f>O88/1000*310*12/44</f>
        <v>0</v>
      </c>
      <c r="R88" s="312" t="s">
        <v>951</v>
      </c>
      <c r="S88" s="341">
        <f>Q88/10^6</f>
        <v>0</v>
      </c>
      <c r="T88" s="312" t="s">
        <v>951</v>
      </c>
      <c r="U88" s="1340">
        <f>S88/(12/44)</f>
        <v>0</v>
      </c>
    </row>
    <row r="89" spans="1:33" ht="12.75">
      <c r="B89" s="1356" t="s">
        <v>184</v>
      </c>
      <c r="C89" s="1357" t="s">
        <v>589</v>
      </c>
      <c r="D89" s="1358"/>
      <c r="E89" s="1359">
        <v>30118367.229000006</v>
      </c>
      <c r="F89" s="1358"/>
      <c r="G89" s="1359">
        <v>1908275.4229409834</v>
      </c>
      <c r="H89" s="1358"/>
      <c r="I89" s="1359">
        <v>24501558.333355505</v>
      </c>
      <c r="J89" s="1360"/>
      <c r="K89" s="1359">
        <v>1908.2754229409841</v>
      </c>
      <c r="L89" s="1361"/>
      <c r="M89" s="1359">
        <v>471059.50326711009</v>
      </c>
      <c r="N89" s="1360"/>
      <c r="O89" s="1359">
        <v>742687.14847622463</v>
      </c>
      <c r="P89" s="1360"/>
      <c r="Q89" s="1359">
        <f>SUM(Q68:Q88)</f>
        <v>62790.822552989899</v>
      </c>
      <c r="R89" s="1360"/>
      <c r="S89" s="1362">
        <f>Q89/10^6</f>
        <v>6.27908225529899E-2</v>
      </c>
      <c r="T89" s="1360"/>
      <c r="U89" s="1363">
        <f>S89/(12/44)</f>
        <v>0.23023301602762966</v>
      </c>
    </row>
    <row r="90" spans="1:33" ht="12" thickBot="1">
      <c r="A90" s="8"/>
      <c r="B90" s="1348"/>
      <c r="C90" s="1349"/>
      <c r="D90" s="1350"/>
      <c r="E90" s="1350"/>
      <c r="F90" s="1350"/>
      <c r="G90" s="1351"/>
      <c r="H90" s="1352"/>
      <c r="I90" s="1353"/>
      <c r="J90" s="1352"/>
      <c r="K90" s="1354"/>
      <c r="L90" s="561"/>
      <c r="M90" s="1354"/>
      <c r="N90" s="561"/>
      <c r="O90" s="561"/>
      <c r="P90" s="561"/>
      <c r="Q90" s="561"/>
      <c r="R90" s="561"/>
      <c r="S90" s="561"/>
      <c r="T90" s="561"/>
      <c r="U90" s="1355"/>
    </row>
    <row r="91" spans="1:33">
      <c r="A91" s="3"/>
      <c r="B91" s="1169"/>
      <c r="C91" s="79"/>
      <c r="D91" s="274"/>
      <c r="E91" s="274"/>
      <c r="F91" s="274"/>
      <c r="G91" s="315"/>
      <c r="H91" s="1170"/>
      <c r="I91" s="316"/>
      <c r="J91" s="1170"/>
      <c r="K91" s="317"/>
      <c r="L91" s="3"/>
      <c r="M91" s="317"/>
      <c r="N91" s="3"/>
      <c r="O91" s="3"/>
      <c r="P91" s="3"/>
      <c r="Q91" s="3"/>
      <c r="R91" s="3"/>
      <c r="S91" s="3"/>
      <c r="T91" s="3"/>
      <c r="U91" s="3"/>
    </row>
    <row r="92" spans="1:33" ht="12" thickBot="1">
      <c r="A92" s="3"/>
      <c r="B92" s="1169"/>
      <c r="C92" s="79"/>
      <c r="D92" s="274"/>
      <c r="E92" s="274"/>
      <c r="F92" s="274"/>
      <c r="G92" s="315"/>
      <c r="H92" s="1170"/>
      <c r="I92" s="316"/>
      <c r="J92" s="1170"/>
      <c r="K92" s="317"/>
      <c r="L92" s="3"/>
      <c r="M92" s="317"/>
      <c r="N92" s="3"/>
      <c r="O92" s="3"/>
      <c r="P92" s="3"/>
      <c r="Q92" s="3"/>
      <c r="R92" s="3"/>
      <c r="S92" s="3"/>
      <c r="T92" s="3"/>
      <c r="U92" s="3"/>
    </row>
    <row r="93" spans="1:33" ht="20.25" thickBot="1">
      <c r="B93" s="1045" t="s">
        <v>328</v>
      </c>
      <c r="C93" s="1046"/>
      <c r="D93" s="1047"/>
      <c r="E93" s="1047"/>
      <c r="F93" s="1058"/>
      <c r="G93" s="1368"/>
      <c r="H93" s="1369"/>
      <c r="I93" s="1370"/>
      <c r="J93" s="1369"/>
      <c r="K93" s="1371"/>
      <c r="L93" s="1372"/>
      <c r="M93" s="1371"/>
      <c r="N93" s="1372"/>
      <c r="O93" s="1372"/>
      <c r="P93" s="1372"/>
      <c r="Q93" s="1372"/>
      <c r="R93" s="1372"/>
      <c r="S93" s="1372"/>
      <c r="T93" s="1372"/>
      <c r="U93" s="1372"/>
      <c r="V93" s="1372"/>
      <c r="W93" s="1372"/>
      <c r="X93" s="1372"/>
      <c r="Y93" s="1372"/>
      <c r="Z93" s="1372"/>
      <c r="AA93" s="1372"/>
      <c r="AB93" s="1372"/>
      <c r="AC93" s="1372"/>
      <c r="AD93" s="1372"/>
      <c r="AE93" s="1373"/>
    </row>
    <row r="94" spans="1:33" s="213" customFormat="1" ht="12" thickBot="1">
      <c r="B94" s="1171" t="s">
        <v>600</v>
      </c>
      <c r="C94" s="214"/>
      <c r="D94" s="214"/>
      <c r="E94" s="214"/>
      <c r="F94" s="214"/>
      <c r="G94" s="1226"/>
      <c r="H94" s="1193"/>
      <c r="I94" s="1193"/>
      <c r="J94" s="1226"/>
      <c r="K94" s="1226"/>
      <c r="L94" s="1226"/>
      <c r="M94" s="1228"/>
      <c r="N94" s="1226"/>
      <c r="O94" s="1226"/>
      <c r="P94" s="1229"/>
      <c r="Q94" s="1226"/>
      <c r="R94" s="1226"/>
      <c r="S94" s="1226"/>
      <c r="T94" s="1226"/>
      <c r="U94" s="1226"/>
      <c r="V94" s="1226"/>
      <c r="W94" s="1226"/>
      <c r="X94" s="1226"/>
      <c r="Y94" s="1226"/>
      <c r="Z94" s="1226"/>
      <c r="AA94" s="1226"/>
      <c r="AB94" s="1226"/>
      <c r="AC94" s="1226"/>
      <c r="AD94" s="1226"/>
      <c r="AE94" s="1227"/>
      <c r="AF94" s="214"/>
      <c r="AG94" s="214"/>
    </row>
    <row r="95" spans="1:33" s="213" customFormat="1" ht="48.75" thickBot="1">
      <c r="B95" s="1213"/>
      <c r="C95" s="1205" t="s">
        <v>1113</v>
      </c>
      <c r="D95" s="1205"/>
      <c r="E95" s="1205" t="s">
        <v>601</v>
      </c>
      <c r="F95" s="1205"/>
      <c r="G95" s="1205" t="s">
        <v>632</v>
      </c>
      <c r="H95" s="1214"/>
      <c r="I95" s="1205" t="s">
        <v>633</v>
      </c>
      <c r="J95" s="1214"/>
      <c r="K95" s="1205" t="s">
        <v>602</v>
      </c>
      <c r="L95" s="1205"/>
      <c r="M95" s="1205" t="s">
        <v>640</v>
      </c>
      <c r="N95" s="1215"/>
      <c r="O95" s="1205" t="s">
        <v>641</v>
      </c>
      <c r="P95" s="1205"/>
      <c r="Q95" s="1205" t="s">
        <v>642</v>
      </c>
      <c r="R95" s="1214"/>
      <c r="S95" s="1205" t="s">
        <v>643</v>
      </c>
      <c r="T95" s="1205"/>
      <c r="U95" s="1205" t="s">
        <v>661</v>
      </c>
      <c r="V95" s="1214"/>
      <c r="W95" s="1205" t="s">
        <v>603</v>
      </c>
      <c r="X95" s="1172"/>
      <c r="Y95" s="1203"/>
      <c r="Z95" s="1204" t="s">
        <v>662</v>
      </c>
      <c r="AA95" s="1205" t="s">
        <v>636</v>
      </c>
      <c r="AB95" s="1203"/>
      <c r="AC95" s="1206" t="s">
        <v>637</v>
      </c>
      <c r="AD95" s="1203"/>
      <c r="AE95" s="1207" t="s">
        <v>638</v>
      </c>
    </row>
    <row r="96" spans="1:33" s="213" customFormat="1">
      <c r="B96" s="1173" t="s">
        <v>604</v>
      </c>
      <c r="C96" s="1174" t="s">
        <v>605</v>
      </c>
      <c r="D96" s="812"/>
      <c r="E96" s="1175">
        <v>133</v>
      </c>
      <c r="F96" s="1176"/>
      <c r="G96" s="1177" t="s">
        <v>947</v>
      </c>
      <c r="H96" s="1070"/>
      <c r="I96" s="1070">
        <v>0</v>
      </c>
      <c r="J96" s="1070"/>
      <c r="K96" s="1178">
        <f>E96*0.9072*1000</f>
        <v>120657.60000000001</v>
      </c>
      <c r="L96" s="1179"/>
      <c r="M96" s="1070">
        <v>0.85</v>
      </c>
      <c r="N96" s="1070"/>
      <c r="O96" s="1070">
        <v>0</v>
      </c>
      <c r="P96" s="1070"/>
      <c r="Q96" s="1070" t="s">
        <v>947</v>
      </c>
      <c r="R96" s="1070"/>
      <c r="S96" s="1178" t="s">
        <v>947</v>
      </c>
      <c r="T96" s="1180"/>
      <c r="U96" s="1070">
        <v>0.03</v>
      </c>
      <c r="V96" s="1070"/>
      <c r="W96" s="1181">
        <f>(K96*1000)*(1+I96)*M96*U96</f>
        <v>3076768.8</v>
      </c>
      <c r="X96" s="816"/>
      <c r="Y96" s="1208" t="s">
        <v>606</v>
      </c>
      <c r="Z96" s="1180">
        <v>0.01</v>
      </c>
      <c r="AA96" s="1374">
        <f>S117/1000*Z96*44/28</f>
        <v>578.06661517835255</v>
      </c>
      <c r="AB96" s="816"/>
      <c r="AC96" s="1375">
        <f>AA96*310*12/44*10^-6</f>
        <v>4.8872904737806172E-2</v>
      </c>
      <c r="AD96" s="816"/>
      <c r="AE96" s="1209">
        <f>AC96/(12/44)</f>
        <v>0.17920065070528932</v>
      </c>
    </row>
    <row r="97" spans="2:31" s="213" customFormat="1">
      <c r="B97" s="840" t="s">
        <v>607</v>
      </c>
      <c r="C97" s="1182" t="s">
        <v>608</v>
      </c>
      <c r="D97" s="1182"/>
      <c r="E97" s="1183">
        <v>75250</v>
      </c>
      <c r="F97" s="1184"/>
      <c r="G97" s="1185">
        <v>2.5401147108E-2</v>
      </c>
      <c r="H97" s="821"/>
      <c r="I97" s="821">
        <v>1</v>
      </c>
      <c r="J97" s="821"/>
      <c r="K97" s="351">
        <f t="shared" ref="K97:K103" si="10">E97*1000*G97</f>
        <v>1911436.3198770001</v>
      </c>
      <c r="L97" s="343"/>
      <c r="M97" s="821">
        <v>0.91</v>
      </c>
      <c r="N97" s="821"/>
      <c r="O97" s="821">
        <v>0.9</v>
      </c>
      <c r="P97" s="821"/>
      <c r="Q97" s="821">
        <v>5.7999999999999996E-3</v>
      </c>
      <c r="R97" s="821"/>
      <c r="S97" s="343">
        <f>(K97*1000)*I97*M97*O97*Q97</f>
        <v>9079704.8066797256</v>
      </c>
      <c r="T97" s="827"/>
      <c r="U97" s="821">
        <v>0.03</v>
      </c>
      <c r="V97" s="821"/>
      <c r="W97" s="343" t="s">
        <v>947</v>
      </c>
      <c r="X97" s="1036"/>
      <c r="Y97" s="1210" t="s">
        <v>609</v>
      </c>
      <c r="Z97" s="827">
        <v>0.01</v>
      </c>
      <c r="AA97" s="1376">
        <f>W117/1000*Z97*44/28</f>
        <v>852.18149706895929</v>
      </c>
      <c r="AB97" s="1036"/>
      <c r="AC97" s="1377">
        <f>AA97*310*12/44*10^-6</f>
        <v>7.2048072024921098E-2</v>
      </c>
      <c r="AD97" s="1036"/>
      <c r="AE97" s="1212">
        <f>AC97/(12/44)</f>
        <v>0.2641762640913774</v>
      </c>
    </row>
    <row r="98" spans="2:31" s="213" customFormat="1">
      <c r="B98" s="840" t="s">
        <v>610</v>
      </c>
      <c r="C98" s="1182" t="s">
        <v>608</v>
      </c>
      <c r="D98" s="1182"/>
      <c r="E98" s="1183">
        <v>17500</v>
      </c>
      <c r="F98" s="1184"/>
      <c r="G98" s="1185">
        <v>2.7215442853E-2</v>
      </c>
      <c r="H98" s="821"/>
      <c r="I98" s="821">
        <v>1.3</v>
      </c>
      <c r="J98" s="821"/>
      <c r="K98" s="343">
        <f t="shared" si="10"/>
        <v>476270.24992749997</v>
      </c>
      <c r="L98" s="343"/>
      <c r="M98" s="821">
        <v>0.93</v>
      </c>
      <c r="N98" s="821"/>
      <c r="O98" s="821">
        <v>0.9</v>
      </c>
      <c r="P98" s="821"/>
      <c r="Q98" s="821">
        <v>6.1999999999999998E-3</v>
      </c>
      <c r="R98" s="821"/>
      <c r="S98" s="343">
        <f t="shared" ref="S98:S111" si="11">(K98*1000)*I98*M98*O98*Q98</f>
        <v>3213023.8854658986</v>
      </c>
      <c r="T98" s="827"/>
      <c r="U98" s="821">
        <v>0.03</v>
      </c>
      <c r="V98" s="821"/>
      <c r="W98" s="343" t="s">
        <v>947</v>
      </c>
      <c r="X98" s="1036"/>
      <c r="Y98" s="1186"/>
      <c r="Z98" s="1187"/>
      <c r="AA98" s="1036"/>
      <c r="AB98" s="1036"/>
      <c r="AC98" s="1036"/>
      <c r="AD98" s="1036"/>
      <c r="AE98" s="823"/>
    </row>
    <row r="99" spans="2:31" s="213" customFormat="1">
      <c r="B99" s="840" t="s">
        <v>611</v>
      </c>
      <c r="C99" s="1182" t="s">
        <v>608</v>
      </c>
      <c r="D99" s="1182"/>
      <c r="E99" s="1183">
        <v>3465</v>
      </c>
      <c r="F99" s="1184"/>
      <c r="G99" s="1185">
        <v>2.1772E-2</v>
      </c>
      <c r="H99" s="821"/>
      <c r="I99" s="821">
        <v>1.2</v>
      </c>
      <c r="J99" s="821"/>
      <c r="K99" s="343">
        <f t="shared" si="10"/>
        <v>75439.98</v>
      </c>
      <c r="L99" s="343"/>
      <c r="M99" s="821">
        <v>0.93</v>
      </c>
      <c r="N99" s="821"/>
      <c r="O99" s="821">
        <v>0.9</v>
      </c>
      <c r="P99" s="821"/>
      <c r="Q99" s="821">
        <v>7.7000000000000002E-3</v>
      </c>
      <c r="R99" s="821"/>
      <c r="S99" s="343">
        <f t="shared" si="11"/>
        <v>583443.75252240011</v>
      </c>
      <c r="T99" s="827"/>
      <c r="U99" s="821">
        <v>0.03</v>
      </c>
      <c r="V99" s="821"/>
      <c r="W99" s="343" t="s">
        <v>947</v>
      </c>
      <c r="X99" s="1036"/>
      <c r="Y99" s="1036"/>
      <c r="Z99" s="1187"/>
      <c r="AA99" s="1036"/>
      <c r="AB99" s="1036"/>
      <c r="AC99" s="1036"/>
      <c r="AD99" s="1036"/>
      <c r="AE99" s="823"/>
    </row>
    <row r="100" spans="2:31" s="213" customFormat="1">
      <c r="B100" s="840" t="s">
        <v>612</v>
      </c>
      <c r="C100" s="1182" t="s">
        <v>608</v>
      </c>
      <c r="D100" s="1182"/>
      <c r="E100" s="1183">
        <v>0</v>
      </c>
      <c r="F100" s="1184"/>
      <c r="G100" s="1185">
        <v>2.5401169512752383E-2</v>
      </c>
      <c r="H100" s="821"/>
      <c r="I100" s="821">
        <v>1.4</v>
      </c>
      <c r="J100" s="821"/>
      <c r="K100" s="343">
        <f t="shared" si="10"/>
        <v>0</v>
      </c>
      <c r="L100" s="343"/>
      <c r="M100" s="821">
        <v>0.91</v>
      </c>
      <c r="N100" s="821"/>
      <c r="O100" s="821">
        <v>0.9</v>
      </c>
      <c r="P100" s="821"/>
      <c r="Q100" s="821">
        <v>1.0800000000000001E-2</v>
      </c>
      <c r="R100" s="821"/>
      <c r="S100" s="343">
        <f t="shared" si="11"/>
        <v>0</v>
      </c>
      <c r="T100" s="827"/>
      <c r="U100" s="821">
        <v>0.03</v>
      </c>
      <c r="V100" s="821"/>
      <c r="W100" s="343" t="s">
        <v>947</v>
      </c>
      <c r="X100" s="1036"/>
      <c r="Y100" s="1036"/>
      <c r="Z100" s="1187"/>
      <c r="AA100" s="1036"/>
      <c r="AB100" s="1036"/>
      <c r="AC100" s="1036"/>
      <c r="AD100" s="1036"/>
      <c r="AE100" s="823"/>
    </row>
    <row r="101" spans="2:31" s="213" customFormat="1">
      <c r="B101" s="840" t="s">
        <v>613</v>
      </c>
      <c r="C101" s="1182" t="s">
        <v>608</v>
      </c>
      <c r="D101" s="1182"/>
      <c r="E101" s="1183">
        <v>0</v>
      </c>
      <c r="F101" s="1184"/>
      <c r="G101" s="1185">
        <v>1.4514959222223263E-2</v>
      </c>
      <c r="H101" s="821"/>
      <c r="I101" s="821">
        <v>1.3</v>
      </c>
      <c r="J101" s="821"/>
      <c r="K101" s="343">
        <f t="shared" si="10"/>
        <v>0</v>
      </c>
      <c r="L101" s="343"/>
      <c r="M101" s="821">
        <v>0.92</v>
      </c>
      <c r="N101" s="821"/>
      <c r="O101" s="821">
        <v>0.9</v>
      </c>
      <c r="P101" s="821"/>
      <c r="Q101" s="821">
        <v>7.0000000000000001E-3</v>
      </c>
      <c r="R101" s="821"/>
      <c r="S101" s="343">
        <f t="shared" si="11"/>
        <v>0</v>
      </c>
      <c r="T101" s="827"/>
      <c r="U101" s="821">
        <v>0.03</v>
      </c>
      <c r="V101" s="821"/>
      <c r="W101" s="343" t="s">
        <v>947</v>
      </c>
      <c r="X101" s="1036"/>
      <c r="Y101" s="1036"/>
      <c r="Z101" s="1187"/>
      <c r="AA101" s="1036"/>
      <c r="AB101" s="1036"/>
      <c r="AC101" s="1036"/>
      <c r="AD101" s="1036"/>
      <c r="AE101" s="823"/>
    </row>
    <row r="102" spans="2:31" s="213" customFormat="1">
      <c r="B102" s="840" t="s">
        <v>614</v>
      </c>
      <c r="C102" s="1182" t="s">
        <v>608</v>
      </c>
      <c r="D102" s="1182"/>
      <c r="E102" s="1183">
        <v>0</v>
      </c>
      <c r="F102" s="1184"/>
      <c r="G102" s="1185">
        <v>2.5401046494036766E-2</v>
      </c>
      <c r="H102" s="821"/>
      <c r="I102" s="821">
        <v>1.6</v>
      </c>
      <c r="J102" s="821"/>
      <c r="K102" s="343">
        <f t="shared" si="10"/>
        <v>0</v>
      </c>
      <c r="L102" s="343"/>
      <c r="M102" s="821">
        <v>0.9</v>
      </c>
      <c r="N102" s="821"/>
      <c r="O102" s="821">
        <v>0.9</v>
      </c>
      <c r="P102" s="821"/>
      <c r="Q102" s="821">
        <v>4.7999999999999996E-3</v>
      </c>
      <c r="R102" s="821"/>
      <c r="S102" s="343">
        <f t="shared" si="11"/>
        <v>0</v>
      </c>
      <c r="T102" s="827"/>
      <c r="U102" s="821">
        <v>0.03</v>
      </c>
      <c r="V102" s="821"/>
      <c r="W102" s="343" t="s">
        <v>947</v>
      </c>
      <c r="X102" s="1036"/>
      <c r="Y102" s="1036"/>
      <c r="Z102" s="1187"/>
      <c r="AA102" s="1036"/>
      <c r="AB102" s="1036"/>
      <c r="AC102" s="1036"/>
      <c r="AD102" s="1036"/>
      <c r="AE102" s="823"/>
    </row>
    <row r="103" spans="2:31" s="213" customFormat="1">
      <c r="B103" s="840" t="s">
        <v>615</v>
      </c>
      <c r="C103" s="1182" t="s">
        <v>608</v>
      </c>
      <c r="D103" s="1182"/>
      <c r="E103" s="1188">
        <v>0</v>
      </c>
      <c r="F103" s="1184"/>
      <c r="G103" s="1185">
        <v>2.7215E-2</v>
      </c>
      <c r="H103" s="821"/>
      <c r="I103" s="821">
        <v>1.4</v>
      </c>
      <c r="J103" s="821"/>
      <c r="K103" s="343">
        <f t="shared" si="10"/>
        <v>0</v>
      </c>
      <c r="L103" s="827"/>
      <c r="M103" s="821">
        <v>0.89</v>
      </c>
      <c r="N103" s="821"/>
      <c r="O103" s="821">
        <v>0.89</v>
      </c>
      <c r="P103" s="821"/>
      <c r="Q103" s="821">
        <v>7.0000000000000001E-3</v>
      </c>
      <c r="R103" s="821"/>
      <c r="S103" s="343">
        <f t="shared" si="11"/>
        <v>0</v>
      </c>
      <c r="T103" s="827"/>
      <c r="U103" s="821">
        <v>0.03</v>
      </c>
      <c r="V103" s="821"/>
      <c r="W103" s="343" t="s">
        <v>947</v>
      </c>
      <c r="X103" s="1036"/>
      <c r="Y103" s="1036"/>
      <c r="Z103" s="1189"/>
      <c r="AA103" s="1036"/>
      <c r="AB103" s="1036"/>
      <c r="AC103" s="1036"/>
      <c r="AD103" s="1036"/>
      <c r="AE103" s="823"/>
    </row>
    <row r="104" spans="2:31" s="213" customFormat="1" ht="33.75">
      <c r="B104" s="840" t="s">
        <v>616</v>
      </c>
      <c r="C104" s="1182" t="s">
        <v>639</v>
      </c>
      <c r="D104" s="1182"/>
      <c r="E104" s="1183">
        <v>0</v>
      </c>
      <c r="F104" s="1184"/>
      <c r="G104" s="1185" t="s">
        <v>947</v>
      </c>
      <c r="H104" s="821"/>
      <c r="I104" s="821">
        <v>1.4</v>
      </c>
      <c r="J104" s="821"/>
      <c r="K104" s="343">
        <f>(E104*0.454)*100</f>
        <v>0</v>
      </c>
      <c r="L104" s="343"/>
      <c r="M104" s="821">
        <v>0.91</v>
      </c>
      <c r="N104" s="821"/>
      <c r="O104" s="821">
        <v>1</v>
      </c>
      <c r="P104" s="821"/>
      <c r="Q104" s="821">
        <v>7.1999999999999998E-3</v>
      </c>
      <c r="R104" s="821"/>
      <c r="S104" s="343">
        <f t="shared" si="11"/>
        <v>0</v>
      </c>
      <c r="T104" s="827"/>
      <c r="U104" s="821">
        <v>0.03</v>
      </c>
      <c r="V104" s="821"/>
      <c r="W104" s="343" t="s">
        <v>947</v>
      </c>
      <c r="X104" s="1036"/>
      <c r="Y104" s="1036"/>
      <c r="Z104" s="1187"/>
      <c r="AA104" s="1036"/>
      <c r="AB104" s="1036"/>
      <c r="AC104" s="1036"/>
      <c r="AD104" s="1036"/>
      <c r="AE104" s="823"/>
    </row>
    <row r="105" spans="2:31" s="213" customFormat="1">
      <c r="B105" s="840" t="s">
        <v>617</v>
      </c>
      <c r="C105" s="1182" t="s">
        <v>608</v>
      </c>
      <c r="D105" s="1182"/>
      <c r="E105" s="1183">
        <v>23230</v>
      </c>
      <c r="F105" s="1184"/>
      <c r="G105" s="1185">
        <v>2.7215692074999999E-2</v>
      </c>
      <c r="H105" s="821"/>
      <c r="I105" s="821">
        <v>2.1</v>
      </c>
      <c r="J105" s="821"/>
      <c r="K105" s="343">
        <f>E105*1000*G105</f>
        <v>632220.52690225001</v>
      </c>
      <c r="L105" s="343"/>
      <c r="M105" s="821">
        <v>0.87</v>
      </c>
      <c r="N105" s="821"/>
      <c r="O105" s="821">
        <v>0.9</v>
      </c>
      <c r="P105" s="821"/>
      <c r="Q105" s="821">
        <v>2.3E-2</v>
      </c>
      <c r="R105" s="821"/>
      <c r="S105" s="343">
        <f t="shared" si="11"/>
        <v>23909884.884863503</v>
      </c>
      <c r="T105" s="827"/>
      <c r="U105" s="821">
        <v>0.03</v>
      </c>
      <c r="V105" s="821"/>
      <c r="W105" s="351">
        <f>(K105*1000)*(1+I105)*M105*U105</f>
        <v>51152962.831661053</v>
      </c>
      <c r="X105" s="1036"/>
      <c r="Y105" s="1036"/>
      <c r="Z105" s="1187"/>
      <c r="AA105" s="1036"/>
      <c r="AB105" s="1036"/>
      <c r="AC105" s="1036"/>
      <c r="AD105" s="1036"/>
      <c r="AE105" s="823"/>
    </row>
    <row r="106" spans="2:31" s="213" customFormat="1">
      <c r="B106" s="840" t="s">
        <v>618</v>
      </c>
      <c r="C106" s="1182" t="s">
        <v>619</v>
      </c>
      <c r="D106" s="1182"/>
      <c r="E106" s="1183">
        <v>0</v>
      </c>
      <c r="F106" s="1184"/>
      <c r="G106" s="1185" t="s">
        <v>947</v>
      </c>
      <c r="H106" s="821"/>
      <c r="I106" s="821">
        <v>1</v>
      </c>
      <c r="J106" s="821"/>
      <c r="K106" s="343">
        <f>(E106*1000/2000*0.9072)</f>
        <v>0</v>
      </c>
      <c r="L106" s="343"/>
      <c r="M106" s="821">
        <v>0.86</v>
      </c>
      <c r="N106" s="821"/>
      <c r="O106" s="821">
        <v>0.9</v>
      </c>
      <c r="P106" s="821"/>
      <c r="Q106" s="821">
        <v>1.06E-2</v>
      </c>
      <c r="R106" s="821"/>
      <c r="S106" s="343">
        <f t="shared" si="11"/>
        <v>0</v>
      </c>
      <c r="T106" s="827"/>
      <c r="U106" s="821">
        <v>0.03</v>
      </c>
      <c r="V106" s="821"/>
      <c r="W106" s="351">
        <f t="shared" ref="W106:W115" si="12">(K106*1000)*(1+I106)*M106*U106</f>
        <v>0</v>
      </c>
      <c r="X106" s="1036"/>
      <c r="Y106" s="1036"/>
      <c r="Z106" s="1187"/>
      <c r="AA106" s="1036"/>
      <c r="AB106" s="1036"/>
      <c r="AC106" s="1036"/>
      <c r="AD106" s="1036"/>
      <c r="AE106" s="823"/>
    </row>
    <row r="107" spans="2:31" s="213" customFormat="1" ht="33.75">
      <c r="B107" s="840" t="s">
        <v>620</v>
      </c>
      <c r="C107" s="1182" t="s">
        <v>639</v>
      </c>
      <c r="D107" s="1182"/>
      <c r="E107" s="1183">
        <v>0</v>
      </c>
      <c r="F107" s="1184"/>
      <c r="G107" s="1185" t="s">
        <v>947</v>
      </c>
      <c r="H107" s="821"/>
      <c r="I107" s="821">
        <v>2.1</v>
      </c>
      <c r="J107" s="821"/>
      <c r="K107" s="343">
        <f>(E107*0.454)*100</f>
        <v>0</v>
      </c>
      <c r="L107" s="343"/>
      <c r="M107" s="821">
        <v>0.87</v>
      </c>
      <c r="N107" s="821"/>
      <c r="O107" s="821">
        <v>1.55</v>
      </c>
      <c r="P107" s="821"/>
      <c r="Q107" s="821">
        <v>1.6799999999999999E-2</v>
      </c>
      <c r="R107" s="821"/>
      <c r="S107" s="343">
        <f t="shared" si="11"/>
        <v>0</v>
      </c>
      <c r="T107" s="827"/>
      <c r="U107" s="821">
        <v>0.03</v>
      </c>
      <c r="V107" s="821"/>
      <c r="W107" s="351">
        <f t="shared" si="12"/>
        <v>0</v>
      </c>
      <c r="X107" s="1036"/>
      <c r="Y107" s="821"/>
      <c r="Z107" s="1187"/>
      <c r="AA107" s="1036"/>
      <c r="AB107" s="1036"/>
      <c r="AC107" s="1036"/>
      <c r="AD107" s="1036"/>
      <c r="AE107" s="823"/>
    </row>
    <row r="108" spans="2:31" s="213" customFormat="1" ht="33.75">
      <c r="B108" s="840" t="s">
        <v>621</v>
      </c>
      <c r="C108" s="1182" t="s">
        <v>639</v>
      </c>
      <c r="D108" s="1182"/>
      <c r="E108" s="1183">
        <v>0</v>
      </c>
      <c r="F108" s="1184"/>
      <c r="G108" s="1185" t="s">
        <v>947</v>
      </c>
      <c r="H108" s="821"/>
      <c r="I108" s="821">
        <v>1.5</v>
      </c>
      <c r="J108" s="821"/>
      <c r="K108" s="343">
        <f>(E108*0.454)*100</f>
        <v>0</v>
      </c>
      <c r="L108" s="343"/>
      <c r="M108" s="821">
        <v>0.87</v>
      </c>
      <c r="N108" s="821"/>
      <c r="O108" s="821">
        <v>0.9</v>
      </c>
      <c r="P108" s="821"/>
      <c r="Q108" s="821">
        <v>1.6799999999999999E-2</v>
      </c>
      <c r="R108" s="821"/>
      <c r="S108" s="343">
        <f t="shared" si="11"/>
        <v>0</v>
      </c>
      <c r="T108" s="827"/>
      <c r="U108" s="821">
        <v>0.03</v>
      </c>
      <c r="V108" s="821"/>
      <c r="W108" s="351">
        <f t="shared" si="12"/>
        <v>0</v>
      </c>
      <c r="X108" s="1036"/>
      <c r="Y108" s="821"/>
      <c r="Z108" s="1187"/>
      <c r="AA108" s="1036"/>
      <c r="AB108" s="1036"/>
      <c r="AC108" s="1036"/>
      <c r="AD108" s="1036"/>
      <c r="AE108" s="823"/>
    </row>
    <row r="109" spans="2:31" s="213" customFormat="1" ht="33.75">
      <c r="B109" s="1190" t="s">
        <v>622</v>
      </c>
      <c r="C109" s="1182" t="s">
        <v>639</v>
      </c>
      <c r="D109" s="1182"/>
      <c r="E109" s="1183">
        <v>0</v>
      </c>
      <c r="F109" s="1184"/>
      <c r="G109" s="1185" t="s">
        <v>947</v>
      </c>
      <c r="H109" s="821"/>
      <c r="I109" s="821">
        <v>1.5</v>
      </c>
      <c r="J109" s="821"/>
      <c r="K109" s="343">
        <f>(E109*0.454)*100</f>
        <v>0</v>
      </c>
      <c r="L109" s="343"/>
      <c r="M109" s="821">
        <v>0.87</v>
      </c>
      <c r="N109" s="821"/>
      <c r="O109" s="821">
        <v>0.9</v>
      </c>
      <c r="P109" s="821"/>
      <c r="Q109" s="821">
        <v>1.6799999999999999E-2</v>
      </c>
      <c r="R109" s="821"/>
      <c r="S109" s="343">
        <f t="shared" si="11"/>
        <v>0</v>
      </c>
      <c r="T109" s="827"/>
      <c r="U109" s="821">
        <v>0.03</v>
      </c>
      <c r="V109" s="821"/>
      <c r="W109" s="351">
        <f t="shared" si="12"/>
        <v>0</v>
      </c>
      <c r="X109" s="1036"/>
      <c r="Y109" s="821"/>
      <c r="Z109" s="1187"/>
      <c r="AA109" s="1036"/>
      <c r="AB109" s="1036"/>
      <c r="AC109" s="1036"/>
      <c r="AD109" s="1036"/>
      <c r="AE109" s="823"/>
    </row>
    <row r="110" spans="2:31" s="213" customFormat="1" ht="33.75">
      <c r="B110" s="1190" t="s">
        <v>623</v>
      </c>
      <c r="C110" s="1182" t="s">
        <v>639</v>
      </c>
      <c r="D110" s="1182"/>
      <c r="E110" s="1183">
        <v>0</v>
      </c>
      <c r="F110" s="1184"/>
      <c r="G110" s="1185" t="s">
        <v>947</v>
      </c>
      <c r="H110" s="821"/>
      <c r="I110" s="821">
        <v>2.1</v>
      </c>
      <c r="J110" s="821"/>
      <c r="K110" s="343">
        <f>(E110*0.454)*100</f>
        <v>0</v>
      </c>
      <c r="L110" s="343"/>
      <c r="M110" s="821">
        <v>0.87</v>
      </c>
      <c r="N110" s="821"/>
      <c r="O110" s="821">
        <v>1.55</v>
      </c>
      <c r="P110" s="821"/>
      <c r="Q110" s="821">
        <v>1.6799999999999999E-2</v>
      </c>
      <c r="R110" s="821"/>
      <c r="S110" s="343">
        <f t="shared" si="11"/>
        <v>0</v>
      </c>
      <c r="T110" s="827"/>
      <c r="U110" s="821">
        <v>0.03</v>
      </c>
      <c r="V110" s="821"/>
      <c r="W110" s="351">
        <f t="shared" si="12"/>
        <v>0</v>
      </c>
      <c r="X110" s="1036"/>
      <c r="Y110" s="1191"/>
      <c r="Z110" s="1187"/>
      <c r="AA110" s="1036"/>
      <c r="AB110" s="1036"/>
      <c r="AC110" s="1036"/>
      <c r="AD110" s="1036"/>
      <c r="AE110" s="823"/>
    </row>
    <row r="111" spans="2:31" s="213" customFormat="1" ht="33.75">
      <c r="B111" s="1190" t="s">
        <v>624</v>
      </c>
      <c r="C111" s="1182" t="s">
        <v>639</v>
      </c>
      <c r="D111" s="1182"/>
      <c r="E111" s="1183">
        <v>0</v>
      </c>
      <c r="F111" s="1184"/>
      <c r="G111" s="1185" t="s">
        <v>947</v>
      </c>
      <c r="H111" s="821"/>
      <c r="I111" s="821">
        <v>1.5</v>
      </c>
      <c r="J111" s="821"/>
      <c r="K111" s="343">
        <f>(E111*0.454)*100</f>
        <v>0</v>
      </c>
      <c r="L111" s="343"/>
      <c r="M111" s="821">
        <v>0.87</v>
      </c>
      <c r="N111" s="821"/>
      <c r="O111" s="821">
        <v>0.9</v>
      </c>
      <c r="P111" s="821"/>
      <c r="Q111" s="821">
        <v>1.6799999999999999E-2</v>
      </c>
      <c r="R111" s="821"/>
      <c r="S111" s="343">
        <f t="shared" si="11"/>
        <v>0</v>
      </c>
      <c r="T111" s="827"/>
      <c r="U111" s="821">
        <v>0.03</v>
      </c>
      <c r="V111" s="821"/>
      <c r="W111" s="351">
        <f t="shared" si="12"/>
        <v>0</v>
      </c>
      <c r="X111" s="1036"/>
      <c r="Y111" s="1191"/>
      <c r="Z111" s="1187"/>
      <c r="AA111" s="1036"/>
      <c r="AB111" s="1036"/>
      <c r="AC111" s="1036"/>
      <c r="AD111" s="1036"/>
      <c r="AE111" s="823"/>
    </row>
    <row r="112" spans="2:31" s="213" customFormat="1">
      <c r="B112" s="1190" t="s">
        <v>625</v>
      </c>
      <c r="C112" s="1192" t="s">
        <v>626</v>
      </c>
      <c r="D112" s="1182"/>
      <c r="E112" s="1188"/>
      <c r="F112" s="1184"/>
      <c r="G112" s="1185" t="s">
        <v>947</v>
      </c>
      <c r="H112" s="821"/>
      <c r="I112" s="821"/>
      <c r="J112" s="821"/>
      <c r="K112" s="343">
        <f>E112</f>
        <v>0</v>
      </c>
      <c r="L112" s="827"/>
      <c r="M112" s="821"/>
      <c r="N112" s="821"/>
      <c r="O112" s="821"/>
      <c r="P112" s="821"/>
      <c r="Q112" s="821"/>
      <c r="R112" s="821"/>
      <c r="S112" s="343" t="s">
        <v>947</v>
      </c>
      <c r="T112" s="827"/>
      <c r="U112" s="821">
        <v>0.03</v>
      </c>
      <c r="V112" s="821"/>
      <c r="W112" s="351">
        <f t="shared" si="12"/>
        <v>0</v>
      </c>
      <c r="X112" s="1036"/>
      <c r="Y112" s="1191"/>
      <c r="Z112" s="1187"/>
      <c r="AA112" s="1036"/>
      <c r="AB112" s="1036"/>
      <c r="AC112" s="1036"/>
      <c r="AD112" s="1036"/>
      <c r="AE112" s="823"/>
    </row>
    <row r="113" spans="1:31" s="213" customFormat="1">
      <c r="B113" s="1190" t="s">
        <v>627</v>
      </c>
      <c r="C113" s="1192" t="s">
        <v>626</v>
      </c>
      <c r="D113" s="1182"/>
      <c r="E113" s="1188"/>
      <c r="F113" s="1184"/>
      <c r="G113" s="1185" t="s">
        <v>947</v>
      </c>
      <c r="H113" s="821"/>
      <c r="I113" s="821"/>
      <c r="J113" s="821"/>
      <c r="K113" s="343">
        <f>E113</f>
        <v>0</v>
      </c>
      <c r="L113" s="827"/>
      <c r="M113" s="821"/>
      <c r="N113" s="821"/>
      <c r="O113" s="821"/>
      <c r="P113" s="821"/>
      <c r="Q113" s="821"/>
      <c r="R113" s="821"/>
      <c r="S113" s="343" t="s">
        <v>947</v>
      </c>
      <c r="T113" s="827"/>
      <c r="U113" s="821">
        <v>0.03</v>
      </c>
      <c r="V113" s="821"/>
      <c r="W113" s="351">
        <f t="shared" si="12"/>
        <v>0</v>
      </c>
      <c r="X113" s="1036"/>
      <c r="Y113" s="1191"/>
      <c r="Z113" s="1187"/>
      <c r="AA113" s="1036"/>
      <c r="AB113" s="1036"/>
      <c r="AC113" s="1036"/>
      <c r="AD113" s="1036"/>
      <c r="AE113" s="823"/>
    </row>
    <row r="114" spans="1:31" s="213" customFormat="1">
      <c r="B114" s="1190" t="s">
        <v>628</v>
      </c>
      <c r="C114" s="1192" t="s">
        <v>626</v>
      </c>
      <c r="D114" s="1182"/>
      <c r="E114" s="1188"/>
      <c r="F114" s="1184"/>
      <c r="G114" s="1185" t="s">
        <v>947</v>
      </c>
      <c r="H114" s="821"/>
      <c r="I114" s="821"/>
      <c r="J114" s="821"/>
      <c r="K114" s="343">
        <f>E114</f>
        <v>0</v>
      </c>
      <c r="L114" s="827"/>
      <c r="M114" s="821"/>
      <c r="N114" s="821"/>
      <c r="O114" s="821"/>
      <c r="P114" s="821"/>
      <c r="Q114" s="821"/>
      <c r="R114" s="821"/>
      <c r="S114" s="343" t="s">
        <v>947</v>
      </c>
      <c r="T114" s="827"/>
      <c r="U114" s="821">
        <v>0.03</v>
      </c>
      <c r="V114" s="821"/>
      <c r="W114" s="351">
        <f t="shared" si="12"/>
        <v>0</v>
      </c>
      <c r="X114" s="1036"/>
      <c r="Y114" s="1191"/>
      <c r="Z114" s="1187"/>
      <c r="AA114" s="1036"/>
      <c r="AB114" s="1036"/>
      <c r="AC114" s="1036"/>
      <c r="AD114" s="1036"/>
      <c r="AE114" s="823"/>
    </row>
    <row r="115" spans="1:31" s="213" customFormat="1">
      <c r="B115" s="1190" t="s">
        <v>629</v>
      </c>
      <c r="C115" s="1192" t="s">
        <v>626</v>
      </c>
      <c r="D115" s="1182"/>
      <c r="E115" s="1188"/>
      <c r="F115" s="1184"/>
      <c r="G115" s="1185" t="s">
        <v>947</v>
      </c>
      <c r="H115" s="821"/>
      <c r="I115" s="821"/>
      <c r="J115" s="821"/>
      <c r="K115" s="343">
        <f>E115</f>
        <v>0</v>
      </c>
      <c r="L115" s="827"/>
      <c r="M115" s="821"/>
      <c r="N115" s="821"/>
      <c r="O115" s="821"/>
      <c r="P115" s="821"/>
      <c r="Q115" s="821"/>
      <c r="R115" s="821"/>
      <c r="S115" s="343" t="s">
        <v>947</v>
      </c>
      <c r="T115" s="827"/>
      <c r="U115" s="821">
        <v>0.03</v>
      </c>
      <c r="V115" s="821"/>
      <c r="W115" s="351">
        <f t="shared" si="12"/>
        <v>0</v>
      </c>
      <c r="X115" s="1036"/>
      <c r="Y115" s="1191"/>
      <c r="Z115" s="1187"/>
      <c r="AA115" s="1036"/>
      <c r="AB115" s="1036"/>
      <c r="AC115" s="1036"/>
      <c r="AD115" s="1036"/>
      <c r="AE115" s="823"/>
    </row>
    <row r="116" spans="1:31" s="213" customFormat="1">
      <c r="B116" s="1190" t="s">
        <v>630</v>
      </c>
      <c r="C116" s="1192" t="s">
        <v>626</v>
      </c>
      <c r="D116" s="1182"/>
      <c r="E116" s="1188"/>
      <c r="F116" s="1184"/>
      <c r="G116" s="1185" t="s">
        <v>947</v>
      </c>
      <c r="H116" s="821"/>
      <c r="I116" s="821"/>
      <c r="J116" s="821"/>
      <c r="K116" s="343">
        <f>E116</f>
        <v>0</v>
      </c>
      <c r="L116" s="827"/>
      <c r="M116" s="821"/>
      <c r="N116" s="821"/>
      <c r="O116" s="821"/>
      <c r="P116" s="821"/>
      <c r="Q116" s="821"/>
      <c r="R116" s="821"/>
      <c r="S116" s="343" t="s">
        <v>947</v>
      </c>
      <c r="T116" s="827"/>
      <c r="U116" s="821">
        <v>0.03</v>
      </c>
      <c r="V116" s="821"/>
      <c r="W116" s="351">
        <f>(K116*1000)*(1+I116)*M116*U116</f>
        <v>0</v>
      </c>
      <c r="X116" s="1036"/>
      <c r="Y116" s="1191"/>
      <c r="Z116" s="1187"/>
      <c r="AA116" s="1036"/>
      <c r="AB116" s="1036"/>
      <c r="AC116" s="1036"/>
      <c r="AD116" s="1036"/>
      <c r="AE116" s="823"/>
    </row>
    <row r="117" spans="1:31" s="213" customFormat="1" ht="12" thickBot="1">
      <c r="B117" s="1194" t="s">
        <v>184</v>
      </c>
      <c r="C117" s="1195"/>
      <c r="D117" s="1195"/>
      <c r="E117" s="1196"/>
      <c r="F117" s="1196"/>
      <c r="G117" s="1196"/>
      <c r="H117" s="1196"/>
      <c r="I117" s="1196"/>
      <c r="J117" s="1196"/>
      <c r="K117" s="1197">
        <f>SUM(K96:K116)</f>
        <v>3216024.6767067499</v>
      </c>
      <c r="L117" s="1197"/>
      <c r="M117" s="1198"/>
      <c r="N117" s="1196"/>
      <c r="O117" s="1196"/>
      <c r="P117" s="1196"/>
      <c r="Q117" s="1196"/>
      <c r="R117" s="1196"/>
      <c r="S117" s="1197">
        <f>SUM(S96:S111)</f>
        <v>36786057.329531528</v>
      </c>
      <c r="T117" s="1199"/>
      <c r="U117" s="1196"/>
      <c r="V117" s="1196"/>
      <c r="W117" s="1200">
        <f>SUM(W96:W116)</f>
        <v>54229731.63166105</v>
      </c>
      <c r="X117" s="1196"/>
      <c r="Y117" s="1196"/>
      <c r="Z117" s="1201"/>
      <c r="AA117" s="1196"/>
      <c r="AB117" s="1196"/>
      <c r="AC117" s="1196"/>
      <c r="AD117" s="1196"/>
      <c r="AE117" s="1202"/>
    </row>
    <row r="118" spans="1:31" s="213" customFormat="1">
      <c r="B118" s="297"/>
      <c r="C118" s="297"/>
      <c r="D118" s="297"/>
      <c r="E118" s="220"/>
      <c r="F118" s="220"/>
      <c r="G118" s="220"/>
      <c r="H118" s="220"/>
      <c r="I118" s="220"/>
      <c r="J118" s="220"/>
      <c r="K118" s="344"/>
      <c r="L118" s="344"/>
      <c r="M118" s="317"/>
      <c r="N118" s="220"/>
      <c r="O118" s="220"/>
      <c r="P118" s="220"/>
      <c r="Q118" s="220"/>
      <c r="R118" s="220"/>
      <c r="S118" s="344"/>
      <c r="T118" s="345"/>
      <c r="U118" s="220"/>
      <c r="V118" s="220"/>
      <c r="W118" s="348"/>
      <c r="X118" s="269"/>
      <c r="Y118" s="269"/>
      <c r="Z118" s="342"/>
      <c r="AA118" s="269"/>
      <c r="AB118" s="269"/>
      <c r="AC118" s="269"/>
      <c r="AD118" s="269"/>
      <c r="AE118" s="220"/>
    </row>
    <row r="119" spans="1:31" s="213" customFormat="1">
      <c r="B119" s="297"/>
      <c r="C119" s="297"/>
      <c r="D119" s="297"/>
      <c r="E119" s="220"/>
      <c r="F119" s="220"/>
      <c r="G119" s="220"/>
      <c r="H119" s="220"/>
      <c r="I119" s="220"/>
      <c r="J119" s="220"/>
      <c r="K119" s="344"/>
      <c r="L119" s="344"/>
      <c r="M119" s="317"/>
      <c r="N119" s="220"/>
      <c r="O119" s="220"/>
      <c r="P119" s="220"/>
      <c r="Q119" s="220"/>
      <c r="R119" s="220"/>
      <c r="S119" s="344"/>
      <c r="T119" s="345"/>
      <c r="U119" s="220"/>
      <c r="V119" s="220"/>
      <c r="W119" s="348"/>
      <c r="X119" s="269"/>
      <c r="Y119" s="269"/>
      <c r="Z119" s="342"/>
      <c r="AA119" s="269"/>
      <c r="AB119" s="269"/>
      <c r="AC119" s="269"/>
      <c r="AD119" s="269"/>
      <c r="AE119" s="220"/>
    </row>
    <row r="120" spans="1:31" ht="12" thickBot="1">
      <c r="A120" s="3"/>
      <c r="B120" s="318"/>
      <c r="C120" s="319"/>
      <c r="D120" s="320"/>
      <c r="E120" s="320"/>
      <c r="F120" s="320"/>
      <c r="G120" s="321"/>
      <c r="H120" s="322"/>
      <c r="I120" s="323"/>
      <c r="J120" s="322"/>
      <c r="K120" s="324"/>
      <c r="L120" s="8"/>
      <c r="M120" s="324"/>
      <c r="N120" s="8"/>
      <c r="O120" s="8"/>
      <c r="P120" s="8"/>
      <c r="Q120" s="8"/>
      <c r="R120" s="8"/>
      <c r="S120" s="8"/>
      <c r="T120" s="8"/>
      <c r="U120" s="8"/>
    </row>
    <row r="121" spans="1:31" ht="20.25" thickBot="1">
      <c r="A121" s="20"/>
      <c r="B121" s="1045" t="s">
        <v>327</v>
      </c>
      <c r="C121" s="1046"/>
      <c r="D121" s="1047"/>
      <c r="E121" s="1047"/>
      <c r="F121" s="1058"/>
      <c r="G121" s="1368"/>
      <c r="H121" s="1369"/>
      <c r="I121" s="1370"/>
      <c r="J121" s="1369"/>
      <c r="K121" s="1371"/>
      <c r="L121" s="1372"/>
      <c r="M121" s="1371"/>
      <c r="N121" s="1372"/>
      <c r="O121" s="1372"/>
      <c r="P121" s="1372"/>
      <c r="Q121" s="1372"/>
      <c r="R121" s="1372"/>
      <c r="S121" s="1372"/>
      <c r="T121" s="1372"/>
      <c r="U121" s="1372"/>
      <c r="V121" s="1372"/>
      <c r="W121" s="1372"/>
      <c r="X121" s="1372"/>
      <c r="Y121" s="1373"/>
    </row>
    <row r="122" spans="1:31" s="213" customFormat="1" ht="12" thickBot="1">
      <c r="A122" s="214"/>
      <c r="B122" s="1056" t="s">
        <v>663</v>
      </c>
      <c r="C122" s="1057">
        <v>2014</v>
      </c>
      <c r="D122" s="1055"/>
      <c r="E122" s="1055"/>
      <c r="F122" s="1055"/>
      <c r="G122" s="1055"/>
      <c r="H122" s="1055"/>
      <c r="I122" s="1055"/>
      <c r="J122" s="1055"/>
      <c r="K122" s="1055"/>
      <c r="L122" s="1055"/>
      <c r="M122" s="1055"/>
      <c r="N122" s="214"/>
      <c r="O122" s="214"/>
      <c r="P122" s="214"/>
      <c r="Q122" s="214"/>
      <c r="R122" s="214"/>
      <c r="S122" s="214"/>
      <c r="T122" s="214"/>
      <c r="U122" s="214"/>
      <c r="V122" s="1226"/>
      <c r="W122" s="1226"/>
      <c r="X122" s="1226"/>
      <c r="Y122" s="1227"/>
      <c r="Z122" s="214"/>
      <c r="AA122" s="214"/>
      <c r="AB122" s="214"/>
      <c r="AC122" s="214"/>
      <c r="AD122" s="214"/>
      <c r="AE122" s="224"/>
    </row>
    <row r="123" spans="1:31" s="242" customFormat="1" ht="46.5">
      <c r="B123" s="1216" t="s">
        <v>664</v>
      </c>
      <c r="C123" s="1217" t="s">
        <v>734</v>
      </c>
      <c r="D123" s="1217"/>
      <c r="E123" s="1218" t="s">
        <v>735</v>
      </c>
      <c r="F123" s="1219"/>
      <c r="G123" s="1220" t="s">
        <v>733</v>
      </c>
      <c r="H123" s="1221"/>
      <c r="I123" s="1222" t="s">
        <v>803</v>
      </c>
      <c r="J123" s="1221"/>
      <c r="K123" s="1217" t="s">
        <v>736</v>
      </c>
      <c r="L123" s="1217"/>
      <c r="M123" s="1217" t="s">
        <v>737</v>
      </c>
      <c r="N123" s="1217"/>
      <c r="O123" s="1220" t="s">
        <v>738</v>
      </c>
      <c r="P123" s="1217"/>
      <c r="Q123" s="1220" t="s">
        <v>739</v>
      </c>
      <c r="R123" s="1223"/>
      <c r="S123" s="1224" t="s">
        <v>740</v>
      </c>
      <c r="T123" s="1223"/>
      <c r="U123" s="1224" t="s">
        <v>741</v>
      </c>
      <c r="V123" s="1223"/>
      <c r="W123" s="1220" t="s">
        <v>801</v>
      </c>
      <c r="X123" s="1221"/>
      <c r="Y123" s="1225" t="s">
        <v>802</v>
      </c>
    </row>
    <row r="124" spans="1:31" s="213" customFormat="1">
      <c r="B124" s="1025" t="s">
        <v>721</v>
      </c>
      <c r="C124" s="349">
        <f>32639.48*907.2</f>
        <v>29610536.256000001</v>
      </c>
      <c r="D124" s="355"/>
      <c r="E124" s="1026">
        <f>$C140*0.65+$C124*0.35</f>
        <v>24559856.294399999</v>
      </c>
      <c r="F124" s="1023"/>
      <c r="G124" s="1014">
        <v>0.1</v>
      </c>
      <c r="H124" s="821"/>
      <c r="I124" s="821"/>
      <c r="J124" s="821"/>
      <c r="K124" s="1015">
        <f>($E124*(1-G124))</f>
        <v>22103870.664960001</v>
      </c>
      <c r="L124" s="1015"/>
      <c r="M124" s="1015">
        <v>5120245.8012377974</v>
      </c>
      <c r="N124" s="1015"/>
      <c r="O124" s="1016">
        <f>(K124+K125)/1000*0.01*44/28</f>
        <v>355.26438782886862</v>
      </c>
      <c r="P124" s="1015"/>
      <c r="Q124" s="1016">
        <f>(M124+M125)/1000*0.01*44/28</f>
        <v>80.53693967673783</v>
      </c>
      <c r="R124" s="1017"/>
      <c r="S124" s="1018">
        <f>O124*310*12/44*10^-6</f>
        <v>3.0035989152804345E-2</v>
      </c>
      <c r="T124" s="1019"/>
      <c r="U124" s="1018">
        <f>Q124*310*12/44*10^-6</f>
        <v>6.8090321726696533E-3</v>
      </c>
      <c r="V124" s="1017"/>
      <c r="W124" s="1211">
        <f>S124/(12/44)</f>
        <v>0.11013196022694927</v>
      </c>
      <c r="X124" s="1168"/>
      <c r="Y124" s="1212">
        <f>U124/(12/44)</f>
        <v>2.4966451299788729E-2</v>
      </c>
    </row>
    <row r="125" spans="1:31" s="213" customFormat="1" ht="12" thickBot="1">
      <c r="B125" s="1025" t="s">
        <v>722</v>
      </c>
      <c r="C125" s="351">
        <f>E125</f>
        <v>31404890.809999999</v>
      </c>
      <c r="D125" s="343"/>
      <c r="E125" s="1027">
        <f>SUM(E126:E132)</f>
        <v>31404890.809999999</v>
      </c>
      <c r="F125" s="1024"/>
      <c r="G125" s="1020">
        <v>0.2</v>
      </c>
      <c r="H125" s="853"/>
      <c r="I125" s="853">
        <v>4.1000000000000002E-2</v>
      </c>
      <c r="J125" s="853"/>
      <c r="K125" s="1021">
        <f>$E134*I125*(1-G125)</f>
        <v>503863.10596800002</v>
      </c>
      <c r="L125" s="1021"/>
      <c r="M125" s="1021">
        <v>4832.1781909733309</v>
      </c>
      <c r="N125" s="1021"/>
      <c r="O125" s="1021"/>
      <c r="P125" s="1021"/>
      <c r="Q125" s="1021"/>
      <c r="R125" s="1022"/>
      <c r="S125" s="1022"/>
      <c r="T125" s="1022"/>
      <c r="U125" s="1022"/>
      <c r="V125" s="1022"/>
      <c r="W125" s="1022"/>
      <c r="X125" s="853"/>
      <c r="Y125" s="854"/>
    </row>
    <row r="126" spans="1:31" s="213" customFormat="1">
      <c r="B126" s="1028" t="s">
        <v>723</v>
      </c>
      <c r="C126" s="349"/>
      <c r="D126" s="355"/>
      <c r="E126" s="1026">
        <f t="shared" ref="E126:E131" si="13">$C126*0.65+$C142*0.35</f>
        <v>0</v>
      </c>
      <c r="F126" s="350"/>
      <c r="G126" s="346"/>
      <c r="H126" s="350"/>
      <c r="K126" s="346"/>
      <c r="L126" s="346"/>
      <c r="M126" s="346"/>
      <c r="N126" s="346"/>
      <c r="O126" s="346"/>
      <c r="P126" s="227"/>
      <c r="Q126" s="227"/>
      <c r="R126" s="227"/>
      <c r="S126" s="227"/>
      <c r="T126" s="227"/>
      <c r="U126" s="227"/>
    </row>
    <row r="127" spans="1:31" s="213" customFormat="1">
      <c r="B127" s="1028" t="s">
        <v>724</v>
      </c>
      <c r="C127" s="349"/>
      <c r="D127" s="355"/>
      <c r="E127" s="1026">
        <f t="shared" si="13"/>
        <v>0</v>
      </c>
      <c r="F127" s="350"/>
      <c r="G127" s="350"/>
      <c r="H127" s="350"/>
      <c r="I127" s="346"/>
      <c r="J127" s="346"/>
      <c r="K127" s="346"/>
      <c r="L127" s="346"/>
      <c r="M127" s="346"/>
      <c r="N127" s="227"/>
      <c r="O127" s="227"/>
      <c r="P127" s="227"/>
      <c r="Q127" s="227"/>
      <c r="R127" s="227"/>
      <c r="S127" s="227"/>
    </row>
    <row r="128" spans="1:31" s="213" customFormat="1">
      <c r="B128" s="3051" t="s">
        <v>725</v>
      </c>
      <c r="C128" s="349">
        <v>16043210.75</v>
      </c>
      <c r="D128" s="355"/>
      <c r="E128" s="1026">
        <f>C128</f>
        <v>16043210.75</v>
      </c>
      <c r="F128" s="350"/>
      <c r="G128" s="350"/>
      <c r="H128" s="350"/>
      <c r="I128" s="346"/>
      <c r="J128" s="346"/>
      <c r="K128" s="346"/>
      <c r="L128" s="346"/>
      <c r="M128" s="346"/>
      <c r="N128" s="227"/>
      <c r="O128" s="227"/>
      <c r="P128" s="227"/>
      <c r="Q128" s="227"/>
      <c r="R128" s="227"/>
      <c r="S128" s="227"/>
    </row>
    <row r="129" spans="1:49" s="213" customFormat="1">
      <c r="B129" s="1028" t="s">
        <v>726</v>
      </c>
      <c r="C129" s="349">
        <v>15132935</v>
      </c>
      <c r="D129" s="355"/>
      <c r="E129" s="1026">
        <f>C129</f>
        <v>15132935</v>
      </c>
      <c r="F129" s="350"/>
      <c r="G129" s="350"/>
      <c r="H129" s="350"/>
      <c r="I129" s="346"/>
      <c r="J129" s="346"/>
      <c r="K129" s="346"/>
      <c r="L129" s="346"/>
      <c r="M129" s="346"/>
      <c r="N129" s="227"/>
      <c r="O129" s="227"/>
      <c r="P129" s="227"/>
      <c r="Q129" s="227"/>
      <c r="R129" s="227"/>
      <c r="S129" s="227"/>
    </row>
    <row r="130" spans="1:49" s="213" customFormat="1">
      <c r="B130" s="1028" t="s">
        <v>727</v>
      </c>
      <c r="C130" s="349"/>
      <c r="D130" s="355"/>
      <c r="E130" s="1026">
        <f t="shared" si="13"/>
        <v>0</v>
      </c>
      <c r="F130" s="350"/>
      <c r="G130" s="350"/>
      <c r="H130" s="350"/>
      <c r="I130" s="346"/>
      <c r="J130" s="346"/>
      <c r="K130" s="346"/>
      <c r="L130" s="346"/>
      <c r="M130" s="346"/>
      <c r="N130" s="227"/>
      <c r="O130" s="227"/>
      <c r="P130" s="227"/>
      <c r="Q130" s="227"/>
      <c r="R130" s="227"/>
      <c r="S130" s="227"/>
    </row>
    <row r="131" spans="1:49" s="213" customFormat="1">
      <c r="B131" s="1028" t="s">
        <v>728</v>
      </c>
      <c r="C131" s="349"/>
      <c r="D131" s="355"/>
      <c r="E131" s="1026">
        <f t="shared" si="13"/>
        <v>0</v>
      </c>
      <c r="F131" s="350"/>
      <c r="G131" s="350"/>
      <c r="H131" s="350"/>
      <c r="I131" s="346"/>
      <c r="J131" s="346"/>
      <c r="K131" s="346"/>
      <c r="L131" s="346"/>
      <c r="M131" s="346"/>
      <c r="N131" s="227"/>
      <c r="O131" s="227"/>
      <c r="P131" s="227"/>
      <c r="Q131" s="227"/>
      <c r="R131" s="227"/>
      <c r="S131" s="227"/>
    </row>
    <row r="132" spans="1:49" s="213" customFormat="1">
      <c r="B132" s="1028" t="s">
        <v>729</v>
      </c>
      <c r="C132" s="349">
        <v>228745.06</v>
      </c>
      <c r="D132" s="355"/>
      <c r="E132" s="1026">
        <f>C132</f>
        <v>228745.06</v>
      </c>
      <c r="F132" s="350"/>
      <c r="G132" s="350"/>
      <c r="H132" s="350"/>
      <c r="I132" s="346"/>
      <c r="J132" s="352"/>
      <c r="K132" s="346"/>
      <c r="L132" s="346"/>
      <c r="M132" s="346"/>
      <c r="N132" s="227"/>
      <c r="O132" s="227"/>
      <c r="P132" s="227"/>
      <c r="Q132" s="227"/>
      <c r="R132" s="227"/>
      <c r="S132" s="227"/>
    </row>
    <row r="133" spans="1:49" s="213" customFormat="1">
      <c r="B133" s="1029" t="s">
        <v>730</v>
      </c>
      <c r="C133" s="353">
        <v>5.0683858558632873E-3</v>
      </c>
      <c r="D133" s="355"/>
      <c r="E133" s="1030">
        <f>IF(E125=0,0,E128/E125)</f>
        <v>0.51085070943445199</v>
      </c>
      <c r="F133" s="350"/>
      <c r="G133" s="354"/>
      <c r="H133" s="354"/>
      <c r="I133" s="350"/>
      <c r="J133" s="350"/>
      <c r="K133" s="350"/>
      <c r="L133" s="350"/>
      <c r="M133" s="350"/>
      <c r="N133" s="269"/>
      <c r="O133" s="269"/>
      <c r="P133" s="269"/>
      <c r="Q133" s="269"/>
      <c r="R133" s="269"/>
      <c r="S133" s="269"/>
    </row>
    <row r="134" spans="1:49" s="213" customFormat="1">
      <c r="B134" s="1029" t="s">
        <v>731</v>
      </c>
      <c r="C134" s="3050">
        <f>C125-C128</f>
        <v>15361680.059999999</v>
      </c>
      <c r="D134" s="355"/>
      <c r="E134" s="1031">
        <f>E125*(1-E133)</f>
        <v>15361680.059999999</v>
      </c>
      <c r="F134" s="350"/>
      <c r="G134" s="350"/>
      <c r="H134" s="350"/>
      <c r="I134" s="350"/>
      <c r="J134" s="350"/>
      <c r="K134" s="350"/>
      <c r="L134" s="350"/>
      <c r="M134" s="350"/>
      <c r="N134" s="269"/>
      <c r="O134" s="269"/>
      <c r="P134" s="269"/>
      <c r="Q134" s="269"/>
      <c r="R134" s="269"/>
      <c r="S134" s="269"/>
    </row>
    <row r="135" spans="1:49" s="213" customFormat="1">
      <c r="B135" s="1032" t="s">
        <v>732</v>
      </c>
      <c r="C135" s="355">
        <f>C128</f>
        <v>16043210.75</v>
      </c>
      <c r="D135" s="355"/>
      <c r="E135" s="1033">
        <f>E125*E133</f>
        <v>16043210.75</v>
      </c>
      <c r="F135" s="350"/>
      <c r="G135" s="350"/>
      <c r="H135" s="350"/>
      <c r="I135" s="350"/>
      <c r="J135" s="350"/>
      <c r="K135" s="350"/>
      <c r="L135" s="350"/>
      <c r="M135" s="350"/>
      <c r="N135" s="269"/>
      <c r="O135" s="269"/>
      <c r="P135" s="269"/>
      <c r="Q135" s="269"/>
      <c r="R135" s="269"/>
      <c r="S135" s="269"/>
    </row>
    <row r="136" spans="1:49" s="213" customFormat="1">
      <c r="B136" s="840"/>
      <c r="C136" s="1034"/>
      <c r="D136" s="1034"/>
      <c r="E136" s="1035"/>
      <c r="F136" s="354"/>
      <c r="G136" s="354"/>
      <c r="H136" s="354"/>
      <c r="I136" s="354"/>
      <c r="J136" s="354"/>
      <c r="K136" s="354"/>
      <c r="L136" s="354"/>
      <c r="M136" s="354"/>
    </row>
    <row r="137" spans="1:49" s="213" customFormat="1" ht="12" thickBot="1">
      <c r="A137" s="214"/>
      <c r="B137" s="1049"/>
      <c r="C137" s="1050"/>
      <c r="D137" s="1036"/>
      <c r="E137" s="1037"/>
      <c r="F137" s="214"/>
      <c r="G137" s="214"/>
      <c r="H137" s="214"/>
      <c r="I137" s="214"/>
      <c r="J137" s="214"/>
      <c r="K137" s="214"/>
      <c r="L137" s="214"/>
      <c r="M137" s="214"/>
      <c r="N137" s="214"/>
      <c r="O137" s="214"/>
      <c r="P137" s="214"/>
      <c r="Q137" s="214"/>
      <c r="R137" s="214"/>
      <c r="S137" s="214"/>
      <c r="T137" s="214"/>
      <c r="U137" s="214"/>
      <c r="V137" s="214"/>
      <c r="W137" s="214"/>
      <c r="X137" s="214"/>
      <c r="Y137" s="214"/>
      <c r="Z137" s="214"/>
      <c r="AA137" s="214"/>
      <c r="AB137" s="214"/>
      <c r="AC137" s="214"/>
      <c r="AD137" s="214"/>
      <c r="AE137" s="214"/>
      <c r="AF137" s="214"/>
      <c r="AG137" s="214"/>
      <c r="AH137" s="214"/>
      <c r="AI137" s="214"/>
      <c r="AJ137" s="214"/>
      <c r="AK137" s="214"/>
      <c r="AL137" s="214"/>
      <c r="AM137" s="214"/>
      <c r="AN137" s="214"/>
      <c r="AO137" s="214"/>
      <c r="AP137" s="214"/>
      <c r="AQ137" s="214"/>
      <c r="AR137" s="214"/>
      <c r="AS137" s="214"/>
      <c r="AT137" s="214"/>
      <c r="AU137" s="214"/>
      <c r="AV137" s="214"/>
      <c r="AW137" s="214"/>
    </row>
    <row r="138" spans="1:49" s="213" customFormat="1" ht="12" thickBot="1">
      <c r="A138" s="214"/>
      <c r="B138" s="1053" t="s">
        <v>663</v>
      </c>
      <c r="C138" s="1054">
        <v>2013</v>
      </c>
      <c r="D138" s="1048"/>
      <c r="E138" s="1038"/>
      <c r="F138" s="224"/>
      <c r="G138" s="224"/>
      <c r="H138" s="224"/>
      <c r="I138" s="224"/>
      <c r="J138" s="224"/>
      <c r="K138" s="224"/>
      <c r="L138" s="224"/>
      <c r="M138" s="224"/>
      <c r="N138" s="224"/>
      <c r="O138" s="224"/>
      <c r="P138" s="224"/>
      <c r="Q138" s="224"/>
      <c r="R138" s="224"/>
      <c r="S138" s="224"/>
      <c r="T138" s="224"/>
      <c r="U138" s="224"/>
      <c r="V138" s="224"/>
      <c r="W138" s="224"/>
      <c r="X138" s="224"/>
      <c r="Y138" s="224"/>
      <c r="Z138" s="224"/>
      <c r="AA138" s="224"/>
      <c r="AB138" s="224"/>
      <c r="AC138" s="224"/>
      <c r="AD138" s="224"/>
      <c r="AE138" s="224"/>
    </row>
    <row r="139" spans="1:49" s="213" customFormat="1" ht="33.75">
      <c r="A139" s="242"/>
      <c r="B139" s="1051" t="s">
        <v>664</v>
      </c>
      <c r="C139" s="1052" t="s">
        <v>734</v>
      </c>
      <c r="D139" s="1039"/>
      <c r="E139" s="1040"/>
    </row>
    <row r="140" spans="1:49" s="213" customFormat="1">
      <c r="B140" s="1025" t="s">
        <v>721</v>
      </c>
      <c r="C140" s="349">
        <f>24074.36*907.2</f>
        <v>21840259.392000001</v>
      </c>
      <c r="D140" s="355"/>
      <c r="E140" s="1033"/>
    </row>
    <row r="141" spans="1:49" s="213" customFormat="1">
      <c r="B141" s="1025" t="s">
        <v>722</v>
      </c>
      <c r="C141" s="351"/>
      <c r="D141" s="343"/>
      <c r="E141" s="1041"/>
    </row>
    <row r="142" spans="1:49" s="213" customFormat="1">
      <c r="B142" s="1028" t="s">
        <v>723</v>
      </c>
      <c r="C142" s="349"/>
      <c r="D142" s="355"/>
      <c r="E142" s="1033"/>
      <c r="F142" s="350"/>
      <c r="G142" s="350"/>
      <c r="H142" s="346"/>
      <c r="I142" s="346"/>
      <c r="J142" s="346"/>
      <c r="K142" s="346"/>
      <c r="L142" s="346"/>
      <c r="M142" s="227"/>
      <c r="N142" s="227"/>
      <c r="O142" s="227"/>
      <c r="P142" s="227"/>
      <c r="Q142" s="227"/>
      <c r="R142" s="227"/>
    </row>
    <row r="143" spans="1:49" s="213" customFormat="1">
      <c r="B143" s="1028" t="s">
        <v>724</v>
      </c>
      <c r="C143" s="349"/>
      <c r="D143" s="355"/>
      <c r="E143" s="1033"/>
      <c r="F143" s="350"/>
      <c r="G143" s="350"/>
      <c r="H143" s="346"/>
      <c r="I143" s="346"/>
      <c r="J143" s="346"/>
      <c r="K143" s="346"/>
      <c r="L143" s="346"/>
      <c r="M143" s="227"/>
      <c r="N143" s="227"/>
      <c r="O143" s="227"/>
      <c r="P143" s="227"/>
      <c r="Q143" s="227"/>
      <c r="R143" s="227"/>
    </row>
    <row r="144" spans="1:49" s="213" customFormat="1">
      <c r="B144" s="1028" t="s">
        <v>725</v>
      </c>
      <c r="C144" s="349"/>
      <c r="D144" s="355"/>
      <c r="E144" s="1033"/>
      <c r="F144" s="350"/>
      <c r="G144" s="350"/>
      <c r="H144" s="346"/>
      <c r="I144" s="346"/>
      <c r="J144" s="346"/>
      <c r="K144" s="346"/>
      <c r="L144" s="346"/>
      <c r="M144" s="227"/>
      <c r="N144" s="227"/>
      <c r="O144" s="227"/>
      <c r="P144" s="227"/>
      <c r="Q144" s="227"/>
      <c r="R144" s="227"/>
    </row>
    <row r="145" spans="1:81" s="213" customFormat="1">
      <c r="B145" s="1028" t="s">
        <v>726</v>
      </c>
      <c r="C145" s="349"/>
      <c r="D145" s="355"/>
      <c r="E145" s="1033"/>
      <c r="F145" s="350"/>
      <c r="G145" s="350"/>
      <c r="H145" s="346"/>
      <c r="I145" s="346"/>
      <c r="J145" s="346"/>
      <c r="K145" s="346"/>
      <c r="L145" s="346"/>
      <c r="M145" s="227"/>
      <c r="N145" s="227"/>
      <c r="O145" s="227"/>
      <c r="P145" s="227"/>
      <c r="Q145" s="227"/>
      <c r="R145" s="227"/>
    </row>
    <row r="146" spans="1:81" s="213" customFormat="1">
      <c r="B146" s="1028" t="s">
        <v>727</v>
      </c>
      <c r="C146" s="349"/>
      <c r="D146" s="355"/>
      <c r="E146" s="1033"/>
      <c r="F146" s="350"/>
      <c r="G146" s="350"/>
      <c r="H146" s="346"/>
      <c r="I146" s="346"/>
      <c r="J146" s="346"/>
      <c r="K146" s="346"/>
      <c r="L146" s="346"/>
      <c r="M146" s="227"/>
      <c r="N146" s="227"/>
      <c r="O146" s="227"/>
      <c r="P146" s="227"/>
      <c r="Q146" s="227"/>
      <c r="R146" s="227"/>
    </row>
    <row r="147" spans="1:81" s="213" customFormat="1">
      <c r="B147" s="1028" t="s">
        <v>728</v>
      </c>
      <c r="C147" s="349"/>
      <c r="D147" s="355"/>
      <c r="E147" s="1033"/>
      <c r="F147" s="350"/>
      <c r="G147" s="350"/>
      <c r="H147" s="346"/>
      <c r="I147" s="346"/>
      <c r="J147" s="346"/>
      <c r="K147" s="346"/>
      <c r="L147" s="346"/>
      <c r="M147" s="227"/>
      <c r="N147" s="227"/>
      <c r="O147" s="227"/>
      <c r="P147" s="227"/>
      <c r="Q147" s="227"/>
      <c r="R147" s="227"/>
    </row>
    <row r="148" spans="1:81" s="213" customFormat="1">
      <c r="B148" s="1028" t="s">
        <v>729</v>
      </c>
      <c r="C148" s="349"/>
      <c r="D148" s="355"/>
      <c r="E148" s="1033"/>
      <c r="F148" s="350"/>
      <c r="G148" s="350"/>
      <c r="H148" s="346"/>
      <c r="I148" s="352"/>
      <c r="J148" s="346"/>
      <c r="K148" s="346"/>
      <c r="L148" s="346"/>
      <c r="M148" s="227"/>
      <c r="N148" s="227"/>
      <c r="O148" s="227"/>
      <c r="P148" s="227"/>
      <c r="Q148" s="227"/>
      <c r="R148" s="227"/>
    </row>
    <row r="149" spans="1:81" s="213" customFormat="1">
      <c r="B149" s="1029" t="s">
        <v>730</v>
      </c>
      <c r="C149" s="353">
        <v>5.0683858558632864E-3</v>
      </c>
      <c r="D149" s="355"/>
      <c r="E149" s="1033"/>
      <c r="F149" s="354"/>
      <c r="G149" s="354"/>
      <c r="H149" s="350"/>
      <c r="I149" s="350"/>
      <c r="J149" s="350"/>
      <c r="K149" s="350"/>
      <c r="L149" s="350"/>
      <c r="M149" s="269"/>
      <c r="N149" s="269"/>
      <c r="O149" s="269"/>
      <c r="P149" s="269"/>
      <c r="Q149" s="269"/>
      <c r="R149" s="269"/>
    </row>
    <row r="150" spans="1:81" s="213" customFormat="1">
      <c r="B150" s="1029" t="s">
        <v>731</v>
      </c>
      <c r="C150" s="355"/>
      <c r="D150" s="355"/>
      <c r="E150" s="1033"/>
      <c r="F150" s="350"/>
      <c r="G150" s="350"/>
      <c r="H150" s="350"/>
      <c r="I150" s="350"/>
      <c r="J150" s="350"/>
      <c r="K150" s="350"/>
      <c r="L150" s="350"/>
      <c r="M150" s="269"/>
      <c r="N150" s="269"/>
      <c r="O150" s="269"/>
      <c r="P150" s="269"/>
      <c r="Q150" s="269"/>
      <c r="R150" s="269"/>
    </row>
    <row r="151" spans="1:81" s="213" customFormat="1" ht="12" thickBot="1">
      <c r="B151" s="1042" t="s">
        <v>732</v>
      </c>
      <c r="C151" s="1043"/>
      <c r="D151" s="1043"/>
      <c r="E151" s="1044"/>
      <c r="F151" s="350"/>
      <c r="G151" s="350"/>
      <c r="H151" s="350"/>
      <c r="I151" s="350"/>
      <c r="J151" s="350"/>
      <c r="K151" s="350"/>
      <c r="L151" s="350"/>
      <c r="M151" s="269"/>
      <c r="N151" s="269"/>
      <c r="O151" s="269"/>
      <c r="P151" s="269"/>
      <c r="Q151" s="269"/>
      <c r="R151" s="269"/>
    </row>
    <row r="152" spans="1:81" ht="12" thickBot="1">
      <c r="A152" s="3"/>
      <c r="B152" s="318"/>
      <c r="C152" s="319"/>
      <c r="D152" s="320"/>
      <c r="E152" s="320"/>
      <c r="F152" s="320"/>
      <c r="G152" s="321"/>
      <c r="H152" s="322"/>
      <c r="I152" s="323"/>
      <c r="J152" s="322"/>
      <c r="K152" s="324"/>
      <c r="L152" s="8"/>
      <c r="M152" s="324"/>
      <c r="N152" s="8"/>
      <c r="O152" s="8"/>
      <c r="P152" s="8"/>
      <c r="Q152" s="8"/>
      <c r="R152" s="8"/>
      <c r="S152" s="8"/>
      <c r="T152" s="8"/>
      <c r="U152" s="8"/>
    </row>
    <row r="153" spans="1:81" ht="20.25" thickBot="1">
      <c r="A153" s="20"/>
      <c r="B153" s="1059" t="s">
        <v>804</v>
      </c>
      <c r="C153" s="1060"/>
      <c r="D153" s="1061"/>
      <c r="E153" s="1061"/>
      <c r="F153" s="1061"/>
      <c r="G153" s="1378"/>
      <c r="H153" s="1369"/>
      <c r="I153" s="1370"/>
      <c r="J153" s="1369"/>
      <c r="K153" s="1371"/>
      <c r="L153" s="1372"/>
      <c r="M153" s="1371"/>
      <c r="N153" s="1372"/>
      <c r="O153" s="1372"/>
      <c r="P153" s="1372"/>
      <c r="Q153" s="1372"/>
      <c r="R153" s="1372"/>
      <c r="S153" s="1372"/>
      <c r="T153" s="1372"/>
      <c r="U153" s="1372"/>
      <c r="V153" s="1372"/>
      <c r="W153" s="1372"/>
      <c r="X153" s="1372"/>
      <c r="Y153" s="1372"/>
      <c r="Z153" s="1372"/>
      <c r="AA153" s="1373"/>
      <c r="AH153" s="401" t="s">
        <v>853</v>
      </c>
    </row>
    <row r="154" spans="1:81" s="213" customFormat="1" ht="12" thickBot="1">
      <c r="B154" s="1062"/>
      <c r="C154" s="1063"/>
      <c r="D154" s="1064"/>
      <c r="E154" s="1065"/>
      <c r="F154" s="1065"/>
      <c r="G154" s="1065"/>
      <c r="H154" s="1065"/>
      <c r="I154" s="1064"/>
      <c r="J154" s="1064"/>
      <c r="K154" s="1152"/>
      <c r="L154" s="1149"/>
      <c r="M154" s="1150" t="s">
        <v>805</v>
      </c>
      <c r="N154" s="1150"/>
      <c r="O154" s="1153"/>
      <c r="P154" s="1067"/>
      <c r="Q154" s="1154"/>
      <c r="R154" s="1155"/>
      <c r="S154" s="1156" t="s">
        <v>806</v>
      </c>
      <c r="T154" s="1156"/>
      <c r="U154" s="1156"/>
      <c r="V154" s="1155"/>
      <c r="W154" s="1157"/>
      <c r="X154" s="1066"/>
      <c r="Y154" s="1066"/>
      <c r="Z154" s="1065"/>
      <c r="AA154" s="1068"/>
      <c r="AH154" s="402" t="s">
        <v>854</v>
      </c>
    </row>
    <row r="155" spans="1:81" s="213" customFormat="1" ht="58.5" thickBot="1">
      <c r="B155" s="1113"/>
      <c r="C155" s="1114" t="s">
        <v>821</v>
      </c>
      <c r="D155" s="1115"/>
      <c r="E155" s="1116" t="s">
        <v>819</v>
      </c>
      <c r="F155" s="1117"/>
      <c r="G155" s="1116" t="s">
        <v>820</v>
      </c>
      <c r="H155" s="1117"/>
      <c r="I155" s="1118" t="s">
        <v>822</v>
      </c>
      <c r="J155" s="1151"/>
      <c r="K155" s="1167" t="s">
        <v>823</v>
      </c>
      <c r="L155" s="1164"/>
      <c r="M155" s="1165" t="s">
        <v>807</v>
      </c>
      <c r="N155" s="1165"/>
      <c r="O155" s="1166" t="s">
        <v>808</v>
      </c>
      <c r="P155" s="366"/>
      <c r="Q155" s="1163" t="s">
        <v>809</v>
      </c>
      <c r="R155" s="1164"/>
      <c r="S155" s="1165" t="s">
        <v>810</v>
      </c>
      <c r="T155" s="1165"/>
      <c r="U155" s="1165" t="s">
        <v>811</v>
      </c>
      <c r="V155" s="1164"/>
      <c r="W155" s="1166" t="s">
        <v>856</v>
      </c>
      <c r="X155" s="1158"/>
      <c r="Y155" s="1119"/>
      <c r="Z155" s="1117"/>
      <c r="AA155" s="1147"/>
      <c r="AH155" s="3114" t="s">
        <v>831</v>
      </c>
      <c r="AI155" s="3114"/>
      <c r="AJ155" s="3114"/>
      <c r="AK155" s="3114"/>
      <c r="AL155" s="3114"/>
      <c r="AM155" s="3114"/>
      <c r="AN155" s="3114"/>
      <c r="AO155" s="10"/>
      <c r="AP155" s="3115" t="s">
        <v>832</v>
      </c>
      <c r="AQ155" s="3115"/>
      <c r="AR155" s="3115"/>
      <c r="AS155" s="3115"/>
      <c r="AT155" s="10"/>
      <c r="AU155" s="3114" t="s">
        <v>833</v>
      </c>
      <c r="AV155" s="3114"/>
      <c r="AW155" s="10"/>
      <c r="AX155" s="3114" t="s">
        <v>834</v>
      </c>
      <c r="AY155" s="3114"/>
      <c r="AZ155" s="10"/>
      <c r="BA155" s="3116" t="s">
        <v>554</v>
      </c>
      <c r="BB155" s="3116"/>
      <c r="BC155" s="3116"/>
      <c r="BD155" s="3116"/>
      <c r="BE155" s="3116"/>
      <c r="BF155" s="3116"/>
      <c r="BG155" s="376"/>
      <c r="BH155" s="3116" t="s">
        <v>580</v>
      </c>
      <c r="BI155" s="3116"/>
      <c r="BJ155" s="3116"/>
      <c r="BK155" s="3116"/>
      <c r="BL155" s="3116"/>
      <c r="BM155" s="376"/>
      <c r="BN155" s="3112" t="s">
        <v>584</v>
      </c>
      <c r="BO155" s="3112"/>
      <c r="BP155" s="378"/>
      <c r="BQ155" s="3117" t="s">
        <v>585</v>
      </c>
      <c r="BR155" s="3117"/>
      <c r="BS155" s="3117"/>
      <c r="BT155" s="376"/>
      <c r="BU155" s="3118" t="s">
        <v>552</v>
      </c>
      <c r="BV155" s="3118"/>
      <c r="BW155" s="3118"/>
      <c r="BX155" s="379"/>
      <c r="BY155" s="3112" t="s">
        <v>553</v>
      </c>
      <c r="BZ155" s="3112"/>
      <c r="CA155" s="376"/>
      <c r="CB155" s="3113" t="s">
        <v>555</v>
      </c>
      <c r="CC155" s="3113"/>
    </row>
    <row r="156" spans="1:81" s="213" customFormat="1" ht="34.5" thickTop="1">
      <c r="B156" s="1122" t="s">
        <v>513</v>
      </c>
      <c r="C156" s="1084"/>
      <c r="D156" s="1123"/>
      <c r="E156" s="1070"/>
      <c r="F156" s="1070"/>
      <c r="G156" s="1070"/>
      <c r="H156" s="1070"/>
      <c r="I156" s="1085"/>
      <c r="J156" s="1069"/>
      <c r="K156" s="1086"/>
      <c r="L156" s="1069"/>
      <c r="M156" s="1124"/>
      <c r="N156" s="1124"/>
      <c r="O156" s="1069"/>
      <c r="P156" s="1069"/>
      <c r="Q156" s="1159"/>
      <c r="R156" s="1159"/>
      <c r="S156" s="1160"/>
      <c r="T156" s="1160"/>
      <c r="U156" s="1161"/>
      <c r="V156" s="1162"/>
      <c r="W156" s="1121"/>
      <c r="X156" s="1071"/>
      <c r="Y156" s="1071"/>
      <c r="Z156" s="821"/>
      <c r="AA156" s="823"/>
      <c r="AH156" s="380" t="s">
        <v>835</v>
      </c>
      <c r="AI156" s="381" t="s">
        <v>836</v>
      </c>
      <c r="AJ156" s="381" t="s">
        <v>837</v>
      </c>
      <c r="AK156" s="381" t="s">
        <v>838</v>
      </c>
      <c r="AL156" s="381" t="s">
        <v>839</v>
      </c>
      <c r="AM156" s="381" t="s">
        <v>840</v>
      </c>
      <c r="AN156" s="382" t="s">
        <v>841</v>
      </c>
      <c r="AO156" s="383"/>
      <c r="AP156" s="384" t="s">
        <v>835</v>
      </c>
      <c r="AQ156" s="385" t="s">
        <v>842</v>
      </c>
      <c r="AR156" s="385" t="s">
        <v>843</v>
      </c>
      <c r="AS156" s="386" t="s">
        <v>838</v>
      </c>
      <c r="AT156" s="383"/>
      <c r="AU156" s="387" t="s">
        <v>844</v>
      </c>
      <c r="AV156" s="382" t="s">
        <v>845</v>
      </c>
      <c r="AW156" s="383"/>
      <c r="AX156" s="387" t="s">
        <v>844</v>
      </c>
      <c r="AY156" s="382" t="s">
        <v>840</v>
      </c>
      <c r="AZ156" s="383"/>
      <c r="BA156" s="388" t="s">
        <v>835</v>
      </c>
      <c r="BB156" s="381" t="s">
        <v>840</v>
      </c>
      <c r="BC156" s="381" t="s">
        <v>839</v>
      </c>
      <c r="BD156" s="381" t="s">
        <v>837</v>
      </c>
      <c r="BE156" s="381" t="s">
        <v>836</v>
      </c>
      <c r="BF156" s="382" t="s">
        <v>841</v>
      </c>
      <c r="BG156" s="389"/>
      <c r="BH156" s="390" t="s">
        <v>835</v>
      </c>
      <c r="BI156" s="391" t="s">
        <v>839</v>
      </c>
      <c r="BJ156" s="391" t="s">
        <v>837</v>
      </c>
      <c r="BK156" s="391" t="s">
        <v>836</v>
      </c>
      <c r="BL156" s="392" t="s">
        <v>846</v>
      </c>
      <c r="BM156" s="389"/>
      <c r="BN156" s="387" t="s">
        <v>847</v>
      </c>
      <c r="BO156" s="382" t="s">
        <v>905</v>
      </c>
      <c r="BP156" s="394"/>
      <c r="BQ156" s="387" t="s">
        <v>847</v>
      </c>
      <c r="BR156" s="395" t="s">
        <v>905</v>
      </c>
      <c r="BS156" s="396" t="s">
        <v>848</v>
      </c>
      <c r="BT156" s="377"/>
      <c r="BU156" s="397" t="s">
        <v>835</v>
      </c>
      <c r="BV156" s="398" t="s">
        <v>849</v>
      </c>
      <c r="BW156" s="413" t="s">
        <v>850</v>
      </c>
      <c r="BX156" s="399"/>
      <c r="BY156" s="393" t="s">
        <v>844</v>
      </c>
      <c r="BZ156" s="400" t="s">
        <v>852</v>
      </c>
      <c r="CA156" s="377"/>
      <c r="CB156" s="387" t="s">
        <v>844</v>
      </c>
      <c r="CC156" s="396" t="s">
        <v>852</v>
      </c>
    </row>
    <row r="157" spans="1:81" s="213" customFormat="1" ht="13.5" thickBot="1">
      <c r="B157" s="1088" t="s">
        <v>514</v>
      </c>
      <c r="C157" s="805">
        <v>50</v>
      </c>
      <c r="D157" s="1089"/>
      <c r="E157" s="821">
        <v>680</v>
      </c>
      <c r="F157" s="821"/>
      <c r="G157" s="821">
        <v>0.44</v>
      </c>
      <c r="H157" s="821"/>
      <c r="I157" s="368">
        <f>C157*E157*G157*365</f>
        <v>5460400</v>
      </c>
      <c r="J157" s="1089"/>
      <c r="K157" s="368">
        <f>(I157*0.2*0.01)/1000</f>
        <v>10.920800000000002</v>
      </c>
      <c r="L157" s="1071"/>
      <c r="M157" s="369">
        <f>C157*(AI157+AJ157+AL157+AN157)*E157*G157*365</f>
        <v>2676858.7457973151</v>
      </c>
      <c r="N157" s="1125"/>
      <c r="O157" s="369">
        <f>C157*(AM157)*E157*G157*365</f>
        <v>360170.18037193292</v>
      </c>
      <c r="P157" s="369"/>
      <c r="Q157" s="369">
        <f>C157*(AK157)*E157*G157*365</f>
        <v>2423371.0738307517</v>
      </c>
      <c r="R157" s="369"/>
      <c r="S157" s="448">
        <f>((M157+Q157)*(1-0.2)*0.0125)/1000</f>
        <v>51.002298196280684</v>
      </c>
      <c r="T157" s="369"/>
      <c r="U157" s="1126">
        <f>(O157*0.02)/1000</f>
        <v>7.2034036074386583</v>
      </c>
      <c r="V157" s="1101"/>
      <c r="W157" s="1072">
        <f>K125</f>
        <v>503863.10596800002</v>
      </c>
      <c r="X157" s="1071" t="s">
        <v>812</v>
      </c>
      <c r="Y157" s="1071"/>
      <c r="Z157" s="821"/>
      <c r="AA157" s="823"/>
      <c r="AH157" s="403" t="s">
        <v>545</v>
      </c>
      <c r="AI157" s="404">
        <v>7.6488535055593554E-2</v>
      </c>
      <c r="AJ157" s="404">
        <v>0.15472472257238745</v>
      </c>
      <c r="AK157" s="404">
        <v>0.44380834258126728</v>
      </c>
      <c r="AL157" s="404">
        <v>0.22861605738914034</v>
      </c>
      <c r="AM157" s="404">
        <v>6.5960402236453913E-2</v>
      </c>
      <c r="AN157" s="405">
        <v>3.0401940165157418E-2</v>
      </c>
      <c r="AO157" s="10"/>
      <c r="AP157" s="403" t="s">
        <v>545</v>
      </c>
      <c r="AQ157" s="404">
        <f>1-SUM(AR157:AS157)</f>
        <v>0.49023125518227884</v>
      </c>
      <c r="AR157" s="404">
        <v>6.5960402236453913E-2</v>
      </c>
      <c r="AS157" s="405">
        <v>0.44380834258126728</v>
      </c>
      <c r="AT157" s="10"/>
      <c r="AU157" s="403" t="s">
        <v>545</v>
      </c>
      <c r="AV157" s="414">
        <v>1</v>
      </c>
      <c r="AW157" s="10"/>
      <c r="AX157" s="403" t="s">
        <v>545</v>
      </c>
      <c r="AY157" s="414">
        <v>1</v>
      </c>
      <c r="AZ157" s="10"/>
      <c r="BA157" s="403" t="s">
        <v>545</v>
      </c>
      <c r="BB157" s="407">
        <v>0.21140679400000001</v>
      </c>
      <c r="BC157" s="404">
        <v>3.7602905999999998E-2</v>
      </c>
      <c r="BD157" s="404">
        <v>0.214504853</v>
      </c>
      <c r="BE157" s="404">
        <v>0.15671048400000001</v>
      </c>
      <c r="BF157" s="405">
        <v>0.37977496300000002</v>
      </c>
      <c r="BG157" s="376"/>
      <c r="BH157" s="406" t="s">
        <v>545</v>
      </c>
      <c r="BI157" s="408">
        <v>0</v>
      </c>
      <c r="BJ157" s="408">
        <v>0</v>
      </c>
      <c r="BK157" s="408">
        <v>0.05</v>
      </c>
      <c r="BL157" s="409">
        <v>0.95</v>
      </c>
      <c r="BN157" s="410" t="s">
        <v>855</v>
      </c>
      <c r="BO157" s="415">
        <v>1</v>
      </c>
      <c r="BQ157" s="411" t="s">
        <v>855</v>
      </c>
      <c r="BR157" s="416">
        <v>0.9</v>
      </c>
      <c r="BS157" s="417">
        <v>0.1</v>
      </c>
      <c r="BU157" s="411" t="s">
        <v>855</v>
      </c>
      <c r="BV157" s="412">
        <v>0</v>
      </c>
      <c r="BW157" s="415">
        <v>1</v>
      </c>
      <c r="BY157" s="410" t="s">
        <v>855</v>
      </c>
      <c r="BZ157" s="415">
        <v>1</v>
      </c>
      <c r="CB157" s="411" t="s">
        <v>855</v>
      </c>
      <c r="CC157" s="415">
        <v>1</v>
      </c>
    </row>
    <row r="158" spans="1:81" s="213" customFormat="1" ht="12.75" thickTop="1" thickBot="1">
      <c r="B158" s="1090" t="s">
        <v>515</v>
      </c>
      <c r="C158" s="805">
        <v>25</v>
      </c>
      <c r="D158" s="1089"/>
      <c r="E158" s="821">
        <v>476</v>
      </c>
      <c r="F158" s="821"/>
      <c r="G158" s="821">
        <v>0.31</v>
      </c>
      <c r="H158" s="821"/>
      <c r="I158" s="368">
        <f>C158*E158*G158*365</f>
        <v>1346485</v>
      </c>
      <c r="J158" s="1089"/>
      <c r="K158" s="368">
        <f>(I158*0.2*0.01)/1000</f>
        <v>2.6929700000000003</v>
      </c>
      <c r="L158" s="1071"/>
      <c r="M158" s="369">
        <f>C158*(AQ157)*E158*G158*365</f>
        <v>660089.03163411072</v>
      </c>
      <c r="N158" s="1093"/>
      <c r="O158" s="369">
        <f>C158*(AR157)*E158*G158*365</f>
        <v>88814.692205351646</v>
      </c>
      <c r="P158" s="1093"/>
      <c r="Q158" s="369">
        <f>C158*(AK157)*E158*G158*365</f>
        <v>597581.27616053761</v>
      </c>
      <c r="R158" s="369"/>
      <c r="S158" s="448">
        <f>((M158+Q158)*(1-0.2)*0.0125)/1000</f>
        <v>12.576703077946483</v>
      </c>
      <c r="T158" s="369"/>
      <c r="U158" s="1126">
        <f>(O158*0.02)/1000</f>
        <v>1.7762938441070331</v>
      </c>
      <c r="V158" s="1101"/>
      <c r="W158" s="1379">
        <f>K124</f>
        <v>22103870.664960001</v>
      </c>
      <c r="X158" s="1380" t="s">
        <v>813</v>
      </c>
      <c r="Y158" s="1381"/>
      <c r="Z158" s="1382"/>
      <c r="AA158" s="1383"/>
    </row>
    <row r="159" spans="1:81" s="213" customFormat="1" ht="12" thickBot="1">
      <c r="B159" s="1087" t="s">
        <v>543</v>
      </c>
      <c r="C159" s="1092"/>
      <c r="D159" s="372"/>
      <c r="E159" s="821"/>
      <c r="F159" s="821"/>
      <c r="G159" s="821"/>
      <c r="H159" s="821"/>
      <c r="I159" s="371"/>
      <c r="J159" s="372"/>
      <c r="K159" s="368"/>
      <c r="L159" s="1071"/>
      <c r="M159" s="369"/>
      <c r="N159" s="1093"/>
      <c r="O159" s="1093"/>
      <c r="P159" s="1093"/>
      <c r="Q159" s="1093"/>
      <c r="R159" s="369"/>
      <c r="S159" s="1127"/>
      <c r="T159" s="1071"/>
      <c r="U159" s="1128"/>
      <c r="V159" s="1101"/>
      <c r="W159" s="1387">
        <f>SUM(W157:W158)/1000*0.3</f>
        <v>6782.3201312783995</v>
      </c>
      <c r="X159" s="1388" t="s">
        <v>824</v>
      </c>
      <c r="Y159" s="1155"/>
      <c r="Z159" s="1203"/>
      <c r="AA159" s="1389"/>
    </row>
    <row r="160" spans="1:81" s="213" customFormat="1">
      <c r="B160" s="1090" t="s">
        <v>549</v>
      </c>
      <c r="C160" s="804">
        <v>3.9119999999999999</v>
      </c>
      <c r="D160" s="1089"/>
      <c r="E160" s="821">
        <v>420</v>
      </c>
      <c r="F160" s="821"/>
      <c r="G160" s="821">
        <v>0.3</v>
      </c>
      <c r="H160" s="821"/>
      <c r="I160" s="368">
        <f t="shared" ref="I160:I166" si="14">C160*E160*G160*365</f>
        <v>179912.88</v>
      </c>
      <c r="J160" s="372"/>
      <c r="K160" s="368">
        <f t="shared" ref="K160:K166" si="15">(I160*0.2*0.01)/1000</f>
        <v>0.35982575999999999</v>
      </c>
      <c r="L160" s="1093"/>
      <c r="M160" s="369">
        <f>C160*(AV157)*E160*G160*365</f>
        <v>179912.88</v>
      </c>
      <c r="N160" s="1093"/>
      <c r="O160" s="372" t="s">
        <v>947</v>
      </c>
      <c r="P160" s="1129"/>
      <c r="Q160" s="372" t="s">
        <v>947</v>
      </c>
      <c r="R160" s="369"/>
      <c r="S160" s="448">
        <f>((M160)*(1-0.2)*0.0125)/1000</f>
        <v>1.7991288000000001</v>
      </c>
      <c r="T160" s="369"/>
      <c r="U160" s="1130" t="s">
        <v>947</v>
      </c>
      <c r="V160" s="1148"/>
      <c r="W160" s="1384"/>
      <c r="X160" s="1121"/>
      <c r="Y160" s="1121"/>
      <c r="Z160" s="1385"/>
      <c r="AA160" s="1386"/>
    </row>
    <row r="161" spans="2:27" s="213" customFormat="1" ht="12" thickBot="1">
      <c r="B161" s="1090" t="s">
        <v>550</v>
      </c>
      <c r="C161" s="804">
        <v>7.3949999999999996</v>
      </c>
      <c r="D161" s="1089"/>
      <c r="E161" s="821">
        <v>420</v>
      </c>
      <c r="F161" s="821"/>
      <c r="G161" s="821">
        <v>0.3</v>
      </c>
      <c r="H161" s="821"/>
      <c r="I161" s="368">
        <f t="shared" si="14"/>
        <v>340096.04999999993</v>
      </c>
      <c r="J161" s="372"/>
      <c r="K161" s="368">
        <f t="shared" si="15"/>
        <v>0.68019209999999997</v>
      </c>
      <c r="L161" s="1093"/>
      <c r="M161" s="369">
        <f>C161*AV157*E161*G161*365</f>
        <v>340096.04999999993</v>
      </c>
      <c r="N161" s="1093"/>
      <c r="O161" s="372" t="s">
        <v>947</v>
      </c>
      <c r="P161" s="1129"/>
      <c r="Q161" s="372" t="s">
        <v>947</v>
      </c>
      <c r="R161" s="369"/>
      <c r="S161" s="448">
        <f>((M161)*(1-0.2)*0.0125)/1000</f>
        <v>3.4009604999999996</v>
      </c>
      <c r="T161" s="369"/>
      <c r="U161" s="1130" t="s">
        <v>947</v>
      </c>
      <c r="V161" s="1148"/>
      <c r="W161" s="1379">
        <f>I185</f>
        <v>37138792.048</v>
      </c>
      <c r="X161" s="1380" t="s">
        <v>814</v>
      </c>
      <c r="Y161" s="1381"/>
      <c r="Z161" s="1382"/>
      <c r="AA161" s="1383"/>
    </row>
    <row r="162" spans="2:27" s="213" customFormat="1" ht="12" thickBot="1">
      <c r="B162" s="1090" t="s">
        <v>551</v>
      </c>
      <c r="C162" s="805">
        <v>4</v>
      </c>
      <c r="D162" s="1089"/>
      <c r="E162" s="821">
        <v>750</v>
      </c>
      <c r="F162" s="821"/>
      <c r="G162" s="821">
        <v>0.31</v>
      </c>
      <c r="H162" s="821"/>
      <c r="I162" s="368">
        <f t="shared" si="14"/>
        <v>339450</v>
      </c>
      <c r="J162" s="1089"/>
      <c r="K162" s="368">
        <f t="shared" si="15"/>
        <v>0.67889999999999995</v>
      </c>
      <c r="L162" s="1071"/>
      <c r="M162" s="373" t="s">
        <v>947</v>
      </c>
      <c r="N162" s="1093"/>
      <c r="O162" s="374">
        <f>C162*(AY$157)*E162*G162*365</f>
        <v>339450</v>
      </c>
      <c r="P162" s="1129"/>
      <c r="Q162" s="372" t="s">
        <v>947</v>
      </c>
      <c r="R162" s="369"/>
      <c r="S162" s="373" t="s">
        <v>947</v>
      </c>
      <c r="T162" s="369"/>
      <c r="U162" s="1126">
        <f>(O162*0.02)/1000</f>
        <v>6.7889999999999997</v>
      </c>
      <c r="V162" s="1101"/>
      <c r="W162" s="1387">
        <f>(W161*(1-0)*0.3)/1000</f>
        <v>11141.637614399999</v>
      </c>
      <c r="X162" s="1388" t="s">
        <v>825</v>
      </c>
      <c r="Y162" s="1155"/>
      <c r="Z162" s="1203"/>
      <c r="AA162" s="1389"/>
    </row>
    <row r="163" spans="2:27" s="213" customFormat="1" ht="12" thickBot="1">
      <c r="B163" s="1090" t="s">
        <v>574</v>
      </c>
      <c r="C163" s="805">
        <v>33</v>
      </c>
      <c r="D163" s="372"/>
      <c r="E163" s="821">
        <v>118</v>
      </c>
      <c r="F163" s="821"/>
      <c r="G163" s="821">
        <v>0.3</v>
      </c>
      <c r="H163" s="821"/>
      <c r="I163" s="368">
        <f t="shared" si="14"/>
        <v>426393</v>
      </c>
      <c r="J163" s="372"/>
      <c r="K163" s="368">
        <f t="shared" si="15"/>
        <v>0.85278600000000004</v>
      </c>
      <c r="L163" s="1071"/>
      <c r="M163" s="373" t="s">
        <v>947</v>
      </c>
      <c r="N163" s="1093"/>
      <c r="O163" s="374">
        <f>C163*(AY$157)*E163*G163*365</f>
        <v>426393</v>
      </c>
      <c r="P163" s="1129"/>
      <c r="Q163" s="372" t="s">
        <v>947</v>
      </c>
      <c r="R163" s="369"/>
      <c r="S163" s="373" t="s">
        <v>947</v>
      </c>
      <c r="T163" s="369"/>
      <c r="U163" s="1126">
        <f>(O163*0.02)/1000</f>
        <v>8.5278600000000004</v>
      </c>
      <c r="V163" s="1101"/>
      <c r="W163" s="1390"/>
      <c r="X163" s="1138"/>
      <c r="Y163" s="1391"/>
      <c r="Z163" s="1392"/>
      <c r="AA163" s="1393"/>
    </row>
    <row r="164" spans="2:27" s="213" customFormat="1" ht="13.5" thickBot="1">
      <c r="B164" s="1090" t="s">
        <v>544</v>
      </c>
      <c r="C164" s="805">
        <v>38</v>
      </c>
      <c r="D164" s="372"/>
      <c r="E164" s="821">
        <v>533</v>
      </c>
      <c r="F164" s="821"/>
      <c r="G164" s="821">
        <v>0.33</v>
      </c>
      <c r="H164" s="821"/>
      <c r="I164" s="368">
        <f t="shared" si="14"/>
        <v>2439594.3000000003</v>
      </c>
      <c r="J164" s="372"/>
      <c r="K164" s="368">
        <f t="shared" si="15"/>
        <v>4.8791886000000009</v>
      </c>
      <c r="L164" s="1071"/>
      <c r="M164" s="373" t="s">
        <v>947</v>
      </c>
      <c r="N164" s="1093"/>
      <c r="O164" s="374">
        <f>C164*(AY$157)*E164*G164*365</f>
        <v>2439594.3000000003</v>
      </c>
      <c r="P164" s="1129"/>
      <c r="Q164" s="372" t="s">
        <v>947</v>
      </c>
      <c r="R164" s="369"/>
      <c r="S164" s="373" t="s">
        <v>947</v>
      </c>
      <c r="T164" s="369"/>
      <c r="U164" s="1126">
        <f>(O164*0.02)/1000</f>
        <v>48.791886000000005</v>
      </c>
      <c r="V164" s="1101"/>
      <c r="W164" s="1387">
        <f>SUM(W159,W162)*0.0075</f>
        <v>134.42968309258799</v>
      </c>
      <c r="X164" s="1388" t="s">
        <v>826</v>
      </c>
      <c r="Y164" s="1155"/>
      <c r="Z164" s="1203"/>
      <c r="AA164" s="1389"/>
    </row>
    <row r="165" spans="2:27" s="213" customFormat="1" ht="12" thickBot="1">
      <c r="B165" s="1090" t="s">
        <v>548</v>
      </c>
      <c r="C165" s="805">
        <v>15</v>
      </c>
      <c r="D165" s="1089"/>
      <c r="E165" s="821">
        <v>318</v>
      </c>
      <c r="F165" s="821"/>
      <c r="G165" s="821">
        <v>0.31</v>
      </c>
      <c r="H165" s="821"/>
      <c r="I165" s="368">
        <f t="shared" si="14"/>
        <v>539725.5</v>
      </c>
      <c r="J165" s="1089"/>
      <c r="K165" s="368">
        <f t="shared" si="15"/>
        <v>1.0794509999999999</v>
      </c>
      <c r="L165" s="1071"/>
      <c r="M165" s="373" t="s">
        <v>947</v>
      </c>
      <c r="N165" s="1093"/>
      <c r="O165" s="374">
        <f>C165*(AY$157)*E165*G165*365</f>
        <v>539725.5</v>
      </c>
      <c r="P165" s="1129"/>
      <c r="Q165" s="372" t="s">
        <v>947</v>
      </c>
      <c r="R165" s="369"/>
      <c r="S165" s="373" t="s">
        <v>947</v>
      </c>
      <c r="T165" s="369"/>
      <c r="U165" s="1126">
        <f>(O165*0.02)/1000</f>
        <v>10.794510000000001</v>
      </c>
      <c r="V165" s="1101"/>
      <c r="W165" s="1394"/>
      <c r="X165" s="1395"/>
      <c r="Y165" s="1395"/>
      <c r="Z165" s="1396"/>
      <c r="AA165" s="1397"/>
    </row>
    <row r="166" spans="2:27" s="213" customFormat="1">
      <c r="B166" s="1090" t="s">
        <v>818</v>
      </c>
      <c r="C166" s="806">
        <f>18</f>
        <v>18</v>
      </c>
      <c r="D166" s="1089"/>
      <c r="E166" s="821">
        <v>420</v>
      </c>
      <c r="F166" s="821"/>
      <c r="G166" s="821">
        <v>0.31</v>
      </c>
      <c r="H166" s="821"/>
      <c r="I166" s="368">
        <f t="shared" si="14"/>
        <v>855414</v>
      </c>
      <c r="J166" s="1089"/>
      <c r="K166" s="368">
        <f t="shared" si="15"/>
        <v>1.7108280000000002</v>
      </c>
      <c r="L166" s="1071"/>
      <c r="M166" s="373" t="s">
        <v>947</v>
      </c>
      <c r="N166" s="1093"/>
      <c r="O166" s="374">
        <f>C166*(AY$157)*E166*G166*365</f>
        <v>855414</v>
      </c>
      <c r="P166" s="1129"/>
      <c r="Q166" s="372" t="s">
        <v>947</v>
      </c>
      <c r="R166" s="369"/>
      <c r="S166" s="373" t="s">
        <v>947</v>
      </c>
      <c r="T166" s="369"/>
      <c r="U166" s="1126">
        <f>(O166*0.02)/1000</f>
        <v>17.108280000000001</v>
      </c>
      <c r="V166" s="1074"/>
      <c r="W166" s="361"/>
      <c r="X166" s="358"/>
      <c r="Y166" s="358"/>
    </row>
    <row r="167" spans="2:27" s="213" customFormat="1">
      <c r="B167" s="1087" t="s">
        <v>554</v>
      </c>
      <c r="C167" s="1092"/>
      <c r="D167" s="372"/>
      <c r="E167" s="821"/>
      <c r="F167" s="821"/>
      <c r="G167" s="821"/>
      <c r="H167" s="821"/>
      <c r="I167" s="368"/>
      <c r="J167" s="372"/>
      <c r="K167" s="368"/>
      <c r="L167" s="1071"/>
      <c r="M167" s="1093"/>
      <c r="N167" s="1093"/>
      <c r="O167" s="1093"/>
      <c r="P167" s="1093"/>
      <c r="Q167" s="1093"/>
      <c r="R167" s="369"/>
      <c r="S167" s="372"/>
      <c r="T167" s="1093"/>
      <c r="U167" s="1131"/>
      <c r="V167" s="1074"/>
      <c r="W167" s="361"/>
      <c r="X167" s="358"/>
      <c r="Y167" s="358"/>
    </row>
    <row r="168" spans="2:27" s="213" customFormat="1">
      <c r="B168" s="1090" t="s">
        <v>575</v>
      </c>
      <c r="C168" s="805">
        <v>3</v>
      </c>
      <c r="D168" s="1089"/>
      <c r="E168" s="821">
        <v>198</v>
      </c>
      <c r="F168" s="821"/>
      <c r="G168" s="821">
        <v>0.23499999999999999</v>
      </c>
      <c r="H168" s="821"/>
      <c r="I168" s="368">
        <f>C168*E168*G168*365</f>
        <v>50950.35</v>
      </c>
      <c r="J168" s="1089"/>
      <c r="K168" s="368">
        <f>(I168*0.2*0.01)/1000</f>
        <v>0.1019007</v>
      </c>
      <c r="L168" s="1071"/>
      <c r="M168" s="369">
        <f>C168*(BC157+BD157+BE157+BF157)*E168*G168*365</f>
        <v>40179.099853322106</v>
      </c>
      <c r="N168" s="1093"/>
      <c r="O168" s="369">
        <f>C168*(BB$157)*E168*G168*365</f>
        <v>10771.250146677901</v>
      </c>
      <c r="P168" s="1093"/>
      <c r="Q168" s="372" t="s">
        <v>947</v>
      </c>
      <c r="R168" s="369"/>
      <c r="S168" s="448">
        <f>((M168)*(1-0.2)*0.0125)/1000</f>
        <v>0.40179099853322109</v>
      </c>
      <c r="T168" s="369"/>
      <c r="U168" s="1126">
        <f>(O168*0.02)/1000</f>
        <v>0.21542500293355804</v>
      </c>
      <c r="V168" s="1075"/>
      <c r="W168" s="361"/>
      <c r="X168" s="358"/>
      <c r="Y168" s="358"/>
    </row>
    <row r="169" spans="2:27" s="213" customFormat="1">
      <c r="B169" s="1094" t="s">
        <v>576</v>
      </c>
      <c r="C169" s="805">
        <v>7</v>
      </c>
      <c r="D169" s="1089"/>
      <c r="E169" s="821">
        <v>15.88</v>
      </c>
      <c r="F169" s="821"/>
      <c r="G169" s="821">
        <v>0.6</v>
      </c>
      <c r="H169" s="821"/>
      <c r="I169" s="368">
        <f>C169*E169*G169*365</f>
        <v>24344.04</v>
      </c>
      <c r="J169" s="372"/>
      <c r="K169" s="368">
        <f>(I169*0.2*0.01)/1000</f>
        <v>4.8688080000000002E-2</v>
      </c>
      <c r="L169" s="1093"/>
      <c r="M169" s="369">
        <f>C169*(BC157+BD157+BE157+BF157)*E169*G169*365</f>
        <v>19197.544550592243</v>
      </c>
      <c r="N169" s="1093"/>
      <c r="O169" s="369">
        <f>C169*(BB$157)*E169*G169*365</f>
        <v>5146.495449407761</v>
      </c>
      <c r="P169" s="1093"/>
      <c r="Q169" s="372" t="s">
        <v>947</v>
      </c>
      <c r="R169" s="369"/>
      <c r="S169" s="448">
        <f>((M169)*(1-0.2)*0.0125)/1000</f>
        <v>0.19197544550592247</v>
      </c>
      <c r="T169" s="369"/>
      <c r="U169" s="1126">
        <f>(O169*0.02)/1000</f>
        <v>0.10292990898815522</v>
      </c>
      <c r="V169" s="1076"/>
      <c r="W169" s="361"/>
      <c r="X169" s="358"/>
      <c r="Y169" s="358"/>
    </row>
    <row r="170" spans="2:27" s="213" customFormat="1">
      <c r="B170" s="1094" t="s">
        <v>577</v>
      </c>
      <c r="C170" s="1095">
        <v>4</v>
      </c>
      <c r="D170" s="1089"/>
      <c r="E170" s="821">
        <v>40.6</v>
      </c>
      <c r="F170" s="821"/>
      <c r="G170" s="821">
        <v>0.42</v>
      </c>
      <c r="H170" s="821"/>
      <c r="I170" s="368">
        <f>C170*E170*G170*365</f>
        <v>24895.919999999998</v>
      </c>
      <c r="J170" s="372"/>
      <c r="K170" s="368">
        <f>(I170*0.2*0.01)/1000</f>
        <v>4.9791840000000004E-2</v>
      </c>
      <c r="L170" s="1093"/>
      <c r="M170" s="369">
        <f>C170*(BC157+BD157+BE157+BF157)*E170*G170*365</f>
        <v>19632.753369119524</v>
      </c>
      <c r="N170" s="1093"/>
      <c r="O170" s="369">
        <f>C170*(BB$157)*E170*G170*365</f>
        <v>5263.1666308804806</v>
      </c>
      <c r="P170" s="1093"/>
      <c r="Q170" s="372" t="s">
        <v>947</v>
      </c>
      <c r="R170" s="369"/>
      <c r="S170" s="448">
        <f>((M170)*(1-0.2)*0.0125)/1000</f>
        <v>0.19632753369119527</v>
      </c>
      <c r="T170" s="369"/>
      <c r="U170" s="1126">
        <f>(O170*0.02)/1000</f>
        <v>0.10526333261760962</v>
      </c>
      <c r="V170" s="1075"/>
      <c r="W170" s="361"/>
      <c r="X170" s="358"/>
      <c r="Y170" s="358"/>
    </row>
    <row r="171" spans="2:27" s="213" customFormat="1">
      <c r="B171" s="1094" t="s">
        <v>578</v>
      </c>
      <c r="C171" s="805">
        <v>3</v>
      </c>
      <c r="D171" s="1089"/>
      <c r="E171" s="821">
        <v>67.819999999999993</v>
      </c>
      <c r="F171" s="821"/>
      <c r="G171" s="821">
        <v>0.42</v>
      </c>
      <c r="H171" s="821"/>
      <c r="I171" s="368">
        <f>C171*E171*G171*365</f>
        <v>31190.417999999994</v>
      </c>
      <c r="J171" s="372"/>
      <c r="K171" s="368">
        <f>(I171*0.2*0.01)/1000</f>
        <v>6.2380835999999995E-2</v>
      </c>
      <c r="L171" s="1093"/>
      <c r="M171" s="369">
        <f>C171*(BC157+BD157+BE157+BF157)*E171*G171*365</f>
        <v>24596.551727100108</v>
      </c>
      <c r="N171" s="1093"/>
      <c r="O171" s="369">
        <f>C171*(BB$157)*E171*G171*365</f>
        <v>6593.8662728998925</v>
      </c>
      <c r="P171" s="1093"/>
      <c r="Q171" s="372" t="s">
        <v>947</v>
      </c>
      <c r="R171" s="369"/>
      <c r="S171" s="448">
        <f>((M171)*(1-0.2)*0.0125)/1000</f>
        <v>0.24596551727100108</v>
      </c>
      <c r="T171" s="369"/>
      <c r="U171" s="1126">
        <f>(O171*0.02)/1000</f>
        <v>0.13187732545799785</v>
      </c>
      <c r="V171" s="1074"/>
      <c r="W171" s="361"/>
      <c r="X171" s="358"/>
      <c r="Y171" s="358"/>
    </row>
    <row r="172" spans="2:27" s="213" customFormat="1">
      <c r="B172" s="1094" t="s">
        <v>579</v>
      </c>
      <c r="C172" s="805">
        <v>4</v>
      </c>
      <c r="D172" s="1089"/>
      <c r="E172" s="821">
        <v>90.75</v>
      </c>
      <c r="F172" s="821"/>
      <c r="G172" s="821">
        <v>0.42</v>
      </c>
      <c r="H172" s="821"/>
      <c r="I172" s="368">
        <f>C172*E172*G172*365</f>
        <v>55647.9</v>
      </c>
      <c r="J172" s="372"/>
      <c r="K172" s="368">
        <f>(I172*0.2*0.01)/1000</f>
        <v>0.11129580000000001</v>
      </c>
      <c r="L172" s="1093"/>
      <c r="M172" s="369">
        <f>C172*(BC157+BD157+BE157+BF157)*E172*G172*365</f>
        <v>43883.555868167401</v>
      </c>
      <c r="N172" s="1093"/>
      <c r="O172" s="369">
        <f>C172*(BB$157)*E172*G172*365</f>
        <v>11764.3441318326</v>
      </c>
      <c r="P172" s="1093"/>
      <c r="Q172" s="372" t="s">
        <v>947</v>
      </c>
      <c r="R172" s="369"/>
      <c r="S172" s="448">
        <f>((M172)*(1-0.2)*0.0125)/1000</f>
        <v>0.43883555868167406</v>
      </c>
      <c r="T172" s="369"/>
      <c r="U172" s="1126">
        <f>(O172*0.02)/1000</f>
        <v>0.23528688263665201</v>
      </c>
      <c r="V172" s="1077"/>
      <c r="W172" s="363"/>
      <c r="X172" s="362"/>
      <c r="Y172" s="362"/>
    </row>
    <row r="173" spans="2:27" s="213" customFormat="1">
      <c r="B173" s="1096" t="s">
        <v>269</v>
      </c>
      <c r="C173" s="1092"/>
      <c r="D173" s="1089"/>
      <c r="E173" s="821"/>
      <c r="F173" s="821"/>
      <c r="G173" s="821"/>
      <c r="H173" s="821"/>
      <c r="I173" s="368"/>
      <c r="J173" s="372"/>
      <c r="K173" s="368"/>
      <c r="L173" s="1093"/>
      <c r="M173" s="1093"/>
      <c r="N173" s="1093"/>
      <c r="O173" s="1093"/>
      <c r="P173" s="1093"/>
      <c r="Q173" s="1093"/>
      <c r="R173" s="369"/>
      <c r="S173" s="448"/>
      <c r="T173" s="1093"/>
      <c r="U173" s="1131"/>
      <c r="V173" s="1074"/>
      <c r="W173" s="364"/>
      <c r="X173" s="358"/>
      <c r="Y173" s="358"/>
    </row>
    <row r="174" spans="2:27" s="213" customFormat="1">
      <c r="B174" s="1097" t="s">
        <v>580</v>
      </c>
      <c r="C174" s="1092"/>
      <c r="D174" s="1089"/>
      <c r="E174" s="821"/>
      <c r="F174" s="821"/>
      <c r="G174" s="821"/>
      <c r="H174" s="821"/>
      <c r="I174" s="371"/>
      <c r="J174" s="372"/>
      <c r="K174" s="371"/>
      <c r="L174" s="1093"/>
      <c r="M174" s="1093"/>
      <c r="N174" s="1093"/>
      <c r="O174" s="1093"/>
      <c r="P174" s="1093"/>
      <c r="Q174" s="1093"/>
      <c r="R174" s="369"/>
      <c r="S174" s="448"/>
      <c r="T174" s="1093"/>
      <c r="U174" s="1131"/>
      <c r="V174" s="1076"/>
      <c r="W174" s="363"/>
      <c r="X174" s="358"/>
      <c r="Y174" s="358"/>
    </row>
    <row r="175" spans="2:27" s="213" customFormat="1">
      <c r="B175" s="1098" t="s">
        <v>581</v>
      </c>
      <c r="C175" s="805">
        <v>2364</v>
      </c>
      <c r="D175" s="1089"/>
      <c r="E175" s="821">
        <v>1.8</v>
      </c>
      <c r="F175" s="821"/>
      <c r="G175" s="821">
        <v>0.83</v>
      </c>
      <c r="H175" s="821"/>
      <c r="I175" s="368">
        <f>C175*E175*G175*365</f>
        <v>1289112.8399999999</v>
      </c>
      <c r="J175" s="372"/>
      <c r="K175" s="368">
        <f>(I175*0.2*0.01)/1000</f>
        <v>2.5782256799999996</v>
      </c>
      <c r="L175" s="1093"/>
      <c r="M175" s="369">
        <f>C175*(BI$157+BJ$157+BK$157+BL$157)*E175*G175*365</f>
        <v>1289112.8399999999</v>
      </c>
      <c r="N175" s="1093"/>
      <c r="O175" s="372" t="s">
        <v>947</v>
      </c>
      <c r="P175" s="1093"/>
      <c r="Q175" s="372" t="s">
        <v>947</v>
      </c>
      <c r="R175" s="369"/>
      <c r="S175" s="448">
        <f>((M175)*(1-0.042)*(1-0.2)*0.0125)/1000</f>
        <v>12.349701007199998</v>
      </c>
      <c r="T175" s="369"/>
      <c r="U175" s="1130" t="s">
        <v>947</v>
      </c>
      <c r="V175" s="1076"/>
      <c r="W175" s="363"/>
      <c r="X175" s="358"/>
      <c r="Y175" s="358"/>
    </row>
    <row r="176" spans="2:27" s="213" customFormat="1">
      <c r="B176" s="1098" t="s">
        <v>582</v>
      </c>
      <c r="C176" s="805">
        <v>708</v>
      </c>
      <c r="D176" s="1089"/>
      <c r="E176" s="821">
        <v>1.8</v>
      </c>
      <c r="F176" s="821"/>
      <c r="G176" s="821">
        <v>0.62</v>
      </c>
      <c r="H176" s="821"/>
      <c r="I176" s="368">
        <f>C176*E176*G176*365</f>
        <v>288396.72000000003</v>
      </c>
      <c r="J176" s="372"/>
      <c r="K176" s="368">
        <f>(I176*0.2*0.01)/1000</f>
        <v>0.5767934400000001</v>
      </c>
      <c r="L176" s="1093"/>
      <c r="M176" s="369">
        <f>C176*(BI$157+BJ$157+BK$157+BL$157)*E176*G176*365</f>
        <v>288396.72000000003</v>
      </c>
      <c r="N176" s="1093"/>
      <c r="O176" s="372" t="s">
        <v>947</v>
      </c>
      <c r="P176" s="1093"/>
      <c r="Q176" s="372" t="s">
        <v>947</v>
      </c>
      <c r="R176" s="369"/>
      <c r="S176" s="448">
        <f>((M176)*(1-0.042)*(1-0.2)*0.0125)/1000</f>
        <v>2.7628405776</v>
      </c>
      <c r="T176" s="369"/>
      <c r="U176" s="1130" t="s">
        <v>947</v>
      </c>
      <c r="V176" s="1076"/>
      <c r="W176" s="363"/>
      <c r="X176" s="358"/>
      <c r="Y176" s="358"/>
    </row>
    <row r="177" spans="2:26" s="213" customFormat="1">
      <c r="B177" s="1098" t="s">
        <v>583</v>
      </c>
      <c r="C177" s="805">
        <v>16</v>
      </c>
      <c r="D177" s="1089"/>
      <c r="E177" s="821">
        <v>1.8</v>
      </c>
      <c r="F177" s="821"/>
      <c r="G177" s="821">
        <v>0.83</v>
      </c>
      <c r="H177" s="821"/>
      <c r="I177" s="368">
        <f>C177*E177*G177*365</f>
        <v>8724.9599999999991</v>
      </c>
      <c r="J177" s="372"/>
      <c r="K177" s="368">
        <f>(I177*0.2*0.01)/1000</f>
        <v>1.7449919999999997E-2</v>
      </c>
      <c r="L177" s="1093"/>
      <c r="M177" s="369">
        <f>C177*(BI$157+BJ$157+BK$157+BL$157)*E177*G177*365</f>
        <v>8724.9599999999991</v>
      </c>
      <c r="N177" s="1093"/>
      <c r="O177" s="372" t="s">
        <v>947</v>
      </c>
      <c r="P177" s="1093"/>
      <c r="Q177" s="372" t="s">
        <v>947</v>
      </c>
      <c r="R177" s="369"/>
      <c r="S177" s="448">
        <f>(((M177)*(0.958)*(1-0.2)*0.0125))/1000</f>
        <v>8.3585116800000012E-2</v>
      </c>
      <c r="T177" s="369"/>
      <c r="U177" s="1130" t="s">
        <v>947</v>
      </c>
      <c r="V177" s="1076"/>
      <c r="W177" s="363"/>
      <c r="X177" s="358"/>
      <c r="Y177" s="358"/>
    </row>
    <row r="178" spans="2:26" s="213" customFormat="1">
      <c r="B178" s="1097" t="s">
        <v>584</v>
      </c>
      <c r="C178" s="805">
        <v>52327</v>
      </c>
      <c r="D178" s="1089"/>
      <c r="E178" s="821">
        <v>0.9</v>
      </c>
      <c r="F178" s="821"/>
      <c r="G178" s="821">
        <v>1.1000000000000001</v>
      </c>
      <c r="H178" s="821"/>
      <c r="I178" s="368">
        <f>C178*E178*G178*365</f>
        <v>18908361.450000003</v>
      </c>
      <c r="J178" s="1089"/>
      <c r="K178" s="368">
        <f>(I178*0.2*0.01)/1000</f>
        <v>37.816722900000009</v>
      </c>
      <c r="L178" s="1071"/>
      <c r="M178" s="369">
        <f>C178*(BI$157+BJ$157+BK$157+BL$157)*E178*G178*365</f>
        <v>18908361.450000003</v>
      </c>
      <c r="N178" s="1093"/>
      <c r="O178" s="372" t="s">
        <v>947</v>
      </c>
      <c r="P178" s="1093"/>
      <c r="Q178" s="372" t="s">
        <v>947</v>
      </c>
      <c r="R178" s="369"/>
      <c r="S178" s="448">
        <f>(((M178)*(0.958)*(1-0.2)*0.0125))/1000</f>
        <v>181.14210269100008</v>
      </c>
      <c r="T178" s="369"/>
      <c r="U178" s="1130" t="s">
        <v>947</v>
      </c>
      <c r="V178" s="1077"/>
      <c r="W178" s="363"/>
      <c r="X178" s="358"/>
      <c r="Y178" s="358"/>
    </row>
    <row r="179" spans="2:26" s="213" customFormat="1">
      <c r="B179" s="1099" t="s">
        <v>585</v>
      </c>
      <c r="C179" s="805">
        <v>154</v>
      </c>
      <c r="D179" s="1089"/>
      <c r="E179" s="821">
        <v>6.8</v>
      </c>
      <c r="F179" s="821"/>
      <c r="G179" s="821">
        <v>0.74</v>
      </c>
      <c r="H179" s="821"/>
      <c r="I179" s="368">
        <f>C179*E179*G179*365</f>
        <v>282848.71999999997</v>
      </c>
      <c r="J179" s="1089"/>
      <c r="K179" s="368">
        <f>(I179*0.2*0.01)/1000</f>
        <v>0.56569744</v>
      </c>
      <c r="L179" s="1100"/>
      <c r="M179" s="369">
        <f>C179*(BI$157+BJ$157+BK$157+BL$157)*E179*G179*365</f>
        <v>282848.71999999997</v>
      </c>
      <c r="N179" s="1132"/>
      <c r="O179" s="373">
        <f>C179*(BS157)*E179*G179*365</f>
        <v>28284.871999999999</v>
      </c>
      <c r="P179" s="1132"/>
      <c r="Q179" s="372" t="s">
        <v>947</v>
      </c>
      <c r="R179" s="369"/>
      <c r="S179" s="369">
        <f>(((M179)*(0.958)*(1-0.2)*0.0125))/1000</f>
        <v>2.7096907375999999</v>
      </c>
      <c r="T179" s="369"/>
      <c r="U179" s="1126">
        <f>(O179*0.02)/1000</f>
        <v>0.56569744</v>
      </c>
      <c r="V179" s="1074"/>
      <c r="W179" s="359"/>
      <c r="X179" s="358"/>
      <c r="Y179" s="358"/>
    </row>
    <row r="180" spans="2:26" s="213" customFormat="1">
      <c r="B180" s="1087" t="s">
        <v>187</v>
      </c>
      <c r="C180" s="1092"/>
      <c r="D180" s="372"/>
      <c r="E180" s="821"/>
      <c r="F180" s="821"/>
      <c r="G180" s="821"/>
      <c r="H180" s="821"/>
      <c r="I180" s="368"/>
      <c r="J180" s="372"/>
      <c r="K180" s="368"/>
      <c r="L180" s="1100"/>
      <c r="M180" s="1093"/>
      <c r="N180" s="1132"/>
      <c r="O180" s="1132"/>
      <c r="P180" s="1132"/>
      <c r="Q180" s="1132"/>
      <c r="R180" s="369"/>
      <c r="S180" s="1132"/>
      <c r="T180" s="1132"/>
      <c r="U180" s="1133"/>
      <c r="V180" s="1074"/>
      <c r="W180" s="358"/>
      <c r="X180" s="358"/>
      <c r="Y180" s="358"/>
    </row>
    <row r="181" spans="2:26" s="213" customFormat="1">
      <c r="B181" s="1094" t="s">
        <v>586</v>
      </c>
      <c r="C181" s="805">
        <v>0</v>
      </c>
      <c r="D181" s="1089"/>
      <c r="E181" s="821">
        <v>25</v>
      </c>
      <c r="F181" s="821"/>
      <c r="G181" s="821">
        <v>0.42</v>
      </c>
      <c r="H181" s="821"/>
      <c r="I181" s="368">
        <f>C181*E181*G181*365</f>
        <v>0</v>
      </c>
      <c r="J181" s="372"/>
      <c r="K181" s="368">
        <f>(I181*0.2*0.01)/1000</f>
        <v>0</v>
      </c>
      <c r="L181" s="372"/>
      <c r="M181" s="369">
        <f>C181*(1-BV157)*E181*G181*365</f>
        <v>0</v>
      </c>
      <c r="N181" s="372"/>
      <c r="O181" s="371">
        <f>C181*(BV157)*E181*G181*365</f>
        <v>0</v>
      </c>
      <c r="P181" s="372"/>
      <c r="Q181" s="372" t="s">
        <v>947</v>
      </c>
      <c r="R181" s="369"/>
      <c r="S181" s="369">
        <f>((M181)*(1-0.2)*0.0125)/1000</f>
        <v>0</v>
      </c>
      <c r="T181" s="369"/>
      <c r="U181" s="1126">
        <f>(O181*0.02)/1000</f>
        <v>0</v>
      </c>
      <c r="V181" s="1074"/>
      <c r="W181" s="358"/>
      <c r="X181" s="358"/>
      <c r="Y181" s="358"/>
    </row>
    <row r="182" spans="2:26" s="213" customFormat="1">
      <c r="B182" s="1094" t="s">
        <v>587</v>
      </c>
      <c r="C182" s="804">
        <v>12</v>
      </c>
      <c r="D182" s="1089"/>
      <c r="E182" s="821">
        <v>80</v>
      </c>
      <c r="F182" s="821"/>
      <c r="G182" s="821">
        <v>0.42</v>
      </c>
      <c r="H182" s="821"/>
      <c r="I182" s="368">
        <f>C182*E182*G182*365</f>
        <v>147168</v>
      </c>
      <c r="J182" s="372"/>
      <c r="K182" s="368">
        <f>(I182*0.2*0.01)/1000</f>
        <v>0.29433599999999999</v>
      </c>
      <c r="L182" s="372"/>
      <c r="M182" s="369">
        <f>C182*(1-BW157)*E182*G182*365</f>
        <v>0</v>
      </c>
      <c r="N182" s="372"/>
      <c r="O182" s="371">
        <f>C182*(BW157)*E182*G182*365</f>
        <v>147168</v>
      </c>
      <c r="P182" s="372"/>
      <c r="Q182" s="372" t="s">
        <v>947</v>
      </c>
      <c r="R182" s="369"/>
      <c r="S182" s="369">
        <f>((M182)*(1-0.2)*0.0125)/1000</f>
        <v>0</v>
      </c>
      <c r="T182" s="369"/>
      <c r="U182" s="1126">
        <f>(O182*0.02)/1000</f>
        <v>2.9433600000000002</v>
      </c>
      <c r="V182" s="1074"/>
      <c r="W182" s="358"/>
      <c r="X182" s="358"/>
      <c r="Y182" s="358"/>
    </row>
    <row r="183" spans="2:26" s="213" customFormat="1">
      <c r="B183" s="1094" t="s">
        <v>553</v>
      </c>
      <c r="C183" s="805">
        <v>15</v>
      </c>
      <c r="D183" s="1089"/>
      <c r="E183" s="821">
        <v>64</v>
      </c>
      <c r="F183" s="821"/>
      <c r="G183" s="821">
        <v>0.45</v>
      </c>
      <c r="H183" s="821"/>
      <c r="I183" s="368">
        <f>C183*E183*G183*365</f>
        <v>157680</v>
      </c>
      <c r="J183" s="1089"/>
      <c r="K183" s="368">
        <f>(I183*0.2*0.01)/1000</f>
        <v>0.31536000000000003</v>
      </c>
      <c r="L183" s="1089"/>
      <c r="M183" s="373" t="s">
        <v>947</v>
      </c>
      <c r="N183" s="372"/>
      <c r="O183" s="371">
        <f>C183*(BZ157)*E183*G183*365</f>
        <v>157680</v>
      </c>
      <c r="P183" s="372"/>
      <c r="Q183" s="372" t="s">
        <v>947</v>
      </c>
      <c r="R183" s="369"/>
      <c r="S183" s="373" t="s">
        <v>947</v>
      </c>
      <c r="T183" s="369"/>
      <c r="U183" s="1126">
        <f>(O183*0.02)/1000</f>
        <v>3.1536</v>
      </c>
      <c r="V183" s="1077"/>
      <c r="W183" s="358"/>
      <c r="X183" s="358"/>
      <c r="Y183" s="358"/>
    </row>
    <row r="184" spans="2:26" s="213" customFormat="1">
      <c r="B184" s="1094" t="s">
        <v>555</v>
      </c>
      <c r="C184" s="804">
        <v>80</v>
      </c>
      <c r="D184" s="1089"/>
      <c r="E184" s="821">
        <v>450</v>
      </c>
      <c r="F184" s="821"/>
      <c r="G184" s="821">
        <v>0.3</v>
      </c>
      <c r="H184" s="821"/>
      <c r="I184" s="368">
        <f>C184*E184*G184*365</f>
        <v>3942000</v>
      </c>
      <c r="J184" s="1089"/>
      <c r="K184" s="368">
        <f>(I184*0.2*0.01)/1000</f>
        <v>7.8840000000000003</v>
      </c>
      <c r="L184" s="1089"/>
      <c r="M184" s="373" t="s">
        <v>947</v>
      </c>
      <c r="N184" s="372"/>
      <c r="O184" s="371">
        <f>C184*CC157*E184*G184*365</f>
        <v>3942000</v>
      </c>
      <c r="P184" s="372"/>
      <c r="Q184" s="372" t="s">
        <v>947</v>
      </c>
      <c r="R184" s="369"/>
      <c r="S184" s="373" t="s">
        <v>947</v>
      </c>
      <c r="T184" s="369"/>
      <c r="U184" s="1126">
        <f>(O184*0.02)/1000</f>
        <v>78.84</v>
      </c>
      <c r="V184" s="1074"/>
      <c r="W184" s="358"/>
      <c r="X184" s="358"/>
      <c r="Y184" s="358"/>
    </row>
    <row r="185" spans="2:26" s="213" customFormat="1" ht="12" thickBot="1">
      <c r="B185" s="1465" t="s">
        <v>184</v>
      </c>
      <c r="C185" s="1466"/>
      <c r="D185" s="1467"/>
      <c r="E185" s="1196"/>
      <c r="F185" s="1196"/>
      <c r="G185" s="1196"/>
      <c r="H185" s="1196"/>
      <c r="I185" s="1468">
        <f>SUM(I157:I184)</f>
        <v>37138792.048</v>
      </c>
      <c r="J185" s="1467"/>
      <c r="K185" s="1468">
        <f>SUM(K157:K184)</f>
        <v>74.277584096000012</v>
      </c>
      <c r="L185" s="1469"/>
      <c r="M185" s="1468">
        <f>SUM(M157:M184)</f>
        <v>24781890.902799726</v>
      </c>
      <c r="N185" s="1467"/>
      <c r="O185" s="1468">
        <f>SUM(O157:O184)</f>
        <v>9364233.6672089845</v>
      </c>
      <c r="P185" s="1469"/>
      <c r="Q185" s="1468">
        <f>SUM(Q157:Q184)</f>
        <v>3020952.3499912894</v>
      </c>
      <c r="R185" s="1467"/>
      <c r="S185" s="1470">
        <f>SUM(S157:S184)</f>
        <v>269.30190575811025</v>
      </c>
      <c r="T185" s="1468"/>
      <c r="U185" s="1471">
        <f>SUM(U157:U184)</f>
        <v>187.28467334417968</v>
      </c>
      <c r="V185" s="1414"/>
      <c r="W185" s="358"/>
      <c r="X185" s="358"/>
      <c r="Y185" s="1398"/>
    </row>
    <row r="186" spans="2:26" s="213" customFormat="1" ht="12" thickBot="1">
      <c r="B186" s="1413"/>
      <c r="C186" s="1134"/>
      <c r="D186" s="1135"/>
      <c r="E186" s="1136"/>
      <c r="F186" s="1135"/>
      <c r="G186" s="1137"/>
      <c r="H186" s="1138"/>
      <c r="I186" s="1139"/>
      <c r="J186" s="1139"/>
      <c r="K186" s="1139"/>
      <c r="L186" s="1139"/>
      <c r="M186" s="1139"/>
      <c r="N186" s="360"/>
      <c r="O186" s="362"/>
      <c r="P186" s="362"/>
      <c r="Q186" s="362"/>
      <c r="R186" s="359"/>
      <c r="S186" s="359"/>
      <c r="T186" s="359"/>
      <c r="U186" s="359"/>
      <c r="V186" s="1415"/>
      <c r="W186" s="358"/>
      <c r="X186" s="358"/>
      <c r="Y186" s="358"/>
    </row>
    <row r="187" spans="2:26" s="213" customFormat="1" ht="12" thickBot="1">
      <c r="B187" s="1143" t="s">
        <v>366</v>
      </c>
      <c r="C187" s="1144"/>
      <c r="D187" s="1145"/>
      <c r="E187" s="1145"/>
      <c r="F187" s="1145"/>
      <c r="G187" s="1145"/>
      <c r="H187" s="1145"/>
      <c r="I187" s="1145"/>
      <c r="J187" s="1145"/>
      <c r="K187" s="1145"/>
      <c r="L187" s="1145"/>
      <c r="M187" s="1145"/>
      <c r="N187" s="1145"/>
      <c r="O187" s="1145"/>
      <c r="P187" s="1145"/>
      <c r="Q187" s="1145"/>
      <c r="R187" s="1146"/>
      <c r="S187" s="1408"/>
      <c r="T187" s="1412"/>
      <c r="U187" s="362"/>
      <c r="V187" s="362"/>
      <c r="W187" s="357"/>
      <c r="X187" s="357"/>
      <c r="Y187" s="357"/>
      <c r="Z187" s="214"/>
    </row>
    <row r="188" spans="2:26" s="213" customFormat="1" ht="46.5">
      <c r="B188" s="1140"/>
      <c r="C188" s="1141"/>
      <c r="D188" s="1142"/>
      <c r="E188" s="1121"/>
      <c r="F188" s="1120"/>
      <c r="G188" s="1399" t="s">
        <v>827</v>
      </c>
      <c r="H188" s="1400"/>
      <c r="I188" s="1399" t="s">
        <v>815</v>
      </c>
      <c r="J188" s="1400"/>
      <c r="K188" s="1399" t="s">
        <v>828</v>
      </c>
      <c r="L188" s="1400"/>
      <c r="M188" s="1400"/>
      <c r="N188" s="1401"/>
      <c r="O188" s="1406" t="s">
        <v>829</v>
      </c>
      <c r="P188" s="1407"/>
      <c r="Q188" s="1406" t="s">
        <v>816</v>
      </c>
      <c r="R188" s="1402"/>
      <c r="S188" s="1409" t="s">
        <v>830</v>
      </c>
      <c r="T188" s="1411"/>
      <c r="U188" s="359"/>
      <c r="V188" s="359"/>
      <c r="W188" s="358"/>
      <c r="X188" s="358"/>
      <c r="Y188" s="358"/>
    </row>
    <row r="189" spans="2:26" s="213" customFormat="1">
      <c r="B189" s="1102"/>
      <c r="C189" s="3110" t="s">
        <v>133</v>
      </c>
      <c r="D189" s="3110"/>
      <c r="E189" s="3110"/>
      <c r="F189" s="1422"/>
      <c r="G189" s="1423">
        <f>K185*44/28</f>
        <v>116.72191786514288</v>
      </c>
      <c r="H189" s="1424"/>
      <c r="I189" s="1425">
        <f>G189*310*12/44*10^-6</f>
        <v>9.8683076013257147E-3</v>
      </c>
      <c r="J189" s="1426"/>
      <c r="K189" s="1425">
        <f>I189/(12/44)</f>
        <v>3.6183794538194293E-2</v>
      </c>
      <c r="L189" s="1093"/>
      <c r="M189" s="1420"/>
      <c r="N189" s="1421" t="s">
        <v>817</v>
      </c>
      <c r="O189" s="1428">
        <f>W164*44/28</f>
        <v>211.24664485978113</v>
      </c>
      <c r="P189" s="1420"/>
      <c r="Q189" s="1425">
        <f>O189*310*12/44*10^-6</f>
        <v>1.7859943610872408E-2</v>
      </c>
      <c r="R189" s="1429"/>
      <c r="S189" s="1425">
        <f>Q189/(12/44)</f>
        <v>6.5486459906532166E-2</v>
      </c>
      <c r="T189" s="359"/>
      <c r="U189" s="359"/>
      <c r="V189" s="359"/>
      <c r="W189" s="358"/>
      <c r="X189" s="358"/>
      <c r="Y189" s="358"/>
    </row>
    <row r="190" spans="2:26" s="213" customFormat="1" ht="12.75">
      <c r="B190" s="1403"/>
      <c r="C190" s="1404"/>
      <c r="D190" s="1404"/>
      <c r="E190" s="1405" t="s">
        <v>239</v>
      </c>
      <c r="F190" s="1089"/>
      <c r="G190" s="368">
        <f>(U185+S185)*44/28</f>
        <v>717.49319573216985</v>
      </c>
      <c r="H190" s="1071"/>
      <c r="I190" s="1018">
        <f>G190*310*12/44*10^-6</f>
        <v>6.0660788366447081E-2</v>
      </c>
      <c r="J190" s="1093"/>
      <c r="K190" s="1103">
        <f>I190/(12/44)</f>
        <v>0.22242289067697266</v>
      </c>
      <c r="L190" s="1093"/>
      <c r="M190" s="1093"/>
      <c r="N190" s="1104" t="s">
        <v>907</v>
      </c>
      <c r="O190" s="371">
        <f>SUM(W159)*0.0075*44/28</f>
        <v>79.93448726149542</v>
      </c>
      <c r="P190" s="1416"/>
      <c r="Q190" s="371">
        <f>O190*310*12/44*10^-6</f>
        <v>6.7580975593809758E-3</v>
      </c>
      <c r="R190" s="1417"/>
      <c r="S190" s="1410">
        <f>Q190/(12/44)</f>
        <v>2.477969105106358E-2</v>
      </c>
      <c r="T190" s="1411"/>
      <c r="U190" s="359"/>
      <c r="V190" s="359"/>
      <c r="W190" s="358"/>
      <c r="X190" s="358"/>
      <c r="Y190" s="358"/>
    </row>
    <row r="191" spans="2:26" s="213" customFormat="1" ht="12.75">
      <c r="B191" s="1403"/>
      <c r="C191" s="1404"/>
      <c r="D191" s="1404"/>
      <c r="E191" s="1405" t="s">
        <v>240</v>
      </c>
      <c r="F191" s="1089"/>
      <c r="G191" s="368">
        <f>U185*44/28</f>
        <v>294.30448668371093</v>
      </c>
      <c r="H191" s="1071"/>
      <c r="I191" s="1018">
        <f>G191*310*12/44*10^-6</f>
        <v>2.4882106601441013E-2</v>
      </c>
      <c r="J191" s="1093"/>
      <c r="K191" s="1103">
        <f>I191/(12/44)</f>
        <v>9.1234390871950385E-2</v>
      </c>
      <c r="L191" s="1093"/>
      <c r="M191" s="1093"/>
      <c r="N191" s="1104" t="s">
        <v>908</v>
      </c>
      <c r="O191" s="371">
        <f>SUM(W162)*0.0075*44/28</f>
        <v>131.31215759828569</v>
      </c>
      <c r="P191" s="1416"/>
      <c r="Q191" s="371">
        <f>O191*310*12/44*10^-6</f>
        <v>1.1101846051491426E-2</v>
      </c>
      <c r="R191" s="1417"/>
      <c r="S191" s="1410">
        <f>Q191/(12/44)</f>
        <v>4.0706768855468568E-2</v>
      </c>
      <c r="T191" s="1411"/>
      <c r="U191" s="359"/>
      <c r="V191" s="359"/>
      <c r="W191" s="358"/>
      <c r="X191" s="358"/>
      <c r="Y191" s="358"/>
    </row>
    <row r="192" spans="2:26" s="213" customFormat="1">
      <c r="B192" s="1102"/>
      <c r="C192" s="3110" t="s">
        <v>134</v>
      </c>
      <c r="D192" s="3110"/>
      <c r="E192" s="3110"/>
      <c r="F192" s="1427"/>
      <c r="G192" s="1428">
        <f>SUM(G190:G191)</f>
        <v>1011.7976824158808</v>
      </c>
      <c r="H192" s="1429"/>
      <c r="I192" s="1425">
        <f>G192*310*12/44*10^-6</f>
        <v>8.5542894967888097E-2</v>
      </c>
      <c r="J192" s="1427"/>
      <c r="K192" s="1425">
        <f>I192/(12/44)</f>
        <v>0.31365728154892303</v>
      </c>
      <c r="L192" s="1093"/>
      <c r="M192" s="372"/>
      <c r="N192" s="1091"/>
      <c r="O192" s="1091"/>
      <c r="P192" s="1418"/>
      <c r="Q192" s="1418"/>
      <c r="R192" s="1417"/>
      <c r="S192" s="1419"/>
      <c r="T192" s="1411"/>
      <c r="U192" s="359"/>
      <c r="V192" s="359"/>
      <c r="W192" s="358"/>
      <c r="X192" s="358"/>
      <c r="Y192" s="358"/>
    </row>
    <row r="193" spans="1:34" s="213" customFormat="1" ht="12" thickBot="1">
      <c r="B193" s="1105"/>
      <c r="C193" s="1106"/>
      <c r="D193" s="1106"/>
      <c r="E193" s="1106"/>
      <c r="F193" s="1107"/>
      <c r="G193" s="1108"/>
      <c r="H193" s="1073"/>
      <c r="I193" s="1109"/>
      <c r="J193" s="1107"/>
      <c r="K193" s="1109"/>
      <c r="L193" s="1110"/>
      <c r="M193" s="1111"/>
      <c r="N193" s="1112"/>
      <c r="O193" s="1078"/>
      <c r="P193" s="1079"/>
      <c r="Q193" s="1079"/>
      <c r="R193" s="1080"/>
      <c r="S193" s="1081"/>
      <c r="T193" s="1411"/>
      <c r="U193" s="359"/>
      <c r="V193" s="359"/>
      <c r="W193" s="358"/>
      <c r="X193" s="358"/>
      <c r="Y193" s="358"/>
    </row>
    <row r="194" spans="1:34" s="213" customFormat="1">
      <c r="B194" s="375"/>
      <c r="C194" s="996"/>
      <c r="D194" s="996"/>
      <c r="E194" s="996"/>
      <c r="F194" s="365"/>
      <c r="G194" s="1082"/>
      <c r="H194" s="359"/>
      <c r="I194" s="1083"/>
      <c r="J194" s="367"/>
      <c r="K194" s="1083"/>
      <c r="L194" s="362"/>
      <c r="M194" s="370"/>
      <c r="N194" s="362"/>
      <c r="O194" s="362"/>
      <c r="P194" s="367"/>
      <c r="Q194" s="367"/>
      <c r="R194" s="358"/>
      <c r="S194" s="358"/>
      <c r="T194" s="358"/>
      <c r="U194" s="358"/>
      <c r="V194" s="358"/>
      <c r="W194" s="358"/>
      <c r="X194" s="358"/>
      <c r="Y194" s="358"/>
    </row>
    <row r="195" spans="1:34" ht="12" thickBot="1">
      <c r="A195" s="3"/>
      <c r="B195" s="318"/>
      <c r="C195" s="319"/>
      <c r="D195" s="320"/>
      <c r="E195" s="320"/>
      <c r="F195" s="320"/>
      <c r="G195" s="321"/>
      <c r="H195" s="1170"/>
      <c r="I195" s="316"/>
      <c r="J195" s="1170"/>
      <c r="K195" s="317"/>
      <c r="L195" s="3"/>
      <c r="M195" s="317"/>
      <c r="N195" s="3"/>
      <c r="O195" s="3"/>
      <c r="P195" s="3"/>
      <c r="Q195" s="3"/>
      <c r="R195" s="3"/>
      <c r="S195" s="3"/>
      <c r="T195" s="3"/>
      <c r="U195" s="3"/>
    </row>
    <row r="196" spans="1:34" ht="21">
      <c r="A196" s="3"/>
      <c r="B196" s="1430" t="s">
        <v>135</v>
      </c>
      <c r="C196" s="1261"/>
      <c r="D196" s="1262"/>
      <c r="E196" s="1262"/>
      <c r="F196" s="1262"/>
      <c r="G196" s="1263"/>
      <c r="H196" s="1264"/>
      <c r="I196" s="1265"/>
      <c r="J196" s="1264"/>
      <c r="K196" s="1266"/>
      <c r="L196" s="1235"/>
      <c r="M196" s="1266"/>
      <c r="N196" s="1235"/>
      <c r="O196" s="1235"/>
      <c r="P196" s="1235"/>
      <c r="Q196" s="1235"/>
      <c r="R196" s="1235"/>
      <c r="S196" s="1235"/>
      <c r="T196" s="1235"/>
      <c r="U196" s="1235"/>
      <c r="V196" s="1235"/>
      <c r="W196" s="1235"/>
      <c r="X196" s="1235"/>
      <c r="Y196" s="1235"/>
      <c r="Z196" s="1235"/>
      <c r="AA196" s="1235"/>
      <c r="AB196" s="1235"/>
      <c r="AC196" s="1447"/>
      <c r="AD196" s="1452"/>
      <c r="AH196" s="401" t="s">
        <v>853</v>
      </c>
    </row>
    <row r="197" spans="1:34" s="213" customFormat="1" ht="36.75">
      <c r="A197" s="418"/>
      <c r="B197" s="1446" t="s">
        <v>631</v>
      </c>
      <c r="C197" s="1441" t="s">
        <v>1113</v>
      </c>
      <c r="D197" s="1168"/>
      <c r="E197" s="1442" t="s">
        <v>858</v>
      </c>
      <c r="F197" s="1442"/>
      <c r="G197" s="1442" t="s">
        <v>871</v>
      </c>
      <c r="H197" s="1168"/>
      <c r="I197" s="1442" t="s">
        <v>859</v>
      </c>
      <c r="J197" s="1442"/>
      <c r="K197" s="1442" t="s">
        <v>860</v>
      </c>
      <c r="L197" s="1443"/>
      <c r="M197" s="1442" t="s">
        <v>861</v>
      </c>
      <c r="N197" s="1443"/>
      <c r="O197" s="1442" t="s">
        <v>862</v>
      </c>
      <c r="P197" s="1443"/>
      <c r="Q197" s="1442" t="s">
        <v>863</v>
      </c>
      <c r="R197" s="1168"/>
      <c r="S197" s="1442" t="s">
        <v>864</v>
      </c>
      <c r="T197" s="1168"/>
      <c r="U197" s="1444" t="s">
        <v>1053</v>
      </c>
      <c r="V197" s="1168"/>
      <c r="W197" s="1445" t="s">
        <v>865</v>
      </c>
      <c r="X197" s="1168"/>
      <c r="Y197" s="1442" t="s">
        <v>872</v>
      </c>
      <c r="Z197" s="1168"/>
      <c r="AA197" s="1442" t="s">
        <v>873</v>
      </c>
      <c r="AB197" s="1443"/>
      <c r="AC197" s="1448" t="s">
        <v>874</v>
      </c>
      <c r="AD197" s="1451"/>
    </row>
    <row r="198" spans="1:34" s="213" customFormat="1">
      <c r="A198" s="419"/>
      <c r="B198" s="840"/>
      <c r="C198" s="821"/>
      <c r="D198" s="821"/>
      <c r="E198" s="827"/>
      <c r="F198" s="421"/>
      <c r="G198" s="821"/>
      <c r="H198" s="821"/>
      <c r="I198" s="821"/>
      <c r="J198" s="821"/>
      <c r="K198" s="821"/>
      <c r="L198" s="821"/>
      <c r="M198" s="821"/>
      <c r="N198" s="821"/>
      <c r="O198" s="821"/>
      <c r="P198" s="821"/>
      <c r="Q198" s="821"/>
      <c r="R198" s="821"/>
      <c r="S198" s="821"/>
      <c r="T198" s="821"/>
      <c r="U198" s="1431"/>
      <c r="V198" s="821"/>
      <c r="W198" s="1034"/>
      <c r="X198" s="821"/>
      <c r="Y198" s="821"/>
      <c r="Z198" s="821"/>
      <c r="AA198" s="821"/>
      <c r="AB198" s="821"/>
      <c r="AC198" s="1449"/>
      <c r="AD198" s="1451"/>
    </row>
    <row r="199" spans="1:34" s="213" customFormat="1">
      <c r="A199" s="419"/>
      <c r="B199" s="1432" t="s">
        <v>634</v>
      </c>
      <c r="C199" s="1433" t="s">
        <v>608</v>
      </c>
      <c r="D199" s="821"/>
      <c r="E199" s="808">
        <v>75440</v>
      </c>
      <c r="F199" s="421" t="s">
        <v>951</v>
      </c>
      <c r="G199" s="421">
        <v>2.1772E-2</v>
      </c>
      <c r="H199" s="821"/>
      <c r="I199" s="343">
        <f>E199*G199*1000</f>
        <v>1642479.68</v>
      </c>
      <c r="J199" s="421" t="s">
        <v>950</v>
      </c>
      <c r="K199" s="420">
        <v>1.2</v>
      </c>
      <c r="L199" s="421" t="s">
        <v>950</v>
      </c>
      <c r="M199" s="1434">
        <v>0.03</v>
      </c>
      <c r="N199" s="421" t="s">
        <v>950</v>
      </c>
      <c r="O199" s="421">
        <v>0.93</v>
      </c>
      <c r="P199" s="421" t="s">
        <v>950</v>
      </c>
      <c r="Q199" s="422">
        <v>0.93</v>
      </c>
      <c r="R199" s="421" t="s">
        <v>950</v>
      </c>
      <c r="S199" s="422">
        <v>0.88</v>
      </c>
      <c r="T199" s="421" t="s">
        <v>951</v>
      </c>
      <c r="U199" s="423">
        <v>0.44850000000000001</v>
      </c>
      <c r="V199" s="421" t="s">
        <v>951</v>
      </c>
      <c r="W199" s="351">
        <f>I199*K199*M199*O199*Q199*S199*U199</f>
        <v>20184.292112420371</v>
      </c>
      <c r="X199" s="421" t="s">
        <v>951</v>
      </c>
      <c r="Y199" s="809">
        <f>W199*0.005*(16/12)</f>
        <v>134.56194741613581</v>
      </c>
      <c r="Z199" s="1435" t="s">
        <v>951</v>
      </c>
      <c r="AA199" s="424">
        <f>Y199/(10^6)*21*12/44</f>
        <v>7.7067297156514151E-4</v>
      </c>
      <c r="AB199" s="1435" t="s">
        <v>951</v>
      </c>
      <c r="AC199" s="1450">
        <f>AA199/(12/44)</f>
        <v>2.8258008957388523E-3</v>
      </c>
      <c r="AD199" s="1451"/>
    </row>
    <row r="200" spans="1:34" s="213" customFormat="1">
      <c r="A200" s="419"/>
      <c r="B200" s="1432" t="s">
        <v>866</v>
      </c>
      <c r="C200" s="1433" t="s">
        <v>608</v>
      </c>
      <c r="D200" s="821"/>
      <c r="E200" s="808">
        <v>1911436</v>
      </c>
      <c r="F200" s="421" t="s">
        <v>951</v>
      </c>
      <c r="G200" s="421">
        <v>2.5401147108E-2</v>
      </c>
      <c r="H200" s="821"/>
      <c r="I200" s="343">
        <f>E200*G200*1000</f>
        <v>48552667.023527086</v>
      </c>
      <c r="J200" s="421" t="s">
        <v>950</v>
      </c>
      <c r="K200" s="420">
        <v>1</v>
      </c>
      <c r="L200" s="421" t="s">
        <v>950</v>
      </c>
      <c r="M200" s="1434">
        <v>0.03</v>
      </c>
      <c r="N200" s="421" t="s">
        <v>950</v>
      </c>
      <c r="O200" s="421">
        <v>0.91</v>
      </c>
      <c r="P200" s="421" t="s">
        <v>950</v>
      </c>
      <c r="Q200" s="422">
        <v>0.93</v>
      </c>
      <c r="R200" s="421" t="s">
        <v>950</v>
      </c>
      <c r="S200" s="422">
        <v>0.88</v>
      </c>
      <c r="T200" s="421" t="s">
        <v>951</v>
      </c>
      <c r="U200" s="423">
        <v>0.44779999999999998</v>
      </c>
      <c r="V200" s="421" t="s">
        <v>951</v>
      </c>
      <c r="W200" s="351">
        <f t="shared" ref="W200:W207" si="16">I200*K200*M200*O200*Q200*S200*U200</f>
        <v>485764.13628020562</v>
      </c>
      <c r="X200" s="421" t="s">
        <v>951</v>
      </c>
      <c r="Y200" s="809">
        <f>W200*0.005*(16/12)</f>
        <v>3238.4275752013709</v>
      </c>
      <c r="Z200" s="1435" t="s">
        <v>951</v>
      </c>
      <c r="AA200" s="424">
        <f t="shared" ref="AA200:AA207" si="17">Y200/(10^6)*21*12/44</f>
        <v>1.8547357930698758E-2</v>
      </c>
      <c r="AB200" s="1435" t="s">
        <v>951</v>
      </c>
      <c r="AC200" s="1450">
        <f t="shared" ref="AC200:AC207" si="18">AA200/(12/44)</f>
        <v>6.8006979079228785E-2</v>
      </c>
      <c r="AD200" s="1451"/>
    </row>
    <row r="201" spans="1:34" s="213" customFormat="1">
      <c r="A201" s="419"/>
      <c r="B201" s="1432" t="s">
        <v>618</v>
      </c>
      <c r="C201" s="1433" t="s">
        <v>867</v>
      </c>
      <c r="D201" s="821"/>
      <c r="E201" s="808">
        <v>0</v>
      </c>
      <c r="F201" s="421" t="s">
        <v>951</v>
      </c>
      <c r="G201" s="421" t="s">
        <v>947</v>
      </c>
      <c r="H201" s="821"/>
      <c r="I201" s="343">
        <f>(E201*1000/2000)*0.9072</f>
        <v>0</v>
      </c>
      <c r="J201" s="421" t="s">
        <v>950</v>
      </c>
      <c r="K201" s="420">
        <v>1</v>
      </c>
      <c r="L201" s="421" t="s">
        <v>950</v>
      </c>
      <c r="M201" s="1434">
        <v>0.03</v>
      </c>
      <c r="N201" s="421" t="s">
        <v>950</v>
      </c>
      <c r="O201" s="421">
        <v>0.86</v>
      </c>
      <c r="P201" s="421" t="s">
        <v>950</v>
      </c>
      <c r="Q201" s="422">
        <v>0.93</v>
      </c>
      <c r="R201" s="421" t="s">
        <v>950</v>
      </c>
      <c r="S201" s="422">
        <v>0.88</v>
      </c>
      <c r="T201" s="421" t="s">
        <v>951</v>
      </c>
      <c r="U201" s="423">
        <v>0.45</v>
      </c>
      <c r="V201" s="421" t="s">
        <v>951</v>
      </c>
      <c r="W201" s="351">
        <f t="shared" si="16"/>
        <v>0</v>
      </c>
      <c r="X201" s="421" t="s">
        <v>951</v>
      </c>
      <c r="Y201" s="809">
        <f>W201*0.005*(16/12)</f>
        <v>0</v>
      </c>
      <c r="Z201" s="1435" t="s">
        <v>951</v>
      </c>
      <c r="AA201" s="424">
        <f t="shared" si="17"/>
        <v>0</v>
      </c>
      <c r="AB201" s="1435" t="s">
        <v>951</v>
      </c>
      <c r="AC201" s="1450">
        <f t="shared" si="18"/>
        <v>0</v>
      </c>
      <c r="AD201" s="1451"/>
    </row>
    <row r="202" spans="1:34" s="213" customFormat="1">
      <c r="A202" s="419"/>
      <c r="B202" s="1432" t="s">
        <v>616</v>
      </c>
      <c r="C202" s="1433" t="s">
        <v>868</v>
      </c>
      <c r="D202" s="821"/>
      <c r="E202" s="808">
        <v>0</v>
      </c>
      <c r="F202" s="421" t="s">
        <v>951</v>
      </c>
      <c r="G202" s="421" t="s">
        <v>947</v>
      </c>
      <c r="H202" s="821"/>
      <c r="I202" s="343">
        <v>0</v>
      </c>
      <c r="J202" s="421" t="s">
        <v>950</v>
      </c>
      <c r="K202" s="420">
        <v>1.4</v>
      </c>
      <c r="L202" s="421" t="s">
        <v>950</v>
      </c>
      <c r="M202" s="1434">
        <v>0</v>
      </c>
      <c r="N202" s="421" t="s">
        <v>950</v>
      </c>
      <c r="O202" s="421">
        <v>0.91</v>
      </c>
      <c r="P202" s="421" t="s">
        <v>950</v>
      </c>
      <c r="Q202" s="422">
        <v>0.93</v>
      </c>
      <c r="R202" s="421" t="s">
        <v>950</v>
      </c>
      <c r="S202" s="422">
        <v>0.88</v>
      </c>
      <c r="T202" s="421" t="s">
        <v>951</v>
      </c>
      <c r="U202" s="423">
        <v>0.38059999999999999</v>
      </c>
      <c r="V202" s="421" t="s">
        <v>951</v>
      </c>
      <c r="W202" s="351">
        <f t="shared" si="16"/>
        <v>0</v>
      </c>
      <c r="X202" s="421" t="s">
        <v>951</v>
      </c>
      <c r="Y202" s="809">
        <f t="shared" ref="Y202:Y207" si="19">W202*0.005*(16/12)</f>
        <v>0</v>
      </c>
      <c r="Z202" s="1435" t="s">
        <v>951</v>
      </c>
      <c r="AA202" s="424">
        <f t="shared" si="17"/>
        <v>0</v>
      </c>
      <c r="AB202" s="1435" t="s">
        <v>951</v>
      </c>
      <c r="AC202" s="1450">
        <f t="shared" si="18"/>
        <v>0</v>
      </c>
      <c r="AD202" s="1451"/>
    </row>
    <row r="203" spans="1:34" s="213" customFormat="1">
      <c r="A203" s="419"/>
      <c r="B203" s="1432" t="s">
        <v>635</v>
      </c>
      <c r="C203" s="1433" t="s">
        <v>608</v>
      </c>
      <c r="D203" s="821"/>
      <c r="E203" s="808">
        <v>632221</v>
      </c>
      <c r="F203" s="421" t="s">
        <v>951</v>
      </c>
      <c r="G203" s="421">
        <v>2.7215692074999999E-2</v>
      </c>
      <c r="H203" s="821"/>
      <c r="I203" s="343">
        <f>E203*G203*1000</f>
        <v>17206332.059348572</v>
      </c>
      <c r="J203" s="421" t="s">
        <v>950</v>
      </c>
      <c r="K203" s="420">
        <v>2.1</v>
      </c>
      <c r="L203" s="421" t="s">
        <v>950</v>
      </c>
      <c r="M203" s="1434">
        <v>0.03</v>
      </c>
      <c r="N203" s="421" t="s">
        <v>950</v>
      </c>
      <c r="O203" s="421">
        <v>0.87</v>
      </c>
      <c r="P203" s="421" t="s">
        <v>950</v>
      </c>
      <c r="Q203" s="422">
        <v>0.93</v>
      </c>
      <c r="R203" s="421" t="s">
        <v>950</v>
      </c>
      <c r="S203" s="422">
        <v>0.88</v>
      </c>
      <c r="T203" s="421" t="s">
        <v>951</v>
      </c>
      <c r="U203" s="423">
        <v>0.45</v>
      </c>
      <c r="V203" s="421" t="s">
        <v>951</v>
      </c>
      <c r="W203" s="351">
        <f t="shared" si="16"/>
        <v>347317.15628047386</v>
      </c>
      <c r="X203" s="421" t="s">
        <v>951</v>
      </c>
      <c r="Y203" s="809">
        <f t="shared" si="19"/>
        <v>2315.4477085364924</v>
      </c>
      <c r="Z203" s="1435" t="s">
        <v>951</v>
      </c>
      <c r="AA203" s="424">
        <f t="shared" si="17"/>
        <v>1.3261200512527186E-2</v>
      </c>
      <c r="AB203" s="1435" t="s">
        <v>951</v>
      </c>
      <c r="AC203" s="1450">
        <f t="shared" si="18"/>
        <v>4.8624401879266352E-2</v>
      </c>
      <c r="AD203" s="1451"/>
    </row>
    <row r="204" spans="1:34" s="213" customFormat="1">
      <c r="A204" s="419"/>
      <c r="B204" s="1432" t="s">
        <v>869</v>
      </c>
      <c r="C204" s="1433" t="s">
        <v>605</v>
      </c>
      <c r="D204" s="821"/>
      <c r="E204" s="808">
        <v>0</v>
      </c>
      <c r="F204" s="421" t="s">
        <v>951</v>
      </c>
      <c r="G204" s="421" t="s">
        <v>947</v>
      </c>
      <c r="H204" s="821"/>
      <c r="I204" s="343">
        <f>E204*0.9072*1000</f>
        <v>0</v>
      </c>
      <c r="J204" s="421" t="s">
        <v>950</v>
      </c>
      <c r="K204" s="420">
        <v>0.2</v>
      </c>
      <c r="L204" s="421" t="s">
        <v>950</v>
      </c>
      <c r="M204" s="1434">
        <v>0.03</v>
      </c>
      <c r="N204" s="421" t="s">
        <v>950</v>
      </c>
      <c r="O204" s="421">
        <v>0.62</v>
      </c>
      <c r="P204" s="421" t="s">
        <v>950</v>
      </c>
      <c r="Q204" s="422">
        <v>0.93</v>
      </c>
      <c r="R204" s="421" t="s">
        <v>950</v>
      </c>
      <c r="S204" s="422">
        <v>0.88</v>
      </c>
      <c r="T204" s="421" t="s">
        <v>951</v>
      </c>
      <c r="U204" s="423">
        <v>0.42349999999999999</v>
      </c>
      <c r="V204" s="421" t="s">
        <v>951</v>
      </c>
      <c r="W204" s="351">
        <f t="shared" si="16"/>
        <v>0</v>
      </c>
      <c r="X204" s="421" t="s">
        <v>951</v>
      </c>
      <c r="Y204" s="809">
        <f t="shared" si="19"/>
        <v>0</v>
      </c>
      <c r="Z204" s="1435" t="s">
        <v>951</v>
      </c>
      <c r="AA204" s="424">
        <f t="shared" si="17"/>
        <v>0</v>
      </c>
      <c r="AB204" s="1435" t="s">
        <v>951</v>
      </c>
      <c r="AC204" s="1450">
        <f t="shared" si="18"/>
        <v>0</v>
      </c>
      <c r="AD204" s="1451"/>
    </row>
    <row r="205" spans="1:34" s="213" customFormat="1">
      <c r="A205" s="419"/>
      <c r="B205" s="1432" t="s">
        <v>870</v>
      </c>
      <c r="C205" s="1433" t="s">
        <v>608</v>
      </c>
      <c r="D205" s="821"/>
      <c r="E205" s="808">
        <v>476270</v>
      </c>
      <c r="F205" s="421" t="s">
        <v>951</v>
      </c>
      <c r="G205" s="421">
        <v>2.7215442853E-2</v>
      </c>
      <c r="H205" s="821"/>
      <c r="I205" s="343">
        <f>E205*G205*1000</f>
        <v>12961898.96759831</v>
      </c>
      <c r="J205" s="421" t="s">
        <v>950</v>
      </c>
      <c r="K205" s="420">
        <v>1.3</v>
      </c>
      <c r="L205" s="421" t="s">
        <v>950</v>
      </c>
      <c r="M205" s="1434">
        <v>0.03</v>
      </c>
      <c r="N205" s="421" t="s">
        <v>950</v>
      </c>
      <c r="O205" s="421">
        <v>0.93</v>
      </c>
      <c r="P205" s="421" t="s">
        <v>950</v>
      </c>
      <c r="Q205" s="422">
        <v>0.93</v>
      </c>
      <c r="R205" s="421" t="s">
        <v>950</v>
      </c>
      <c r="S205" s="422">
        <v>0.88</v>
      </c>
      <c r="T205" s="421" t="s">
        <v>951</v>
      </c>
      <c r="U205" s="423">
        <v>0.44280000000000003</v>
      </c>
      <c r="V205" s="421" t="s">
        <v>951</v>
      </c>
      <c r="W205" s="351">
        <f t="shared" si="16"/>
        <v>170368.54738267325</v>
      </c>
      <c r="X205" s="421" t="s">
        <v>951</v>
      </c>
      <c r="Y205" s="809">
        <f t="shared" si="19"/>
        <v>1135.7903158844883</v>
      </c>
      <c r="Z205" s="1435" t="s">
        <v>951</v>
      </c>
      <c r="AA205" s="424">
        <f t="shared" si="17"/>
        <v>6.5049809000657065E-3</v>
      </c>
      <c r="AB205" s="1435" t="s">
        <v>951</v>
      </c>
      <c r="AC205" s="1450">
        <f t="shared" si="18"/>
        <v>2.3851596633574258E-2</v>
      </c>
      <c r="AD205" s="1451"/>
    </row>
    <row r="206" spans="1:34" s="213" customFormat="1">
      <c r="A206" s="419"/>
      <c r="B206" s="1432" t="s">
        <v>187</v>
      </c>
      <c r="C206" s="1184" t="s">
        <v>626</v>
      </c>
      <c r="D206" s="821"/>
      <c r="E206" s="808"/>
      <c r="F206" s="421" t="s">
        <v>951</v>
      </c>
      <c r="G206" s="421" t="s">
        <v>947</v>
      </c>
      <c r="H206" s="821"/>
      <c r="I206" s="343">
        <f>E206</f>
        <v>0</v>
      </c>
      <c r="J206" s="421" t="s">
        <v>950</v>
      </c>
      <c r="K206" s="425"/>
      <c r="L206" s="421" t="s">
        <v>950</v>
      </c>
      <c r="M206" s="1436"/>
      <c r="N206" s="421" t="s">
        <v>950</v>
      </c>
      <c r="O206" s="426"/>
      <c r="P206" s="421" t="s">
        <v>950</v>
      </c>
      <c r="Q206" s="427"/>
      <c r="R206" s="421" t="s">
        <v>950</v>
      </c>
      <c r="S206" s="428"/>
      <c r="T206" s="421" t="s">
        <v>951</v>
      </c>
      <c r="U206" s="429"/>
      <c r="V206" s="421" t="s">
        <v>951</v>
      </c>
      <c r="W206" s="351">
        <f t="shared" si="16"/>
        <v>0</v>
      </c>
      <c r="X206" s="421" t="s">
        <v>951</v>
      </c>
      <c r="Y206" s="809">
        <f t="shared" si="19"/>
        <v>0</v>
      </c>
      <c r="Z206" s="1435" t="s">
        <v>951</v>
      </c>
      <c r="AA206" s="424">
        <f t="shared" si="17"/>
        <v>0</v>
      </c>
      <c r="AB206" s="1435" t="s">
        <v>951</v>
      </c>
      <c r="AC206" s="1450">
        <f t="shared" si="18"/>
        <v>0</v>
      </c>
      <c r="AD206" s="1451"/>
    </row>
    <row r="207" spans="1:34" s="213" customFormat="1">
      <c r="A207" s="419"/>
      <c r="B207" s="1437"/>
      <c r="C207" s="1184" t="s">
        <v>626</v>
      </c>
      <c r="D207" s="821"/>
      <c r="E207" s="808"/>
      <c r="F207" s="421" t="s">
        <v>951</v>
      </c>
      <c r="G207" s="421" t="s">
        <v>947</v>
      </c>
      <c r="H207" s="821"/>
      <c r="I207" s="343">
        <f>E207</f>
        <v>0</v>
      </c>
      <c r="J207" s="421" t="s">
        <v>950</v>
      </c>
      <c r="K207" s="425"/>
      <c r="L207" s="421" t="s">
        <v>950</v>
      </c>
      <c r="M207" s="1436"/>
      <c r="N207" s="421" t="s">
        <v>950</v>
      </c>
      <c r="O207" s="426"/>
      <c r="P207" s="421" t="s">
        <v>950</v>
      </c>
      <c r="Q207" s="427"/>
      <c r="R207" s="421" t="s">
        <v>950</v>
      </c>
      <c r="S207" s="428"/>
      <c r="T207" s="421" t="s">
        <v>951</v>
      </c>
      <c r="U207" s="429"/>
      <c r="V207" s="421" t="s">
        <v>951</v>
      </c>
      <c r="W207" s="351">
        <f t="shared" si="16"/>
        <v>0</v>
      </c>
      <c r="X207" s="421" t="s">
        <v>951</v>
      </c>
      <c r="Y207" s="809">
        <f t="shared" si="19"/>
        <v>0</v>
      </c>
      <c r="Z207" s="1435" t="s">
        <v>951</v>
      </c>
      <c r="AA207" s="424">
        <f t="shared" si="17"/>
        <v>0</v>
      </c>
      <c r="AB207" s="1435" t="s">
        <v>951</v>
      </c>
      <c r="AC207" s="1450">
        <f t="shared" si="18"/>
        <v>0</v>
      </c>
      <c r="AD207" s="1451"/>
    </row>
    <row r="208" spans="1:34" s="213" customFormat="1">
      <c r="A208" s="419"/>
      <c r="B208" s="1438"/>
      <c r="C208" s="1439"/>
      <c r="D208" s="821"/>
      <c r="E208" s="1440"/>
      <c r="F208" s="421"/>
      <c r="G208" s="821"/>
      <c r="H208" s="821"/>
      <c r="I208" s="827"/>
      <c r="J208" s="421"/>
      <c r="K208" s="1034"/>
      <c r="L208" s="421"/>
      <c r="M208" s="1185"/>
      <c r="N208" s="421"/>
      <c r="O208" s="422"/>
      <c r="P208" s="821"/>
      <c r="Q208" s="821"/>
      <c r="R208" s="821"/>
      <c r="S208" s="821"/>
      <c r="T208" s="821"/>
      <c r="U208" s="1431"/>
      <c r="V208" s="821"/>
      <c r="W208" s="1034"/>
      <c r="X208" s="821"/>
      <c r="Y208" s="821"/>
      <c r="Z208" s="821"/>
      <c r="AA208" s="821"/>
      <c r="AB208" s="821"/>
      <c r="AC208" s="1449"/>
      <c r="AD208" s="1451"/>
    </row>
    <row r="209" spans="1:34" s="213" customFormat="1" ht="12" thickBot="1">
      <c r="A209" s="419"/>
      <c r="B209" s="1194" t="s">
        <v>184</v>
      </c>
      <c r="C209" s="1195"/>
      <c r="D209" s="1196"/>
      <c r="E209" s="1472"/>
      <c r="F209" s="1472"/>
      <c r="G209" s="1196"/>
      <c r="H209" s="1196"/>
      <c r="I209" s="1472"/>
      <c r="J209" s="1472"/>
      <c r="K209" s="1473"/>
      <c r="L209" s="1474"/>
      <c r="M209" s="1473"/>
      <c r="N209" s="1474"/>
      <c r="O209" s="1475"/>
      <c r="P209" s="1196"/>
      <c r="Q209" s="1475"/>
      <c r="R209" s="1196"/>
      <c r="S209" s="1475"/>
      <c r="T209" s="1196"/>
      <c r="U209" s="1476"/>
      <c r="V209" s="1196"/>
      <c r="W209" s="1473">
        <f>SUM(W199:W207)</f>
        <v>1023634.1320557732</v>
      </c>
      <c r="X209" s="1196"/>
      <c r="Y209" s="1475">
        <f>SUM(Y199:Y207)</f>
        <v>6824.2275470384875</v>
      </c>
      <c r="Z209" s="1196"/>
      <c r="AA209" s="1475">
        <f>SUM(AA199:AA207)</f>
        <v>3.9084212314856787E-2</v>
      </c>
      <c r="AB209" s="1196"/>
      <c r="AC209" s="1477">
        <f>SUM(AC199:AC207)</f>
        <v>0.14330877848780824</v>
      </c>
      <c r="AD209" s="1451"/>
    </row>
    <row r="210" spans="1:34" ht="12" thickBot="1">
      <c r="A210" s="3"/>
      <c r="B210" s="1169"/>
      <c r="C210" s="79"/>
      <c r="D210" s="274"/>
      <c r="E210" s="274"/>
      <c r="F210" s="274"/>
      <c r="G210" s="315"/>
      <c r="H210" s="1170"/>
      <c r="I210" s="316"/>
      <c r="J210" s="1170"/>
      <c r="K210" s="317"/>
      <c r="L210" s="3"/>
      <c r="M210" s="317"/>
      <c r="N210" s="3"/>
      <c r="O210" s="3"/>
      <c r="P210" s="3"/>
      <c r="Q210" s="3"/>
      <c r="R210" s="3"/>
      <c r="S210" s="3"/>
      <c r="T210" s="3"/>
      <c r="U210" s="3"/>
    </row>
    <row r="211" spans="1:34" ht="21.75" thickBot="1">
      <c r="A211" s="20"/>
      <c r="B211" s="1457" t="s">
        <v>136</v>
      </c>
      <c r="C211" s="1261"/>
      <c r="D211" s="1262"/>
      <c r="E211" s="1262"/>
      <c r="F211" s="1262"/>
      <c r="G211" s="1263"/>
      <c r="H211" s="1264"/>
      <c r="I211" s="1265"/>
      <c r="J211" s="1264"/>
      <c r="K211" s="1266"/>
      <c r="L211" s="1235"/>
      <c r="M211" s="1266"/>
      <c r="N211" s="1235"/>
      <c r="O211" s="1235"/>
      <c r="P211" s="1235"/>
      <c r="Q211" s="1235"/>
      <c r="R211" s="1235"/>
      <c r="S211" s="1235"/>
      <c r="T211" s="1235"/>
      <c r="U211" s="1235"/>
      <c r="V211" s="1235"/>
      <c r="W211" s="1235"/>
      <c r="X211" s="1235"/>
      <c r="Y211" s="1235"/>
      <c r="Z211" s="1235"/>
      <c r="AA211" s="1235"/>
      <c r="AB211" s="1235"/>
      <c r="AC211" s="1236"/>
      <c r="AD211" s="1453"/>
      <c r="AH211" s="401" t="s">
        <v>853</v>
      </c>
    </row>
    <row r="212" spans="1:34" s="213" customFormat="1" ht="36.75">
      <c r="A212" s="1463"/>
      <c r="B212" s="1458" t="s">
        <v>631</v>
      </c>
      <c r="C212" s="1441" t="s">
        <v>1113</v>
      </c>
      <c r="D212" s="1168"/>
      <c r="E212" s="1442" t="s">
        <v>858</v>
      </c>
      <c r="F212" s="1442"/>
      <c r="G212" s="1168" t="s">
        <v>871</v>
      </c>
      <c r="H212" s="1168"/>
      <c r="I212" s="1442" t="s">
        <v>859</v>
      </c>
      <c r="J212" s="1442"/>
      <c r="K212" s="1442" t="s">
        <v>860</v>
      </c>
      <c r="L212" s="1443"/>
      <c r="M212" s="1442" t="s">
        <v>875</v>
      </c>
      <c r="N212" s="1443"/>
      <c r="O212" s="1442" t="s">
        <v>862</v>
      </c>
      <c r="P212" s="1443"/>
      <c r="Q212" s="1442" t="s">
        <v>863</v>
      </c>
      <c r="R212" s="1168"/>
      <c r="S212" s="1442" t="s">
        <v>864</v>
      </c>
      <c r="T212" s="1168"/>
      <c r="U212" s="1444" t="s">
        <v>876</v>
      </c>
      <c r="V212" s="1168"/>
      <c r="W212" s="1442" t="s">
        <v>877</v>
      </c>
      <c r="X212" s="1168"/>
      <c r="Y212" s="1442" t="s">
        <v>878</v>
      </c>
      <c r="Z212" s="1168"/>
      <c r="AA212" s="1442" t="s">
        <v>879</v>
      </c>
      <c r="AB212" s="1168"/>
      <c r="AC212" s="1454" t="s">
        <v>880</v>
      </c>
    </row>
    <row r="213" spans="1:34" s="213" customFormat="1">
      <c r="A213" s="1464"/>
      <c r="B213" s="1459"/>
      <c r="C213" s="821"/>
      <c r="D213" s="821"/>
      <c r="E213" s="827"/>
      <c r="F213" s="421"/>
      <c r="G213" s="821"/>
      <c r="H213" s="821"/>
      <c r="I213" s="821"/>
      <c r="J213" s="821"/>
      <c r="K213" s="821"/>
      <c r="L213" s="821"/>
      <c r="M213" s="821"/>
      <c r="N213" s="821"/>
      <c r="O213" s="821"/>
      <c r="P213" s="821"/>
      <c r="Q213" s="821"/>
      <c r="R213" s="821"/>
      <c r="S213" s="821"/>
      <c r="T213" s="821"/>
      <c r="U213" s="1431"/>
      <c r="V213" s="821"/>
      <c r="W213" s="821"/>
      <c r="X213" s="821"/>
      <c r="Y213" s="821"/>
      <c r="Z213" s="821"/>
      <c r="AA213" s="821"/>
      <c r="AB213" s="821"/>
      <c r="AC213" s="823"/>
    </row>
    <row r="214" spans="1:34" s="213" customFormat="1">
      <c r="A214" s="1464"/>
      <c r="B214" s="1460" t="s">
        <v>634</v>
      </c>
      <c r="C214" s="1433" t="s">
        <v>608</v>
      </c>
      <c r="D214" s="821"/>
      <c r="E214" s="807">
        <v>75440</v>
      </c>
      <c r="F214" s="421" t="s">
        <v>951</v>
      </c>
      <c r="G214" s="421">
        <v>2.1772E-2</v>
      </c>
      <c r="H214" s="821"/>
      <c r="I214" s="343">
        <f>E214*G214*1000</f>
        <v>1642479.68</v>
      </c>
      <c r="J214" s="421" t="s">
        <v>950</v>
      </c>
      <c r="K214" s="420">
        <v>1.2</v>
      </c>
      <c r="L214" s="421" t="s">
        <v>950</v>
      </c>
      <c r="M214" s="1434">
        <v>0.03</v>
      </c>
      <c r="N214" s="421" t="s">
        <v>950</v>
      </c>
      <c r="O214" s="421">
        <v>0.93</v>
      </c>
      <c r="P214" s="421" t="s">
        <v>950</v>
      </c>
      <c r="Q214" s="422">
        <v>0.93</v>
      </c>
      <c r="R214" s="421" t="s">
        <v>950</v>
      </c>
      <c r="S214" s="422">
        <v>0.88</v>
      </c>
      <c r="T214" s="421" t="s">
        <v>951</v>
      </c>
      <c r="U214" s="423">
        <v>7.7000000000000002E-3</v>
      </c>
      <c r="V214" s="421" t="s">
        <v>951</v>
      </c>
      <c r="W214" s="431">
        <f>I214*K214*M214*O214*Q214*S214*U214</f>
        <v>346.53076759339319</v>
      </c>
      <c r="X214" s="421" t="s">
        <v>951</v>
      </c>
      <c r="Y214" s="810">
        <f>W214*0.007*(44/28)</f>
        <v>3.8118384435273249</v>
      </c>
      <c r="Z214" s="421" t="s">
        <v>951</v>
      </c>
      <c r="AA214" s="432">
        <f>Y214/(10^6)*310*12/44</f>
        <v>3.2227361386185564E-4</v>
      </c>
      <c r="AB214" s="421" t="s">
        <v>951</v>
      </c>
      <c r="AC214" s="1455">
        <f>AA214/(12/44)</f>
        <v>1.1816699174934707E-3</v>
      </c>
    </row>
    <row r="215" spans="1:34" s="213" customFormat="1">
      <c r="A215" s="1464"/>
      <c r="B215" s="1460" t="s">
        <v>866</v>
      </c>
      <c r="C215" s="1433" t="s">
        <v>608</v>
      </c>
      <c r="D215" s="821"/>
      <c r="E215" s="807">
        <v>1911436</v>
      </c>
      <c r="F215" s="421" t="s">
        <v>951</v>
      </c>
      <c r="G215" s="421">
        <v>2.5401147108E-2</v>
      </c>
      <c r="H215" s="821"/>
      <c r="I215" s="343">
        <f>E215*G215*1000</f>
        <v>48552667.023527086</v>
      </c>
      <c r="J215" s="421" t="s">
        <v>950</v>
      </c>
      <c r="K215" s="420">
        <v>1</v>
      </c>
      <c r="L215" s="421" t="s">
        <v>950</v>
      </c>
      <c r="M215" s="1434">
        <v>0.03</v>
      </c>
      <c r="N215" s="421" t="s">
        <v>950</v>
      </c>
      <c r="O215" s="421">
        <v>0.91</v>
      </c>
      <c r="P215" s="421" t="s">
        <v>950</v>
      </c>
      <c r="Q215" s="422">
        <v>0.93</v>
      </c>
      <c r="R215" s="421" t="s">
        <v>950</v>
      </c>
      <c r="S215" s="422">
        <v>0.88</v>
      </c>
      <c r="T215" s="421" t="s">
        <v>951</v>
      </c>
      <c r="U215" s="423">
        <v>5.7999999999999996E-3</v>
      </c>
      <c r="V215" s="421" t="s">
        <v>951</v>
      </c>
      <c r="W215" s="431">
        <f t="shared" ref="W215:W222" si="20">I215*K215*M215*O215*Q215*S215*U215</f>
        <v>6291.7194962599206</v>
      </c>
      <c r="X215" s="421" t="s">
        <v>951</v>
      </c>
      <c r="Y215" s="810">
        <f>W215*0.007*(44/28)</f>
        <v>69.208914458859127</v>
      </c>
      <c r="Z215" s="421" t="s">
        <v>951</v>
      </c>
      <c r="AA215" s="432">
        <f t="shared" ref="AA215:AA222" si="21">Y215/(10^6)*310*12/44</f>
        <v>5.8512991315217274E-3</v>
      </c>
      <c r="AB215" s="421" t="s">
        <v>951</v>
      </c>
      <c r="AC215" s="1455">
        <f t="shared" ref="AC215:AC222" si="22">AA215/(12/44)</f>
        <v>2.1454763482246335E-2</v>
      </c>
    </row>
    <row r="216" spans="1:34" s="213" customFormat="1">
      <c r="A216" s="1464"/>
      <c r="B216" s="1460" t="s">
        <v>618</v>
      </c>
      <c r="C216" s="1433" t="s">
        <v>867</v>
      </c>
      <c r="D216" s="821"/>
      <c r="E216" s="430">
        <v>0</v>
      </c>
      <c r="F216" s="421" t="s">
        <v>951</v>
      </c>
      <c r="G216" s="421" t="s">
        <v>947</v>
      </c>
      <c r="H216" s="821"/>
      <c r="I216" s="343">
        <f>(E216*1000/2000)*0.9072</f>
        <v>0</v>
      </c>
      <c r="J216" s="421" t="s">
        <v>950</v>
      </c>
      <c r="K216" s="420">
        <v>1</v>
      </c>
      <c r="L216" s="421" t="s">
        <v>950</v>
      </c>
      <c r="M216" s="1434">
        <v>0.03</v>
      </c>
      <c r="N216" s="421" t="s">
        <v>950</v>
      </c>
      <c r="O216" s="421">
        <v>0.86</v>
      </c>
      <c r="P216" s="421" t="s">
        <v>950</v>
      </c>
      <c r="Q216" s="422">
        <v>0.93</v>
      </c>
      <c r="R216" s="421" t="s">
        <v>950</v>
      </c>
      <c r="S216" s="422">
        <v>0.88</v>
      </c>
      <c r="T216" s="421" t="s">
        <v>951</v>
      </c>
      <c r="U216" s="423">
        <v>1.06E-2</v>
      </c>
      <c r="V216" s="421" t="s">
        <v>951</v>
      </c>
      <c r="W216" s="431">
        <f t="shared" si="20"/>
        <v>0</v>
      </c>
      <c r="X216" s="421" t="s">
        <v>951</v>
      </c>
      <c r="Y216" s="810">
        <f>W216*0.007*(44/28)</f>
        <v>0</v>
      </c>
      <c r="Z216" s="421" t="s">
        <v>951</v>
      </c>
      <c r="AA216" s="432">
        <f t="shared" si="21"/>
        <v>0</v>
      </c>
      <c r="AB216" s="421" t="s">
        <v>951</v>
      </c>
      <c r="AC216" s="1455">
        <f t="shared" si="22"/>
        <v>0</v>
      </c>
    </row>
    <row r="217" spans="1:34" s="213" customFormat="1">
      <c r="A217" s="1464"/>
      <c r="B217" s="1460" t="s">
        <v>616</v>
      </c>
      <c r="C217" s="1433" t="s">
        <v>868</v>
      </c>
      <c r="D217" s="821"/>
      <c r="E217" s="430">
        <v>0</v>
      </c>
      <c r="F217" s="421" t="s">
        <v>951</v>
      </c>
      <c r="G217" s="421" t="s">
        <v>947</v>
      </c>
      <c r="H217" s="821"/>
      <c r="I217" s="343">
        <v>0</v>
      </c>
      <c r="J217" s="421" t="s">
        <v>950</v>
      </c>
      <c r="K217" s="420">
        <v>1.4</v>
      </c>
      <c r="L217" s="421" t="s">
        <v>950</v>
      </c>
      <c r="M217" s="1434">
        <v>0</v>
      </c>
      <c r="N217" s="421" t="s">
        <v>950</v>
      </c>
      <c r="O217" s="421">
        <v>0.91</v>
      </c>
      <c r="P217" s="421" t="s">
        <v>950</v>
      </c>
      <c r="Q217" s="422">
        <v>0.93</v>
      </c>
      <c r="R217" s="421" t="s">
        <v>950</v>
      </c>
      <c r="S217" s="422">
        <v>0.88</v>
      </c>
      <c r="T217" s="421" t="s">
        <v>951</v>
      </c>
      <c r="U217" s="423">
        <v>7.1999999999999998E-3</v>
      </c>
      <c r="V217" s="421" t="s">
        <v>951</v>
      </c>
      <c r="W217" s="431">
        <f t="shared" si="20"/>
        <v>0</v>
      </c>
      <c r="X217" s="421" t="s">
        <v>951</v>
      </c>
      <c r="Y217" s="810">
        <f t="shared" ref="Y217:Y222" si="23">W217*0.007*(44/28)</f>
        <v>0</v>
      </c>
      <c r="Z217" s="421" t="s">
        <v>951</v>
      </c>
      <c r="AA217" s="432">
        <f t="shared" si="21"/>
        <v>0</v>
      </c>
      <c r="AB217" s="421" t="s">
        <v>951</v>
      </c>
      <c r="AC217" s="1455">
        <f t="shared" si="22"/>
        <v>0</v>
      </c>
    </row>
    <row r="218" spans="1:34" s="213" customFormat="1">
      <c r="A218" s="1464"/>
      <c r="B218" s="1460" t="s">
        <v>635</v>
      </c>
      <c r="C218" s="1433" t="s">
        <v>608</v>
      </c>
      <c r="D218" s="821"/>
      <c r="E218" s="807">
        <v>632221</v>
      </c>
      <c r="F218" s="421" t="s">
        <v>951</v>
      </c>
      <c r="G218" s="421">
        <v>2.7215692074999999E-2</v>
      </c>
      <c r="H218" s="821"/>
      <c r="I218" s="343">
        <f>E218*G218*1000</f>
        <v>17206332.059348572</v>
      </c>
      <c r="J218" s="421" t="s">
        <v>950</v>
      </c>
      <c r="K218" s="420">
        <v>2.1</v>
      </c>
      <c r="L218" s="421" t="s">
        <v>950</v>
      </c>
      <c r="M218" s="1434">
        <v>0.03</v>
      </c>
      <c r="N218" s="421" t="s">
        <v>950</v>
      </c>
      <c r="O218" s="421">
        <v>0.87</v>
      </c>
      <c r="P218" s="421" t="s">
        <v>950</v>
      </c>
      <c r="Q218" s="422">
        <v>0.93</v>
      </c>
      <c r="R218" s="421" t="s">
        <v>950</v>
      </c>
      <c r="S218" s="422">
        <v>0.88</v>
      </c>
      <c r="T218" s="421" t="s">
        <v>951</v>
      </c>
      <c r="U218" s="423">
        <v>2.3E-2</v>
      </c>
      <c r="V218" s="421" t="s">
        <v>951</v>
      </c>
      <c r="W218" s="431">
        <f t="shared" si="20"/>
        <v>17751.765765446442</v>
      </c>
      <c r="X218" s="421" t="s">
        <v>951</v>
      </c>
      <c r="Y218" s="810">
        <f t="shared" si="23"/>
        <v>195.26942341991085</v>
      </c>
      <c r="Z218" s="421" t="s">
        <v>951</v>
      </c>
      <c r="AA218" s="432">
        <f t="shared" si="21"/>
        <v>1.6509142161865189E-2</v>
      </c>
      <c r="AB218" s="421" t="s">
        <v>951</v>
      </c>
      <c r="AC218" s="1455">
        <f t="shared" si="22"/>
        <v>6.0533521260172363E-2</v>
      </c>
    </row>
    <row r="219" spans="1:34" s="213" customFormat="1">
      <c r="A219" s="1464"/>
      <c r="B219" s="1460" t="s">
        <v>869</v>
      </c>
      <c r="C219" s="1433" t="s">
        <v>605</v>
      </c>
      <c r="D219" s="821"/>
      <c r="E219" s="430">
        <v>0</v>
      </c>
      <c r="F219" s="421" t="s">
        <v>951</v>
      </c>
      <c r="G219" s="421" t="s">
        <v>947</v>
      </c>
      <c r="H219" s="821"/>
      <c r="I219" s="343">
        <f>E219*0.9072*1000</f>
        <v>0</v>
      </c>
      <c r="J219" s="421" t="s">
        <v>950</v>
      </c>
      <c r="K219" s="420">
        <v>0.2</v>
      </c>
      <c r="L219" s="421" t="s">
        <v>950</v>
      </c>
      <c r="M219" s="1434">
        <v>0.03</v>
      </c>
      <c r="N219" s="421" t="s">
        <v>950</v>
      </c>
      <c r="O219" s="421">
        <v>0.62</v>
      </c>
      <c r="P219" s="421" t="s">
        <v>950</v>
      </c>
      <c r="Q219" s="422">
        <v>0.93</v>
      </c>
      <c r="R219" s="421" t="s">
        <v>950</v>
      </c>
      <c r="S219" s="422">
        <v>0.88</v>
      </c>
      <c r="T219" s="421" t="s">
        <v>951</v>
      </c>
      <c r="U219" s="423">
        <v>4.0000000000000001E-3</v>
      </c>
      <c r="V219" s="421" t="s">
        <v>951</v>
      </c>
      <c r="W219" s="431">
        <f t="shared" si="20"/>
        <v>0</v>
      </c>
      <c r="X219" s="421" t="s">
        <v>951</v>
      </c>
      <c r="Y219" s="810">
        <f t="shared" si="23"/>
        <v>0</v>
      </c>
      <c r="Z219" s="421" t="s">
        <v>951</v>
      </c>
      <c r="AA219" s="432">
        <f t="shared" si="21"/>
        <v>0</v>
      </c>
      <c r="AB219" s="421" t="s">
        <v>951</v>
      </c>
      <c r="AC219" s="1455">
        <f t="shared" si="22"/>
        <v>0</v>
      </c>
    </row>
    <row r="220" spans="1:34" s="213" customFormat="1">
      <c r="A220" s="1464"/>
      <c r="B220" s="1460" t="s">
        <v>870</v>
      </c>
      <c r="C220" s="1433" t="s">
        <v>608</v>
      </c>
      <c r="D220" s="821"/>
      <c r="E220" s="807">
        <v>476270</v>
      </c>
      <c r="F220" s="421" t="s">
        <v>951</v>
      </c>
      <c r="G220" s="421">
        <v>2.7215442853E-2</v>
      </c>
      <c r="H220" s="821"/>
      <c r="I220" s="343">
        <f>E220*G220*1000</f>
        <v>12961898.96759831</v>
      </c>
      <c r="J220" s="421" t="s">
        <v>950</v>
      </c>
      <c r="K220" s="420">
        <v>1.3</v>
      </c>
      <c r="L220" s="421" t="s">
        <v>950</v>
      </c>
      <c r="M220" s="1434">
        <v>0.03</v>
      </c>
      <c r="N220" s="421" t="s">
        <v>950</v>
      </c>
      <c r="O220" s="421">
        <v>0.93</v>
      </c>
      <c r="P220" s="421" t="s">
        <v>950</v>
      </c>
      <c r="Q220" s="422">
        <v>0.93</v>
      </c>
      <c r="R220" s="421" t="s">
        <v>950</v>
      </c>
      <c r="S220" s="422">
        <v>0.88</v>
      </c>
      <c r="T220" s="421" t="s">
        <v>951</v>
      </c>
      <c r="U220" s="423">
        <v>6.1999999999999998E-3</v>
      </c>
      <c r="V220" s="421" t="s">
        <v>951</v>
      </c>
      <c r="W220" s="431">
        <f t="shared" si="20"/>
        <v>2385.4674656110524</v>
      </c>
      <c r="X220" s="421" t="s">
        <v>951</v>
      </c>
      <c r="Y220" s="810">
        <f t="shared" si="23"/>
        <v>26.240142121721576</v>
      </c>
      <c r="Z220" s="421" t="s">
        <v>951</v>
      </c>
      <c r="AA220" s="432">
        <f t="shared" si="21"/>
        <v>2.2184847430182786E-3</v>
      </c>
      <c r="AB220" s="421" t="s">
        <v>951</v>
      </c>
      <c r="AC220" s="1455">
        <f t="shared" si="22"/>
        <v>8.1344440577336887E-3</v>
      </c>
    </row>
    <row r="221" spans="1:34" s="213" customFormat="1">
      <c r="A221" s="1464"/>
      <c r="B221" s="1460" t="s">
        <v>187</v>
      </c>
      <c r="C221" s="1433"/>
      <c r="D221" s="821"/>
      <c r="E221" s="430">
        <v>0</v>
      </c>
      <c r="F221" s="421" t="s">
        <v>951</v>
      </c>
      <c r="G221" s="421" t="s">
        <v>947</v>
      </c>
      <c r="H221" s="821"/>
      <c r="I221" s="343">
        <f>E221</f>
        <v>0</v>
      </c>
      <c r="J221" s="421" t="s">
        <v>950</v>
      </c>
      <c r="K221" s="425"/>
      <c r="L221" s="421" t="s">
        <v>950</v>
      </c>
      <c r="M221" s="1436"/>
      <c r="N221" s="421" t="s">
        <v>950</v>
      </c>
      <c r="O221" s="426"/>
      <c r="P221" s="421" t="s">
        <v>950</v>
      </c>
      <c r="Q221" s="427"/>
      <c r="R221" s="421" t="s">
        <v>950</v>
      </c>
      <c r="S221" s="428"/>
      <c r="T221" s="421" t="s">
        <v>951</v>
      </c>
      <c r="U221" s="429"/>
      <c r="V221" s="421" t="s">
        <v>951</v>
      </c>
      <c r="W221" s="431">
        <f t="shared" si="20"/>
        <v>0</v>
      </c>
      <c r="X221" s="421" t="s">
        <v>951</v>
      </c>
      <c r="Y221" s="810">
        <f t="shared" si="23"/>
        <v>0</v>
      </c>
      <c r="Z221" s="421" t="s">
        <v>951</v>
      </c>
      <c r="AA221" s="432">
        <f t="shared" si="21"/>
        <v>0</v>
      </c>
      <c r="AB221" s="421" t="s">
        <v>951</v>
      </c>
      <c r="AC221" s="1455">
        <f t="shared" si="22"/>
        <v>0</v>
      </c>
    </row>
    <row r="222" spans="1:34" s="213" customFormat="1">
      <c r="A222" s="1464"/>
      <c r="B222" s="1459"/>
      <c r="C222" s="1184"/>
      <c r="D222" s="821"/>
      <c r="E222" s="430">
        <v>0</v>
      </c>
      <c r="F222" s="421" t="s">
        <v>951</v>
      </c>
      <c r="G222" s="421" t="s">
        <v>947</v>
      </c>
      <c r="H222" s="821"/>
      <c r="I222" s="343">
        <f>E222</f>
        <v>0</v>
      </c>
      <c r="J222" s="421" t="s">
        <v>950</v>
      </c>
      <c r="K222" s="425"/>
      <c r="L222" s="421" t="s">
        <v>950</v>
      </c>
      <c r="M222" s="1436"/>
      <c r="N222" s="421" t="s">
        <v>950</v>
      </c>
      <c r="O222" s="426"/>
      <c r="P222" s="421" t="s">
        <v>950</v>
      </c>
      <c r="Q222" s="427"/>
      <c r="R222" s="421" t="s">
        <v>950</v>
      </c>
      <c r="S222" s="428"/>
      <c r="T222" s="421" t="s">
        <v>951</v>
      </c>
      <c r="U222" s="429"/>
      <c r="V222" s="421" t="s">
        <v>951</v>
      </c>
      <c r="W222" s="431">
        <f t="shared" si="20"/>
        <v>0</v>
      </c>
      <c r="X222" s="421" t="s">
        <v>951</v>
      </c>
      <c r="Y222" s="810">
        <f t="shared" si="23"/>
        <v>0</v>
      </c>
      <c r="Z222" s="421" t="s">
        <v>951</v>
      </c>
      <c r="AA222" s="432">
        <f t="shared" si="21"/>
        <v>0</v>
      </c>
      <c r="AB222" s="421" t="s">
        <v>951</v>
      </c>
      <c r="AC222" s="1455">
        <f t="shared" si="22"/>
        <v>0</v>
      </c>
    </row>
    <row r="223" spans="1:34" s="213" customFormat="1">
      <c r="A223" s="1464"/>
      <c r="B223" s="1461"/>
      <c r="C223" s="1439"/>
      <c r="D223" s="821"/>
      <c r="E223" s="1440"/>
      <c r="F223" s="421"/>
      <c r="G223" s="821"/>
      <c r="H223" s="821"/>
      <c r="I223" s="827"/>
      <c r="J223" s="421"/>
      <c r="K223" s="1034"/>
      <c r="L223" s="421"/>
      <c r="M223" s="1185"/>
      <c r="N223" s="421"/>
      <c r="O223" s="422"/>
      <c r="P223" s="821"/>
      <c r="Q223" s="821"/>
      <c r="R223" s="821"/>
      <c r="S223" s="821"/>
      <c r="T223" s="821"/>
      <c r="U223" s="821"/>
      <c r="V223" s="821"/>
      <c r="W223" s="431"/>
      <c r="X223" s="821"/>
      <c r="Y223" s="1456"/>
      <c r="Z223" s="821"/>
      <c r="AA223" s="821"/>
      <c r="AB223" s="821"/>
      <c r="AC223" s="823"/>
    </row>
    <row r="224" spans="1:34" s="213" customFormat="1">
      <c r="A224" s="1464"/>
      <c r="B224" s="1478" t="s">
        <v>184</v>
      </c>
      <c r="C224" s="1443"/>
      <c r="D224" s="1168"/>
      <c r="E224" s="1479"/>
      <c r="F224" s="1479"/>
      <c r="G224" s="1168"/>
      <c r="H224" s="1168"/>
      <c r="I224" s="1479"/>
      <c r="J224" s="1479"/>
      <c r="K224" s="1480"/>
      <c r="L224" s="1441"/>
      <c r="M224" s="1480"/>
      <c r="N224" s="1441"/>
      <c r="O224" s="1481"/>
      <c r="P224" s="1168"/>
      <c r="Q224" s="1481"/>
      <c r="R224" s="1168"/>
      <c r="S224" s="1168"/>
      <c r="T224" s="1168"/>
      <c r="U224" s="1481"/>
      <c r="V224" s="1168"/>
      <c r="W224" s="1482">
        <f>SUM(W214:W222)</f>
        <v>26775.483494910804</v>
      </c>
      <c r="X224" s="1168"/>
      <c r="Y224" s="1483">
        <f>SUM(Y214:Y222)</f>
        <v>294.53031844401886</v>
      </c>
      <c r="Z224" s="1168"/>
      <c r="AA224" s="1484">
        <f>SUM(AA214:AA222)</f>
        <v>2.4901199650267051E-2</v>
      </c>
      <c r="AB224" s="1168"/>
      <c r="AC224" s="1485">
        <f>SUM(AC214:AC222)</f>
        <v>9.1304398717645854E-2</v>
      </c>
    </row>
    <row r="225" spans="1:34" ht="12" thickBot="1">
      <c r="A225" s="20"/>
      <c r="B225" s="1462"/>
      <c r="C225" s="1349"/>
      <c r="D225" s="1350"/>
      <c r="E225" s="1350"/>
      <c r="F225" s="1350"/>
      <c r="G225" s="1351"/>
      <c r="H225" s="1352"/>
      <c r="I225" s="1353"/>
      <c r="J225" s="1352"/>
      <c r="K225" s="1354"/>
      <c r="L225" s="561"/>
      <c r="M225" s="1354"/>
      <c r="N225" s="561"/>
      <c r="O225" s="561"/>
      <c r="P225" s="561"/>
      <c r="Q225" s="561"/>
      <c r="R225" s="561"/>
      <c r="S225" s="561"/>
      <c r="T225" s="561"/>
      <c r="U225" s="561"/>
      <c r="V225" s="561"/>
      <c r="W225" s="561"/>
      <c r="X225" s="561"/>
      <c r="Y225" s="561"/>
      <c r="Z225" s="561"/>
      <c r="AA225" s="561"/>
      <c r="AB225" s="561"/>
      <c r="AC225" s="1355"/>
    </row>
    <row r="226" spans="1:34">
      <c r="A226" s="3"/>
      <c r="B226" s="1169"/>
      <c r="C226" s="79"/>
      <c r="D226" s="274"/>
      <c r="E226" s="274"/>
      <c r="F226" s="274"/>
      <c r="G226" s="315"/>
      <c r="H226" s="1170"/>
      <c r="I226" s="316"/>
      <c r="J226" s="1170"/>
      <c r="K226" s="317"/>
      <c r="L226" s="3"/>
      <c r="M226" s="317"/>
      <c r="N226" s="3"/>
      <c r="O226" s="3"/>
      <c r="P226" s="3"/>
      <c r="Q226" s="3"/>
      <c r="R226" s="3"/>
      <c r="S226" s="3"/>
      <c r="T226" s="3"/>
      <c r="U226" s="3"/>
      <c r="V226" s="3"/>
      <c r="W226" s="3"/>
      <c r="X226" s="3"/>
      <c r="Y226" s="3"/>
      <c r="Z226" s="3"/>
      <c r="AA226" s="3"/>
      <c r="AB226" s="3"/>
      <c r="AC226" s="3"/>
    </row>
    <row r="227" spans="1:34" ht="12" thickBot="1">
      <c r="A227" s="3"/>
      <c r="B227" s="1169"/>
      <c r="C227" s="79"/>
      <c r="D227" s="274"/>
      <c r="E227" s="274"/>
      <c r="F227" s="274"/>
      <c r="G227" s="315"/>
      <c r="H227" s="1170"/>
      <c r="I227" s="316"/>
      <c r="J227" s="1170"/>
      <c r="K227" s="317"/>
      <c r="L227" s="3"/>
      <c r="M227" s="317"/>
      <c r="N227" s="3"/>
      <c r="O227" s="3"/>
      <c r="P227" s="3"/>
      <c r="Q227" s="3"/>
      <c r="R227" s="3"/>
      <c r="S227" s="3"/>
      <c r="T227" s="3"/>
      <c r="U227" s="3"/>
      <c r="V227" s="3"/>
      <c r="W227" s="3"/>
      <c r="X227" s="3"/>
      <c r="Y227" s="3"/>
      <c r="Z227" s="3"/>
      <c r="AA227" s="3"/>
      <c r="AB227" s="3"/>
      <c r="AC227" s="3"/>
    </row>
    <row r="228" spans="1:34" ht="12.75" thickBot="1">
      <c r="A228" s="449"/>
      <c r="B228" s="1486" t="s">
        <v>857</v>
      </c>
      <c r="C228" s="1487"/>
      <c r="D228" s="1487"/>
      <c r="E228" s="1488"/>
      <c r="F228" s="347"/>
      <c r="G228" s="356"/>
      <c r="H228" s="138"/>
      <c r="I228" s="316"/>
      <c r="J228" s="138"/>
      <c r="K228" s="317"/>
      <c r="M228" s="317"/>
      <c r="AH228" s="401" t="s">
        <v>853</v>
      </c>
    </row>
    <row r="229" spans="1:34" ht="12.75" thickBot="1">
      <c r="A229" s="449"/>
      <c r="B229" s="449"/>
      <c r="C229" s="449"/>
      <c r="D229" s="449"/>
      <c r="E229" s="449"/>
    </row>
    <row r="230" spans="1:34" ht="26.25" thickTop="1">
      <c r="A230" s="449"/>
      <c r="B230" s="1489" t="s">
        <v>720</v>
      </c>
      <c r="C230" s="1490">
        <v>2014</v>
      </c>
      <c r="D230" s="1491"/>
      <c r="E230" s="1492" t="s">
        <v>1252</v>
      </c>
    </row>
    <row r="231" spans="1:34" ht="12">
      <c r="A231" s="449"/>
      <c r="B231" s="1493" t="s">
        <v>202</v>
      </c>
      <c r="C231" s="1494">
        <f>M25</f>
        <v>0.33797356887220864</v>
      </c>
      <c r="D231" s="1495"/>
      <c r="E231" s="1496">
        <f t="shared" ref="E231:E236" si="24">C231</f>
        <v>0.33797356887220864</v>
      </c>
    </row>
    <row r="232" spans="1:34" ht="12">
      <c r="A232" s="449"/>
      <c r="B232" s="1493" t="s">
        <v>203</v>
      </c>
      <c r="C232" s="1494">
        <f>W61+U89</f>
        <v>0.32061091397713459</v>
      </c>
      <c r="D232" s="1497"/>
      <c r="E232" s="1496">
        <f t="shared" si="24"/>
        <v>0.32061091397713459</v>
      </c>
    </row>
    <row r="233" spans="1:34" ht="12">
      <c r="A233" s="449"/>
      <c r="B233" s="1493" t="s">
        <v>204</v>
      </c>
      <c r="C233" s="1494">
        <f>C262*310/1000000</f>
        <v>0.99380286231705417</v>
      </c>
      <c r="D233" s="1497"/>
      <c r="E233" s="1496">
        <f>C233</f>
        <v>0.99380286231705417</v>
      </c>
      <c r="G233" s="447"/>
    </row>
    <row r="234" spans="1:34" ht="12">
      <c r="A234" s="449"/>
      <c r="B234" s="1493" t="s">
        <v>881</v>
      </c>
      <c r="C234" s="1497">
        <v>0</v>
      </c>
      <c r="D234" s="1497"/>
      <c r="E234" s="1496">
        <f t="shared" si="24"/>
        <v>0</v>
      </c>
    </row>
    <row r="235" spans="1:34" ht="12">
      <c r="A235" s="449"/>
      <c r="B235" s="1493" t="s">
        <v>206</v>
      </c>
      <c r="C235" s="1494">
        <f>AC209+AC224</f>
        <v>0.2346131772054541</v>
      </c>
      <c r="D235" s="1497"/>
      <c r="E235" s="1496">
        <f t="shared" si="24"/>
        <v>0.2346131772054541</v>
      </c>
    </row>
    <row r="236" spans="1:34" ht="12">
      <c r="A236" s="449"/>
      <c r="B236" s="1498" t="s">
        <v>184</v>
      </c>
      <c r="C236" s="1499">
        <f>SUM(C231:C235)</f>
        <v>1.8870005223718513</v>
      </c>
      <c r="D236" s="1499"/>
      <c r="E236" s="1500">
        <f t="shared" si="24"/>
        <v>1.8870005223718513</v>
      </c>
    </row>
    <row r="237" spans="1:34" ht="12">
      <c r="A237" s="449"/>
      <c r="B237" s="1501"/>
      <c r="C237" s="1502"/>
      <c r="D237" s="1502"/>
      <c r="E237" s="1503"/>
    </row>
    <row r="238" spans="1:34" ht="25.5">
      <c r="A238" s="449"/>
      <c r="B238" s="1504" t="s">
        <v>368</v>
      </c>
      <c r="C238" s="1505">
        <v>2011</v>
      </c>
      <c r="D238" s="1505"/>
      <c r="E238" s="1506" t="s">
        <v>367</v>
      </c>
    </row>
    <row r="239" spans="1:34" ht="12">
      <c r="A239" s="449"/>
      <c r="B239" s="1501" t="s">
        <v>205</v>
      </c>
      <c r="C239" s="1507">
        <f>SUM(C240:C243)</f>
        <v>2.7221916443310568E-2</v>
      </c>
      <c r="D239" s="1507"/>
      <c r="E239" s="1508">
        <f>C239*21</f>
        <v>0.57166024530952186</v>
      </c>
    </row>
    <row r="240" spans="1:34" ht="12">
      <c r="A240" s="449"/>
      <c r="B240" s="1509" t="s">
        <v>202</v>
      </c>
      <c r="C240" s="1497">
        <f>I25</f>
        <v>1.6093979470105178E-2</v>
      </c>
      <c r="D240" s="1497"/>
      <c r="E240" s="1496">
        <f>C240*21</f>
        <v>0.33797356887220875</v>
      </c>
    </row>
    <row r="241" spans="1:5" ht="12">
      <c r="A241" s="449"/>
      <c r="B241" s="1509" t="s">
        <v>203</v>
      </c>
      <c r="C241" s="1497">
        <f>S61</f>
        <v>4.3037094261668997E-3</v>
      </c>
      <c r="D241" s="1497"/>
      <c r="E241" s="1496">
        <f>C241*21</f>
        <v>9.037789794950489E-2</v>
      </c>
    </row>
    <row r="242" spans="1:5" ht="12">
      <c r="A242" s="449"/>
      <c r="B242" s="1509" t="s">
        <v>881</v>
      </c>
      <c r="C242" s="1497">
        <v>0</v>
      </c>
      <c r="D242" s="1497"/>
      <c r="E242" s="1496">
        <f>C242*21</f>
        <v>0</v>
      </c>
    </row>
    <row r="243" spans="1:5" ht="12">
      <c r="A243" s="449"/>
      <c r="B243" s="1509" t="s">
        <v>206</v>
      </c>
      <c r="C243" s="1497">
        <f>Y209/1000000</f>
        <v>6.8242275470384878E-3</v>
      </c>
      <c r="D243" s="1497"/>
      <c r="E243" s="1496">
        <f>C243*21</f>
        <v>0.14330877848780824</v>
      </c>
    </row>
    <row r="244" spans="1:5" ht="12">
      <c r="A244" s="449"/>
      <c r="B244" s="1510" t="s">
        <v>207</v>
      </c>
      <c r="C244" s="1507">
        <f>SUM(C245:C247)</f>
        <v>4.2430331518139661E-3</v>
      </c>
      <c r="D244" s="1507"/>
      <c r="E244" s="1508">
        <f>C244*310</f>
        <v>1.3153402770623295</v>
      </c>
    </row>
    <row r="245" spans="1:5" ht="12">
      <c r="A245" s="449"/>
      <c r="B245" s="1509" t="s">
        <v>203</v>
      </c>
      <c r="C245" s="1497">
        <f>O89*0.000000001</f>
        <v>7.4268714847622471E-4</v>
      </c>
      <c r="D245" s="1497"/>
      <c r="E245" s="1496">
        <f>C245*310</f>
        <v>0.23023301602762966</v>
      </c>
    </row>
    <row r="246" spans="1:5" ht="12">
      <c r="A246" s="449"/>
      <c r="B246" s="1509" t="s">
        <v>204</v>
      </c>
      <c r="C246" s="1497">
        <f>(AA96+AA97+O124+Q124+G189+G192+O189)*0.000001</f>
        <v>3.2058156848937228E-3</v>
      </c>
      <c r="D246" s="1497"/>
      <c r="E246" s="1496">
        <f>C246*310</f>
        <v>0.99380286231705406</v>
      </c>
    </row>
    <row r="247" spans="1:5" ht="12">
      <c r="A247" s="449"/>
      <c r="B247" s="1509" t="s">
        <v>206</v>
      </c>
      <c r="C247" s="1497">
        <f>Y224*0.000001</f>
        <v>2.9453031844401886E-4</v>
      </c>
      <c r="D247" s="1497"/>
      <c r="E247" s="1496">
        <f>C247*310</f>
        <v>9.130439871764584E-2</v>
      </c>
    </row>
    <row r="248" spans="1:5" ht="12">
      <c r="A248" s="449"/>
      <c r="B248" s="1511"/>
      <c r="C248" s="1512"/>
      <c r="D248" s="1512"/>
      <c r="E248" s="1513"/>
    </row>
    <row r="249" spans="1:5" ht="25.5">
      <c r="A249" s="449"/>
      <c r="B249" s="1504" t="s">
        <v>25</v>
      </c>
      <c r="C249" s="1505">
        <v>2014</v>
      </c>
      <c r="D249" s="1505"/>
      <c r="E249" s="1514"/>
    </row>
    <row r="250" spans="1:5" ht="12">
      <c r="A250" s="449"/>
      <c r="B250" s="1515" t="s">
        <v>208</v>
      </c>
      <c r="C250" s="1516">
        <f>SUM(C251:C255)</f>
        <v>2797.3101824920614</v>
      </c>
      <c r="D250" s="1516"/>
      <c r="E250" s="1517"/>
    </row>
    <row r="251" spans="1:5" ht="12">
      <c r="A251" s="449"/>
      <c r="B251" s="1518" t="s">
        <v>209</v>
      </c>
      <c r="C251" s="1519">
        <f>O124</f>
        <v>355.26438782886862</v>
      </c>
      <c r="D251" s="1519"/>
      <c r="E251" s="1520"/>
    </row>
    <row r="252" spans="1:5" ht="12">
      <c r="A252" s="449"/>
      <c r="B252" s="1518" t="s">
        <v>210</v>
      </c>
      <c r="C252" s="1519">
        <f>AA96</f>
        <v>578.06661517835255</v>
      </c>
      <c r="D252" s="1519"/>
      <c r="E252" s="1521"/>
    </row>
    <row r="253" spans="1:5" ht="12">
      <c r="A253" s="449"/>
      <c r="B253" s="1518" t="s">
        <v>211</v>
      </c>
      <c r="C253" s="1519">
        <f>AA97</f>
        <v>852.18149706895929</v>
      </c>
      <c r="D253" s="1519"/>
      <c r="E253" s="1521"/>
    </row>
    <row r="254" spans="1:5" ht="12">
      <c r="A254" s="449"/>
      <c r="B254" s="1518" t="s">
        <v>212</v>
      </c>
      <c r="C254" s="1519">
        <v>0</v>
      </c>
      <c r="D254" s="1519"/>
      <c r="E254" s="1522"/>
    </row>
    <row r="255" spans="1:5" ht="12">
      <c r="A255" s="449"/>
      <c r="B255" s="1518" t="s">
        <v>213</v>
      </c>
      <c r="C255" s="1519">
        <f>G192</f>
        <v>1011.7976824158808</v>
      </c>
      <c r="D255" s="1519"/>
      <c r="E255" s="1520"/>
    </row>
    <row r="256" spans="1:5" ht="12">
      <c r="A256" s="449"/>
      <c r="B256" s="1515" t="s">
        <v>214</v>
      </c>
      <c r="C256" s="1516">
        <f>SUM(C257:C259)</f>
        <v>408.50550240166183</v>
      </c>
      <c r="D256" s="1516"/>
      <c r="E256" s="1517"/>
    </row>
    <row r="257" spans="1:5" ht="12">
      <c r="A257" s="449"/>
      <c r="B257" s="1518" t="s">
        <v>209</v>
      </c>
      <c r="C257" s="1519">
        <f>Q124</f>
        <v>80.53693967673783</v>
      </c>
      <c r="D257" s="1519"/>
      <c r="E257" s="1520"/>
    </row>
    <row r="258" spans="1:5" ht="12">
      <c r="A258" s="449"/>
      <c r="B258" s="1518" t="s">
        <v>213</v>
      </c>
      <c r="C258" s="1519">
        <f>G189</f>
        <v>116.72191786514288</v>
      </c>
      <c r="D258" s="1519"/>
      <c r="E258" s="1520"/>
    </row>
    <row r="259" spans="1:5" ht="12">
      <c r="A259" s="449"/>
      <c r="B259" s="1518" t="s">
        <v>215</v>
      </c>
      <c r="C259" s="1519">
        <f>+O189</f>
        <v>211.24664485978113</v>
      </c>
      <c r="D259" s="1519"/>
      <c r="E259" s="1520"/>
    </row>
    <row r="260" spans="1:5" ht="12">
      <c r="A260" s="449"/>
      <c r="B260" s="1523" t="s">
        <v>907</v>
      </c>
      <c r="C260" s="1519">
        <f>O190</f>
        <v>79.93448726149542</v>
      </c>
      <c r="D260" s="1519"/>
      <c r="E260" s="1520"/>
    </row>
    <row r="261" spans="1:5" ht="12">
      <c r="A261" s="449"/>
      <c r="B261" s="1523" t="s">
        <v>908</v>
      </c>
      <c r="C261" s="1519">
        <f>O191</f>
        <v>131.31215759828569</v>
      </c>
      <c r="D261" s="1519"/>
      <c r="E261" s="1520"/>
    </row>
    <row r="262" spans="1:5" ht="12.75" thickBot="1">
      <c r="A262" s="449"/>
      <c r="B262" s="1526" t="s">
        <v>184</v>
      </c>
      <c r="C262" s="1527">
        <f>C256+C250</f>
        <v>3205.8156848937233</v>
      </c>
      <c r="D262" s="1524"/>
      <c r="E262" s="1525"/>
    </row>
    <row r="263" spans="1:5" ht="12">
      <c r="A263" s="449"/>
      <c r="B263" s="449"/>
      <c r="C263" s="449"/>
      <c r="D263" s="449"/>
      <c r="E263" s="449"/>
    </row>
  </sheetData>
  <sheetProtection password="CD58" sheet="1" objects="1" scenarios="1"/>
  <mergeCells count="14">
    <mergeCell ref="C189:E189"/>
    <mergeCell ref="C192:E192"/>
    <mergeCell ref="B2:S2"/>
    <mergeCell ref="BY155:BZ155"/>
    <mergeCell ref="CB155:CC155"/>
    <mergeCell ref="AH155:AN155"/>
    <mergeCell ref="AP155:AS155"/>
    <mergeCell ref="AU155:AV155"/>
    <mergeCell ref="AX155:AY155"/>
    <mergeCell ref="BA155:BF155"/>
    <mergeCell ref="BH155:BL155"/>
    <mergeCell ref="BN155:BO155"/>
    <mergeCell ref="BQ155:BS155"/>
    <mergeCell ref="BU155:BW155"/>
  </mergeCells>
  <phoneticPr fontId="0" type="noConversion"/>
  <dataValidations count="11">
    <dataValidation allowBlank="1" showErrorMessage="1" sqref="E139:E151 C122:C123 C134 C150 F122:F136 C136 C138:C139"/>
    <dataValidation errorStyle="warning" allowBlank="1" showErrorMessage="1" promptTitle="Enter Calendar Year Data Here!" prompt="If unavailable, enter growing year data in corresponding entry section to right." sqref="F142:G148 G126:H132"/>
    <dataValidation errorStyle="warning" allowBlank="1" showErrorMessage="1" sqref="D126:D132 D124 D140 D142:D148"/>
    <dataValidation allowBlank="1" showInputMessage="1" showErrorMessage="1" promptTitle="Select defaults/Enter your data" prompt="For other sources, animal population data are entered on the &quot;CH4 from Manure Management&quot; sheet. Data entered here are not used because not all animal types appear below. Make sure consistent population data is entered throughout the module." sqref="C6"/>
    <dataValidation allowBlank="1" showErrorMessage="1" prompt="_x000a_" sqref="C15:C16"/>
    <dataValidation allowBlank="1" showInputMessage="1" showErrorMessage="1" prompt="If entering data for Replacements 0-12 and 12-24 months, please delete data under Heifer Replacements to avoid double-counting emissions._x000a_" sqref="C8:C9 C13:C14"/>
    <dataValidation allowBlank="1" showInputMessage="1" showErrorMessage="1" prompt="To ensure the use of consistent data, all population data entered on this sheet is used in the &quot;N2O from Manure Management&quot; and &quot;Ag Soils-Animals&quot; sheets.  Please select the defaults or enter your own data below for use in these other sheets." sqref="C32 C157 C68"/>
    <dataValidation allowBlank="1" showErrorMessage="1" promptTitle="Units used" prompt="Convert to these units if entering your own state's data." sqref="C112:C116 D95:D116"/>
    <dataValidation allowBlank="1" showInputMessage="1" showErrorMessage="1" promptTitle="Crop Production:" prompt="State-specific data for non-alfalfa N-fixing forage crops are not readily available.  The data may be obtained from communication with state forage experts." sqref="E112:E116"/>
    <dataValidation allowBlank="1" showInputMessage="1" showErrorMessage="1" promptTitle="Crop Production:" prompt="Enter crop data in the units listed to the left." sqref="E96:E111"/>
    <dataValidation allowBlank="1" showInputMessage="1" showErrorMessage="1" promptTitle="Units used" prompt="Convert to these units if entering your own state's data." sqref="C95:C111"/>
  </dataValidations>
  <printOptions gridLines="1"/>
  <pageMargins left="0.28000000000000003" right="0.25" top="0.26" bottom="0.5" header="0.18" footer="0.5"/>
  <pageSetup paperSize="5" scale="83" orientation="landscape" r:id="rId1"/>
  <headerFooter alignWithMargins="0"/>
  <rowBreaks count="7" manualBreakCount="7">
    <brk id="28" max="16383" man="1"/>
    <brk id="63" max="16383" man="1"/>
    <brk id="92" max="16383" man="1"/>
    <brk id="120" max="16383" man="1"/>
    <brk id="152" max="16383" man="1"/>
    <brk id="194" max="16383" man="1"/>
    <brk id="227" max="16383" man="1"/>
  </rowBreaks>
  <colBreaks count="1" manualBreakCount="1">
    <brk id="24" max="1048575" man="1"/>
  </colBreaks>
  <drawing r:id="rId2"/>
  <legacyDrawing r:id="rId3"/>
  <picture r:id="rId4"/>
</worksheet>
</file>

<file path=xl/worksheets/sheet22.xml><?xml version="1.0" encoding="utf-8"?>
<worksheet xmlns="http://schemas.openxmlformats.org/spreadsheetml/2006/main" xmlns:r="http://schemas.openxmlformats.org/officeDocument/2006/relationships">
  <sheetPr codeName="Sheet20"/>
  <dimension ref="A1:AB29"/>
  <sheetViews>
    <sheetView zoomScale="91" zoomScaleNormal="91" workbookViewId="0">
      <selection activeCell="F2" sqref="F2"/>
    </sheetView>
  </sheetViews>
  <sheetFormatPr defaultRowHeight="11.25"/>
  <cols>
    <col min="1" max="2" width="3.83203125" customWidth="1"/>
    <col min="3" max="3" width="49.1640625" customWidth="1"/>
    <col min="4" max="4" width="15.33203125" customWidth="1"/>
    <col min="5" max="5" width="14.6640625" customWidth="1"/>
    <col min="6" max="6" width="15.1640625" customWidth="1"/>
    <col min="7" max="7" width="14.5" bestFit="1" customWidth="1"/>
    <col min="8" max="8" width="15.1640625" customWidth="1"/>
    <col min="9" max="9" width="14.5" customWidth="1"/>
    <col min="10" max="10" width="16.33203125" customWidth="1"/>
    <col min="11" max="11" width="15.33203125" customWidth="1"/>
    <col min="12" max="12" width="13" customWidth="1"/>
    <col min="13" max="13" width="14.33203125" customWidth="1"/>
    <col min="14" max="14" width="15" customWidth="1"/>
    <col min="15" max="15" width="15.33203125" customWidth="1"/>
    <col min="16" max="17" width="15.83203125" customWidth="1"/>
    <col min="18" max="19" width="14.83203125" customWidth="1"/>
    <col min="20" max="21" width="16.83203125" customWidth="1"/>
    <col min="22" max="22" width="12.6640625" customWidth="1"/>
    <col min="23" max="23" width="13.33203125" customWidth="1"/>
    <col min="24" max="24" width="13.5" customWidth="1"/>
    <col min="25" max="25" width="13" customWidth="1"/>
    <col min="26" max="28" width="14" customWidth="1"/>
  </cols>
  <sheetData>
    <row r="1" spans="1:28" ht="33">
      <c r="A1" s="553" t="s">
        <v>542</v>
      </c>
      <c r="B1" s="188"/>
      <c r="C1" s="188"/>
      <c r="D1" s="188"/>
      <c r="E1" s="188"/>
      <c r="F1" s="188"/>
      <c r="G1" s="188"/>
      <c r="H1" s="188"/>
      <c r="I1" s="188"/>
      <c r="J1" s="188"/>
      <c r="K1" s="547"/>
      <c r="L1" s="188"/>
      <c r="M1" s="188"/>
      <c r="N1" s="188"/>
      <c r="O1" s="188"/>
      <c r="P1" s="188"/>
    </row>
    <row r="2" spans="1:28" s="216" customFormat="1" ht="257.25" customHeight="1" thickBot="1"/>
    <row r="3" spans="1:28" s="216" customFormat="1" ht="15" thickTop="1">
      <c r="C3" s="2776" t="s">
        <v>980</v>
      </c>
      <c r="D3" s="2422"/>
      <c r="E3" s="2422"/>
      <c r="F3" s="2422"/>
      <c r="G3" s="2422"/>
      <c r="H3" s="2422"/>
      <c r="I3" s="2422"/>
      <c r="J3" s="2422"/>
      <c r="K3" s="2422"/>
      <c r="L3" s="2422"/>
      <c r="M3" s="2422"/>
      <c r="N3" s="2422"/>
      <c r="O3" s="2422"/>
      <c r="P3" s="2422"/>
      <c r="Q3" s="2422"/>
      <c r="R3" s="2422"/>
      <c r="S3" s="2422"/>
      <c r="T3" s="2422"/>
      <c r="U3" s="2422"/>
      <c r="V3" s="2422"/>
      <c r="W3" s="2422"/>
      <c r="X3" s="2422"/>
      <c r="Y3" s="2763"/>
      <c r="Z3" s="2763"/>
      <c r="AA3" s="2763"/>
      <c r="AB3" s="2764"/>
    </row>
    <row r="4" spans="1:28" s="216" customFormat="1" ht="13.5" thickBot="1">
      <c r="C4" s="2775"/>
      <c r="D4" s="2761">
        <v>1990</v>
      </c>
      <c r="E4" s="2765">
        <v>1991</v>
      </c>
      <c r="F4" s="2765">
        <v>1992</v>
      </c>
      <c r="G4" s="2761">
        <v>1993</v>
      </c>
      <c r="H4" s="2761">
        <v>1994</v>
      </c>
      <c r="I4" s="2761">
        <v>1995</v>
      </c>
      <c r="J4" s="2761">
        <v>1996</v>
      </c>
      <c r="K4" s="2761">
        <v>1997</v>
      </c>
      <c r="L4" s="2761">
        <v>1998</v>
      </c>
      <c r="M4" s="2761">
        <v>1999</v>
      </c>
      <c r="N4" s="2761">
        <v>2000</v>
      </c>
      <c r="O4" s="2761">
        <v>2001</v>
      </c>
      <c r="P4" s="2761">
        <v>2002</v>
      </c>
      <c r="Q4" s="2761">
        <v>2003</v>
      </c>
      <c r="R4" s="2761">
        <v>2004</v>
      </c>
      <c r="S4" s="2761">
        <v>2005</v>
      </c>
      <c r="T4" s="2761">
        <v>2006</v>
      </c>
      <c r="U4" s="2761">
        <v>2007</v>
      </c>
      <c r="V4" s="2761">
        <v>2008</v>
      </c>
      <c r="W4" s="2761">
        <v>2009</v>
      </c>
      <c r="X4" s="2761">
        <v>2010</v>
      </c>
      <c r="Y4" s="2761">
        <v>2011</v>
      </c>
      <c r="Z4" s="2761">
        <v>2012</v>
      </c>
      <c r="AA4" s="2761">
        <v>2013</v>
      </c>
      <c r="AB4" s="2762">
        <v>2014</v>
      </c>
    </row>
    <row r="5" spans="1:28" s="216" customFormat="1" ht="12.75">
      <c r="C5" s="2777" t="s">
        <v>894</v>
      </c>
      <c r="D5" s="2778">
        <v>-1.3786016094899192</v>
      </c>
      <c r="E5" s="2778">
        <v>-1.3786016094898481</v>
      </c>
      <c r="F5" s="2778">
        <v>-1.378601609489861</v>
      </c>
      <c r="G5" s="2778">
        <v>-1.4529442632555916</v>
      </c>
      <c r="H5" s="2778">
        <v>-1.452944263255572</v>
      </c>
      <c r="I5" s="2778">
        <v>-1.4529442632555851</v>
      </c>
      <c r="J5" s="2778">
        <v>-1.4529442632555787</v>
      </c>
      <c r="K5" s="2778">
        <v>-1.4529442632555851</v>
      </c>
      <c r="L5" s="2778">
        <v>-1.4529442632555851</v>
      </c>
      <c r="M5" s="2778">
        <v>-4.8763551966630923</v>
      </c>
      <c r="N5" s="2778">
        <v>-10.497998270281999</v>
      </c>
      <c r="O5" s="2778">
        <v>-10.497998270282093</v>
      </c>
      <c r="P5" s="2778">
        <v>-10.497998270282045</v>
      </c>
      <c r="Q5" s="2778">
        <v>-10.497998270282059</v>
      </c>
      <c r="R5" s="2778">
        <v>-10.497998270282098</v>
      </c>
      <c r="S5" s="2778">
        <v>-10.497998270282032</v>
      </c>
      <c r="T5" s="2778">
        <v>-10.497998270282098</v>
      </c>
      <c r="U5" s="2779">
        <v>-10.497998270282098</v>
      </c>
      <c r="V5" s="2778">
        <v>-10.497998270282098</v>
      </c>
      <c r="W5" s="2778">
        <v>-10.497998270282098</v>
      </c>
      <c r="X5" s="2778">
        <v>-10.497998270282098</v>
      </c>
      <c r="Y5" s="2780">
        <v>-10.497998270282098</v>
      </c>
      <c r="Z5" s="2781">
        <v>-10.497998270282098</v>
      </c>
      <c r="AA5" s="2778">
        <v>-10.497998270282098</v>
      </c>
      <c r="AB5" s="2782">
        <v>-10.497998270282098</v>
      </c>
    </row>
    <row r="6" spans="1:28" s="216" customFormat="1" ht="12.75">
      <c r="C6" s="515" t="s">
        <v>902</v>
      </c>
      <c r="D6" s="2783">
        <v>-1.1893409441380904</v>
      </c>
      <c r="E6" s="2783">
        <v>-1.1893409441380385</v>
      </c>
      <c r="F6" s="2783">
        <v>-1.1893409441380385</v>
      </c>
      <c r="G6" s="2783">
        <v>-1.1893409441380385</v>
      </c>
      <c r="H6" s="2783">
        <v>-1.1893409441380904</v>
      </c>
      <c r="I6" s="2783">
        <v>-1.1893409441380385</v>
      </c>
      <c r="J6" s="2783">
        <v>-1.1893409441380385</v>
      </c>
      <c r="K6" s="2783">
        <v>-1.1893409441380385</v>
      </c>
      <c r="L6" s="2783">
        <v>-1.1893409441380385</v>
      </c>
      <c r="M6" s="2783">
        <v>-3.5713489374136125</v>
      </c>
      <c r="N6" s="2783">
        <v>-7.4828859971418584</v>
      </c>
      <c r="O6" s="2783">
        <v>-7.4828859971419632</v>
      </c>
      <c r="P6" s="2783">
        <v>-7.4828859971419108</v>
      </c>
      <c r="Q6" s="2783">
        <v>-7.4828859971419108</v>
      </c>
      <c r="R6" s="2783">
        <v>-7.4828859971419632</v>
      </c>
      <c r="S6" s="2783">
        <v>-7.4828859971419108</v>
      </c>
      <c r="T6" s="2783">
        <v>-7.4828859971419632</v>
      </c>
      <c r="U6" s="2784">
        <v>-7.4828859971419632</v>
      </c>
      <c r="V6" s="2783">
        <v>-7.4828859971419632</v>
      </c>
      <c r="W6" s="2783">
        <v>-7.4828859971419632</v>
      </c>
      <c r="X6" s="2783">
        <v>-7.4828859971419632</v>
      </c>
      <c r="Y6" s="2785">
        <v>-7.4828859971419632</v>
      </c>
      <c r="Z6" s="2786">
        <v>-7.4828859971419632</v>
      </c>
      <c r="AA6" s="2783">
        <v>-7.4828859971419632</v>
      </c>
      <c r="AB6" s="2787">
        <v>-7.4828859971419632</v>
      </c>
    </row>
    <row r="7" spans="1:28" s="216" customFormat="1" ht="12.75">
      <c r="C7" s="516" t="s">
        <v>903</v>
      </c>
      <c r="D7" s="2783">
        <v>-0.22520706970959853</v>
      </c>
      <c r="E7" s="2783">
        <v>-0.22520706970959203</v>
      </c>
      <c r="F7" s="2783">
        <v>-0.22520706970959203</v>
      </c>
      <c r="G7" s="2783">
        <v>-0.22520706970959853</v>
      </c>
      <c r="H7" s="2783">
        <v>-0.22520706970959203</v>
      </c>
      <c r="I7" s="2783">
        <v>-0.22520706970959203</v>
      </c>
      <c r="J7" s="2783">
        <v>-0.22520706970959203</v>
      </c>
      <c r="K7" s="2783">
        <v>-0.22520706970959853</v>
      </c>
      <c r="L7" s="2783">
        <v>-0.22520706970959203</v>
      </c>
      <c r="M7" s="2783">
        <v>-0.67819876681679081</v>
      </c>
      <c r="N7" s="2783">
        <v>-1.4220643692774915</v>
      </c>
      <c r="O7" s="2783">
        <v>-1.4220643692774655</v>
      </c>
      <c r="P7" s="2783">
        <v>-1.4220643692774786</v>
      </c>
      <c r="Q7" s="2783">
        <v>-1.4220643692774915</v>
      </c>
      <c r="R7" s="2783">
        <v>-1.4220643692774786</v>
      </c>
      <c r="S7" s="2783">
        <v>-1.4220643692774655</v>
      </c>
      <c r="T7" s="2783">
        <v>-1.4220643692774786</v>
      </c>
      <c r="U7" s="2784">
        <v>-1.4220643692774786</v>
      </c>
      <c r="V7" s="2783">
        <v>-1.4220643692774786</v>
      </c>
      <c r="W7" s="2783">
        <v>-1.4220643692774786</v>
      </c>
      <c r="X7" s="2783">
        <v>-1.4220643692774786</v>
      </c>
      <c r="Y7" s="2785">
        <v>-1.4220643692774786</v>
      </c>
      <c r="Z7" s="2786">
        <v>-1.4220643692774786</v>
      </c>
      <c r="AA7" s="2783">
        <v>-1.4220643692774786</v>
      </c>
      <c r="AB7" s="2787">
        <v>-1.4220643692774786</v>
      </c>
    </row>
    <row r="8" spans="1:28" s="216" customFormat="1" ht="12.75">
      <c r="C8" s="515" t="s">
        <v>904</v>
      </c>
      <c r="D8" s="2783">
        <v>-9.9749329396212019E-2</v>
      </c>
      <c r="E8" s="2783">
        <v>-9.9749329396198988E-2</v>
      </c>
      <c r="F8" s="2783">
        <v>-9.9749329396212019E-2</v>
      </c>
      <c r="G8" s="2783">
        <v>-9.9749329396212019E-2</v>
      </c>
      <c r="H8" s="2783">
        <v>-9.9749329396198988E-2</v>
      </c>
      <c r="I8" s="2783">
        <v>-9.9749329396212019E-2</v>
      </c>
      <c r="J8" s="2783">
        <v>-9.9749329396205511E-2</v>
      </c>
      <c r="K8" s="2783">
        <v>-9.9749329396205511E-2</v>
      </c>
      <c r="L8" s="2783">
        <v>-9.9749329396212019E-2</v>
      </c>
      <c r="M8" s="2783">
        <v>-0.28332848191679949</v>
      </c>
      <c r="N8" s="2783">
        <v>-0.58478702466936561</v>
      </c>
      <c r="O8" s="2783">
        <v>-0.58478702466937205</v>
      </c>
      <c r="P8" s="2783">
        <v>-0.58478702466937205</v>
      </c>
      <c r="Q8" s="2783">
        <v>-0.58478702466937205</v>
      </c>
      <c r="R8" s="2783">
        <v>-0.58478702466937205</v>
      </c>
      <c r="S8" s="2783">
        <v>-0.58478702466937205</v>
      </c>
      <c r="T8" s="2783">
        <v>-0.58478702466937205</v>
      </c>
      <c r="U8" s="2784">
        <v>-0.58478702466937205</v>
      </c>
      <c r="V8" s="2783">
        <v>-0.58478702466937205</v>
      </c>
      <c r="W8" s="2783">
        <v>-0.58478702466937205</v>
      </c>
      <c r="X8" s="2783">
        <v>-0.58478702466937205</v>
      </c>
      <c r="Y8" s="2785">
        <v>-0.58478702466937205</v>
      </c>
      <c r="Z8" s="2786">
        <v>-0.58478702466937205</v>
      </c>
      <c r="AA8" s="2783">
        <v>-0.58478702466937205</v>
      </c>
      <c r="AB8" s="2787">
        <v>-0.58478702466937205</v>
      </c>
    </row>
    <row r="9" spans="1:28" s="216" customFormat="1" ht="12.75">
      <c r="C9" s="516" t="s">
        <v>905</v>
      </c>
      <c r="D9" s="2783">
        <v>0.18749263985187525</v>
      </c>
      <c r="E9" s="2783">
        <v>0.18749263985187525</v>
      </c>
      <c r="F9" s="2783">
        <v>0.18749263985187525</v>
      </c>
      <c r="G9" s="2783">
        <v>0.18749263985187525</v>
      </c>
      <c r="H9" s="2783">
        <v>0.18749263985187525</v>
      </c>
      <c r="I9" s="2783">
        <v>0.18749263985187525</v>
      </c>
      <c r="J9" s="2783">
        <v>0.18749263985187525</v>
      </c>
      <c r="K9" s="2783">
        <v>0.18749263985187525</v>
      </c>
      <c r="L9" s="2783">
        <v>0.18749263985187525</v>
      </c>
      <c r="M9" s="2783">
        <v>2.8708282540942893E-2</v>
      </c>
      <c r="N9" s="2783">
        <v>-0.23203429258065059</v>
      </c>
      <c r="O9" s="2783">
        <v>-0.23203429258065711</v>
      </c>
      <c r="P9" s="2783">
        <v>-0.23203429258065059</v>
      </c>
      <c r="Q9" s="2783">
        <v>-0.23203429258065059</v>
      </c>
      <c r="R9" s="2783">
        <v>-0.23203429258065059</v>
      </c>
      <c r="S9" s="2783">
        <v>-0.23203429258065059</v>
      </c>
      <c r="T9" s="2783">
        <v>-0.23203429258065059</v>
      </c>
      <c r="U9" s="2784">
        <v>-0.23203429258065059</v>
      </c>
      <c r="V9" s="2783">
        <v>-0.23203429258065059</v>
      </c>
      <c r="W9" s="2783">
        <v>-0.23203429258065059</v>
      </c>
      <c r="X9" s="2783">
        <v>-0.23203429258065059</v>
      </c>
      <c r="Y9" s="2785">
        <v>-0.23203429258065059</v>
      </c>
      <c r="Z9" s="2786">
        <v>-0.23203429258065059</v>
      </c>
      <c r="AA9" s="2783">
        <v>-0.23203429258065059</v>
      </c>
      <c r="AB9" s="2787">
        <v>-0.23203429258065059</v>
      </c>
    </row>
    <row r="10" spans="1:28" s="216" customFormat="1" ht="12.75">
      <c r="C10" s="2766" t="s">
        <v>925</v>
      </c>
      <c r="D10" s="2788">
        <v>0.59866658180080867</v>
      </c>
      <c r="E10" s="2788">
        <v>0.59866658180080867</v>
      </c>
      <c r="F10" s="2788">
        <v>0.59866658180080867</v>
      </c>
      <c r="G10" s="2788">
        <v>0.59866658180080867</v>
      </c>
      <c r="H10" s="2788">
        <v>0.59866658180086074</v>
      </c>
      <c r="I10" s="2788">
        <v>0.59866658180080867</v>
      </c>
      <c r="J10" s="2788">
        <v>0.59866658180080867</v>
      </c>
      <c r="K10" s="2788">
        <v>0.59866658180080867</v>
      </c>
      <c r="L10" s="2788">
        <v>0.59866658180080867</v>
      </c>
      <c r="M10" s="2788">
        <v>0.35261884860759568</v>
      </c>
      <c r="N10" s="2788">
        <v>-5.1420444948206523E-2</v>
      </c>
      <c r="O10" s="2788">
        <v>-5.1420444948206523E-2</v>
      </c>
      <c r="P10" s="2788">
        <v>-5.1420444948206523E-2</v>
      </c>
      <c r="Q10" s="2788">
        <v>-5.1420444948206523E-2</v>
      </c>
      <c r="R10" s="2788">
        <v>-5.1420444948206523E-2</v>
      </c>
      <c r="S10" s="2788">
        <v>-5.1420444948206523E-2</v>
      </c>
      <c r="T10" s="2788">
        <v>-5.1420444948206523E-2</v>
      </c>
      <c r="U10" s="2789">
        <v>-5.1420444948206523E-2</v>
      </c>
      <c r="V10" s="2788">
        <v>-5.1420444948206523E-2</v>
      </c>
      <c r="W10" s="2788">
        <v>-5.1420444948206523E-2</v>
      </c>
      <c r="X10" s="2788">
        <v>-5.1420444948206523E-2</v>
      </c>
      <c r="Y10" s="2790">
        <v>-5.1420444948206523E-2</v>
      </c>
      <c r="Z10" s="2791">
        <v>-5.1420444948206523E-2</v>
      </c>
      <c r="AA10" s="2788">
        <v>-5.1420444948206523E-2</v>
      </c>
      <c r="AB10" s="2792">
        <v>-5.1420444948206523E-2</v>
      </c>
    </row>
    <row r="11" spans="1:28" s="216" customFormat="1" ht="12.75">
      <c r="C11" s="517" t="s">
        <v>906</v>
      </c>
      <c r="D11" s="2783">
        <v>-0.65046348789870234</v>
      </c>
      <c r="E11" s="2783">
        <v>-0.65046348789870234</v>
      </c>
      <c r="F11" s="2783">
        <v>-0.65046348789870234</v>
      </c>
      <c r="G11" s="2783">
        <v>-0.72480614166442658</v>
      </c>
      <c r="H11" s="2783">
        <v>-0.72480614166442658</v>
      </c>
      <c r="I11" s="2783">
        <v>-0.72480614166442658</v>
      </c>
      <c r="J11" s="2783">
        <v>-0.72480614166442658</v>
      </c>
      <c r="K11" s="2783">
        <v>-0.72480614166442658</v>
      </c>
      <c r="L11" s="2783">
        <v>-0.72480614166442658</v>
      </c>
      <c r="M11" s="2783">
        <v>-0.72480614166442658</v>
      </c>
      <c r="N11" s="2783">
        <v>-0.72480614166442658</v>
      </c>
      <c r="O11" s="2783">
        <v>-0.72480614166442658</v>
      </c>
      <c r="P11" s="2783">
        <v>-0.72480614166442658</v>
      </c>
      <c r="Q11" s="2783">
        <v>-0.72480614166442658</v>
      </c>
      <c r="R11" s="2783">
        <v>-0.72480614166442658</v>
      </c>
      <c r="S11" s="2783">
        <v>-0.72480614166442658</v>
      </c>
      <c r="T11" s="2783">
        <v>-0.72480614166442658</v>
      </c>
      <c r="U11" s="2784">
        <v>-0.72480614166442658</v>
      </c>
      <c r="V11" s="2783">
        <v>-0.72480614166442658</v>
      </c>
      <c r="W11" s="2783">
        <v>-0.72480614166442658</v>
      </c>
      <c r="X11" s="2783">
        <v>-0.72480614166442658</v>
      </c>
      <c r="Y11" s="2785">
        <v>-0.72480614166442658</v>
      </c>
      <c r="Z11" s="2786">
        <v>-0.72480614166442658</v>
      </c>
      <c r="AA11" s="2783">
        <v>-0.72480614166442658</v>
      </c>
      <c r="AB11" s="2787">
        <v>-0.72480614166442658</v>
      </c>
    </row>
    <row r="12" spans="1:28" s="216" customFormat="1" ht="12.75">
      <c r="C12" s="518" t="s">
        <v>218</v>
      </c>
      <c r="D12" s="2783">
        <v>0</v>
      </c>
      <c r="E12" s="2783">
        <v>0</v>
      </c>
      <c r="F12" s="2783">
        <v>0</v>
      </c>
      <c r="G12" s="2783">
        <v>0</v>
      </c>
      <c r="H12" s="2783">
        <v>0</v>
      </c>
      <c r="I12" s="2783">
        <v>0</v>
      </c>
      <c r="J12" s="2783">
        <v>0</v>
      </c>
      <c r="K12" s="2783">
        <v>0</v>
      </c>
      <c r="L12" s="2783">
        <v>0</v>
      </c>
      <c r="M12" s="2793">
        <v>0</v>
      </c>
      <c r="N12" s="2793">
        <v>0</v>
      </c>
      <c r="O12" s="2793">
        <v>0</v>
      </c>
      <c r="P12" s="2793">
        <v>0</v>
      </c>
      <c r="Q12" s="2793">
        <v>0</v>
      </c>
      <c r="R12" s="2793">
        <v>0</v>
      </c>
      <c r="S12" s="2793">
        <v>0</v>
      </c>
      <c r="T12" s="2793">
        <v>0</v>
      </c>
      <c r="U12" s="2784">
        <v>0</v>
      </c>
      <c r="V12" s="2794">
        <v>0</v>
      </c>
      <c r="W12" s="2794">
        <v>0</v>
      </c>
      <c r="X12" s="2794">
        <v>0</v>
      </c>
      <c r="Y12" s="2795">
        <v>3.0113599999999994E-2</v>
      </c>
      <c r="Z12" s="2831">
        <v>0</v>
      </c>
      <c r="AA12" s="2832">
        <v>0</v>
      </c>
      <c r="AB12" s="2796">
        <f>AB13+AB14</f>
        <v>3.0866439999999998E-2</v>
      </c>
    </row>
    <row r="13" spans="1:28" s="216" customFormat="1" ht="12.75">
      <c r="C13" s="519" t="s">
        <v>895</v>
      </c>
      <c r="D13" s="2783">
        <v>0</v>
      </c>
      <c r="E13" s="2783">
        <v>0</v>
      </c>
      <c r="F13" s="2783">
        <v>0</v>
      </c>
      <c r="G13" s="2783">
        <v>0</v>
      </c>
      <c r="H13" s="2783">
        <v>0</v>
      </c>
      <c r="I13" s="2783">
        <v>0</v>
      </c>
      <c r="J13" s="2783">
        <v>0</v>
      </c>
      <c r="K13" s="2783">
        <v>0</v>
      </c>
      <c r="L13" s="2783">
        <v>0</v>
      </c>
      <c r="M13" s="2783">
        <v>0</v>
      </c>
      <c r="N13" s="2783">
        <v>0</v>
      </c>
      <c r="O13" s="2783">
        <v>0</v>
      </c>
      <c r="P13" s="2783">
        <v>0</v>
      </c>
      <c r="Q13" s="2783">
        <v>0</v>
      </c>
      <c r="R13" s="2783">
        <v>0</v>
      </c>
      <c r="S13" s="2783">
        <v>0</v>
      </c>
      <c r="T13" s="2783">
        <v>0</v>
      </c>
      <c r="U13" s="2784">
        <v>0</v>
      </c>
      <c r="V13" s="2794">
        <v>0</v>
      </c>
      <c r="W13" s="2794">
        <v>0</v>
      </c>
      <c r="X13" s="2794">
        <v>0</v>
      </c>
      <c r="Y13" s="2797">
        <v>3.0113599999999994E-2</v>
      </c>
      <c r="Z13" s="2831">
        <v>0</v>
      </c>
      <c r="AA13" s="2832">
        <v>0</v>
      </c>
      <c r="AB13" s="2796">
        <v>3.0866439999999998E-2</v>
      </c>
    </row>
    <row r="14" spans="1:28" s="216" customFormat="1" ht="12.75">
      <c r="C14" s="519" t="s">
        <v>896</v>
      </c>
      <c r="D14" s="2783">
        <v>0</v>
      </c>
      <c r="E14" s="2783">
        <v>0</v>
      </c>
      <c r="F14" s="2783">
        <v>0</v>
      </c>
      <c r="G14" s="2783">
        <v>0</v>
      </c>
      <c r="H14" s="2783">
        <v>0</v>
      </c>
      <c r="I14" s="2783">
        <v>0</v>
      </c>
      <c r="J14" s="2783">
        <v>0</v>
      </c>
      <c r="K14" s="2783">
        <v>0</v>
      </c>
      <c r="L14" s="2783">
        <v>0</v>
      </c>
      <c r="M14" s="2783">
        <v>0</v>
      </c>
      <c r="N14" s="2783">
        <v>0</v>
      </c>
      <c r="O14" s="2783">
        <v>0</v>
      </c>
      <c r="P14" s="2783">
        <v>0</v>
      </c>
      <c r="Q14" s="2783">
        <v>0</v>
      </c>
      <c r="R14" s="2783">
        <v>0</v>
      </c>
      <c r="S14" s="2783">
        <v>0</v>
      </c>
      <c r="T14" s="2783">
        <v>0</v>
      </c>
      <c r="U14" s="2784">
        <v>0</v>
      </c>
      <c r="V14" s="2794">
        <v>0</v>
      </c>
      <c r="W14" s="2794">
        <v>0</v>
      </c>
      <c r="X14" s="2794">
        <v>0</v>
      </c>
      <c r="Y14" s="2798">
        <v>0</v>
      </c>
      <c r="Z14" s="2831">
        <v>0</v>
      </c>
      <c r="AA14" s="2832">
        <v>0</v>
      </c>
      <c r="AB14" s="2796">
        <v>0</v>
      </c>
    </row>
    <row r="15" spans="1:28" s="216" customFormat="1" ht="12.75">
      <c r="C15" s="2767" t="s">
        <v>882</v>
      </c>
      <c r="D15" s="2799">
        <v>4.5533313979860286E-3</v>
      </c>
      <c r="E15" s="2799">
        <v>6.2814607033777857E-3</v>
      </c>
      <c r="F15" s="2799">
        <v>6.6705218784964757E-3</v>
      </c>
      <c r="G15" s="2799">
        <v>6.2737115727720819E-3</v>
      </c>
      <c r="H15" s="2799">
        <v>6.9904755511203849E-3</v>
      </c>
      <c r="I15" s="2799">
        <v>5.7743596722005493E-3</v>
      </c>
      <c r="J15" s="2799">
        <v>6.6635404759744768E-3</v>
      </c>
      <c r="K15" s="2799">
        <v>8.1949637424778479E-3</v>
      </c>
      <c r="L15" s="2799">
        <v>7.6812272521092264E-3</v>
      </c>
      <c r="M15" s="2799">
        <v>7.9880350781698865E-3</v>
      </c>
      <c r="N15" s="2799">
        <v>9.5535736792766637E-3</v>
      </c>
      <c r="O15" s="2799">
        <v>8.213225558680334E-3</v>
      </c>
      <c r="P15" s="2799">
        <v>8.2133998608969125E-3</v>
      </c>
      <c r="Q15" s="2799">
        <v>7.5342492364450083E-3</v>
      </c>
      <c r="R15" s="2799">
        <v>1.0193971997943693E-2</v>
      </c>
      <c r="S15" s="2799">
        <v>6.6942203271946532E-3</v>
      </c>
      <c r="T15" s="2799">
        <v>5.1482567963954153E-3</v>
      </c>
      <c r="U15" s="2800">
        <v>4.547456758956802E-3</v>
      </c>
      <c r="V15" s="2799">
        <v>7.0509437842087757E-3</v>
      </c>
      <c r="W15" s="2799">
        <v>7.0509437842087757E-3</v>
      </c>
      <c r="X15" s="2799">
        <v>7.0509437842087757E-3</v>
      </c>
      <c r="Y15" s="2801">
        <v>2.4899797999999994E-2</v>
      </c>
      <c r="Z15" s="2802">
        <v>7.3514581012256233E-3</v>
      </c>
      <c r="AA15" s="2799">
        <v>7.3514581012256233E-3</v>
      </c>
      <c r="AB15" s="2803">
        <v>1.8010571329999999E-2</v>
      </c>
    </row>
    <row r="16" spans="1:28" s="216" customFormat="1" ht="12.75">
      <c r="B16" s="215"/>
      <c r="C16" s="2769" t="s">
        <v>1092</v>
      </c>
      <c r="D16" s="2804">
        <v>-1.269896023</v>
      </c>
      <c r="E16" s="2804">
        <v>-1.2963562886999997</v>
      </c>
      <c r="F16" s="2804">
        <v>-1.3228165543999999</v>
      </c>
      <c r="G16" s="2804">
        <v>-1.3492768200999998</v>
      </c>
      <c r="H16" s="2804">
        <v>-1.3757370857999998</v>
      </c>
      <c r="I16" s="2804">
        <v>-1.4021973514999995</v>
      </c>
      <c r="J16" s="2804">
        <v>-1.4286576171999996</v>
      </c>
      <c r="K16" s="2804">
        <v>-1.4551178828999993</v>
      </c>
      <c r="L16" s="2804">
        <v>-1.4815781485999997</v>
      </c>
      <c r="M16" s="2804">
        <v>-1.5080384142999992</v>
      </c>
      <c r="N16" s="2804">
        <v>-1.5344986799999998</v>
      </c>
      <c r="O16" s="2804">
        <v>-1.5609589457000037</v>
      </c>
      <c r="P16" s="2804">
        <v>-1.5874192114000076</v>
      </c>
      <c r="Q16" s="2804">
        <v>-1.613879477100002</v>
      </c>
      <c r="R16" s="2804">
        <v>-1.6403397428000059</v>
      </c>
      <c r="S16" s="2804">
        <v>-1.6668000084999999</v>
      </c>
      <c r="T16" s="2804">
        <v>-1.1694595733333335</v>
      </c>
      <c r="U16" s="2805">
        <v>-1.7197205399000073</v>
      </c>
      <c r="V16" s="2804">
        <v>-1.2040305200000001</v>
      </c>
      <c r="W16" s="2804">
        <v>-1.2040305200000001</v>
      </c>
      <c r="X16" s="2804">
        <v>-1.2040305200000001</v>
      </c>
      <c r="Y16" s="2806">
        <v>-1.2578329866666667</v>
      </c>
      <c r="Z16" s="2807">
        <v>-1.2216594133333336</v>
      </c>
      <c r="AA16" s="2804">
        <v>-1.2216594133333336</v>
      </c>
      <c r="AB16" s="2808">
        <v>-1.0929227026699999</v>
      </c>
    </row>
    <row r="17" spans="3:28" s="216" customFormat="1" ht="12.75">
      <c r="C17" s="2770" t="s">
        <v>1093</v>
      </c>
      <c r="D17" s="2809">
        <v>-0.45749848141087734</v>
      </c>
      <c r="E17" s="2809">
        <v>-0.43364243245915407</v>
      </c>
      <c r="F17" s="2809">
        <v>-0.42685899692008078</v>
      </c>
      <c r="G17" s="2809">
        <v>-0.37186678024305642</v>
      </c>
      <c r="H17" s="2809">
        <v>-0.32704599092527553</v>
      </c>
      <c r="I17" s="2809">
        <v>-0.26898025396719133</v>
      </c>
      <c r="J17" s="2809">
        <v>-0.21992671139543396</v>
      </c>
      <c r="K17" s="2809">
        <v>-0.23260303177156461</v>
      </c>
      <c r="L17" s="2809">
        <v>-0.22923912671305591</v>
      </c>
      <c r="M17" s="2809">
        <v>-0.21234060426161178</v>
      </c>
      <c r="N17" s="2809">
        <v>-0.21231676947693673</v>
      </c>
      <c r="O17" s="2809">
        <v>-0.21802405505873565</v>
      </c>
      <c r="P17" s="2809">
        <v>-0.22263432394918187</v>
      </c>
      <c r="Q17" s="2809">
        <v>-0.19197427112010765</v>
      </c>
      <c r="R17" s="2809">
        <v>-0.18744340397737064</v>
      </c>
      <c r="S17" s="2809">
        <v>-0.18674581868934073</v>
      </c>
      <c r="T17" s="2809">
        <v>-0.18467683894012488</v>
      </c>
      <c r="U17" s="2810">
        <v>-0.16284073022072465</v>
      </c>
      <c r="V17" s="2809">
        <v>5.0852245124945156E-2</v>
      </c>
      <c r="W17" s="2809">
        <v>5.0852245124945156E-2</v>
      </c>
      <c r="X17" s="2809">
        <v>5.0852245124945156E-2</v>
      </c>
      <c r="Y17" s="2811">
        <v>-0.21822819744427552</v>
      </c>
      <c r="Z17" s="2812">
        <v>5.0837553556935658E-2</v>
      </c>
      <c r="AA17" s="2809">
        <v>5.0837553556935658E-2</v>
      </c>
      <c r="AB17" s="2813">
        <f>AB18+AB19+AB20+AB21</f>
        <v>-0.18595409998000001</v>
      </c>
    </row>
    <row r="18" spans="3:28" s="216" customFormat="1" ht="12.75">
      <c r="C18" s="520" t="s">
        <v>897</v>
      </c>
      <c r="D18" s="2783">
        <v>-3.7476700839395673E-2</v>
      </c>
      <c r="E18" s="2783">
        <v>-3.4907486993188359E-2</v>
      </c>
      <c r="F18" s="2783">
        <v>-3.3956433101933331E-2</v>
      </c>
      <c r="G18" s="2783">
        <v>-2.6768294538661811E-2</v>
      </c>
      <c r="H18" s="2783">
        <v>-2.1634723729736641E-2</v>
      </c>
      <c r="I18" s="2783">
        <v>-1.5251642043051579E-2</v>
      </c>
      <c r="J18" s="2783">
        <v>-9.7205305233770221E-3</v>
      </c>
      <c r="K18" s="2783">
        <v>-9.6416153842099929E-3</v>
      </c>
      <c r="L18" s="2783">
        <v>-9.8250129492662552E-3</v>
      </c>
      <c r="M18" s="2783">
        <v>-8.4139027294219196E-3</v>
      </c>
      <c r="N18" s="2783">
        <v>-8.262806853943306E-3</v>
      </c>
      <c r="O18" s="2783">
        <v>-9.8924974622418057E-3</v>
      </c>
      <c r="P18" s="2783">
        <v>-1.1141026710961115E-2</v>
      </c>
      <c r="Q18" s="2783">
        <v>-7.7906107871290632E-3</v>
      </c>
      <c r="R18" s="2783">
        <v>-6.5853399756642065E-3</v>
      </c>
      <c r="S18" s="2783">
        <v>-7.6898202626143565E-3</v>
      </c>
      <c r="T18" s="2783">
        <v>-8.4802520728281365E-3</v>
      </c>
      <c r="U18" s="2784">
        <v>-8.376949107391226E-3</v>
      </c>
      <c r="V18" s="2783">
        <v>8.4185061070533689E-3</v>
      </c>
      <c r="W18" s="2783">
        <v>8.4185061070533689E-3</v>
      </c>
      <c r="X18" s="2783">
        <v>8.4185061070533689E-3</v>
      </c>
      <c r="Y18" s="2797">
        <v>-1.2684842167839765E-2</v>
      </c>
      <c r="Z18" s="2786">
        <v>7.3287352336071192E-3</v>
      </c>
      <c r="AA18" s="2783">
        <v>7.3287352336071192E-3</v>
      </c>
      <c r="AB18" s="2787">
        <v>-1.061836128E-2</v>
      </c>
    </row>
    <row r="19" spans="3:28" s="216" customFormat="1" ht="12.75">
      <c r="C19" s="520" t="s">
        <v>898</v>
      </c>
      <c r="D19" s="2783">
        <v>-0.18775413189431356</v>
      </c>
      <c r="E19" s="2783">
        <v>-0.18022086497482728</v>
      </c>
      <c r="F19" s="2783">
        <v>-0.17725456687430405</v>
      </c>
      <c r="G19" s="2783">
        <v>-0.15457553207368552</v>
      </c>
      <c r="H19" s="2783">
        <v>-0.1370890806126181</v>
      </c>
      <c r="I19" s="2783">
        <v>-0.11490029065098975</v>
      </c>
      <c r="J19" s="2783">
        <v>-9.4437431702286481E-2</v>
      </c>
      <c r="K19" s="2783">
        <v>-9.0327202862476114E-2</v>
      </c>
      <c r="L19" s="2783">
        <v>-8.7314694700182285E-2</v>
      </c>
      <c r="M19" s="2783">
        <v>-7.9610900883203689E-2</v>
      </c>
      <c r="N19" s="2783">
        <v>-7.5857996251008739E-2</v>
      </c>
      <c r="O19" s="2783">
        <v>-7.7904726685860848E-2</v>
      </c>
      <c r="P19" s="2783">
        <v>-7.9271780263166489E-2</v>
      </c>
      <c r="Q19" s="2783">
        <v>-6.6647250455588614E-2</v>
      </c>
      <c r="R19" s="2783">
        <v>-6.0326814607326244E-2</v>
      </c>
      <c r="S19" s="2783">
        <v>-6.1632909805335728E-2</v>
      </c>
      <c r="T19" s="2783">
        <v>-6.1942198859260007E-2</v>
      </c>
      <c r="U19" s="2784">
        <v>-5.8310081401474693E-2</v>
      </c>
      <c r="V19" s="2783">
        <v>3.4326132013239918E-2</v>
      </c>
      <c r="W19" s="2783">
        <v>3.4326132013239918E-2</v>
      </c>
      <c r="X19" s="2783">
        <v>3.4326132013239918E-2</v>
      </c>
      <c r="Y19" s="2814">
        <v>-7.0873721137987705E-2</v>
      </c>
      <c r="Z19" s="2786">
        <v>3.3156857943058823E-2</v>
      </c>
      <c r="AA19" s="2783">
        <v>3.3156857943058823E-2</v>
      </c>
      <c r="AB19" s="2787">
        <v>-5.6721999869999998E-2</v>
      </c>
    </row>
    <row r="20" spans="3:28" s="216" customFormat="1" ht="12.75">
      <c r="C20" s="520" t="s">
        <v>899</v>
      </c>
      <c r="D20" s="2783">
        <v>-0.18694640365122364</v>
      </c>
      <c r="E20" s="2783">
        <v>-0.17896310951941205</v>
      </c>
      <c r="F20" s="2783">
        <v>-0.17570136813684348</v>
      </c>
      <c r="G20" s="2783">
        <v>-0.15213572116687116</v>
      </c>
      <c r="H20" s="2783">
        <v>-0.13396072119164659</v>
      </c>
      <c r="I20" s="2783">
        <v>-0.11097178454709297</v>
      </c>
      <c r="J20" s="2783">
        <v>-8.9799974989547685E-2</v>
      </c>
      <c r="K20" s="2783">
        <v>-8.5513503357103518E-2</v>
      </c>
      <c r="L20" s="2783">
        <v>-8.236667140618352E-2</v>
      </c>
      <c r="M20" s="2783">
        <v>-7.4392552342463808E-2</v>
      </c>
      <c r="N20" s="2783">
        <v>-7.0503599926044672E-2</v>
      </c>
      <c r="O20" s="2783">
        <v>-7.259815664929449E-2</v>
      </c>
      <c r="P20" s="2783">
        <v>-7.3990353815439516E-2</v>
      </c>
      <c r="Q20" s="2783">
        <v>-6.0964628330083773E-2</v>
      </c>
      <c r="R20" s="2783">
        <v>-5.4456453367069189E-2</v>
      </c>
      <c r="S20" s="2783">
        <v>-5.5714975515899441E-2</v>
      </c>
      <c r="T20" s="2783">
        <v>-5.6039595623909609E-2</v>
      </c>
      <c r="U20" s="2784">
        <v>-5.2671991717843709E-2</v>
      </c>
      <c r="V20" s="2783">
        <v>2.9728709270938528E-2</v>
      </c>
      <c r="W20" s="2783">
        <v>2.9728709270938528E-2</v>
      </c>
      <c r="X20" s="2783">
        <v>2.9728709270938528E-2</v>
      </c>
      <c r="Y20" s="2814">
        <v>-6.4577261430635649E-2</v>
      </c>
      <c r="Z20" s="2786">
        <v>2.8850093130142869E-2</v>
      </c>
      <c r="AA20" s="2783">
        <v>2.8850093130142869E-2</v>
      </c>
      <c r="AB20" s="2787">
        <v>-5.1412480519999998E-2</v>
      </c>
    </row>
    <row r="21" spans="3:28" s="216" customFormat="1" ht="12.75">
      <c r="C21" s="520" t="s">
        <v>900</v>
      </c>
      <c r="D21" s="2783">
        <v>-4.5321245025944507E-2</v>
      </c>
      <c r="E21" s="2783">
        <v>-3.9550970971726385E-2</v>
      </c>
      <c r="F21" s="2783">
        <v>-3.9946628806999944E-2</v>
      </c>
      <c r="G21" s="2783">
        <v>-3.8387232463837885E-2</v>
      </c>
      <c r="H21" s="2783">
        <v>-3.4361465391274236E-2</v>
      </c>
      <c r="I21" s="2783">
        <v>-2.7856536726057032E-2</v>
      </c>
      <c r="J21" s="2783">
        <v>-2.596877418022274E-2</v>
      </c>
      <c r="K21" s="2783">
        <v>-4.7120710167774971E-2</v>
      </c>
      <c r="L21" s="2783">
        <v>-4.9732747657423845E-2</v>
      </c>
      <c r="M21" s="2783">
        <v>-4.9923248306522353E-2</v>
      </c>
      <c r="N21" s="2783">
        <v>-5.7692366445940002E-2</v>
      </c>
      <c r="O21" s="2783">
        <v>-5.7628674261338532E-2</v>
      </c>
      <c r="P21" s="2783">
        <v>-5.8231163159614727E-2</v>
      </c>
      <c r="Q21" s="2783">
        <v>-5.6571781547306216E-2</v>
      </c>
      <c r="R21" s="2783">
        <v>-6.6074796027310992E-2</v>
      </c>
      <c r="S21" s="2783">
        <v>-6.1708113105491215E-2</v>
      </c>
      <c r="T21" s="2783">
        <v>-5.821479238412712E-2</v>
      </c>
      <c r="U21" s="2784">
        <v>-4.3481707994015018E-2</v>
      </c>
      <c r="V21" s="2783">
        <v>-2.1621102266286659E-2</v>
      </c>
      <c r="W21" s="2783">
        <v>-2.1621102266286659E-2</v>
      </c>
      <c r="X21" s="2783">
        <v>-2.1621102266286659E-2</v>
      </c>
      <c r="Y21" s="2814">
        <v>-7.0092372707812392E-2</v>
      </c>
      <c r="Z21" s="2786">
        <v>-1.849813274987315E-2</v>
      </c>
      <c r="AA21" s="2783">
        <v>-1.849813274987315E-2</v>
      </c>
      <c r="AB21" s="2787">
        <v>-6.7201258309999998E-2</v>
      </c>
    </row>
    <row r="22" spans="3:28" s="216" customFormat="1" ht="12.75">
      <c r="C22" s="2768" t="s">
        <v>1094</v>
      </c>
      <c r="D22" s="2835">
        <v>0</v>
      </c>
      <c r="E22" s="2835">
        <v>0</v>
      </c>
      <c r="F22" s="2835">
        <v>0</v>
      </c>
      <c r="G22" s="2835">
        <v>0</v>
      </c>
      <c r="H22" s="2835">
        <v>0</v>
      </c>
      <c r="I22" s="2835">
        <v>0</v>
      </c>
      <c r="J22" s="2835">
        <v>0</v>
      </c>
      <c r="K22" s="2835">
        <v>0</v>
      </c>
      <c r="L22" s="2835">
        <v>0</v>
      </c>
      <c r="M22" s="2835">
        <v>0</v>
      </c>
      <c r="N22" s="2835">
        <v>0</v>
      </c>
      <c r="O22" s="2835">
        <v>0</v>
      </c>
      <c r="P22" s="2835">
        <v>0</v>
      </c>
      <c r="Q22" s="2835">
        <v>0</v>
      </c>
      <c r="R22" s="2835">
        <v>0</v>
      </c>
      <c r="S22" s="2835">
        <v>0</v>
      </c>
      <c r="T22" s="2815">
        <v>3.8968192977155994E-2</v>
      </c>
      <c r="U22" s="2833">
        <v>0</v>
      </c>
      <c r="V22" s="2815">
        <v>3.8958247501919986E-2</v>
      </c>
      <c r="W22" s="2815">
        <v>3.8958247501919986E-2</v>
      </c>
      <c r="X22" s="2815">
        <v>3.8958247501919986E-2</v>
      </c>
      <c r="Y22" s="2816">
        <v>5.3720414448695991E-2</v>
      </c>
      <c r="Z22" s="2817">
        <v>3.8958247501919986E-2</v>
      </c>
      <c r="AA22" s="2815">
        <v>3.8958247501919986E-2</v>
      </c>
      <c r="AB22" s="2818">
        <f>AB23+AB24</f>
        <v>4.8496098330000001E-2</v>
      </c>
    </row>
    <row r="23" spans="3:28" s="216" customFormat="1" ht="14.25">
      <c r="C23" s="520" t="s">
        <v>981</v>
      </c>
      <c r="D23" s="2836">
        <v>0</v>
      </c>
      <c r="E23" s="2836">
        <v>0</v>
      </c>
      <c r="F23" s="2836">
        <v>0</v>
      </c>
      <c r="G23" s="2836">
        <v>0</v>
      </c>
      <c r="H23" s="2836">
        <v>0</v>
      </c>
      <c r="I23" s="2836">
        <v>0</v>
      </c>
      <c r="J23" s="2836">
        <v>0</v>
      </c>
      <c r="K23" s="2836">
        <v>0</v>
      </c>
      <c r="L23" s="2836">
        <v>0</v>
      </c>
      <c r="M23" s="2836">
        <v>0</v>
      </c>
      <c r="N23" s="2836">
        <v>0</v>
      </c>
      <c r="O23" s="2836">
        <v>0</v>
      </c>
      <c r="P23" s="2836">
        <v>0</v>
      </c>
      <c r="Q23" s="2836">
        <v>0</v>
      </c>
      <c r="R23" s="2836">
        <v>0</v>
      </c>
      <c r="S23" s="2836">
        <v>0</v>
      </c>
      <c r="T23" s="2793">
        <v>3.2460771916817996E-2</v>
      </c>
      <c r="U23" s="2834">
        <v>0</v>
      </c>
      <c r="V23" s="2793">
        <v>3.245248726775999E-2</v>
      </c>
      <c r="W23" s="2793">
        <v>3.245248726775999E-2</v>
      </c>
      <c r="X23" s="2793">
        <v>3.245248726775999E-2</v>
      </c>
      <c r="Y23" s="2814">
        <v>4.4749473544187991E-2</v>
      </c>
      <c r="Z23" s="2819">
        <v>3.245248726775999E-2</v>
      </c>
      <c r="AA23" s="2793">
        <v>3.245248726775999E-2</v>
      </c>
      <c r="AB23" s="2820">
        <v>4.03975824E-2</v>
      </c>
    </row>
    <row r="24" spans="3:28" s="216" customFormat="1" ht="14.25">
      <c r="C24" s="520" t="s">
        <v>982</v>
      </c>
      <c r="D24" s="2836">
        <v>0</v>
      </c>
      <c r="E24" s="2836">
        <v>0</v>
      </c>
      <c r="F24" s="2836">
        <v>0</v>
      </c>
      <c r="G24" s="2836">
        <v>0</v>
      </c>
      <c r="H24" s="2836">
        <v>0</v>
      </c>
      <c r="I24" s="2836">
        <v>0</v>
      </c>
      <c r="J24" s="2836">
        <v>0</v>
      </c>
      <c r="K24" s="2836">
        <v>0</v>
      </c>
      <c r="L24" s="2836">
        <v>0</v>
      </c>
      <c r="M24" s="2836">
        <v>0</v>
      </c>
      <c r="N24" s="2836">
        <v>0</v>
      </c>
      <c r="O24" s="2836">
        <v>0</v>
      </c>
      <c r="P24" s="2836">
        <v>0</v>
      </c>
      <c r="Q24" s="2836">
        <v>0</v>
      </c>
      <c r="R24" s="2836">
        <v>0</v>
      </c>
      <c r="S24" s="2836">
        <v>0</v>
      </c>
      <c r="T24" s="2793">
        <v>6.5074210603380004E-3</v>
      </c>
      <c r="U24" s="2834">
        <v>0</v>
      </c>
      <c r="V24" s="2793">
        <v>6.505760234159998E-3</v>
      </c>
      <c r="W24" s="2793">
        <v>6.505760234159998E-3</v>
      </c>
      <c r="X24" s="2793">
        <v>6.505760234159998E-3</v>
      </c>
      <c r="Y24" s="2798">
        <v>8.9709409045079999E-3</v>
      </c>
      <c r="Z24" s="2819">
        <v>6.505760234159998E-3</v>
      </c>
      <c r="AA24" s="2793">
        <v>6.505760234159998E-3</v>
      </c>
      <c r="AB24" s="2820">
        <v>8.0985159299999995E-3</v>
      </c>
    </row>
    <row r="25" spans="3:28" s="216" customFormat="1" ht="15" thickBot="1">
      <c r="C25" s="2771" t="s">
        <v>983</v>
      </c>
      <c r="D25" s="2821">
        <v>1.9783789823906425E-2</v>
      </c>
      <c r="E25" s="2821">
        <v>2.5933501356201878E-2</v>
      </c>
      <c r="F25" s="2821">
        <v>2.8432903490202228E-2</v>
      </c>
      <c r="G25" s="2821">
        <v>2.4807276177968685E-2</v>
      </c>
      <c r="H25" s="2821">
        <v>2.5803540784425909E-2</v>
      </c>
      <c r="I25" s="2821">
        <v>2.8939266253370604E-2</v>
      </c>
      <c r="J25" s="2821">
        <v>2.8793086704347243E-2</v>
      </c>
      <c r="K25" s="2821">
        <v>2.8052291604399277E-2</v>
      </c>
      <c r="L25" s="2821">
        <v>2.4168959729723268E-2</v>
      </c>
      <c r="M25" s="2821">
        <v>2.8899390906263811E-2</v>
      </c>
      <c r="N25" s="2821">
        <v>3.6480713801147209E-2</v>
      </c>
      <c r="O25" s="2821">
        <v>2.7940909919462423E-2</v>
      </c>
      <c r="P25" s="2821">
        <v>2.632568221373403E-2</v>
      </c>
      <c r="Q25" s="2821">
        <v>2.561344176463216E-2</v>
      </c>
      <c r="R25" s="2821">
        <v>3.4700340638404853E-2</v>
      </c>
      <c r="S25" s="2821">
        <v>2.8962586863582555E-2</v>
      </c>
      <c r="T25" s="2821">
        <v>2.2827269974381791E-2</v>
      </c>
      <c r="U25" s="2822">
        <v>2.4288595517778181E-2</v>
      </c>
      <c r="V25" s="2821">
        <v>2.3428057188102296E-2</v>
      </c>
      <c r="W25" s="2821">
        <v>1.2020663292894702E-2</v>
      </c>
      <c r="X25" s="2821">
        <v>1.9783789823906425E-2</v>
      </c>
      <c r="Y25" s="2823">
        <v>4.2341482857142849E-2</v>
      </c>
      <c r="Z25" s="2824">
        <v>1.9783789823906425E-2</v>
      </c>
      <c r="AA25" s="2821">
        <v>1.9783789823906425E-2</v>
      </c>
      <c r="AB25" s="2825">
        <v>7.8010034141978296E-2</v>
      </c>
    </row>
    <row r="26" spans="3:28" s="216" customFormat="1" ht="13.5" thickBot="1">
      <c r="C26" s="1528" t="s">
        <v>194</v>
      </c>
      <c r="D26" s="2826">
        <v>-3.0816589926789044</v>
      </c>
      <c r="E26" s="2826">
        <v>-3.0763853685894222</v>
      </c>
      <c r="F26" s="2826">
        <v>-3.0931737354412432</v>
      </c>
      <c r="G26" s="2826">
        <v>-3.1430068758479068</v>
      </c>
      <c r="H26" s="2826">
        <v>-3.122933323645301</v>
      </c>
      <c r="I26" s="2826">
        <v>-3.0894082427972047</v>
      </c>
      <c r="J26" s="2826">
        <v>-3.0660719646706909</v>
      </c>
      <c r="K26" s="2826">
        <v>-3.1044179225802719</v>
      </c>
      <c r="L26" s="2826">
        <v>-3.1319113515868082</v>
      </c>
      <c r="M26" s="2826">
        <v>-6.5598467892402699</v>
      </c>
      <c r="N26" s="2826">
        <v>-12.198779432278512</v>
      </c>
      <c r="O26" s="2826">
        <v>-12.240827135562689</v>
      </c>
      <c r="P26" s="2826">
        <v>-12.273512723556603</v>
      </c>
      <c r="Q26" s="2826">
        <v>-12.270704327501091</v>
      </c>
      <c r="R26" s="2826">
        <v>-12.280887104423126</v>
      </c>
      <c r="S26" s="2826">
        <v>-12.315887290280596</v>
      </c>
      <c r="T26" s="2826">
        <v>-11.785190962807624</v>
      </c>
      <c r="U26" s="2827">
        <v>-12.351723488126094</v>
      </c>
      <c r="V26" s="2826">
        <f>V12+V15+V25+V16+V17+V22+V5</f>
        <v>-11.581739296682922</v>
      </c>
      <c r="W26" s="2826">
        <f t="shared" ref="W26:AB26" si="0">W12+W15+W25+W16+W17+W22+W5</f>
        <v>-11.593146690578129</v>
      </c>
      <c r="X26" s="2826">
        <f t="shared" si="0"/>
        <v>-11.585383564047119</v>
      </c>
      <c r="Y26" s="2828">
        <f>Y5+Y16+Y17-Y12-Y15-Y22-Y25</f>
        <v>-12.12513474969888</v>
      </c>
      <c r="Z26" s="2829">
        <f t="shared" si="0"/>
        <v>-11.602726634631445</v>
      </c>
      <c r="AA26" s="2826">
        <f t="shared" si="0"/>
        <v>-11.602726634631445</v>
      </c>
      <c r="AB26" s="2830">
        <f t="shared" si="0"/>
        <v>-11.60149192913012</v>
      </c>
    </row>
    <row r="27" spans="3:28" s="216" customFormat="1" ht="12.75">
      <c r="C27" s="521" t="s">
        <v>901</v>
      </c>
      <c r="D27" s="2772"/>
      <c r="E27" s="2773"/>
      <c r="F27" s="2773"/>
      <c r="G27" s="2773"/>
      <c r="H27" s="2773"/>
      <c r="I27" s="2773"/>
      <c r="J27" s="2773"/>
      <c r="K27" s="2773"/>
      <c r="L27" s="2773"/>
      <c r="M27" s="2773"/>
      <c r="N27" s="2773"/>
      <c r="O27" s="2773"/>
      <c r="P27" s="2773"/>
      <c r="Q27" s="2773"/>
      <c r="R27" s="2773"/>
      <c r="S27" s="2773"/>
      <c r="T27" s="2773"/>
      <c r="U27" s="2773"/>
      <c r="V27" s="2773"/>
      <c r="W27" s="2773"/>
      <c r="X27" s="2773"/>
      <c r="Y27" s="2773"/>
      <c r="Z27" s="2773"/>
      <c r="AA27" s="2773"/>
      <c r="AB27" s="2774"/>
    </row>
    <row r="28" spans="3:28" s="216" customFormat="1" ht="13.5" thickBot="1">
      <c r="C28" s="523"/>
      <c r="D28" s="524"/>
      <c r="E28" s="524"/>
      <c r="F28" s="524"/>
      <c r="G28" s="524"/>
      <c r="H28" s="524"/>
      <c r="I28" s="524"/>
      <c r="J28" s="524"/>
      <c r="K28" s="524"/>
      <c r="L28" s="524"/>
      <c r="M28" s="524"/>
      <c r="N28" s="524"/>
      <c r="O28" s="524"/>
      <c r="P28" s="524"/>
      <c r="Q28" s="524"/>
      <c r="R28" s="524"/>
      <c r="S28" s="524"/>
      <c r="T28" s="524"/>
      <c r="U28" s="524"/>
      <c r="V28" s="524"/>
      <c r="W28" s="524"/>
      <c r="X28" s="524"/>
      <c r="Y28" s="524"/>
      <c r="Z28" s="524"/>
      <c r="AA28" s="524"/>
      <c r="AB28" s="525"/>
    </row>
    <row r="29" spans="3:28" ht="12" thickTop="1"/>
  </sheetData>
  <sheetProtection password="CD58" sheet="1" objects="1" scenarios="1"/>
  <phoneticPr fontId="0" type="noConversion"/>
  <pageMargins left="0.75" right="0.75" top="1" bottom="1" header="0.5" footer="0.5"/>
  <pageSetup orientation="portrait" r:id="rId1"/>
  <headerFooter alignWithMargins="0"/>
  <drawing r:id="rId2"/>
  <picture r:id="rId3"/>
</worksheet>
</file>

<file path=xl/worksheets/sheet3.xml><?xml version="1.0" encoding="utf-8"?>
<worksheet xmlns="http://schemas.openxmlformats.org/spreadsheetml/2006/main" xmlns:r="http://schemas.openxmlformats.org/officeDocument/2006/relationships">
  <sheetPr codeName="Sheet4"/>
  <dimension ref="A2:BJ323"/>
  <sheetViews>
    <sheetView zoomScale="85" zoomScaleNormal="85" workbookViewId="0">
      <selection activeCell="H2" sqref="H2"/>
    </sheetView>
  </sheetViews>
  <sheetFormatPr defaultRowHeight="11.25"/>
  <cols>
    <col min="1" max="1" width="3.83203125" customWidth="1"/>
    <col min="2" max="2" width="14.33203125" bestFit="1" customWidth="1"/>
    <col min="3" max="3" width="38" customWidth="1"/>
    <col min="4" max="4" width="37.33203125" customWidth="1"/>
    <col min="5" max="5" width="17.33203125" customWidth="1"/>
    <col min="6" max="6" width="17.83203125" customWidth="1"/>
    <col min="7" max="7" width="13.5" bestFit="1" customWidth="1"/>
    <col min="8" max="8" width="12.33203125" customWidth="1"/>
    <col min="9" max="9" width="24.6640625" customWidth="1"/>
    <col min="10" max="10" width="17.6640625" customWidth="1"/>
    <col min="11" max="11" width="21.33203125" bestFit="1" customWidth="1"/>
    <col min="12" max="12" width="19.1640625" customWidth="1"/>
    <col min="13" max="13" width="19.33203125" customWidth="1"/>
    <col min="14" max="14" width="12.1640625" bestFit="1" customWidth="1"/>
    <col min="15" max="15" width="20.33203125" customWidth="1"/>
    <col min="16" max="16" width="20" customWidth="1"/>
    <col min="17" max="17" width="18.83203125" customWidth="1"/>
    <col min="18" max="18" width="20.6640625" customWidth="1"/>
    <col min="19" max="19" width="19.6640625" customWidth="1"/>
  </cols>
  <sheetData>
    <row r="2" spans="1:62" s="213" customFormat="1" ht="13.5" thickBot="1">
      <c r="A2" s="215"/>
      <c r="B2" s="215"/>
      <c r="C2" s="215"/>
      <c r="D2" s="215"/>
      <c r="E2" s="215"/>
      <c r="F2" s="215"/>
      <c r="G2" s="215"/>
      <c r="H2" s="215"/>
      <c r="I2" s="215"/>
      <c r="J2" s="467"/>
      <c r="K2" s="467"/>
      <c r="L2" s="467"/>
      <c r="M2" s="467"/>
      <c r="N2" s="215"/>
      <c r="O2" s="215"/>
      <c r="P2" s="215"/>
      <c r="Q2" s="215"/>
      <c r="R2" s="215"/>
      <c r="S2" s="215"/>
      <c r="T2" s="215"/>
      <c r="U2" s="215"/>
      <c r="V2" s="215"/>
      <c r="W2" s="215"/>
      <c r="X2" s="215"/>
      <c r="Y2" s="215"/>
      <c r="Z2" s="215"/>
      <c r="AA2" s="215"/>
      <c r="AB2" s="215"/>
      <c r="AC2" s="215"/>
      <c r="AD2" s="215"/>
      <c r="AE2" s="215"/>
      <c r="AF2" s="215"/>
      <c r="AG2" s="215"/>
      <c r="AH2" s="215"/>
      <c r="AI2" s="215"/>
      <c r="AJ2" s="215"/>
      <c r="AK2" s="215"/>
      <c r="AL2" s="215"/>
      <c r="AM2" s="215"/>
      <c r="AN2" s="215"/>
      <c r="AO2" s="215"/>
      <c r="AP2" s="215"/>
      <c r="AQ2" s="215"/>
      <c r="AR2" s="215"/>
      <c r="AS2" s="215"/>
      <c r="AT2" s="215"/>
      <c r="AU2" s="215"/>
      <c r="AV2" s="215"/>
      <c r="AW2" s="215"/>
      <c r="AX2" s="215"/>
      <c r="AY2" s="215"/>
      <c r="AZ2" s="215"/>
      <c r="BA2" s="215"/>
      <c r="BB2" s="215"/>
      <c r="BC2" s="215"/>
      <c r="BD2" s="215"/>
      <c r="BE2" s="215"/>
      <c r="BF2" s="215"/>
      <c r="BG2" s="215"/>
      <c r="BH2" s="215"/>
      <c r="BI2" s="215"/>
      <c r="BJ2" s="215"/>
    </row>
    <row r="3" spans="1:62" ht="15" thickTop="1">
      <c r="A3" s="1594"/>
      <c r="B3" s="1683" t="s">
        <v>1107</v>
      </c>
      <c r="C3" s="1684" t="s">
        <v>1108</v>
      </c>
      <c r="D3" s="1684" t="s">
        <v>1109</v>
      </c>
      <c r="E3" s="1684" t="s">
        <v>1110</v>
      </c>
      <c r="F3" s="1684" t="s">
        <v>1111</v>
      </c>
      <c r="G3" s="1684" t="s">
        <v>1111</v>
      </c>
      <c r="H3" s="1684" t="s">
        <v>796</v>
      </c>
      <c r="I3" s="1684" t="s">
        <v>798</v>
      </c>
      <c r="J3" s="1685" t="s">
        <v>800</v>
      </c>
      <c r="K3" s="1684" t="s">
        <v>283</v>
      </c>
      <c r="L3" s="1684" t="s">
        <v>284</v>
      </c>
      <c r="M3" s="1686" t="s">
        <v>285</v>
      </c>
      <c r="N3" s="1594"/>
      <c r="O3" s="1594"/>
      <c r="P3" s="1594"/>
      <c r="Q3" s="1594"/>
      <c r="R3" s="1594"/>
      <c r="S3" s="1594"/>
      <c r="T3" s="1594"/>
      <c r="U3" s="1594"/>
      <c r="V3" s="1594"/>
      <c r="W3" s="1594"/>
      <c r="X3" s="1594"/>
      <c r="Y3" s="1594"/>
      <c r="Z3" s="1594"/>
      <c r="AA3" s="1594"/>
      <c r="AB3" s="1594"/>
      <c r="AC3" s="1594"/>
      <c r="AD3" s="1594"/>
      <c r="AE3" s="1594"/>
      <c r="AF3" s="1594"/>
      <c r="AG3" s="1594"/>
      <c r="AH3" s="1594"/>
      <c r="AI3" s="1594"/>
      <c r="AJ3" s="1594"/>
      <c r="AK3" s="1594"/>
      <c r="AL3" s="1594"/>
      <c r="AM3" s="1594"/>
      <c r="AN3" s="1594"/>
      <c r="AO3" s="1594"/>
      <c r="AP3" s="1594"/>
      <c r="AQ3" s="1594"/>
      <c r="AR3" s="1594"/>
      <c r="AS3" s="1594"/>
      <c r="AT3" s="1594"/>
      <c r="AU3" s="1594"/>
      <c r="AV3" s="1594"/>
      <c r="AW3" s="1594"/>
      <c r="AX3" s="1594"/>
      <c r="AY3" s="1594"/>
      <c r="AZ3" s="1594"/>
      <c r="BA3" s="1594"/>
      <c r="BB3" s="1594"/>
      <c r="BC3" s="1594"/>
      <c r="BD3" s="1594"/>
      <c r="BE3" s="1594"/>
      <c r="BF3" s="1594"/>
      <c r="BG3" s="1594"/>
      <c r="BH3" s="1594"/>
      <c r="BI3" s="1594"/>
      <c r="BJ3" s="1594"/>
    </row>
    <row r="4" spans="1:62" ht="12.75">
      <c r="A4" s="1594"/>
      <c r="B4" s="1687"/>
      <c r="C4" s="1688"/>
      <c r="D4" s="1688"/>
      <c r="E4" s="1688"/>
      <c r="F4" s="1688"/>
      <c r="G4" s="1688" t="s">
        <v>1113</v>
      </c>
      <c r="H4" s="1688" t="s">
        <v>797</v>
      </c>
      <c r="I4" s="1688" t="s">
        <v>799</v>
      </c>
      <c r="J4" s="1688" t="s">
        <v>1114</v>
      </c>
      <c r="K4" s="1688" t="s">
        <v>1112</v>
      </c>
      <c r="L4" s="1688" t="s">
        <v>1112</v>
      </c>
      <c r="M4" s="1689" t="s">
        <v>1112</v>
      </c>
      <c r="N4" s="1594"/>
      <c r="O4" s="1594"/>
      <c r="P4" s="1594"/>
      <c r="Q4" s="1594"/>
      <c r="R4" s="1594"/>
      <c r="S4" s="1594"/>
      <c r="T4" s="1594"/>
      <c r="U4" s="1594"/>
      <c r="V4" s="1594"/>
      <c r="W4" s="1594"/>
      <c r="X4" s="1594"/>
      <c r="Y4" s="1594"/>
      <c r="Z4" s="1594"/>
      <c r="AA4" s="1594"/>
      <c r="AB4" s="1594"/>
      <c r="AC4" s="1594"/>
      <c r="AD4" s="1594"/>
      <c r="AE4" s="1594"/>
      <c r="AF4" s="1594"/>
      <c r="AG4" s="1594"/>
      <c r="AH4" s="1594"/>
      <c r="AI4" s="1594"/>
      <c r="AJ4" s="1594"/>
      <c r="AK4" s="1594"/>
      <c r="AL4" s="1594"/>
      <c r="AM4" s="1594"/>
      <c r="AN4" s="1594"/>
      <c r="AO4" s="1594"/>
      <c r="AP4" s="1594"/>
      <c r="AQ4" s="1594"/>
      <c r="AR4" s="1594"/>
      <c r="AS4" s="1594"/>
      <c r="AT4" s="1594"/>
      <c r="AU4" s="1594"/>
      <c r="AV4" s="1594"/>
      <c r="AW4" s="1594"/>
      <c r="AX4" s="1594"/>
      <c r="AY4" s="1594"/>
      <c r="AZ4" s="1594"/>
      <c r="BA4" s="1594"/>
      <c r="BB4" s="1594"/>
      <c r="BC4" s="1594"/>
      <c r="BD4" s="1594"/>
      <c r="BE4" s="1594"/>
      <c r="BF4" s="1594"/>
      <c r="BG4" s="1594"/>
      <c r="BH4" s="1594"/>
      <c r="BI4" s="1594"/>
      <c r="BJ4" s="1594"/>
    </row>
    <row r="5" spans="1:62" ht="13.5" thickBot="1">
      <c r="A5" s="1594"/>
      <c r="B5" s="1615"/>
      <c r="C5" s="1616"/>
      <c r="D5" s="1616"/>
      <c r="E5" s="1616"/>
      <c r="F5" s="1616"/>
      <c r="G5" s="1616"/>
      <c r="H5" s="1616"/>
      <c r="I5" s="1616"/>
      <c r="J5" s="1616"/>
      <c r="K5" s="1623"/>
      <c r="L5" s="1616"/>
      <c r="M5" s="1624"/>
      <c r="N5" s="1594"/>
      <c r="O5" s="1594"/>
      <c r="P5" s="1594"/>
      <c r="Q5" s="1594"/>
      <c r="R5" s="1594"/>
      <c r="S5" s="1594"/>
      <c r="T5" s="1594"/>
      <c r="U5" s="1594"/>
      <c r="V5" s="1594"/>
      <c r="W5" s="1594"/>
      <c r="X5" s="1594"/>
      <c r="Y5" s="1594"/>
      <c r="Z5" s="1594"/>
      <c r="AA5" s="1594"/>
      <c r="AB5" s="1594"/>
      <c r="AC5" s="1594"/>
      <c r="AD5" s="1594"/>
      <c r="AE5" s="1594"/>
      <c r="AF5" s="1594"/>
      <c r="AG5" s="1594"/>
      <c r="AH5" s="1594"/>
      <c r="AI5" s="1594"/>
      <c r="AJ5" s="1594"/>
      <c r="AK5" s="1594"/>
      <c r="AL5" s="1594"/>
      <c r="AM5" s="1594"/>
      <c r="AN5" s="1594"/>
      <c r="AO5" s="1594"/>
      <c r="AP5" s="1594"/>
      <c r="AQ5" s="1594"/>
      <c r="AR5" s="1594"/>
      <c r="AS5" s="1594"/>
      <c r="AT5" s="1594"/>
      <c r="AU5" s="1594"/>
      <c r="AV5" s="1594"/>
      <c r="AW5" s="1594"/>
      <c r="AX5" s="1594"/>
      <c r="AY5" s="1594"/>
      <c r="AZ5" s="1594"/>
      <c r="BA5" s="1594"/>
      <c r="BB5" s="1594"/>
      <c r="BC5" s="1594"/>
      <c r="BD5" s="1594"/>
      <c r="BE5" s="1594"/>
      <c r="BF5" s="1594"/>
      <c r="BG5" s="1594"/>
      <c r="BH5" s="1594"/>
      <c r="BI5" s="1594"/>
      <c r="BJ5" s="1594"/>
    </row>
    <row r="6" spans="1:62" ht="12.75">
      <c r="A6" s="1594"/>
      <c r="B6" s="1660" t="s">
        <v>1115</v>
      </c>
      <c r="C6" s="1593" t="s">
        <v>1116</v>
      </c>
      <c r="D6" s="1613"/>
      <c r="E6" s="1613"/>
      <c r="F6" s="1591"/>
      <c r="G6" s="1613"/>
      <c r="H6" s="1613"/>
      <c r="I6" s="1613"/>
      <c r="J6" s="1613"/>
      <c r="K6" s="1661"/>
      <c r="L6" s="1613"/>
      <c r="M6" s="1662"/>
      <c r="N6" s="1594"/>
      <c r="O6" s="1594"/>
      <c r="P6" s="1594"/>
      <c r="Q6" s="1594"/>
      <c r="R6" s="1594"/>
      <c r="S6" s="1594"/>
      <c r="T6" s="1594"/>
      <c r="U6" s="1594"/>
      <c r="V6" s="1594"/>
      <c r="W6" s="1594"/>
      <c r="X6" s="1594"/>
      <c r="Y6" s="1594"/>
      <c r="Z6" s="1594"/>
      <c r="AA6" s="1594"/>
      <c r="AB6" s="1594"/>
      <c r="AC6" s="1594"/>
      <c r="AD6" s="1594"/>
      <c r="AE6" s="1594"/>
      <c r="AF6" s="1594"/>
      <c r="AG6" s="1594"/>
      <c r="AH6" s="1594"/>
      <c r="AI6" s="1594"/>
      <c r="AJ6" s="1594"/>
      <c r="AK6" s="1594"/>
      <c r="AL6" s="1594"/>
      <c r="AM6" s="1594"/>
      <c r="AN6" s="1594"/>
      <c r="AO6" s="1594"/>
      <c r="AP6" s="1594"/>
      <c r="AQ6" s="1594"/>
      <c r="AR6" s="1594"/>
      <c r="AS6" s="1594"/>
      <c r="AT6" s="1594"/>
      <c r="AU6" s="1594"/>
      <c r="AV6" s="1594"/>
      <c r="AW6" s="1594"/>
      <c r="AX6" s="1594"/>
      <c r="AY6" s="1594"/>
      <c r="AZ6" s="1594"/>
      <c r="BA6" s="1594"/>
      <c r="BB6" s="1594"/>
      <c r="BC6" s="1594"/>
      <c r="BD6" s="1594"/>
      <c r="BE6" s="1594"/>
      <c r="BF6" s="1594"/>
      <c r="BG6" s="1594"/>
      <c r="BH6" s="1594"/>
      <c r="BI6" s="1594"/>
      <c r="BJ6" s="1594"/>
    </row>
    <row r="7" spans="1:62" ht="12.75">
      <c r="A7" s="1594"/>
      <c r="B7" s="1615"/>
      <c r="C7" s="1616" t="s">
        <v>1117</v>
      </c>
      <c r="D7" s="1616" t="s">
        <v>1118</v>
      </c>
      <c r="E7" s="1616" t="s">
        <v>1102</v>
      </c>
      <c r="F7" s="1623">
        <v>644453</v>
      </c>
      <c r="G7" s="1616" t="s">
        <v>279</v>
      </c>
      <c r="H7" s="1620">
        <v>10777</v>
      </c>
      <c r="I7" s="1616" t="s">
        <v>1119</v>
      </c>
      <c r="J7" s="1902">
        <v>14615569</v>
      </c>
      <c r="K7" s="1626">
        <f>+J7/(J7+J8)*K9</f>
        <v>1496167.2380759774</v>
      </c>
      <c r="L7" s="1907">
        <f>+J7/(J7+J8)*L9</f>
        <v>176.96781822588017</v>
      </c>
      <c r="M7" s="1907">
        <f>+J7/(J7+J8)*M9</f>
        <v>25.750209859724261</v>
      </c>
      <c r="N7" s="1594"/>
      <c r="O7" s="1594"/>
      <c r="P7" s="1594"/>
      <c r="Q7" s="1594"/>
      <c r="R7" s="1594"/>
      <c r="S7" s="1594"/>
      <c r="T7" s="1594"/>
      <c r="U7" s="1594"/>
      <c r="V7" s="1594"/>
      <c r="W7" s="1594"/>
      <c r="X7" s="1594"/>
      <c r="Y7" s="1594"/>
      <c r="Z7" s="1594"/>
      <c r="AA7" s="1594"/>
      <c r="AB7" s="1594"/>
      <c r="AC7" s="1594"/>
      <c r="AD7" s="1594"/>
      <c r="AE7" s="1594"/>
      <c r="AF7" s="1594"/>
      <c r="AG7" s="1594"/>
      <c r="AH7" s="1594"/>
      <c r="AI7" s="1594"/>
      <c r="AJ7" s="1594"/>
      <c r="AK7" s="1594"/>
      <c r="AL7" s="1594"/>
      <c r="AM7" s="1594"/>
      <c r="AN7" s="1594"/>
      <c r="AO7" s="1594"/>
      <c r="AP7" s="1594"/>
      <c r="AQ7" s="1594"/>
      <c r="AR7" s="1594"/>
      <c r="AS7" s="1594"/>
      <c r="AT7" s="1594"/>
      <c r="AU7" s="1594"/>
      <c r="AV7" s="1594"/>
      <c r="AW7" s="1594"/>
      <c r="AX7" s="1594"/>
      <c r="AY7" s="1594"/>
      <c r="AZ7" s="1594"/>
      <c r="BA7" s="1594"/>
      <c r="BB7" s="1594"/>
      <c r="BC7" s="1594"/>
      <c r="BD7" s="1594"/>
      <c r="BE7" s="1594"/>
      <c r="BF7" s="1594"/>
      <c r="BG7" s="1594"/>
      <c r="BH7" s="1594"/>
      <c r="BI7" s="1594"/>
      <c r="BJ7" s="1594"/>
    </row>
    <row r="8" spans="1:62" ht="12.75">
      <c r="A8" s="1594"/>
      <c r="B8" s="1615"/>
      <c r="C8" s="1616" t="s">
        <v>1117</v>
      </c>
      <c r="D8" s="1616" t="s">
        <v>1118</v>
      </c>
      <c r="E8" s="1616" t="s">
        <v>219</v>
      </c>
      <c r="F8" s="1623">
        <v>201860</v>
      </c>
      <c r="G8" s="1616" t="s">
        <v>67</v>
      </c>
      <c r="H8" s="1620">
        <v>140000</v>
      </c>
      <c r="I8" s="1616" t="s">
        <v>12</v>
      </c>
      <c r="J8" s="1903">
        <f>(F8*H8)/1000000</f>
        <v>28260.400000000001</v>
      </c>
      <c r="K8" s="1626">
        <f>+J8/(J8+J7)*K9</f>
        <v>2892.9619240224147</v>
      </c>
      <c r="L8" s="1907">
        <f>+J8/(J8+J7)*L9</f>
        <v>0.34218177411982142</v>
      </c>
      <c r="M8" s="1907">
        <f>+J8/(J8+J7)*M9</f>
        <v>4.9790140275739629E-2</v>
      </c>
      <c r="N8" s="1594"/>
      <c r="O8" s="1594"/>
      <c r="P8" s="1594"/>
      <c r="Q8" s="1594"/>
      <c r="R8" s="1594"/>
      <c r="S8" s="1594"/>
      <c r="T8" s="1594"/>
      <c r="U8" s="1594"/>
      <c r="V8" s="1594"/>
      <c r="W8" s="1594"/>
      <c r="X8" s="1594"/>
      <c r="Y8" s="1594"/>
      <c r="Z8" s="1594"/>
      <c r="AA8" s="1594"/>
      <c r="AB8" s="1594"/>
      <c r="AC8" s="1594"/>
      <c r="AD8" s="1594"/>
      <c r="AE8" s="1594"/>
      <c r="AF8" s="1594"/>
      <c r="AG8" s="1594"/>
      <c r="AH8" s="1594"/>
      <c r="AI8" s="1594"/>
      <c r="AJ8" s="1594"/>
      <c r="AK8" s="1594"/>
      <c r="AL8" s="1594"/>
      <c r="AM8" s="1594"/>
      <c r="AN8" s="1594"/>
      <c r="AO8" s="1594"/>
      <c r="AP8" s="1594"/>
      <c r="AQ8" s="1594"/>
      <c r="AR8" s="1594"/>
      <c r="AS8" s="1594"/>
      <c r="AT8" s="1594"/>
      <c r="AU8" s="1594"/>
      <c r="AV8" s="1594"/>
      <c r="AW8" s="1594"/>
      <c r="AX8" s="1594"/>
      <c r="AY8" s="1594"/>
      <c r="AZ8" s="1594"/>
      <c r="BA8" s="1594"/>
      <c r="BB8" s="1594"/>
      <c r="BC8" s="1594"/>
      <c r="BD8" s="1594"/>
      <c r="BE8" s="1594"/>
      <c r="BF8" s="1594"/>
      <c r="BG8" s="1594"/>
      <c r="BH8" s="1594"/>
      <c r="BI8" s="1594"/>
      <c r="BJ8" s="1594"/>
    </row>
    <row r="9" spans="1:62" ht="12.75">
      <c r="A9" s="1594"/>
      <c r="B9" s="1615"/>
      <c r="C9" s="1616"/>
      <c r="D9" s="1616"/>
      <c r="E9" s="1616"/>
      <c r="F9" s="1623"/>
      <c r="G9" s="1616"/>
      <c r="H9" s="1620"/>
      <c r="I9" s="1616"/>
      <c r="J9" s="1628">
        <f>SUM(J7:J8)</f>
        <v>14643829.4</v>
      </c>
      <c r="K9" s="1906">
        <v>1499060.2</v>
      </c>
      <c r="L9" s="1908">
        <v>177.31</v>
      </c>
      <c r="M9" s="1909">
        <v>25.8</v>
      </c>
      <c r="N9" s="1594"/>
      <c r="O9" s="1594"/>
      <c r="P9" s="1594"/>
      <c r="Q9" s="1594"/>
      <c r="R9" s="1594"/>
      <c r="S9" s="1594"/>
      <c r="T9" s="1594"/>
      <c r="U9" s="1594"/>
      <c r="V9" s="1594"/>
      <c r="W9" s="1594"/>
      <c r="X9" s="1594"/>
      <c r="Y9" s="1594"/>
      <c r="Z9" s="1594"/>
      <c r="AA9" s="1594"/>
      <c r="AB9" s="1594"/>
      <c r="AC9" s="1594"/>
      <c r="AD9" s="1594"/>
      <c r="AE9" s="1594"/>
      <c r="AF9" s="1594"/>
      <c r="AG9" s="1594"/>
      <c r="AH9" s="1594"/>
      <c r="AI9" s="1594"/>
      <c r="AJ9" s="1594"/>
      <c r="AK9" s="1594"/>
      <c r="AL9" s="1594"/>
      <c r="AM9" s="1594"/>
      <c r="AN9" s="1594"/>
      <c r="AO9" s="1594"/>
      <c r="AP9" s="1594"/>
      <c r="AQ9" s="1594"/>
      <c r="AR9" s="1594"/>
      <c r="AS9" s="1594"/>
      <c r="AT9" s="1594"/>
      <c r="AU9" s="1594"/>
      <c r="AV9" s="1594"/>
      <c r="AW9" s="1594"/>
      <c r="AX9" s="1594"/>
      <c r="AY9" s="1594"/>
      <c r="AZ9" s="1594"/>
      <c r="BA9" s="1594"/>
      <c r="BB9" s="1594"/>
      <c r="BC9" s="1594"/>
      <c r="BD9" s="1594"/>
      <c r="BE9" s="1594"/>
      <c r="BF9" s="1594"/>
      <c r="BG9" s="1594"/>
      <c r="BH9" s="1594"/>
      <c r="BI9" s="1594"/>
      <c r="BJ9" s="1594"/>
    </row>
    <row r="10" spans="1:62" ht="12.75">
      <c r="A10" s="1594"/>
      <c r="B10" s="1615"/>
      <c r="C10" s="1616"/>
      <c r="D10" s="1616"/>
      <c r="E10" s="1616"/>
      <c r="F10" s="1623"/>
      <c r="G10" s="1616"/>
      <c r="H10" s="1620"/>
      <c r="I10" s="1616"/>
      <c r="J10" s="1616"/>
      <c r="K10" s="1626"/>
      <c r="L10" s="1907"/>
      <c r="M10" s="1723"/>
      <c r="N10" s="1594"/>
      <c r="O10" s="1594"/>
      <c r="P10" s="1594"/>
      <c r="Q10" s="1594"/>
      <c r="R10" s="1594"/>
      <c r="S10" s="1594"/>
      <c r="T10" s="1594"/>
      <c r="U10" s="1594"/>
      <c r="V10" s="1594"/>
      <c r="W10" s="1594"/>
      <c r="X10" s="1594"/>
      <c r="Y10" s="1594"/>
      <c r="Z10" s="1594"/>
      <c r="AA10" s="1594"/>
      <c r="AB10" s="1594"/>
      <c r="AC10" s="1594"/>
      <c r="AD10" s="1594"/>
      <c r="AE10" s="1594"/>
      <c r="AF10" s="1594"/>
      <c r="AG10" s="1594"/>
      <c r="AH10" s="1594"/>
      <c r="AI10" s="1594"/>
      <c r="AJ10" s="1594"/>
      <c r="AK10" s="1594"/>
      <c r="AL10" s="1594"/>
      <c r="AM10" s="1594"/>
      <c r="AN10" s="1594"/>
      <c r="AO10" s="1594"/>
      <c r="AP10" s="1594"/>
      <c r="AQ10" s="1594"/>
      <c r="AR10" s="1594"/>
      <c r="AS10" s="1594"/>
      <c r="AT10" s="1594"/>
      <c r="AU10" s="1594"/>
      <c r="AV10" s="1594"/>
      <c r="AW10" s="1594"/>
      <c r="AX10" s="1594"/>
      <c r="AY10" s="1594"/>
      <c r="AZ10" s="1594"/>
      <c r="BA10" s="1594"/>
      <c r="BB10" s="1594"/>
      <c r="BC10" s="1594"/>
      <c r="BD10" s="1594"/>
      <c r="BE10" s="1594"/>
      <c r="BF10" s="1594"/>
      <c r="BG10" s="1594"/>
      <c r="BH10" s="1594"/>
      <c r="BI10" s="1594"/>
      <c r="BJ10" s="1594"/>
    </row>
    <row r="11" spans="1:62" ht="12.75">
      <c r="A11" s="1594"/>
      <c r="B11" s="1615"/>
      <c r="C11" s="1616" t="s">
        <v>286</v>
      </c>
      <c r="D11" s="1616" t="s">
        <v>13</v>
      </c>
      <c r="E11" s="1616" t="s">
        <v>219</v>
      </c>
      <c r="F11" s="1623">
        <v>620</v>
      </c>
      <c r="G11" s="1616" t="s">
        <v>67</v>
      </c>
      <c r="H11" s="1620">
        <v>140000</v>
      </c>
      <c r="I11" s="1616" t="s">
        <v>12</v>
      </c>
      <c r="J11" s="1904">
        <f>(F11*H11)/1000000</f>
        <v>86.8</v>
      </c>
      <c r="K11" s="1627">
        <v>6.98</v>
      </c>
      <c r="L11" s="1910">
        <v>0</v>
      </c>
      <c r="M11" s="1909">
        <v>0</v>
      </c>
      <c r="N11" s="1594"/>
      <c r="O11" s="1594"/>
      <c r="P11" s="1594"/>
      <c r="Q11" s="1594"/>
      <c r="R11" s="1594"/>
      <c r="S11" s="1594"/>
      <c r="T11" s="1594"/>
      <c r="U11" s="1594"/>
      <c r="V11" s="1594"/>
      <c r="W11" s="1594"/>
      <c r="X11" s="1594"/>
      <c r="Y11" s="1594"/>
      <c r="Z11" s="1594"/>
      <c r="AA11" s="1594"/>
      <c r="AB11" s="1594"/>
      <c r="AC11" s="1594"/>
      <c r="AD11" s="1594"/>
      <c r="AE11" s="1594"/>
      <c r="AF11" s="1594"/>
      <c r="AG11" s="1594"/>
      <c r="AH11" s="1594"/>
      <c r="AI11" s="1594"/>
      <c r="AJ11" s="1594"/>
      <c r="AK11" s="1594"/>
      <c r="AL11" s="1594"/>
      <c r="AM11" s="1594"/>
      <c r="AN11" s="1594"/>
      <c r="AO11" s="1594"/>
      <c r="AP11" s="1594"/>
      <c r="AQ11" s="1594"/>
      <c r="AR11" s="1594"/>
      <c r="AS11" s="1594"/>
      <c r="AT11" s="1594"/>
      <c r="AU11" s="1594"/>
      <c r="AV11" s="1594"/>
      <c r="AW11" s="1594"/>
      <c r="AX11" s="1594"/>
      <c r="AY11" s="1594"/>
      <c r="AZ11" s="1594"/>
      <c r="BA11" s="1594"/>
      <c r="BB11" s="1594"/>
      <c r="BC11" s="1594"/>
      <c r="BD11" s="1594"/>
      <c r="BE11" s="1594"/>
      <c r="BF11" s="1594"/>
      <c r="BG11" s="1594"/>
      <c r="BH11" s="1594"/>
      <c r="BI11" s="1594"/>
      <c r="BJ11" s="1594"/>
    </row>
    <row r="12" spans="1:62" ht="12.75">
      <c r="A12" s="1594"/>
      <c r="B12" s="1615"/>
      <c r="C12" s="1616"/>
      <c r="D12" s="1616"/>
      <c r="E12" s="1616"/>
      <c r="F12" s="1616"/>
      <c r="G12" s="1616"/>
      <c r="H12" s="1616"/>
      <c r="I12" s="1616"/>
      <c r="J12" s="1616"/>
      <c r="K12" s="1616"/>
      <c r="L12" s="1911"/>
      <c r="M12" s="1909"/>
      <c r="N12" s="1594"/>
      <c r="O12" s="1594"/>
      <c r="P12" s="1594"/>
      <c r="Q12" s="1594"/>
      <c r="R12" s="1594"/>
      <c r="S12" s="1594"/>
      <c r="T12" s="1594"/>
      <c r="U12" s="1594"/>
      <c r="V12" s="1594"/>
      <c r="W12" s="1594"/>
      <c r="X12" s="1594"/>
      <c r="Y12" s="1594"/>
      <c r="Z12" s="1594"/>
      <c r="AA12" s="1594"/>
      <c r="AB12" s="1594"/>
      <c r="AC12" s="1594"/>
      <c r="AD12" s="1594"/>
      <c r="AE12" s="1594"/>
      <c r="AF12" s="1594"/>
      <c r="AG12" s="1594"/>
      <c r="AH12" s="1594"/>
      <c r="AI12" s="1594"/>
      <c r="AJ12" s="1594"/>
      <c r="AK12" s="1594"/>
      <c r="AL12" s="1594"/>
      <c r="AM12" s="1594"/>
      <c r="AN12" s="1594"/>
      <c r="AO12" s="1594"/>
      <c r="AP12" s="1594"/>
      <c r="AQ12" s="1594"/>
      <c r="AR12" s="1594"/>
      <c r="AS12" s="1594"/>
      <c r="AT12" s="1594"/>
      <c r="AU12" s="1594"/>
      <c r="AV12" s="1594"/>
      <c r="AW12" s="1594"/>
      <c r="AX12" s="1594"/>
      <c r="AY12" s="1594"/>
      <c r="AZ12" s="1594"/>
      <c r="BA12" s="1594"/>
      <c r="BB12" s="1594"/>
      <c r="BC12" s="1594"/>
      <c r="BD12" s="1594"/>
      <c r="BE12" s="1594"/>
      <c r="BF12" s="1594"/>
      <c r="BG12" s="1594"/>
      <c r="BH12" s="1594"/>
      <c r="BI12" s="1594"/>
      <c r="BJ12" s="1594"/>
    </row>
    <row r="13" spans="1:62" ht="12.75">
      <c r="A13" s="1594"/>
      <c r="B13" s="1615"/>
      <c r="C13" s="1616" t="s">
        <v>72</v>
      </c>
      <c r="D13" s="1616" t="s">
        <v>73</v>
      </c>
      <c r="E13" s="1616" t="s">
        <v>1104</v>
      </c>
      <c r="F13" s="1623">
        <v>2627700</v>
      </c>
      <c r="G13" s="1616" t="s">
        <v>144</v>
      </c>
      <c r="H13" s="1620">
        <v>1020</v>
      </c>
      <c r="I13" s="1616" t="s">
        <v>74</v>
      </c>
      <c r="J13" s="1905">
        <f>(F13*H13)/1000000</f>
        <v>2680.2539999999999</v>
      </c>
      <c r="K13" s="1627">
        <v>157.87</v>
      </c>
      <c r="L13" s="1910">
        <v>0</v>
      </c>
      <c r="M13" s="1909">
        <v>0</v>
      </c>
      <c r="N13" s="1594"/>
      <c r="O13" s="1594"/>
      <c r="P13" s="1594"/>
      <c r="Q13" s="1594"/>
      <c r="R13" s="1594"/>
      <c r="S13" s="1594"/>
      <c r="T13" s="1594"/>
      <c r="U13" s="1594"/>
      <c r="V13" s="1594"/>
      <c r="W13" s="1594"/>
      <c r="X13" s="1594"/>
      <c r="Y13" s="1594"/>
      <c r="Z13" s="1594"/>
      <c r="AA13" s="1594"/>
      <c r="AB13" s="1594"/>
      <c r="AC13" s="1594"/>
      <c r="AD13" s="1594"/>
      <c r="AE13" s="1594"/>
      <c r="AF13" s="1594"/>
      <c r="AG13" s="1594"/>
      <c r="AH13" s="1594"/>
      <c r="AI13" s="1594"/>
      <c r="AJ13" s="1594"/>
      <c r="AK13" s="1594"/>
      <c r="AL13" s="1594"/>
      <c r="AM13" s="1594"/>
      <c r="AN13" s="1594"/>
      <c r="AO13" s="1594"/>
      <c r="AP13" s="1594"/>
      <c r="AQ13" s="1594"/>
      <c r="AR13" s="1594"/>
      <c r="AS13" s="1594"/>
      <c r="AT13" s="1594"/>
      <c r="AU13" s="1594"/>
      <c r="AV13" s="1594"/>
      <c r="AW13" s="1594"/>
      <c r="AX13" s="1594"/>
      <c r="AY13" s="1594"/>
      <c r="AZ13" s="1594"/>
      <c r="BA13" s="1594"/>
      <c r="BB13" s="1594"/>
      <c r="BC13" s="1594"/>
      <c r="BD13" s="1594"/>
      <c r="BE13" s="1594"/>
      <c r="BF13" s="1594"/>
      <c r="BG13" s="1594"/>
      <c r="BH13" s="1594"/>
      <c r="BI13" s="1594"/>
      <c r="BJ13" s="1594"/>
    </row>
    <row r="14" spans="1:62" ht="13.5" thickBot="1">
      <c r="A14" s="1594"/>
      <c r="B14" s="1663"/>
      <c r="C14" s="1595"/>
      <c r="D14" s="1595"/>
      <c r="E14" s="1595"/>
      <c r="F14" s="1596"/>
      <c r="G14" s="1595"/>
      <c r="H14" s="1664"/>
      <c r="I14" s="1595"/>
      <c r="J14" s="1665"/>
      <c r="K14" s="1666"/>
      <c r="L14" s="1667"/>
      <c r="M14" s="1668"/>
      <c r="N14" s="1594"/>
      <c r="O14" s="1594"/>
      <c r="P14" s="1594"/>
      <c r="Q14" s="1594"/>
      <c r="R14" s="1594"/>
      <c r="S14" s="1594"/>
      <c r="T14" s="1594"/>
      <c r="U14" s="1594"/>
      <c r="V14" s="1594"/>
      <c r="W14" s="1594"/>
      <c r="X14" s="1594"/>
      <c r="Y14" s="1594"/>
      <c r="Z14" s="1594"/>
      <c r="AA14" s="1594"/>
      <c r="AB14" s="1594"/>
      <c r="AC14" s="1594"/>
      <c r="AD14" s="1594"/>
      <c r="AE14" s="1594"/>
      <c r="AF14" s="1594"/>
      <c r="AG14" s="1594"/>
      <c r="AH14" s="1594"/>
      <c r="AI14" s="1594"/>
      <c r="AJ14" s="1594"/>
      <c r="AK14" s="1594"/>
      <c r="AL14" s="1594"/>
      <c r="AM14" s="1594"/>
      <c r="AN14" s="1594"/>
      <c r="AO14" s="1594"/>
      <c r="AP14" s="1594"/>
      <c r="AQ14" s="1594"/>
      <c r="AR14" s="1594"/>
      <c r="AS14" s="1594"/>
      <c r="AT14" s="1594"/>
      <c r="AU14" s="1594"/>
      <c r="AV14" s="1594"/>
      <c r="AW14" s="1594"/>
      <c r="AX14" s="1594"/>
      <c r="AY14" s="1594"/>
      <c r="AZ14" s="1594"/>
      <c r="BA14" s="1594"/>
      <c r="BB14" s="1594"/>
      <c r="BC14" s="1594"/>
      <c r="BD14" s="1594"/>
      <c r="BE14" s="1594"/>
      <c r="BF14" s="1594"/>
      <c r="BG14" s="1594"/>
      <c r="BH14" s="1594"/>
      <c r="BI14" s="1594"/>
      <c r="BJ14" s="1594"/>
    </row>
    <row r="15" spans="1:62" ht="12.75">
      <c r="A15" s="1594"/>
      <c r="B15" s="1615"/>
      <c r="C15" s="1616"/>
      <c r="D15" s="1616"/>
      <c r="E15" s="1616"/>
      <c r="F15" s="1620"/>
      <c r="G15" s="1616"/>
      <c r="H15" s="1620"/>
      <c r="I15" s="1616"/>
      <c r="J15" s="1630"/>
      <c r="K15" s="1620"/>
      <c r="L15" s="1629"/>
      <c r="M15" s="1624"/>
      <c r="N15" s="1594"/>
      <c r="O15" s="1594"/>
      <c r="P15" s="1594"/>
      <c r="Q15" s="1594"/>
      <c r="R15" s="1594"/>
      <c r="S15" s="1594"/>
      <c r="T15" s="1594"/>
      <c r="U15" s="1594"/>
      <c r="V15" s="1594"/>
      <c r="W15" s="1594"/>
      <c r="X15" s="1594"/>
      <c r="Y15" s="1594"/>
      <c r="Z15" s="1594"/>
      <c r="AA15" s="1594"/>
      <c r="AB15" s="1594"/>
      <c r="AC15" s="1594"/>
      <c r="AD15" s="1594"/>
      <c r="AE15" s="1594"/>
      <c r="AF15" s="1594"/>
      <c r="AG15" s="1594"/>
      <c r="AH15" s="1594"/>
      <c r="AI15" s="1594"/>
      <c r="AJ15" s="1594"/>
      <c r="AK15" s="1594"/>
      <c r="AL15" s="1594"/>
      <c r="AM15" s="1594"/>
      <c r="AN15" s="1594"/>
      <c r="AO15" s="1594"/>
      <c r="AP15" s="1594"/>
      <c r="AQ15" s="1594"/>
      <c r="AR15" s="1594"/>
      <c r="AS15" s="1594"/>
      <c r="AT15" s="1594"/>
      <c r="AU15" s="1594"/>
      <c r="AV15" s="1594"/>
      <c r="AW15" s="1594"/>
      <c r="AX15" s="1594"/>
      <c r="AY15" s="1594"/>
      <c r="AZ15" s="1594"/>
      <c r="BA15" s="1594"/>
      <c r="BB15" s="1594"/>
      <c r="BC15" s="1594"/>
      <c r="BD15" s="1594"/>
      <c r="BE15" s="1594"/>
      <c r="BF15" s="1594"/>
      <c r="BG15" s="1594"/>
      <c r="BH15" s="1594"/>
      <c r="BI15" s="1594"/>
      <c r="BJ15" s="1594"/>
    </row>
    <row r="16" spans="1:62" ht="12.75">
      <c r="A16" s="1594"/>
      <c r="B16" s="1615" t="s">
        <v>1120</v>
      </c>
      <c r="C16" s="163" t="s">
        <v>1127</v>
      </c>
      <c r="D16" s="1616"/>
      <c r="E16" s="1616"/>
      <c r="F16" s="1620"/>
      <c r="G16" s="1616"/>
      <c r="H16" s="1620"/>
      <c r="I16" s="1616"/>
      <c r="J16" s="1616"/>
      <c r="K16" s="1620"/>
      <c r="L16" s="1629"/>
      <c r="M16" s="1624"/>
      <c r="N16" s="1594"/>
      <c r="O16" s="14" t="s">
        <v>1166</v>
      </c>
      <c r="P16" s="1594"/>
      <c r="Q16" s="1594"/>
      <c r="R16" s="1594"/>
      <c r="S16" s="1594"/>
      <c r="T16" s="1594"/>
      <c r="U16" s="1594"/>
      <c r="V16" s="1594"/>
      <c r="W16" s="1594"/>
      <c r="X16" s="1594"/>
      <c r="Y16" s="1594"/>
      <c r="Z16" s="1594"/>
      <c r="AA16" s="1594"/>
      <c r="AB16" s="1594"/>
      <c r="AC16" s="1594"/>
      <c r="AD16" s="1594"/>
      <c r="AE16" s="1594"/>
      <c r="AF16" s="1594"/>
      <c r="AG16" s="1594"/>
      <c r="AH16" s="1594"/>
      <c r="AI16" s="1594"/>
      <c r="AJ16" s="1594"/>
      <c r="AK16" s="1594"/>
      <c r="AL16" s="1594"/>
      <c r="AM16" s="1594"/>
      <c r="AN16" s="1594"/>
      <c r="AO16" s="1594"/>
      <c r="AP16" s="1594"/>
      <c r="AQ16" s="1594"/>
      <c r="AR16" s="1594"/>
      <c r="AS16" s="1594"/>
      <c r="AT16" s="1594"/>
      <c r="AU16" s="1594"/>
      <c r="AV16" s="1594"/>
      <c r="AW16" s="1594"/>
      <c r="AX16" s="1594"/>
      <c r="AY16" s="1594"/>
      <c r="AZ16" s="1594"/>
      <c r="BA16" s="1594"/>
      <c r="BB16" s="1594"/>
      <c r="BC16" s="1594"/>
      <c r="BD16" s="1594"/>
      <c r="BE16" s="1594"/>
      <c r="BF16" s="1594"/>
      <c r="BG16" s="1594"/>
      <c r="BH16" s="1594"/>
      <c r="BI16" s="1594"/>
      <c r="BJ16" s="1594"/>
    </row>
    <row r="17" spans="1:62" ht="12.75">
      <c r="A17" s="1594"/>
      <c r="B17" s="1615"/>
      <c r="C17" s="163"/>
      <c r="D17" s="1616"/>
      <c r="E17" s="1616"/>
      <c r="F17" s="1620"/>
      <c r="G17" s="1616"/>
      <c r="H17" s="1620"/>
      <c r="I17" s="1616"/>
      <c r="J17" s="1616"/>
      <c r="K17" s="1631"/>
      <c r="L17" s="1629"/>
      <c r="M17" s="1624"/>
      <c r="N17" s="1594"/>
      <c r="O17" s="1594" t="s">
        <v>1167</v>
      </c>
      <c r="P17" s="1594" t="s">
        <v>1168</v>
      </c>
      <c r="Q17" s="1594"/>
      <c r="R17" s="1594"/>
      <c r="S17" s="1594"/>
      <c r="T17" s="1594"/>
      <c r="U17" s="1594"/>
      <c r="V17" s="1594"/>
      <c r="W17" s="1594"/>
      <c r="X17" s="1594"/>
      <c r="Y17" s="1594"/>
      <c r="Z17" s="1594"/>
      <c r="AA17" s="1594"/>
      <c r="AB17" s="1594"/>
      <c r="AC17" s="1594"/>
      <c r="AD17" s="1594"/>
      <c r="AE17" s="1594"/>
      <c r="AF17" s="1594"/>
      <c r="AG17" s="1594"/>
      <c r="AH17" s="1594"/>
      <c r="AI17" s="1594"/>
      <c r="AJ17" s="1594"/>
      <c r="AK17" s="1594"/>
      <c r="AL17" s="1594"/>
      <c r="AM17" s="1594"/>
      <c r="AN17" s="1594"/>
      <c r="AO17" s="1594"/>
      <c r="AP17" s="1594"/>
      <c r="AQ17" s="1594"/>
      <c r="AR17" s="1594"/>
      <c r="AS17" s="1594"/>
      <c r="AT17" s="1594"/>
      <c r="AU17" s="1594"/>
      <c r="AV17" s="1594"/>
      <c r="AW17" s="1594"/>
      <c r="AX17" s="1594"/>
      <c r="AY17" s="1594"/>
      <c r="AZ17" s="1594"/>
      <c r="BA17" s="1594"/>
      <c r="BB17" s="1594"/>
      <c r="BC17" s="1594"/>
      <c r="BD17" s="1594"/>
      <c r="BE17" s="1594"/>
      <c r="BF17" s="1594"/>
      <c r="BG17" s="1594"/>
      <c r="BH17" s="1594"/>
      <c r="BI17" s="1594"/>
      <c r="BJ17" s="1594"/>
    </row>
    <row r="18" spans="1:62" ht="12.75">
      <c r="A18" s="1594"/>
      <c r="B18" s="1615"/>
      <c r="C18" s="1616" t="s">
        <v>14</v>
      </c>
      <c r="D18" s="1632" t="s">
        <v>1128</v>
      </c>
      <c r="E18" s="1616" t="s">
        <v>15</v>
      </c>
      <c r="F18" s="1623">
        <v>973350</v>
      </c>
      <c r="G18" s="1616" t="s">
        <v>67</v>
      </c>
      <c r="H18" s="1633">
        <v>0.13700000000000001</v>
      </c>
      <c r="I18" s="1616" t="s">
        <v>1148</v>
      </c>
      <c r="J18" s="1634">
        <f>F18*H18</f>
        <v>133348.95000000001</v>
      </c>
      <c r="K18" s="1635">
        <f>(+J18/(J18+J19))*K20</f>
        <v>14035.041117413279</v>
      </c>
      <c r="L18" s="1693">
        <v>0.44</v>
      </c>
      <c r="M18" s="1679">
        <v>8.7999999999999995E-2</v>
      </c>
      <c r="N18" s="1594"/>
      <c r="O18" s="1594"/>
      <c r="P18" s="1594"/>
      <c r="Q18" s="1594"/>
      <c r="R18" s="1594"/>
      <c r="S18" s="1594"/>
      <c r="T18" s="1594"/>
      <c r="U18" s="1594"/>
      <c r="V18" s="1594"/>
      <c r="W18" s="1594"/>
      <c r="X18" s="1594"/>
      <c r="Y18" s="1594"/>
      <c r="Z18" s="1594"/>
      <c r="AA18" s="1594"/>
      <c r="AB18" s="1594"/>
      <c r="AC18" s="1594"/>
      <c r="AD18" s="1594"/>
      <c r="AE18" s="1594"/>
      <c r="AF18" s="1594"/>
      <c r="AG18" s="1594"/>
      <c r="AH18" s="1594"/>
      <c r="AI18" s="1594"/>
      <c r="AJ18" s="1594"/>
      <c r="AK18" s="1594"/>
      <c r="AL18" s="1594"/>
      <c r="AM18" s="1594"/>
      <c r="AN18" s="1594"/>
      <c r="AO18" s="1594"/>
      <c r="AP18" s="1594"/>
      <c r="AQ18" s="1594"/>
      <c r="AR18" s="1594"/>
      <c r="AS18" s="1594"/>
      <c r="AT18" s="1594"/>
      <c r="AU18" s="1594"/>
      <c r="AV18" s="1594"/>
      <c r="AW18" s="1594"/>
      <c r="AX18" s="1594"/>
      <c r="AY18" s="1594"/>
      <c r="AZ18" s="1594"/>
      <c r="BA18" s="1594"/>
      <c r="BB18" s="1594"/>
      <c r="BC18" s="1594"/>
      <c r="BD18" s="1594"/>
      <c r="BE18" s="1594"/>
      <c r="BF18" s="1594"/>
      <c r="BG18" s="1594"/>
      <c r="BH18" s="1594"/>
      <c r="BI18" s="1594"/>
      <c r="BJ18" s="1594"/>
    </row>
    <row r="19" spans="1:62" ht="15.75">
      <c r="A19" s="1594"/>
      <c r="B19" s="1615"/>
      <c r="C19" s="1616"/>
      <c r="D19" s="1632" t="s">
        <v>1128</v>
      </c>
      <c r="E19" s="1616" t="s">
        <v>1129</v>
      </c>
      <c r="F19" s="1623">
        <v>1067574</v>
      </c>
      <c r="G19" s="1616" t="s">
        <v>279</v>
      </c>
      <c r="H19" s="1629">
        <v>25.91</v>
      </c>
      <c r="I19" s="1616" t="s">
        <v>1149</v>
      </c>
      <c r="J19" s="1636">
        <f>(F19*H19)</f>
        <v>27660842.34</v>
      </c>
      <c r="K19" s="1635">
        <f>(+J19/(J18+J19))*K20</f>
        <v>2911316.958882587</v>
      </c>
      <c r="L19" s="1693">
        <v>30.4</v>
      </c>
      <c r="M19" s="1679">
        <v>48.68</v>
      </c>
      <c r="N19" s="1594"/>
      <c r="O19" s="673"/>
      <c r="P19" s="1594" t="s">
        <v>1189</v>
      </c>
      <c r="Q19" s="1594" t="s">
        <v>1190</v>
      </c>
      <c r="R19" s="1594"/>
      <c r="S19" s="1594"/>
      <c r="T19" s="1594"/>
      <c r="U19" s="1594"/>
      <c r="V19" s="1594"/>
      <c r="W19" s="1594"/>
      <c r="X19" s="1594"/>
      <c r="Y19" s="1594"/>
      <c r="Z19" s="1594"/>
      <c r="AA19" s="1594"/>
      <c r="AB19" s="1594"/>
      <c r="AC19" s="1594"/>
      <c r="AD19" s="1594"/>
      <c r="AE19" s="1594"/>
      <c r="AF19" s="1594"/>
      <c r="AG19" s="1594"/>
      <c r="AH19" s="1594"/>
      <c r="AI19" s="1594"/>
      <c r="AJ19" s="1594"/>
      <c r="AK19" s="1594"/>
      <c r="AL19" s="1594"/>
      <c r="AM19" s="1594"/>
      <c r="AN19" s="1594"/>
      <c r="AO19" s="1594"/>
      <c r="AP19" s="1594"/>
      <c r="AQ19" s="1594"/>
      <c r="AR19" s="1594"/>
      <c r="AS19" s="1594"/>
      <c r="AT19" s="1594"/>
      <c r="AU19" s="1594"/>
      <c r="AV19" s="1594"/>
      <c r="AW19" s="1594"/>
      <c r="AX19" s="1594"/>
      <c r="AY19" s="1594"/>
      <c r="AZ19" s="1594"/>
      <c r="BA19" s="1594"/>
      <c r="BB19" s="1594"/>
      <c r="BC19" s="1594"/>
      <c r="BD19" s="1594"/>
      <c r="BE19" s="1594"/>
      <c r="BF19" s="1594"/>
      <c r="BG19" s="1594"/>
      <c r="BH19" s="1594"/>
      <c r="BI19" s="1594"/>
      <c r="BJ19" s="1594"/>
    </row>
    <row r="20" spans="1:62" ht="12.75">
      <c r="A20" s="1594"/>
      <c r="B20" s="1615"/>
      <c r="C20" s="1616"/>
      <c r="D20" s="1632"/>
      <c r="E20" s="1616"/>
      <c r="F20" s="1620"/>
      <c r="G20" s="1616"/>
      <c r="H20" s="1620"/>
      <c r="I20" s="1616"/>
      <c r="J20" s="1625">
        <f>J18+J19</f>
        <v>27794191.289999999</v>
      </c>
      <c r="K20" s="1637">
        <v>2925352</v>
      </c>
      <c r="L20" s="1638">
        <f>L18+L19</f>
        <v>30.84</v>
      </c>
      <c r="M20" s="1692">
        <f>M18+M19</f>
        <v>48.768000000000001</v>
      </c>
      <c r="N20" s="1594"/>
      <c r="O20" s="1594" t="s">
        <v>1102</v>
      </c>
      <c r="P20" s="1597">
        <v>2.2000000000000001E-3</v>
      </c>
      <c r="Q20" s="1597">
        <v>3.5200000000000001E-3</v>
      </c>
      <c r="R20" s="1594"/>
      <c r="S20" s="1594"/>
      <c r="T20" s="1594"/>
      <c r="U20" s="1594"/>
      <c r="V20" s="1594"/>
      <c r="W20" s="1594"/>
      <c r="X20" s="1594"/>
      <c r="Y20" s="1594"/>
      <c r="Z20" s="1594"/>
      <c r="AA20" s="1594"/>
      <c r="AB20" s="1594"/>
      <c r="AC20" s="1594"/>
      <c r="AD20" s="1594"/>
      <c r="AE20" s="1594"/>
      <c r="AF20" s="1594"/>
      <c r="AG20" s="1594"/>
      <c r="AH20" s="1594"/>
      <c r="AI20" s="1594"/>
      <c r="AJ20" s="1594"/>
      <c r="AK20" s="1594"/>
      <c r="AL20" s="1594"/>
      <c r="AM20" s="1594"/>
      <c r="AN20" s="1594"/>
      <c r="AO20" s="1594"/>
      <c r="AP20" s="1594"/>
      <c r="AQ20" s="1594"/>
      <c r="AR20" s="1594"/>
      <c r="AS20" s="1594"/>
      <c r="AT20" s="1594"/>
      <c r="AU20" s="1594"/>
      <c r="AV20" s="1594"/>
      <c r="AW20" s="1594"/>
      <c r="AX20" s="1594"/>
      <c r="AY20" s="1594"/>
      <c r="AZ20" s="1594"/>
      <c r="BA20" s="1594"/>
      <c r="BB20" s="1594"/>
      <c r="BC20" s="1594"/>
      <c r="BD20" s="1594"/>
      <c r="BE20" s="1594"/>
      <c r="BF20" s="1594"/>
      <c r="BG20" s="1594"/>
      <c r="BH20" s="1594"/>
      <c r="BI20" s="1594"/>
      <c r="BJ20" s="1594"/>
    </row>
    <row r="21" spans="1:62" ht="12.75">
      <c r="A21" s="1594"/>
      <c r="B21" s="1615"/>
      <c r="C21" s="1616"/>
      <c r="D21" s="1632"/>
      <c r="E21" s="1616"/>
      <c r="F21" s="1620"/>
      <c r="G21" s="1616"/>
      <c r="H21" s="1620"/>
      <c r="I21" s="1616"/>
      <c r="J21" s="1625"/>
      <c r="K21" s="1637"/>
      <c r="L21" s="1627"/>
      <c r="M21" s="1679"/>
      <c r="N21" s="1594"/>
      <c r="O21" s="1594" t="s">
        <v>47</v>
      </c>
      <c r="P21" s="1597">
        <v>6.6E-3</v>
      </c>
      <c r="Q21" s="1597">
        <v>1.32E-3</v>
      </c>
      <c r="R21" s="1594"/>
      <c r="S21" s="1594"/>
      <c r="T21" s="1594"/>
      <c r="U21" s="1594"/>
      <c r="V21" s="1594"/>
      <c r="W21" s="1594"/>
      <c r="X21" s="1594"/>
      <c r="Y21" s="1594"/>
      <c r="Z21" s="1594"/>
      <c r="AA21" s="1594"/>
      <c r="AB21" s="1594"/>
      <c r="AC21" s="1594"/>
      <c r="AD21" s="1594"/>
      <c r="AE21" s="1594"/>
      <c r="AF21" s="1594"/>
      <c r="AG21" s="1594"/>
      <c r="AH21" s="1594"/>
      <c r="AI21" s="1594"/>
      <c r="AJ21" s="1594"/>
      <c r="AK21" s="1594"/>
      <c r="AL21" s="1594"/>
      <c r="AM21" s="1594"/>
      <c r="AN21" s="1594"/>
      <c r="AO21" s="1594"/>
      <c r="AP21" s="1594"/>
      <c r="AQ21" s="1594"/>
      <c r="AR21" s="1594"/>
      <c r="AS21" s="1594"/>
      <c r="AT21" s="1594"/>
      <c r="AU21" s="1594"/>
      <c r="AV21" s="1594"/>
      <c r="AW21" s="1594"/>
      <c r="AX21" s="1594"/>
      <c r="AY21" s="1594"/>
      <c r="AZ21" s="1594"/>
      <c r="BA21" s="1594"/>
      <c r="BB21" s="1594"/>
      <c r="BC21" s="1594"/>
      <c r="BD21" s="1594"/>
      <c r="BE21" s="1594"/>
      <c r="BF21" s="1594"/>
      <c r="BG21" s="1594"/>
      <c r="BH21" s="1594"/>
      <c r="BI21" s="1594"/>
      <c r="BJ21" s="1594"/>
    </row>
    <row r="22" spans="1:62" ht="12.75">
      <c r="A22" s="1594"/>
      <c r="B22" s="1615"/>
      <c r="C22" s="1616" t="s">
        <v>17</v>
      </c>
      <c r="D22" s="1632" t="s">
        <v>1130</v>
      </c>
      <c r="E22" s="1616" t="s">
        <v>15</v>
      </c>
      <c r="F22" s="1623">
        <v>1295070</v>
      </c>
      <c r="G22" s="1616" t="s">
        <v>67</v>
      </c>
      <c r="H22" s="1631">
        <v>0.13700000000000001</v>
      </c>
      <c r="I22" s="1616" t="s">
        <v>1148</v>
      </c>
      <c r="J22" s="1634">
        <f>F22*H22</f>
        <v>177424.59000000003</v>
      </c>
      <c r="K22" s="1626">
        <f>(J22/(J$23+J$22))*K$24</f>
        <v>19199.366700235161</v>
      </c>
      <c r="L22" s="1639">
        <v>0.58599999999999997</v>
      </c>
      <c r="M22" s="1679">
        <v>0.11700000000000001</v>
      </c>
      <c r="N22" s="1594"/>
      <c r="O22" s="1594" t="s">
        <v>66</v>
      </c>
      <c r="P22" s="1597">
        <v>6.6E-3</v>
      </c>
      <c r="Q22" s="1597">
        <v>1.32E-3</v>
      </c>
      <c r="R22" s="1594"/>
      <c r="S22" s="1594"/>
      <c r="T22" s="1594"/>
      <c r="U22" s="1594"/>
      <c r="V22" s="1594"/>
      <c r="W22" s="1594"/>
      <c r="X22" s="1594"/>
      <c r="Y22" s="1594"/>
      <c r="Z22" s="1594"/>
      <c r="AA22" s="1594"/>
      <c r="AB22" s="1594"/>
      <c r="AC22" s="1594"/>
      <c r="AD22" s="1594"/>
      <c r="AE22" s="1594"/>
      <c r="AF22" s="1594"/>
      <c r="AG22" s="1594"/>
      <c r="AH22" s="1594"/>
      <c r="AI22" s="1594"/>
      <c r="AJ22" s="1594"/>
      <c r="AK22" s="1594"/>
      <c r="AL22" s="1594"/>
      <c r="AM22" s="1594"/>
      <c r="AN22" s="1594"/>
      <c r="AO22" s="1594"/>
      <c r="AP22" s="1594"/>
      <c r="AQ22" s="1594"/>
      <c r="AR22" s="1594"/>
      <c r="AS22" s="1594"/>
      <c r="AT22" s="1594"/>
      <c r="AU22" s="1594"/>
      <c r="AV22" s="1594"/>
      <c r="AW22" s="1594"/>
      <c r="AX22" s="1594"/>
      <c r="AY22" s="1594"/>
      <c r="AZ22" s="1594"/>
      <c r="BA22" s="1594"/>
      <c r="BB22" s="1594"/>
      <c r="BC22" s="1594"/>
      <c r="BD22" s="1594"/>
      <c r="BE22" s="1594"/>
      <c r="BF22" s="1594"/>
      <c r="BG22" s="1594"/>
      <c r="BH22" s="1594"/>
      <c r="BI22" s="1594"/>
      <c r="BJ22" s="1594"/>
    </row>
    <row r="23" spans="1:62" ht="12.75">
      <c r="A23" s="1594"/>
      <c r="B23" s="1615"/>
      <c r="C23" s="1616"/>
      <c r="D23" s="1632" t="s">
        <v>1130</v>
      </c>
      <c r="E23" s="1616" t="s">
        <v>1129</v>
      </c>
      <c r="F23" s="1623">
        <v>946129</v>
      </c>
      <c r="G23" s="1616" t="s">
        <v>279</v>
      </c>
      <c r="H23" s="1629">
        <v>25.91</v>
      </c>
      <c r="I23" s="1616" t="s">
        <v>1149</v>
      </c>
      <c r="J23" s="1636">
        <f>F23*H23</f>
        <v>24514202.390000001</v>
      </c>
      <c r="K23" s="1626">
        <f>(J23/(J$23+J$22))*K$24</f>
        <v>2652716.6332997652</v>
      </c>
      <c r="L23" s="1639">
        <v>27</v>
      </c>
      <c r="M23" s="1679">
        <v>43.14</v>
      </c>
      <c r="N23" s="1594"/>
      <c r="O23" s="1594"/>
      <c r="P23" s="1594"/>
      <c r="Q23" s="1594"/>
      <c r="R23" s="1594"/>
      <c r="S23" s="1594"/>
      <c r="T23" s="1594"/>
      <c r="U23" s="1594"/>
      <c r="V23" s="1594"/>
      <c r="W23" s="1594"/>
      <c r="X23" s="1594"/>
      <c r="Y23" s="1594"/>
      <c r="Z23" s="1594"/>
      <c r="AA23" s="1594"/>
      <c r="AB23" s="1594"/>
      <c r="AC23" s="1594"/>
      <c r="AD23" s="1594"/>
      <c r="AE23" s="1594"/>
      <c r="AF23" s="1594"/>
      <c r="AG23" s="1594"/>
      <c r="AH23" s="1594"/>
      <c r="AI23" s="1594"/>
      <c r="AJ23" s="1594"/>
      <c r="AK23" s="1594"/>
      <c r="AL23" s="1594"/>
      <c r="AM23" s="1594"/>
      <c r="AN23" s="1594"/>
      <c r="AO23" s="1594"/>
      <c r="AP23" s="1594"/>
      <c r="AQ23" s="1594"/>
      <c r="AR23" s="1594"/>
      <c r="AS23" s="1594"/>
      <c r="AT23" s="1594"/>
      <c r="AU23" s="1594"/>
      <c r="AV23" s="1594"/>
      <c r="AW23" s="1594"/>
      <c r="AX23" s="1594"/>
      <c r="AY23" s="1594"/>
      <c r="AZ23" s="1594"/>
      <c r="BA23" s="1594"/>
      <c r="BB23" s="1594"/>
      <c r="BC23" s="1594"/>
      <c r="BD23" s="1594"/>
      <c r="BE23" s="1594"/>
      <c r="BF23" s="1594"/>
      <c r="BG23" s="1594"/>
      <c r="BH23" s="1594"/>
      <c r="BI23" s="1594"/>
      <c r="BJ23" s="1594"/>
    </row>
    <row r="24" spans="1:62" ht="12.75">
      <c r="A24" s="1594"/>
      <c r="B24" s="1615"/>
      <c r="C24" s="1616"/>
      <c r="D24" s="1632"/>
      <c r="E24" s="1616"/>
      <c r="F24" s="1620"/>
      <c r="G24" s="1616"/>
      <c r="H24" s="1620"/>
      <c r="I24" s="1616"/>
      <c r="J24" s="1625">
        <f>J22+J23</f>
        <v>24691626.98</v>
      </c>
      <c r="K24" s="1637">
        <v>2671916</v>
      </c>
      <c r="L24" s="1691">
        <f>L22+L23</f>
        <v>27.585999999999999</v>
      </c>
      <c r="M24" s="1694">
        <f>M22+M23</f>
        <v>43.256999999999998</v>
      </c>
      <c r="N24" s="1594"/>
      <c r="O24" s="1594"/>
      <c r="P24" s="1594"/>
      <c r="Q24" s="1594"/>
      <c r="R24" s="1594"/>
      <c r="S24" s="1594"/>
      <c r="T24" s="1594"/>
      <c r="U24" s="1594"/>
      <c r="V24" s="1594"/>
      <c r="W24" s="1594"/>
      <c r="X24" s="1594"/>
      <c r="Y24" s="1594"/>
      <c r="Z24" s="1594"/>
      <c r="AA24" s="1594"/>
      <c r="AB24" s="1594"/>
      <c r="AC24" s="1594"/>
      <c r="AD24" s="1594"/>
      <c r="AE24" s="1594"/>
      <c r="AF24" s="1594"/>
      <c r="AG24" s="1594"/>
      <c r="AH24" s="1594"/>
      <c r="AI24" s="1594"/>
      <c r="AJ24" s="1594"/>
      <c r="AK24" s="1594"/>
      <c r="AL24" s="1594"/>
      <c r="AM24" s="1594"/>
      <c r="AN24" s="1594"/>
      <c r="AO24" s="1594"/>
      <c r="AP24" s="1594"/>
      <c r="AQ24" s="1594"/>
      <c r="AR24" s="1594"/>
      <c r="AS24" s="1594"/>
      <c r="AT24" s="1594"/>
      <c r="AU24" s="1594"/>
      <c r="AV24" s="1594"/>
      <c r="AW24" s="1594"/>
      <c r="AX24" s="1594"/>
      <c r="AY24" s="1594"/>
      <c r="AZ24" s="1594"/>
      <c r="BA24" s="1594"/>
      <c r="BB24" s="1594"/>
      <c r="BC24" s="1594"/>
      <c r="BD24" s="1594"/>
      <c r="BE24" s="1594"/>
      <c r="BF24" s="1594"/>
      <c r="BG24" s="1594"/>
      <c r="BH24" s="1594"/>
      <c r="BI24" s="1594"/>
      <c r="BJ24" s="1594"/>
    </row>
    <row r="25" spans="1:62" ht="13.5" thickBot="1">
      <c r="A25" s="1594"/>
      <c r="B25" s="1615"/>
      <c r="C25" s="1616"/>
      <c r="D25" s="1632"/>
      <c r="E25" s="1616"/>
      <c r="F25" s="1620"/>
      <c r="G25" s="1616"/>
      <c r="H25" s="1620"/>
      <c r="I25" s="1616"/>
      <c r="J25" s="1616"/>
      <c r="K25" s="1620"/>
      <c r="L25" s="1629"/>
      <c r="M25" s="1624"/>
      <c r="N25" s="1594"/>
      <c r="O25" s="1594"/>
      <c r="P25" s="1594"/>
      <c r="Q25" s="1594"/>
      <c r="R25" s="1594"/>
      <c r="S25" s="1594"/>
      <c r="T25" s="1594"/>
      <c r="U25" s="1594"/>
      <c r="V25" s="1594"/>
      <c r="W25" s="1594"/>
      <c r="X25" s="1594"/>
      <c r="Y25" s="1594"/>
      <c r="Z25" s="1594"/>
      <c r="AA25" s="1594"/>
      <c r="AB25" s="1594"/>
      <c r="AC25" s="1594"/>
      <c r="AD25" s="1594"/>
      <c r="AE25" s="1594"/>
      <c r="AF25" s="1594"/>
      <c r="AG25" s="1594"/>
      <c r="AH25" s="1594"/>
      <c r="AI25" s="1594"/>
      <c r="AJ25" s="1594"/>
      <c r="AK25" s="1594"/>
      <c r="AL25" s="1594"/>
      <c r="AM25" s="1594"/>
      <c r="AN25" s="1594"/>
      <c r="AO25" s="1594"/>
      <c r="AP25" s="1594"/>
      <c r="AQ25" s="1594"/>
      <c r="AR25" s="1594"/>
      <c r="AS25" s="1594"/>
      <c r="AT25" s="1594"/>
      <c r="AU25" s="1594"/>
      <c r="AV25" s="1594"/>
      <c r="AW25" s="1594"/>
      <c r="AX25" s="1594"/>
      <c r="AY25" s="1594"/>
      <c r="AZ25" s="1594"/>
      <c r="BA25" s="1594"/>
      <c r="BB25" s="1594"/>
      <c r="BC25" s="1594"/>
      <c r="BD25" s="1594"/>
      <c r="BE25" s="1594"/>
      <c r="BF25" s="1594"/>
      <c r="BG25" s="1594"/>
      <c r="BH25" s="1594"/>
      <c r="BI25" s="1594"/>
      <c r="BJ25" s="1594"/>
    </row>
    <row r="26" spans="1:62" ht="12.75">
      <c r="A26" s="1594"/>
      <c r="B26" s="1660"/>
      <c r="C26" s="1613"/>
      <c r="D26" s="1669"/>
      <c r="E26" s="1613"/>
      <c r="F26" s="1591"/>
      <c r="G26" s="1613"/>
      <c r="H26" s="1591"/>
      <c r="I26" s="1613"/>
      <c r="J26" s="1613"/>
      <c r="K26" s="1591"/>
      <c r="L26" s="1592"/>
      <c r="M26" s="1662"/>
      <c r="N26" s="1594"/>
      <c r="O26" s="1594"/>
      <c r="P26" s="1594"/>
      <c r="Q26" s="1594"/>
      <c r="R26" s="1594"/>
      <c r="S26" s="1594"/>
      <c r="T26" s="1594"/>
      <c r="U26" s="1594"/>
      <c r="V26" s="1594"/>
      <c r="W26" s="1594"/>
      <c r="X26" s="1594"/>
      <c r="Y26" s="1594"/>
      <c r="Z26" s="1594"/>
      <c r="AA26" s="1594"/>
      <c r="AB26" s="1594"/>
      <c r="AC26" s="1594"/>
      <c r="AD26" s="1594"/>
      <c r="AE26" s="1594"/>
      <c r="AF26" s="1594"/>
      <c r="AG26" s="1594"/>
      <c r="AH26" s="1594"/>
      <c r="AI26" s="1594"/>
      <c r="AJ26" s="1594"/>
      <c r="AK26" s="1594"/>
      <c r="AL26" s="1594"/>
      <c r="AM26" s="1594"/>
      <c r="AN26" s="1594"/>
      <c r="AO26" s="1594"/>
      <c r="AP26" s="1594"/>
      <c r="AQ26" s="1594"/>
      <c r="AR26" s="1594"/>
      <c r="AS26" s="1594"/>
      <c r="AT26" s="1594"/>
      <c r="AU26" s="1594"/>
      <c r="AV26" s="1594"/>
      <c r="AW26" s="1594"/>
      <c r="AX26" s="1594"/>
      <c r="AY26" s="1594"/>
      <c r="AZ26" s="1594"/>
      <c r="BA26" s="1594"/>
      <c r="BB26" s="1594"/>
      <c r="BC26" s="1594"/>
      <c r="BD26" s="1594"/>
      <c r="BE26" s="1594"/>
      <c r="BF26" s="1594"/>
      <c r="BG26" s="1594"/>
      <c r="BH26" s="1594"/>
      <c r="BI26" s="1594"/>
      <c r="BJ26" s="1594"/>
    </row>
    <row r="27" spans="1:62" ht="12.75">
      <c r="A27" s="1594"/>
      <c r="B27" s="1615" t="s">
        <v>1131</v>
      </c>
      <c r="C27" s="163" t="s">
        <v>1132</v>
      </c>
      <c r="D27" s="1632"/>
      <c r="E27" s="1616"/>
      <c r="F27" s="1620"/>
      <c r="G27" s="1616"/>
      <c r="H27" s="1620"/>
      <c r="I27" s="1616"/>
      <c r="J27" s="1616"/>
      <c r="K27" s="1620"/>
      <c r="L27" s="1629"/>
      <c r="M27" s="1624"/>
      <c r="N27" s="1594"/>
      <c r="O27" s="1594"/>
      <c r="P27" s="1594"/>
      <c r="Q27" s="1594"/>
      <c r="R27" s="1594"/>
      <c r="S27" s="1594"/>
      <c r="T27" s="1594"/>
      <c r="U27" s="1594"/>
      <c r="V27" s="1594"/>
      <c r="W27" s="1594"/>
      <c r="X27" s="1594"/>
      <c r="Y27" s="1594"/>
      <c r="Z27" s="1594"/>
      <c r="AA27" s="1594"/>
      <c r="AB27" s="1594"/>
      <c r="AC27" s="1594"/>
      <c r="AD27" s="1594"/>
      <c r="AE27" s="1594"/>
      <c r="AF27" s="1594"/>
      <c r="AG27" s="1594"/>
      <c r="AH27" s="1594"/>
      <c r="AI27" s="1594"/>
      <c r="AJ27" s="1594"/>
      <c r="AK27" s="1594"/>
      <c r="AL27" s="1594"/>
      <c r="AM27" s="1594"/>
      <c r="AN27" s="1594"/>
      <c r="AO27" s="1594"/>
      <c r="AP27" s="1594"/>
      <c r="AQ27" s="1594"/>
      <c r="AR27" s="1594"/>
      <c r="AS27" s="1594"/>
      <c r="AT27" s="1594"/>
      <c r="AU27" s="1594"/>
      <c r="AV27" s="1594"/>
      <c r="AW27" s="1594"/>
      <c r="AX27" s="1594"/>
      <c r="AY27" s="1594"/>
      <c r="AZ27" s="1594"/>
      <c r="BA27" s="1594"/>
      <c r="BB27" s="1594"/>
      <c r="BC27" s="1594"/>
      <c r="BD27" s="1594"/>
      <c r="BE27" s="1594"/>
      <c r="BF27" s="1594"/>
      <c r="BG27" s="1594"/>
      <c r="BH27" s="1594"/>
      <c r="BI27" s="1594"/>
      <c r="BJ27" s="1594"/>
    </row>
    <row r="28" spans="1:62" ht="12.75">
      <c r="A28" s="1594"/>
      <c r="B28" s="1615"/>
      <c r="C28" s="1616" t="s">
        <v>1133</v>
      </c>
      <c r="D28" s="1632" t="s">
        <v>1134</v>
      </c>
      <c r="E28" s="1616" t="s">
        <v>75</v>
      </c>
      <c r="F28" s="1623">
        <v>25595000</v>
      </c>
      <c r="G28" s="1616" t="s">
        <v>144</v>
      </c>
      <c r="H28" s="1620">
        <v>1082</v>
      </c>
      <c r="I28" s="1616" t="s">
        <v>76</v>
      </c>
      <c r="J28" s="1720">
        <f>(F28*H28)/1000000</f>
        <v>27693.79</v>
      </c>
      <c r="K28" s="1620">
        <f>(+J28/(J28+J29+J30))*K31</f>
        <v>2890.3648630452653</v>
      </c>
      <c r="L28" s="1629">
        <v>0.03</v>
      </c>
      <c r="M28" s="1624">
        <v>3.0000000000000001E-3</v>
      </c>
      <c r="N28" s="1594"/>
      <c r="O28" s="1594"/>
      <c r="P28" s="1594"/>
      <c r="Q28" s="1594"/>
      <c r="R28" s="1594"/>
      <c r="S28" s="1594"/>
      <c r="T28" s="1594"/>
      <c r="U28" s="1594"/>
      <c r="V28" s="1594"/>
      <c r="W28" s="1594"/>
      <c r="X28" s="1594"/>
      <c r="Y28" s="1594"/>
      <c r="Z28" s="1594"/>
      <c r="AA28" s="1594"/>
      <c r="AB28" s="1594"/>
      <c r="AC28" s="1594"/>
      <c r="AD28" s="1594"/>
      <c r="AE28" s="1594"/>
      <c r="AF28" s="1594"/>
      <c r="AG28" s="1594"/>
      <c r="AH28" s="1594"/>
      <c r="AI28" s="1594"/>
      <c r="AJ28" s="1594"/>
      <c r="AK28" s="1594"/>
      <c r="AL28" s="1594"/>
      <c r="AM28" s="1594"/>
      <c r="AN28" s="1594"/>
      <c r="AO28" s="1594"/>
      <c r="AP28" s="1594"/>
      <c r="AQ28" s="1594"/>
      <c r="AR28" s="1594"/>
      <c r="AS28" s="1594"/>
      <c r="AT28" s="1594"/>
      <c r="AU28" s="1594"/>
      <c r="AV28" s="1594"/>
      <c r="AW28" s="1594"/>
      <c r="AX28" s="1594"/>
      <c r="AY28" s="1594"/>
      <c r="AZ28" s="1594"/>
      <c r="BA28" s="1594"/>
      <c r="BB28" s="1594"/>
      <c r="BC28" s="1594"/>
      <c r="BD28" s="1594"/>
      <c r="BE28" s="1594"/>
      <c r="BF28" s="1594"/>
      <c r="BG28" s="1594"/>
      <c r="BH28" s="1594"/>
      <c r="BI28" s="1594"/>
      <c r="BJ28" s="1594"/>
    </row>
    <row r="29" spans="1:62" ht="12.75">
      <c r="A29" s="1594"/>
      <c r="B29" s="1615"/>
      <c r="C29" s="1616"/>
      <c r="D29" s="1632" t="s">
        <v>1134</v>
      </c>
      <c r="E29" s="1616" t="s">
        <v>1173</v>
      </c>
      <c r="F29" s="1623">
        <v>3300</v>
      </c>
      <c r="G29" s="1616" t="s">
        <v>279</v>
      </c>
      <c r="H29" s="1629">
        <v>26.12</v>
      </c>
      <c r="I29" s="1616" t="s">
        <v>1175</v>
      </c>
      <c r="J29" s="1720">
        <f>F29*H29</f>
        <v>86196</v>
      </c>
      <c r="K29" s="1620">
        <f>(+J29/(J28+J29+J30))*K31</f>
        <v>8996.1644735173377</v>
      </c>
      <c r="L29" s="1629">
        <v>9.5000000000000001E-2</v>
      </c>
      <c r="M29" s="1624">
        <v>0.152</v>
      </c>
      <c r="N29" s="1594"/>
      <c r="O29" s="1594"/>
      <c r="P29" s="1594"/>
      <c r="Q29" s="1594"/>
      <c r="R29" s="1594"/>
      <c r="S29" s="1594"/>
      <c r="T29" s="1594"/>
      <c r="U29" s="1594"/>
      <c r="V29" s="1594"/>
      <c r="W29" s="1594"/>
      <c r="X29" s="1594"/>
      <c r="Y29" s="1594"/>
      <c r="Z29" s="1594"/>
      <c r="AA29" s="1594"/>
      <c r="AB29" s="1594"/>
      <c r="AC29" s="1594"/>
      <c r="AD29" s="1594"/>
      <c r="AE29" s="1594"/>
      <c r="AF29" s="1594"/>
      <c r="AG29" s="1594"/>
      <c r="AH29" s="1594"/>
      <c r="AI29" s="1594"/>
      <c r="AJ29" s="1594"/>
      <c r="AK29" s="1594"/>
      <c r="AL29" s="1594"/>
      <c r="AM29" s="1594"/>
      <c r="AN29" s="1594"/>
      <c r="AO29" s="1594"/>
      <c r="AP29" s="1594"/>
      <c r="AQ29" s="1594"/>
      <c r="AR29" s="1594"/>
      <c r="AS29" s="1594"/>
      <c r="AT29" s="1594"/>
      <c r="AU29" s="1594"/>
      <c r="AV29" s="1594"/>
      <c r="AW29" s="1594"/>
      <c r="AX29" s="1594"/>
      <c r="AY29" s="1594"/>
      <c r="AZ29" s="1594"/>
      <c r="BA29" s="1594"/>
      <c r="BB29" s="1594"/>
      <c r="BC29" s="1594"/>
      <c r="BD29" s="1594"/>
      <c r="BE29" s="1594"/>
      <c r="BF29" s="1594"/>
      <c r="BG29" s="1594"/>
      <c r="BH29" s="1594"/>
      <c r="BI29" s="1594"/>
      <c r="BJ29" s="1594"/>
    </row>
    <row r="30" spans="1:62" ht="12.75">
      <c r="A30" s="1594"/>
      <c r="B30" s="1615"/>
      <c r="C30" s="1616"/>
      <c r="D30" s="1632" t="s">
        <v>1134</v>
      </c>
      <c r="E30" s="1616" t="s">
        <v>1174</v>
      </c>
      <c r="F30" s="1623">
        <v>115044</v>
      </c>
      <c r="G30" s="1616" t="s">
        <v>279</v>
      </c>
      <c r="H30" s="1629">
        <v>17.8</v>
      </c>
      <c r="I30" s="1616" t="s">
        <v>1175</v>
      </c>
      <c r="J30" s="1720">
        <f>F30*H30</f>
        <v>2047783.2000000002</v>
      </c>
      <c r="K30" s="1620">
        <f>(+J30/(J28+J29+J30))*K31</f>
        <v>213724.47066343739</v>
      </c>
      <c r="L30" s="1629">
        <v>2.2530000000000001</v>
      </c>
      <c r="M30" s="1624">
        <v>3.6040000000000001</v>
      </c>
      <c r="N30" s="1594"/>
      <c r="O30" s="1594"/>
      <c r="P30" s="1594"/>
      <c r="Q30" s="1594"/>
      <c r="R30" s="1594"/>
      <c r="S30" s="1594"/>
      <c r="T30" s="1594"/>
      <c r="U30" s="1594"/>
      <c r="V30" s="1594"/>
      <c r="W30" s="1594"/>
      <c r="X30" s="1594"/>
      <c r="Y30" s="1594"/>
      <c r="Z30" s="1594"/>
      <c r="AA30" s="1594"/>
      <c r="AB30" s="1594"/>
      <c r="AC30" s="1594"/>
      <c r="AD30" s="1594"/>
      <c r="AE30" s="1594"/>
      <c r="AF30" s="1594"/>
      <c r="AG30" s="1594"/>
      <c r="AH30" s="1594"/>
      <c r="AI30" s="1594"/>
      <c r="AJ30" s="1594"/>
      <c r="AK30" s="1594"/>
      <c r="AL30" s="1594"/>
      <c r="AM30" s="1594"/>
      <c r="AN30" s="1594"/>
      <c r="AO30" s="1594"/>
      <c r="AP30" s="1594"/>
      <c r="AQ30" s="1594"/>
      <c r="AR30" s="1594"/>
      <c r="AS30" s="1594"/>
      <c r="AT30" s="1594"/>
      <c r="AU30" s="1594"/>
      <c r="AV30" s="1594"/>
      <c r="AW30" s="1594"/>
      <c r="AX30" s="1594"/>
      <c r="AY30" s="1594"/>
      <c r="AZ30" s="1594"/>
      <c r="BA30" s="1594"/>
      <c r="BB30" s="1594"/>
      <c r="BC30" s="1594"/>
      <c r="BD30" s="1594"/>
      <c r="BE30" s="1594"/>
      <c r="BF30" s="1594"/>
      <c r="BG30" s="1594"/>
      <c r="BH30" s="1594"/>
      <c r="BI30" s="1594"/>
      <c r="BJ30" s="1594"/>
    </row>
    <row r="31" spans="1:62" ht="12.75">
      <c r="A31" s="1594"/>
      <c r="B31" s="1615"/>
      <c r="C31" s="1616"/>
      <c r="D31" s="1632"/>
      <c r="E31" s="1616"/>
      <c r="F31" s="1620"/>
      <c r="G31" s="1616"/>
      <c r="H31" s="1620"/>
      <c r="I31" s="1616"/>
      <c r="J31" s="1625">
        <f>SUM(J28:J30)</f>
        <v>2161672.9900000002</v>
      </c>
      <c r="K31" s="1700">
        <v>225611</v>
      </c>
      <c r="L31" s="1702">
        <f>SUM(L28:L30)</f>
        <v>2.3780000000000001</v>
      </c>
      <c r="M31" s="1694">
        <f>SUM(M28:M30)</f>
        <v>3.7589999999999999</v>
      </c>
      <c r="N31" s="1594"/>
      <c r="O31" s="1594"/>
      <c r="P31" s="1594"/>
      <c r="Q31" s="1594"/>
      <c r="R31" s="1594"/>
      <c r="S31" s="1594"/>
      <c r="T31" s="1594"/>
      <c r="U31" s="1594"/>
      <c r="V31" s="1594"/>
      <c r="W31" s="1594"/>
      <c r="X31" s="1594"/>
      <c r="Y31" s="1594"/>
      <c r="Z31" s="1594"/>
      <c r="AA31" s="1594"/>
      <c r="AB31" s="1594"/>
      <c r="AC31" s="1594"/>
      <c r="AD31" s="1594"/>
      <c r="AE31" s="1594"/>
      <c r="AF31" s="1594"/>
      <c r="AG31" s="1594"/>
      <c r="AH31" s="1594"/>
      <c r="AI31" s="1594"/>
      <c r="AJ31" s="1594"/>
      <c r="AK31" s="1594"/>
      <c r="AL31" s="1594"/>
      <c r="AM31" s="1594"/>
      <c r="AN31" s="1594"/>
      <c r="AO31" s="1594"/>
      <c r="AP31" s="1594"/>
      <c r="AQ31" s="1594"/>
      <c r="AR31" s="1594"/>
      <c r="AS31" s="1594"/>
      <c r="AT31" s="1594"/>
      <c r="AU31" s="1594"/>
      <c r="AV31" s="1594"/>
      <c r="AW31" s="1594"/>
      <c r="AX31" s="1594"/>
      <c r="AY31" s="1594"/>
      <c r="AZ31" s="1594"/>
      <c r="BA31" s="1594"/>
      <c r="BB31" s="1594"/>
      <c r="BC31" s="1594"/>
      <c r="BD31" s="1594"/>
      <c r="BE31" s="1594"/>
      <c r="BF31" s="1594"/>
      <c r="BG31" s="1594"/>
      <c r="BH31" s="1594"/>
      <c r="BI31" s="1594"/>
      <c r="BJ31" s="1594"/>
    </row>
    <row r="32" spans="1:62" ht="12.75">
      <c r="A32" s="1594"/>
      <c r="B32" s="1615"/>
      <c r="C32" s="1616"/>
      <c r="D32" s="1632"/>
      <c r="E32" s="1616"/>
      <c r="F32" s="1620"/>
      <c r="G32" s="1616"/>
      <c r="H32" s="1620"/>
      <c r="I32" s="1616"/>
      <c r="J32" s="1625"/>
      <c r="K32" s="1616"/>
      <c r="L32" s="1616"/>
      <c r="M32" s="1624"/>
      <c r="N32" s="1594"/>
      <c r="O32" s="1594"/>
      <c r="P32" s="1594"/>
      <c r="Q32" s="1594"/>
      <c r="R32" s="1594"/>
      <c r="S32" s="1594"/>
      <c r="T32" s="1594"/>
      <c r="U32" s="1594"/>
      <c r="V32" s="1594"/>
      <c r="W32" s="1594"/>
      <c r="X32" s="1594"/>
      <c r="Y32" s="1594"/>
      <c r="Z32" s="1594"/>
      <c r="AA32" s="1594"/>
      <c r="AB32" s="1594"/>
      <c r="AC32" s="1594"/>
      <c r="AD32" s="1594"/>
      <c r="AE32" s="1594"/>
      <c r="AF32" s="1594"/>
      <c r="AG32" s="1594"/>
      <c r="AH32" s="1594"/>
      <c r="AI32" s="1594"/>
      <c r="AJ32" s="1594"/>
      <c r="AK32" s="1594"/>
      <c r="AL32" s="1594"/>
      <c r="AM32" s="1594"/>
      <c r="AN32" s="1594"/>
      <c r="AO32" s="1594"/>
      <c r="AP32" s="1594"/>
      <c r="AQ32" s="1594"/>
      <c r="AR32" s="1594"/>
      <c r="AS32" s="1594"/>
      <c r="AT32" s="1594"/>
      <c r="AU32" s="1594"/>
      <c r="AV32" s="1594"/>
      <c r="AW32" s="1594"/>
      <c r="AX32" s="1594"/>
      <c r="AY32" s="1594"/>
      <c r="AZ32" s="1594"/>
      <c r="BA32" s="1594"/>
      <c r="BB32" s="1594"/>
      <c r="BC32" s="1594"/>
      <c r="BD32" s="1594"/>
      <c r="BE32" s="1594"/>
      <c r="BF32" s="1594"/>
      <c r="BG32" s="1594"/>
      <c r="BH32" s="1594"/>
      <c r="BI32" s="1594"/>
      <c r="BJ32" s="1594"/>
    </row>
    <row r="33" spans="1:62" ht="12.75">
      <c r="A33" s="1594"/>
      <c r="B33" s="1615"/>
      <c r="C33" s="1616" t="s">
        <v>1135</v>
      </c>
      <c r="D33" s="1632" t="s">
        <v>1136</v>
      </c>
      <c r="E33" s="1616" t="s">
        <v>75</v>
      </c>
      <c r="F33" s="1623">
        <v>39774000</v>
      </c>
      <c r="G33" s="1616" t="s">
        <v>144</v>
      </c>
      <c r="H33" s="1620">
        <v>1079</v>
      </c>
      <c r="I33" s="1616" t="s">
        <v>76</v>
      </c>
      <c r="J33" s="1720">
        <f>(F33*H33)/1000000</f>
        <v>42916.146000000001</v>
      </c>
      <c r="K33" s="1620">
        <f>(+J33/(J33+J34+J35))*K36</f>
        <v>5156.1121205803584</v>
      </c>
      <c r="L33" s="1629">
        <v>4.7E-2</v>
      </c>
      <c r="M33" s="1624">
        <v>5.0000000000000001E-3</v>
      </c>
      <c r="N33" s="1594"/>
      <c r="O33" s="1594"/>
      <c r="P33" s="1594"/>
      <c r="Q33" s="1594"/>
      <c r="R33" s="1594"/>
      <c r="S33" s="1594"/>
      <c r="T33" s="1594"/>
      <c r="U33" s="1594"/>
      <c r="V33" s="1594"/>
      <c r="W33" s="1594"/>
      <c r="X33" s="1594"/>
      <c r="Y33" s="1594"/>
      <c r="Z33" s="1594"/>
      <c r="AA33" s="1594"/>
      <c r="AB33" s="1594"/>
      <c r="AC33" s="1594"/>
      <c r="AD33" s="1594"/>
      <c r="AE33" s="1594"/>
      <c r="AF33" s="1594"/>
      <c r="AG33" s="1594"/>
      <c r="AH33" s="1594"/>
      <c r="AI33" s="1594"/>
      <c r="AJ33" s="1594"/>
      <c r="AK33" s="1594"/>
      <c r="AL33" s="1594"/>
      <c r="AM33" s="1594"/>
      <c r="AN33" s="1594"/>
      <c r="AO33" s="1594"/>
      <c r="AP33" s="1594"/>
      <c r="AQ33" s="1594"/>
      <c r="AR33" s="1594"/>
      <c r="AS33" s="1594"/>
      <c r="AT33" s="1594"/>
      <c r="AU33" s="1594"/>
      <c r="AV33" s="1594"/>
      <c r="AW33" s="1594"/>
      <c r="AX33" s="1594"/>
      <c r="AY33" s="1594"/>
      <c r="AZ33" s="1594"/>
      <c r="BA33" s="1594"/>
      <c r="BB33" s="1594"/>
      <c r="BC33" s="1594"/>
      <c r="BD33" s="1594"/>
      <c r="BE33" s="1594"/>
      <c r="BF33" s="1594"/>
      <c r="BG33" s="1594"/>
      <c r="BH33" s="1594"/>
      <c r="BI33" s="1594"/>
      <c r="BJ33" s="1594"/>
    </row>
    <row r="34" spans="1:62" ht="12.75">
      <c r="A34" s="1594"/>
      <c r="B34" s="1615"/>
      <c r="C34" s="1616"/>
      <c r="D34" s="1632"/>
      <c r="E34" s="1616" t="s">
        <v>1173</v>
      </c>
      <c r="F34" s="1623">
        <v>11562</v>
      </c>
      <c r="G34" s="1616"/>
      <c r="H34" s="1629">
        <v>26.12</v>
      </c>
      <c r="I34" s="1616" t="s">
        <v>1175</v>
      </c>
      <c r="J34" s="1720">
        <f>F34*H34</f>
        <v>301999.44</v>
      </c>
      <c r="K34" s="1620">
        <f>(+J34/(J33+J34+J35))*K36</f>
        <v>36283.383251433639</v>
      </c>
      <c r="L34" s="1629">
        <v>0.33200000000000002</v>
      </c>
      <c r="M34" s="1624">
        <v>0.53200000000000003</v>
      </c>
      <c r="N34" s="1594"/>
      <c r="O34" s="1594"/>
      <c r="P34" s="1594"/>
      <c r="Q34" s="1594"/>
      <c r="R34" s="1594"/>
      <c r="S34" s="1594"/>
      <c r="T34" s="1594"/>
      <c r="U34" s="1594"/>
      <c r="V34" s="1594"/>
      <c r="W34" s="1594"/>
      <c r="X34" s="1594"/>
      <c r="Y34" s="1594"/>
      <c r="Z34" s="1594"/>
      <c r="AA34" s="1594"/>
      <c r="AB34" s="1594"/>
      <c r="AC34" s="1594"/>
      <c r="AD34" s="1594"/>
      <c r="AE34" s="1594"/>
      <c r="AF34" s="1594"/>
      <c r="AG34" s="1594"/>
      <c r="AH34" s="1594"/>
      <c r="AI34" s="1594"/>
      <c r="AJ34" s="1594"/>
      <c r="AK34" s="1594"/>
      <c r="AL34" s="1594"/>
      <c r="AM34" s="1594"/>
      <c r="AN34" s="1594"/>
      <c r="AO34" s="1594"/>
      <c r="AP34" s="1594"/>
      <c r="AQ34" s="1594"/>
      <c r="AR34" s="1594"/>
      <c r="AS34" s="1594"/>
      <c r="AT34" s="1594"/>
      <c r="AU34" s="1594"/>
      <c r="AV34" s="1594"/>
      <c r="AW34" s="1594"/>
      <c r="AX34" s="1594"/>
      <c r="AY34" s="1594"/>
      <c r="AZ34" s="1594"/>
      <c r="BA34" s="1594"/>
      <c r="BB34" s="1594"/>
      <c r="BC34" s="1594"/>
      <c r="BD34" s="1594"/>
      <c r="BE34" s="1594"/>
      <c r="BF34" s="1594"/>
      <c r="BG34" s="1594"/>
      <c r="BH34" s="1594"/>
      <c r="BI34" s="1594"/>
      <c r="BJ34" s="1594"/>
    </row>
    <row r="35" spans="1:62" ht="12.75">
      <c r="A35" s="1594"/>
      <c r="B35" s="1615"/>
      <c r="C35" s="1616"/>
      <c r="D35" s="1632" t="s">
        <v>1136</v>
      </c>
      <c r="E35" s="1616" t="s">
        <v>1174</v>
      </c>
      <c r="F35" s="1623">
        <v>180195</v>
      </c>
      <c r="G35" s="1616" t="s">
        <v>279</v>
      </c>
      <c r="H35" s="1629">
        <v>17.79</v>
      </c>
      <c r="I35" s="1616" t="s">
        <v>1175</v>
      </c>
      <c r="J35" s="1720">
        <f>F35*H35</f>
        <v>3205669.05</v>
      </c>
      <c r="K35" s="1620">
        <f>(+J35/(J33+J34+J35))*K36</f>
        <v>385141.504627986</v>
      </c>
      <c r="L35" s="1629">
        <v>3.5259999999999998</v>
      </c>
      <c r="M35" s="1624">
        <v>5.6420000000000003</v>
      </c>
      <c r="N35" s="1594"/>
      <c r="O35" s="14" t="s">
        <v>1166</v>
      </c>
      <c r="P35" s="1594" t="s">
        <v>1170</v>
      </c>
      <c r="Q35" s="1594"/>
      <c r="R35" s="1594"/>
      <c r="S35" s="1594"/>
      <c r="T35" s="1594"/>
      <c r="U35" s="1594"/>
      <c r="V35" s="1594"/>
      <c r="W35" s="1594"/>
      <c r="X35" s="1594"/>
      <c r="Y35" s="1594"/>
      <c r="Z35" s="1594"/>
      <c r="AA35" s="1594"/>
      <c r="AB35" s="1594"/>
      <c r="AC35" s="1594"/>
      <c r="AD35" s="1594"/>
      <c r="AE35" s="1594"/>
      <c r="AF35" s="1594"/>
      <c r="AG35" s="1594"/>
      <c r="AH35" s="1594"/>
      <c r="AI35" s="1594"/>
      <c r="AJ35" s="1594"/>
      <c r="AK35" s="1594"/>
      <c r="AL35" s="1594"/>
      <c r="AM35" s="1594"/>
      <c r="AN35" s="1594"/>
      <c r="AO35" s="1594"/>
      <c r="AP35" s="1594"/>
      <c r="AQ35" s="1594"/>
      <c r="AR35" s="1594"/>
      <c r="AS35" s="1594"/>
      <c r="AT35" s="1594"/>
      <c r="AU35" s="1594"/>
      <c r="AV35" s="1594"/>
      <c r="AW35" s="1594"/>
      <c r="AX35" s="1594"/>
      <c r="AY35" s="1594"/>
      <c r="AZ35" s="1594"/>
      <c r="BA35" s="1594"/>
      <c r="BB35" s="1594"/>
      <c r="BC35" s="1594"/>
      <c r="BD35" s="1594"/>
      <c r="BE35" s="1594"/>
      <c r="BF35" s="1594"/>
      <c r="BG35" s="1594"/>
      <c r="BH35" s="1594"/>
      <c r="BI35" s="1594"/>
      <c r="BJ35" s="1594"/>
    </row>
    <row r="36" spans="1:62" ht="12.75">
      <c r="A36" s="1594"/>
      <c r="B36" s="1615"/>
      <c r="C36" s="1616"/>
      <c r="D36" s="1632"/>
      <c r="E36" s="1616"/>
      <c r="F36" s="1620"/>
      <c r="G36" s="1616"/>
      <c r="H36" s="1620"/>
      <c r="I36" s="1616"/>
      <c r="J36" s="1625">
        <f>SUM(J33:J35)</f>
        <v>3550584.6359999999</v>
      </c>
      <c r="K36" s="1700">
        <v>426581</v>
      </c>
      <c r="L36" s="1702">
        <f>SUM(L33:L35)</f>
        <v>3.9049999999999998</v>
      </c>
      <c r="M36" s="1694">
        <f>SUM(M33:M35)</f>
        <v>6.1790000000000003</v>
      </c>
      <c r="N36" s="1594"/>
      <c r="O36" s="1594" t="s">
        <v>1167</v>
      </c>
      <c r="P36" s="1594" t="s">
        <v>1171</v>
      </c>
      <c r="Q36" s="1594"/>
      <c r="R36" s="1594"/>
      <c r="S36" s="1594"/>
      <c r="T36" s="1594"/>
      <c r="U36" s="1594"/>
      <c r="V36" s="1594"/>
      <c r="W36" s="1594"/>
      <c r="X36" s="1594"/>
      <c r="Y36" s="1594"/>
      <c r="Z36" s="1594"/>
      <c r="AA36" s="1594"/>
      <c r="AB36" s="1594"/>
      <c r="AC36" s="1594"/>
      <c r="AD36" s="1594"/>
      <c r="AE36" s="1594"/>
      <c r="AF36" s="1594"/>
      <c r="AG36" s="1594"/>
      <c r="AH36" s="1594"/>
      <c r="AI36" s="1594"/>
      <c r="AJ36" s="1594"/>
      <c r="AK36" s="1594"/>
      <c r="AL36" s="1594"/>
      <c r="AM36" s="1594"/>
      <c r="AN36" s="1594"/>
      <c r="AO36" s="1594"/>
      <c r="AP36" s="1594"/>
      <c r="AQ36" s="1594"/>
      <c r="AR36" s="1594"/>
      <c r="AS36" s="1594"/>
      <c r="AT36" s="1594"/>
      <c r="AU36" s="1594"/>
      <c r="AV36" s="1594"/>
      <c r="AW36" s="1594"/>
      <c r="AX36" s="1594"/>
      <c r="AY36" s="1594"/>
      <c r="AZ36" s="1594"/>
      <c r="BA36" s="1594"/>
      <c r="BB36" s="1594"/>
      <c r="BC36" s="1594"/>
      <c r="BD36" s="1594"/>
      <c r="BE36" s="1594"/>
      <c r="BF36" s="1594"/>
      <c r="BG36" s="1594"/>
      <c r="BH36" s="1594"/>
      <c r="BI36" s="1594"/>
      <c r="BJ36" s="1594"/>
    </row>
    <row r="37" spans="1:62" ht="12.75">
      <c r="A37" s="1594"/>
      <c r="B37" s="1615"/>
      <c r="C37" s="1616"/>
      <c r="D37" s="1632"/>
      <c r="E37" s="1616"/>
      <c r="F37" s="1620"/>
      <c r="G37" s="1616"/>
      <c r="H37" s="1620"/>
      <c r="I37" s="1616"/>
      <c r="J37" s="1625"/>
      <c r="K37" s="1626"/>
      <c r="L37" s="1627"/>
      <c r="M37" s="1624"/>
      <c r="N37" s="1594"/>
      <c r="O37" s="1594"/>
      <c r="P37" s="1594"/>
      <c r="Q37" s="1594"/>
      <c r="R37" s="1594"/>
      <c r="S37" s="1594"/>
      <c r="T37" s="1594"/>
      <c r="U37" s="1594"/>
      <c r="V37" s="1594"/>
      <c r="W37" s="1594"/>
      <c r="X37" s="1594"/>
      <c r="Y37" s="1594"/>
      <c r="Z37" s="1594"/>
      <c r="AA37" s="1594"/>
      <c r="AB37" s="1594"/>
      <c r="AC37" s="1594"/>
      <c r="AD37" s="1594"/>
      <c r="AE37" s="1594"/>
      <c r="AF37" s="1594"/>
      <c r="AG37" s="1594"/>
      <c r="AH37" s="1594"/>
      <c r="AI37" s="1594"/>
      <c r="AJ37" s="1594"/>
      <c r="AK37" s="1594"/>
      <c r="AL37" s="1594"/>
      <c r="AM37" s="1594"/>
      <c r="AN37" s="1594"/>
      <c r="AO37" s="1594"/>
      <c r="AP37" s="1594"/>
      <c r="AQ37" s="1594"/>
      <c r="AR37" s="1594"/>
      <c r="AS37" s="1594"/>
      <c r="AT37" s="1594"/>
      <c r="AU37" s="1594"/>
      <c r="AV37" s="1594"/>
      <c r="AW37" s="1594"/>
      <c r="AX37" s="1594"/>
      <c r="AY37" s="1594"/>
      <c r="AZ37" s="1594"/>
      <c r="BA37" s="1594"/>
      <c r="BB37" s="1594"/>
      <c r="BC37" s="1594"/>
      <c r="BD37" s="1594"/>
      <c r="BE37" s="1594"/>
      <c r="BF37" s="1594"/>
      <c r="BG37" s="1594"/>
      <c r="BH37" s="1594"/>
      <c r="BI37" s="1594"/>
      <c r="BJ37" s="1594"/>
    </row>
    <row r="38" spans="1:62" ht="12.75">
      <c r="A38" s="1594"/>
      <c r="B38" s="1615"/>
      <c r="C38" s="1616" t="s">
        <v>112</v>
      </c>
      <c r="D38" s="1632" t="s">
        <v>113</v>
      </c>
      <c r="E38" s="1616" t="s">
        <v>15</v>
      </c>
      <c r="F38" s="1623">
        <v>137930</v>
      </c>
      <c r="G38" s="1616" t="s">
        <v>67</v>
      </c>
      <c r="H38" s="1620">
        <v>139</v>
      </c>
      <c r="I38" s="1616" t="s">
        <v>16</v>
      </c>
      <c r="J38" s="1625">
        <f>(F38*H38)/1000</f>
        <v>19172.27</v>
      </c>
      <c r="K38" s="1700">
        <v>1403</v>
      </c>
      <c r="L38" s="1702">
        <v>6.4000000000000001E-2</v>
      </c>
      <c r="M38" s="1694">
        <v>1.2999999999999999E-2</v>
      </c>
      <c r="N38" s="1594"/>
      <c r="O38" s="1594" t="s">
        <v>1169</v>
      </c>
      <c r="P38" s="14" t="s">
        <v>1166</v>
      </c>
      <c r="Q38" s="1594" t="s">
        <v>1168</v>
      </c>
      <c r="R38" s="14" t="s">
        <v>1166</v>
      </c>
      <c r="S38" s="14" t="s">
        <v>1166</v>
      </c>
      <c r="T38" s="1594"/>
      <c r="U38" s="1594"/>
      <c r="V38" s="1594"/>
      <c r="W38" s="1594"/>
      <c r="X38" s="1594"/>
      <c r="Y38" s="1594"/>
      <c r="Z38" s="1594"/>
      <c r="AA38" s="1594"/>
      <c r="AB38" s="1594"/>
      <c r="AC38" s="1594"/>
      <c r="AD38" s="1594"/>
      <c r="AE38" s="1594"/>
      <c r="AF38" s="1594"/>
      <c r="AG38" s="1594"/>
      <c r="AH38" s="1594"/>
      <c r="AI38" s="1594"/>
      <c r="AJ38" s="1594"/>
      <c r="AK38" s="1594"/>
      <c r="AL38" s="1594"/>
      <c r="AM38" s="1594"/>
      <c r="AN38" s="1594"/>
      <c r="AO38" s="1594"/>
      <c r="AP38" s="1594"/>
      <c r="AQ38" s="1594"/>
      <c r="AR38" s="1594"/>
      <c r="AS38" s="1594"/>
      <c r="AT38" s="1594"/>
      <c r="AU38" s="1594"/>
      <c r="AV38" s="1594"/>
      <c r="AW38" s="1594"/>
      <c r="AX38" s="1594"/>
      <c r="AY38" s="1594"/>
      <c r="AZ38" s="1594"/>
      <c r="BA38" s="1594"/>
      <c r="BB38" s="1594"/>
      <c r="BC38" s="1594"/>
      <c r="BD38" s="1594"/>
      <c r="BE38" s="1594"/>
      <c r="BF38" s="1594"/>
      <c r="BG38" s="1594"/>
      <c r="BH38" s="1594"/>
      <c r="BI38" s="1594"/>
      <c r="BJ38" s="1594"/>
    </row>
    <row r="39" spans="1:62" ht="12.75">
      <c r="A39" s="1594"/>
      <c r="B39" s="1615"/>
      <c r="C39" s="1616"/>
      <c r="D39" s="1632"/>
      <c r="E39" s="1616"/>
      <c r="F39" s="1620"/>
      <c r="G39" s="1616"/>
      <c r="H39" s="1620"/>
      <c r="I39" s="1616"/>
      <c r="J39" s="1630"/>
      <c r="K39" s="1616"/>
      <c r="L39" s="1631"/>
      <c r="M39" s="1640"/>
      <c r="N39" s="1594"/>
      <c r="O39" s="1594"/>
      <c r="P39" s="1594" t="s">
        <v>1167</v>
      </c>
      <c r="Q39" s="1594"/>
      <c r="R39" s="1594" t="s">
        <v>1177</v>
      </c>
      <c r="S39" s="1594" t="s">
        <v>1178</v>
      </c>
      <c r="T39" s="1594"/>
      <c r="U39" s="1594"/>
      <c r="V39" s="1594"/>
      <c r="W39" s="1594"/>
      <c r="X39" s="1594"/>
      <c r="Y39" s="1594"/>
      <c r="Z39" s="1594"/>
      <c r="AA39" s="1594"/>
      <c r="AB39" s="1594"/>
      <c r="AC39" s="1594"/>
      <c r="AD39" s="1594"/>
      <c r="AE39" s="1594"/>
      <c r="AF39" s="1594"/>
      <c r="AG39" s="1594"/>
      <c r="AH39" s="1594"/>
      <c r="AI39" s="1594"/>
      <c r="AJ39" s="1594"/>
      <c r="AK39" s="1594"/>
      <c r="AL39" s="1594"/>
      <c r="AM39" s="1594"/>
      <c r="AN39" s="1594"/>
      <c r="AO39" s="1594"/>
      <c r="AP39" s="1594"/>
      <c r="AQ39" s="1594"/>
      <c r="AR39" s="1594"/>
      <c r="AS39" s="1594"/>
      <c r="AT39" s="1594"/>
      <c r="AU39" s="1594"/>
      <c r="AV39" s="1594"/>
      <c r="AW39" s="1594"/>
      <c r="AX39" s="1594"/>
      <c r="AY39" s="1594"/>
      <c r="AZ39" s="1594"/>
      <c r="BA39" s="1594"/>
      <c r="BB39" s="1594"/>
      <c r="BC39" s="1594"/>
      <c r="BD39" s="1594"/>
      <c r="BE39" s="1594"/>
      <c r="BF39" s="1594"/>
      <c r="BG39" s="1594"/>
      <c r="BH39" s="1594"/>
      <c r="BI39" s="1594"/>
      <c r="BJ39" s="1594"/>
    </row>
    <row r="40" spans="1:62" ht="12.75">
      <c r="A40" s="1594"/>
      <c r="B40" s="1615"/>
      <c r="C40" s="1616" t="s">
        <v>114</v>
      </c>
      <c r="D40" s="1632" t="s">
        <v>115</v>
      </c>
      <c r="E40" s="1616" t="s">
        <v>15</v>
      </c>
      <c r="F40" s="1623">
        <v>100730</v>
      </c>
      <c r="G40" s="1616" t="s">
        <v>67</v>
      </c>
      <c r="H40" s="1620">
        <v>139</v>
      </c>
      <c r="I40" s="1616" t="s">
        <v>16</v>
      </c>
      <c r="J40" s="1625">
        <f>(F40*H40)/1000</f>
        <v>14001.47</v>
      </c>
      <c r="K40" s="1700">
        <v>1015</v>
      </c>
      <c r="L40" s="1717">
        <v>4.5999999999999999E-2</v>
      </c>
      <c r="M40" s="1718">
        <v>8.9999999999999993E-3</v>
      </c>
      <c r="N40" s="1594"/>
      <c r="O40" s="1594" t="s">
        <v>1169</v>
      </c>
      <c r="P40" s="1594"/>
      <c r="Q40" s="1594" t="s">
        <v>77</v>
      </c>
      <c r="R40" s="1594">
        <v>2.2000000000000001E-3</v>
      </c>
      <c r="S40" s="1594">
        <v>2.2000000000000001E-4</v>
      </c>
      <c r="T40" s="1594"/>
      <c r="U40" s="1594"/>
      <c r="V40" s="1594"/>
      <c r="W40" s="1594"/>
      <c r="X40" s="1594"/>
      <c r="Y40" s="1594"/>
      <c r="Z40" s="1594"/>
      <c r="AA40" s="1594"/>
      <c r="AB40" s="1594"/>
      <c r="AC40" s="1594"/>
      <c r="AD40" s="1594"/>
      <c r="AE40" s="1594"/>
      <c r="AF40" s="1594"/>
      <c r="AG40" s="1594"/>
      <c r="AH40" s="1594"/>
      <c r="AI40" s="1594"/>
      <c r="AJ40" s="1594"/>
      <c r="AK40" s="1594"/>
      <c r="AL40" s="1594"/>
      <c r="AM40" s="1594"/>
      <c r="AN40" s="1594"/>
      <c r="AO40" s="1594"/>
      <c r="AP40" s="1594"/>
      <c r="AQ40" s="1594"/>
      <c r="AR40" s="1594"/>
      <c r="AS40" s="1594"/>
      <c r="AT40" s="1594"/>
      <c r="AU40" s="1594"/>
      <c r="AV40" s="1594"/>
      <c r="AW40" s="1594"/>
      <c r="AX40" s="1594"/>
      <c r="AY40" s="1594"/>
      <c r="AZ40" s="1594"/>
      <c r="BA40" s="1594"/>
      <c r="BB40" s="1594"/>
      <c r="BC40" s="1594"/>
      <c r="BD40" s="1594"/>
      <c r="BE40" s="1594"/>
      <c r="BF40" s="1594"/>
      <c r="BG40" s="1594"/>
      <c r="BH40" s="1594"/>
      <c r="BI40" s="1594"/>
      <c r="BJ40" s="1594"/>
    </row>
    <row r="41" spans="1:62" ht="12.75">
      <c r="A41" s="1594"/>
      <c r="B41" s="1615"/>
      <c r="C41" s="1616"/>
      <c r="D41" s="1632"/>
      <c r="E41" s="1616"/>
      <c r="F41" s="1623"/>
      <c r="G41" s="1616"/>
      <c r="H41" s="1620"/>
      <c r="I41" s="1616"/>
      <c r="J41" s="1630"/>
      <c r="K41" s="1616"/>
      <c r="L41" s="1616"/>
      <c r="M41" s="1640"/>
      <c r="N41" s="1594"/>
      <c r="O41" s="1594"/>
      <c r="P41" s="1598" t="s">
        <v>1172</v>
      </c>
      <c r="Q41" s="1594" t="s">
        <v>1173</v>
      </c>
      <c r="R41" s="1594">
        <v>2.2000000000000001E-3</v>
      </c>
      <c r="S41" s="1594">
        <v>3.5200000000000001E-3</v>
      </c>
      <c r="T41" s="1594"/>
      <c r="U41" s="1594"/>
      <c r="V41" s="1594"/>
      <c r="W41" s="1594"/>
      <c r="X41" s="1594"/>
      <c r="Y41" s="1594"/>
      <c r="Z41" s="1594"/>
      <c r="AA41" s="1594"/>
      <c r="AB41" s="1594"/>
      <c r="AC41" s="1594"/>
      <c r="AD41" s="1594"/>
      <c r="AE41" s="1594"/>
      <c r="AF41" s="1594"/>
      <c r="AG41" s="1594"/>
      <c r="AH41" s="1594"/>
      <c r="AI41" s="1594"/>
      <c r="AJ41" s="1594"/>
      <c r="AK41" s="1594"/>
      <c r="AL41" s="1594"/>
      <c r="AM41" s="1594"/>
      <c r="AN41" s="1594"/>
      <c r="AO41" s="1594"/>
      <c r="AP41" s="1594"/>
      <c r="AQ41" s="1594"/>
      <c r="AR41" s="1594"/>
      <c r="AS41" s="1594"/>
      <c r="AT41" s="1594"/>
      <c r="AU41" s="1594"/>
      <c r="AV41" s="1594"/>
      <c r="AW41" s="1594"/>
      <c r="AX41" s="1594"/>
      <c r="AY41" s="1594"/>
      <c r="AZ41" s="1594"/>
      <c r="BA41" s="1594"/>
      <c r="BB41" s="1594"/>
      <c r="BC41" s="1594"/>
      <c r="BD41" s="1594"/>
      <c r="BE41" s="1594"/>
      <c r="BF41" s="1594"/>
      <c r="BG41" s="1594"/>
      <c r="BH41" s="1594"/>
      <c r="BI41" s="1594"/>
      <c r="BJ41" s="1594"/>
    </row>
    <row r="42" spans="1:62" ht="12.75">
      <c r="A42" s="1594"/>
      <c r="B42" s="1615"/>
      <c r="C42" s="1616" t="s">
        <v>116</v>
      </c>
      <c r="D42" s="1632" t="s">
        <v>117</v>
      </c>
      <c r="E42" s="1616" t="s">
        <v>15</v>
      </c>
      <c r="F42" s="1623">
        <v>349138</v>
      </c>
      <c r="G42" s="1616" t="s">
        <v>67</v>
      </c>
      <c r="H42" s="1620">
        <v>139</v>
      </c>
      <c r="I42" s="1616" t="s">
        <v>16</v>
      </c>
      <c r="J42" s="1625">
        <f>(F42*H42)/1000</f>
        <v>48530.182000000001</v>
      </c>
      <c r="K42" s="1700">
        <v>3517</v>
      </c>
      <c r="L42" s="1717">
        <v>0.154</v>
      </c>
      <c r="M42" s="1718">
        <v>3.2000000000000001E-2</v>
      </c>
      <c r="N42" s="1594"/>
      <c r="O42" s="1594" t="s">
        <v>1169</v>
      </c>
      <c r="P42" s="1594"/>
      <c r="Q42" s="1594" t="s">
        <v>1176</v>
      </c>
      <c r="R42" s="1594">
        <v>2.2000000000000001E-3</v>
      </c>
      <c r="S42" s="1594">
        <v>3.5200000000000001E-3</v>
      </c>
      <c r="T42" s="1594"/>
      <c r="U42" s="1594"/>
      <c r="V42" s="1594"/>
      <c r="W42" s="1594"/>
      <c r="X42" s="1594"/>
      <c r="Y42" s="1594"/>
      <c r="Z42" s="1594"/>
      <c r="AA42" s="1594"/>
      <c r="AB42" s="1594"/>
      <c r="AC42" s="1594"/>
      <c r="AD42" s="1594"/>
      <c r="AE42" s="1594"/>
      <c r="AF42" s="1594"/>
      <c r="AG42" s="1594"/>
      <c r="AH42" s="1594"/>
      <c r="AI42" s="1594"/>
      <c r="AJ42" s="1594"/>
      <c r="AK42" s="1594"/>
      <c r="AL42" s="1594"/>
      <c r="AM42" s="1594"/>
      <c r="AN42" s="1594"/>
      <c r="AO42" s="1594"/>
      <c r="AP42" s="1594"/>
      <c r="AQ42" s="1594"/>
      <c r="AR42" s="1594"/>
      <c r="AS42" s="1594"/>
      <c r="AT42" s="1594"/>
      <c r="AU42" s="1594"/>
      <c r="AV42" s="1594"/>
      <c r="AW42" s="1594"/>
      <c r="AX42" s="1594"/>
      <c r="AY42" s="1594"/>
      <c r="AZ42" s="1594"/>
      <c r="BA42" s="1594"/>
      <c r="BB42" s="1594"/>
      <c r="BC42" s="1594"/>
      <c r="BD42" s="1594"/>
      <c r="BE42" s="1594"/>
      <c r="BF42" s="1594"/>
      <c r="BG42" s="1594"/>
      <c r="BH42" s="1594"/>
      <c r="BI42" s="1594"/>
      <c r="BJ42" s="1594"/>
    </row>
    <row r="43" spans="1:62" ht="13.5" thickBot="1">
      <c r="A43" s="1594"/>
      <c r="B43" s="1615"/>
      <c r="C43" s="1616"/>
      <c r="D43" s="1616"/>
      <c r="E43" s="1616"/>
      <c r="F43" s="1620"/>
      <c r="G43" s="1616"/>
      <c r="H43" s="1620"/>
      <c r="I43" s="1616"/>
      <c r="J43" s="1630"/>
      <c r="K43" s="1620"/>
      <c r="L43" s="1629"/>
      <c r="M43" s="1624"/>
      <c r="N43" s="1594"/>
      <c r="O43" s="1594"/>
      <c r="P43" s="1594"/>
      <c r="Q43" s="1594"/>
      <c r="R43" s="1594"/>
      <c r="S43" s="1594"/>
      <c r="T43" s="1594"/>
      <c r="U43" s="1594"/>
      <c r="V43" s="1594"/>
      <c r="W43" s="1594"/>
      <c r="X43" s="1594"/>
      <c r="Y43" s="1594"/>
      <c r="Z43" s="1594"/>
      <c r="AA43" s="1594"/>
      <c r="AB43" s="1594"/>
      <c r="AC43" s="1594"/>
      <c r="AD43" s="1594"/>
      <c r="AE43" s="1594"/>
      <c r="AF43" s="1594"/>
      <c r="AG43" s="1594"/>
      <c r="AH43" s="1594"/>
      <c r="AI43" s="1594"/>
      <c r="AJ43" s="1594"/>
      <c r="AK43" s="1594"/>
      <c r="AL43" s="1594"/>
      <c r="AM43" s="1594"/>
      <c r="AN43" s="1594"/>
      <c r="AO43" s="1594"/>
      <c r="AP43" s="1594"/>
      <c r="AQ43" s="1594"/>
      <c r="AR43" s="1594"/>
      <c r="AS43" s="1594"/>
      <c r="AT43" s="1594"/>
      <c r="AU43" s="1594"/>
      <c r="AV43" s="1594"/>
      <c r="AW43" s="1594"/>
      <c r="AX43" s="1594"/>
      <c r="AY43" s="1594"/>
      <c r="AZ43" s="1594"/>
      <c r="BA43" s="1594"/>
      <c r="BB43" s="1594"/>
      <c r="BC43" s="1594"/>
      <c r="BD43" s="1594"/>
      <c r="BE43" s="1594"/>
      <c r="BF43" s="1594"/>
      <c r="BG43" s="1594"/>
      <c r="BH43" s="1594"/>
      <c r="BI43" s="1594"/>
      <c r="BJ43" s="1594"/>
    </row>
    <row r="44" spans="1:62" ht="12.75">
      <c r="A44" s="1594"/>
      <c r="B44" s="1660"/>
      <c r="C44" s="1593"/>
      <c r="D44" s="1613"/>
      <c r="E44" s="1613"/>
      <c r="F44" s="1591"/>
      <c r="G44" s="1613"/>
      <c r="H44" s="1591"/>
      <c r="I44" s="1613"/>
      <c r="J44" s="1614"/>
      <c r="K44" s="1591"/>
      <c r="L44" s="1592"/>
      <c r="M44" s="1662"/>
      <c r="N44" s="1594"/>
      <c r="O44" s="1594"/>
      <c r="P44" s="1594"/>
      <c r="Q44" s="1594"/>
      <c r="R44" s="1594"/>
      <c r="S44" s="1594"/>
      <c r="T44" s="1594"/>
      <c r="U44" s="1594"/>
      <c r="V44" s="1594"/>
      <c r="W44" s="1594"/>
      <c r="X44" s="1594"/>
      <c r="Y44" s="1594"/>
      <c r="Z44" s="1594"/>
      <c r="AA44" s="1594"/>
      <c r="AB44" s="1594"/>
      <c r="AC44" s="1594"/>
      <c r="AD44" s="1594"/>
      <c r="AE44" s="1594"/>
      <c r="AF44" s="1594"/>
      <c r="AG44" s="1594"/>
      <c r="AH44" s="1594"/>
      <c r="AI44" s="1594"/>
      <c r="AJ44" s="1594"/>
      <c r="AK44" s="1594"/>
      <c r="AL44" s="1594"/>
      <c r="AM44" s="1594"/>
      <c r="AN44" s="1594"/>
      <c r="AO44" s="1594"/>
      <c r="AP44" s="1594"/>
      <c r="AQ44" s="1594"/>
      <c r="AR44" s="1594"/>
      <c r="AS44" s="1594"/>
      <c r="AT44" s="1594"/>
      <c r="AU44" s="1594"/>
      <c r="AV44" s="1594"/>
      <c r="AW44" s="1594"/>
      <c r="AX44" s="1594"/>
      <c r="AY44" s="1594"/>
      <c r="AZ44" s="1594"/>
      <c r="BA44" s="1594"/>
      <c r="BB44" s="1594"/>
      <c r="BC44" s="1594"/>
      <c r="BD44" s="1594"/>
      <c r="BE44" s="1594"/>
      <c r="BF44" s="1594"/>
      <c r="BG44" s="1594"/>
      <c r="BH44" s="1594"/>
      <c r="BI44" s="1594"/>
      <c r="BJ44" s="1594"/>
    </row>
    <row r="45" spans="1:62" ht="12.75">
      <c r="A45" s="1594"/>
      <c r="B45" s="1615" t="s">
        <v>1137</v>
      </c>
      <c r="C45" s="163" t="s">
        <v>1138</v>
      </c>
      <c r="D45" s="1616"/>
      <c r="E45" s="1616"/>
      <c r="F45" s="1620"/>
      <c r="G45" s="1616"/>
      <c r="H45" s="1620"/>
      <c r="I45" s="1616"/>
      <c r="J45" s="1630"/>
      <c r="K45" s="1620"/>
      <c r="L45" s="1629"/>
      <c r="M45" s="1641"/>
      <c r="N45" s="1594"/>
      <c r="O45" s="1594"/>
      <c r="P45" s="1594"/>
      <c r="Q45" s="1594"/>
      <c r="R45" s="1594"/>
      <c r="S45" s="1594"/>
      <c r="T45" s="1594"/>
      <c r="U45" s="1594"/>
      <c r="V45" s="1594"/>
      <c r="W45" s="1594"/>
      <c r="X45" s="1594"/>
      <c r="Y45" s="1594"/>
      <c r="Z45" s="1594"/>
      <c r="AA45" s="1594"/>
      <c r="AB45" s="1594"/>
      <c r="AC45" s="1594"/>
      <c r="AD45" s="1594"/>
      <c r="AE45" s="1594"/>
      <c r="AF45" s="1594"/>
      <c r="AG45" s="1594"/>
      <c r="AH45" s="1594"/>
      <c r="AI45" s="1594"/>
      <c r="AJ45" s="1594"/>
      <c r="AK45" s="1594"/>
      <c r="AL45" s="1594"/>
      <c r="AM45" s="1594"/>
      <c r="AN45" s="1594"/>
      <c r="AO45" s="1594"/>
      <c r="AP45" s="1594"/>
      <c r="AQ45" s="1594"/>
      <c r="AR45" s="1594"/>
      <c r="AS45" s="1594"/>
      <c r="AT45" s="1594"/>
      <c r="AU45" s="1594"/>
      <c r="AV45" s="1594"/>
      <c r="AW45" s="1594"/>
      <c r="AX45" s="1594"/>
      <c r="AY45" s="1594"/>
      <c r="AZ45" s="1594"/>
      <c r="BA45" s="1594"/>
      <c r="BB45" s="1594"/>
      <c r="BC45" s="1594"/>
      <c r="BD45" s="1594"/>
      <c r="BE45" s="1594"/>
      <c r="BF45" s="1594"/>
      <c r="BG45" s="1594"/>
      <c r="BH45" s="1594"/>
      <c r="BI45" s="1594"/>
      <c r="BJ45" s="1594"/>
    </row>
    <row r="46" spans="1:62" ht="12.75">
      <c r="A46" s="1594"/>
      <c r="B46" s="1615"/>
      <c r="C46" s="1616" t="s">
        <v>1139</v>
      </c>
      <c r="D46" s="1632" t="s">
        <v>1128</v>
      </c>
      <c r="E46" s="1616" t="s">
        <v>1102</v>
      </c>
      <c r="F46" s="1623">
        <v>497291</v>
      </c>
      <c r="G46" s="1616" t="s">
        <v>279</v>
      </c>
      <c r="H46" s="1620">
        <v>12871</v>
      </c>
      <c r="I46" s="1616" t="s">
        <v>1140</v>
      </c>
      <c r="J46" s="1630">
        <f>(F46*H46*2000)/1000000</f>
        <v>12801264.922</v>
      </c>
      <c r="K46" s="1620">
        <f>(J46/(J$46+J$47+J$48+J$49))*K$50</f>
        <v>1360379.0915007901</v>
      </c>
      <c r="L46" s="1620">
        <f>J46*Q56*0.001102</f>
        <v>155.17693338448399</v>
      </c>
      <c r="M46" s="1723">
        <f>J46*R57*0.001102</f>
        <v>22.571190310470399</v>
      </c>
      <c r="N46" s="1594"/>
      <c r="O46" s="1594"/>
      <c r="P46" s="1594"/>
      <c r="Q46" s="1594"/>
      <c r="R46" s="1594"/>
      <c r="S46" s="1594"/>
      <c r="T46" s="1594"/>
      <c r="U46" s="1594"/>
      <c r="V46" s="1594"/>
      <c r="W46" s="1594"/>
      <c r="X46" s="1594"/>
      <c r="Y46" s="1594"/>
      <c r="Z46" s="1594"/>
      <c r="AA46" s="1594"/>
      <c r="AB46" s="1594"/>
      <c r="AC46" s="1594"/>
      <c r="AD46" s="1594"/>
      <c r="AE46" s="1594"/>
      <c r="AF46" s="1594"/>
      <c r="AG46" s="1594"/>
      <c r="AH46" s="1594"/>
      <c r="AI46" s="1594"/>
      <c r="AJ46" s="1594"/>
      <c r="AK46" s="1594"/>
      <c r="AL46" s="1594"/>
      <c r="AM46" s="1594"/>
      <c r="AN46" s="1594"/>
      <c r="AO46" s="1594"/>
      <c r="AP46" s="1594"/>
      <c r="AQ46" s="1594"/>
      <c r="AR46" s="1594"/>
      <c r="AS46" s="1594"/>
      <c r="AT46" s="1594"/>
      <c r="AU46" s="1594"/>
      <c r="AV46" s="1594"/>
      <c r="AW46" s="1594"/>
      <c r="AX46" s="1594"/>
      <c r="AY46" s="1594"/>
      <c r="AZ46" s="1594"/>
      <c r="BA46" s="1594"/>
      <c r="BB46" s="1594"/>
      <c r="BC46" s="1594"/>
      <c r="BD46" s="1594"/>
      <c r="BE46" s="1594"/>
      <c r="BF46" s="1594"/>
      <c r="BG46" s="1594"/>
      <c r="BH46" s="1594"/>
      <c r="BI46" s="1594"/>
      <c r="BJ46" s="1594"/>
    </row>
    <row r="47" spans="1:62" ht="12.75">
      <c r="A47" s="1594"/>
      <c r="B47" s="1615"/>
      <c r="C47" s="1616"/>
      <c r="D47" s="1616"/>
      <c r="E47" s="1616" t="s">
        <v>18</v>
      </c>
      <c r="F47" s="1623">
        <v>308618</v>
      </c>
      <c r="G47" s="1616" t="s">
        <v>67</v>
      </c>
      <c r="H47" s="1620">
        <v>136269</v>
      </c>
      <c r="I47" s="1616" t="s">
        <v>12</v>
      </c>
      <c r="J47" s="1630">
        <f>(F47*H47)/1000000</f>
        <v>42055.066242000001</v>
      </c>
      <c r="K47" s="1620">
        <f>(J47/(J$46+J$47+$J48+J$49))*K$50</f>
        <v>4469.154662128436</v>
      </c>
      <c r="L47" s="1629">
        <f>J47*Q59*0.001102</f>
        <v>0.13903404899605198</v>
      </c>
      <c r="M47" s="1723">
        <f>J47*R59*0.001102</f>
        <v>2.7806809799210398E-2</v>
      </c>
      <c r="N47" s="1594"/>
      <c r="O47" s="1594"/>
      <c r="P47" s="1594"/>
      <c r="Q47" s="1594"/>
      <c r="R47" s="1594"/>
      <c r="S47" s="1594"/>
      <c r="T47" s="1594"/>
      <c r="U47" s="1594"/>
      <c r="V47" s="1594"/>
      <c r="W47" s="1594"/>
      <c r="X47" s="1594"/>
      <c r="Y47" s="1594"/>
      <c r="Z47" s="1594"/>
      <c r="AA47" s="1594"/>
      <c r="AB47" s="1594"/>
      <c r="AC47" s="1594"/>
      <c r="AD47" s="1594"/>
      <c r="AE47" s="1594"/>
      <c r="AF47" s="1594"/>
      <c r="AG47" s="1594"/>
      <c r="AH47" s="1594"/>
      <c r="AI47" s="1594"/>
      <c r="AJ47" s="1594"/>
      <c r="AK47" s="1594"/>
      <c r="AL47" s="1594"/>
      <c r="AM47" s="1594"/>
      <c r="AN47" s="1594"/>
      <c r="AO47" s="1594"/>
      <c r="AP47" s="1594"/>
      <c r="AQ47" s="1594"/>
      <c r="AR47" s="1594"/>
      <c r="AS47" s="1594"/>
      <c r="AT47" s="1594"/>
      <c r="AU47" s="1594"/>
      <c r="AV47" s="1594"/>
      <c r="AW47" s="1594"/>
      <c r="AX47" s="1594"/>
      <c r="AY47" s="1594"/>
      <c r="AZ47" s="1594"/>
      <c r="BA47" s="1594"/>
      <c r="BB47" s="1594"/>
      <c r="BC47" s="1594"/>
      <c r="BD47" s="1594"/>
      <c r="BE47" s="1594"/>
      <c r="BF47" s="1594"/>
      <c r="BG47" s="1594"/>
      <c r="BH47" s="1594"/>
      <c r="BI47" s="1594"/>
      <c r="BJ47" s="1594"/>
    </row>
    <row r="48" spans="1:62" ht="12.75">
      <c r="A48" s="1594"/>
      <c r="B48" s="1615"/>
      <c r="C48" s="1616"/>
      <c r="D48" s="1616"/>
      <c r="E48" s="1616" t="s">
        <v>1154</v>
      </c>
      <c r="F48" s="1623">
        <v>8068</v>
      </c>
      <c r="G48" s="1616" t="s">
        <v>67</v>
      </c>
      <c r="H48" s="1620">
        <v>152312</v>
      </c>
      <c r="I48" s="1616" t="s">
        <v>12</v>
      </c>
      <c r="J48" s="1630">
        <f>(F48*H48)/1000000</f>
        <v>1228.853216</v>
      </c>
      <c r="K48" s="1620">
        <f>(J48/(J$46+J$47+$J48+J$49))*K$50</f>
        <v>130.5891434757313</v>
      </c>
      <c r="L48" s="1629">
        <f>J48*Q64*0.001102</f>
        <v>4.0625887320959991E-3</v>
      </c>
      <c r="M48" s="1723">
        <f>J48*R64*0.001102</f>
        <v>8.1251774641919979E-4</v>
      </c>
      <c r="N48" s="1594"/>
      <c r="O48" s="1594"/>
      <c r="P48" s="1594"/>
      <c r="Q48" s="1594"/>
      <c r="R48" s="1594"/>
      <c r="S48" s="1594"/>
      <c r="T48" s="1594"/>
      <c r="U48" s="1594"/>
      <c r="V48" s="1594"/>
      <c r="W48" s="1594"/>
      <c r="X48" s="1594"/>
      <c r="Y48" s="1594"/>
      <c r="Z48" s="1594"/>
      <c r="AA48" s="1594"/>
      <c r="AB48" s="1594"/>
      <c r="AC48" s="1594"/>
      <c r="AD48" s="1594"/>
      <c r="AE48" s="1594"/>
      <c r="AF48" s="1594"/>
      <c r="AG48" s="1594"/>
      <c r="AH48" s="1594"/>
      <c r="AI48" s="1594"/>
      <c r="AJ48" s="1594"/>
      <c r="AK48" s="1594"/>
      <c r="AL48" s="1594"/>
      <c r="AM48" s="1594"/>
      <c r="AN48" s="1594"/>
      <c r="AO48" s="1594"/>
      <c r="AP48" s="1594"/>
      <c r="AQ48" s="1594"/>
      <c r="AR48" s="1594"/>
      <c r="AS48" s="1594"/>
      <c r="AT48" s="1594"/>
      <c r="AU48" s="1594"/>
      <c r="AV48" s="1594"/>
      <c r="AW48" s="1594"/>
      <c r="AX48" s="1594"/>
      <c r="AY48" s="1594"/>
      <c r="AZ48" s="1594"/>
      <c r="BA48" s="1594"/>
      <c r="BB48" s="1594"/>
      <c r="BC48" s="1594"/>
      <c r="BD48" s="1594"/>
      <c r="BE48" s="1594"/>
      <c r="BF48" s="1594"/>
      <c r="BG48" s="1594"/>
      <c r="BH48" s="1594"/>
      <c r="BI48" s="1594"/>
      <c r="BJ48" s="1594"/>
    </row>
    <row r="49" spans="1:62" ht="12.75">
      <c r="A49" s="1594"/>
      <c r="B49" s="1615"/>
      <c r="C49" s="1616"/>
      <c r="D49" s="1616"/>
      <c r="E49" s="1616" t="s">
        <v>77</v>
      </c>
      <c r="F49" s="1623">
        <v>43540</v>
      </c>
      <c r="G49" s="1616" t="s">
        <v>144</v>
      </c>
      <c r="H49" s="1620">
        <v>1060</v>
      </c>
      <c r="I49" s="1616" t="s">
        <v>76</v>
      </c>
      <c r="J49" s="1630">
        <f>(F49*H49)/1000</f>
        <v>46152.4</v>
      </c>
      <c r="K49" s="1620">
        <f>(J49/(J$46+J$47+$J48+J$49))*K$50</f>
        <v>4904.5746936055066</v>
      </c>
      <c r="L49" s="1629">
        <f>J49*Q58*0.001102</f>
        <v>5.0859944799999994E-2</v>
      </c>
      <c r="M49" s="1723">
        <f>J49*R58*0.001102</f>
        <v>5.0859944799999997E-3</v>
      </c>
      <c r="N49" s="1594"/>
      <c r="O49" s="1594"/>
      <c r="P49" s="1594"/>
      <c r="Q49" s="1594"/>
      <c r="R49" s="1594"/>
      <c r="S49" s="1594"/>
      <c r="T49" s="1594"/>
      <c r="U49" s="1594"/>
      <c r="V49" s="1594"/>
      <c r="W49" s="1594"/>
      <c r="X49" s="1594"/>
      <c r="Y49" s="1594"/>
      <c r="Z49" s="1594"/>
      <c r="AA49" s="1594"/>
      <c r="AB49" s="1594"/>
      <c r="AC49" s="1594"/>
      <c r="AD49" s="1594"/>
      <c r="AE49" s="1594"/>
      <c r="AF49" s="1594"/>
      <c r="AG49" s="1594"/>
      <c r="AH49" s="1594"/>
      <c r="AI49" s="1594"/>
      <c r="AJ49" s="1594"/>
      <c r="AK49" s="1594"/>
      <c r="AL49" s="1594"/>
      <c r="AM49" s="1594"/>
      <c r="AN49" s="1594"/>
      <c r="AO49" s="1594"/>
      <c r="AP49" s="1594"/>
      <c r="AQ49" s="1594"/>
      <c r="AR49" s="1594"/>
      <c r="AS49" s="1594"/>
      <c r="AT49" s="1594"/>
      <c r="AU49" s="1594"/>
      <c r="AV49" s="1594"/>
      <c r="AW49" s="1594"/>
      <c r="AX49" s="1594"/>
      <c r="AY49" s="1594"/>
      <c r="AZ49" s="1594"/>
      <c r="BA49" s="1594"/>
      <c r="BB49" s="1594"/>
      <c r="BC49" s="1594"/>
      <c r="BD49" s="1594"/>
      <c r="BE49" s="1594"/>
      <c r="BF49" s="1594"/>
      <c r="BG49" s="1594"/>
      <c r="BH49" s="1594"/>
      <c r="BI49" s="1594"/>
      <c r="BJ49" s="1594"/>
    </row>
    <row r="50" spans="1:62" ht="12.75">
      <c r="A50" s="1594"/>
      <c r="B50" s="1615"/>
      <c r="C50" s="1616"/>
      <c r="D50" s="1616"/>
      <c r="E50" s="1616"/>
      <c r="F50" s="1620"/>
      <c r="G50" s="1616"/>
      <c r="H50" s="1620"/>
      <c r="I50" s="1616"/>
      <c r="J50" s="1625">
        <f>SUM(J46:J49)</f>
        <v>12890701.241458001</v>
      </c>
      <c r="K50" s="1637">
        <v>1369883.41</v>
      </c>
      <c r="L50" s="1638">
        <f>SUM(L46:L49)</f>
        <v>155.37088996701215</v>
      </c>
      <c r="M50" s="1724">
        <f>SUM(M46:M49)</f>
        <v>22.604895632496028</v>
      </c>
      <c r="N50" s="1594"/>
      <c r="P50" s="1594"/>
      <c r="Q50" s="1594"/>
      <c r="R50" s="1594"/>
      <c r="S50" s="1594"/>
      <c r="T50" s="1594"/>
      <c r="U50" s="1594"/>
      <c r="V50" s="1594"/>
      <c r="W50" s="1594"/>
      <c r="X50" s="1594"/>
      <c r="Y50" s="1594"/>
      <c r="Z50" s="1594"/>
      <c r="AA50" s="1594"/>
      <c r="AB50" s="1594"/>
      <c r="AC50" s="1594"/>
      <c r="AD50" s="1594"/>
      <c r="AE50" s="1594"/>
      <c r="AF50" s="1594"/>
      <c r="AG50" s="1594"/>
      <c r="AH50" s="1594"/>
      <c r="AI50" s="1594"/>
      <c r="AJ50" s="1594"/>
      <c r="AK50" s="1594"/>
      <c r="AL50" s="1594"/>
      <c r="AM50" s="1594"/>
      <c r="AN50" s="1594"/>
      <c r="AO50" s="1594"/>
      <c r="AP50" s="1594"/>
      <c r="AQ50" s="1594"/>
      <c r="AR50" s="1594"/>
      <c r="AS50" s="1594"/>
      <c r="AT50" s="1594"/>
      <c r="AU50" s="1594"/>
      <c r="AV50" s="1594"/>
      <c r="AW50" s="1594"/>
      <c r="AX50" s="1594"/>
      <c r="AY50" s="1594"/>
      <c r="AZ50" s="1594"/>
      <c r="BA50" s="1594"/>
      <c r="BB50" s="1594"/>
      <c r="BC50" s="1594"/>
      <c r="BD50" s="1594"/>
      <c r="BE50" s="1594"/>
      <c r="BF50" s="1594"/>
      <c r="BG50" s="1594"/>
      <c r="BH50" s="1594"/>
      <c r="BI50" s="1594"/>
      <c r="BJ50" s="1594"/>
    </row>
    <row r="51" spans="1:62" ht="12.75">
      <c r="A51" s="1594"/>
      <c r="B51" s="1615"/>
      <c r="C51" s="1616"/>
      <c r="D51" s="1616"/>
      <c r="E51" s="1616"/>
      <c r="F51" s="1620"/>
      <c r="G51" s="1616"/>
      <c r="H51" s="1620"/>
      <c r="I51" s="1616"/>
      <c r="J51" s="1625"/>
      <c r="K51" s="1637"/>
      <c r="L51" s="1638"/>
      <c r="M51" s="1723"/>
      <c r="N51" s="1594"/>
      <c r="O51" s="14"/>
      <c r="P51" s="1594"/>
      <c r="Q51" s="1594"/>
      <c r="R51" s="1594"/>
      <c r="S51" s="1594"/>
      <c r="T51" s="1594"/>
      <c r="U51" s="1594"/>
      <c r="V51" s="1594"/>
      <c r="W51" s="1594"/>
      <c r="X51" s="1594"/>
      <c r="Y51" s="1594"/>
      <c r="Z51" s="1594"/>
      <c r="AA51" s="1594"/>
      <c r="AB51" s="1594"/>
      <c r="AC51" s="1594"/>
      <c r="AD51" s="1594"/>
      <c r="AE51" s="1594"/>
      <c r="AF51" s="1594"/>
      <c r="AG51" s="1594"/>
      <c r="AH51" s="1594"/>
      <c r="AI51" s="1594"/>
      <c r="AJ51" s="1594"/>
      <c r="AK51" s="1594"/>
      <c r="AL51" s="1594"/>
      <c r="AM51" s="1594"/>
      <c r="AN51" s="1594"/>
      <c r="AO51" s="1594"/>
      <c r="AP51" s="1594"/>
      <c r="AQ51" s="1594"/>
      <c r="AR51" s="1594"/>
      <c r="AS51" s="1594"/>
      <c r="AT51" s="1594"/>
      <c r="AU51" s="1594"/>
      <c r="AV51" s="1594"/>
      <c r="AW51" s="1594"/>
      <c r="AX51" s="1594"/>
      <c r="AY51" s="1594"/>
      <c r="AZ51" s="1594"/>
      <c r="BA51" s="1594"/>
      <c r="BB51" s="1594"/>
      <c r="BC51" s="1594"/>
      <c r="BD51" s="1594"/>
      <c r="BE51" s="1594"/>
      <c r="BF51" s="1594"/>
      <c r="BG51" s="1594"/>
      <c r="BH51" s="1594"/>
      <c r="BI51" s="1594"/>
      <c r="BJ51" s="1594"/>
    </row>
    <row r="52" spans="1:62" ht="12.75">
      <c r="A52" s="1594"/>
      <c r="B52" s="1615"/>
      <c r="C52" s="1616" t="s">
        <v>1141</v>
      </c>
      <c r="D52" s="1632" t="s">
        <v>1130</v>
      </c>
      <c r="E52" s="1616" t="s">
        <v>1102</v>
      </c>
      <c r="F52" s="1623">
        <v>547259</v>
      </c>
      <c r="G52" s="1616" t="s">
        <v>279</v>
      </c>
      <c r="H52" s="1620">
        <v>12855</v>
      </c>
      <c r="I52" s="1616" t="s">
        <v>1140</v>
      </c>
      <c r="J52" s="1630">
        <f>(F52*H52*2000)/1000000</f>
        <v>14070028.890000001</v>
      </c>
      <c r="K52" s="1620">
        <f>(J52/(J$52+J$53+J$54+J$55))*K$56</f>
        <v>1559573.2339340833</v>
      </c>
      <c r="L52" s="1629">
        <f>J52*Q57*0.001102</f>
        <v>170.55689020457999</v>
      </c>
      <c r="M52" s="1723">
        <f>J52*R57*0.0011023</f>
        <v>24.815028552715201</v>
      </c>
      <c r="N52" s="1594"/>
      <c r="O52" s="14" t="s">
        <v>1155</v>
      </c>
      <c r="P52" s="1594"/>
      <c r="Q52" s="1594"/>
      <c r="R52" s="1594"/>
      <c r="S52" s="1594"/>
      <c r="T52" s="1594"/>
      <c r="U52" s="1594"/>
      <c r="V52" s="1594"/>
      <c r="W52" s="1594"/>
      <c r="X52" s="1594"/>
      <c r="Y52" s="1594"/>
      <c r="Z52" s="1594"/>
      <c r="AA52" s="1594"/>
      <c r="AB52" s="1594"/>
      <c r="AC52" s="1594"/>
      <c r="AD52" s="1594"/>
      <c r="AE52" s="1594"/>
      <c r="AF52" s="1594"/>
      <c r="AG52" s="1594"/>
      <c r="AH52" s="1594"/>
      <c r="AI52" s="1594"/>
      <c r="AJ52" s="1594"/>
      <c r="AK52" s="1594"/>
      <c r="AL52" s="1594"/>
      <c r="AM52" s="1594"/>
      <c r="AN52" s="1594"/>
      <c r="AO52" s="1594"/>
      <c r="AP52" s="1594"/>
      <c r="AQ52" s="1594"/>
      <c r="AR52" s="1594"/>
      <c r="AS52" s="1594"/>
      <c r="AT52" s="1594"/>
      <c r="AU52" s="1594"/>
      <c r="AV52" s="1594"/>
      <c r="AW52" s="1594"/>
      <c r="AX52" s="1594"/>
      <c r="AY52" s="1594"/>
      <c r="AZ52" s="1594"/>
      <c r="BA52" s="1594"/>
      <c r="BB52" s="1594"/>
      <c r="BC52" s="1594"/>
      <c r="BD52" s="1594"/>
      <c r="BE52" s="1594"/>
      <c r="BF52" s="1594"/>
      <c r="BG52" s="1594"/>
      <c r="BH52" s="1594"/>
      <c r="BI52" s="1594"/>
      <c r="BJ52" s="1594"/>
    </row>
    <row r="53" spans="1:62" ht="13.5" thickBot="1">
      <c r="A53" s="1594"/>
      <c r="B53" s="1615"/>
      <c r="C53" s="1616"/>
      <c r="D53" s="1632"/>
      <c r="E53" s="1616" t="s">
        <v>18</v>
      </c>
      <c r="F53" s="1623">
        <v>501774</v>
      </c>
      <c r="G53" s="1616" t="s">
        <v>67</v>
      </c>
      <c r="H53" s="1620">
        <v>136306</v>
      </c>
      <c r="I53" s="1616" t="s">
        <v>12</v>
      </c>
      <c r="J53" s="1630">
        <f>(F53*H53)/1000000</f>
        <v>68394.806844000006</v>
      </c>
      <c r="K53" s="1620">
        <f>(J53/(J$52+J$53+J$54+J$55))*K$56</f>
        <v>7581.1294296492415</v>
      </c>
      <c r="L53" s="1629">
        <f>J53*Q59*0.001102</f>
        <v>0.22611323142626399</v>
      </c>
      <c r="M53" s="1723">
        <f>J53*R59*0.001102</f>
        <v>4.5222646285252799E-2</v>
      </c>
      <c r="N53" s="1594"/>
      <c r="O53" s="1594"/>
      <c r="P53" s="1594"/>
      <c r="Q53" s="1594"/>
      <c r="R53" s="1594"/>
      <c r="S53" s="1594"/>
      <c r="T53" s="1594"/>
      <c r="U53" s="1594"/>
      <c r="V53" s="1594"/>
      <c r="W53" s="1594"/>
      <c r="X53" s="1594"/>
      <c r="Y53" s="1594"/>
      <c r="Z53" s="1594"/>
      <c r="AA53" s="1594"/>
      <c r="AB53" s="1594"/>
      <c r="AC53" s="1594"/>
      <c r="AD53" s="1594"/>
      <c r="AE53" s="1594"/>
      <c r="AF53" s="1594"/>
      <c r="AG53" s="1594"/>
      <c r="AH53" s="1594"/>
      <c r="AI53" s="1594"/>
      <c r="AJ53" s="1594"/>
      <c r="AK53" s="1594"/>
      <c r="AL53" s="1594"/>
      <c r="AM53" s="1594"/>
      <c r="AN53" s="1594"/>
      <c r="AO53" s="1594"/>
      <c r="AP53" s="1594"/>
      <c r="AQ53" s="1594"/>
      <c r="AR53" s="1594"/>
      <c r="AS53" s="1594"/>
      <c r="AT53" s="1594"/>
      <c r="AU53" s="1594"/>
      <c r="AV53" s="1594"/>
      <c r="AW53" s="1594"/>
      <c r="AX53" s="1594"/>
      <c r="AY53" s="1594"/>
      <c r="AZ53" s="1594"/>
      <c r="BA53" s="1594"/>
      <c r="BB53" s="1594"/>
      <c r="BC53" s="1594"/>
      <c r="BD53" s="1594"/>
      <c r="BE53" s="1594"/>
      <c r="BF53" s="1594"/>
      <c r="BG53" s="1594"/>
      <c r="BH53" s="1594"/>
      <c r="BI53" s="1594"/>
      <c r="BJ53" s="1594"/>
    </row>
    <row r="54" spans="1:62" ht="12.75">
      <c r="A54" s="1594"/>
      <c r="B54" s="1615"/>
      <c r="C54" s="1616"/>
      <c r="D54" s="1632"/>
      <c r="E54" s="1616" t="s">
        <v>1154</v>
      </c>
      <c r="F54" s="1623">
        <v>8068</v>
      </c>
      <c r="G54" s="1616" t="s">
        <v>67</v>
      </c>
      <c r="H54" s="1620">
        <v>140366</v>
      </c>
      <c r="I54" s="1616" t="s">
        <v>12</v>
      </c>
      <c r="J54" s="1630">
        <f>(F54*H54)/1000000</f>
        <v>1132.472888</v>
      </c>
      <c r="K54" s="1620">
        <f>(J54/(J$52+J$54+$J54+J$55))*K$56</f>
        <v>126.11460133466296</v>
      </c>
      <c r="L54" s="1629">
        <f>J54*Q64*0.001102</f>
        <v>3.7439553677279997E-3</v>
      </c>
      <c r="M54" s="1723">
        <f>J54*R64*0.001102</f>
        <v>7.487910735455999E-4</v>
      </c>
      <c r="N54" s="1594"/>
      <c r="O54" s="1599" t="s">
        <v>1156</v>
      </c>
      <c r="P54" s="663" t="s">
        <v>1161</v>
      </c>
      <c r="Q54" s="663"/>
      <c r="R54" s="664"/>
      <c r="S54" s="1594"/>
      <c r="T54" s="1594"/>
      <c r="U54" s="1594"/>
      <c r="V54" s="1594"/>
      <c r="W54" s="1594"/>
      <c r="X54" s="1594"/>
      <c r="Y54" s="1594"/>
      <c r="Z54" s="1594"/>
      <c r="AA54" s="1594"/>
      <c r="AB54" s="1594"/>
      <c r="AC54" s="1594"/>
      <c r="AD54" s="1594"/>
      <c r="AE54" s="1594"/>
      <c r="AF54" s="1594"/>
      <c r="AG54" s="1594"/>
      <c r="AH54" s="1594"/>
      <c r="AI54" s="1594"/>
      <c r="AJ54" s="1594"/>
      <c r="AK54" s="1594"/>
      <c r="AL54" s="1594"/>
      <c r="AM54" s="1594"/>
      <c r="AN54" s="1594"/>
      <c r="AO54" s="1594"/>
      <c r="AP54" s="1594"/>
      <c r="AQ54" s="1594"/>
      <c r="AR54" s="1594"/>
      <c r="AS54" s="1594"/>
      <c r="AT54" s="1594"/>
      <c r="AU54" s="1594"/>
      <c r="AV54" s="1594"/>
      <c r="AW54" s="1594"/>
      <c r="AX54" s="1594"/>
      <c r="AY54" s="1594"/>
      <c r="AZ54" s="1594"/>
      <c r="BA54" s="1594"/>
      <c r="BB54" s="1594"/>
      <c r="BC54" s="1594"/>
      <c r="BD54" s="1594"/>
      <c r="BE54" s="1594"/>
      <c r="BF54" s="1594"/>
      <c r="BG54" s="1594"/>
      <c r="BH54" s="1594"/>
      <c r="BI54" s="1594"/>
      <c r="BJ54" s="1594"/>
    </row>
    <row r="55" spans="1:62" ht="15" thickBot="1">
      <c r="A55" s="1594"/>
      <c r="B55" s="1615"/>
      <c r="C55" s="1616"/>
      <c r="D55" s="1632"/>
      <c r="E55" s="1616" t="s">
        <v>77</v>
      </c>
      <c r="F55" s="1623">
        <v>287710</v>
      </c>
      <c r="G55" s="1616" t="s">
        <v>144</v>
      </c>
      <c r="H55" s="1620">
        <v>1067</v>
      </c>
      <c r="I55" s="1616" t="s">
        <v>76</v>
      </c>
      <c r="J55" s="1630">
        <f>(F55*H55)/1000</f>
        <v>306986.57</v>
      </c>
      <c r="K55" s="1620">
        <f>(J55/(J$52+J$53+J$55))*K$56</f>
        <v>34030.176863160646</v>
      </c>
      <c r="L55" s="1629">
        <f>J55*Q58*0.001102</f>
        <v>0.33829920013999998</v>
      </c>
      <c r="M55" s="1723">
        <f>J55*R58*0.0011023</f>
        <v>3.38391296111E-2</v>
      </c>
      <c r="N55" s="1594"/>
      <c r="O55" s="1600"/>
      <c r="P55" s="1601" t="s">
        <v>154</v>
      </c>
      <c r="Q55" s="1601" t="s">
        <v>156</v>
      </c>
      <c r="R55" s="1602" t="s">
        <v>155</v>
      </c>
      <c r="S55" s="1594"/>
      <c r="T55" s="1594"/>
      <c r="U55" s="1594"/>
      <c r="V55" s="1594"/>
      <c r="W55" s="1594"/>
      <c r="X55" s="1594"/>
      <c r="Y55" s="1594"/>
      <c r="Z55" s="1594"/>
      <c r="AA55" s="1594"/>
      <c r="AB55" s="1594"/>
      <c r="AC55" s="1594"/>
      <c r="AD55" s="1594"/>
      <c r="AE55" s="1594"/>
      <c r="AF55" s="1594"/>
      <c r="AG55" s="1594"/>
      <c r="AH55" s="1594"/>
      <c r="AI55" s="1594"/>
      <c r="AJ55" s="1594"/>
      <c r="AK55" s="1594"/>
      <c r="AL55" s="1594"/>
      <c r="AM55" s="1594"/>
      <c r="AN55" s="1594"/>
      <c r="AO55" s="1594"/>
      <c r="AP55" s="1594"/>
      <c r="AQ55" s="1594"/>
      <c r="AR55" s="1594"/>
      <c r="AS55" s="1594"/>
      <c r="AT55" s="1594"/>
      <c r="AU55" s="1594"/>
      <c r="AV55" s="1594"/>
      <c r="AW55" s="1594"/>
      <c r="AX55" s="1594"/>
      <c r="AY55" s="1594"/>
      <c r="AZ55" s="1594"/>
      <c r="BA55" s="1594"/>
      <c r="BB55" s="1594"/>
      <c r="BC55" s="1594"/>
      <c r="BD55" s="1594"/>
      <c r="BE55" s="1594"/>
      <c r="BF55" s="1594"/>
      <c r="BG55" s="1594"/>
      <c r="BH55" s="1594"/>
      <c r="BI55" s="1594"/>
      <c r="BJ55" s="1594"/>
    </row>
    <row r="56" spans="1:62" ht="12.75">
      <c r="A56" s="1594"/>
      <c r="B56" s="1615"/>
      <c r="C56" s="1616"/>
      <c r="D56" s="1632"/>
      <c r="E56" s="1616"/>
      <c r="F56" s="1620"/>
      <c r="G56" s="1616"/>
      <c r="H56" s="1620"/>
      <c r="I56" s="1616"/>
      <c r="J56" s="1625">
        <f>SUM(J52:J55)</f>
        <v>14446542.739732001</v>
      </c>
      <c r="K56" s="1637">
        <v>1601307.4</v>
      </c>
      <c r="L56" s="1638">
        <f>SUM(L52:L55)</f>
        <v>171.12504659151398</v>
      </c>
      <c r="M56" s="1724">
        <f>SUM(M52:M55)</f>
        <v>24.894839119685098</v>
      </c>
      <c r="N56" s="1594"/>
      <c r="O56" s="1603" t="s">
        <v>1157</v>
      </c>
      <c r="P56" s="1604">
        <v>93.28</v>
      </c>
      <c r="Q56" s="1605">
        <v>1.0999999999999999E-2</v>
      </c>
      <c r="R56" s="1606">
        <v>1.6000000000000001E-3</v>
      </c>
      <c r="S56" s="1594"/>
      <c r="T56" s="1594"/>
      <c r="U56" s="1594"/>
      <c r="V56" s="1594"/>
      <c r="W56" s="1594"/>
      <c r="X56" s="1594"/>
      <c r="Y56" s="1594"/>
      <c r="Z56" s="1594"/>
      <c r="AA56" s="1594"/>
      <c r="AB56" s="1594"/>
      <c r="AC56" s="1594"/>
      <c r="AD56" s="1594"/>
      <c r="AE56" s="1594"/>
      <c r="AF56" s="1594"/>
      <c r="AG56" s="1594"/>
      <c r="AH56" s="1594"/>
      <c r="AI56" s="1594"/>
      <c r="AJ56" s="1594"/>
      <c r="AK56" s="1594"/>
      <c r="AL56" s="1594"/>
      <c r="AM56" s="1594"/>
      <c r="AN56" s="1594"/>
      <c r="AO56" s="1594"/>
      <c r="AP56" s="1594"/>
      <c r="AQ56" s="1594"/>
      <c r="AR56" s="1594"/>
      <c r="AS56" s="1594"/>
      <c r="AT56" s="1594"/>
      <c r="AU56" s="1594"/>
      <c r="AV56" s="1594"/>
      <c r="AW56" s="1594"/>
      <c r="AX56" s="1594"/>
      <c r="AY56" s="1594"/>
      <c r="AZ56" s="1594"/>
      <c r="BA56" s="1594"/>
      <c r="BB56" s="1594"/>
      <c r="BC56" s="1594"/>
      <c r="BD56" s="1594"/>
      <c r="BE56" s="1594"/>
      <c r="BF56" s="1594"/>
      <c r="BG56" s="1594"/>
      <c r="BH56" s="1594"/>
      <c r="BI56" s="1594"/>
      <c r="BJ56" s="1594"/>
    </row>
    <row r="57" spans="1:62" ht="12.75">
      <c r="A57" s="1594"/>
      <c r="B57" s="1615"/>
      <c r="C57" s="1616"/>
      <c r="D57" s="1632"/>
      <c r="E57" s="1616"/>
      <c r="F57" s="1620"/>
      <c r="G57" s="1616"/>
      <c r="H57" s="1620"/>
      <c r="I57" s="1616"/>
      <c r="J57" s="1630"/>
      <c r="K57" s="1620"/>
      <c r="L57" s="1629"/>
      <c r="M57" s="1725"/>
      <c r="N57" s="1594"/>
      <c r="O57" s="1607" t="s">
        <v>1158</v>
      </c>
      <c r="P57" s="673">
        <v>97.14</v>
      </c>
      <c r="Q57" s="1597">
        <v>1.0999999999999999E-2</v>
      </c>
      <c r="R57" s="1608">
        <v>1.6000000000000001E-3</v>
      </c>
      <c r="S57" s="1594"/>
      <c r="T57" s="1594"/>
      <c r="U57" s="1594"/>
      <c r="V57" s="1594"/>
      <c r="W57" s="1594"/>
      <c r="X57" s="1594"/>
      <c r="Y57" s="1594"/>
      <c r="Z57" s="1594"/>
      <c r="AA57" s="1594"/>
      <c r="AB57" s="1594"/>
      <c r="AC57" s="1594"/>
      <c r="AD57" s="1594"/>
      <c r="AE57" s="1594"/>
      <c r="AF57" s="1594"/>
      <c r="AG57" s="1594"/>
      <c r="AH57" s="1594"/>
      <c r="AI57" s="1594"/>
      <c r="AJ57" s="1594"/>
      <c r="AK57" s="1594"/>
      <c r="AL57" s="1594"/>
      <c r="AM57" s="1594"/>
      <c r="AN57" s="1594"/>
      <c r="AO57" s="1594"/>
      <c r="AP57" s="1594"/>
      <c r="AQ57" s="1594"/>
      <c r="AR57" s="1594"/>
      <c r="AS57" s="1594"/>
      <c r="AT57" s="1594"/>
      <c r="AU57" s="1594"/>
      <c r="AV57" s="1594"/>
      <c r="AW57" s="1594"/>
      <c r="AX57" s="1594"/>
      <c r="AY57" s="1594"/>
      <c r="AZ57" s="1594"/>
      <c r="BA57" s="1594"/>
      <c r="BB57" s="1594"/>
      <c r="BC57" s="1594"/>
      <c r="BD57" s="1594"/>
      <c r="BE57" s="1594"/>
      <c r="BF57" s="1594"/>
      <c r="BG57" s="1594"/>
      <c r="BH57" s="1594"/>
      <c r="BI57" s="1594"/>
      <c r="BJ57" s="1594"/>
    </row>
    <row r="58" spans="1:62" ht="12.75">
      <c r="A58" s="1594"/>
      <c r="B58" s="1615"/>
      <c r="C58" s="1616" t="s">
        <v>19</v>
      </c>
      <c r="D58" s="1632" t="s">
        <v>1147</v>
      </c>
      <c r="E58" s="1616" t="s">
        <v>1102</v>
      </c>
      <c r="F58" s="1623">
        <v>2757</v>
      </c>
      <c r="G58" s="1616" t="s">
        <v>279</v>
      </c>
      <c r="H58" s="1620">
        <v>12865</v>
      </c>
      <c r="I58" s="1616" t="s">
        <v>1140</v>
      </c>
      <c r="J58" s="1630">
        <f>(F58*H58*2000)/1000000</f>
        <v>70937.61</v>
      </c>
      <c r="K58" s="1620">
        <f>(J58/(J$58+J$59+J$60))*K$61</f>
        <v>3950.2586876140026</v>
      </c>
      <c r="L58" s="1629">
        <f>J58*Q57*0.0011023</f>
        <v>0.86013980253300004</v>
      </c>
      <c r="M58" s="1723">
        <f>J58*R57*0.001102</f>
        <v>0.12507719395200001</v>
      </c>
      <c r="N58" s="1594"/>
      <c r="O58" s="1607" t="s">
        <v>1104</v>
      </c>
      <c r="P58" s="673">
        <v>53.06</v>
      </c>
      <c r="Q58" s="1597">
        <v>1E-3</v>
      </c>
      <c r="R58" s="1608">
        <v>1E-4</v>
      </c>
      <c r="S58" s="1594"/>
      <c r="T58" s="1594"/>
      <c r="U58" s="1594"/>
      <c r="V58" s="1594"/>
      <c r="W58" s="1594"/>
      <c r="X58" s="1594"/>
      <c r="Y58" s="1594"/>
      <c r="Z58" s="1594"/>
      <c r="AA58" s="1594"/>
      <c r="AB58" s="1594"/>
      <c r="AC58" s="1594"/>
      <c r="AD58" s="1594"/>
      <c r="AE58" s="1594"/>
      <c r="AF58" s="1594"/>
      <c r="AG58" s="1594"/>
      <c r="AH58" s="1594"/>
      <c r="AI58" s="1594"/>
      <c r="AJ58" s="1594"/>
      <c r="AK58" s="1594"/>
      <c r="AL58" s="1594"/>
      <c r="AM58" s="1594"/>
      <c r="AN58" s="1594"/>
      <c r="AO58" s="1594"/>
      <c r="AP58" s="1594"/>
      <c r="AQ58" s="1594"/>
      <c r="AR58" s="1594"/>
      <c r="AS58" s="1594"/>
      <c r="AT58" s="1594"/>
      <c r="AU58" s="1594"/>
      <c r="AV58" s="1594"/>
      <c r="AW58" s="1594"/>
      <c r="AX58" s="1594"/>
      <c r="AY58" s="1594"/>
      <c r="AZ58" s="1594"/>
      <c r="BA58" s="1594"/>
      <c r="BB58" s="1594"/>
      <c r="BC58" s="1594"/>
      <c r="BD58" s="1594"/>
      <c r="BE58" s="1594"/>
      <c r="BF58" s="1594"/>
      <c r="BG58" s="1594"/>
      <c r="BH58" s="1594"/>
      <c r="BI58" s="1594"/>
      <c r="BJ58" s="1594"/>
    </row>
    <row r="59" spans="1:62" ht="12.75">
      <c r="A59" s="1594"/>
      <c r="B59" s="1615"/>
      <c r="C59" s="1616"/>
      <c r="D59" s="1632"/>
      <c r="E59" s="1616" t="s">
        <v>18</v>
      </c>
      <c r="F59" s="1623">
        <v>54180</v>
      </c>
      <c r="G59" s="1616" t="s">
        <v>67</v>
      </c>
      <c r="H59" s="1620">
        <v>135811</v>
      </c>
      <c r="I59" s="1616" t="s">
        <v>12</v>
      </c>
      <c r="J59" s="1630">
        <f>(F59*H59)/1000000</f>
        <v>7358.2399800000003</v>
      </c>
      <c r="K59" s="1620">
        <f>(J59/(J$58+J$59+J$60))*K$61</f>
        <v>409.75374567234064</v>
      </c>
      <c r="L59" s="1629">
        <f>J59*Q59*0.001102</f>
        <v>2.4326341373879998E-2</v>
      </c>
      <c r="M59" s="1723">
        <f>J59*R59*0.001102</f>
        <v>4.8652682747759995E-3</v>
      </c>
      <c r="N59" s="1594"/>
      <c r="O59" s="1607" t="s">
        <v>1159</v>
      </c>
      <c r="P59" s="673">
        <v>73.959999999999994</v>
      </c>
      <c r="Q59" s="1597">
        <v>3.0000000000000001E-3</v>
      </c>
      <c r="R59" s="1608">
        <v>5.9999999999999995E-4</v>
      </c>
      <c r="S59" s="1594"/>
      <c r="T59" s="1594"/>
      <c r="U59" s="1594"/>
      <c r="V59" s="1594"/>
      <c r="W59" s="1594"/>
      <c r="X59" s="1594"/>
      <c r="Y59" s="1594"/>
      <c r="Z59" s="1594"/>
      <c r="AA59" s="1594"/>
      <c r="AB59" s="1594"/>
      <c r="AC59" s="1594"/>
      <c r="AD59" s="1594"/>
      <c r="AE59" s="1594"/>
      <c r="AF59" s="1594"/>
      <c r="AG59" s="1594"/>
      <c r="AH59" s="1594"/>
      <c r="AI59" s="1594"/>
      <c r="AJ59" s="1594"/>
      <c r="AK59" s="1594"/>
      <c r="AL59" s="1594"/>
      <c r="AM59" s="1594"/>
      <c r="AN59" s="1594"/>
      <c r="AO59" s="1594"/>
      <c r="AP59" s="1594"/>
      <c r="AQ59" s="1594"/>
      <c r="AR59" s="1594"/>
      <c r="AS59" s="1594"/>
      <c r="AT59" s="1594"/>
      <c r="AU59" s="1594"/>
      <c r="AV59" s="1594"/>
      <c r="AW59" s="1594"/>
      <c r="AX59" s="1594"/>
      <c r="AY59" s="1594"/>
      <c r="AZ59" s="1594"/>
      <c r="BA59" s="1594"/>
      <c r="BB59" s="1594"/>
      <c r="BC59" s="1594"/>
      <c r="BD59" s="1594"/>
      <c r="BE59" s="1594"/>
      <c r="BF59" s="1594"/>
      <c r="BG59" s="1594"/>
      <c r="BH59" s="1594"/>
      <c r="BI59" s="1594"/>
      <c r="BJ59" s="1594"/>
    </row>
    <row r="60" spans="1:62" ht="12.75">
      <c r="A60" s="1594"/>
      <c r="B60" s="1615"/>
      <c r="C60" s="1616"/>
      <c r="D60" s="1632"/>
      <c r="E60" s="1616" t="s">
        <v>77</v>
      </c>
      <c r="F60" s="1623">
        <v>2610880</v>
      </c>
      <c r="G60" s="1616" t="s">
        <v>144</v>
      </c>
      <c r="H60" s="1620">
        <v>1064.175</v>
      </c>
      <c r="I60" s="1616" t="s">
        <v>76</v>
      </c>
      <c r="J60" s="1630">
        <f>(F60*H60)/1000</f>
        <v>2778433.2239999999</v>
      </c>
      <c r="K60" s="1620">
        <f>(J60/(J$58+J$59+J$60))*K$61</f>
        <v>154720.88756671365</v>
      </c>
      <c r="L60" s="1629">
        <f>J60*Q58*0.001102</f>
        <v>3.0618334128479994</v>
      </c>
      <c r="M60" s="1723">
        <f>J60*R58*0.001102</f>
        <v>0.30618334128480001</v>
      </c>
      <c r="N60" s="1594"/>
      <c r="O60" s="1607" t="s">
        <v>1160</v>
      </c>
      <c r="P60" s="673">
        <v>75.099999999999994</v>
      </c>
      <c r="Q60" s="1597">
        <v>3.0000000000000001E-3</v>
      </c>
      <c r="R60" s="1608">
        <v>5.9999999999999995E-4</v>
      </c>
      <c r="S60" s="1594"/>
      <c r="T60" s="1594"/>
      <c r="U60" s="1594"/>
      <c r="V60" s="1594"/>
      <c r="W60" s="1594"/>
      <c r="X60" s="1594"/>
      <c r="Y60" s="1594"/>
      <c r="Z60" s="1594"/>
      <c r="AA60" s="1594"/>
      <c r="AB60" s="1594"/>
      <c r="AC60" s="1594"/>
      <c r="AD60" s="1594"/>
      <c r="AE60" s="1594"/>
      <c r="AF60" s="1594"/>
      <c r="AG60" s="1594"/>
      <c r="AH60" s="1594"/>
      <c r="AI60" s="1594"/>
      <c r="AJ60" s="1594"/>
      <c r="AK60" s="1594"/>
      <c r="AL60" s="1594"/>
      <c r="AM60" s="1594"/>
      <c r="AN60" s="1594"/>
      <c r="AO60" s="1594"/>
      <c r="AP60" s="1594"/>
      <c r="AQ60" s="1594"/>
      <c r="AR60" s="1594"/>
      <c r="AS60" s="1594"/>
      <c r="AT60" s="1594"/>
      <c r="AU60" s="1594"/>
      <c r="AV60" s="1594"/>
      <c r="AW60" s="1594"/>
      <c r="AX60" s="1594"/>
      <c r="AY60" s="1594"/>
      <c r="AZ60" s="1594"/>
      <c r="BA60" s="1594"/>
      <c r="BB60" s="1594"/>
      <c r="BC60" s="1594"/>
      <c r="BD60" s="1594"/>
      <c r="BE60" s="1594"/>
      <c r="BF60" s="1594"/>
      <c r="BG60" s="1594"/>
      <c r="BH60" s="1594"/>
      <c r="BI60" s="1594"/>
      <c r="BJ60" s="1594"/>
    </row>
    <row r="61" spans="1:62" ht="12.75">
      <c r="A61" s="1594"/>
      <c r="B61" s="1615"/>
      <c r="C61" s="1616"/>
      <c r="D61" s="1632"/>
      <c r="E61" s="1616"/>
      <c r="F61" s="1620"/>
      <c r="G61" s="1616"/>
      <c r="H61" s="1620"/>
      <c r="I61" s="1616"/>
      <c r="J61" s="1625">
        <f>SUM(J58:J60)</f>
        <v>2856729.0739799999</v>
      </c>
      <c r="K61" s="1637">
        <v>159080.9</v>
      </c>
      <c r="L61" s="1638">
        <f>SUM(L58:L60)</f>
        <v>3.9462995567548793</v>
      </c>
      <c r="M61" s="1724">
        <f>SUM(M58:M60)</f>
        <v>0.43612580351157604</v>
      </c>
      <c r="N61" s="1594"/>
      <c r="O61" s="1607" t="s">
        <v>909</v>
      </c>
      <c r="P61" s="673">
        <v>75.2</v>
      </c>
      <c r="Q61" s="1597">
        <v>3.0000000000000001E-3</v>
      </c>
      <c r="R61" s="1608">
        <v>5.9999999999999995E-4</v>
      </c>
      <c r="S61" s="1594"/>
      <c r="T61" s="1594"/>
      <c r="U61" s="1594"/>
      <c r="V61" s="1594"/>
      <c r="W61" s="1594"/>
      <c r="X61" s="1594"/>
      <c r="Y61" s="1594"/>
      <c r="Z61" s="1594"/>
      <c r="AA61" s="1594"/>
      <c r="AB61" s="1594"/>
      <c r="AC61" s="1594"/>
      <c r="AD61" s="1594"/>
      <c r="AE61" s="1594"/>
      <c r="AF61" s="1594"/>
      <c r="AG61" s="1594"/>
      <c r="AH61" s="1594"/>
      <c r="AI61" s="1594"/>
      <c r="AJ61" s="1594"/>
      <c r="AK61" s="1594"/>
      <c r="AL61" s="1594"/>
      <c r="AM61" s="1594"/>
      <c r="AN61" s="1594"/>
      <c r="AO61" s="1594"/>
      <c r="AP61" s="1594"/>
      <c r="AQ61" s="1594"/>
      <c r="AR61" s="1594"/>
      <c r="AS61" s="1594"/>
      <c r="AT61" s="1594"/>
      <c r="AU61" s="1594"/>
      <c r="AV61" s="1594"/>
      <c r="AW61" s="1594"/>
      <c r="AX61" s="1594"/>
      <c r="AY61" s="1594"/>
      <c r="AZ61" s="1594"/>
      <c r="BA61" s="1594"/>
      <c r="BB61" s="1594"/>
      <c r="BC61" s="1594"/>
      <c r="BD61" s="1594"/>
      <c r="BE61" s="1594"/>
      <c r="BF61" s="1594"/>
      <c r="BG61" s="1594"/>
      <c r="BH61" s="1594"/>
      <c r="BI61" s="1594"/>
      <c r="BJ61" s="1594"/>
    </row>
    <row r="62" spans="1:62" ht="12.75">
      <c r="A62" s="1594"/>
      <c r="B62" s="1615"/>
      <c r="C62" s="1616"/>
      <c r="D62" s="1632"/>
      <c r="E62" s="1616"/>
      <c r="F62" s="1620"/>
      <c r="G62" s="1616"/>
      <c r="H62" s="1620"/>
      <c r="I62" s="1616"/>
      <c r="J62" s="1630"/>
      <c r="K62" s="1620"/>
      <c r="L62" s="1629"/>
      <c r="M62" s="1725"/>
      <c r="N62" s="1594"/>
      <c r="O62" s="1607" t="s">
        <v>794</v>
      </c>
      <c r="P62" s="673">
        <v>62.87</v>
      </c>
      <c r="Q62" s="1597">
        <v>3.0000000000000001E-3</v>
      </c>
      <c r="R62" s="1608">
        <v>5.9999999999999995E-4</v>
      </c>
      <c r="S62" s="1594"/>
      <c r="T62" s="1594"/>
      <c r="U62" s="1594"/>
      <c r="V62" s="1594"/>
      <c r="W62" s="1594"/>
      <c r="X62" s="1594"/>
      <c r="Y62" s="1594"/>
      <c r="Z62" s="1594"/>
      <c r="AA62" s="1594"/>
      <c r="AB62" s="1594"/>
      <c r="AC62" s="1594"/>
      <c r="AD62" s="1594"/>
      <c r="AE62" s="1594"/>
      <c r="AF62" s="1594"/>
      <c r="AG62" s="1594"/>
      <c r="AH62" s="1594"/>
      <c r="AI62" s="1594"/>
      <c r="AJ62" s="1594"/>
      <c r="AK62" s="1594"/>
      <c r="AL62" s="1594"/>
      <c r="AM62" s="1594"/>
      <c r="AN62" s="1594"/>
      <c r="AO62" s="1594"/>
      <c r="AP62" s="1594"/>
      <c r="AQ62" s="1594"/>
      <c r="AR62" s="1594"/>
      <c r="AS62" s="1594"/>
      <c r="AT62" s="1594"/>
      <c r="AU62" s="1594"/>
      <c r="AV62" s="1594"/>
      <c r="AW62" s="1594"/>
      <c r="AX62" s="1594"/>
      <c r="AY62" s="1594"/>
      <c r="AZ62" s="1594"/>
      <c r="BA62" s="1594"/>
      <c r="BB62" s="1594"/>
      <c r="BC62" s="1594"/>
      <c r="BD62" s="1594"/>
      <c r="BE62" s="1594"/>
      <c r="BF62" s="1594"/>
      <c r="BG62" s="1594"/>
      <c r="BH62" s="1594"/>
      <c r="BI62" s="1594"/>
      <c r="BJ62" s="1594"/>
    </row>
    <row r="63" spans="1:62" ht="12.75">
      <c r="A63" s="1594"/>
      <c r="B63" s="1615"/>
      <c r="C63" s="1616" t="s">
        <v>21</v>
      </c>
      <c r="D63" s="1632" t="s">
        <v>20</v>
      </c>
      <c r="E63" s="1616" t="s">
        <v>1102</v>
      </c>
      <c r="F63" s="1623">
        <v>2399</v>
      </c>
      <c r="G63" s="1616" t="s">
        <v>279</v>
      </c>
      <c r="H63" s="1620">
        <v>12865</v>
      </c>
      <c r="I63" s="1616" t="s">
        <v>1140</v>
      </c>
      <c r="J63" s="1630">
        <f>(F63*H63*2000)/1000000</f>
        <v>61726.27</v>
      </c>
      <c r="K63" s="1620">
        <f>(J63/(J$63+J$64+J$65))*K$66</f>
        <v>3685.1145177804701</v>
      </c>
      <c r="L63" s="1629">
        <f>J63*Q57*0.001102</f>
        <v>0.74824584493999979</v>
      </c>
      <c r="M63" s="1723">
        <f>J63*R57*0.001102</f>
        <v>0.10883575926399999</v>
      </c>
      <c r="N63" s="1594"/>
      <c r="O63" s="1607" t="s">
        <v>217</v>
      </c>
      <c r="P63" s="673">
        <v>66.88</v>
      </c>
      <c r="Q63" s="1597">
        <v>3.0000000000000001E-3</v>
      </c>
      <c r="R63" s="1608">
        <v>5.9999999999999995E-4</v>
      </c>
      <c r="S63" s="1594"/>
      <c r="T63" s="1594"/>
      <c r="U63" s="1594"/>
      <c r="V63" s="1594"/>
      <c r="W63" s="1594"/>
      <c r="X63" s="1594"/>
      <c r="Y63" s="1594"/>
      <c r="Z63" s="1594"/>
      <c r="AA63" s="1594"/>
      <c r="AB63" s="1594"/>
      <c r="AC63" s="1594"/>
      <c r="AD63" s="1594"/>
      <c r="AE63" s="1594"/>
      <c r="AF63" s="1594"/>
      <c r="AG63" s="1594"/>
      <c r="AH63" s="1594"/>
      <c r="AI63" s="1594"/>
      <c r="AJ63" s="1594"/>
      <c r="AK63" s="1594"/>
      <c r="AL63" s="1594"/>
      <c r="AM63" s="1594"/>
      <c r="AN63" s="1594"/>
      <c r="AO63" s="1594"/>
      <c r="AP63" s="1594"/>
      <c r="AQ63" s="1594"/>
      <c r="AR63" s="1594"/>
      <c r="AS63" s="1594"/>
      <c r="AT63" s="1594"/>
      <c r="AU63" s="1594"/>
      <c r="AV63" s="1594"/>
      <c r="AW63" s="1594"/>
      <c r="AX63" s="1594"/>
      <c r="AY63" s="1594"/>
      <c r="AZ63" s="1594"/>
      <c r="BA63" s="1594"/>
      <c r="BB63" s="1594"/>
      <c r="BC63" s="1594"/>
      <c r="BD63" s="1594"/>
      <c r="BE63" s="1594"/>
      <c r="BF63" s="1594"/>
      <c r="BG63" s="1594"/>
      <c r="BH63" s="1594"/>
      <c r="BI63" s="1594"/>
      <c r="BJ63" s="1594"/>
    </row>
    <row r="64" spans="1:62" ht="13.5" thickBot="1">
      <c r="A64" s="1594"/>
      <c r="B64" s="1615"/>
      <c r="C64" s="1616"/>
      <c r="D64" s="1632"/>
      <c r="E64" s="1616" t="s">
        <v>18</v>
      </c>
      <c r="F64" s="1623">
        <v>70660</v>
      </c>
      <c r="G64" s="1616" t="s">
        <v>67</v>
      </c>
      <c r="H64" s="1620">
        <v>135444</v>
      </c>
      <c r="I64" s="1616" t="s">
        <v>12</v>
      </c>
      <c r="J64" s="1630">
        <f>(F64*H64)/1000000</f>
        <v>9570.4730400000008</v>
      </c>
      <c r="K64" s="1620">
        <f>(J64/(J$63+J$64+J$65))*K$66</f>
        <v>571.3659539403659</v>
      </c>
      <c r="L64" s="1629">
        <f>J64*Q59*0.001102</f>
        <v>3.1639983870240002E-2</v>
      </c>
      <c r="M64" s="1723">
        <f>J64*R59*0.001102</f>
        <v>6.327996774048E-3</v>
      </c>
      <c r="N64" s="1594"/>
      <c r="O64" s="1600" t="s">
        <v>1154</v>
      </c>
      <c r="P64" s="1609">
        <v>74</v>
      </c>
      <c r="Q64" s="1610">
        <v>3.0000000000000001E-3</v>
      </c>
      <c r="R64" s="1611">
        <v>5.9999999999999995E-4</v>
      </c>
      <c r="S64" s="1594"/>
      <c r="T64" s="1594"/>
      <c r="U64" s="1594"/>
      <c r="V64" s="1594"/>
      <c r="W64" s="1594"/>
      <c r="X64" s="1594"/>
      <c r="Y64" s="1594"/>
      <c r="Z64" s="1594"/>
      <c r="AA64" s="1594"/>
      <c r="AB64" s="1594"/>
      <c r="AC64" s="1594"/>
      <c r="AD64" s="1594"/>
      <c r="AE64" s="1594"/>
      <c r="AF64" s="1594"/>
      <c r="AG64" s="1594"/>
      <c r="AH64" s="1594"/>
      <c r="AI64" s="1594"/>
      <c r="AJ64" s="1594"/>
      <c r="AK64" s="1594"/>
      <c r="AL64" s="1594"/>
      <c r="AM64" s="1594"/>
      <c r="AN64" s="1594"/>
      <c r="AO64" s="1594"/>
      <c r="AP64" s="1594"/>
      <c r="AQ64" s="1594"/>
      <c r="AR64" s="1594"/>
      <c r="AS64" s="1594"/>
      <c r="AT64" s="1594"/>
      <c r="AU64" s="1594"/>
      <c r="AV64" s="1594"/>
      <c r="AW64" s="1594"/>
      <c r="AX64" s="1594"/>
      <c r="AY64" s="1594"/>
      <c r="AZ64" s="1594"/>
      <c r="BA64" s="1594"/>
      <c r="BB64" s="1594"/>
      <c r="BC64" s="1594"/>
      <c r="BD64" s="1594"/>
      <c r="BE64" s="1594"/>
      <c r="BF64" s="1594"/>
      <c r="BG64" s="1594"/>
      <c r="BH64" s="1594"/>
      <c r="BI64" s="1594"/>
      <c r="BJ64" s="1594"/>
    </row>
    <row r="65" spans="1:62" ht="12.75">
      <c r="A65" s="1594"/>
      <c r="B65" s="1615"/>
      <c r="C65" s="1616"/>
      <c r="D65" s="1632"/>
      <c r="E65" s="1616" t="s">
        <v>77</v>
      </c>
      <c r="F65" s="1623">
        <v>2095750</v>
      </c>
      <c r="G65" s="1616" t="s">
        <v>144</v>
      </c>
      <c r="H65" s="1620">
        <v>1068</v>
      </c>
      <c r="I65" s="1616" t="s">
        <v>76</v>
      </c>
      <c r="J65" s="1630">
        <f>(F65*H65)/1000</f>
        <v>2238261</v>
      </c>
      <c r="K65" s="1620">
        <f>(J65/(J$63+J$64+J$65))*K$66</f>
        <v>133626.21952827918</v>
      </c>
      <c r="L65" s="1629">
        <f>J65*Q58*0.001102</f>
        <v>2.4665636219999998</v>
      </c>
      <c r="M65" s="1723">
        <f>J65*R58*0.001102</f>
        <v>0.24665636219999998</v>
      </c>
      <c r="N65" s="1594"/>
      <c r="O65" s="1594"/>
      <c r="P65" s="1594"/>
      <c r="Q65" s="1594"/>
      <c r="R65" s="1594"/>
      <c r="S65" s="1594"/>
      <c r="T65" s="1594"/>
      <c r="U65" s="1594"/>
      <c r="V65" s="1594"/>
      <c r="W65" s="1594"/>
      <c r="X65" s="1594"/>
      <c r="Y65" s="1594"/>
      <c r="Z65" s="1594"/>
      <c r="AA65" s="1594"/>
      <c r="AB65" s="1594"/>
      <c r="AC65" s="1594"/>
      <c r="AD65" s="1594"/>
      <c r="AE65" s="1594"/>
      <c r="AF65" s="1594"/>
      <c r="AG65" s="1594"/>
      <c r="AH65" s="1594"/>
      <c r="AI65" s="1594"/>
      <c r="AJ65" s="1594"/>
      <c r="AK65" s="1594"/>
      <c r="AL65" s="1594"/>
      <c r="AM65" s="1594"/>
      <c r="AN65" s="1594"/>
      <c r="AO65" s="1594"/>
      <c r="AP65" s="1594"/>
      <c r="AQ65" s="1594"/>
      <c r="AR65" s="1594"/>
      <c r="AS65" s="1594"/>
      <c r="AT65" s="1594"/>
      <c r="AU65" s="1594"/>
      <c r="AV65" s="1594"/>
      <c r="AW65" s="1594"/>
      <c r="AX65" s="1594"/>
      <c r="AY65" s="1594"/>
      <c r="AZ65" s="1594"/>
      <c r="BA65" s="1594"/>
      <c r="BB65" s="1594"/>
      <c r="BC65" s="1594"/>
      <c r="BD65" s="1594"/>
      <c r="BE65" s="1594"/>
      <c r="BF65" s="1594"/>
      <c r="BG65" s="1594"/>
      <c r="BH65" s="1594"/>
      <c r="BI65" s="1594"/>
      <c r="BJ65" s="1594"/>
    </row>
    <row r="66" spans="1:62" ht="12.75">
      <c r="A66" s="1594"/>
      <c r="B66" s="1615"/>
      <c r="C66" s="1616"/>
      <c r="D66" s="1632"/>
      <c r="E66" s="1616"/>
      <c r="F66" s="1620"/>
      <c r="G66" s="1616"/>
      <c r="H66" s="1620"/>
      <c r="I66" s="1616"/>
      <c r="J66" s="1625">
        <f>SUM(J63:J65)</f>
        <v>2309557.7430400001</v>
      </c>
      <c r="K66" s="1637">
        <v>137882.70000000001</v>
      </c>
      <c r="L66" s="1638">
        <f>SUM(L63:L65)</f>
        <v>3.2464494508102395</v>
      </c>
      <c r="M66" s="1724">
        <f>SUM(M63:M65)</f>
        <v>0.36182011823804794</v>
      </c>
      <c r="N66" s="1594"/>
      <c r="O66" s="1594"/>
      <c r="P66" s="1594"/>
      <c r="Q66" s="1594"/>
      <c r="R66" s="1594"/>
      <c r="S66" s="1594"/>
      <c r="T66" s="1594"/>
      <c r="U66" s="1594"/>
      <c r="V66" s="1594"/>
      <c r="W66" s="1594"/>
      <c r="X66" s="1594"/>
      <c r="Y66" s="1594"/>
      <c r="Z66" s="1594"/>
      <c r="AA66" s="1594"/>
      <c r="AB66" s="1594"/>
      <c r="AC66" s="1594"/>
      <c r="AD66" s="1594"/>
      <c r="AE66" s="1594"/>
      <c r="AF66" s="1594"/>
      <c r="AG66" s="1594"/>
      <c r="AH66" s="1594"/>
      <c r="AI66" s="1594"/>
      <c r="AJ66" s="1594"/>
      <c r="AK66" s="1594"/>
      <c r="AL66" s="1594"/>
      <c r="AM66" s="1594"/>
      <c r="AN66" s="1594"/>
      <c r="AO66" s="1594"/>
      <c r="AP66" s="1594"/>
      <c r="AQ66" s="1594"/>
      <c r="AR66" s="1594"/>
      <c r="AS66" s="1594"/>
      <c r="AT66" s="1594"/>
      <c r="AU66" s="1594"/>
      <c r="AV66" s="1594"/>
      <c r="AW66" s="1594"/>
      <c r="AX66" s="1594"/>
      <c r="AY66" s="1594"/>
      <c r="AZ66" s="1594"/>
      <c r="BA66" s="1594"/>
      <c r="BB66" s="1594"/>
      <c r="BC66" s="1594"/>
      <c r="BD66" s="1594"/>
      <c r="BE66" s="1594"/>
      <c r="BF66" s="1594"/>
      <c r="BG66" s="1594"/>
      <c r="BH66" s="1594"/>
      <c r="BI66" s="1594"/>
      <c r="BJ66" s="1594"/>
    </row>
    <row r="67" spans="1:62" ht="13.5" thickBot="1">
      <c r="A67" s="1594"/>
      <c r="B67" s="1615"/>
      <c r="C67" s="1616"/>
      <c r="D67" s="1632"/>
      <c r="E67" s="1616"/>
      <c r="F67" s="1620"/>
      <c r="G67" s="1616"/>
      <c r="H67" s="1620"/>
      <c r="I67" s="1616"/>
      <c r="J67" s="1625"/>
      <c r="K67" s="1620"/>
      <c r="L67" s="1629"/>
      <c r="M67" s="1725"/>
      <c r="N67" s="1594"/>
      <c r="O67" s="3058" t="s">
        <v>1162</v>
      </c>
      <c r="P67" s="3059"/>
      <c r="Q67" s="3059"/>
      <c r="R67" s="1594"/>
      <c r="S67" s="1594"/>
      <c r="T67" s="1594"/>
      <c r="U67" s="1594"/>
      <c r="V67" s="1594"/>
      <c r="W67" s="1594"/>
      <c r="X67" s="1594"/>
      <c r="Y67" s="1594"/>
      <c r="Z67" s="1594"/>
      <c r="AA67" s="1594"/>
      <c r="AB67" s="1594"/>
      <c r="AC67" s="1594"/>
      <c r="AD67" s="1594"/>
      <c r="AE67" s="1594"/>
      <c r="AF67" s="1594"/>
      <c r="AG67" s="1594"/>
      <c r="AH67" s="1594"/>
      <c r="AI67" s="1594"/>
      <c r="AJ67" s="1594"/>
      <c r="AK67" s="1594"/>
      <c r="AL67" s="1594"/>
      <c r="AM67" s="1594"/>
      <c r="AN67" s="1594"/>
      <c r="AO67" s="1594"/>
      <c r="AP67" s="1594"/>
      <c r="AQ67" s="1594"/>
      <c r="AR67" s="1594"/>
      <c r="AS67" s="1594"/>
      <c r="AT67" s="1594"/>
      <c r="AU67" s="1594"/>
      <c r="AV67" s="1594"/>
      <c r="AW67" s="1594"/>
      <c r="AX67" s="1594"/>
      <c r="AY67" s="1594"/>
      <c r="AZ67" s="1594"/>
      <c r="BA67" s="1594"/>
      <c r="BB67" s="1594"/>
      <c r="BC67" s="1594"/>
      <c r="BD67" s="1594"/>
      <c r="BE67" s="1594"/>
      <c r="BF67" s="1594"/>
      <c r="BG67" s="1594"/>
      <c r="BH67" s="1594"/>
      <c r="BI67" s="1594"/>
      <c r="BJ67" s="1594"/>
    </row>
    <row r="68" spans="1:62" ht="16.5" thickBot="1">
      <c r="A68" s="1594"/>
      <c r="B68" s="1615"/>
      <c r="C68" s="1616" t="s">
        <v>287</v>
      </c>
      <c r="D68" s="1642" t="s">
        <v>22</v>
      </c>
      <c r="E68" s="1616" t="s">
        <v>18</v>
      </c>
      <c r="F68" s="1623">
        <v>202020</v>
      </c>
      <c r="G68" s="1616" t="s">
        <v>67</v>
      </c>
      <c r="H68" s="1620">
        <v>136306</v>
      </c>
      <c r="I68" s="1616" t="s">
        <v>12</v>
      </c>
      <c r="J68" s="1625">
        <f>(F68*H68)/1000000</f>
        <v>27536.538120000001</v>
      </c>
      <c r="K68" s="1637">
        <v>2244.9699999999998</v>
      </c>
      <c r="L68" s="1643">
        <f>J68*Q59*0.001102</f>
        <v>9.1035795024720007E-2</v>
      </c>
      <c r="M68" s="1724">
        <f>J68*R59*0.001102</f>
        <v>1.8207159004943997E-2</v>
      </c>
      <c r="N68" s="1594"/>
      <c r="O68" s="1612" t="s">
        <v>391</v>
      </c>
      <c r="P68" s="1612">
        <v>1</v>
      </c>
      <c r="Q68" s="1594"/>
      <c r="R68" s="1594"/>
      <c r="S68" s="1594"/>
      <c r="T68" s="1594"/>
      <c r="U68" s="1594"/>
      <c r="V68" s="1594"/>
      <c r="W68" s="1594"/>
      <c r="X68" s="1594"/>
      <c r="Y68" s="1594"/>
      <c r="Z68" s="1594"/>
      <c r="AA68" s="1594"/>
      <c r="AB68" s="1594"/>
      <c r="AC68" s="1594"/>
      <c r="AD68" s="1594"/>
      <c r="AE68" s="1594"/>
      <c r="AF68" s="1594"/>
      <c r="AG68" s="1594"/>
      <c r="AH68" s="1594"/>
      <c r="AI68" s="1594"/>
      <c r="AJ68" s="1594"/>
      <c r="AK68" s="1594"/>
      <c r="AL68" s="1594"/>
      <c r="AM68" s="1594"/>
      <c r="AN68" s="1594"/>
      <c r="AO68" s="1594"/>
      <c r="AP68" s="1594"/>
      <c r="AQ68" s="1594"/>
      <c r="AR68" s="1594"/>
      <c r="AS68" s="1594"/>
      <c r="AT68" s="1594"/>
      <c r="AU68" s="1594"/>
      <c r="AV68" s="1594"/>
      <c r="AW68" s="1594"/>
      <c r="AX68" s="1594"/>
      <c r="AY68" s="1594"/>
      <c r="AZ68" s="1594"/>
      <c r="BA68" s="1594"/>
      <c r="BB68" s="1594"/>
      <c r="BC68" s="1594"/>
      <c r="BD68" s="1594"/>
      <c r="BE68" s="1594"/>
      <c r="BF68" s="1594"/>
      <c r="BG68" s="1594"/>
      <c r="BH68" s="1594"/>
      <c r="BI68" s="1594"/>
      <c r="BJ68" s="1594"/>
    </row>
    <row r="69" spans="1:62" ht="16.5" thickBot="1">
      <c r="A69" s="1594"/>
      <c r="B69" s="1615"/>
      <c r="C69" s="1616"/>
      <c r="D69" s="1632"/>
      <c r="E69" s="1616"/>
      <c r="F69" s="1620"/>
      <c r="G69" s="1616"/>
      <c r="H69" s="1620"/>
      <c r="I69" s="1616"/>
      <c r="J69" s="1630"/>
      <c r="K69" s="1620"/>
      <c r="L69" s="1629"/>
      <c r="M69" s="1725"/>
      <c r="N69" s="1594"/>
      <c r="O69" s="1612" t="s">
        <v>392</v>
      </c>
      <c r="P69" s="1612">
        <v>21</v>
      </c>
      <c r="Q69" s="1594"/>
      <c r="R69" s="1594"/>
      <c r="S69" s="1594"/>
      <c r="T69" s="1594"/>
      <c r="U69" s="1594"/>
      <c r="V69" s="1594"/>
      <c r="W69" s="1594"/>
      <c r="X69" s="1594"/>
      <c r="Y69" s="1594"/>
      <c r="Z69" s="1594"/>
      <c r="AA69" s="1594"/>
      <c r="AB69" s="1594"/>
      <c r="AC69" s="1594"/>
      <c r="AD69" s="1594"/>
      <c r="AE69" s="1594"/>
      <c r="AF69" s="1594"/>
      <c r="AG69" s="1594"/>
      <c r="AH69" s="1594"/>
      <c r="AI69" s="1594"/>
      <c r="AJ69" s="1594"/>
      <c r="AK69" s="1594"/>
      <c r="AL69" s="1594"/>
      <c r="AM69" s="1594"/>
      <c r="AN69" s="1594"/>
      <c r="AO69" s="1594"/>
      <c r="AP69" s="1594"/>
      <c r="AQ69" s="1594"/>
      <c r="AR69" s="1594"/>
      <c r="AS69" s="1594"/>
      <c r="AT69" s="1594"/>
      <c r="AU69" s="1594"/>
      <c r="AV69" s="1594"/>
      <c r="AW69" s="1594"/>
      <c r="AX69" s="1594"/>
      <c r="AY69" s="1594"/>
      <c r="AZ69" s="1594"/>
      <c r="BA69" s="1594"/>
      <c r="BB69" s="1594"/>
      <c r="BC69" s="1594"/>
      <c r="BD69" s="1594"/>
      <c r="BE69" s="1594"/>
      <c r="BF69" s="1594"/>
      <c r="BG69" s="1594"/>
      <c r="BH69" s="1594"/>
      <c r="BI69" s="1594"/>
      <c r="BJ69" s="1594"/>
    </row>
    <row r="70" spans="1:62" ht="16.5" thickBot="1">
      <c r="A70" s="1594"/>
      <c r="B70" s="1615"/>
      <c r="C70" s="1616" t="s">
        <v>23</v>
      </c>
      <c r="D70" s="1632" t="s">
        <v>24</v>
      </c>
      <c r="E70" s="1616" t="s">
        <v>18</v>
      </c>
      <c r="F70" s="1623">
        <v>227840</v>
      </c>
      <c r="G70" s="1616" t="s">
        <v>67</v>
      </c>
      <c r="H70" s="1620">
        <v>136306</v>
      </c>
      <c r="I70" s="1616" t="s">
        <v>12</v>
      </c>
      <c r="J70" s="1625">
        <v>10527</v>
      </c>
      <c r="K70" s="1637">
        <v>2467.3000000000002</v>
      </c>
      <c r="L70" s="1643">
        <f>J70*Q59*0.001102</f>
        <v>3.4802261999999994E-2</v>
      </c>
      <c r="M70" s="1724">
        <f>J70*R59*0.001102</f>
        <v>6.9604523999999991E-3</v>
      </c>
      <c r="N70" s="1594"/>
      <c r="O70" s="1612" t="s">
        <v>1191</v>
      </c>
      <c r="P70" s="1612">
        <v>310</v>
      </c>
      <c r="Q70" s="1594"/>
      <c r="R70" s="1594"/>
      <c r="S70" s="1594"/>
      <c r="T70" s="1594"/>
      <c r="U70" s="1594"/>
      <c r="V70" s="1594"/>
      <c r="W70" s="1594"/>
      <c r="X70" s="1594"/>
      <c r="Y70" s="1594"/>
      <c r="Z70" s="1594"/>
      <c r="AA70" s="1594"/>
      <c r="AB70" s="1594"/>
      <c r="AC70" s="1594"/>
      <c r="AD70" s="1594"/>
      <c r="AE70" s="1594"/>
      <c r="AF70" s="1594"/>
      <c r="AG70" s="1594"/>
      <c r="AH70" s="1594"/>
      <c r="AI70" s="1594"/>
      <c r="AJ70" s="1594"/>
      <c r="AK70" s="1594"/>
      <c r="AL70" s="1594"/>
      <c r="AM70" s="1594"/>
      <c r="AN70" s="1594"/>
      <c r="AO70" s="1594"/>
      <c r="AP70" s="1594"/>
      <c r="AQ70" s="1594"/>
      <c r="AR70" s="1594"/>
      <c r="AS70" s="1594"/>
      <c r="AT70" s="1594"/>
      <c r="AU70" s="1594"/>
      <c r="AV70" s="1594"/>
      <c r="AW70" s="1594"/>
      <c r="AX70" s="1594"/>
      <c r="AY70" s="1594"/>
      <c r="AZ70" s="1594"/>
      <c r="BA70" s="1594"/>
      <c r="BB70" s="1594"/>
      <c r="BC70" s="1594"/>
      <c r="BD70" s="1594"/>
      <c r="BE70" s="1594"/>
      <c r="BF70" s="1594"/>
      <c r="BG70" s="1594"/>
      <c r="BH70" s="1594"/>
      <c r="BI70" s="1594"/>
      <c r="BJ70" s="1594"/>
    </row>
    <row r="71" spans="1:62" ht="12.75">
      <c r="A71" s="1594"/>
      <c r="B71" s="1615"/>
      <c r="C71" s="1616"/>
      <c r="D71" s="1632"/>
      <c r="E71" s="1616"/>
      <c r="F71" s="1620"/>
      <c r="G71" s="1616"/>
      <c r="H71" s="1620"/>
      <c r="I71" s="1616"/>
      <c r="J71" s="1630"/>
      <c r="K71" s="1620"/>
      <c r="L71" s="1629"/>
      <c r="M71" s="1725"/>
      <c r="N71" s="1594"/>
      <c r="O71" s="1594"/>
      <c r="P71" s="1594"/>
      <c r="Q71" s="1594"/>
      <c r="R71" s="1594"/>
      <c r="S71" s="1594"/>
      <c r="T71" s="1594"/>
      <c r="U71" s="1594"/>
      <c r="V71" s="1594"/>
      <c r="W71" s="1594"/>
      <c r="X71" s="1594"/>
      <c r="Y71" s="1594"/>
      <c r="Z71" s="1594"/>
      <c r="AA71" s="1594"/>
      <c r="AB71" s="1594"/>
      <c r="AC71" s="1594"/>
      <c r="AD71" s="1594"/>
      <c r="AE71" s="1594"/>
      <c r="AF71" s="1594"/>
      <c r="AG71" s="1594"/>
      <c r="AH71" s="1594"/>
      <c r="AI71" s="1594"/>
      <c r="AJ71" s="1594"/>
      <c r="AK71" s="1594"/>
      <c r="AL71" s="1594"/>
      <c r="AM71" s="1594"/>
      <c r="AN71" s="1594"/>
      <c r="AO71" s="1594"/>
      <c r="AP71" s="1594"/>
      <c r="AQ71" s="1594"/>
      <c r="AR71" s="1594"/>
      <c r="AS71" s="1594"/>
      <c r="AT71" s="1594"/>
      <c r="AU71" s="1594"/>
      <c r="AV71" s="1594"/>
      <c r="AW71" s="1594"/>
      <c r="AX71" s="1594"/>
      <c r="AY71" s="1594"/>
      <c r="AZ71" s="1594"/>
      <c r="BA71" s="1594"/>
      <c r="BB71" s="1594"/>
      <c r="BC71" s="1594"/>
      <c r="BD71" s="1594"/>
      <c r="BE71" s="1594"/>
      <c r="BF71" s="1594"/>
      <c r="BG71" s="1594"/>
      <c r="BH71" s="1594"/>
      <c r="BI71" s="1594"/>
      <c r="BJ71" s="1594"/>
    </row>
    <row r="72" spans="1:62" ht="12.75">
      <c r="A72" s="1594"/>
      <c r="B72" s="1615"/>
      <c r="C72" s="1616" t="s">
        <v>26</v>
      </c>
      <c r="D72" s="1642" t="s">
        <v>27</v>
      </c>
      <c r="E72" s="1616" t="s">
        <v>18</v>
      </c>
      <c r="F72" s="1623">
        <v>901320</v>
      </c>
      <c r="G72" s="1616" t="s">
        <v>67</v>
      </c>
      <c r="H72" s="1620">
        <v>136306</v>
      </c>
      <c r="I72" s="1616" t="s">
        <v>12</v>
      </c>
      <c r="J72" s="1630">
        <f>(F72*H72)/1000000</f>
        <v>122855.32392</v>
      </c>
      <c r="K72" s="1626">
        <f>(J72/(J$72+J$73))*K$74</f>
        <v>9966.4848386597823</v>
      </c>
      <c r="L72" s="1629">
        <f>J72*Q59*0.001102</f>
        <v>0.40615970087951991</v>
      </c>
      <c r="M72" s="1723">
        <f>J72*R59*0.001102</f>
        <v>8.1231940175903974E-2</v>
      </c>
      <c r="N72" s="1594"/>
      <c r="O72" s="1594"/>
      <c r="P72" s="1594"/>
      <c r="Q72" s="1594"/>
      <c r="R72" s="1594"/>
      <c r="S72" s="1594"/>
      <c r="T72" s="1594"/>
      <c r="U72" s="1594"/>
      <c r="V72" s="1594"/>
      <c r="W72" s="1594"/>
      <c r="X72" s="1594"/>
      <c r="Y72" s="1594"/>
      <c r="Z72" s="1594"/>
      <c r="AA72" s="1594"/>
      <c r="AB72" s="1594"/>
      <c r="AC72" s="1594"/>
      <c r="AD72" s="1594"/>
      <c r="AE72" s="1594"/>
      <c r="AF72" s="1594"/>
      <c r="AG72" s="1594"/>
      <c r="AH72" s="1594"/>
      <c r="AI72" s="1594"/>
      <c r="AJ72" s="1594"/>
      <c r="AK72" s="1594"/>
      <c r="AL72" s="1594"/>
      <c r="AM72" s="1594"/>
      <c r="AN72" s="1594"/>
      <c r="AO72" s="1594"/>
      <c r="AP72" s="1594"/>
      <c r="AQ72" s="1594"/>
      <c r="AR72" s="1594"/>
      <c r="AS72" s="1594"/>
      <c r="AT72" s="1594"/>
      <c r="AU72" s="1594"/>
      <c r="AV72" s="1594"/>
      <c r="AW72" s="1594"/>
      <c r="AX72" s="1594"/>
      <c r="AY72" s="1594"/>
      <c r="AZ72" s="1594"/>
      <c r="BA72" s="1594"/>
      <c r="BB72" s="1594"/>
      <c r="BC72" s="1594"/>
      <c r="BD72" s="1594"/>
      <c r="BE72" s="1594"/>
      <c r="BF72" s="1594"/>
      <c r="BG72" s="1594"/>
      <c r="BH72" s="1594"/>
      <c r="BI72" s="1594"/>
      <c r="BJ72" s="1594"/>
    </row>
    <row r="73" spans="1:62" ht="12.75">
      <c r="A73" s="1594"/>
      <c r="B73" s="1615"/>
      <c r="C73" s="1616"/>
      <c r="D73" s="1632"/>
      <c r="E73" s="1616" t="s">
        <v>77</v>
      </c>
      <c r="F73" s="1623">
        <v>28104</v>
      </c>
      <c r="G73" s="1616" t="s">
        <v>144</v>
      </c>
      <c r="H73" s="1620">
        <v>1069</v>
      </c>
      <c r="I73" s="1616" t="s">
        <v>76</v>
      </c>
      <c r="J73" s="1630">
        <f>(F73*H73)/1000</f>
        <v>30043.175999999999</v>
      </c>
      <c r="K73" s="1626">
        <f>(J73/(J$72+J$73))*K$74</f>
        <v>2437.2151613402175</v>
      </c>
      <c r="L73" s="1629">
        <f>J73*Q58*0.001102</f>
        <v>3.3107579951999998E-2</v>
      </c>
      <c r="M73" s="1723">
        <f>J73*R58*0.001102</f>
        <v>3.3107579951999998E-3</v>
      </c>
      <c r="N73" s="1594"/>
      <c r="O73" s="1594"/>
      <c r="P73" s="1594"/>
      <c r="Q73" s="1594"/>
      <c r="R73" s="1594"/>
      <c r="S73" s="1594"/>
      <c r="T73" s="1594"/>
      <c r="U73" s="1594"/>
      <c r="V73" s="1594"/>
      <c r="W73" s="1594"/>
      <c r="X73" s="1594"/>
      <c r="Y73" s="1594"/>
      <c r="Z73" s="1594"/>
      <c r="AA73" s="1594"/>
      <c r="AB73" s="1594"/>
      <c r="AC73" s="1594"/>
      <c r="AD73" s="1594"/>
      <c r="AE73" s="1594"/>
      <c r="AF73" s="1594"/>
      <c r="AG73" s="1594"/>
      <c r="AH73" s="1594"/>
      <c r="AI73" s="1594"/>
      <c r="AJ73" s="1594"/>
      <c r="AK73" s="1594"/>
      <c r="AL73" s="1594"/>
      <c r="AM73" s="1594"/>
      <c r="AN73" s="1594"/>
      <c r="AO73" s="1594"/>
      <c r="AP73" s="1594"/>
      <c r="AQ73" s="1594"/>
      <c r="AR73" s="1594"/>
      <c r="AS73" s="1594"/>
      <c r="AT73" s="1594"/>
      <c r="AU73" s="1594"/>
      <c r="AV73" s="1594"/>
      <c r="AW73" s="1594"/>
      <c r="AX73" s="1594"/>
      <c r="AY73" s="1594"/>
      <c r="AZ73" s="1594"/>
      <c r="BA73" s="1594"/>
      <c r="BB73" s="1594"/>
      <c r="BC73" s="1594"/>
      <c r="BD73" s="1594"/>
      <c r="BE73" s="1594"/>
      <c r="BF73" s="1594"/>
      <c r="BG73" s="1594"/>
      <c r="BH73" s="1594"/>
      <c r="BI73" s="1594"/>
      <c r="BJ73" s="1594"/>
    </row>
    <row r="74" spans="1:62" ht="12.75">
      <c r="A74" s="1594"/>
      <c r="B74" s="1615"/>
      <c r="C74" s="1616"/>
      <c r="D74" s="1632"/>
      <c r="E74" s="1616"/>
      <c r="F74" s="1620"/>
      <c r="G74" s="1616"/>
      <c r="H74" s="1620"/>
      <c r="I74" s="1616"/>
      <c r="J74" s="1626">
        <f>SUM(J72:J73)</f>
        <v>152898.49992</v>
      </c>
      <c r="K74" s="1637">
        <v>12403.7</v>
      </c>
      <c r="L74" s="1638">
        <f>SUM(L72:L73)</f>
        <v>0.43926728083151989</v>
      </c>
      <c r="M74" s="1724">
        <f>SUM(M72:M73)</f>
        <v>8.4542698171103978E-2</v>
      </c>
      <c r="N74" s="1594"/>
      <c r="O74" s="1594"/>
      <c r="P74" s="1594"/>
      <c r="Q74" s="1594"/>
      <c r="R74" s="1594"/>
      <c r="S74" s="1594"/>
      <c r="T74" s="1594"/>
      <c r="U74" s="1594"/>
      <c r="V74" s="1594"/>
      <c r="W74" s="1594"/>
      <c r="X74" s="1594"/>
      <c r="Y74" s="1594"/>
      <c r="Z74" s="1594"/>
      <c r="AA74" s="1594"/>
      <c r="AB74" s="1594"/>
      <c r="AC74" s="1594"/>
      <c r="AD74" s="1594"/>
      <c r="AE74" s="1594"/>
      <c r="AF74" s="1594"/>
      <c r="AG74" s="1594"/>
      <c r="AH74" s="1594"/>
      <c r="AI74" s="1594"/>
      <c r="AJ74" s="1594"/>
      <c r="AK74" s="1594"/>
      <c r="AL74" s="1594"/>
      <c r="AM74" s="1594"/>
      <c r="AN74" s="1594"/>
      <c r="AO74" s="1594"/>
      <c r="AP74" s="1594"/>
      <c r="AQ74" s="1594"/>
      <c r="AR74" s="1594"/>
      <c r="AS74" s="1594"/>
      <c r="AT74" s="1594"/>
      <c r="AU74" s="1594"/>
      <c r="AV74" s="1594"/>
      <c r="AW74" s="1594"/>
      <c r="AX74" s="1594"/>
      <c r="AY74" s="1594"/>
      <c r="AZ74" s="1594"/>
      <c r="BA74" s="1594"/>
      <c r="BB74" s="1594"/>
      <c r="BC74" s="1594"/>
      <c r="BD74" s="1594"/>
      <c r="BE74" s="1594"/>
      <c r="BF74" s="1594"/>
      <c r="BG74" s="1594"/>
      <c r="BH74" s="1594"/>
      <c r="BI74" s="1594"/>
      <c r="BJ74" s="1594"/>
    </row>
    <row r="75" spans="1:62" ht="12.75">
      <c r="A75" s="1594"/>
      <c r="B75" s="1615"/>
      <c r="C75" s="1616"/>
      <c r="D75" s="1632"/>
      <c r="E75" s="1616"/>
      <c r="F75" s="1620"/>
      <c r="G75" s="1616"/>
      <c r="H75" s="1620"/>
      <c r="I75" s="1616"/>
      <c r="J75" s="1626"/>
      <c r="K75" s="1626"/>
      <c r="L75" s="1627"/>
      <c r="M75" s="1723"/>
      <c r="N75" s="1594"/>
      <c r="O75" s="1594"/>
      <c r="P75" s="1594"/>
      <c r="Q75" s="1594"/>
      <c r="R75" s="1594"/>
      <c r="S75" s="1594"/>
      <c r="T75" s="1594"/>
      <c r="U75" s="1594"/>
      <c r="V75" s="1594"/>
      <c r="W75" s="1594"/>
      <c r="X75" s="1594"/>
      <c r="Y75" s="1594"/>
      <c r="Z75" s="1594"/>
      <c r="AA75" s="1594"/>
      <c r="AB75" s="1594"/>
      <c r="AC75" s="1594"/>
      <c r="AD75" s="1594"/>
      <c r="AE75" s="1594"/>
      <c r="AF75" s="1594"/>
      <c r="AG75" s="1594"/>
      <c r="AH75" s="1594"/>
      <c r="AI75" s="1594"/>
      <c r="AJ75" s="1594"/>
      <c r="AK75" s="1594"/>
      <c r="AL75" s="1594"/>
      <c r="AM75" s="1594"/>
      <c r="AN75" s="1594"/>
      <c r="AO75" s="1594"/>
      <c r="AP75" s="1594"/>
      <c r="AQ75" s="1594"/>
      <c r="AR75" s="1594"/>
      <c r="AS75" s="1594"/>
      <c r="AT75" s="1594"/>
      <c r="AU75" s="1594"/>
      <c r="AV75" s="1594"/>
      <c r="AW75" s="1594"/>
      <c r="AX75" s="1594"/>
      <c r="AY75" s="1594"/>
      <c r="AZ75" s="1594"/>
      <c r="BA75" s="1594"/>
      <c r="BB75" s="1594"/>
      <c r="BC75" s="1594"/>
      <c r="BD75" s="1594"/>
      <c r="BE75" s="1594"/>
      <c r="BF75" s="1594"/>
      <c r="BG75" s="1594"/>
      <c r="BH75" s="1594"/>
      <c r="BI75" s="1594"/>
      <c r="BJ75" s="1594"/>
    </row>
    <row r="76" spans="1:62" ht="12.75">
      <c r="A76" s="1594"/>
      <c r="B76" s="1615"/>
      <c r="C76" s="1616" t="s">
        <v>28</v>
      </c>
      <c r="D76" s="1642" t="s">
        <v>29</v>
      </c>
      <c r="E76" s="1616" t="s">
        <v>18</v>
      </c>
      <c r="F76" s="1623">
        <v>204227</v>
      </c>
      <c r="G76" s="1616" t="s">
        <v>67</v>
      </c>
      <c r="H76" s="1620">
        <v>136306</v>
      </c>
      <c r="I76" s="1616" t="s">
        <v>12</v>
      </c>
      <c r="J76" s="1630">
        <f>(F76*H76)/1000000</f>
        <v>27837.365462000002</v>
      </c>
      <c r="K76" s="1626">
        <f>(J76/(J$76+J$77))*K$78</f>
        <v>1933.0026849959586</v>
      </c>
      <c r="L76" s="1629">
        <f>J76*Q59*0.001102</f>
        <v>9.2030330217372003E-2</v>
      </c>
      <c r="M76" s="1723">
        <f>J76*R59*0.001102</f>
        <v>1.84060660434744E-2</v>
      </c>
      <c r="N76" s="1594"/>
      <c r="O76" s="1594"/>
      <c r="P76" s="1594"/>
      <c r="Q76" s="1594"/>
      <c r="R76" s="1594"/>
      <c r="S76" s="1594"/>
      <c r="T76" s="1594"/>
      <c r="U76" s="1594"/>
      <c r="V76" s="1594"/>
      <c r="W76" s="1594"/>
      <c r="X76" s="1594"/>
      <c r="Y76" s="1594"/>
      <c r="Z76" s="1594"/>
      <c r="AA76" s="1594"/>
      <c r="AB76" s="1594"/>
      <c r="AC76" s="1594"/>
      <c r="AD76" s="1594"/>
      <c r="AE76" s="1594"/>
      <c r="AF76" s="1594"/>
      <c r="AG76" s="1594"/>
      <c r="AH76" s="1594"/>
      <c r="AI76" s="1594"/>
      <c r="AJ76" s="1594"/>
      <c r="AK76" s="1594"/>
      <c r="AL76" s="1594"/>
      <c r="AM76" s="1594"/>
      <c r="AN76" s="1594"/>
      <c r="AO76" s="1594"/>
      <c r="AP76" s="1594"/>
      <c r="AQ76" s="1594"/>
      <c r="AR76" s="1594"/>
      <c r="AS76" s="1594"/>
      <c r="AT76" s="1594"/>
      <c r="AU76" s="1594"/>
      <c r="AV76" s="1594"/>
      <c r="AW76" s="1594"/>
      <c r="AX76" s="1594"/>
      <c r="AY76" s="1594"/>
      <c r="AZ76" s="1594"/>
      <c r="BA76" s="1594"/>
      <c r="BB76" s="1594"/>
      <c r="BC76" s="1594"/>
      <c r="BD76" s="1594"/>
      <c r="BE76" s="1594"/>
      <c r="BF76" s="1594"/>
      <c r="BG76" s="1594"/>
      <c r="BH76" s="1594"/>
      <c r="BI76" s="1594"/>
      <c r="BJ76" s="1594"/>
    </row>
    <row r="77" spans="1:62" ht="12.75">
      <c r="A77" s="1594"/>
      <c r="B77" s="1615"/>
      <c r="C77" s="1616"/>
      <c r="D77" s="1632"/>
      <c r="E77" s="1616" t="s">
        <v>77</v>
      </c>
      <c r="F77" s="1623">
        <v>36128</v>
      </c>
      <c r="G77" s="1616" t="s">
        <v>144</v>
      </c>
      <c r="H77" s="1620">
        <v>1069</v>
      </c>
      <c r="I77" s="1616" t="s">
        <v>76</v>
      </c>
      <c r="J77" s="1630">
        <f>(F77*H77)/1000</f>
        <v>38620.832000000002</v>
      </c>
      <c r="K77" s="1626">
        <f>(J77/(J$76+J$77))*K$78</f>
        <v>2681.7973150040411</v>
      </c>
      <c r="L77" s="1629">
        <f>J77*Q58*0.001102</f>
        <v>4.2560156863999998E-2</v>
      </c>
      <c r="M77" s="1723">
        <f>J77*R58*0.001102</f>
        <v>4.2560156863999995E-3</v>
      </c>
      <c r="N77" s="1594"/>
      <c r="O77" s="1594"/>
      <c r="P77" s="1594"/>
      <c r="Q77" s="1594"/>
      <c r="R77" s="1594"/>
      <c r="S77" s="1594"/>
      <c r="T77" s="1594"/>
      <c r="U77" s="1594"/>
      <c r="V77" s="1594"/>
      <c r="W77" s="1594"/>
      <c r="X77" s="1594"/>
      <c r="Y77" s="1594"/>
      <c r="Z77" s="1594"/>
      <c r="AA77" s="1594"/>
      <c r="AB77" s="1594"/>
      <c r="AC77" s="1594"/>
      <c r="AD77" s="1594"/>
      <c r="AE77" s="1594"/>
      <c r="AF77" s="1594"/>
      <c r="AG77" s="1594"/>
      <c r="AH77" s="1594"/>
      <c r="AI77" s="1594"/>
      <c r="AJ77" s="1594"/>
      <c r="AK77" s="1594"/>
      <c r="AL77" s="1594"/>
      <c r="AM77" s="1594"/>
      <c r="AN77" s="1594"/>
      <c r="AO77" s="1594"/>
      <c r="AP77" s="1594"/>
      <c r="AQ77" s="1594"/>
      <c r="AR77" s="1594"/>
      <c r="AS77" s="1594"/>
      <c r="AT77" s="1594"/>
      <c r="AU77" s="1594"/>
      <c r="AV77" s="1594"/>
      <c r="AW77" s="1594"/>
      <c r="AX77" s="1594"/>
      <c r="AY77" s="1594"/>
      <c r="AZ77" s="1594"/>
      <c r="BA77" s="1594"/>
      <c r="BB77" s="1594"/>
      <c r="BC77" s="1594"/>
      <c r="BD77" s="1594"/>
      <c r="BE77" s="1594"/>
      <c r="BF77" s="1594"/>
      <c r="BG77" s="1594"/>
      <c r="BH77" s="1594"/>
      <c r="BI77" s="1594"/>
      <c r="BJ77" s="1594"/>
    </row>
    <row r="78" spans="1:62" ht="12.75">
      <c r="A78" s="1594"/>
      <c r="B78" s="1615"/>
      <c r="C78" s="1616"/>
      <c r="D78" s="1632"/>
      <c r="E78" s="1616"/>
      <c r="F78" s="1623"/>
      <c r="G78" s="1616"/>
      <c r="H78" s="1620"/>
      <c r="I78" s="1616"/>
      <c r="J78" s="1626">
        <f>SUM(J76:J77)</f>
        <v>66458.197462000011</v>
      </c>
      <c r="K78" s="1637">
        <v>4614.8</v>
      </c>
      <c r="L78" s="1638">
        <f>SUM(L76:L77)</f>
        <v>0.134590487081372</v>
      </c>
      <c r="M78" s="1724">
        <f>SUM(M76:M77)</f>
        <v>2.2662081729874398E-2</v>
      </c>
      <c r="N78" s="1594"/>
      <c r="O78" s="1594"/>
      <c r="P78" s="1594"/>
      <c r="Q78" s="1594"/>
      <c r="R78" s="1594"/>
      <c r="S78" s="1594"/>
      <c r="T78" s="1594"/>
      <c r="U78" s="1594"/>
      <c r="V78" s="1594"/>
      <c r="W78" s="1594"/>
      <c r="X78" s="1594"/>
      <c r="Y78" s="1594"/>
      <c r="Z78" s="1594"/>
      <c r="AA78" s="1594"/>
      <c r="AB78" s="1594"/>
      <c r="AC78" s="1594"/>
      <c r="AD78" s="1594"/>
      <c r="AE78" s="1594"/>
      <c r="AF78" s="1594"/>
      <c r="AG78" s="1594"/>
      <c r="AH78" s="1594"/>
      <c r="AI78" s="1594"/>
      <c r="AJ78" s="1594"/>
      <c r="AK78" s="1594"/>
      <c r="AL78" s="1594"/>
      <c r="AM78" s="1594"/>
      <c r="AN78" s="1594"/>
      <c r="AO78" s="1594"/>
      <c r="AP78" s="1594"/>
      <c r="AQ78" s="1594"/>
      <c r="AR78" s="1594"/>
      <c r="AS78" s="1594"/>
      <c r="AT78" s="1594"/>
      <c r="AU78" s="1594"/>
      <c r="AV78" s="1594"/>
      <c r="AW78" s="1594"/>
      <c r="AX78" s="1594"/>
      <c r="AY78" s="1594"/>
      <c r="AZ78" s="1594"/>
      <c r="BA78" s="1594"/>
      <c r="BB78" s="1594"/>
      <c r="BC78" s="1594"/>
      <c r="BD78" s="1594"/>
      <c r="BE78" s="1594"/>
      <c r="BF78" s="1594"/>
      <c r="BG78" s="1594"/>
      <c r="BH78" s="1594"/>
      <c r="BI78" s="1594"/>
      <c r="BJ78" s="1594"/>
    </row>
    <row r="79" spans="1:62" ht="12.75">
      <c r="A79" s="1594"/>
      <c r="B79" s="1615"/>
      <c r="C79" s="1616"/>
      <c r="D79" s="1632"/>
      <c r="E79" s="1616"/>
      <c r="F79" s="1623"/>
      <c r="G79" s="1616"/>
      <c r="H79" s="1620"/>
      <c r="I79" s="1616"/>
      <c r="J79" s="1625"/>
      <c r="K79" s="1626"/>
      <c r="L79" s="1627"/>
      <c r="M79" s="1723"/>
      <c r="N79" s="1594"/>
      <c r="O79" s="1594"/>
      <c r="P79" s="1594"/>
      <c r="Q79" s="1594"/>
      <c r="R79" s="1594"/>
      <c r="S79" s="1594"/>
      <c r="T79" s="1594"/>
      <c r="U79" s="1594"/>
      <c r="V79" s="1594"/>
      <c r="W79" s="1594"/>
      <c r="X79" s="1594"/>
      <c r="Y79" s="1594"/>
      <c r="Z79" s="1594"/>
      <c r="AA79" s="1594"/>
      <c r="AB79" s="1594"/>
      <c r="AC79" s="1594"/>
      <c r="AD79" s="1594"/>
      <c r="AE79" s="1594"/>
      <c r="AF79" s="1594"/>
      <c r="AG79" s="1594"/>
      <c r="AH79" s="1594"/>
      <c r="AI79" s="1594"/>
      <c r="AJ79" s="1594"/>
      <c r="AK79" s="1594"/>
      <c r="AL79" s="1594"/>
      <c r="AM79" s="1594"/>
      <c r="AN79" s="1594"/>
      <c r="AO79" s="1594"/>
      <c r="AP79" s="1594"/>
      <c r="AQ79" s="1594"/>
      <c r="AR79" s="1594"/>
      <c r="AS79" s="1594"/>
      <c r="AT79" s="1594"/>
      <c r="AU79" s="1594"/>
      <c r="AV79" s="1594"/>
      <c r="AW79" s="1594"/>
      <c r="AX79" s="1594"/>
      <c r="AY79" s="1594"/>
      <c r="AZ79" s="1594"/>
      <c r="BA79" s="1594"/>
      <c r="BB79" s="1594"/>
      <c r="BC79" s="1594"/>
      <c r="BD79" s="1594"/>
      <c r="BE79" s="1594"/>
      <c r="BF79" s="1594"/>
      <c r="BG79" s="1594"/>
      <c r="BH79" s="1594"/>
      <c r="BI79" s="1594"/>
      <c r="BJ79" s="1594"/>
    </row>
    <row r="80" spans="1:62" ht="12.75">
      <c r="A80" s="1594"/>
      <c r="B80" s="1615"/>
      <c r="C80" s="1616"/>
      <c r="D80" s="1642" t="s">
        <v>751</v>
      </c>
      <c r="E80" s="1616" t="s">
        <v>18</v>
      </c>
      <c r="F80" s="1623">
        <v>1208420</v>
      </c>
      <c r="G80" s="1616" t="s">
        <v>67</v>
      </c>
      <c r="H80" s="1620">
        <v>136306</v>
      </c>
      <c r="I80" s="1616" t="s">
        <v>12</v>
      </c>
      <c r="J80" s="1630">
        <f>(F80*H80)/1000000</f>
        <v>164714.89652000001</v>
      </c>
      <c r="K80" s="1626">
        <f>(J80/(J$76+J$77))*K$78</f>
        <v>11437.660566931972</v>
      </c>
      <c r="L80" s="1629">
        <f>J80*Q59*0.001102</f>
        <v>0.54454744789512</v>
      </c>
      <c r="M80" s="1723">
        <f>J80*R59*0.001102</f>
        <v>0.10890948957902399</v>
      </c>
      <c r="N80" s="1594"/>
      <c r="O80" s="1594"/>
      <c r="P80" s="1594"/>
      <c r="Q80" s="1594"/>
      <c r="R80" s="1594"/>
      <c r="S80" s="1594"/>
      <c r="T80" s="1594"/>
      <c r="U80" s="1594"/>
      <c r="V80" s="1594"/>
      <c r="W80" s="1594"/>
      <c r="X80" s="1594"/>
      <c r="Y80" s="1594"/>
      <c r="Z80" s="1594"/>
      <c r="AA80" s="1594"/>
      <c r="AB80" s="1594"/>
      <c r="AC80" s="1594"/>
      <c r="AD80" s="1594"/>
      <c r="AE80" s="1594"/>
      <c r="AF80" s="1594"/>
      <c r="AG80" s="1594"/>
      <c r="AH80" s="1594"/>
      <c r="AI80" s="1594"/>
      <c r="AJ80" s="1594"/>
      <c r="AK80" s="1594"/>
      <c r="AL80" s="1594"/>
      <c r="AM80" s="1594"/>
      <c r="AN80" s="1594"/>
      <c r="AO80" s="1594"/>
      <c r="AP80" s="1594"/>
      <c r="AQ80" s="1594"/>
      <c r="AR80" s="1594"/>
      <c r="AS80" s="1594"/>
      <c r="AT80" s="1594"/>
      <c r="AU80" s="1594"/>
      <c r="AV80" s="1594"/>
      <c r="AW80" s="1594"/>
      <c r="AX80" s="1594"/>
      <c r="AY80" s="1594"/>
      <c r="AZ80" s="1594"/>
      <c r="BA80" s="1594"/>
      <c r="BB80" s="1594"/>
      <c r="BC80" s="1594"/>
      <c r="BD80" s="1594"/>
      <c r="BE80" s="1594"/>
      <c r="BF80" s="1594"/>
      <c r="BG80" s="1594"/>
      <c r="BH80" s="1594"/>
      <c r="BI80" s="1594"/>
      <c r="BJ80" s="1594"/>
    </row>
    <row r="81" spans="1:62" ht="12.75">
      <c r="A81" s="1594"/>
      <c r="B81" s="1615"/>
      <c r="C81" s="1616"/>
      <c r="D81" s="1632"/>
      <c r="E81" s="1616" t="s">
        <v>77</v>
      </c>
      <c r="F81" s="1623">
        <v>45011</v>
      </c>
      <c r="G81" s="1616" t="s">
        <v>144</v>
      </c>
      <c r="H81" s="1620">
        <v>1069</v>
      </c>
      <c r="I81" s="1616" t="s">
        <v>76</v>
      </c>
      <c r="J81" s="1630">
        <f>(F81*H81)/1000</f>
        <v>48116.758999999998</v>
      </c>
      <c r="K81" s="1626">
        <f>(J81/(J$76+J$77))*K$78</f>
        <v>3341.1863082829627</v>
      </c>
      <c r="L81" s="1629">
        <f>J81*Q58*0.001102</f>
        <v>5.3024668418E-2</v>
      </c>
      <c r="M81" s="1723">
        <f>J81*R58*0.001102</f>
        <v>5.3024668417999991E-3</v>
      </c>
      <c r="N81" s="1594"/>
      <c r="O81" s="1594"/>
      <c r="P81" s="1594"/>
      <c r="Q81" s="1594"/>
      <c r="R81" s="1594"/>
      <c r="S81" s="1594"/>
      <c r="T81" s="1594"/>
      <c r="U81" s="1594"/>
      <c r="V81" s="1594"/>
      <c r="W81" s="1594"/>
      <c r="X81" s="1594"/>
      <c r="Y81" s="1594"/>
      <c r="Z81" s="1594"/>
      <c r="AA81" s="1594"/>
      <c r="AB81" s="1594"/>
      <c r="AC81" s="1594"/>
      <c r="AD81" s="1594"/>
      <c r="AE81" s="1594"/>
      <c r="AF81" s="1594"/>
      <c r="AG81" s="1594"/>
      <c r="AH81" s="1594"/>
      <c r="AI81" s="1594"/>
      <c r="AJ81" s="1594"/>
      <c r="AK81" s="1594"/>
      <c r="AL81" s="1594"/>
      <c r="AM81" s="1594"/>
      <c r="AN81" s="1594"/>
      <c r="AO81" s="1594"/>
      <c r="AP81" s="1594"/>
      <c r="AQ81" s="1594"/>
      <c r="AR81" s="1594"/>
      <c r="AS81" s="1594"/>
      <c r="AT81" s="1594"/>
      <c r="AU81" s="1594"/>
      <c r="AV81" s="1594"/>
      <c r="AW81" s="1594"/>
      <c r="AX81" s="1594"/>
      <c r="AY81" s="1594"/>
      <c r="AZ81" s="1594"/>
      <c r="BA81" s="1594"/>
      <c r="BB81" s="1594"/>
      <c r="BC81" s="1594"/>
      <c r="BD81" s="1594"/>
      <c r="BE81" s="1594"/>
      <c r="BF81" s="1594"/>
      <c r="BG81" s="1594"/>
      <c r="BH81" s="1594"/>
      <c r="BI81" s="1594"/>
      <c r="BJ81" s="1594"/>
    </row>
    <row r="82" spans="1:62" ht="12.75">
      <c r="A82" s="1594"/>
      <c r="B82" s="1615"/>
      <c r="C82" s="1616"/>
      <c r="D82" s="1632"/>
      <c r="E82" s="1616"/>
      <c r="F82" s="1623"/>
      <c r="G82" s="1616"/>
      <c r="H82" s="1620"/>
      <c r="I82" s="1616"/>
      <c r="J82" s="1626">
        <f>SUM(J80:J81)</f>
        <v>212831.65552</v>
      </c>
      <c r="K82" s="1637">
        <v>16168</v>
      </c>
      <c r="L82" s="1638">
        <f>SUM(L80:L81)</f>
        <v>0.59757211631312002</v>
      </c>
      <c r="M82" s="1724">
        <f>SUM(M80:M81)</f>
        <v>0.11421195642082399</v>
      </c>
      <c r="N82" s="1594"/>
      <c r="O82" s="1594"/>
      <c r="P82" s="1594"/>
      <c r="Q82" s="1594"/>
      <c r="R82" s="1594"/>
      <c r="S82" s="1594"/>
      <c r="T82" s="1594"/>
      <c r="U82" s="1594"/>
      <c r="V82" s="1594"/>
      <c r="W82" s="1594"/>
      <c r="X82" s="1594"/>
      <c r="Y82" s="1594"/>
      <c r="Z82" s="1594"/>
      <c r="AA82" s="1594"/>
      <c r="AB82" s="1594"/>
      <c r="AC82" s="1594"/>
      <c r="AD82" s="1594"/>
      <c r="AE82" s="1594"/>
      <c r="AF82" s="1594"/>
      <c r="AG82" s="1594"/>
      <c r="AH82" s="1594"/>
      <c r="AI82" s="1594"/>
      <c r="AJ82" s="1594"/>
      <c r="AK82" s="1594"/>
      <c r="AL82" s="1594"/>
      <c r="AM82" s="1594"/>
      <c r="AN82" s="1594"/>
      <c r="AO82" s="1594"/>
      <c r="AP82" s="1594"/>
      <c r="AQ82" s="1594"/>
      <c r="AR82" s="1594"/>
      <c r="AS82" s="1594"/>
      <c r="AT82" s="1594"/>
      <c r="AU82" s="1594"/>
      <c r="AV82" s="1594"/>
      <c r="AW82" s="1594"/>
      <c r="AX82" s="1594"/>
      <c r="AY82" s="1594"/>
      <c r="AZ82" s="1594"/>
      <c r="BA82" s="1594"/>
      <c r="BB82" s="1594"/>
      <c r="BC82" s="1594"/>
      <c r="BD82" s="1594"/>
      <c r="BE82" s="1594"/>
      <c r="BF82" s="1594"/>
      <c r="BG82" s="1594"/>
      <c r="BH82" s="1594"/>
      <c r="BI82" s="1594"/>
      <c r="BJ82" s="1594"/>
    </row>
    <row r="83" spans="1:62" ht="12.75">
      <c r="A83" s="1594"/>
      <c r="B83" s="1615"/>
      <c r="C83" s="1616"/>
      <c r="D83" s="1632"/>
      <c r="E83" s="1616"/>
      <c r="F83" s="1620"/>
      <c r="G83" s="1616"/>
      <c r="H83" s="1620"/>
      <c r="I83" s="1616"/>
      <c r="J83" s="1625"/>
      <c r="K83" s="1626"/>
      <c r="L83" s="1627"/>
      <c r="M83" s="1723"/>
      <c r="N83" s="1594"/>
      <c r="O83" s="1594"/>
      <c r="P83" s="1594"/>
      <c r="Q83" s="1594"/>
      <c r="R83" s="1594"/>
      <c r="S83" s="1594"/>
      <c r="T83" s="1594"/>
      <c r="U83" s="1594"/>
      <c r="V83" s="1594"/>
      <c r="W83" s="1594"/>
      <c r="X83" s="1594"/>
      <c r="Y83" s="1594"/>
      <c r="Z83" s="1594"/>
      <c r="AA83" s="1594"/>
      <c r="AB83" s="1594"/>
      <c r="AC83" s="1594"/>
      <c r="AD83" s="1594"/>
      <c r="AE83" s="1594"/>
      <c r="AF83" s="1594"/>
      <c r="AG83" s="1594"/>
      <c r="AH83" s="1594"/>
      <c r="AI83" s="1594"/>
      <c r="AJ83" s="1594"/>
      <c r="AK83" s="1594"/>
      <c r="AL83" s="1594"/>
      <c r="AM83" s="1594"/>
      <c r="AN83" s="1594"/>
      <c r="AO83" s="1594"/>
      <c r="AP83" s="1594"/>
      <c r="AQ83" s="1594"/>
      <c r="AR83" s="1594"/>
      <c r="AS83" s="1594"/>
      <c r="AT83" s="1594"/>
      <c r="AU83" s="1594"/>
      <c r="AV83" s="1594"/>
      <c r="AW83" s="1594"/>
      <c r="AX83" s="1594"/>
      <c r="AY83" s="1594"/>
      <c r="AZ83" s="1594"/>
      <c r="BA83" s="1594"/>
      <c r="BB83" s="1594"/>
      <c r="BC83" s="1594"/>
      <c r="BD83" s="1594"/>
      <c r="BE83" s="1594"/>
      <c r="BF83" s="1594"/>
      <c r="BG83" s="1594"/>
      <c r="BH83" s="1594"/>
      <c r="BI83" s="1594"/>
      <c r="BJ83" s="1594"/>
    </row>
    <row r="84" spans="1:62" ht="12.75">
      <c r="A84" s="1594"/>
      <c r="B84" s="1615"/>
      <c r="C84" s="1616" t="s">
        <v>30</v>
      </c>
      <c r="D84" s="1642" t="s">
        <v>31</v>
      </c>
      <c r="E84" s="1616" t="s">
        <v>18</v>
      </c>
      <c r="F84" s="1623">
        <v>916689</v>
      </c>
      <c r="G84" s="1616" t="s">
        <v>67</v>
      </c>
      <c r="H84" s="1620">
        <v>136306</v>
      </c>
      <c r="I84" s="1616" t="s">
        <v>12</v>
      </c>
      <c r="J84" s="1630">
        <f>(F84*H84)/1000000</f>
        <v>124950.210834</v>
      </c>
      <c r="K84" s="1626">
        <f>(J84/(J$84+J$85))*K$86</f>
        <v>9242.4067769236335</v>
      </c>
      <c r="L84" s="1629">
        <f>J84*Q59*0.001102</f>
        <v>0.41308539701720398</v>
      </c>
      <c r="M84" s="1723">
        <f>J84*R59*0.001102</f>
        <v>8.2617079403440777E-2</v>
      </c>
      <c r="N84" s="1594"/>
      <c r="O84" s="1594"/>
      <c r="P84" s="1594"/>
      <c r="Q84" s="1594"/>
      <c r="R84" s="1594"/>
      <c r="S84" s="1594"/>
      <c r="T84" s="1594"/>
      <c r="U84" s="1594"/>
      <c r="V84" s="1594"/>
      <c r="W84" s="1594"/>
      <c r="X84" s="1594"/>
      <c r="Y84" s="1594"/>
      <c r="Z84" s="1594"/>
      <c r="AA84" s="1594"/>
      <c r="AB84" s="1594"/>
      <c r="AC84" s="1594"/>
      <c r="AD84" s="1594"/>
      <c r="AE84" s="1594"/>
      <c r="AF84" s="1594"/>
      <c r="AG84" s="1594"/>
      <c r="AH84" s="1594"/>
      <c r="AI84" s="1594"/>
      <c r="AJ84" s="1594"/>
      <c r="AK84" s="1594"/>
      <c r="AL84" s="1594"/>
      <c r="AM84" s="1594"/>
      <c r="AN84" s="1594"/>
      <c r="AO84" s="1594"/>
      <c r="AP84" s="1594"/>
      <c r="AQ84" s="1594"/>
      <c r="AR84" s="1594"/>
      <c r="AS84" s="1594"/>
      <c r="AT84" s="1594"/>
      <c r="AU84" s="1594"/>
      <c r="AV84" s="1594"/>
      <c r="AW84" s="1594"/>
      <c r="AX84" s="1594"/>
      <c r="AY84" s="1594"/>
      <c r="AZ84" s="1594"/>
      <c r="BA84" s="1594"/>
      <c r="BB84" s="1594"/>
      <c r="BC84" s="1594"/>
      <c r="BD84" s="1594"/>
      <c r="BE84" s="1594"/>
      <c r="BF84" s="1594"/>
      <c r="BG84" s="1594"/>
      <c r="BH84" s="1594"/>
      <c r="BI84" s="1594"/>
      <c r="BJ84" s="1594"/>
    </row>
    <row r="85" spans="1:62" ht="12.75">
      <c r="A85" s="1594"/>
      <c r="B85" s="1615"/>
      <c r="C85" s="1616"/>
      <c r="D85" s="1616"/>
      <c r="E85" s="1616" t="s">
        <v>77</v>
      </c>
      <c r="F85" s="1623">
        <v>50900</v>
      </c>
      <c r="G85" s="1616" t="s">
        <v>144</v>
      </c>
      <c r="H85" s="1620">
        <v>1069</v>
      </c>
      <c r="I85" s="1616" t="s">
        <v>76</v>
      </c>
      <c r="J85" s="1630">
        <f>(F85*H85)/1000</f>
        <v>54412.1</v>
      </c>
      <c r="K85" s="1626">
        <f>(J85/(J$84+J$85))*K$86</f>
        <v>4024.7932230763668</v>
      </c>
      <c r="L85" s="1629">
        <f>J85*Q58*0.001102</f>
        <v>5.9962134199999996E-2</v>
      </c>
      <c r="M85" s="1723">
        <f>K85*R58*0.001102</f>
        <v>4.4353221318301563E-4</v>
      </c>
      <c r="N85" s="1594"/>
      <c r="O85" s="1594"/>
      <c r="P85" s="1594"/>
      <c r="Q85" s="1594"/>
      <c r="R85" s="1594"/>
      <c r="S85" s="1594"/>
      <c r="T85" s="1594"/>
      <c r="U85" s="1594"/>
      <c r="V85" s="1594"/>
      <c r="W85" s="1594"/>
      <c r="X85" s="1594"/>
      <c r="Y85" s="1594"/>
      <c r="Z85" s="1594"/>
      <c r="AA85" s="1594"/>
      <c r="AB85" s="1594"/>
      <c r="AC85" s="1594"/>
      <c r="AD85" s="1594"/>
      <c r="AE85" s="1594"/>
      <c r="AF85" s="1594"/>
      <c r="AG85" s="1594"/>
      <c r="AH85" s="1594"/>
      <c r="AI85" s="1594"/>
      <c r="AJ85" s="1594"/>
      <c r="AK85" s="1594"/>
      <c r="AL85" s="1594"/>
      <c r="AM85" s="1594"/>
      <c r="AN85" s="1594"/>
      <c r="AO85" s="1594"/>
      <c r="AP85" s="1594"/>
      <c r="AQ85" s="1594"/>
      <c r="AR85" s="1594"/>
      <c r="AS85" s="1594"/>
      <c r="AT85" s="1594"/>
      <c r="AU85" s="1594"/>
      <c r="AV85" s="1594"/>
      <c r="AW85" s="1594"/>
      <c r="AX85" s="1594"/>
      <c r="AY85" s="1594"/>
      <c r="AZ85" s="1594"/>
      <c r="BA85" s="1594"/>
      <c r="BB85" s="1594"/>
      <c r="BC85" s="1594"/>
      <c r="BD85" s="1594"/>
      <c r="BE85" s="1594"/>
      <c r="BF85" s="1594"/>
      <c r="BG85" s="1594"/>
      <c r="BH85" s="1594"/>
      <c r="BI85" s="1594"/>
      <c r="BJ85" s="1594"/>
    </row>
    <row r="86" spans="1:62" ht="12.75">
      <c r="A86" s="1594"/>
      <c r="B86" s="1615"/>
      <c r="C86" s="1616"/>
      <c r="D86" s="1632"/>
      <c r="E86" s="1616"/>
      <c r="F86" s="1620"/>
      <c r="G86" s="1616"/>
      <c r="H86" s="1620"/>
      <c r="I86" s="1616"/>
      <c r="J86" s="1625">
        <f>SUM(J84:J85)</f>
        <v>179362.310834</v>
      </c>
      <c r="K86" s="1637">
        <v>13267.2</v>
      </c>
      <c r="L86" s="1638">
        <f>SUM(L84:L85)</f>
        <v>0.473047531217204</v>
      </c>
      <c r="M86" s="1724">
        <f>SUM(M84:M85)</f>
        <v>8.3060611616623786E-2</v>
      </c>
      <c r="N86" s="1594"/>
      <c r="O86" s="1594"/>
      <c r="P86" s="1594"/>
      <c r="Q86" s="1594"/>
      <c r="R86" s="1594"/>
      <c r="S86" s="1594"/>
      <c r="T86" s="1594"/>
      <c r="U86" s="1594"/>
      <c r="V86" s="1594"/>
      <c r="W86" s="1594"/>
      <c r="X86" s="1594"/>
      <c r="Y86" s="1594"/>
      <c r="Z86" s="1594"/>
      <c r="AA86" s="1594"/>
      <c r="AB86" s="1594"/>
      <c r="AC86" s="1594"/>
      <c r="AD86" s="1594"/>
      <c r="AE86" s="1594"/>
      <c r="AF86" s="1594"/>
      <c r="AG86" s="1594"/>
      <c r="AH86" s="1594"/>
      <c r="AI86" s="1594"/>
      <c r="AJ86" s="1594"/>
      <c r="AK86" s="1594"/>
      <c r="AL86" s="1594"/>
      <c r="AM86" s="1594"/>
      <c r="AN86" s="1594"/>
      <c r="AO86" s="1594"/>
      <c r="AP86" s="1594"/>
      <c r="AQ86" s="1594"/>
      <c r="AR86" s="1594"/>
      <c r="AS86" s="1594"/>
      <c r="AT86" s="1594"/>
      <c r="AU86" s="1594"/>
      <c r="AV86" s="1594"/>
      <c r="AW86" s="1594"/>
      <c r="AX86" s="1594"/>
      <c r="AY86" s="1594"/>
      <c r="AZ86" s="1594"/>
      <c r="BA86" s="1594"/>
      <c r="BB86" s="1594"/>
      <c r="BC86" s="1594"/>
      <c r="BD86" s="1594"/>
      <c r="BE86" s="1594"/>
      <c r="BF86" s="1594"/>
      <c r="BG86" s="1594"/>
      <c r="BH86" s="1594"/>
      <c r="BI86" s="1594"/>
      <c r="BJ86" s="1594"/>
    </row>
    <row r="87" spans="1:62" ht="12.75">
      <c r="A87" s="1594"/>
      <c r="B87" s="1615"/>
      <c r="C87" s="1616"/>
      <c r="D87" s="1632"/>
      <c r="E87" s="1616"/>
      <c r="F87" s="1620"/>
      <c r="G87" s="1616"/>
      <c r="H87" s="1620"/>
      <c r="I87" s="1616"/>
      <c r="J87" s="1625"/>
      <c r="K87" s="1620"/>
      <c r="L87" s="1629"/>
      <c r="M87" s="1725"/>
      <c r="N87" s="1594"/>
      <c r="O87" s="1594"/>
      <c r="P87" s="1594"/>
      <c r="Q87" s="1594"/>
      <c r="R87" s="1594"/>
      <c r="S87" s="1594"/>
      <c r="T87" s="1594"/>
      <c r="U87" s="1594"/>
      <c r="V87" s="1594"/>
      <c r="W87" s="1594"/>
      <c r="X87" s="1594"/>
      <c r="Y87" s="1594"/>
      <c r="Z87" s="1594"/>
      <c r="AA87" s="1594"/>
      <c r="AB87" s="1594"/>
      <c r="AC87" s="1594"/>
      <c r="AD87" s="1594"/>
      <c r="AE87" s="1594"/>
      <c r="AF87" s="1594"/>
      <c r="AG87" s="1594"/>
      <c r="AH87" s="1594"/>
      <c r="AI87" s="1594"/>
      <c r="AJ87" s="1594"/>
      <c r="AK87" s="1594"/>
      <c r="AL87" s="1594"/>
      <c r="AM87" s="1594"/>
      <c r="AN87" s="1594"/>
      <c r="AO87" s="1594"/>
      <c r="AP87" s="1594"/>
      <c r="AQ87" s="1594"/>
      <c r="AR87" s="1594"/>
      <c r="AS87" s="1594"/>
      <c r="AT87" s="1594"/>
      <c r="AU87" s="1594"/>
      <c r="AV87" s="1594"/>
      <c r="AW87" s="1594"/>
      <c r="AX87" s="1594"/>
      <c r="AY87" s="1594"/>
      <c r="AZ87" s="1594"/>
      <c r="BA87" s="1594"/>
      <c r="BB87" s="1594"/>
      <c r="BC87" s="1594"/>
      <c r="BD87" s="1594"/>
      <c r="BE87" s="1594"/>
      <c r="BF87" s="1594"/>
      <c r="BG87" s="1594"/>
      <c r="BH87" s="1594"/>
      <c r="BI87" s="1594"/>
      <c r="BJ87" s="1594"/>
    </row>
    <row r="88" spans="1:62" ht="12.75">
      <c r="A88" s="1594"/>
      <c r="B88" s="1615"/>
      <c r="C88" s="1616" t="s">
        <v>288</v>
      </c>
      <c r="D88" s="1632" t="s">
        <v>289</v>
      </c>
      <c r="E88" s="1616" t="s">
        <v>18</v>
      </c>
      <c r="F88" s="1623">
        <v>183788</v>
      </c>
      <c r="G88" s="1616" t="s">
        <v>67</v>
      </c>
      <c r="H88" s="1620">
        <v>136306</v>
      </c>
      <c r="I88" s="1616" t="s">
        <v>12</v>
      </c>
      <c r="J88" s="1625">
        <f>(F88*H88)/1000000</f>
        <v>25051.407127999999</v>
      </c>
      <c r="K88" s="1637">
        <v>2042.37</v>
      </c>
      <c r="L88" s="1638">
        <f>J88*Q59*0.001102</f>
        <v>8.281995196516799E-2</v>
      </c>
      <c r="M88" s="1724">
        <f>J88*R59*0.001102</f>
        <v>1.6563990393033596E-2</v>
      </c>
      <c r="N88" s="1594"/>
      <c r="O88" s="1594"/>
      <c r="P88" s="1594"/>
      <c r="Q88" s="1594"/>
      <c r="R88" s="1594"/>
      <c r="S88" s="1594"/>
      <c r="T88" s="1594"/>
      <c r="U88" s="1594"/>
      <c r="V88" s="1594"/>
      <c r="W88" s="1594"/>
      <c r="X88" s="1594"/>
      <c r="Y88" s="1594"/>
      <c r="Z88" s="1594"/>
      <c r="AA88" s="1594"/>
      <c r="AB88" s="1594"/>
      <c r="AC88" s="1594"/>
      <c r="AD88" s="1594"/>
      <c r="AE88" s="1594"/>
      <c r="AF88" s="1594"/>
      <c r="AG88" s="1594"/>
      <c r="AH88" s="1594"/>
      <c r="AI88" s="1594"/>
      <c r="AJ88" s="1594"/>
      <c r="AK88" s="1594"/>
      <c r="AL88" s="1594"/>
      <c r="AM88" s="1594"/>
      <c r="AN88" s="1594"/>
      <c r="AO88" s="1594"/>
      <c r="AP88" s="1594"/>
      <c r="AQ88" s="1594"/>
      <c r="AR88" s="1594"/>
      <c r="AS88" s="1594"/>
      <c r="AT88" s="1594"/>
      <c r="AU88" s="1594"/>
      <c r="AV88" s="1594"/>
      <c r="AW88" s="1594"/>
      <c r="AX88" s="1594"/>
      <c r="AY88" s="1594"/>
      <c r="AZ88" s="1594"/>
      <c r="BA88" s="1594"/>
      <c r="BB88" s="1594"/>
      <c r="BC88" s="1594"/>
      <c r="BD88" s="1594"/>
      <c r="BE88" s="1594"/>
      <c r="BF88" s="1594"/>
      <c r="BG88" s="1594"/>
      <c r="BH88" s="1594"/>
      <c r="BI88" s="1594"/>
      <c r="BJ88" s="1594"/>
    </row>
    <row r="89" spans="1:62" ht="12.75">
      <c r="A89" s="1594"/>
      <c r="B89" s="1615"/>
      <c r="C89" s="1616" t="s">
        <v>290</v>
      </c>
      <c r="D89" s="1632" t="s">
        <v>291</v>
      </c>
      <c r="E89" s="1616" t="s">
        <v>18</v>
      </c>
      <c r="F89" s="1623">
        <v>181738</v>
      </c>
      <c r="G89" s="1616" t="s">
        <v>67</v>
      </c>
      <c r="H89" s="1620">
        <v>136306</v>
      </c>
      <c r="I89" s="1616" t="s">
        <v>12</v>
      </c>
      <c r="J89" s="1625">
        <f>(F89*H89)/1000000</f>
        <v>24771.979828</v>
      </c>
      <c r="K89" s="1637">
        <v>2019</v>
      </c>
      <c r="L89" s="1638">
        <f>J89*Q59*0.001102</f>
        <v>8.1896165311367994E-2</v>
      </c>
      <c r="M89" s="1724">
        <f>J89*R59*0.001102</f>
        <v>1.6379233062273596E-2</v>
      </c>
      <c r="N89" s="1594"/>
      <c r="O89" s="1594"/>
      <c r="P89" s="1594"/>
      <c r="Q89" s="1594"/>
      <c r="R89" s="1594"/>
      <c r="S89" s="1594"/>
      <c r="T89" s="1594"/>
      <c r="U89" s="1594"/>
      <c r="V89" s="1594"/>
      <c r="W89" s="1594"/>
      <c r="X89" s="1594"/>
      <c r="Y89" s="1594"/>
      <c r="Z89" s="1594"/>
      <c r="AA89" s="1594"/>
      <c r="AB89" s="1594"/>
      <c r="AC89" s="1594"/>
      <c r="AD89" s="1594"/>
      <c r="AE89" s="1594"/>
      <c r="AF89" s="1594"/>
      <c r="AG89" s="1594"/>
      <c r="AH89" s="1594"/>
      <c r="AI89" s="1594"/>
      <c r="AJ89" s="1594"/>
      <c r="AK89" s="1594"/>
      <c r="AL89" s="1594"/>
      <c r="AM89" s="1594"/>
      <c r="AN89" s="1594"/>
      <c r="AO89" s="1594"/>
      <c r="AP89" s="1594"/>
      <c r="AQ89" s="1594"/>
      <c r="AR89" s="1594"/>
      <c r="AS89" s="1594"/>
      <c r="AT89" s="1594"/>
      <c r="AU89" s="1594"/>
      <c r="AV89" s="1594"/>
      <c r="AW89" s="1594"/>
      <c r="AX89" s="1594"/>
      <c r="AY89" s="1594"/>
      <c r="AZ89" s="1594"/>
      <c r="BA89" s="1594"/>
      <c r="BB89" s="1594"/>
      <c r="BC89" s="1594"/>
      <c r="BD89" s="1594"/>
      <c r="BE89" s="1594"/>
      <c r="BF89" s="1594"/>
      <c r="BG89" s="1594"/>
      <c r="BH89" s="1594"/>
      <c r="BI89" s="1594"/>
      <c r="BJ89" s="1594"/>
    </row>
    <row r="90" spans="1:62" ht="12.75">
      <c r="A90" s="1594"/>
      <c r="B90" s="1615"/>
      <c r="C90" s="1616" t="s">
        <v>292</v>
      </c>
      <c r="D90" s="1632" t="s">
        <v>293</v>
      </c>
      <c r="E90" s="1616" t="s">
        <v>18</v>
      </c>
      <c r="F90" s="1623">
        <v>196838</v>
      </c>
      <c r="G90" s="1616" t="s">
        <v>67</v>
      </c>
      <c r="H90" s="1620">
        <v>136306</v>
      </c>
      <c r="I90" s="1616" t="s">
        <v>12</v>
      </c>
      <c r="J90" s="1625">
        <f>(F90*H90)/1000000</f>
        <v>26830.200428</v>
      </c>
      <c r="K90" s="1637">
        <v>2187.39</v>
      </c>
      <c r="L90" s="1638">
        <f>J90*Q59*0.001102</f>
        <v>8.8700642614968003E-2</v>
      </c>
      <c r="M90" s="1724">
        <f>J90*R59*0.001102</f>
        <v>1.7740128522993597E-2</v>
      </c>
      <c r="N90" s="1594"/>
      <c r="O90" s="1594"/>
      <c r="P90" s="1594"/>
      <c r="Q90" s="1594"/>
      <c r="R90" s="1594"/>
      <c r="S90" s="1594"/>
      <c r="T90" s="1594"/>
      <c r="U90" s="1594"/>
      <c r="V90" s="1594"/>
      <c r="W90" s="1594"/>
      <c r="X90" s="1594"/>
      <c r="Y90" s="1594"/>
      <c r="Z90" s="1594"/>
      <c r="AA90" s="1594"/>
      <c r="AB90" s="1594"/>
      <c r="AC90" s="1594"/>
      <c r="AD90" s="1594"/>
      <c r="AE90" s="1594"/>
      <c r="AF90" s="1594"/>
      <c r="AG90" s="1594"/>
      <c r="AH90" s="1594"/>
      <c r="AI90" s="1594"/>
      <c r="AJ90" s="1594"/>
      <c r="AK90" s="1594"/>
      <c r="AL90" s="1594"/>
      <c r="AM90" s="1594"/>
      <c r="AN90" s="1594"/>
      <c r="AO90" s="1594"/>
      <c r="AP90" s="1594"/>
      <c r="AQ90" s="1594"/>
      <c r="AR90" s="1594"/>
      <c r="AS90" s="1594"/>
      <c r="AT90" s="1594"/>
      <c r="AU90" s="1594"/>
      <c r="AV90" s="1594"/>
      <c r="AW90" s="1594"/>
      <c r="AX90" s="1594"/>
      <c r="AY90" s="1594"/>
      <c r="AZ90" s="1594"/>
      <c r="BA90" s="1594"/>
      <c r="BB90" s="1594"/>
      <c r="BC90" s="1594"/>
      <c r="BD90" s="1594"/>
      <c r="BE90" s="1594"/>
      <c r="BF90" s="1594"/>
      <c r="BG90" s="1594"/>
      <c r="BH90" s="1594"/>
      <c r="BI90" s="1594"/>
      <c r="BJ90" s="1594"/>
    </row>
    <row r="91" spans="1:62" ht="13.5" thickBot="1">
      <c r="A91" s="1594"/>
      <c r="B91" s="1615"/>
      <c r="C91" s="1616"/>
      <c r="D91" s="1616"/>
      <c r="E91" s="1616"/>
      <c r="F91" s="1620"/>
      <c r="G91" s="1616"/>
      <c r="H91" s="1620"/>
      <c r="I91" s="1616"/>
      <c r="J91" s="1630"/>
      <c r="K91" s="1620"/>
      <c r="L91" s="1629"/>
      <c r="M91" s="1624"/>
      <c r="N91" s="1594"/>
      <c r="O91" s="1594"/>
      <c r="P91" s="1594"/>
      <c r="Q91" s="1594"/>
      <c r="R91" s="1594"/>
      <c r="S91" s="1594"/>
      <c r="T91" s="1594"/>
      <c r="U91" s="1594"/>
      <c r="V91" s="1594"/>
      <c r="W91" s="1594"/>
      <c r="X91" s="1594"/>
      <c r="Y91" s="1594"/>
      <c r="Z91" s="1594"/>
      <c r="AA91" s="1594"/>
      <c r="AB91" s="1594"/>
      <c r="AC91" s="1594"/>
      <c r="AD91" s="1594"/>
      <c r="AE91" s="1594"/>
      <c r="AF91" s="1594"/>
      <c r="AG91" s="1594"/>
      <c r="AH91" s="1594"/>
      <c r="AI91" s="1594"/>
      <c r="AJ91" s="1594"/>
      <c r="AK91" s="1594"/>
      <c r="AL91" s="1594"/>
      <c r="AM91" s="1594"/>
      <c r="AN91" s="1594"/>
      <c r="AO91" s="1594"/>
      <c r="AP91" s="1594"/>
      <c r="AQ91" s="1594"/>
      <c r="AR91" s="1594"/>
      <c r="AS91" s="1594"/>
      <c r="AT91" s="1594"/>
      <c r="AU91" s="1594"/>
      <c r="AV91" s="1594"/>
      <c r="AW91" s="1594"/>
      <c r="AX91" s="1594"/>
      <c r="AY91" s="1594"/>
      <c r="AZ91" s="1594"/>
      <c r="BA91" s="1594"/>
      <c r="BB91" s="1594"/>
      <c r="BC91" s="1594"/>
      <c r="BD91" s="1594"/>
      <c r="BE91" s="1594"/>
      <c r="BF91" s="1594"/>
      <c r="BG91" s="1594"/>
      <c r="BH91" s="1594"/>
      <c r="BI91" s="1594"/>
      <c r="BJ91" s="1594"/>
    </row>
    <row r="92" spans="1:62" ht="12.75">
      <c r="A92" s="1594"/>
      <c r="B92" s="1660"/>
      <c r="C92" s="1613"/>
      <c r="D92" s="1613"/>
      <c r="E92" s="1613"/>
      <c r="F92" s="1591"/>
      <c r="G92" s="1613"/>
      <c r="H92" s="1591"/>
      <c r="I92" s="1613"/>
      <c r="J92" s="1614"/>
      <c r="K92" s="1591"/>
      <c r="L92" s="1592"/>
      <c r="M92" s="1662"/>
      <c r="N92" s="1594"/>
      <c r="O92" s="1594"/>
      <c r="P92" s="1594"/>
      <c r="Q92" s="1594"/>
      <c r="R92" s="1594"/>
      <c r="S92" s="1594"/>
      <c r="T92" s="1594"/>
      <c r="U92" s="1594"/>
      <c r="V92" s="1594"/>
      <c r="W92" s="1594"/>
      <c r="X92" s="1594"/>
      <c r="Y92" s="1594"/>
      <c r="Z92" s="1594"/>
      <c r="AA92" s="1594"/>
      <c r="AB92" s="1594"/>
      <c r="AC92" s="1594"/>
      <c r="AD92" s="1594"/>
      <c r="AE92" s="1594"/>
      <c r="AF92" s="1594"/>
      <c r="AG92" s="1594"/>
      <c r="AH92" s="1594"/>
      <c r="AI92" s="1594"/>
      <c r="AJ92" s="1594"/>
      <c r="AK92" s="1594"/>
      <c r="AL92" s="1594"/>
      <c r="AM92" s="1594"/>
      <c r="AN92" s="1594"/>
      <c r="AO92" s="1594"/>
      <c r="AP92" s="1594"/>
      <c r="AQ92" s="1594"/>
      <c r="AR92" s="1594"/>
      <c r="AS92" s="1594"/>
      <c r="AT92" s="1594"/>
      <c r="AU92" s="1594"/>
      <c r="AV92" s="1594"/>
      <c r="AW92" s="1594"/>
      <c r="AX92" s="1594"/>
      <c r="AY92" s="1594"/>
      <c r="AZ92" s="1594"/>
      <c r="BA92" s="1594"/>
      <c r="BB92" s="1594"/>
      <c r="BC92" s="1594"/>
      <c r="BD92" s="1594"/>
      <c r="BE92" s="1594"/>
      <c r="BF92" s="1594"/>
      <c r="BG92" s="1594"/>
      <c r="BH92" s="1594"/>
      <c r="BI92" s="1594"/>
      <c r="BJ92" s="1594"/>
    </row>
    <row r="93" spans="1:62" ht="12.75">
      <c r="A93" s="1594"/>
      <c r="B93" s="1615"/>
      <c r="C93" s="1616"/>
      <c r="D93" s="1616"/>
      <c r="E93" s="1616"/>
      <c r="F93" s="1620"/>
      <c r="G93" s="1616"/>
      <c r="H93" s="1620"/>
      <c r="I93" s="1616"/>
      <c r="J93" s="1630"/>
      <c r="K93" s="1620"/>
      <c r="L93" s="1629"/>
      <c r="M93" s="1624"/>
      <c r="N93" s="1594"/>
      <c r="O93" s="1594"/>
      <c r="P93" s="1594"/>
      <c r="Q93" s="1594"/>
      <c r="R93" s="1594"/>
      <c r="S93" s="1594"/>
      <c r="T93" s="1594"/>
      <c r="U93" s="1594"/>
      <c r="V93" s="1594"/>
      <c r="W93" s="1594"/>
      <c r="X93" s="1594"/>
      <c r="Y93" s="1594"/>
      <c r="Z93" s="1594"/>
      <c r="AA93" s="1594"/>
      <c r="AB93" s="1594"/>
      <c r="AC93" s="1594"/>
      <c r="AD93" s="1594"/>
      <c r="AE93" s="1594"/>
      <c r="AF93" s="1594"/>
      <c r="AG93" s="1594"/>
      <c r="AH93" s="1594"/>
      <c r="AI93" s="1594"/>
      <c r="AJ93" s="1594"/>
      <c r="AK93" s="1594"/>
      <c r="AL93" s="1594"/>
      <c r="AM93" s="1594"/>
      <c r="AN93" s="1594"/>
      <c r="AO93" s="1594"/>
      <c r="AP93" s="1594"/>
      <c r="AQ93" s="1594"/>
      <c r="AR93" s="1594"/>
      <c r="AS93" s="1594"/>
      <c r="AT93" s="1594"/>
      <c r="AU93" s="1594"/>
      <c r="AV93" s="1594"/>
      <c r="AW93" s="1594"/>
      <c r="AX93" s="1594"/>
      <c r="AY93" s="1594"/>
      <c r="AZ93" s="1594"/>
      <c r="BA93" s="1594"/>
      <c r="BB93" s="1594"/>
      <c r="BC93" s="1594"/>
      <c r="BD93" s="1594"/>
      <c r="BE93" s="1594"/>
      <c r="BF93" s="1594"/>
      <c r="BG93" s="1594"/>
      <c r="BH93" s="1594"/>
      <c r="BI93" s="1594"/>
      <c r="BJ93" s="1594"/>
    </row>
    <row r="94" spans="1:62" ht="12.75">
      <c r="A94" s="1594"/>
      <c r="B94" s="1615" t="s">
        <v>78</v>
      </c>
      <c r="C94" s="163" t="s">
        <v>79</v>
      </c>
      <c r="D94" s="1616"/>
      <c r="E94" s="1616"/>
      <c r="F94" s="1620"/>
      <c r="G94" s="1616"/>
      <c r="H94" s="1620"/>
      <c r="I94" s="1616"/>
      <c r="J94" s="1630"/>
      <c r="K94" s="1620"/>
      <c r="L94" s="1629"/>
      <c r="M94" s="1624"/>
      <c r="N94" s="1594"/>
      <c r="O94" s="1594"/>
      <c r="P94" s="1594"/>
      <c r="Q94" s="1594"/>
      <c r="R94" s="1594"/>
      <c r="S94" s="1594"/>
      <c r="T94" s="1594"/>
      <c r="U94" s="1594"/>
      <c r="V94" s="1594"/>
      <c r="W94" s="1594"/>
      <c r="X94" s="1594"/>
      <c r="Y94" s="1594"/>
      <c r="Z94" s="1594"/>
      <c r="AA94" s="1594"/>
      <c r="AB94" s="1594"/>
      <c r="AC94" s="1594"/>
      <c r="AD94" s="1594"/>
      <c r="AE94" s="1594"/>
      <c r="AF94" s="1594"/>
      <c r="AG94" s="1594"/>
      <c r="AH94" s="1594"/>
      <c r="AI94" s="1594"/>
      <c r="AJ94" s="1594"/>
      <c r="AK94" s="1594"/>
      <c r="AL94" s="1594"/>
      <c r="AM94" s="1594"/>
      <c r="AN94" s="1594"/>
      <c r="AO94" s="1594"/>
      <c r="AP94" s="1594"/>
      <c r="AQ94" s="1594"/>
      <c r="AR94" s="1594"/>
      <c r="AS94" s="1594"/>
      <c r="AT94" s="1594"/>
      <c r="AU94" s="1594"/>
      <c r="AV94" s="1594"/>
      <c r="AW94" s="1594"/>
      <c r="AX94" s="1594"/>
      <c r="AY94" s="1594"/>
      <c r="AZ94" s="1594"/>
      <c r="BA94" s="1594"/>
      <c r="BB94" s="1594"/>
      <c r="BC94" s="1594"/>
      <c r="BD94" s="1594"/>
      <c r="BE94" s="1594"/>
      <c r="BF94" s="1594"/>
      <c r="BG94" s="1594"/>
      <c r="BH94" s="1594"/>
      <c r="BI94" s="1594"/>
      <c r="BJ94" s="1594"/>
    </row>
    <row r="95" spans="1:62" ht="12.75">
      <c r="A95" s="1594"/>
      <c r="B95" s="1615"/>
      <c r="C95" s="1616" t="s">
        <v>294</v>
      </c>
      <c r="D95" s="1616" t="s">
        <v>80</v>
      </c>
      <c r="E95" s="1616" t="s">
        <v>77</v>
      </c>
      <c r="F95" s="1623">
        <v>31680</v>
      </c>
      <c r="G95" s="1616" t="s">
        <v>144</v>
      </c>
      <c r="H95" s="1620">
        <v>1060.4000000000001</v>
      </c>
      <c r="I95" s="1616" t="s">
        <v>74</v>
      </c>
      <c r="J95" s="1630">
        <f>(F95*H95)/1000</f>
        <v>33593.472000000002</v>
      </c>
      <c r="K95" s="1705">
        <f>+J95/(J$95+J$96)*K$97</f>
        <v>2552.6570986794945</v>
      </c>
      <c r="L95" s="1690">
        <f>J95*Q58*0.001102</f>
        <v>3.7020006144000001E-2</v>
      </c>
      <c r="M95" s="1726">
        <f>J95*R58*0.001102</f>
        <v>3.7020006144000001E-3</v>
      </c>
      <c r="N95" s="1594"/>
      <c r="O95" s="1594"/>
      <c r="P95" s="1594"/>
      <c r="Q95" s="1594"/>
      <c r="R95" s="1594"/>
      <c r="S95" s="1594"/>
      <c r="T95" s="1594"/>
      <c r="U95" s="1594"/>
      <c r="V95" s="1594"/>
      <c r="W95" s="1594"/>
      <c r="X95" s="1594"/>
      <c r="Y95" s="1594"/>
      <c r="Z95" s="1594"/>
      <c r="AA95" s="1594"/>
      <c r="AB95" s="1594"/>
      <c r="AC95" s="1594"/>
      <c r="AD95" s="1594"/>
      <c r="AE95" s="1594"/>
      <c r="AF95" s="1594"/>
      <c r="AG95" s="1594"/>
      <c r="AH95" s="1594"/>
      <c r="AI95" s="1594"/>
      <c r="AJ95" s="1594"/>
      <c r="AK95" s="1594"/>
      <c r="AL95" s="1594"/>
      <c r="AM95" s="1594"/>
      <c r="AN95" s="1594"/>
      <c r="AO95" s="1594"/>
      <c r="AP95" s="1594"/>
      <c r="AQ95" s="1594"/>
      <c r="AR95" s="1594"/>
      <c r="AS95" s="1594"/>
      <c r="AT95" s="1594"/>
      <c r="AU95" s="1594"/>
      <c r="AV95" s="1594"/>
      <c r="AW95" s="1594"/>
      <c r="AX95" s="1594"/>
      <c r="AY95" s="1594"/>
      <c r="AZ95" s="1594"/>
      <c r="BA95" s="1594"/>
      <c r="BB95" s="1594"/>
      <c r="BC95" s="1594"/>
      <c r="BD95" s="1594"/>
      <c r="BE95" s="1594"/>
      <c r="BF95" s="1594"/>
      <c r="BG95" s="1594"/>
      <c r="BH95" s="1594"/>
      <c r="BI95" s="1594"/>
      <c r="BJ95" s="1594"/>
    </row>
    <row r="96" spans="1:62" ht="12.75">
      <c r="A96" s="1594"/>
      <c r="B96" s="1615"/>
      <c r="C96" s="1616"/>
      <c r="D96" s="1616"/>
      <c r="E96" s="1616" t="s">
        <v>18</v>
      </c>
      <c r="F96" s="1623">
        <v>876185</v>
      </c>
      <c r="G96" s="1616" t="s">
        <v>67</v>
      </c>
      <c r="H96" s="1620">
        <v>136821.28</v>
      </c>
      <c r="I96" s="1616" t="s">
        <v>12</v>
      </c>
      <c r="J96" s="1630">
        <f>(F96*H96)/1000000</f>
        <v>119880.7532168</v>
      </c>
      <c r="K96" s="1705">
        <f>+J96/(J$95+J$96)*K$97</f>
        <v>9109.3429013205059</v>
      </c>
      <c r="L96" s="1690">
        <f>J96*Q59*0.001102</f>
        <v>0.3963257701347408</v>
      </c>
      <c r="M96" s="1726">
        <f>J96*R59*0.001102</f>
        <v>7.9265154026948156E-2</v>
      </c>
      <c r="N96" s="1594"/>
      <c r="O96" s="1594"/>
      <c r="P96" s="1594"/>
      <c r="Q96" s="1594"/>
      <c r="R96" s="1594"/>
      <c r="S96" s="1594"/>
      <c r="T96" s="1594"/>
      <c r="U96" s="1594"/>
      <c r="V96" s="1594"/>
      <c r="W96" s="1594"/>
      <c r="X96" s="1594"/>
      <c r="Y96" s="1594"/>
      <c r="Z96" s="1594"/>
      <c r="AA96" s="1594"/>
      <c r="AB96" s="1594"/>
      <c r="AC96" s="1594"/>
      <c r="AD96" s="1594"/>
      <c r="AE96" s="1594"/>
      <c r="AF96" s="1594"/>
      <c r="AG96" s="1594"/>
      <c r="AH96" s="1594"/>
      <c r="AI96" s="1594"/>
      <c r="AJ96" s="1594"/>
      <c r="AK96" s="1594"/>
      <c r="AL96" s="1594"/>
      <c r="AM96" s="1594"/>
      <c r="AN96" s="1594"/>
      <c r="AO96" s="1594"/>
      <c r="AP96" s="1594"/>
      <c r="AQ96" s="1594"/>
      <c r="AR96" s="1594"/>
      <c r="AS96" s="1594"/>
      <c r="AT96" s="1594"/>
      <c r="AU96" s="1594"/>
      <c r="AV96" s="1594"/>
      <c r="AW96" s="1594"/>
      <c r="AX96" s="1594"/>
      <c r="AY96" s="1594"/>
      <c r="AZ96" s="1594"/>
      <c r="BA96" s="1594"/>
      <c r="BB96" s="1594"/>
      <c r="BC96" s="1594"/>
      <c r="BD96" s="1594"/>
      <c r="BE96" s="1594"/>
      <c r="BF96" s="1594"/>
      <c r="BG96" s="1594"/>
      <c r="BH96" s="1594"/>
      <c r="BI96" s="1594"/>
      <c r="BJ96" s="1594"/>
    </row>
    <row r="97" spans="1:62" ht="12.75">
      <c r="A97" s="1594"/>
      <c r="B97" s="1615"/>
      <c r="C97" s="1616"/>
      <c r="D97" s="1616"/>
      <c r="E97" s="1616"/>
      <c r="F97" s="1623"/>
      <c r="G97" s="1616"/>
      <c r="H97" s="1620"/>
      <c r="I97" s="1616"/>
      <c r="J97" s="1625">
        <f>SUM(J95:J96)</f>
        <v>153474.2252168</v>
      </c>
      <c r="K97" s="1637">
        <v>11662</v>
      </c>
      <c r="L97" s="1638">
        <f>SUM(L95:L96)</f>
        <v>0.43334577627874082</v>
      </c>
      <c r="M97" s="1724">
        <f>SUM(M95:M96)</f>
        <v>8.2967154641348156E-2</v>
      </c>
      <c r="N97" s="1594"/>
      <c r="O97" s="1594"/>
      <c r="P97" s="1594"/>
      <c r="Q97" s="1594"/>
      <c r="R97" s="1594"/>
      <c r="S97" s="1594"/>
      <c r="T97" s="1594"/>
      <c r="U97" s="1594"/>
      <c r="V97" s="1594"/>
      <c r="W97" s="1594"/>
      <c r="X97" s="1594"/>
      <c r="Y97" s="1594"/>
      <c r="Z97" s="1594"/>
      <c r="AA97" s="1594"/>
      <c r="AB97" s="1594"/>
      <c r="AC97" s="1594"/>
      <c r="AD97" s="1594"/>
      <c r="AE97" s="1594"/>
      <c r="AF97" s="1594"/>
      <c r="AG97" s="1594"/>
      <c r="AH97" s="1594"/>
      <c r="AI97" s="1594"/>
      <c r="AJ97" s="1594"/>
      <c r="AK97" s="1594"/>
      <c r="AL97" s="1594"/>
      <c r="AM97" s="1594"/>
      <c r="AN97" s="1594"/>
      <c r="AO97" s="1594"/>
      <c r="AP97" s="1594"/>
      <c r="AQ97" s="1594"/>
      <c r="AR97" s="1594"/>
      <c r="AS97" s="1594"/>
      <c r="AT97" s="1594"/>
      <c r="AU97" s="1594"/>
      <c r="AV97" s="1594"/>
      <c r="AW97" s="1594"/>
      <c r="AX97" s="1594"/>
      <c r="AY97" s="1594"/>
      <c r="AZ97" s="1594"/>
      <c r="BA97" s="1594"/>
      <c r="BB97" s="1594"/>
      <c r="BC97" s="1594"/>
      <c r="BD97" s="1594"/>
      <c r="BE97" s="1594"/>
      <c r="BF97" s="1594"/>
      <c r="BG97" s="1594"/>
      <c r="BH97" s="1594"/>
      <c r="BI97" s="1594"/>
      <c r="BJ97" s="1594"/>
    </row>
    <row r="98" spans="1:62" ht="13.5" thickBot="1">
      <c r="A98" s="1594"/>
      <c r="B98" s="1615"/>
      <c r="C98" s="1616"/>
      <c r="D98" s="1616"/>
      <c r="E98" s="1616"/>
      <c r="F98" s="1623"/>
      <c r="G98" s="1616"/>
      <c r="H98" s="1620"/>
      <c r="I98" s="1616"/>
      <c r="J98" s="1616"/>
      <c r="K98" s="1616"/>
      <c r="L98" s="1616"/>
      <c r="M98" s="1624"/>
      <c r="N98" s="1594"/>
      <c r="O98" s="1594"/>
      <c r="P98" s="1594"/>
      <c r="Q98" s="1594"/>
      <c r="R98" s="1594"/>
      <c r="S98" s="1594"/>
      <c r="T98" s="1594"/>
      <c r="U98" s="1594"/>
      <c r="V98" s="1594"/>
      <c r="W98" s="1594"/>
      <c r="X98" s="1594"/>
      <c r="Y98" s="1594"/>
      <c r="Z98" s="1594"/>
      <c r="AA98" s="1594"/>
      <c r="AB98" s="1594"/>
      <c r="AC98" s="1594"/>
      <c r="AD98" s="1594"/>
      <c r="AE98" s="1594"/>
      <c r="AF98" s="1594"/>
      <c r="AG98" s="1594"/>
      <c r="AH98" s="1594"/>
      <c r="AI98" s="1594"/>
      <c r="AJ98" s="1594"/>
      <c r="AK98" s="1594"/>
      <c r="AL98" s="1594"/>
      <c r="AM98" s="1594"/>
      <c r="AN98" s="1594"/>
      <c r="AO98" s="1594"/>
      <c r="AP98" s="1594"/>
      <c r="AQ98" s="1594"/>
      <c r="AR98" s="1594"/>
      <c r="AS98" s="1594"/>
      <c r="AT98" s="1594"/>
      <c r="AU98" s="1594"/>
      <c r="AV98" s="1594"/>
      <c r="AW98" s="1594"/>
      <c r="AX98" s="1594"/>
      <c r="AY98" s="1594"/>
      <c r="AZ98" s="1594"/>
      <c r="BA98" s="1594"/>
      <c r="BB98" s="1594"/>
      <c r="BC98" s="1594"/>
      <c r="BD98" s="1594"/>
      <c r="BE98" s="1594"/>
      <c r="BF98" s="1594"/>
      <c r="BG98" s="1594"/>
      <c r="BH98" s="1594"/>
      <c r="BI98" s="1594"/>
      <c r="BJ98" s="1594"/>
    </row>
    <row r="99" spans="1:62" ht="12.75">
      <c r="A99" s="1594"/>
      <c r="B99" s="1660"/>
      <c r="C99" s="1613"/>
      <c r="D99" s="1613"/>
      <c r="E99" s="1613"/>
      <c r="F99" s="1661"/>
      <c r="G99" s="1613"/>
      <c r="H99" s="1591"/>
      <c r="I99" s="1613"/>
      <c r="J99" s="1613"/>
      <c r="K99" s="1613"/>
      <c r="L99" s="1613"/>
      <c r="M99" s="1662"/>
      <c r="N99" s="1594"/>
      <c r="O99" s="1594"/>
      <c r="P99" s="1594"/>
      <c r="Q99" s="1594"/>
      <c r="R99" s="1594"/>
      <c r="S99" s="1594"/>
      <c r="T99" s="1594"/>
      <c r="U99" s="1594"/>
      <c r="V99" s="1594"/>
      <c r="W99" s="1594"/>
      <c r="X99" s="1594"/>
      <c r="Y99" s="1594"/>
      <c r="Z99" s="1594"/>
      <c r="AA99" s="1594"/>
      <c r="AB99" s="1594"/>
      <c r="AC99" s="1594"/>
      <c r="AD99" s="1594"/>
      <c r="AE99" s="1594"/>
      <c r="AF99" s="1594"/>
      <c r="AG99" s="1594"/>
      <c r="AH99" s="1594"/>
      <c r="AI99" s="1594"/>
      <c r="AJ99" s="1594"/>
      <c r="AK99" s="1594"/>
      <c r="AL99" s="1594"/>
      <c r="AM99" s="1594"/>
      <c r="AN99" s="1594"/>
      <c r="AO99" s="1594"/>
      <c r="AP99" s="1594"/>
      <c r="AQ99" s="1594"/>
      <c r="AR99" s="1594"/>
      <c r="AS99" s="1594"/>
      <c r="AT99" s="1594"/>
      <c r="AU99" s="1594"/>
      <c r="AV99" s="1594"/>
      <c r="AW99" s="1594"/>
      <c r="AX99" s="1594"/>
      <c r="AY99" s="1594"/>
      <c r="AZ99" s="1594"/>
      <c r="BA99" s="1594"/>
      <c r="BB99" s="1594"/>
      <c r="BC99" s="1594"/>
      <c r="BD99" s="1594"/>
      <c r="BE99" s="1594"/>
      <c r="BF99" s="1594"/>
      <c r="BG99" s="1594"/>
      <c r="BH99" s="1594"/>
      <c r="BI99" s="1594"/>
      <c r="BJ99" s="1594"/>
    </row>
    <row r="100" spans="1:62" ht="12.75">
      <c r="A100" s="1594"/>
      <c r="B100" s="1615"/>
      <c r="C100" s="1616"/>
      <c r="D100" s="1616"/>
      <c r="E100" s="1616"/>
      <c r="F100" s="1620"/>
      <c r="G100" s="1616"/>
      <c r="H100" s="1620"/>
      <c r="I100" s="1616"/>
      <c r="J100" s="1616"/>
      <c r="K100" s="1616"/>
      <c r="L100" s="1616"/>
      <c r="M100" s="1624"/>
      <c r="N100" s="1594"/>
      <c r="O100" s="1594"/>
      <c r="P100" s="1594"/>
      <c r="Q100" s="1594"/>
      <c r="R100" s="1594"/>
      <c r="S100" s="1594"/>
      <c r="T100" s="1594"/>
      <c r="U100" s="1594"/>
      <c r="V100" s="1594"/>
      <c r="W100" s="1594"/>
      <c r="X100" s="1594"/>
      <c r="Y100" s="1594"/>
      <c r="Z100" s="1594"/>
      <c r="AA100" s="1594"/>
      <c r="AB100" s="1594"/>
      <c r="AC100" s="1594"/>
      <c r="AD100" s="1594"/>
      <c r="AE100" s="1594"/>
      <c r="AF100" s="1594"/>
      <c r="AG100" s="1594"/>
      <c r="AH100" s="1594"/>
      <c r="AI100" s="1594"/>
      <c r="AJ100" s="1594"/>
      <c r="AK100" s="1594"/>
      <c r="AL100" s="1594"/>
      <c r="AM100" s="1594"/>
      <c r="AN100" s="1594"/>
      <c r="AO100" s="1594"/>
      <c r="AP100" s="1594"/>
      <c r="AQ100" s="1594"/>
      <c r="AR100" s="1594"/>
      <c r="AS100" s="1594"/>
      <c r="AT100" s="1594"/>
      <c r="AU100" s="1594"/>
      <c r="AV100" s="1594"/>
      <c r="AW100" s="1594"/>
      <c r="AX100" s="1594"/>
      <c r="AY100" s="1594"/>
      <c r="AZ100" s="1594"/>
      <c r="BA100" s="1594"/>
      <c r="BB100" s="1594"/>
      <c r="BC100" s="1594"/>
      <c r="BD100" s="1594"/>
      <c r="BE100" s="1594"/>
      <c r="BF100" s="1594"/>
      <c r="BG100" s="1594"/>
      <c r="BH100" s="1594"/>
      <c r="BI100" s="1594"/>
      <c r="BJ100" s="1594"/>
    </row>
    <row r="101" spans="1:62" ht="12.75">
      <c r="A101" s="1594"/>
      <c r="B101" s="1615" t="s">
        <v>1142</v>
      </c>
      <c r="C101" s="163" t="s">
        <v>1143</v>
      </c>
      <c r="D101" s="1616"/>
      <c r="E101" s="1616"/>
      <c r="F101" s="1620"/>
      <c r="G101" s="1616"/>
      <c r="H101" s="1620"/>
      <c r="I101" s="1616"/>
      <c r="J101" s="1630"/>
      <c r="K101" s="1620"/>
      <c r="L101" s="1629"/>
      <c r="M101" s="1624"/>
      <c r="N101" s="1594"/>
      <c r="O101" s="14" t="s">
        <v>1166</v>
      </c>
      <c r="P101" s="1594"/>
      <c r="Q101" s="1594"/>
      <c r="R101" s="1594"/>
      <c r="S101" s="1594"/>
      <c r="T101" s="1594"/>
      <c r="U101" s="1594"/>
      <c r="V101" s="1594"/>
      <c r="W101" s="1594"/>
      <c r="X101" s="1594"/>
      <c r="Y101" s="1594"/>
      <c r="Z101" s="1594"/>
      <c r="AA101" s="1594"/>
      <c r="AB101" s="1594"/>
      <c r="AC101" s="1594"/>
      <c r="AD101" s="1594"/>
      <c r="AE101" s="1594"/>
      <c r="AF101" s="1594"/>
      <c r="AG101" s="1594"/>
      <c r="AH101" s="1594"/>
      <c r="AI101" s="1594"/>
      <c r="AJ101" s="1594"/>
      <c r="AK101" s="1594"/>
      <c r="AL101" s="1594"/>
      <c r="AM101" s="1594"/>
      <c r="AN101" s="1594"/>
      <c r="AO101" s="1594"/>
      <c r="AP101" s="1594"/>
      <c r="AQ101" s="1594"/>
      <c r="AR101" s="1594"/>
      <c r="AS101" s="1594"/>
      <c r="AT101" s="1594"/>
      <c r="AU101" s="1594"/>
      <c r="AV101" s="1594"/>
      <c r="AW101" s="1594"/>
      <c r="AX101" s="1594"/>
      <c r="AY101" s="1594"/>
      <c r="AZ101" s="1594"/>
      <c r="BA101" s="1594"/>
      <c r="BB101" s="1594"/>
      <c r="BC101" s="1594"/>
      <c r="BD101" s="1594"/>
      <c r="BE101" s="1594"/>
      <c r="BF101" s="1594"/>
      <c r="BG101" s="1594"/>
      <c r="BH101" s="1594"/>
      <c r="BI101" s="1594"/>
      <c r="BJ101" s="1594"/>
    </row>
    <row r="102" spans="1:62" ht="12.75">
      <c r="A102" s="1594"/>
      <c r="B102" s="1615"/>
      <c r="C102" s="1616" t="s">
        <v>68</v>
      </c>
      <c r="D102" s="1616" t="s">
        <v>1128</v>
      </c>
      <c r="E102" s="1616" t="s">
        <v>77</v>
      </c>
      <c r="F102" s="1623">
        <v>178220</v>
      </c>
      <c r="G102" s="1616" t="s">
        <v>1152</v>
      </c>
      <c r="H102" s="1644">
        <v>1.083</v>
      </c>
      <c r="I102" s="1616" t="s">
        <v>1153</v>
      </c>
      <c r="J102" s="1634">
        <f>F102*H102</f>
        <v>193012.25999999998</v>
      </c>
      <c r="K102" s="1635">
        <f>(+J102/(J102+J103))*K104</f>
        <v>12712.204138561281</v>
      </c>
      <c r="L102" s="1644">
        <v>0.21199999999999999</v>
      </c>
      <c r="M102" s="1680">
        <v>2.1000000000000001E-2</v>
      </c>
      <c r="N102" s="1594"/>
      <c r="O102" s="1594" t="s">
        <v>1167</v>
      </c>
      <c r="P102" s="1594" t="s">
        <v>1168</v>
      </c>
      <c r="Q102" s="1594"/>
      <c r="R102" s="1594"/>
      <c r="S102" s="1594"/>
      <c r="T102" s="1594"/>
      <c r="U102" s="1594"/>
      <c r="V102" s="1594"/>
      <c r="W102" s="1594"/>
      <c r="X102" s="1594"/>
      <c r="Y102" s="1594"/>
      <c r="Z102" s="1594"/>
      <c r="AA102" s="1594"/>
      <c r="AB102" s="1594"/>
      <c r="AC102" s="1594"/>
      <c r="AD102" s="1594"/>
      <c r="AE102" s="1594"/>
      <c r="AF102" s="1594"/>
      <c r="AG102" s="1594"/>
      <c r="AH102" s="1594"/>
      <c r="AI102" s="1594"/>
      <c r="AJ102" s="1594"/>
      <c r="AK102" s="1594"/>
      <c r="AL102" s="1594"/>
      <c r="AM102" s="1594"/>
      <c r="AN102" s="1594"/>
      <c r="AO102" s="1594"/>
      <c r="AP102" s="1594"/>
      <c r="AQ102" s="1594"/>
      <c r="AR102" s="1594"/>
      <c r="AS102" s="1594"/>
      <c r="AT102" s="1594"/>
      <c r="AU102" s="1594"/>
      <c r="AV102" s="1594"/>
      <c r="AW102" s="1594"/>
      <c r="AX102" s="1594"/>
      <c r="AY102" s="1594"/>
      <c r="AZ102" s="1594"/>
      <c r="BA102" s="1594"/>
      <c r="BB102" s="1594"/>
      <c r="BC102" s="1594"/>
      <c r="BD102" s="1594"/>
      <c r="BE102" s="1594"/>
      <c r="BF102" s="1594"/>
      <c r="BG102" s="1594"/>
      <c r="BH102" s="1594"/>
      <c r="BI102" s="1594"/>
      <c r="BJ102" s="1594"/>
    </row>
    <row r="103" spans="1:62" ht="12.75">
      <c r="A103" s="1594"/>
      <c r="B103" s="1615"/>
      <c r="C103" s="1616"/>
      <c r="D103" s="1616" t="s">
        <v>1128</v>
      </c>
      <c r="E103" s="1616" t="s">
        <v>71</v>
      </c>
      <c r="F103" s="1623">
        <v>2016252</v>
      </c>
      <c r="G103" s="1616" t="s">
        <v>67</v>
      </c>
      <c r="H103" s="1644">
        <v>0.152</v>
      </c>
      <c r="I103" s="1616" t="s">
        <v>1150</v>
      </c>
      <c r="J103" s="1634">
        <f>F103*H103</f>
        <v>306470.304</v>
      </c>
      <c r="K103" s="1635">
        <f>(+J103/(J103+J104))*K104</f>
        <v>12509.358786335381</v>
      </c>
      <c r="L103" s="1644">
        <v>1.0109999999999999</v>
      </c>
      <c r="M103" s="1680">
        <v>0.2</v>
      </c>
      <c r="N103" s="1594"/>
      <c r="O103" s="1594"/>
      <c r="P103" s="1594"/>
      <c r="Q103" s="1594"/>
      <c r="R103" s="1594"/>
      <c r="S103" s="1594"/>
      <c r="T103" s="1594"/>
      <c r="U103" s="1594"/>
      <c r="V103" s="1594"/>
      <c r="W103" s="1594"/>
      <c r="X103" s="1594"/>
      <c r="Y103" s="1594"/>
      <c r="Z103" s="1594"/>
      <c r="AA103" s="1594"/>
      <c r="AB103" s="1594"/>
      <c r="AC103" s="1594"/>
      <c r="AD103" s="1594"/>
      <c r="AE103" s="1594"/>
      <c r="AF103" s="1594"/>
      <c r="AG103" s="1594"/>
      <c r="AH103" s="1594"/>
      <c r="AI103" s="1594"/>
      <c r="AJ103" s="1594"/>
      <c r="AK103" s="1594"/>
      <c r="AL103" s="1594"/>
      <c r="AM103" s="1594"/>
      <c r="AN103" s="1594"/>
      <c r="AO103" s="1594"/>
      <c r="AP103" s="1594"/>
      <c r="AQ103" s="1594"/>
      <c r="AR103" s="1594"/>
      <c r="AS103" s="1594"/>
      <c r="AT103" s="1594"/>
      <c r="AU103" s="1594"/>
      <c r="AV103" s="1594"/>
      <c r="AW103" s="1594"/>
      <c r="AX103" s="1594"/>
      <c r="AY103" s="1594"/>
      <c r="AZ103" s="1594"/>
      <c r="BA103" s="1594"/>
      <c r="BB103" s="1594"/>
      <c r="BC103" s="1594"/>
      <c r="BD103" s="1594"/>
      <c r="BE103" s="1594"/>
      <c r="BF103" s="1594"/>
      <c r="BG103" s="1594"/>
      <c r="BH103" s="1594"/>
      <c r="BI103" s="1594"/>
      <c r="BJ103" s="1594"/>
    </row>
    <row r="104" spans="1:62" ht="15.75">
      <c r="A104" s="1594"/>
      <c r="B104" s="1615"/>
      <c r="C104" s="1616"/>
      <c r="D104" s="1616"/>
      <c r="E104" s="1616"/>
      <c r="F104" s="1620"/>
      <c r="G104" s="1616"/>
      <c r="H104" s="1620"/>
      <c r="I104" s="1616"/>
      <c r="J104" s="1625">
        <f>J102+J103</f>
        <v>499482.56400000001</v>
      </c>
      <c r="K104" s="1637">
        <v>32897</v>
      </c>
      <c r="L104" s="1638">
        <f>L102+L103</f>
        <v>1.2229999999999999</v>
      </c>
      <c r="M104" s="1694">
        <f>M102+M103</f>
        <v>0.221</v>
      </c>
      <c r="N104" s="1594"/>
      <c r="O104" s="673"/>
      <c r="P104" s="1594" t="s">
        <v>1189</v>
      </c>
      <c r="Q104" s="1594" t="s">
        <v>1190</v>
      </c>
      <c r="R104" s="1594"/>
      <c r="S104" s="1594"/>
      <c r="T104" s="1594"/>
      <c r="U104" s="1594"/>
      <c r="V104" s="1594"/>
      <c r="W104" s="1594"/>
      <c r="X104" s="1594"/>
      <c r="Y104" s="1594"/>
      <c r="Z104" s="1594"/>
      <c r="AA104" s="1594"/>
      <c r="AB104" s="1594"/>
      <c r="AC104" s="1594"/>
      <c r="AD104" s="1594"/>
      <c r="AE104" s="1594"/>
      <c r="AF104" s="1594"/>
      <c r="AG104" s="1594"/>
      <c r="AH104" s="1594"/>
      <c r="AI104" s="1594"/>
      <c r="AJ104" s="1594"/>
      <c r="AK104" s="1594"/>
      <c r="AL104" s="1594"/>
      <c r="AM104" s="1594"/>
      <c r="AN104" s="1594"/>
      <c r="AO104" s="1594"/>
      <c r="AP104" s="1594"/>
      <c r="AQ104" s="1594"/>
      <c r="AR104" s="1594"/>
      <c r="AS104" s="1594"/>
      <c r="AT104" s="1594"/>
      <c r="AU104" s="1594"/>
      <c r="AV104" s="1594"/>
      <c r="AW104" s="1594"/>
      <c r="AX104" s="1594"/>
      <c r="AY104" s="1594"/>
      <c r="AZ104" s="1594"/>
      <c r="BA104" s="1594"/>
      <c r="BB104" s="1594"/>
      <c r="BC104" s="1594"/>
      <c r="BD104" s="1594"/>
      <c r="BE104" s="1594"/>
      <c r="BF104" s="1594"/>
      <c r="BG104" s="1594"/>
      <c r="BH104" s="1594"/>
      <c r="BI104" s="1594"/>
      <c r="BJ104" s="1594"/>
    </row>
    <row r="105" spans="1:62" ht="12.75">
      <c r="A105" s="1594"/>
      <c r="B105" s="1615"/>
      <c r="C105" s="1616"/>
      <c r="D105" s="1616"/>
      <c r="E105" s="1616"/>
      <c r="F105" s="1620"/>
      <c r="G105" s="1616"/>
      <c r="H105" s="1620"/>
      <c r="I105" s="1616"/>
      <c r="J105" s="1625"/>
      <c r="K105" s="1637"/>
      <c r="L105" s="1627"/>
      <c r="M105" s="1624"/>
      <c r="N105" s="1594"/>
      <c r="O105" s="1594" t="s">
        <v>1102</v>
      </c>
      <c r="P105" s="1597">
        <v>2.2000000000000001E-3</v>
      </c>
      <c r="Q105" s="1597">
        <v>3.5200000000000001E-3</v>
      </c>
      <c r="R105" s="1594"/>
      <c r="S105" s="1594"/>
      <c r="T105" s="1594"/>
      <c r="U105" s="1594"/>
      <c r="V105" s="1594"/>
      <c r="W105" s="1594"/>
      <c r="X105" s="1594"/>
      <c r="Y105" s="1594"/>
      <c r="Z105" s="1594"/>
      <c r="AA105" s="1594"/>
      <c r="AB105" s="1594"/>
      <c r="AC105" s="1594"/>
      <c r="AD105" s="1594"/>
      <c r="AE105" s="1594"/>
      <c r="AF105" s="1594"/>
      <c r="AG105" s="1594"/>
      <c r="AH105" s="1594"/>
      <c r="AI105" s="1594"/>
      <c r="AJ105" s="1594"/>
      <c r="AK105" s="1594"/>
      <c r="AL105" s="1594"/>
      <c r="AM105" s="1594"/>
      <c r="AN105" s="1594"/>
      <c r="AO105" s="1594"/>
      <c r="AP105" s="1594"/>
      <c r="AQ105" s="1594"/>
      <c r="AR105" s="1594"/>
      <c r="AS105" s="1594"/>
      <c r="AT105" s="1594"/>
      <c r="AU105" s="1594"/>
      <c r="AV105" s="1594"/>
      <c r="AW105" s="1594"/>
      <c r="AX105" s="1594"/>
      <c r="AY105" s="1594"/>
      <c r="AZ105" s="1594"/>
      <c r="BA105" s="1594"/>
      <c r="BB105" s="1594"/>
      <c r="BC105" s="1594"/>
      <c r="BD105" s="1594"/>
      <c r="BE105" s="1594"/>
      <c r="BF105" s="1594"/>
      <c r="BG105" s="1594"/>
      <c r="BH105" s="1594"/>
      <c r="BI105" s="1594"/>
      <c r="BJ105" s="1594"/>
    </row>
    <row r="106" spans="1:62" ht="12.75">
      <c r="A106" s="1594"/>
      <c r="B106" s="1615"/>
      <c r="C106" s="1616" t="s">
        <v>1144</v>
      </c>
      <c r="D106" s="1616" t="s">
        <v>1130</v>
      </c>
      <c r="E106" s="1616" t="s">
        <v>75</v>
      </c>
      <c r="F106" s="1623">
        <v>52838</v>
      </c>
      <c r="G106" s="1616" t="s">
        <v>1152</v>
      </c>
      <c r="H106" s="1616">
        <v>1.079</v>
      </c>
      <c r="I106" s="1616" t="s">
        <v>1153</v>
      </c>
      <c r="J106" s="1636">
        <f>(F106*H106)</f>
        <v>57012.201999999997</v>
      </c>
      <c r="K106" s="1626">
        <f>(J106/(J$106+J$107))*K$108</f>
        <v>6401.7548727885769</v>
      </c>
      <c r="L106" s="1639">
        <v>6.3E-2</v>
      </c>
      <c r="M106" s="1680">
        <v>6.0000000000000001E-3</v>
      </c>
      <c r="N106" s="1594"/>
      <c r="O106" s="1594" t="s">
        <v>47</v>
      </c>
      <c r="P106" s="1597">
        <v>6.6E-3</v>
      </c>
      <c r="Q106" s="1597">
        <v>1.32E-3</v>
      </c>
      <c r="R106" s="1594"/>
      <c r="S106" s="1594"/>
      <c r="T106" s="1594"/>
      <c r="U106" s="1594"/>
      <c r="V106" s="1594"/>
      <c r="W106" s="1594"/>
      <c r="X106" s="1594"/>
      <c r="Y106" s="1594"/>
      <c r="Z106" s="1594"/>
      <c r="AA106" s="1594"/>
      <c r="AB106" s="1594"/>
      <c r="AC106" s="1594"/>
      <c r="AD106" s="1594"/>
      <c r="AE106" s="1594"/>
      <c r="AF106" s="1594"/>
      <c r="AG106" s="1594"/>
      <c r="AH106" s="1594"/>
      <c r="AI106" s="1594"/>
      <c r="AJ106" s="1594"/>
      <c r="AK106" s="1594"/>
      <c r="AL106" s="1594"/>
      <c r="AM106" s="1594"/>
      <c r="AN106" s="1594"/>
      <c r="AO106" s="1594"/>
      <c r="AP106" s="1594"/>
      <c r="AQ106" s="1594"/>
      <c r="AR106" s="1594"/>
      <c r="AS106" s="1594"/>
      <c r="AT106" s="1594"/>
      <c r="AU106" s="1594"/>
      <c r="AV106" s="1594"/>
      <c r="AW106" s="1594"/>
      <c r="AX106" s="1594"/>
      <c r="AY106" s="1594"/>
      <c r="AZ106" s="1594"/>
      <c r="BA106" s="1594"/>
      <c r="BB106" s="1594"/>
      <c r="BC106" s="1594"/>
      <c r="BD106" s="1594"/>
      <c r="BE106" s="1594"/>
      <c r="BF106" s="1594"/>
      <c r="BG106" s="1594"/>
      <c r="BH106" s="1594"/>
      <c r="BI106" s="1594"/>
      <c r="BJ106" s="1594"/>
    </row>
    <row r="107" spans="1:62" ht="12.75">
      <c r="A107" s="1594"/>
      <c r="B107" s="1615"/>
      <c r="C107" s="1616"/>
      <c r="D107" s="1616" t="s">
        <v>1130</v>
      </c>
      <c r="E107" s="1616" t="s">
        <v>1129</v>
      </c>
      <c r="F107" s="1623">
        <v>105869</v>
      </c>
      <c r="G107" s="1616" t="s">
        <v>279</v>
      </c>
      <c r="H107" s="1616">
        <v>24</v>
      </c>
      <c r="I107" s="1616" t="s">
        <v>1145</v>
      </c>
      <c r="J107" s="1636">
        <f>(F107*H107)</f>
        <v>2540856</v>
      </c>
      <c r="K107" s="1626">
        <f>(J107/(J$106+J$107))*K$108</f>
        <v>285306.24512721144</v>
      </c>
      <c r="L107" s="1639">
        <v>2.8</v>
      </c>
      <c r="M107" s="1680">
        <v>4.47</v>
      </c>
      <c r="N107" s="1594"/>
      <c r="O107" s="1594" t="s">
        <v>66</v>
      </c>
      <c r="P107" s="1597">
        <v>6.6E-3</v>
      </c>
      <c r="Q107" s="1597">
        <v>1.32E-3</v>
      </c>
      <c r="R107" s="1594"/>
      <c r="S107" s="1594"/>
      <c r="T107" s="1594"/>
      <c r="U107" s="1594"/>
      <c r="V107" s="1594"/>
      <c r="W107" s="1594"/>
      <c r="X107" s="1594"/>
      <c r="Y107" s="1594"/>
      <c r="Z107" s="1594"/>
      <c r="AA107" s="1594"/>
      <c r="AB107" s="1594"/>
      <c r="AC107" s="1594"/>
      <c r="AD107" s="1594"/>
      <c r="AE107" s="1594"/>
      <c r="AF107" s="1594"/>
      <c r="AG107" s="1594"/>
      <c r="AH107" s="1594"/>
      <c r="AI107" s="1594"/>
      <c r="AJ107" s="1594"/>
      <c r="AK107" s="1594"/>
      <c r="AL107" s="1594"/>
      <c r="AM107" s="1594"/>
      <c r="AN107" s="1594"/>
      <c r="AO107" s="1594"/>
      <c r="AP107" s="1594"/>
      <c r="AQ107" s="1594"/>
      <c r="AR107" s="1594"/>
      <c r="AS107" s="1594"/>
      <c r="AT107" s="1594"/>
      <c r="AU107" s="1594"/>
      <c r="AV107" s="1594"/>
      <c r="AW107" s="1594"/>
      <c r="AX107" s="1594"/>
      <c r="AY107" s="1594"/>
      <c r="AZ107" s="1594"/>
      <c r="BA107" s="1594"/>
      <c r="BB107" s="1594"/>
      <c r="BC107" s="1594"/>
      <c r="BD107" s="1594"/>
      <c r="BE107" s="1594"/>
      <c r="BF107" s="1594"/>
      <c r="BG107" s="1594"/>
      <c r="BH107" s="1594"/>
      <c r="BI107" s="1594"/>
      <c r="BJ107" s="1594"/>
    </row>
    <row r="108" spans="1:62" ht="12.75">
      <c r="A108" s="1594"/>
      <c r="B108" s="1615"/>
      <c r="C108" s="1616"/>
      <c r="D108" s="1616"/>
      <c r="E108" s="1616"/>
      <c r="F108" s="1620"/>
      <c r="G108" s="1616"/>
      <c r="H108" s="1620"/>
      <c r="I108" s="1616"/>
      <c r="J108" s="1625">
        <f>J106+J107</f>
        <v>2597868.202</v>
      </c>
      <c r="K108" s="1637">
        <v>291708</v>
      </c>
      <c r="L108" s="1638">
        <f>L106+L107</f>
        <v>2.863</v>
      </c>
      <c r="M108" s="1694">
        <f>M106+M107</f>
        <v>4.476</v>
      </c>
      <c r="N108" s="1594"/>
      <c r="O108" s="1594"/>
      <c r="P108" s="1594"/>
      <c r="Q108" s="1594"/>
      <c r="R108" s="1594"/>
      <c r="S108" s="1594"/>
      <c r="T108" s="1594"/>
      <c r="U108" s="1594"/>
      <c r="V108" s="1594"/>
      <c r="W108" s="1594"/>
      <c r="X108" s="1594"/>
      <c r="Y108" s="1594"/>
      <c r="Z108" s="1594"/>
      <c r="AA108" s="1594"/>
      <c r="AB108" s="1594"/>
      <c r="AC108" s="1594"/>
      <c r="AD108" s="1594"/>
      <c r="AE108" s="1594"/>
      <c r="AF108" s="1594"/>
      <c r="AG108" s="1594"/>
      <c r="AH108" s="1594"/>
      <c r="AI108" s="1594"/>
      <c r="AJ108" s="1594"/>
      <c r="AK108" s="1594"/>
      <c r="AL108" s="1594"/>
      <c r="AM108" s="1594"/>
      <c r="AN108" s="1594"/>
      <c r="AO108" s="1594"/>
      <c r="AP108" s="1594"/>
      <c r="AQ108" s="1594"/>
      <c r="AR108" s="1594"/>
      <c r="AS108" s="1594"/>
      <c r="AT108" s="1594"/>
      <c r="AU108" s="1594"/>
      <c r="AV108" s="1594"/>
      <c r="AW108" s="1594"/>
      <c r="AX108" s="1594"/>
      <c r="AY108" s="1594"/>
      <c r="AZ108" s="1594"/>
      <c r="BA108" s="1594"/>
      <c r="BB108" s="1594"/>
      <c r="BC108" s="1594"/>
      <c r="BD108" s="1594"/>
      <c r="BE108" s="1594"/>
      <c r="BF108" s="1594"/>
      <c r="BG108" s="1594"/>
      <c r="BH108" s="1594"/>
      <c r="BI108" s="1594"/>
      <c r="BJ108" s="1594"/>
    </row>
    <row r="109" spans="1:62" ht="12.75">
      <c r="A109" s="1594"/>
      <c r="B109" s="1615"/>
      <c r="C109" s="1616"/>
      <c r="D109" s="1616"/>
      <c r="E109" s="1616"/>
      <c r="F109" s="1620"/>
      <c r="G109" s="1616"/>
      <c r="H109" s="1620"/>
      <c r="I109" s="1616"/>
      <c r="J109" s="1625"/>
      <c r="K109" s="1637"/>
      <c r="L109" s="1627"/>
      <c r="M109" s="1624"/>
      <c r="N109" s="1594"/>
      <c r="O109" s="1594"/>
      <c r="P109" s="1594"/>
      <c r="Q109" s="1594"/>
      <c r="R109" s="1594"/>
      <c r="S109" s="1594"/>
      <c r="T109" s="1594"/>
      <c r="U109" s="1594"/>
      <c r="V109" s="1594"/>
      <c r="W109" s="1594"/>
      <c r="X109" s="1594"/>
      <c r="Y109" s="1594"/>
      <c r="Z109" s="1594"/>
      <c r="AA109" s="1594"/>
      <c r="AB109" s="1594"/>
      <c r="AC109" s="1594"/>
      <c r="AD109" s="1594"/>
      <c r="AE109" s="1594"/>
      <c r="AF109" s="1594"/>
      <c r="AG109" s="1594"/>
      <c r="AH109" s="1594"/>
      <c r="AI109" s="1594"/>
      <c r="AJ109" s="1594"/>
      <c r="AK109" s="1594"/>
      <c r="AL109" s="1594"/>
      <c r="AM109" s="1594"/>
      <c r="AN109" s="1594"/>
      <c r="AO109" s="1594"/>
      <c r="AP109" s="1594"/>
      <c r="AQ109" s="1594"/>
      <c r="AR109" s="1594"/>
      <c r="AS109" s="1594"/>
      <c r="AT109" s="1594"/>
      <c r="AU109" s="1594"/>
      <c r="AV109" s="1594"/>
      <c r="AW109" s="1594"/>
      <c r="AX109" s="1594"/>
      <c r="AY109" s="1594"/>
      <c r="AZ109" s="1594"/>
      <c r="BA109" s="1594"/>
      <c r="BB109" s="1594"/>
      <c r="BC109" s="1594"/>
      <c r="BD109" s="1594"/>
      <c r="BE109" s="1594"/>
      <c r="BF109" s="1594"/>
      <c r="BG109" s="1594"/>
      <c r="BH109" s="1594"/>
      <c r="BI109" s="1594"/>
      <c r="BJ109" s="1594"/>
    </row>
    <row r="110" spans="1:62" ht="12.75">
      <c r="A110" s="1594"/>
      <c r="B110" s="1615"/>
      <c r="C110" s="1616" t="s">
        <v>1146</v>
      </c>
      <c r="D110" s="1616" t="s">
        <v>1147</v>
      </c>
      <c r="E110" s="1616" t="s">
        <v>75</v>
      </c>
      <c r="F110" s="1623">
        <v>31308</v>
      </c>
      <c r="G110" s="1616" t="s">
        <v>1152</v>
      </c>
      <c r="H110" s="1644">
        <v>1.0780000000000001</v>
      </c>
      <c r="I110" s="1616" t="s">
        <v>1153</v>
      </c>
      <c r="J110" s="1636">
        <f>(F110*H110)</f>
        <v>33750.024000000005</v>
      </c>
      <c r="K110" s="1626">
        <f>J110/(J$110+J$111)*K$112</f>
        <v>3538.4751955776001</v>
      </c>
      <c r="L110" s="1644">
        <v>3.6999999999999998E-2</v>
      </c>
      <c r="M110" s="1680">
        <v>3.7100000000000002E-3</v>
      </c>
      <c r="N110" s="1594"/>
      <c r="O110" s="1594"/>
      <c r="P110" s="1594"/>
      <c r="Q110" s="1594"/>
      <c r="R110" s="1594"/>
      <c r="S110" s="1594"/>
      <c r="T110" s="1594"/>
      <c r="U110" s="1594"/>
      <c r="V110" s="1594"/>
      <c r="W110" s="1594"/>
      <c r="X110" s="1594"/>
      <c r="Y110" s="1594"/>
      <c r="Z110" s="1594"/>
      <c r="AA110" s="1594"/>
      <c r="AB110" s="1594"/>
      <c r="AC110" s="1594"/>
      <c r="AD110" s="1594"/>
      <c r="AE110" s="1594"/>
      <c r="AF110" s="1594"/>
      <c r="AG110" s="1594"/>
      <c r="AH110" s="1594"/>
      <c r="AI110" s="1594"/>
      <c r="AJ110" s="1594"/>
      <c r="AK110" s="1594"/>
      <c r="AL110" s="1594"/>
      <c r="AM110" s="1594"/>
      <c r="AN110" s="1594"/>
      <c r="AO110" s="1594"/>
      <c r="AP110" s="1594"/>
      <c r="AQ110" s="1594"/>
      <c r="AR110" s="1594"/>
      <c r="AS110" s="1594"/>
      <c r="AT110" s="1594"/>
      <c r="AU110" s="1594"/>
      <c r="AV110" s="1594"/>
      <c r="AW110" s="1594"/>
      <c r="AX110" s="1594"/>
      <c r="AY110" s="1594"/>
      <c r="AZ110" s="1594"/>
      <c r="BA110" s="1594"/>
      <c r="BB110" s="1594"/>
      <c r="BC110" s="1594"/>
      <c r="BD110" s="1594"/>
      <c r="BE110" s="1594"/>
      <c r="BF110" s="1594"/>
      <c r="BG110" s="1594"/>
      <c r="BH110" s="1594"/>
      <c r="BI110" s="1594"/>
      <c r="BJ110" s="1594"/>
    </row>
    <row r="111" spans="1:62" ht="12.75">
      <c r="A111" s="1594"/>
      <c r="B111" s="1615"/>
      <c r="C111" s="1616"/>
      <c r="D111" s="1616" t="s">
        <v>1147</v>
      </c>
      <c r="E111" s="1616" t="s">
        <v>1129</v>
      </c>
      <c r="F111" s="1623">
        <v>422531</v>
      </c>
      <c r="G111" s="1616" t="s">
        <v>279</v>
      </c>
      <c r="H111" s="1639">
        <v>23.8</v>
      </c>
      <c r="I111" s="1616" t="s">
        <v>1145</v>
      </c>
      <c r="J111" s="1636">
        <f>(F111*H111)</f>
        <v>10056237.800000001</v>
      </c>
      <c r="K111" s="1626">
        <f>J111/(J$110+J$111)*K$112</f>
        <v>1054332.5248044224</v>
      </c>
      <c r="L111" s="1645">
        <v>11.1</v>
      </c>
      <c r="M111" s="1680">
        <v>17.7</v>
      </c>
      <c r="N111" s="1594"/>
      <c r="O111" s="1594"/>
      <c r="P111" s="1594"/>
      <c r="Q111" s="1594"/>
      <c r="R111" s="1594"/>
      <c r="S111" s="1594"/>
      <c r="T111" s="1594"/>
      <c r="U111" s="1594"/>
      <c r="V111" s="1594"/>
      <c r="W111" s="1594"/>
      <c r="X111" s="1594"/>
      <c r="Y111" s="1594"/>
      <c r="Z111" s="1594"/>
      <c r="AA111" s="1594"/>
      <c r="AB111" s="1594"/>
      <c r="AC111" s="1594"/>
      <c r="AD111" s="1594"/>
      <c r="AE111" s="1594"/>
      <c r="AF111" s="1594"/>
      <c r="AG111" s="1594"/>
      <c r="AH111" s="1594"/>
      <c r="AI111" s="1594"/>
      <c r="AJ111" s="1594"/>
      <c r="AK111" s="1594"/>
      <c r="AL111" s="1594"/>
      <c r="AM111" s="1594"/>
      <c r="AN111" s="1594"/>
      <c r="AO111" s="1594"/>
      <c r="AP111" s="1594"/>
      <c r="AQ111" s="1594"/>
      <c r="AR111" s="1594"/>
      <c r="AS111" s="1594"/>
      <c r="AT111" s="1594"/>
      <c r="AU111" s="1594"/>
      <c r="AV111" s="1594"/>
      <c r="AW111" s="1594"/>
      <c r="AX111" s="1594"/>
      <c r="AY111" s="1594"/>
      <c r="AZ111" s="1594"/>
      <c r="BA111" s="1594"/>
      <c r="BB111" s="1594"/>
      <c r="BC111" s="1594"/>
      <c r="BD111" s="1594"/>
      <c r="BE111" s="1594"/>
      <c r="BF111" s="1594"/>
      <c r="BG111" s="1594"/>
      <c r="BH111" s="1594"/>
      <c r="BI111" s="1594"/>
      <c r="BJ111" s="1594"/>
    </row>
    <row r="112" spans="1:62" ht="12.75">
      <c r="A112" s="1594"/>
      <c r="B112" s="1615"/>
      <c r="C112" s="1616"/>
      <c r="D112" s="1616"/>
      <c r="E112" s="1616"/>
      <c r="F112" s="1620"/>
      <c r="G112" s="1616"/>
      <c r="H112" s="1620"/>
      <c r="I112" s="1616"/>
      <c r="J112" s="1625">
        <f>J110+J111</f>
        <v>10089987.824000001</v>
      </c>
      <c r="K112" s="1637">
        <v>1057871</v>
      </c>
      <c r="L112" s="1638">
        <f>L110+L111</f>
        <v>11.137</v>
      </c>
      <c r="M112" s="1694">
        <f>M110+M111</f>
        <v>17.703710000000001</v>
      </c>
      <c r="N112" s="1594"/>
      <c r="O112" s="1594"/>
      <c r="P112" s="1594"/>
      <c r="Q112" s="1594"/>
      <c r="R112" s="1594"/>
      <c r="S112" s="1594"/>
      <c r="T112" s="1594"/>
      <c r="U112" s="1594"/>
      <c r="V112" s="1594"/>
      <c r="W112" s="1594"/>
      <c r="X112" s="1594"/>
      <c r="Y112" s="1594"/>
      <c r="Z112" s="1594"/>
      <c r="AA112" s="1594"/>
      <c r="AB112" s="1594"/>
      <c r="AC112" s="1594"/>
      <c r="AD112" s="1594"/>
      <c r="AE112" s="1594"/>
      <c r="AF112" s="1594"/>
      <c r="AG112" s="1594"/>
      <c r="AH112" s="1594"/>
      <c r="AI112" s="1594"/>
      <c r="AJ112" s="1594"/>
      <c r="AK112" s="1594"/>
      <c r="AL112" s="1594"/>
      <c r="AM112" s="1594"/>
      <c r="AN112" s="1594"/>
      <c r="AO112" s="1594"/>
      <c r="AP112" s="1594"/>
      <c r="AQ112" s="1594"/>
      <c r="AR112" s="1594"/>
      <c r="AS112" s="1594"/>
      <c r="AT112" s="1594"/>
      <c r="AU112" s="1594"/>
      <c r="AV112" s="1594"/>
      <c r="AW112" s="1594"/>
      <c r="AX112" s="1594"/>
      <c r="AY112" s="1594"/>
      <c r="AZ112" s="1594"/>
      <c r="BA112" s="1594"/>
      <c r="BB112" s="1594"/>
      <c r="BC112" s="1594"/>
      <c r="BD112" s="1594"/>
      <c r="BE112" s="1594"/>
      <c r="BF112" s="1594"/>
      <c r="BG112" s="1594"/>
      <c r="BH112" s="1594"/>
      <c r="BI112" s="1594"/>
      <c r="BJ112" s="1594"/>
    </row>
    <row r="113" spans="1:62" ht="12.75">
      <c r="A113" s="1594"/>
      <c r="B113" s="1615"/>
      <c r="C113" s="1616"/>
      <c r="D113" s="1616"/>
      <c r="E113" s="1616"/>
      <c r="F113" s="1620"/>
      <c r="G113" s="1616"/>
      <c r="H113" s="1620"/>
      <c r="I113" s="1616"/>
      <c r="J113" s="1625"/>
      <c r="K113" s="1637"/>
      <c r="L113" s="1627"/>
      <c r="M113" s="1624"/>
      <c r="N113" s="1594"/>
      <c r="O113" s="1594"/>
      <c r="P113" s="1594"/>
      <c r="Q113" s="1594"/>
      <c r="R113" s="1594"/>
      <c r="S113" s="1594"/>
      <c r="T113" s="1594"/>
      <c r="U113" s="1594"/>
      <c r="V113" s="1594"/>
      <c r="W113" s="1594"/>
      <c r="X113" s="1594"/>
      <c r="Y113" s="1594"/>
      <c r="Z113" s="1594"/>
      <c r="AA113" s="1594"/>
      <c r="AB113" s="1594"/>
      <c r="AC113" s="1594"/>
      <c r="AD113" s="1594"/>
      <c r="AE113" s="1594"/>
      <c r="AF113" s="1594"/>
      <c r="AG113" s="1594"/>
      <c r="AH113" s="1594"/>
      <c r="AI113" s="1594"/>
      <c r="AJ113" s="1594"/>
      <c r="AK113" s="1594"/>
      <c r="AL113" s="1594"/>
      <c r="AM113" s="1594"/>
      <c r="AN113" s="1594"/>
      <c r="AO113" s="1594"/>
      <c r="AP113" s="1594"/>
      <c r="AQ113" s="1594"/>
      <c r="AR113" s="1594"/>
      <c r="AS113" s="1594"/>
      <c r="AT113" s="1594"/>
      <c r="AU113" s="1594"/>
      <c r="AV113" s="1594"/>
      <c r="AW113" s="1594"/>
      <c r="AX113" s="1594"/>
      <c r="AY113" s="1594"/>
      <c r="AZ113" s="1594"/>
      <c r="BA113" s="1594"/>
      <c r="BB113" s="1594"/>
      <c r="BC113" s="1594"/>
      <c r="BD113" s="1594"/>
      <c r="BE113" s="1594"/>
      <c r="BF113" s="1594"/>
      <c r="BG113" s="1594"/>
      <c r="BH113" s="1594"/>
      <c r="BI113" s="1594"/>
      <c r="BJ113" s="1594"/>
    </row>
    <row r="114" spans="1:62" ht="12.75">
      <c r="A114" s="1594"/>
      <c r="B114" s="1615"/>
      <c r="C114" s="1616" t="s">
        <v>69</v>
      </c>
      <c r="D114" s="1616" t="s">
        <v>70</v>
      </c>
      <c r="E114" s="1616" t="s">
        <v>75</v>
      </c>
      <c r="F114" s="1623">
        <v>22551</v>
      </c>
      <c r="G114" s="1616" t="s">
        <v>1152</v>
      </c>
      <c r="H114" s="1644">
        <v>1.0880000000000001</v>
      </c>
      <c r="I114" s="1616" t="s">
        <v>1153</v>
      </c>
      <c r="J114" s="1636">
        <f>(F114*H114)</f>
        <v>24535.488000000001</v>
      </c>
      <c r="K114" s="1646">
        <f>(J114/(J114+J115))*K116</f>
        <v>2090.3890693004023</v>
      </c>
      <c r="L114" s="1644">
        <v>2.7E-2</v>
      </c>
      <c r="M114" s="1680">
        <v>2.7000000000000001E-3</v>
      </c>
      <c r="N114" s="1594"/>
      <c r="O114" s="1594"/>
      <c r="P114" s="1594"/>
      <c r="Q114" s="1594"/>
      <c r="R114" s="1594"/>
      <c r="S114" s="1594"/>
      <c r="T114" s="1594"/>
      <c r="U114" s="1594"/>
      <c r="V114" s="1594"/>
      <c r="W114" s="1594"/>
      <c r="X114" s="1594"/>
      <c r="Y114" s="1594"/>
      <c r="Z114" s="1594"/>
      <c r="AA114" s="1594"/>
      <c r="AB114" s="1594"/>
      <c r="AC114" s="1594"/>
      <c r="AD114" s="1594"/>
      <c r="AE114" s="1594"/>
      <c r="AF114" s="1594"/>
      <c r="AG114" s="1594"/>
      <c r="AH114" s="1594"/>
      <c r="AI114" s="1594"/>
      <c r="AJ114" s="1594"/>
      <c r="AK114" s="1594"/>
      <c r="AL114" s="1594"/>
      <c r="AM114" s="1594"/>
      <c r="AN114" s="1594"/>
      <c r="AO114" s="1594"/>
      <c r="AP114" s="1594"/>
      <c r="AQ114" s="1594"/>
      <c r="AR114" s="1594"/>
      <c r="AS114" s="1594"/>
      <c r="AT114" s="1594"/>
      <c r="AU114" s="1594"/>
      <c r="AV114" s="1594"/>
      <c r="AW114" s="1594"/>
      <c r="AX114" s="1594"/>
      <c r="AY114" s="1594"/>
      <c r="AZ114" s="1594"/>
      <c r="BA114" s="1594"/>
      <c r="BB114" s="1594"/>
      <c r="BC114" s="1594"/>
      <c r="BD114" s="1594"/>
      <c r="BE114" s="1594"/>
      <c r="BF114" s="1594"/>
      <c r="BG114" s="1594"/>
      <c r="BH114" s="1594"/>
      <c r="BI114" s="1594"/>
      <c r="BJ114" s="1594"/>
    </row>
    <row r="115" spans="1:62" ht="12.75">
      <c r="A115" s="1594"/>
      <c r="B115" s="1615"/>
      <c r="C115" s="1616"/>
      <c r="D115" s="1616" t="s">
        <v>70</v>
      </c>
      <c r="E115" s="1616" t="s">
        <v>71</v>
      </c>
      <c r="F115" s="1623">
        <v>6804042</v>
      </c>
      <c r="G115" s="1616" t="s">
        <v>67</v>
      </c>
      <c r="H115" s="1644">
        <v>0.152</v>
      </c>
      <c r="I115" s="1616" t="s">
        <v>1151</v>
      </c>
      <c r="J115" s="1636">
        <f>(F115*H115)</f>
        <v>1034214.384</v>
      </c>
      <c r="K115" s="1620">
        <f>(J115/(J114+J115))*K116</f>
        <v>88113.610930699593</v>
      </c>
      <c r="L115" s="1639">
        <v>3.4129999999999998</v>
      </c>
      <c r="M115" s="1680">
        <v>0.68</v>
      </c>
      <c r="N115" s="1594"/>
      <c r="O115" s="1594"/>
      <c r="P115" s="1594"/>
      <c r="Q115" s="1594"/>
      <c r="R115" s="1594"/>
      <c r="S115" s="1594"/>
      <c r="T115" s="1594"/>
      <c r="U115" s="1594"/>
      <c r="V115" s="1594"/>
      <c r="W115" s="1594"/>
      <c r="X115" s="1594"/>
      <c r="Y115" s="1594"/>
      <c r="Z115" s="1594"/>
      <c r="AA115" s="1594"/>
      <c r="AB115" s="1594"/>
      <c r="AC115" s="1594"/>
      <c r="AD115" s="1594"/>
      <c r="AE115" s="1594"/>
      <c r="AF115" s="1594"/>
      <c r="AG115" s="1594"/>
      <c r="AH115" s="1594"/>
      <c r="AI115" s="1594"/>
      <c r="AJ115" s="1594"/>
      <c r="AK115" s="1594"/>
      <c r="AL115" s="1594"/>
      <c r="AM115" s="1594"/>
      <c r="AN115" s="1594"/>
      <c r="AO115" s="1594"/>
      <c r="AP115" s="1594"/>
      <c r="AQ115" s="1594"/>
      <c r="AR115" s="1594"/>
      <c r="AS115" s="1594"/>
      <c r="AT115" s="1594"/>
      <c r="AU115" s="1594"/>
      <c r="AV115" s="1594"/>
      <c r="AW115" s="1594"/>
      <c r="AX115" s="1594"/>
      <c r="AY115" s="1594"/>
      <c r="AZ115" s="1594"/>
      <c r="BA115" s="1594"/>
      <c r="BB115" s="1594"/>
      <c r="BC115" s="1594"/>
      <c r="BD115" s="1594"/>
      <c r="BE115" s="1594"/>
      <c r="BF115" s="1594"/>
      <c r="BG115" s="1594"/>
      <c r="BH115" s="1594"/>
      <c r="BI115" s="1594"/>
      <c r="BJ115" s="1594"/>
    </row>
    <row r="116" spans="1:62" ht="12.75">
      <c r="A116" s="1594"/>
      <c r="B116" s="1615"/>
      <c r="C116" s="1616"/>
      <c r="D116" s="1616"/>
      <c r="E116" s="1616"/>
      <c r="F116" s="1620"/>
      <c r="G116" s="1616"/>
      <c r="H116" s="1620"/>
      <c r="I116" s="1616"/>
      <c r="J116" s="1625">
        <f>J114+J115</f>
        <v>1058749.872</v>
      </c>
      <c r="K116" s="1637">
        <v>90204</v>
      </c>
      <c r="L116" s="1638">
        <f>L114+L115</f>
        <v>3.44</v>
      </c>
      <c r="M116" s="1694">
        <f>M114+M115</f>
        <v>0.68270000000000008</v>
      </c>
      <c r="N116" s="1594"/>
      <c r="O116" s="1594"/>
      <c r="P116" s="1594"/>
      <c r="Q116" s="1594"/>
      <c r="R116" s="1594"/>
      <c r="S116" s="1594"/>
      <c r="T116" s="1594"/>
      <c r="U116" s="1594"/>
      <c r="V116" s="1594"/>
      <c r="W116" s="1594"/>
      <c r="X116" s="1594"/>
      <c r="Y116" s="1594"/>
      <c r="Z116" s="1594"/>
      <c r="AA116" s="1594"/>
      <c r="AB116" s="1594"/>
      <c r="AC116" s="1594"/>
      <c r="AD116" s="1594"/>
      <c r="AE116" s="1594"/>
      <c r="AF116" s="1594"/>
      <c r="AG116" s="1594"/>
      <c r="AH116" s="1594"/>
      <c r="AI116" s="1594"/>
      <c r="AJ116" s="1594"/>
      <c r="AK116" s="1594"/>
      <c r="AL116" s="1594"/>
      <c r="AM116" s="1594"/>
      <c r="AN116" s="1594"/>
      <c r="AO116" s="1594"/>
      <c r="AP116" s="1594"/>
      <c r="AQ116" s="1594"/>
      <c r="AR116" s="1594"/>
      <c r="AS116" s="1594"/>
      <c r="AT116" s="1594"/>
      <c r="AU116" s="1594"/>
      <c r="AV116" s="1594"/>
      <c r="AW116" s="1594"/>
      <c r="AX116" s="1594"/>
      <c r="AY116" s="1594"/>
      <c r="AZ116" s="1594"/>
      <c r="BA116" s="1594"/>
      <c r="BB116" s="1594"/>
      <c r="BC116" s="1594"/>
      <c r="BD116" s="1594"/>
      <c r="BE116" s="1594"/>
      <c r="BF116" s="1594"/>
      <c r="BG116" s="1594"/>
      <c r="BH116" s="1594"/>
      <c r="BI116" s="1594"/>
      <c r="BJ116" s="1594"/>
    </row>
    <row r="117" spans="1:62" ht="12.75">
      <c r="A117" s="1594"/>
      <c r="B117" s="1615"/>
      <c r="C117" s="1616"/>
      <c r="D117" s="1616"/>
      <c r="E117" s="1616"/>
      <c r="F117" s="1620"/>
      <c r="G117" s="1616"/>
      <c r="H117" s="1620"/>
      <c r="I117" s="1616"/>
      <c r="J117" s="1630"/>
      <c r="K117" s="1620"/>
      <c r="L117" s="1629"/>
      <c r="M117" s="1641"/>
      <c r="N117" s="1594"/>
      <c r="O117" s="1594"/>
      <c r="P117" s="1594"/>
      <c r="Q117" s="1594"/>
      <c r="R117" s="1594"/>
      <c r="S117" s="1594"/>
      <c r="T117" s="1594"/>
      <c r="U117" s="1594"/>
      <c r="V117" s="1594"/>
      <c r="W117" s="1594"/>
      <c r="X117" s="1594"/>
      <c r="Y117" s="1594"/>
      <c r="Z117" s="1594"/>
      <c r="AA117" s="1594"/>
      <c r="AB117" s="1594"/>
      <c r="AC117" s="1594"/>
      <c r="AD117" s="1594"/>
      <c r="AE117" s="1594"/>
      <c r="AF117" s="1594"/>
      <c r="AG117" s="1594"/>
      <c r="AH117" s="1594"/>
      <c r="AI117" s="1594"/>
      <c r="AJ117" s="1594"/>
      <c r="AK117" s="1594"/>
      <c r="AL117" s="1594"/>
      <c r="AM117" s="1594"/>
      <c r="AN117" s="1594"/>
      <c r="AO117" s="1594"/>
      <c r="AP117" s="1594"/>
      <c r="AQ117" s="1594"/>
      <c r="AR117" s="1594"/>
      <c r="AS117" s="1594"/>
      <c r="AT117" s="1594"/>
      <c r="AU117" s="1594"/>
      <c r="AV117" s="1594"/>
      <c r="AW117" s="1594"/>
      <c r="AX117" s="1594"/>
      <c r="AY117" s="1594"/>
      <c r="AZ117" s="1594"/>
      <c r="BA117" s="1594"/>
      <c r="BB117" s="1594"/>
      <c r="BC117" s="1594"/>
      <c r="BD117" s="1594"/>
      <c r="BE117" s="1594"/>
      <c r="BF117" s="1594"/>
      <c r="BG117" s="1594"/>
      <c r="BH117" s="1594"/>
      <c r="BI117" s="1594"/>
      <c r="BJ117" s="1594"/>
    </row>
    <row r="118" spans="1:62" ht="12.75">
      <c r="A118" s="1594"/>
      <c r="B118" s="1615"/>
      <c r="C118" s="1616" t="s">
        <v>32</v>
      </c>
      <c r="D118" s="1616" t="s">
        <v>193</v>
      </c>
      <c r="E118" s="1616" t="s">
        <v>33</v>
      </c>
      <c r="F118" s="1623">
        <v>277368</v>
      </c>
      <c r="G118" s="1616" t="s">
        <v>67</v>
      </c>
      <c r="H118" s="1644">
        <v>0.13700000000000001</v>
      </c>
      <c r="I118" s="1616" t="s">
        <v>1150</v>
      </c>
      <c r="J118" s="1625">
        <f>F118*H118</f>
        <v>37999.416000000005</v>
      </c>
      <c r="K118" s="1637">
        <v>3098</v>
      </c>
      <c r="L118" s="1647">
        <v>0.121</v>
      </c>
      <c r="M118" s="1694">
        <v>2.5000000000000001E-2</v>
      </c>
      <c r="N118" s="1594"/>
      <c r="O118" s="1594"/>
      <c r="P118" s="1594"/>
      <c r="Q118" s="1594"/>
      <c r="R118" s="1594"/>
      <c r="S118" s="1594"/>
      <c r="T118" s="1594"/>
      <c r="U118" s="1594"/>
      <c r="V118" s="1594"/>
      <c r="W118" s="1594"/>
      <c r="X118" s="1594"/>
      <c r="Y118" s="1594"/>
      <c r="Z118" s="1594"/>
      <c r="AA118" s="1594"/>
      <c r="AB118" s="1594"/>
      <c r="AC118" s="1594"/>
      <c r="AD118" s="1594"/>
      <c r="AE118" s="1594"/>
      <c r="AF118" s="1594"/>
      <c r="AG118" s="1594"/>
      <c r="AH118" s="1594"/>
      <c r="AI118" s="1594"/>
      <c r="AJ118" s="1594"/>
      <c r="AK118" s="1594"/>
      <c r="AL118" s="1594"/>
      <c r="AM118" s="1594"/>
      <c r="AN118" s="1594"/>
      <c r="AO118" s="1594"/>
      <c r="AP118" s="1594"/>
      <c r="AQ118" s="1594"/>
      <c r="AR118" s="1594"/>
      <c r="AS118" s="1594"/>
      <c r="AT118" s="1594"/>
      <c r="AU118" s="1594"/>
      <c r="AV118" s="1594"/>
      <c r="AW118" s="1594"/>
      <c r="AX118" s="1594"/>
      <c r="AY118" s="1594"/>
      <c r="AZ118" s="1594"/>
      <c r="BA118" s="1594"/>
      <c r="BB118" s="1594"/>
      <c r="BC118" s="1594"/>
      <c r="BD118" s="1594"/>
      <c r="BE118" s="1594"/>
      <c r="BF118" s="1594"/>
      <c r="BG118" s="1594"/>
      <c r="BH118" s="1594"/>
      <c r="BI118" s="1594"/>
      <c r="BJ118" s="1594"/>
    </row>
    <row r="119" spans="1:62" ht="13.5" thickBot="1">
      <c r="A119" s="1594"/>
      <c r="B119" s="1615"/>
      <c r="C119" s="1616"/>
      <c r="D119" s="1616"/>
      <c r="E119" s="1616"/>
      <c r="F119" s="1623"/>
      <c r="G119" s="1616"/>
      <c r="H119" s="1644"/>
      <c r="I119" s="1616"/>
      <c r="J119" s="1625"/>
      <c r="K119" s="1637"/>
      <c r="L119" s="1647"/>
      <c r="M119" s="1624"/>
      <c r="N119" s="1594"/>
      <c r="O119" s="1594"/>
      <c r="P119" s="1594"/>
      <c r="Q119" s="1594"/>
      <c r="R119" s="1594"/>
      <c r="S119" s="1594"/>
      <c r="T119" s="1594"/>
      <c r="U119" s="1594"/>
      <c r="V119" s="1594"/>
      <c r="W119" s="1594"/>
      <c r="X119" s="1594"/>
      <c r="Y119" s="1594"/>
      <c r="Z119" s="1594"/>
      <c r="AA119" s="1594"/>
      <c r="AB119" s="1594"/>
      <c r="AC119" s="1594"/>
      <c r="AD119" s="1594"/>
      <c r="AE119" s="1594"/>
      <c r="AF119" s="1594"/>
      <c r="AG119" s="1594"/>
      <c r="AH119" s="1594"/>
      <c r="AI119" s="1594"/>
      <c r="AJ119" s="1594"/>
      <c r="AK119" s="1594"/>
      <c r="AL119" s="1594"/>
      <c r="AM119" s="1594"/>
      <c r="AN119" s="1594"/>
      <c r="AO119" s="1594"/>
      <c r="AP119" s="1594"/>
      <c r="AQ119" s="1594"/>
      <c r="AR119" s="1594"/>
      <c r="AS119" s="1594"/>
      <c r="AT119" s="1594"/>
      <c r="AU119" s="1594"/>
      <c r="AV119" s="1594"/>
      <c r="AW119" s="1594"/>
      <c r="AX119" s="1594"/>
      <c r="AY119" s="1594"/>
      <c r="AZ119" s="1594"/>
      <c r="BA119" s="1594"/>
      <c r="BB119" s="1594"/>
      <c r="BC119" s="1594"/>
      <c r="BD119" s="1594"/>
      <c r="BE119" s="1594"/>
      <c r="BF119" s="1594"/>
      <c r="BG119" s="1594"/>
      <c r="BH119" s="1594"/>
      <c r="BI119" s="1594"/>
      <c r="BJ119" s="1594"/>
    </row>
    <row r="120" spans="1:62" ht="12.75">
      <c r="A120" s="1594"/>
      <c r="B120" s="1660"/>
      <c r="C120" s="1613"/>
      <c r="D120" s="1613"/>
      <c r="E120" s="1613"/>
      <c r="F120" s="1661"/>
      <c r="G120" s="1613"/>
      <c r="H120" s="1670"/>
      <c r="I120" s="1613"/>
      <c r="J120" s="1671"/>
      <c r="K120" s="1672"/>
      <c r="L120" s="1673"/>
      <c r="M120" s="1662"/>
      <c r="N120" s="1594"/>
      <c r="O120" s="1594"/>
      <c r="P120" s="1594"/>
      <c r="Q120" s="1594"/>
      <c r="R120" s="1594"/>
      <c r="S120" s="1594"/>
      <c r="T120" s="1594"/>
      <c r="U120" s="1594"/>
      <c r="V120" s="1594"/>
      <c r="W120" s="1594"/>
      <c r="X120" s="1594"/>
      <c r="Y120" s="1594"/>
      <c r="Z120" s="1594"/>
      <c r="AA120" s="1594"/>
      <c r="AB120" s="1594"/>
      <c r="AC120" s="1594"/>
      <c r="AD120" s="1594"/>
      <c r="AE120" s="1594"/>
      <c r="AF120" s="1594"/>
      <c r="AG120" s="1594"/>
      <c r="AH120" s="1594"/>
      <c r="AI120" s="1594"/>
      <c r="AJ120" s="1594"/>
      <c r="AK120" s="1594"/>
      <c r="AL120" s="1594"/>
      <c r="AM120" s="1594"/>
      <c r="AN120" s="1594"/>
      <c r="AO120" s="1594"/>
      <c r="AP120" s="1594"/>
      <c r="AQ120" s="1594"/>
      <c r="AR120" s="1594"/>
      <c r="AS120" s="1594"/>
      <c r="AT120" s="1594"/>
      <c r="AU120" s="1594"/>
      <c r="AV120" s="1594"/>
      <c r="AW120" s="1594"/>
      <c r="AX120" s="1594"/>
      <c r="AY120" s="1594"/>
      <c r="AZ120" s="1594"/>
      <c r="BA120" s="1594"/>
      <c r="BB120" s="1594"/>
      <c r="BC120" s="1594"/>
      <c r="BD120" s="1594"/>
      <c r="BE120" s="1594"/>
      <c r="BF120" s="1594"/>
      <c r="BG120" s="1594"/>
      <c r="BH120" s="1594"/>
      <c r="BI120" s="1594"/>
      <c r="BJ120" s="1594"/>
    </row>
    <row r="121" spans="1:62" ht="12.75">
      <c r="A121" s="1594"/>
      <c r="B121" s="1615"/>
      <c r="C121" s="1616"/>
      <c r="D121" s="1616"/>
      <c r="E121" s="1616"/>
      <c r="F121" s="1620"/>
      <c r="G121" s="1616"/>
      <c r="H121" s="1620"/>
      <c r="I121" s="1616"/>
      <c r="J121" s="1616"/>
      <c r="K121" s="1620"/>
      <c r="L121" s="1629"/>
      <c r="M121" s="1624"/>
      <c r="N121" s="1594"/>
      <c r="O121" s="1594"/>
      <c r="P121" s="1594"/>
      <c r="Q121" s="1594"/>
      <c r="R121" s="1594"/>
      <c r="S121" s="1594"/>
      <c r="T121" s="1594"/>
      <c r="U121" s="1594"/>
      <c r="V121" s="1594"/>
      <c r="W121" s="1594"/>
      <c r="X121" s="1594"/>
      <c r="Y121" s="1594"/>
      <c r="Z121" s="1594"/>
      <c r="AA121" s="1594"/>
      <c r="AB121" s="1594"/>
      <c r="AC121" s="1594"/>
      <c r="AD121" s="1594"/>
      <c r="AE121" s="1594"/>
      <c r="AF121" s="1594"/>
      <c r="AG121" s="1594"/>
      <c r="AH121" s="1594"/>
      <c r="AI121" s="1594"/>
      <c r="AJ121" s="1594"/>
      <c r="AK121" s="1594"/>
      <c r="AL121" s="1594"/>
      <c r="AM121" s="1594"/>
      <c r="AN121" s="1594"/>
      <c r="AO121" s="1594"/>
      <c r="AP121" s="1594"/>
      <c r="AQ121" s="1594"/>
      <c r="AR121" s="1594"/>
      <c r="AS121" s="1594"/>
      <c r="AT121" s="1594"/>
      <c r="AU121" s="1594"/>
      <c r="AV121" s="1594"/>
      <c r="AW121" s="1594"/>
      <c r="AX121" s="1594"/>
      <c r="AY121" s="1594"/>
      <c r="AZ121" s="1594"/>
      <c r="BA121" s="1594"/>
      <c r="BB121" s="1594"/>
      <c r="BC121" s="1594"/>
      <c r="BD121" s="1594"/>
      <c r="BE121" s="1594"/>
      <c r="BF121" s="1594"/>
      <c r="BG121" s="1594"/>
      <c r="BH121" s="1594"/>
      <c r="BI121" s="1594"/>
      <c r="BJ121" s="1594"/>
    </row>
    <row r="122" spans="1:62" ht="12.75">
      <c r="A122" s="1594"/>
      <c r="B122" s="1615" t="s">
        <v>35</v>
      </c>
      <c r="C122" s="163" t="s">
        <v>36</v>
      </c>
      <c r="D122" s="1616"/>
      <c r="E122" s="1616"/>
      <c r="F122" s="1620"/>
      <c r="G122" s="1616"/>
      <c r="H122" s="1620"/>
      <c r="I122" s="1616"/>
      <c r="J122" s="1630"/>
      <c r="K122" s="1620"/>
      <c r="L122" s="1629"/>
      <c r="M122" s="1624"/>
      <c r="N122" s="1594"/>
      <c r="O122" s="1594"/>
      <c r="P122" s="1594"/>
      <c r="Q122" s="1594"/>
      <c r="R122" s="1594"/>
      <c r="S122" s="1594"/>
      <c r="T122" s="1594"/>
      <c r="U122" s="1594"/>
      <c r="V122" s="1594"/>
      <c r="W122" s="1594"/>
      <c r="X122" s="1594"/>
      <c r="Y122" s="1594"/>
      <c r="Z122" s="1594"/>
      <c r="AA122" s="1594"/>
      <c r="AB122" s="1594"/>
      <c r="AC122" s="1594"/>
      <c r="AD122" s="1594"/>
      <c r="AE122" s="1594"/>
      <c r="AF122" s="1594"/>
      <c r="AG122" s="1594"/>
      <c r="AH122" s="1594"/>
      <c r="AI122" s="1594"/>
      <c r="AJ122" s="1594"/>
      <c r="AK122" s="1594"/>
      <c r="AL122" s="1594"/>
      <c r="AM122" s="1594"/>
      <c r="AN122" s="1594"/>
      <c r="AO122" s="1594"/>
      <c r="AP122" s="1594"/>
      <c r="AQ122" s="1594"/>
      <c r="AR122" s="1594"/>
      <c r="AS122" s="1594"/>
      <c r="AT122" s="1594"/>
      <c r="AU122" s="1594"/>
      <c r="AV122" s="1594"/>
      <c r="AW122" s="1594"/>
      <c r="AX122" s="1594"/>
      <c r="AY122" s="1594"/>
      <c r="AZ122" s="1594"/>
      <c r="BA122" s="1594"/>
      <c r="BB122" s="1594"/>
      <c r="BC122" s="1594"/>
      <c r="BD122" s="1594"/>
      <c r="BE122" s="1594"/>
      <c r="BF122" s="1594"/>
      <c r="BG122" s="1594"/>
      <c r="BH122" s="1594"/>
      <c r="BI122" s="1594"/>
      <c r="BJ122" s="1594"/>
    </row>
    <row r="123" spans="1:62" ht="12.75">
      <c r="A123" s="1594"/>
      <c r="B123" s="1615"/>
      <c r="C123" s="1616" t="s">
        <v>37</v>
      </c>
      <c r="D123" s="1616" t="s">
        <v>38</v>
      </c>
      <c r="E123" s="1616" t="s">
        <v>77</v>
      </c>
      <c r="F123" s="1623">
        <f>544*1000000</f>
        <v>544000000</v>
      </c>
      <c r="G123" s="1616" t="s">
        <v>144</v>
      </c>
      <c r="H123" s="1620">
        <v>1040</v>
      </c>
      <c r="I123" s="1616" t="s">
        <v>81</v>
      </c>
      <c r="J123" s="1630">
        <f>(F123*H123)/1000000</f>
        <v>565760</v>
      </c>
      <c r="K123" s="1626">
        <f>(+J123/(J$123+J$124))*K$125</f>
        <v>35570.074131192938</v>
      </c>
      <c r="L123" s="1627">
        <f>(+J123/(J$123+J$124))*L$125</f>
        <v>0.31728010374861992</v>
      </c>
      <c r="M123" s="1695">
        <f>(+J123/(J$123+J$124))*M$125</f>
        <v>3.4702511347505308E-2</v>
      </c>
      <c r="N123" s="1594"/>
      <c r="O123" s="1594"/>
      <c r="P123" s="1594"/>
      <c r="Q123" s="1594"/>
      <c r="R123" s="1594"/>
      <c r="S123" s="1594"/>
      <c r="T123" s="1594"/>
      <c r="U123" s="1594"/>
      <c r="V123" s="1594"/>
      <c r="W123" s="1594"/>
      <c r="X123" s="1594"/>
      <c r="Y123" s="1594"/>
      <c r="Z123" s="1594"/>
      <c r="AA123" s="1594"/>
      <c r="AB123" s="1594"/>
      <c r="AC123" s="1594"/>
      <c r="AD123" s="1594"/>
      <c r="AE123" s="1594"/>
      <c r="AF123" s="1594"/>
      <c r="AG123" s="1594"/>
      <c r="AH123" s="1594"/>
      <c r="AI123" s="1594"/>
      <c r="AJ123" s="1594"/>
      <c r="AK123" s="1594"/>
      <c r="AL123" s="1594"/>
      <c r="AM123" s="1594"/>
      <c r="AN123" s="1594"/>
      <c r="AO123" s="1594"/>
      <c r="AP123" s="1594"/>
      <c r="AQ123" s="1594"/>
      <c r="AR123" s="1594"/>
      <c r="AS123" s="1594"/>
      <c r="AT123" s="1594"/>
      <c r="AU123" s="1594"/>
      <c r="AV123" s="1594"/>
      <c r="AW123" s="1594"/>
      <c r="AX123" s="1594"/>
      <c r="AY123" s="1594"/>
      <c r="AZ123" s="1594"/>
      <c r="BA123" s="1594"/>
      <c r="BB123" s="1594"/>
      <c r="BC123" s="1594"/>
      <c r="BD123" s="1594"/>
      <c r="BE123" s="1594"/>
      <c r="BF123" s="1594"/>
      <c r="BG123" s="1594"/>
      <c r="BH123" s="1594"/>
      <c r="BI123" s="1594"/>
      <c r="BJ123" s="1594"/>
    </row>
    <row r="124" spans="1:62" ht="12.75">
      <c r="A124" s="1594"/>
      <c r="B124" s="1615"/>
      <c r="C124" s="1616"/>
      <c r="D124" s="1616" t="s">
        <v>38</v>
      </c>
      <c r="E124" s="1616" t="s">
        <v>33</v>
      </c>
      <c r="F124" s="1623">
        <f>4170*1000</f>
        <v>4170000</v>
      </c>
      <c r="G124" s="1616" t="s">
        <v>67</v>
      </c>
      <c r="H124" s="1620">
        <v>138</v>
      </c>
      <c r="I124" s="1616" t="s">
        <v>34</v>
      </c>
      <c r="J124" s="1630">
        <f>(F124*H124)/1000</f>
        <v>575460</v>
      </c>
      <c r="K124" s="1626">
        <f>(+J124/(J$123+J$124))*K$125</f>
        <v>36179.925868807069</v>
      </c>
      <c r="L124" s="1627">
        <f>(+J124/(J$123+J$124))*L$125</f>
        <v>0.32271989625138015</v>
      </c>
      <c r="M124" s="1695">
        <f>(+J124/(J$123+J$124))*M$125</f>
        <v>3.5297488652494706E-2</v>
      </c>
      <c r="N124" s="1594"/>
      <c r="O124" s="1594"/>
      <c r="P124" s="1594"/>
      <c r="Q124" s="1594"/>
      <c r="R124" s="1594"/>
      <c r="S124" s="1594"/>
      <c r="T124" s="1594"/>
      <c r="U124" s="1594"/>
      <c r="V124" s="1594"/>
      <c r="W124" s="1594"/>
      <c r="X124" s="1594"/>
      <c r="Y124" s="1594"/>
      <c r="Z124" s="1594"/>
      <c r="AA124" s="1594"/>
      <c r="AB124" s="1594"/>
      <c r="AC124" s="1594"/>
      <c r="AD124" s="1594"/>
      <c r="AE124" s="1594"/>
      <c r="AF124" s="1594"/>
      <c r="AG124" s="1594"/>
      <c r="AH124" s="1594"/>
      <c r="AI124" s="1594"/>
      <c r="AJ124" s="1594"/>
      <c r="AK124" s="1594"/>
      <c r="AL124" s="1594"/>
      <c r="AM124" s="1594"/>
      <c r="AN124" s="1594"/>
      <c r="AO124" s="1594"/>
      <c r="AP124" s="1594"/>
      <c r="AQ124" s="1594"/>
      <c r="AR124" s="1594"/>
      <c r="AS124" s="1594"/>
      <c r="AT124" s="1594"/>
      <c r="AU124" s="1594"/>
      <c r="AV124" s="1594"/>
      <c r="AW124" s="1594"/>
      <c r="AX124" s="1594"/>
      <c r="AY124" s="1594"/>
      <c r="AZ124" s="1594"/>
      <c r="BA124" s="1594"/>
      <c r="BB124" s="1594"/>
      <c r="BC124" s="1594"/>
      <c r="BD124" s="1594"/>
      <c r="BE124" s="1594"/>
      <c r="BF124" s="1594"/>
      <c r="BG124" s="1594"/>
      <c r="BH124" s="1594"/>
      <c r="BI124" s="1594"/>
      <c r="BJ124" s="1594"/>
    </row>
    <row r="125" spans="1:62" ht="12.75">
      <c r="A125" s="1594"/>
      <c r="B125" s="1615"/>
      <c r="C125" s="1616"/>
      <c r="D125" s="1616"/>
      <c r="E125" s="1616"/>
      <c r="F125" s="1623"/>
      <c r="G125" s="1616"/>
      <c r="H125" s="1620"/>
      <c r="I125" s="1616"/>
      <c r="J125" s="1625">
        <f>J123+J124</f>
        <v>1141220</v>
      </c>
      <c r="K125" s="1700">
        <v>71750</v>
      </c>
      <c r="L125" s="1717">
        <v>0.64</v>
      </c>
      <c r="M125" s="1718">
        <v>7.0000000000000007E-2</v>
      </c>
      <c r="N125" s="1594"/>
      <c r="O125" s="1594"/>
      <c r="P125" s="1594"/>
      <c r="Q125" s="1594"/>
      <c r="R125" s="1594"/>
      <c r="S125" s="1594"/>
      <c r="T125" s="1594"/>
      <c r="U125" s="1594"/>
      <c r="V125" s="1594"/>
      <c r="W125" s="1594"/>
      <c r="X125" s="1594"/>
      <c r="Y125" s="1594"/>
      <c r="Z125" s="1594"/>
      <c r="AA125" s="1594"/>
      <c r="AB125" s="1594"/>
      <c r="AC125" s="1594"/>
      <c r="AD125" s="1594"/>
      <c r="AE125" s="1594"/>
      <c r="AF125" s="1594"/>
      <c r="AG125" s="1594"/>
      <c r="AH125" s="1594"/>
      <c r="AI125" s="1594"/>
      <c r="AJ125" s="1594"/>
      <c r="AK125" s="1594"/>
      <c r="AL125" s="1594"/>
      <c r="AM125" s="1594"/>
      <c r="AN125" s="1594"/>
      <c r="AO125" s="1594"/>
      <c r="AP125" s="1594"/>
      <c r="AQ125" s="1594"/>
      <c r="AR125" s="1594"/>
      <c r="AS125" s="1594"/>
      <c r="AT125" s="1594"/>
      <c r="AU125" s="1594"/>
      <c r="AV125" s="1594"/>
      <c r="AW125" s="1594"/>
      <c r="AX125" s="1594"/>
      <c r="AY125" s="1594"/>
      <c r="AZ125" s="1594"/>
      <c r="BA125" s="1594"/>
      <c r="BB125" s="1594"/>
      <c r="BC125" s="1594"/>
      <c r="BD125" s="1594"/>
      <c r="BE125" s="1594"/>
      <c r="BF125" s="1594"/>
      <c r="BG125" s="1594"/>
      <c r="BH125" s="1594"/>
      <c r="BI125" s="1594"/>
      <c r="BJ125" s="1594"/>
    </row>
    <row r="126" spans="1:62" ht="12.75">
      <c r="A126" s="1594"/>
      <c r="B126" s="1615"/>
      <c r="C126" s="1616"/>
      <c r="D126" s="1616"/>
      <c r="E126" s="1616"/>
      <c r="F126" s="1623"/>
      <c r="G126" s="1616"/>
      <c r="H126" s="1620"/>
      <c r="I126" s="1616"/>
      <c r="J126" s="1630"/>
      <c r="K126" s="1620"/>
      <c r="L126" s="1629"/>
      <c r="M126" s="1641"/>
      <c r="N126" s="1594"/>
      <c r="O126" s="1594"/>
      <c r="P126" s="1594"/>
      <c r="Q126" s="1594"/>
      <c r="R126" s="1594"/>
      <c r="S126" s="1594"/>
      <c r="T126" s="1594"/>
      <c r="U126" s="1594"/>
      <c r="V126" s="1594"/>
      <c r="W126" s="1594"/>
      <c r="X126" s="1594"/>
      <c r="Y126" s="1594"/>
      <c r="Z126" s="1594"/>
      <c r="AA126" s="1594"/>
      <c r="AB126" s="1594"/>
      <c r="AC126" s="1594"/>
      <c r="AD126" s="1594"/>
      <c r="AE126" s="1594"/>
      <c r="AF126" s="1594"/>
      <c r="AG126" s="1594"/>
      <c r="AH126" s="1594"/>
      <c r="AI126" s="1594"/>
      <c r="AJ126" s="1594"/>
      <c r="AK126" s="1594"/>
      <c r="AL126" s="1594"/>
      <c r="AM126" s="1594"/>
      <c r="AN126" s="1594"/>
      <c r="AO126" s="1594"/>
      <c r="AP126" s="1594"/>
      <c r="AQ126" s="1594"/>
      <c r="AR126" s="1594"/>
      <c r="AS126" s="1594"/>
      <c r="AT126" s="1594"/>
      <c r="AU126" s="1594"/>
      <c r="AV126" s="1594"/>
      <c r="AW126" s="1594"/>
      <c r="AX126" s="1594"/>
      <c r="AY126" s="1594"/>
      <c r="AZ126" s="1594"/>
      <c r="BA126" s="1594"/>
      <c r="BB126" s="1594"/>
      <c r="BC126" s="1594"/>
      <c r="BD126" s="1594"/>
      <c r="BE126" s="1594"/>
      <c r="BF126" s="1594"/>
      <c r="BG126" s="1594"/>
      <c r="BH126" s="1594"/>
      <c r="BI126" s="1594"/>
      <c r="BJ126" s="1594"/>
    </row>
    <row r="127" spans="1:62" ht="12.75">
      <c r="A127" s="1594"/>
      <c r="B127" s="1615"/>
      <c r="C127" s="1616" t="s">
        <v>39</v>
      </c>
      <c r="D127" s="1616" t="s">
        <v>40</v>
      </c>
      <c r="E127" s="1616" t="s">
        <v>33</v>
      </c>
      <c r="F127" s="1623">
        <f>568*1000</f>
        <v>568000</v>
      </c>
      <c r="G127" s="1616" t="s">
        <v>67</v>
      </c>
      <c r="H127" s="1620">
        <v>138.07300000000001</v>
      </c>
      <c r="I127" s="1616" t="s">
        <v>34</v>
      </c>
      <c r="J127" s="1625">
        <f>(F127*H127)/1000</f>
        <v>78425.464000000007</v>
      </c>
      <c r="K127" s="1700">
        <v>7031</v>
      </c>
      <c r="L127" s="1715">
        <v>0</v>
      </c>
      <c r="M127" s="1716">
        <v>0</v>
      </c>
      <c r="N127" s="1594"/>
      <c r="O127" s="1594"/>
      <c r="P127" s="1594"/>
      <c r="Q127" s="1594"/>
      <c r="R127" s="1594"/>
      <c r="S127" s="1594"/>
      <c r="T127" s="1594"/>
      <c r="U127" s="1594"/>
      <c r="V127" s="1594"/>
      <c r="W127" s="1594"/>
      <c r="X127" s="1594"/>
      <c r="Y127" s="1594"/>
      <c r="Z127" s="1594"/>
      <c r="AA127" s="1594"/>
      <c r="AB127" s="1594"/>
      <c r="AC127" s="1594"/>
      <c r="AD127" s="1594"/>
      <c r="AE127" s="1594"/>
      <c r="AF127" s="1594"/>
      <c r="AG127" s="1594"/>
      <c r="AH127" s="1594"/>
      <c r="AI127" s="1594"/>
      <c r="AJ127" s="1594"/>
      <c r="AK127" s="1594"/>
      <c r="AL127" s="1594"/>
      <c r="AM127" s="1594"/>
      <c r="AN127" s="1594"/>
      <c r="AO127" s="1594"/>
      <c r="AP127" s="1594"/>
      <c r="AQ127" s="1594"/>
      <c r="AR127" s="1594"/>
      <c r="AS127" s="1594"/>
      <c r="AT127" s="1594"/>
      <c r="AU127" s="1594"/>
      <c r="AV127" s="1594"/>
      <c r="AW127" s="1594"/>
      <c r="AX127" s="1594"/>
      <c r="AY127" s="1594"/>
      <c r="AZ127" s="1594"/>
      <c r="BA127" s="1594"/>
      <c r="BB127" s="1594"/>
      <c r="BC127" s="1594"/>
      <c r="BD127" s="1594"/>
      <c r="BE127" s="1594"/>
      <c r="BF127" s="1594"/>
      <c r="BG127" s="1594"/>
      <c r="BH127" s="1594"/>
      <c r="BI127" s="1594"/>
      <c r="BJ127" s="1594"/>
    </row>
    <row r="128" spans="1:62" ht="12.75">
      <c r="A128" s="1594"/>
      <c r="B128" s="1615"/>
      <c r="C128" s="1616"/>
      <c r="D128" s="1616"/>
      <c r="E128" s="1616"/>
      <c r="F128" s="1623"/>
      <c r="G128" s="1616"/>
      <c r="H128" s="1620"/>
      <c r="I128" s="1616"/>
      <c r="J128" s="1630"/>
      <c r="K128" s="1700"/>
      <c r="L128" s="1715"/>
      <c r="M128" s="1716"/>
      <c r="N128" s="1594"/>
      <c r="O128" s="1594"/>
      <c r="P128" s="1594"/>
      <c r="Q128" s="1594"/>
      <c r="R128" s="1594"/>
      <c r="S128" s="1594"/>
      <c r="T128" s="1594"/>
      <c r="U128" s="1594"/>
      <c r="V128" s="1594"/>
      <c r="W128" s="1594"/>
      <c r="X128" s="1594"/>
      <c r="Y128" s="1594"/>
      <c r="Z128" s="1594"/>
      <c r="AA128" s="1594"/>
      <c r="AB128" s="1594"/>
      <c r="AC128" s="1594"/>
      <c r="AD128" s="1594"/>
      <c r="AE128" s="1594"/>
      <c r="AF128" s="1594"/>
      <c r="AG128" s="1594"/>
      <c r="AH128" s="1594"/>
      <c r="AI128" s="1594"/>
      <c r="AJ128" s="1594"/>
      <c r="AK128" s="1594"/>
      <c r="AL128" s="1594"/>
      <c r="AM128" s="1594"/>
      <c r="AN128" s="1594"/>
      <c r="AO128" s="1594"/>
      <c r="AP128" s="1594"/>
      <c r="AQ128" s="1594"/>
      <c r="AR128" s="1594"/>
      <c r="AS128" s="1594"/>
      <c r="AT128" s="1594"/>
      <c r="AU128" s="1594"/>
      <c r="AV128" s="1594"/>
      <c r="AW128" s="1594"/>
      <c r="AX128" s="1594"/>
      <c r="AY128" s="1594"/>
      <c r="AZ128" s="1594"/>
      <c r="BA128" s="1594"/>
      <c r="BB128" s="1594"/>
      <c r="BC128" s="1594"/>
      <c r="BD128" s="1594"/>
      <c r="BE128" s="1594"/>
      <c r="BF128" s="1594"/>
      <c r="BG128" s="1594"/>
      <c r="BH128" s="1594"/>
      <c r="BI128" s="1594"/>
      <c r="BJ128" s="1594"/>
    </row>
    <row r="129" spans="1:62" ht="12.75">
      <c r="A129" s="1594"/>
      <c r="B129" s="1615"/>
      <c r="C129" s="1616" t="s">
        <v>41</v>
      </c>
      <c r="D129" s="1616" t="s">
        <v>42</v>
      </c>
      <c r="E129" s="1616" t="s">
        <v>33</v>
      </c>
      <c r="F129" s="1623">
        <f>999*1000</f>
        <v>999000</v>
      </c>
      <c r="G129" s="1616" t="s">
        <v>67</v>
      </c>
      <c r="H129" s="1620">
        <v>138.07300000000001</v>
      </c>
      <c r="I129" s="1616" t="s">
        <v>34</v>
      </c>
      <c r="J129" s="1625">
        <f>(F129*H129)/1000</f>
        <v>137934.927</v>
      </c>
      <c r="K129" s="1700">
        <v>12430</v>
      </c>
      <c r="L129" s="1715">
        <v>0</v>
      </c>
      <c r="M129" s="1716">
        <v>0</v>
      </c>
      <c r="N129" s="1594"/>
      <c r="O129" s="1594"/>
      <c r="P129" s="1594"/>
      <c r="Q129" s="1594"/>
      <c r="R129" s="1594"/>
      <c r="S129" s="1594"/>
      <c r="T129" s="1594"/>
      <c r="U129" s="1594"/>
      <c r="V129" s="1594"/>
      <c r="W129" s="1594"/>
      <c r="X129" s="1594"/>
      <c r="Y129" s="1594"/>
      <c r="Z129" s="1594"/>
      <c r="AA129" s="1594"/>
      <c r="AB129" s="1594"/>
      <c r="AC129" s="1594"/>
      <c r="AD129" s="1594"/>
      <c r="AE129" s="1594"/>
      <c r="AF129" s="1594"/>
      <c r="AG129" s="1594"/>
      <c r="AH129" s="1594"/>
      <c r="AI129" s="1594"/>
      <c r="AJ129" s="1594"/>
      <c r="AK129" s="1594"/>
      <c r="AL129" s="1594"/>
      <c r="AM129" s="1594"/>
      <c r="AN129" s="1594"/>
      <c r="AO129" s="1594"/>
      <c r="AP129" s="1594"/>
      <c r="AQ129" s="1594"/>
      <c r="AR129" s="1594"/>
      <c r="AS129" s="1594"/>
      <c r="AT129" s="1594"/>
      <c r="AU129" s="1594"/>
      <c r="AV129" s="1594"/>
      <c r="AW129" s="1594"/>
      <c r="AX129" s="1594"/>
      <c r="AY129" s="1594"/>
      <c r="AZ129" s="1594"/>
      <c r="BA129" s="1594"/>
      <c r="BB129" s="1594"/>
      <c r="BC129" s="1594"/>
      <c r="BD129" s="1594"/>
      <c r="BE129" s="1594"/>
      <c r="BF129" s="1594"/>
      <c r="BG129" s="1594"/>
      <c r="BH129" s="1594"/>
      <c r="BI129" s="1594"/>
      <c r="BJ129" s="1594"/>
    </row>
    <row r="130" spans="1:62" ht="12.75">
      <c r="A130" s="1594"/>
      <c r="B130" s="1615"/>
      <c r="C130" s="1616"/>
      <c r="D130" s="1616"/>
      <c r="E130" s="1616"/>
      <c r="F130" s="1623"/>
      <c r="G130" s="1616"/>
      <c r="H130" s="1620"/>
      <c r="I130" s="1616"/>
      <c r="J130" s="1630"/>
      <c r="K130" s="1700"/>
      <c r="L130" s="1715"/>
      <c r="M130" s="1716"/>
      <c r="N130" s="1594"/>
      <c r="O130" s="1594"/>
      <c r="P130" s="1594"/>
      <c r="Q130" s="1594"/>
      <c r="R130" s="1594"/>
      <c r="S130" s="1594"/>
      <c r="T130" s="1594"/>
      <c r="U130" s="1594"/>
      <c r="V130" s="1594"/>
      <c r="W130" s="1594"/>
      <c r="X130" s="1594"/>
      <c r="Y130" s="1594"/>
      <c r="Z130" s="1594"/>
      <c r="AA130" s="1594"/>
      <c r="AB130" s="1594"/>
      <c r="AC130" s="1594"/>
      <c r="AD130" s="1594"/>
      <c r="AE130" s="1594"/>
      <c r="AF130" s="1594"/>
      <c r="AG130" s="1594"/>
      <c r="AH130" s="1594"/>
      <c r="AI130" s="1594"/>
      <c r="AJ130" s="1594"/>
      <c r="AK130" s="1594"/>
      <c r="AL130" s="1594"/>
      <c r="AM130" s="1594"/>
      <c r="AN130" s="1594"/>
      <c r="AO130" s="1594"/>
      <c r="AP130" s="1594"/>
      <c r="AQ130" s="1594"/>
      <c r="AR130" s="1594"/>
      <c r="AS130" s="1594"/>
      <c r="AT130" s="1594"/>
      <c r="AU130" s="1594"/>
      <c r="AV130" s="1594"/>
      <c r="AW130" s="1594"/>
      <c r="AX130" s="1594"/>
      <c r="AY130" s="1594"/>
      <c r="AZ130" s="1594"/>
      <c r="BA130" s="1594"/>
      <c r="BB130" s="1594"/>
      <c r="BC130" s="1594"/>
      <c r="BD130" s="1594"/>
      <c r="BE130" s="1594"/>
      <c r="BF130" s="1594"/>
      <c r="BG130" s="1594"/>
      <c r="BH130" s="1594"/>
      <c r="BI130" s="1594"/>
      <c r="BJ130" s="1594"/>
    </row>
    <row r="131" spans="1:62" ht="12.75">
      <c r="A131" s="1594"/>
      <c r="B131" s="1615"/>
      <c r="C131" s="1616" t="s">
        <v>43</v>
      </c>
      <c r="D131" s="1616" t="s">
        <v>44</v>
      </c>
      <c r="E131" s="1616" t="s">
        <v>33</v>
      </c>
      <c r="F131" s="1623">
        <f>29*1000</f>
        <v>29000</v>
      </c>
      <c r="G131" s="1616" t="s">
        <v>67</v>
      </c>
      <c r="H131" s="1620">
        <v>138.07300000000001</v>
      </c>
      <c r="I131" s="1616" t="s">
        <v>34</v>
      </c>
      <c r="J131" s="1625">
        <f>(F131*H131)/1000</f>
        <v>4004.1170000000002</v>
      </c>
      <c r="K131" s="1700">
        <v>641</v>
      </c>
      <c r="L131" s="1715">
        <v>0</v>
      </c>
      <c r="M131" s="1716">
        <v>0</v>
      </c>
      <c r="N131" s="1594"/>
      <c r="O131" s="1594"/>
      <c r="P131" s="1594"/>
      <c r="Q131" s="1594"/>
      <c r="R131" s="1594"/>
      <c r="S131" s="1594"/>
      <c r="T131" s="1594"/>
      <c r="U131" s="1594"/>
      <c r="V131" s="1594"/>
      <c r="W131" s="1594"/>
      <c r="X131" s="1594"/>
      <c r="Y131" s="1594"/>
      <c r="Z131" s="1594"/>
      <c r="AA131" s="1594"/>
      <c r="AB131" s="1594"/>
      <c r="AC131" s="1594"/>
      <c r="AD131" s="1594"/>
      <c r="AE131" s="1594"/>
      <c r="AF131" s="1594"/>
      <c r="AG131" s="1594"/>
      <c r="AH131" s="1594"/>
      <c r="AI131" s="1594"/>
      <c r="AJ131" s="1594"/>
      <c r="AK131" s="1594"/>
      <c r="AL131" s="1594"/>
      <c r="AM131" s="1594"/>
      <c r="AN131" s="1594"/>
      <c r="AO131" s="1594"/>
      <c r="AP131" s="1594"/>
      <c r="AQ131" s="1594"/>
      <c r="AR131" s="1594"/>
      <c r="AS131" s="1594"/>
      <c r="AT131" s="1594"/>
      <c r="AU131" s="1594"/>
      <c r="AV131" s="1594"/>
      <c r="AW131" s="1594"/>
      <c r="AX131" s="1594"/>
      <c r="AY131" s="1594"/>
      <c r="AZ131" s="1594"/>
      <c r="BA131" s="1594"/>
      <c r="BB131" s="1594"/>
      <c r="BC131" s="1594"/>
      <c r="BD131" s="1594"/>
      <c r="BE131" s="1594"/>
      <c r="BF131" s="1594"/>
      <c r="BG131" s="1594"/>
      <c r="BH131" s="1594"/>
      <c r="BI131" s="1594"/>
      <c r="BJ131" s="1594"/>
    </row>
    <row r="132" spans="1:62" ht="12.75">
      <c r="A132" s="1594"/>
      <c r="B132" s="1615"/>
      <c r="C132" s="1616"/>
      <c r="D132" s="1616"/>
      <c r="E132" s="1616"/>
      <c r="F132" s="1623"/>
      <c r="G132" s="1616"/>
      <c r="H132" s="1620"/>
      <c r="I132" s="1616"/>
      <c r="J132" s="1630"/>
      <c r="K132" s="1700"/>
      <c r="L132" s="1715"/>
      <c r="M132" s="1716"/>
      <c r="N132" s="1594"/>
      <c r="O132" s="1594"/>
      <c r="P132" s="1594"/>
      <c r="Q132" s="1594"/>
      <c r="R132" s="1594"/>
      <c r="S132" s="1594"/>
      <c r="T132" s="1594"/>
      <c r="U132" s="1594"/>
      <c r="V132" s="1594"/>
      <c r="W132" s="1594"/>
      <c r="X132" s="1594"/>
      <c r="Y132" s="1594"/>
      <c r="Z132" s="1594"/>
      <c r="AA132" s="1594"/>
      <c r="AB132" s="1594"/>
      <c r="AC132" s="1594"/>
      <c r="AD132" s="1594"/>
      <c r="AE132" s="1594"/>
      <c r="AF132" s="1594"/>
      <c r="AG132" s="1594"/>
      <c r="AH132" s="1594"/>
      <c r="AI132" s="1594"/>
      <c r="AJ132" s="1594"/>
      <c r="AK132" s="1594"/>
      <c r="AL132" s="1594"/>
      <c r="AM132" s="1594"/>
      <c r="AN132" s="1594"/>
      <c r="AO132" s="1594"/>
      <c r="AP132" s="1594"/>
      <c r="AQ132" s="1594"/>
      <c r="AR132" s="1594"/>
      <c r="AS132" s="1594"/>
      <c r="AT132" s="1594"/>
      <c r="AU132" s="1594"/>
      <c r="AV132" s="1594"/>
      <c r="AW132" s="1594"/>
      <c r="AX132" s="1594"/>
      <c r="AY132" s="1594"/>
      <c r="AZ132" s="1594"/>
      <c r="BA132" s="1594"/>
      <c r="BB132" s="1594"/>
      <c r="BC132" s="1594"/>
      <c r="BD132" s="1594"/>
      <c r="BE132" s="1594"/>
      <c r="BF132" s="1594"/>
      <c r="BG132" s="1594"/>
      <c r="BH132" s="1594"/>
      <c r="BI132" s="1594"/>
      <c r="BJ132" s="1594"/>
    </row>
    <row r="133" spans="1:62" ht="12.75">
      <c r="A133" s="1594"/>
      <c r="B133" s="1615"/>
      <c r="C133" s="1616" t="s">
        <v>45</v>
      </c>
      <c r="D133" s="1616" t="s">
        <v>46</v>
      </c>
      <c r="E133" s="1616" t="s">
        <v>33</v>
      </c>
      <c r="F133" s="1623">
        <f>680*1000</f>
        <v>680000</v>
      </c>
      <c r="G133" s="1616" t="s">
        <v>67</v>
      </c>
      <c r="H133" s="1620">
        <v>138.07300000000001</v>
      </c>
      <c r="I133" s="1616" t="s">
        <v>34</v>
      </c>
      <c r="J133" s="1625">
        <f>(F133*H133)/1000</f>
        <v>93889.64</v>
      </c>
      <c r="K133" s="1700">
        <v>8489</v>
      </c>
      <c r="L133" s="1715">
        <v>0</v>
      </c>
      <c r="M133" s="1716">
        <v>0</v>
      </c>
      <c r="N133" s="1594"/>
      <c r="O133" s="1594"/>
      <c r="P133" s="1594"/>
      <c r="Q133" s="1594"/>
      <c r="R133" s="1594"/>
      <c r="S133" s="1594"/>
      <c r="T133" s="1594"/>
      <c r="U133" s="1594"/>
      <c r="V133" s="1594"/>
      <c r="W133" s="1594"/>
      <c r="X133" s="1594"/>
      <c r="Y133" s="1594"/>
      <c r="Z133" s="1594"/>
      <c r="AA133" s="1594"/>
      <c r="AB133" s="1594"/>
      <c r="AC133" s="1594"/>
      <c r="AD133" s="1594"/>
      <c r="AE133" s="1594"/>
      <c r="AF133" s="1594"/>
      <c r="AG133" s="1594"/>
      <c r="AH133" s="1594"/>
      <c r="AI133" s="1594"/>
      <c r="AJ133" s="1594"/>
      <c r="AK133" s="1594"/>
      <c r="AL133" s="1594"/>
      <c r="AM133" s="1594"/>
      <c r="AN133" s="1594"/>
      <c r="AO133" s="1594"/>
      <c r="AP133" s="1594"/>
      <c r="AQ133" s="1594"/>
      <c r="AR133" s="1594"/>
      <c r="AS133" s="1594"/>
      <c r="AT133" s="1594"/>
      <c r="AU133" s="1594"/>
      <c r="AV133" s="1594"/>
      <c r="AW133" s="1594"/>
      <c r="AX133" s="1594"/>
      <c r="AY133" s="1594"/>
      <c r="AZ133" s="1594"/>
      <c r="BA133" s="1594"/>
      <c r="BB133" s="1594"/>
      <c r="BC133" s="1594"/>
      <c r="BD133" s="1594"/>
      <c r="BE133" s="1594"/>
      <c r="BF133" s="1594"/>
      <c r="BG133" s="1594"/>
      <c r="BH133" s="1594"/>
      <c r="BI133" s="1594"/>
      <c r="BJ133" s="1594"/>
    </row>
    <row r="134" spans="1:62" ht="12.75">
      <c r="A134" s="1594"/>
      <c r="B134" s="1615"/>
      <c r="C134" s="1616"/>
      <c r="D134" s="1616"/>
      <c r="E134" s="1616"/>
      <c r="F134" s="1620"/>
      <c r="G134" s="1616"/>
      <c r="H134" s="1620"/>
      <c r="I134" s="1616"/>
      <c r="J134" s="1630"/>
      <c r="K134" s="1620"/>
      <c r="L134" s="1629"/>
      <c r="M134" s="1624"/>
      <c r="N134" s="1594"/>
      <c r="O134" s="1594"/>
      <c r="P134" s="1594"/>
      <c r="Q134" s="1594"/>
      <c r="R134" s="1594"/>
      <c r="S134" s="1594"/>
      <c r="T134" s="1594"/>
      <c r="U134" s="1594"/>
      <c r="V134" s="1594"/>
      <c r="W134" s="1594"/>
      <c r="X134" s="1594"/>
      <c r="Y134" s="1594"/>
      <c r="Z134" s="1594"/>
      <c r="AA134" s="1594"/>
      <c r="AB134" s="1594"/>
      <c r="AC134" s="1594"/>
      <c r="AD134" s="1594"/>
      <c r="AE134" s="1594"/>
      <c r="AF134" s="1594"/>
      <c r="AG134" s="1594"/>
      <c r="AH134" s="1594"/>
      <c r="AI134" s="1594"/>
      <c r="AJ134" s="1594"/>
      <c r="AK134" s="1594"/>
      <c r="AL134" s="1594"/>
      <c r="AM134" s="1594"/>
      <c r="AN134" s="1594"/>
      <c r="AO134" s="1594"/>
      <c r="AP134" s="1594"/>
      <c r="AQ134" s="1594"/>
      <c r="AR134" s="1594"/>
      <c r="AS134" s="1594"/>
      <c r="AT134" s="1594"/>
      <c r="AU134" s="1594"/>
      <c r="AV134" s="1594"/>
      <c r="AW134" s="1594"/>
      <c r="AX134" s="1594"/>
      <c r="AY134" s="1594"/>
      <c r="AZ134" s="1594"/>
      <c r="BA134" s="1594"/>
      <c r="BB134" s="1594"/>
      <c r="BC134" s="1594"/>
      <c r="BD134" s="1594"/>
      <c r="BE134" s="1594"/>
      <c r="BF134" s="1594"/>
      <c r="BG134" s="1594"/>
      <c r="BH134" s="1594"/>
      <c r="BI134" s="1594"/>
      <c r="BJ134" s="1594"/>
    </row>
    <row r="135" spans="1:62" ht="13.5" thickBot="1">
      <c r="A135" s="1594"/>
      <c r="B135" s="1615"/>
      <c r="C135" s="1616"/>
      <c r="D135" s="1616"/>
      <c r="E135" s="1616"/>
      <c r="F135" s="1623"/>
      <c r="G135" s="1616"/>
      <c r="H135" s="1620"/>
      <c r="I135" s="1616"/>
      <c r="J135" s="1630"/>
      <c r="K135" s="1626"/>
      <c r="L135" s="1627"/>
      <c r="M135" s="1624"/>
      <c r="N135" s="1594"/>
      <c r="O135" s="1594"/>
      <c r="P135" s="1594"/>
      <c r="Q135" s="1594"/>
      <c r="R135" s="1594"/>
      <c r="S135" s="1594"/>
      <c r="T135" s="1594"/>
      <c r="U135" s="1594"/>
      <c r="V135" s="1594"/>
      <c r="W135" s="1594"/>
      <c r="X135" s="1594"/>
      <c r="Y135" s="1594"/>
      <c r="Z135" s="1594"/>
      <c r="AA135" s="1594"/>
      <c r="AB135" s="1594"/>
      <c r="AC135" s="1594"/>
      <c r="AD135" s="1594"/>
      <c r="AE135" s="1594"/>
      <c r="AF135" s="1594"/>
      <c r="AG135" s="1594"/>
      <c r="AH135" s="1594"/>
      <c r="AI135" s="1594"/>
      <c r="AJ135" s="1594"/>
      <c r="AK135" s="1594"/>
      <c r="AL135" s="1594"/>
      <c r="AM135" s="1594"/>
      <c r="AN135" s="1594"/>
      <c r="AO135" s="1594"/>
      <c r="AP135" s="1594"/>
      <c r="AQ135" s="1594"/>
      <c r="AR135" s="1594"/>
      <c r="AS135" s="1594"/>
      <c r="AT135" s="1594"/>
      <c r="AU135" s="1594"/>
      <c r="AV135" s="1594"/>
      <c r="AW135" s="1594"/>
      <c r="AX135" s="1594"/>
      <c r="AY135" s="1594"/>
      <c r="AZ135" s="1594"/>
      <c r="BA135" s="1594"/>
      <c r="BB135" s="1594"/>
      <c r="BC135" s="1594"/>
      <c r="BD135" s="1594"/>
      <c r="BE135" s="1594"/>
      <c r="BF135" s="1594"/>
      <c r="BG135" s="1594"/>
      <c r="BH135" s="1594"/>
      <c r="BI135" s="1594"/>
      <c r="BJ135" s="1594"/>
    </row>
    <row r="136" spans="1:62" ht="12.75">
      <c r="A136" s="1594"/>
      <c r="B136" s="1660"/>
      <c r="C136" s="1613"/>
      <c r="D136" s="1613"/>
      <c r="E136" s="1613"/>
      <c r="F136" s="1661"/>
      <c r="G136" s="1613"/>
      <c r="H136" s="1591"/>
      <c r="I136" s="1613"/>
      <c r="J136" s="1614"/>
      <c r="K136" s="1674"/>
      <c r="L136" s="1675"/>
      <c r="M136" s="1662"/>
      <c r="N136" s="1594"/>
      <c r="O136" s="1594"/>
      <c r="P136" s="1594"/>
      <c r="Q136" s="1594"/>
      <c r="R136" s="1594"/>
      <c r="S136" s="1594"/>
      <c r="T136" s="1594"/>
      <c r="U136" s="1594"/>
      <c r="V136" s="1594"/>
      <c r="W136" s="1594"/>
      <c r="X136" s="1594"/>
      <c r="Y136" s="1594"/>
      <c r="Z136" s="1594"/>
      <c r="AA136" s="1594"/>
      <c r="AB136" s="1594"/>
      <c r="AC136" s="1594"/>
      <c r="AD136" s="1594"/>
      <c r="AE136" s="1594"/>
      <c r="AF136" s="1594"/>
      <c r="AG136" s="1594"/>
      <c r="AH136" s="1594"/>
      <c r="AI136" s="1594"/>
      <c r="AJ136" s="1594"/>
      <c r="AK136" s="1594"/>
      <c r="AL136" s="1594"/>
      <c r="AM136" s="1594"/>
      <c r="AN136" s="1594"/>
      <c r="AO136" s="1594"/>
      <c r="AP136" s="1594"/>
      <c r="AQ136" s="1594"/>
      <c r="AR136" s="1594"/>
      <c r="AS136" s="1594"/>
      <c r="AT136" s="1594"/>
      <c r="AU136" s="1594"/>
      <c r="AV136" s="1594"/>
      <c r="AW136" s="1594"/>
      <c r="AX136" s="1594"/>
      <c r="AY136" s="1594"/>
      <c r="AZ136" s="1594"/>
      <c r="BA136" s="1594"/>
      <c r="BB136" s="1594"/>
      <c r="BC136" s="1594"/>
      <c r="BD136" s="1594"/>
      <c r="BE136" s="1594"/>
      <c r="BF136" s="1594"/>
      <c r="BG136" s="1594"/>
      <c r="BH136" s="1594"/>
      <c r="BI136" s="1594"/>
      <c r="BJ136" s="1594"/>
    </row>
    <row r="137" spans="1:62" ht="12.75">
      <c r="A137" s="1594"/>
      <c r="B137" s="1615"/>
      <c r="C137" s="1616"/>
      <c r="D137" s="1616"/>
      <c r="E137" s="1616"/>
      <c r="F137" s="1623"/>
      <c r="G137" s="1616"/>
      <c r="H137" s="1620"/>
      <c r="I137" s="1616"/>
      <c r="J137" s="1630"/>
      <c r="K137" s="1626"/>
      <c r="L137" s="1629"/>
      <c r="M137" s="1624"/>
      <c r="N137" s="1594"/>
      <c r="O137" s="1594"/>
      <c r="P137" s="1594"/>
      <c r="Q137" s="1594"/>
      <c r="R137" s="1594"/>
      <c r="S137" s="1594"/>
      <c r="T137" s="1594"/>
      <c r="U137" s="1594"/>
      <c r="V137" s="1594"/>
      <c r="W137" s="1594"/>
      <c r="X137" s="1594"/>
      <c r="Y137" s="1594"/>
      <c r="Z137" s="1594"/>
      <c r="AA137" s="1594"/>
      <c r="AB137" s="1594"/>
      <c r="AC137" s="1594"/>
      <c r="AD137" s="1594"/>
      <c r="AE137" s="1594"/>
      <c r="AF137" s="1594"/>
      <c r="AG137" s="1594"/>
      <c r="AH137" s="1594"/>
      <c r="AI137" s="1594"/>
      <c r="AJ137" s="1594"/>
      <c r="AK137" s="1594"/>
      <c r="AL137" s="1594"/>
      <c r="AM137" s="1594"/>
      <c r="AN137" s="1594"/>
      <c r="AO137" s="1594"/>
      <c r="AP137" s="1594"/>
      <c r="AQ137" s="1594"/>
      <c r="AR137" s="1594"/>
      <c r="AS137" s="1594"/>
      <c r="AT137" s="1594"/>
      <c r="AU137" s="1594"/>
      <c r="AV137" s="1594"/>
      <c r="AW137" s="1594"/>
      <c r="AX137" s="1594"/>
      <c r="AY137" s="1594"/>
      <c r="AZ137" s="1594"/>
      <c r="BA137" s="1594"/>
      <c r="BB137" s="1594"/>
      <c r="BC137" s="1594"/>
      <c r="BD137" s="1594"/>
      <c r="BE137" s="1594"/>
      <c r="BF137" s="1594"/>
      <c r="BG137" s="1594"/>
      <c r="BH137" s="1594"/>
      <c r="BI137" s="1594"/>
      <c r="BJ137" s="1594"/>
    </row>
    <row r="138" spans="1:62" ht="12.75">
      <c r="A138" s="1594"/>
      <c r="B138" s="1615" t="s">
        <v>48</v>
      </c>
      <c r="C138" s="163" t="s">
        <v>49</v>
      </c>
      <c r="D138" s="1616"/>
      <c r="E138" s="1616"/>
      <c r="F138" s="1620"/>
      <c r="G138" s="1616"/>
      <c r="H138" s="1620"/>
      <c r="I138" s="1616"/>
      <c r="J138" s="1616"/>
      <c r="K138" s="1620"/>
      <c r="L138" s="1629"/>
      <c r="M138" s="1624"/>
      <c r="N138" s="1594"/>
      <c r="O138" s="1594"/>
      <c r="P138" s="1594"/>
      <c r="Q138" s="1594"/>
      <c r="R138" s="1594"/>
      <c r="S138" s="1594"/>
      <c r="T138" s="1594"/>
      <c r="U138" s="1594"/>
      <c r="V138" s="1594"/>
      <c r="W138" s="1594"/>
      <c r="X138" s="1594"/>
      <c r="Y138" s="1594"/>
      <c r="Z138" s="1594"/>
      <c r="AA138" s="1594"/>
      <c r="AB138" s="1594"/>
      <c r="AC138" s="1594"/>
      <c r="AD138" s="1594"/>
      <c r="AE138" s="1594"/>
      <c r="AF138" s="1594"/>
      <c r="AG138" s="1594"/>
      <c r="AH138" s="1594"/>
      <c r="AI138" s="1594"/>
      <c r="AJ138" s="1594"/>
      <c r="AK138" s="1594"/>
      <c r="AL138" s="1594"/>
      <c r="AM138" s="1594"/>
      <c r="AN138" s="1594"/>
      <c r="AO138" s="1594"/>
      <c r="AP138" s="1594"/>
      <c r="AQ138" s="1594"/>
      <c r="AR138" s="1594"/>
      <c r="AS138" s="1594"/>
      <c r="AT138" s="1594"/>
      <c r="AU138" s="1594"/>
      <c r="AV138" s="1594"/>
      <c r="AW138" s="1594"/>
      <c r="AX138" s="1594"/>
      <c r="AY138" s="1594"/>
      <c r="AZ138" s="1594"/>
      <c r="BA138" s="1594"/>
      <c r="BB138" s="1594"/>
      <c r="BC138" s="1594"/>
      <c r="BD138" s="1594"/>
      <c r="BE138" s="1594"/>
      <c r="BF138" s="1594"/>
      <c r="BG138" s="1594"/>
      <c r="BH138" s="1594"/>
      <c r="BI138" s="1594"/>
      <c r="BJ138" s="1594"/>
    </row>
    <row r="139" spans="1:62" ht="12.75">
      <c r="A139" s="1594"/>
      <c r="B139" s="1615"/>
      <c r="C139" s="1616" t="s">
        <v>64</v>
      </c>
      <c r="D139" s="1616" t="s">
        <v>65</v>
      </c>
      <c r="E139" s="1616" t="s">
        <v>47</v>
      </c>
      <c r="F139" s="1623">
        <f>183*1000</f>
        <v>183000</v>
      </c>
      <c r="G139" s="1616" t="s">
        <v>67</v>
      </c>
      <c r="H139" s="1620">
        <v>138.774</v>
      </c>
      <c r="I139" s="1616" t="s">
        <v>82</v>
      </c>
      <c r="J139" s="1625">
        <f>(F139*H139)/1000</f>
        <v>25395.642</v>
      </c>
      <c r="K139" s="1700">
        <v>4368</v>
      </c>
      <c r="L139" s="1702">
        <v>0.2</v>
      </c>
      <c r="M139" s="1701">
        <v>0</v>
      </c>
      <c r="N139" s="1594"/>
      <c r="O139" s="1594"/>
      <c r="P139" s="1594"/>
      <c r="Q139" s="1594"/>
      <c r="R139" s="1594"/>
      <c r="S139" s="1594"/>
      <c r="T139" s="1594"/>
      <c r="U139" s="1594"/>
      <c r="V139" s="1594"/>
      <c r="W139" s="1594"/>
      <c r="X139" s="1594"/>
      <c r="Y139" s="1594"/>
      <c r="Z139" s="1594"/>
      <c r="AA139" s="1594"/>
      <c r="AB139" s="1594"/>
      <c r="AC139" s="1594"/>
      <c r="AD139" s="1594"/>
      <c r="AE139" s="1594"/>
      <c r="AF139" s="1594"/>
      <c r="AG139" s="1594"/>
      <c r="AH139" s="1594"/>
      <c r="AI139" s="1594"/>
      <c r="AJ139" s="1594"/>
      <c r="AK139" s="1594"/>
      <c r="AL139" s="1594"/>
      <c r="AM139" s="1594"/>
      <c r="AN139" s="1594"/>
      <c r="AO139" s="1594"/>
      <c r="AP139" s="1594"/>
      <c r="AQ139" s="1594"/>
      <c r="AR139" s="1594"/>
      <c r="AS139" s="1594"/>
      <c r="AT139" s="1594"/>
      <c r="AU139" s="1594"/>
      <c r="AV139" s="1594"/>
      <c r="AW139" s="1594"/>
      <c r="AX139" s="1594"/>
      <c r="AY139" s="1594"/>
      <c r="AZ139" s="1594"/>
      <c r="BA139" s="1594"/>
      <c r="BB139" s="1594"/>
      <c r="BC139" s="1594"/>
      <c r="BD139" s="1594"/>
      <c r="BE139" s="1594"/>
      <c r="BF139" s="1594"/>
      <c r="BG139" s="1594"/>
      <c r="BH139" s="1594"/>
      <c r="BI139" s="1594"/>
      <c r="BJ139" s="1594"/>
    </row>
    <row r="140" spans="1:62" ht="12.75">
      <c r="A140" s="1594"/>
      <c r="B140" s="1615"/>
      <c r="C140" s="1616"/>
      <c r="D140" s="1616"/>
      <c r="E140" s="1648"/>
      <c r="F140" s="1623"/>
      <c r="G140" s="1648"/>
      <c r="H140" s="1620"/>
      <c r="I140" s="1648"/>
      <c r="J140" s="1630"/>
      <c r="K140" s="1700"/>
      <c r="L140" s="1702"/>
      <c r="M140" s="1701"/>
      <c r="N140" s="1594"/>
      <c r="O140" s="1594"/>
      <c r="P140" s="1594"/>
      <c r="Q140" s="1594"/>
      <c r="R140" s="1594"/>
      <c r="S140" s="1594"/>
      <c r="T140" s="1594"/>
      <c r="U140" s="1594"/>
      <c r="V140" s="1594"/>
      <c r="W140" s="1594"/>
      <c r="X140" s="1594"/>
      <c r="Y140" s="1594"/>
      <c r="Z140" s="1594"/>
      <c r="AA140" s="1594"/>
      <c r="AB140" s="1594"/>
      <c r="AC140" s="1594"/>
      <c r="AD140" s="1594"/>
      <c r="AE140" s="1594"/>
      <c r="AF140" s="1594"/>
      <c r="AG140" s="1594"/>
      <c r="AH140" s="1594"/>
      <c r="AI140" s="1594"/>
      <c r="AJ140" s="1594"/>
      <c r="AK140" s="1594"/>
      <c r="AL140" s="1594"/>
      <c r="AM140" s="1594"/>
      <c r="AN140" s="1594"/>
      <c r="AO140" s="1594"/>
      <c r="AP140" s="1594"/>
      <c r="AQ140" s="1594"/>
      <c r="AR140" s="1594"/>
      <c r="AS140" s="1594"/>
      <c r="AT140" s="1594"/>
      <c r="AU140" s="1594"/>
      <c r="AV140" s="1594"/>
      <c r="AW140" s="1594"/>
      <c r="AX140" s="1594"/>
      <c r="AY140" s="1594"/>
      <c r="AZ140" s="1594"/>
      <c r="BA140" s="1594"/>
      <c r="BB140" s="1594"/>
      <c r="BC140" s="1594"/>
      <c r="BD140" s="1594"/>
      <c r="BE140" s="1594"/>
      <c r="BF140" s="1594"/>
      <c r="BG140" s="1594"/>
      <c r="BH140" s="1594"/>
      <c r="BI140" s="1594"/>
      <c r="BJ140" s="1594"/>
    </row>
    <row r="141" spans="1:62" ht="12.75">
      <c r="A141" s="1594"/>
      <c r="B141" s="1615"/>
      <c r="C141" s="1616" t="s">
        <v>83</v>
      </c>
      <c r="D141" s="1616" t="s">
        <v>84</v>
      </c>
      <c r="E141" s="1616" t="s">
        <v>77</v>
      </c>
      <c r="F141" s="1623">
        <f>213*1000000</f>
        <v>213000000</v>
      </c>
      <c r="G141" s="1616" t="s">
        <v>144</v>
      </c>
      <c r="H141" s="1620">
        <v>1020</v>
      </c>
      <c r="I141" s="1616" t="s">
        <v>82</v>
      </c>
      <c r="J141" s="1625">
        <f>(F141*H141)/1000000</f>
        <v>217260</v>
      </c>
      <c r="K141" s="1700">
        <v>12703</v>
      </c>
      <c r="L141" s="1702">
        <v>0</v>
      </c>
      <c r="M141" s="1701">
        <v>0</v>
      </c>
      <c r="N141" s="1594"/>
      <c r="O141" s="1594"/>
      <c r="P141" s="1594"/>
      <c r="Q141" s="1594"/>
      <c r="R141" s="1594"/>
      <c r="S141" s="1594"/>
      <c r="T141" s="1594"/>
      <c r="U141" s="1594"/>
      <c r="V141" s="1594"/>
      <c r="W141" s="1594"/>
      <c r="X141" s="1594"/>
      <c r="Y141" s="1594"/>
      <c r="Z141" s="1594"/>
      <c r="AA141" s="1594"/>
      <c r="AB141" s="1594"/>
      <c r="AC141" s="1594"/>
      <c r="AD141" s="1594"/>
      <c r="AE141" s="1594"/>
      <c r="AF141" s="1594"/>
      <c r="AG141" s="1594"/>
      <c r="AH141" s="1594"/>
      <c r="AI141" s="1594"/>
      <c r="AJ141" s="1594"/>
      <c r="AK141" s="1594"/>
      <c r="AL141" s="1594"/>
      <c r="AM141" s="1594"/>
      <c r="AN141" s="1594"/>
      <c r="AO141" s="1594"/>
      <c r="AP141" s="1594"/>
      <c r="AQ141" s="1594"/>
      <c r="AR141" s="1594"/>
      <c r="AS141" s="1594"/>
      <c r="AT141" s="1594"/>
      <c r="AU141" s="1594"/>
      <c r="AV141" s="1594"/>
      <c r="AW141" s="1594"/>
      <c r="AX141" s="1594"/>
      <c r="AY141" s="1594"/>
      <c r="AZ141" s="1594"/>
      <c r="BA141" s="1594"/>
      <c r="BB141" s="1594"/>
      <c r="BC141" s="1594"/>
      <c r="BD141" s="1594"/>
      <c r="BE141" s="1594"/>
      <c r="BF141" s="1594"/>
      <c r="BG141" s="1594"/>
      <c r="BH141" s="1594"/>
      <c r="BI141" s="1594"/>
      <c r="BJ141" s="1594"/>
    </row>
    <row r="142" spans="1:62" ht="12.75">
      <c r="A142" s="1594"/>
      <c r="B142" s="1615"/>
      <c r="C142" s="1616"/>
      <c r="D142" s="1616"/>
      <c r="E142" s="1648"/>
      <c r="F142" s="1623"/>
      <c r="G142" s="1648"/>
      <c r="H142" s="1620"/>
      <c r="I142" s="1648"/>
      <c r="J142" s="1630"/>
      <c r="K142" s="1700"/>
      <c r="L142" s="1702"/>
      <c r="M142" s="1701"/>
      <c r="N142" s="1594"/>
      <c r="O142" s="1594"/>
      <c r="P142" s="1594"/>
      <c r="Q142" s="1594"/>
      <c r="R142" s="1594"/>
      <c r="S142" s="1594"/>
      <c r="T142" s="1594"/>
      <c r="U142" s="1594"/>
      <c r="V142" s="1594"/>
      <c r="W142" s="1594"/>
      <c r="X142" s="1594"/>
      <c r="Y142" s="1594"/>
      <c r="Z142" s="1594"/>
      <c r="AA142" s="1594"/>
      <c r="AB142" s="1594"/>
      <c r="AC142" s="1594"/>
      <c r="AD142" s="1594"/>
      <c r="AE142" s="1594"/>
      <c r="AF142" s="1594"/>
      <c r="AG142" s="1594"/>
      <c r="AH142" s="1594"/>
      <c r="AI142" s="1594"/>
      <c r="AJ142" s="1594"/>
      <c r="AK142" s="1594"/>
      <c r="AL142" s="1594"/>
      <c r="AM142" s="1594"/>
      <c r="AN142" s="1594"/>
      <c r="AO142" s="1594"/>
      <c r="AP142" s="1594"/>
      <c r="AQ142" s="1594"/>
      <c r="AR142" s="1594"/>
      <c r="AS142" s="1594"/>
      <c r="AT142" s="1594"/>
      <c r="AU142" s="1594"/>
      <c r="AV142" s="1594"/>
      <c r="AW142" s="1594"/>
      <c r="AX142" s="1594"/>
      <c r="AY142" s="1594"/>
      <c r="AZ142" s="1594"/>
      <c r="BA142" s="1594"/>
      <c r="BB142" s="1594"/>
      <c r="BC142" s="1594"/>
      <c r="BD142" s="1594"/>
      <c r="BE142" s="1594"/>
      <c r="BF142" s="1594"/>
      <c r="BG142" s="1594"/>
      <c r="BH142" s="1594"/>
      <c r="BI142" s="1594"/>
      <c r="BJ142" s="1594"/>
    </row>
    <row r="143" spans="1:62" ht="12.75">
      <c r="A143" s="1594"/>
      <c r="B143" s="1615"/>
      <c r="C143" s="1616" t="s">
        <v>50</v>
      </c>
      <c r="D143" s="1616" t="s">
        <v>51</v>
      </c>
      <c r="E143" s="1616" t="s">
        <v>47</v>
      </c>
      <c r="F143" s="1623">
        <f>172*1000</f>
        <v>172000</v>
      </c>
      <c r="G143" s="1616" t="s">
        <v>67</v>
      </c>
      <c r="H143" s="1620">
        <v>138.774</v>
      </c>
      <c r="I143" s="1648" t="s">
        <v>34</v>
      </c>
      <c r="J143" s="1625">
        <f>(F143*H143)/1000</f>
        <v>23869.128000000001</v>
      </c>
      <c r="K143" s="1700">
        <v>1947</v>
      </c>
      <c r="L143" s="1702">
        <v>0.1</v>
      </c>
      <c r="M143" s="1701">
        <v>0</v>
      </c>
      <c r="N143" s="1594"/>
      <c r="O143" s="1594"/>
      <c r="P143" s="1594"/>
      <c r="Q143" s="1594"/>
      <c r="R143" s="1594"/>
      <c r="S143" s="1594"/>
      <c r="T143" s="1594"/>
      <c r="U143" s="1594"/>
      <c r="V143" s="1594"/>
      <c r="W143" s="1594"/>
      <c r="X143" s="1594"/>
      <c r="Y143" s="1594"/>
      <c r="Z143" s="1594"/>
      <c r="AA143" s="1594"/>
      <c r="AB143" s="1594"/>
      <c r="AC143" s="1594"/>
      <c r="AD143" s="1594"/>
      <c r="AE143" s="1594"/>
      <c r="AF143" s="1594"/>
      <c r="AG143" s="1594"/>
      <c r="AH143" s="1594"/>
      <c r="AI143" s="1594"/>
      <c r="AJ143" s="1594"/>
      <c r="AK143" s="1594"/>
      <c r="AL143" s="1594"/>
      <c r="AM143" s="1594"/>
      <c r="AN143" s="1594"/>
      <c r="AO143" s="1594"/>
      <c r="AP143" s="1594"/>
      <c r="AQ143" s="1594"/>
      <c r="AR143" s="1594"/>
      <c r="AS143" s="1594"/>
      <c r="AT143" s="1594"/>
      <c r="AU143" s="1594"/>
      <c r="AV143" s="1594"/>
      <c r="AW143" s="1594"/>
      <c r="AX143" s="1594"/>
      <c r="AY143" s="1594"/>
      <c r="AZ143" s="1594"/>
      <c r="BA143" s="1594"/>
      <c r="BB143" s="1594"/>
      <c r="BC143" s="1594"/>
      <c r="BD143" s="1594"/>
      <c r="BE143" s="1594"/>
      <c r="BF143" s="1594"/>
      <c r="BG143" s="1594"/>
      <c r="BH143" s="1594"/>
      <c r="BI143" s="1594"/>
      <c r="BJ143" s="1594"/>
    </row>
    <row r="144" spans="1:62" ht="12.75">
      <c r="A144" s="1594"/>
      <c r="B144" s="1615"/>
      <c r="C144" s="1616"/>
      <c r="D144" s="1616"/>
      <c r="E144" s="1648"/>
      <c r="F144" s="1623"/>
      <c r="G144" s="1648"/>
      <c r="H144" s="1620"/>
      <c r="I144" s="1648"/>
      <c r="J144" s="1630"/>
      <c r="K144" s="1700"/>
      <c r="L144" s="1702"/>
      <c r="M144" s="1701"/>
      <c r="N144" s="1594"/>
      <c r="O144" s="1594"/>
      <c r="P144" s="1594"/>
      <c r="Q144" s="1594"/>
      <c r="R144" s="1594"/>
      <c r="S144" s="1594"/>
      <c r="T144" s="1594"/>
      <c r="U144" s="1594"/>
      <c r="V144" s="1594"/>
      <c r="W144" s="1594"/>
      <c r="X144" s="1594"/>
      <c r="Y144" s="1594"/>
      <c r="Z144" s="1594"/>
      <c r="AA144" s="1594"/>
      <c r="AB144" s="1594"/>
      <c r="AC144" s="1594"/>
      <c r="AD144" s="1594"/>
      <c r="AE144" s="1594"/>
      <c r="AF144" s="1594"/>
      <c r="AG144" s="1594"/>
      <c r="AH144" s="1594"/>
      <c r="AI144" s="1594"/>
      <c r="AJ144" s="1594"/>
      <c r="AK144" s="1594"/>
      <c r="AL144" s="1594"/>
      <c r="AM144" s="1594"/>
      <c r="AN144" s="1594"/>
      <c r="AO144" s="1594"/>
      <c r="AP144" s="1594"/>
      <c r="AQ144" s="1594"/>
      <c r="AR144" s="1594"/>
      <c r="AS144" s="1594"/>
      <c r="AT144" s="1594"/>
      <c r="AU144" s="1594"/>
      <c r="AV144" s="1594"/>
      <c r="AW144" s="1594"/>
      <c r="AX144" s="1594"/>
      <c r="AY144" s="1594"/>
      <c r="AZ144" s="1594"/>
      <c r="BA144" s="1594"/>
      <c r="BB144" s="1594"/>
      <c r="BC144" s="1594"/>
      <c r="BD144" s="1594"/>
      <c r="BE144" s="1594"/>
      <c r="BF144" s="1594"/>
      <c r="BG144" s="1594"/>
      <c r="BH144" s="1594"/>
      <c r="BI144" s="1594"/>
      <c r="BJ144" s="1594"/>
    </row>
    <row r="145" spans="1:62" ht="12.75">
      <c r="A145" s="1594"/>
      <c r="B145" s="1615"/>
      <c r="C145" s="1616" t="s">
        <v>52</v>
      </c>
      <c r="D145" s="1616" t="s">
        <v>53</v>
      </c>
      <c r="E145" s="1616" t="s">
        <v>47</v>
      </c>
      <c r="F145" s="1623">
        <f>197*1000</f>
        <v>197000</v>
      </c>
      <c r="G145" s="1616" t="s">
        <v>67</v>
      </c>
      <c r="H145" s="1620">
        <v>138.774</v>
      </c>
      <c r="I145" s="1648" t="s">
        <v>34</v>
      </c>
      <c r="J145" s="1625">
        <f>(F145*H145)/1000</f>
        <v>27338.477999999999</v>
      </c>
      <c r="K145" s="1700">
        <v>2230</v>
      </c>
      <c r="L145" s="1702">
        <v>0.1</v>
      </c>
      <c r="M145" s="1701">
        <v>0</v>
      </c>
      <c r="N145" s="1594"/>
      <c r="O145" s="1594"/>
      <c r="P145" s="1594"/>
      <c r="Q145" s="1594"/>
      <c r="R145" s="1594"/>
      <c r="S145" s="1594"/>
      <c r="T145" s="1594"/>
      <c r="U145" s="1594"/>
      <c r="V145" s="1594"/>
      <c r="W145" s="1594"/>
      <c r="X145" s="1594"/>
      <c r="Y145" s="1594"/>
      <c r="Z145" s="1594"/>
      <c r="AA145" s="1594"/>
      <c r="AB145" s="1594"/>
      <c r="AC145" s="1594"/>
      <c r="AD145" s="1594"/>
      <c r="AE145" s="1594"/>
      <c r="AF145" s="1594"/>
      <c r="AG145" s="1594"/>
      <c r="AH145" s="1594"/>
      <c r="AI145" s="1594"/>
      <c r="AJ145" s="1594"/>
      <c r="AK145" s="1594"/>
      <c r="AL145" s="1594"/>
      <c r="AM145" s="1594"/>
      <c r="AN145" s="1594"/>
      <c r="AO145" s="1594"/>
      <c r="AP145" s="1594"/>
      <c r="AQ145" s="1594"/>
      <c r="AR145" s="1594"/>
      <c r="AS145" s="1594"/>
      <c r="AT145" s="1594"/>
      <c r="AU145" s="1594"/>
      <c r="AV145" s="1594"/>
      <c r="AW145" s="1594"/>
      <c r="AX145" s="1594"/>
      <c r="AY145" s="1594"/>
      <c r="AZ145" s="1594"/>
      <c r="BA145" s="1594"/>
      <c r="BB145" s="1594"/>
      <c r="BC145" s="1594"/>
      <c r="BD145" s="1594"/>
      <c r="BE145" s="1594"/>
      <c r="BF145" s="1594"/>
      <c r="BG145" s="1594"/>
      <c r="BH145" s="1594"/>
      <c r="BI145" s="1594"/>
      <c r="BJ145" s="1594"/>
    </row>
    <row r="146" spans="1:62" ht="13.5" thickBot="1">
      <c r="A146" s="1594"/>
      <c r="B146" s="1615"/>
      <c r="C146" s="1616"/>
      <c r="D146" s="1616"/>
      <c r="E146" s="1616"/>
      <c r="F146" s="1623"/>
      <c r="G146" s="1616"/>
      <c r="H146" s="1620"/>
      <c r="I146" s="1648"/>
      <c r="J146" s="1625"/>
      <c r="K146" s="1616"/>
      <c r="L146" s="1616"/>
      <c r="M146" s="1624"/>
      <c r="N146" s="1594"/>
      <c r="O146" s="1594"/>
      <c r="P146" s="1594"/>
      <c r="Q146" s="1594"/>
      <c r="R146" s="1594"/>
      <c r="S146" s="1594"/>
      <c r="T146" s="1594"/>
      <c r="U146" s="1594"/>
      <c r="V146" s="1594"/>
      <c r="W146" s="1594"/>
      <c r="X146" s="1594"/>
      <c r="Y146" s="1594"/>
      <c r="Z146" s="1594"/>
      <c r="AA146" s="1594"/>
      <c r="AB146" s="1594"/>
      <c r="AC146" s="1594"/>
      <c r="AD146" s="1594"/>
      <c r="AE146" s="1594"/>
      <c r="AF146" s="1594"/>
      <c r="AG146" s="1594"/>
      <c r="AH146" s="1594"/>
      <c r="AI146" s="1594"/>
      <c r="AJ146" s="1594"/>
      <c r="AK146" s="1594"/>
      <c r="AL146" s="1594"/>
      <c r="AM146" s="1594"/>
      <c r="AN146" s="1594"/>
      <c r="AO146" s="1594"/>
      <c r="AP146" s="1594"/>
      <c r="AQ146" s="1594"/>
      <c r="AR146" s="1594"/>
      <c r="AS146" s="1594"/>
      <c r="AT146" s="1594"/>
      <c r="AU146" s="1594"/>
      <c r="AV146" s="1594"/>
      <c r="AW146" s="1594"/>
      <c r="AX146" s="1594"/>
      <c r="AY146" s="1594"/>
      <c r="AZ146" s="1594"/>
      <c r="BA146" s="1594"/>
      <c r="BB146" s="1594"/>
      <c r="BC146" s="1594"/>
      <c r="BD146" s="1594"/>
      <c r="BE146" s="1594"/>
      <c r="BF146" s="1594"/>
      <c r="BG146" s="1594"/>
      <c r="BH146" s="1594"/>
      <c r="BI146" s="1594"/>
      <c r="BJ146" s="1594"/>
    </row>
    <row r="147" spans="1:62" ht="12.75">
      <c r="A147" s="1594"/>
      <c r="B147" s="1660"/>
      <c r="C147" s="1613"/>
      <c r="D147" s="1613"/>
      <c r="E147" s="1613"/>
      <c r="F147" s="1661"/>
      <c r="G147" s="1613"/>
      <c r="H147" s="1591"/>
      <c r="I147" s="1676"/>
      <c r="J147" s="1671"/>
      <c r="K147" s="1613"/>
      <c r="L147" s="1613"/>
      <c r="M147" s="1662"/>
      <c r="N147" s="1594"/>
      <c r="O147" s="1594"/>
      <c r="P147" s="1594"/>
      <c r="Q147" s="1594"/>
      <c r="R147" s="1594"/>
      <c r="S147" s="1594"/>
      <c r="T147" s="1594"/>
      <c r="U147" s="1594"/>
      <c r="V147" s="1594"/>
      <c r="W147" s="1594"/>
      <c r="X147" s="1594"/>
      <c r="Y147" s="1594"/>
      <c r="Z147" s="1594"/>
      <c r="AA147" s="1594"/>
      <c r="AB147" s="1594"/>
      <c r="AC147" s="1594"/>
      <c r="AD147" s="1594"/>
      <c r="AE147" s="1594"/>
      <c r="AF147" s="1594"/>
      <c r="AG147" s="1594"/>
      <c r="AH147" s="1594"/>
      <c r="AI147" s="1594"/>
      <c r="AJ147" s="1594"/>
      <c r="AK147" s="1594"/>
      <c r="AL147" s="1594"/>
      <c r="AM147" s="1594"/>
      <c r="AN147" s="1594"/>
      <c r="AO147" s="1594"/>
      <c r="AP147" s="1594"/>
      <c r="AQ147" s="1594"/>
      <c r="AR147" s="1594"/>
      <c r="AS147" s="1594"/>
      <c r="AT147" s="1594"/>
      <c r="AU147" s="1594"/>
      <c r="AV147" s="1594"/>
      <c r="AW147" s="1594"/>
      <c r="AX147" s="1594"/>
      <c r="AY147" s="1594"/>
      <c r="AZ147" s="1594"/>
      <c r="BA147" s="1594"/>
      <c r="BB147" s="1594"/>
      <c r="BC147" s="1594"/>
      <c r="BD147" s="1594"/>
      <c r="BE147" s="1594"/>
      <c r="BF147" s="1594"/>
      <c r="BG147" s="1594"/>
      <c r="BH147" s="1594"/>
      <c r="BI147" s="1594"/>
      <c r="BJ147" s="1594"/>
    </row>
    <row r="148" spans="1:62" ht="12.75">
      <c r="A148" s="1594"/>
      <c r="B148" s="1615"/>
      <c r="C148" s="1616"/>
      <c r="D148" s="1616"/>
      <c r="E148" s="1648"/>
      <c r="F148" s="1620"/>
      <c r="G148" s="1648"/>
      <c r="H148" s="1620"/>
      <c r="I148" s="1616"/>
      <c r="J148" s="1616"/>
      <c r="K148" s="1616"/>
      <c r="L148" s="1616"/>
      <c r="M148" s="1624"/>
      <c r="N148" s="1594"/>
      <c r="O148" s="1594"/>
      <c r="P148" s="1594"/>
      <c r="Q148" s="1594"/>
      <c r="R148" s="1594"/>
      <c r="S148" s="1594"/>
      <c r="T148" s="1594"/>
      <c r="U148" s="1594"/>
      <c r="V148" s="1594"/>
      <c r="W148" s="1594"/>
      <c r="X148" s="1594"/>
      <c r="Y148" s="1594"/>
      <c r="Z148" s="1594"/>
      <c r="AA148" s="1594"/>
      <c r="AB148" s="1594"/>
      <c r="AC148" s="1594"/>
      <c r="AD148" s="1594"/>
      <c r="AE148" s="1594"/>
      <c r="AF148" s="1594"/>
      <c r="AG148" s="1594"/>
      <c r="AH148" s="1594"/>
      <c r="AI148" s="1594"/>
      <c r="AJ148" s="1594"/>
      <c r="AK148" s="1594"/>
      <c r="AL148" s="1594"/>
      <c r="AM148" s="1594"/>
      <c r="AN148" s="1594"/>
      <c r="AO148" s="1594"/>
      <c r="AP148" s="1594"/>
      <c r="AQ148" s="1594"/>
      <c r="AR148" s="1594"/>
      <c r="AS148" s="1594"/>
      <c r="AT148" s="1594"/>
      <c r="AU148" s="1594"/>
      <c r="AV148" s="1594"/>
      <c r="AW148" s="1594"/>
      <c r="AX148" s="1594"/>
      <c r="AY148" s="1594"/>
      <c r="AZ148" s="1594"/>
      <c r="BA148" s="1594"/>
      <c r="BB148" s="1594"/>
      <c r="BC148" s="1594"/>
      <c r="BD148" s="1594"/>
      <c r="BE148" s="1594"/>
      <c r="BF148" s="1594"/>
      <c r="BG148" s="1594"/>
      <c r="BH148" s="1594"/>
      <c r="BI148" s="1594"/>
      <c r="BJ148" s="1594"/>
    </row>
    <row r="149" spans="1:62" ht="12.75">
      <c r="A149" s="1594"/>
      <c r="B149" s="1615" t="s">
        <v>54</v>
      </c>
      <c r="C149" s="163" t="s">
        <v>55</v>
      </c>
      <c r="D149" s="1616"/>
      <c r="E149" s="1616"/>
      <c r="F149" s="1616"/>
      <c r="G149" s="1616"/>
      <c r="H149" s="1616"/>
      <c r="I149" s="1616"/>
      <c r="J149" s="1616"/>
      <c r="K149" s="1616"/>
      <c r="L149" s="1616"/>
      <c r="M149" s="1624"/>
      <c r="N149" s="1594"/>
      <c r="O149" s="1594"/>
      <c r="P149" s="1594"/>
      <c r="Q149" s="1594"/>
      <c r="R149" s="1594"/>
      <c r="S149" s="1594"/>
      <c r="T149" s="1594"/>
      <c r="U149" s="1594"/>
      <c r="V149" s="1594"/>
      <c r="W149" s="1594"/>
      <c r="X149" s="1594"/>
      <c r="Y149" s="1594"/>
      <c r="Z149" s="1594"/>
      <c r="AA149" s="1594"/>
      <c r="AB149" s="1594"/>
      <c r="AC149" s="1594"/>
      <c r="AD149" s="1594"/>
      <c r="AE149" s="1594"/>
      <c r="AF149" s="1594"/>
      <c r="AG149" s="1594"/>
      <c r="AH149" s="1594"/>
      <c r="AI149" s="1594"/>
      <c r="AJ149" s="1594"/>
      <c r="AK149" s="1594"/>
      <c r="AL149" s="1594"/>
      <c r="AM149" s="1594"/>
      <c r="AN149" s="1594"/>
      <c r="AO149" s="1594"/>
      <c r="AP149" s="1594"/>
      <c r="AQ149" s="1594"/>
      <c r="AR149" s="1594"/>
      <c r="AS149" s="1594"/>
      <c r="AT149" s="1594"/>
      <c r="AU149" s="1594"/>
      <c r="AV149" s="1594"/>
      <c r="AW149" s="1594"/>
      <c r="AX149" s="1594"/>
      <c r="AY149" s="1594"/>
      <c r="AZ149" s="1594"/>
      <c r="BA149" s="1594"/>
      <c r="BB149" s="1594"/>
      <c r="BC149" s="1594"/>
      <c r="BD149" s="1594"/>
      <c r="BE149" s="1594"/>
      <c r="BF149" s="1594"/>
      <c r="BG149" s="1594"/>
      <c r="BH149" s="1594"/>
      <c r="BI149" s="1594"/>
      <c r="BJ149" s="1594"/>
    </row>
    <row r="150" spans="1:62" ht="12.75">
      <c r="A150" s="1594"/>
      <c r="B150" s="1615"/>
      <c r="C150" s="1616" t="s">
        <v>295</v>
      </c>
      <c r="D150" s="1616" t="s">
        <v>56</v>
      </c>
      <c r="E150" s="1616" t="s">
        <v>66</v>
      </c>
      <c r="F150" s="1649">
        <v>1595518</v>
      </c>
      <c r="G150" s="1616" t="s">
        <v>67</v>
      </c>
      <c r="H150" s="1649">
        <v>151504</v>
      </c>
      <c r="I150" s="1616" t="s">
        <v>57</v>
      </c>
      <c r="J150" s="1618">
        <f>F150*H150/1000000</f>
        <v>241727.35907199999</v>
      </c>
      <c r="K150" s="1618">
        <f>J150/J152*K152</f>
        <v>20442.12927522769</v>
      </c>
      <c r="L150" s="1677">
        <v>0.83</v>
      </c>
      <c r="M150" s="1680">
        <v>0.17</v>
      </c>
      <c r="N150" s="1594"/>
      <c r="O150" s="1594"/>
      <c r="P150" s="1594"/>
      <c r="Q150" s="1594"/>
      <c r="R150" s="1594"/>
      <c r="S150" s="1594"/>
      <c r="T150" s="1594"/>
      <c r="U150" s="1594"/>
      <c r="V150" s="1594"/>
      <c r="W150" s="1594"/>
      <c r="X150" s="1594"/>
      <c r="Y150" s="1594"/>
      <c r="Z150" s="1594"/>
      <c r="AA150" s="1594"/>
      <c r="AB150" s="1594"/>
      <c r="AC150" s="1594"/>
      <c r="AD150" s="1594"/>
      <c r="AE150" s="1594"/>
      <c r="AF150" s="1594"/>
      <c r="AG150" s="1594"/>
      <c r="AH150" s="1594"/>
      <c r="AI150" s="1594"/>
      <c r="AJ150" s="1594"/>
      <c r="AK150" s="1594"/>
      <c r="AL150" s="1594"/>
      <c r="AM150" s="1594"/>
      <c r="AN150" s="1594"/>
      <c r="AO150" s="1594"/>
      <c r="AP150" s="1594"/>
      <c r="AQ150" s="1594"/>
      <c r="AR150" s="1594"/>
      <c r="AS150" s="1594"/>
      <c r="AT150" s="1594"/>
      <c r="AU150" s="1594"/>
      <c r="AV150" s="1594"/>
      <c r="AW150" s="1594"/>
      <c r="AX150" s="1594"/>
      <c r="AY150" s="1594"/>
      <c r="AZ150" s="1594"/>
      <c r="BA150" s="1594"/>
      <c r="BB150" s="1594"/>
      <c r="BC150" s="1594"/>
      <c r="BD150" s="1594"/>
      <c r="BE150" s="1594"/>
      <c r="BF150" s="1594"/>
      <c r="BG150" s="1594"/>
      <c r="BH150" s="1594"/>
      <c r="BI150" s="1594"/>
      <c r="BJ150" s="1594"/>
    </row>
    <row r="151" spans="1:62" ht="12.75">
      <c r="A151" s="1594"/>
      <c r="B151" s="1615"/>
      <c r="C151" s="1616"/>
      <c r="D151" s="1616"/>
      <c r="E151" s="1616" t="s">
        <v>47</v>
      </c>
      <c r="F151" s="1649">
        <v>53219</v>
      </c>
      <c r="G151" s="1616" t="s">
        <v>67</v>
      </c>
      <c r="H151" s="1649">
        <v>138465</v>
      </c>
      <c r="I151" s="1616" t="s">
        <v>57</v>
      </c>
      <c r="J151" s="1618">
        <f>F151*H151/1000000</f>
        <v>7368.9688349999997</v>
      </c>
      <c r="K151" s="1650">
        <f>J151/J152*K152</f>
        <v>623.17072477230727</v>
      </c>
      <c r="L151" s="1677">
        <v>0.03</v>
      </c>
      <c r="M151" s="1680">
        <v>0.01</v>
      </c>
      <c r="N151" s="1594"/>
      <c r="O151" s="1594"/>
      <c r="P151" s="1594"/>
      <c r="Q151" s="1594"/>
      <c r="R151" s="1594"/>
      <c r="S151" s="1594"/>
      <c r="T151" s="1594"/>
      <c r="U151" s="1594"/>
      <c r="V151" s="1594"/>
      <c r="W151" s="1594"/>
      <c r="X151" s="1594"/>
      <c r="Y151" s="1594"/>
      <c r="Z151" s="1594"/>
      <c r="AA151" s="1594"/>
      <c r="AB151" s="1594"/>
      <c r="AC151" s="1594"/>
      <c r="AD151" s="1594"/>
      <c r="AE151" s="1594"/>
      <c r="AF151" s="1594"/>
      <c r="AG151" s="1594"/>
      <c r="AH151" s="1594"/>
      <c r="AI151" s="1594"/>
      <c r="AJ151" s="1594"/>
      <c r="AK151" s="1594"/>
      <c r="AL151" s="1594"/>
      <c r="AM151" s="1594"/>
      <c r="AN151" s="1594"/>
      <c r="AO151" s="1594"/>
      <c r="AP151" s="1594"/>
      <c r="AQ151" s="1594"/>
      <c r="AR151" s="1594"/>
      <c r="AS151" s="1594"/>
      <c r="AT151" s="1594"/>
      <c r="AU151" s="1594"/>
      <c r="AV151" s="1594"/>
      <c r="AW151" s="1594"/>
      <c r="AX151" s="1594"/>
      <c r="AY151" s="1594"/>
      <c r="AZ151" s="1594"/>
      <c r="BA151" s="1594"/>
      <c r="BB151" s="1594"/>
      <c r="BC151" s="1594"/>
      <c r="BD151" s="1594"/>
      <c r="BE151" s="1594"/>
      <c r="BF151" s="1594"/>
      <c r="BG151" s="1594"/>
      <c r="BH151" s="1594"/>
      <c r="BI151" s="1594"/>
      <c r="BJ151" s="1594"/>
    </row>
    <row r="152" spans="1:62" ht="12.75">
      <c r="A152" s="1594"/>
      <c r="B152" s="1615"/>
      <c r="C152" s="1616"/>
      <c r="D152" s="1616"/>
      <c r="E152" s="1616"/>
      <c r="F152" s="1616"/>
      <c r="G152" s="163"/>
      <c r="H152" s="163"/>
      <c r="I152" s="163"/>
      <c r="J152" s="1628">
        <f>SUM(J150:J151)</f>
        <v>249096.327907</v>
      </c>
      <c r="K152" s="1651">
        <v>21065.3</v>
      </c>
      <c r="L152" s="1722">
        <f>SUM(L150:L151)</f>
        <v>0.86</v>
      </c>
      <c r="M152" s="1694">
        <f>SUM(M150:M151)</f>
        <v>0.18000000000000002</v>
      </c>
      <c r="N152" s="1594"/>
      <c r="O152" s="1594"/>
      <c r="P152" s="1594"/>
      <c r="Q152" s="1594"/>
      <c r="R152" s="1594"/>
      <c r="S152" s="1594"/>
      <c r="T152" s="1594"/>
      <c r="U152" s="1594"/>
      <c r="V152" s="1594"/>
      <c r="W152" s="1594"/>
      <c r="X152" s="1594"/>
      <c r="Y152" s="1594"/>
      <c r="Z152" s="1594"/>
      <c r="AA152" s="1594"/>
      <c r="AB152" s="1594"/>
      <c r="AC152" s="1594"/>
      <c r="AD152" s="1594"/>
      <c r="AE152" s="1594"/>
      <c r="AF152" s="1594"/>
      <c r="AG152" s="1594"/>
      <c r="AH152" s="1594"/>
      <c r="AI152" s="1594"/>
      <c r="AJ152" s="1594"/>
      <c r="AK152" s="1594"/>
      <c r="AL152" s="1594"/>
      <c r="AM152" s="1594"/>
      <c r="AN152" s="1594"/>
      <c r="AO152" s="1594"/>
      <c r="AP152" s="1594"/>
      <c r="AQ152" s="1594"/>
      <c r="AR152" s="1594"/>
      <c r="AS152" s="1594"/>
      <c r="AT152" s="1594"/>
      <c r="AU152" s="1594"/>
      <c r="AV152" s="1594"/>
      <c r="AW152" s="1594"/>
      <c r="AX152" s="1594"/>
      <c r="AY152" s="1594"/>
      <c r="AZ152" s="1594"/>
      <c r="BA152" s="1594"/>
      <c r="BB152" s="1594"/>
      <c r="BC152" s="1594"/>
      <c r="BD152" s="1594"/>
      <c r="BE152" s="1594"/>
      <c r="BF152" s="1594"/>
      <c r="BG152" s="1594"/>
      <c r="BH152" s="1594"/>
      <c r="BI152" s="1594"/>
      <c r="BJ152" s="1594"/>
    </row>
    <row r="153" spans="1:62" ht="12.75">
      <c r="A153" s="1594"/>
      <c r="B153" s="1615"/>
      <c r="C153" s="1616"/>
      <c r="D153" s="1616"/>
      <c r="E153" s="1616"/>
      <c r="F153" s="1616"/>
      <c r="G153" s="1616"/>
      <c r="H153" s="1616"/>
      <c r="I153" s="1616"/>
      <c r="J153" s="1616"/>
      <c r="K153" s="1616"/>
      <c r="L153" s="1616"/>
      <c r="M153" s="1680"/>
      <c r="N153" s="1594"/>
      <c r="O153" s="1594"/>
      <c r="P153" s="1594"/>
      <c r="Q153" s="1594"/>
      <c r="R153" s="1594"/>
      <c r="S153" s="1594"/>
      <c r="T153" s="1594"/>
      <c r="U153" s="1594"/>
      <c r="V153" s="1594"/>
      <c r="W153" s="1594"/>
      <c r="X153" s="1594"/>
      <c r="Y153" s="1594"/>
      <c r="Z153" s="1594"/>
      <c r="AA153" s="1594"/>
      <c r="AB153" s="1594"/>
      <c r="AC153" s="1594"/>
      <c r="AD153" s="1594"/>
      <c r="AE153" s="1594"/>
      <c r="AF153" s="1594"/>
      <c r="AG153" s="1594"/>
      <c r="AH153" s="1594"/>
      <c r="AI153" s="1594"/>
      <c r="AJ153" s="1594"/>
      <c r="AK153" s="1594"/>
      <c r="AL153" s="1594"/>
      <c r="AM153" s="1594"/>
      <c r="AN153" s="1594"/>
      <c r="AO153" s="1594"/>
      <c r="AP153" s="1594"/>
      <c r="AQ153" s="1594"/>
      <c r="AR153" s="1594"/>
      <c r="AS153" s="1594"/>
      <c r="AT153" s="1594"/>
      <c r="AU153" s="1594"/>
      <c r="AV153" s="1594"/>
      <c r="AW153" s="1594"/>
      <c r="AX153" s="1594"/>
      <c r="AY153" s="1594"/>
      <c r="AZ153" s="1594"/>
      <c r="BA153" s="1594"/>
      <c r="BB153" s="1594"/>
      <c r="BC153" s="1594"/>
      <c r="BD153" s="1594"/>
      <c r="BE153" s="1594"/>
      <c r="BF153" s="1594"/>
      <c r="BG153" s="1594"/>
      <c r="BH153" s="1594"/>
      <c r="BI153" s="1594"/>
      <c r="BJ153" s="1594"/>
    </row>
    <row r="154" spans="1:62" ht="12.75">
      <c r="A154" s="1594"/>
      <c r="B154" s="1615"/>
      <c r="C154" s="1616" t="s">
        <v>296</v>
      </c>
      <c r="D154" s="1616" t="s">
        <v>742</v>
      </c>
      <c r="E154" s="1616" t="s">
        <v>47</v>
      </c>
      <c r="F154" s="1649">
        <v>34860</v>
      </c>
      <c r="G154" s="1616" t="s">
        <v>67</v>
      </c>
      <c r="H154" s="1649">
        <v>138451</v>
      </c>
      <c r="I154" s="1616" t="s">
        <v>57</v>
      </c>
      <c r="J154" s="1626">
        <f>F154*H154/1000000</f>
        <v>4826.4018599999999</v>
      </c>
      <c r="K154" s="1652">
        <v>393.48</v>
      </c>
      <c r="L154" s="1652">
        <v>0.02</v>
      </c>
      <c r="M154" s="1694">
        <v>0</v>
      </c>
      <c r="N154" s="1594"/>
      <c r="O154" s="1594"/>
      <c r="P154" s="1594"/>
      <c r="Q154" s="1594"/>
      <c r="R154" s="1594"/>
      <c r="S154" s="1594"/>
      <c r="T154" s="1594"/>
      <c r="U154" s="1594"/>
      <c r="V154" s="1594"/>
      <c r="W154" s="1594"/>
      <c r="X154" s="1594"/>
      <c r="Y154" s="1594"/>
      <c r="Z154" s="1594"/>
      <c r="AA154" s="1594"/>
      <c r="AB154" s="1594"/>
      <c r="AC154" s="1594"/>
      <c r="AD154" s="1594"/>
      <c r="AE154" s="1594"/>
      <c r="AF154" s="1594"/>
      <c r="AG154" s="1594"/>
      <c r="AH154" s="1594"/>
      <c r="AI154" s="1594"/>
      <c r="AJ154" s="1594"/>
      <c r="AK154" s="1594"/>
      <c r="AL154" s="1594"/>
      <c r="AM154" s="1594"/>
      <c r="AN154" s="1594"/>
      <c r="AO154" s="1594"/>
      <c r="AP154" s="1594"/>
      <c r="AQ154" s="1594"/>
      <c r="AR154" s="1594"/>
      <c r="AS154" s="1594"/>
      <c r="AT154" s="1594"/>
      <c r="AU154" s="1594"/>
      <c r="AV154" s="1594"/>
      <c r="AW154" s="1594"/>
      <c r="AX154" s="1594"/>
      <c r="AY154" s="1594"/>
      <c r="AZ154" s="1594"/>
      <c r="BA154" s="1594"/>
      <c r="BB154" s="1594"/>
      <c r="BC154" s="1594"/>
      <c r="BD154" s="1594"/>
      <c r="BE154" s="1594"/>
      <c r="BF154" s="1594"/>
      <c r="BG154" s="1594"/>
      <c r="BH154" s="1594"/>
      <c r="BI154" s="1594"/>
      <c r="BJ154" s="1594"/>
    </row>
    <row r="155" spans="1:62" ht="12.75">
      <c r="A155" s="1594"/>
      <c r="B155" s="1615"/>
      <c r="C155" s="1616"/>
      <c r="D155" s="1616"/>
      <c r="E155" s="1616"/>
      <c r="F155" s="1616"/>
      <c r="G155" s="1616"/>
      <c r="H155" s="1616"/>
      <c r="I155" s="1616"/>
      <c r="J155" s="1653"/>
      <c r="K155" s="1616"/>
      <c r="L155" s="1652"/>
      <c r="M155" s="1680"/>
      <c r="N155" s="1594"/>
      <c r="O155" s="1594"/>
      <c r="P155" s="1594"/>
      <c r="Q155" s="1594"/>
      <c r="R155" s="1594"/>
      <c r="S155" s="1594"/>
      <c r="T155" s="1594"/>
      <c r="U155" s="1594"/>
      <c r="V155" s="1594"/>
      <c r="W155" s="1594"/>
      <c r="X155" s="1594"/>
      <c r="Y155" s="1594"/>
      <c r="Z155" s="1594"/>
      <c r="AA155" s="1594"/>
      <c r="AB155" s="1594"/>
      <c r="AC155" s="1594"/>
      <c r="AD155" s="1594"/>
      <c r="AE155" s="1594"/>
      <c r="AF155" s="1594"/>
      <c r="AG155" s="1594"/>
      <c r="AH155" s="1594"/>
      <c r="AI155" s="1594"/>
      <c r="AJ155" s="1594"/>
      <c r="AK155" s="1594"/>
      <c r="AL155" s="1594"/>
      <c r="AM155" s="1594"/>
      <c r="AN155" s="1594"/>
      <c r="AO155" s="1594"/>
      <c r="AP155" s="1594"/>
      <c r="AQ155" s="1594"/>
      <c r="AR155" s="1594"/>
      <c r="AS155" s="1594"/>
      <c r="AT155" s="1594"/>
      <c r="AU155" s="1594"/>
      <c r="AV155" s="1594"/>
      <c r="AW155" s="1594"/>
      <c r="AX155" s="1594"/>
      <c r="AY155" s="1594"/>
      <c r="AZ155" s="1594"/>
      <c r="BA155" s="1594"/>
      <c r="BB155" s="1594"/>
      <c r="BC155" s="1594"/>
      <c r="BD155" s="1594"/>
      <c r="BE155" s="1594"/>
      <c r="BF155" s="1594"/>
      <c r="BG155" s="1594"/>
      <c r="BH155" s="1594"/>
      <c r="BI155" s="1594"/>
      <c r="BJ155" s="1594"/>
    </row>
    <row r="156" spans="1:62" ht="12.75">
      <c r="A156" s="1594"/>
      <c r="B156" s="1615"/>
      <c r="C156" s="1616" t="s">
        <v>297</v>
      </c>
      <c r="D156" s="1616" t="s">
        <v>743</v>
      </c>
      <c r="E156" s="1616" t="s">
        <v>47</v>
      </c>
      <c r="F156" s="1649">
        <v>130151</v>
      </c>
      <c r="G156" s="1616" t="s">
        <v>67</v>
      </c>
      <c r="H156" s="1649">
        <v>138411</v>
      </c>
      <c r="I156" s="1616" t="s">
        <v>57</v>
      </c>
      <c r="J156" s="1626">
        <f>F156*H156/1000000</f>
        <v>18014.330061000001</v>
      </c>
      <c r="K156" s="1637">
        <v>1468.64</v>
      </c>
      <c r="L156" s="1652">
        <v>0.06</v>
      </c>
      <c r="M156" s="1694">
        <v>0.01</v>
      </c>
      <c r="N156" s="1594"/>
      <c r="O156" s="1594"/>
      <c r="P156" s="1594"/>
      <c r="Q156" s="1594"/>
      <c r="R156" s="1594"/>
      <c r="S156" s="1594"/>
      <c r="T156" s="1594"/>
      <c r="U156" s="1594"/>
      <c r="V156" s="1594"/>
      <c r="W156" s="1594"/>
      <c r="X156" s="1594"/>
      <c r="Y156" s="1594"/>
      <c r="Z156" s="1594"/>
      <c r="AA156" s="1594"/>
      <c r="AB156" s="1594"/>
      <c r="AC156" s="1594"/>
      <c r="AD156" s="1594"/>
      <c r="AE156" s="1594"/>
      <c r="AF156" s="1594"/>
      <c r="AG156" s="1594"/>
      <c r="AH156" s="1594"/>
      <c r="AI156" s="1594"/>
      <c r="AJ156" s="1594"/>
      <c r="AK156" s="1594"/>
      <c r="AL156" s="1594"/>
      <c r="AM156" s="1594"/>
      <c r="AN156" s="1594"/>
      <c r="AO156" s="1594"/>
      <c r="AP156" s="1594"/>
      <c r="AQ156" s="1594"/>
      <c r="AR156" s="1594"/>
      <c r="AS156" s="1594"/>
      <c r="AT156" s="1594"/>
      <c r="AU156" s="1594"/>
      <c r="AV156" s="1594"/>
      <c r="AW156" s="1594"/>
      <c r="AX156" s="1594"/>
      <c r="AY156" s="1594"/>
      <c r="AZ156" s="1594"/>
      <c r="BA156" s="1594"/>
      <c r="BB156" s="1594"/>
      <c r="BC156" s="1594"/>
      <c r="BD156" s="1594"/>
      <c r="BE156" s="1594"/>
      <c r="BF156" s="1594"/>
      <c r="BG156" s="1594"/>
      <c r="BH156" s="1594"/>
      <c r="BI156" s="1594"/>
      <c r="BJ156" s="1594"/>
    </row>
    <row r="157" spans="1:62" ht="13.5" thickBot="1">
      <c r="A157" s="1594"/>
      <c r="B157" s="1615"/>
      <c r="C157" s="1616"/>
      <c r="D157" s="1616"/>
      <c r="E157" s="1616"/>
      <c r="F157" s="1618"/>
      <c r="G157" s="1616"/>
      <c r="H157" s="1618"/>
      <c r="I157" s="1616"/>
      <c r="J157" s="1620"/>
      <c r="K157" s="1652"/>
      <c r="L157" s="1616"/>
      <c r="M157" s="1624"/>
      <c r="N157" s="1594"/>
      <c r="O157" s="1594"/>
      <c r="P157" s="1594"/>
      <c r="Q157" s="1594"/>
      <c r="R157" s="1594"/>
      <c r="S157" s="1594"/>
      <c r="T157" s="1594"/>
      <c r="U157" s="1594"/>
      <c r="V157" s="1594"/>
      <c r="W157" s="1594"/>
      <c r="X157" s="1594"/>
      <c r="Y157" s="1594"/>
      <c r="Z157" s="1594"/>
      <c r="AA157" s="1594"/>
      <c r="AB157" s="1594"/>
      <c r="AC157" s="1594"/>
      <c r="AD157" s="1594"/>
      <c r="AE157" s="1594"/>
      <c r="AF157" s="1594"/>
      <c r="AG157" s="1594"/>
      <c r="AH157" s="1594"/>
      <c r="AI157" s="1594"/>
      <c r="AJ157" s="1594"/>
      <c r="AK157" s="1594"/>
      <c r="AL157" s="1594"/>
      <c r="AM157" s="1594"/>
      <c r="AN157" s="1594"/>
      <c r="AO157" s="1594"/>
      <c r="AP157" s="1594"/>
      <c r="AQ157" s="1594"/>
      <c r="AR157" s="1594"/>
      <c r="AS157" s="1594"/>
      <c r="AT157" s="1594"/>
      <c r="AU157" s="1594"/>
      <c r="AV157" s="1594"/>
      <c r="AW157" s="1594"/>
      <c r="AX157" s="1594"/>
      <c r="AY157" s="1594"/>
      <c r="AZ157" s="1594"/>
      <c r="BA157" s="1594"/>
      <c r="BB157" s="1594"/>
      <c r="BC157" s="1594"/>
      <c r="BD157" s="1594"/>
      <c r="BE157" s="1594"/>
      <c r="BF157" s="1594"/>
      <c r="BG157" s="1594"/>
      <c r="BH157" s="1594"/>
      <c r="BI157" s="1594"/>
      <c r="BJ157" s="1594"/>
    </row>
    <row r="158" spans="1:62" ht="12.75">
      <c r="A158" s="1594"/>
      <c r="B158" s="1660"/>
      <c r="C158" s="1613"/>
      <c r="D158" s="1613"/>
      <c r="E158" s="1613"/>
      <c r="F158" s="1613"/>
      <c r="G158" s="1613"/>
      <c r="H158" s="1613"/>
      <c r="I158" s="1613"/>
      <c r="J158" s="1613"/>
      <c r="K158" s="1613"/>
      <c r="L158" s="1613"/>
      <c r="M158" s="1662"/>
      <c r="N158" s="1594"/>
      <c r="O158" s="1594"/>
      <c r="P158" s="1594"/>
      <c r="Q158" s="1594"/>
      <c r="R158" s="1594"/>
      <c r="S158" s="1594"/>
      <c r="T158" s="1594"/>
      <c r="U158" s="1594"/>
      <c r="V158" s="1594"/>
      <c r="W158" s="1594"/>
      <c r="X158" s="1594"/>
      <c r="Y158" s="1594"/>
      <c r="Z158" s="1594"/>
      <c r="AA158" s="1594"/>
      <c r="AB158" s="1594"/>
      <c r="AC158" s="1594"/>
      <c r="AD158" s="1594"/>
      <c r="AE158" s="1594"/>
      <c r="AF158" s="1594"/>
      <c r="AG158" s="1594"/>
      <c r="AH158" s="1594"/>
      <c r="AI158" s="1594"/>
      <c r="AJ158" s="1594"/>
      <c r="AK158" s="1594"/>
      <c r="AL158" s="1594"/>
      <c r="AM158" s="1594"/>
      <c r="AN158" s="1594"/>
      <c r="AO158" s="1594"/>
      <c r="AP158" s="1594"/>
      <c r="AQ158" s="1594"/>
      <c r="AR158" s="1594"/>
      <c r="AS158" s="1594"/>
      <c r="AT158" s="1594"/>
      <c r="AU158" s="1594"/>
      <c r="AV158" s="1594"/>
      <c r="AW158" s="1594"/>
      <c r="AX158" s="1594"/>
      <c r="AY158" s="1594"/>
      <c r="AZ158" s="1594"/>
      <c r="BA158" s="1594"/>
      <c r="BB158" s="1594"/>
      <c r="BC158" s="1594"/>
      <c r="BD158" s="1594"/>
      <c r="BE158" s="1594"/>
      <c r="BF158" s="1594"/>
      <c r="BG158" s="1594"/>
      <c r="BH158" s="1594"/>
      <c r="BI158" s="1594"/>
      <c r="BJ158" s="1594"/>
    </row>
    <row r="159" spans="1:62" ht="12.75">
      <c r="A159" s="1594"/>
      <c r="B159" s="1615"/>
      <c r="C159" s="1616"/>
      <c r="D159" s="1616"/>
      <c r="E159" s="1616"/>
      <c r="F159" s="1616"/>
      <c r="G159" s="1616"/>
      <c r="H159" s="1616"/>
      <c r="I159" s="1616"/>
      <c r="J159" s="1616"/>
      <c r="K159" s="1616"/>
      <c r="L159" s="1616"/>
      <c r="M159" s="1624"/>
      <c r="N159" s="1594"/>
      <c r="O159" s="1594"/>
      <c r="P159" s="1594"/>
      <c r="Q159" s="1594"/>
      <c r="R159" s="1594"/>
      <c r="S159" s="1594"/>
      <c r="T159" s="1594"/>
      <c r="U159" s="1594"/>
      <c r="V159" s="1594"/>
      <c r="W159" s="1594"/>
      <c r="X159" s="1594"/>
      <c r="Y159" s="1594"/>
      <c r="Z159" s="1594"/>
      <c r="AA159" s="1594"/>
      <c r="AB159" s="1594"/>
      <c r="AC159" s="1594"/>
      <c r="AD159" s="1594"/>
      <c r="AE159" s="1594"/>
      <c r="AF159" s="1594"/>
      <c r="AG159" s="1594"/>
      <c r="AH159" s="1594"/>
      <c r="AI159" s="1594"/>
      <c r="AJ159" s="1594"/>
      <c r="AK159" s="1594"/>
      <c r="AL159" s="1594"/>
      <c r="AM159" s="1594"/>
      <c r="AN159" s="1594"/>
      <c r="AO159" s="1594"/>
      <c r="AP159" s="1594"/>
      <c r="AQ159" s="1594"/>
      <c r="AR159" s="1594"/>
      <c r="AS159" s="1594"/>
      <c r="AT159" s="1594"/>
      <c r="AU159" s="1594"/>
      <c r="AV159" s="1594"/>
      <c r="AW159" s="1594"/>
      <c r="AX159" s="1594"/>
      <c r="AY159" s="1594"/>
      <c r="AZ159" s="1594"/>
      <c r="BA159" s="1594"/>
      <c r="BB159" s="1594"/>
      <c r="BC159" s="1594"/>
      <c r="BD159" s="1594"/>
      <c r="BE159" s="1594"/>
      <c r="BF159" s="1594"/>
      <c r="BG159" s="1594"/>
      <c r="BH159" s="1594"/>
      <c r="BI159" s="1594"/>
      <c r="BJ159" s="1594"/>
    </row>
    <row r="160" spans="1:62" ht="12.75">
      <c r="A160" s="1594"/>
      <c r="B160" s="1615" t="s">
        <v>85</v>
      </c>
      <c r="C160" s="163" t="s">
        <v>744</v>
      </c>
      <c r="D160" s="1616"/>
      <c r="E160" s="1616"/>
      <c r="F160" s="1616"/>
      <c r="G160" s="1616"/>
      <c r="H160" s="1616"/>
      <c r="I160" s="1616"/>
      <c r="J160" s="1616"/>
      <c r="K160" s="1616"/>
      <c r="L160" s="1616"/>
      <c r="M160" s="1624"/>
      <c r="N160" s="1594"/>
      <c r="O160" s="1594"/>
      <c r="P160" s="1594"/>
      <c r="Q160" s="1594"/>
      <c r="R160" s="1594"/>
      <c r="S160" s="1594"/>
      <c r="T160" s="1594"/>
      <c r="U160" s="1594"/>
      <c r="V160" s="1594"/>
      <c r="W160" s="1594"/>
      <c r="X160" s="1594"/>
      <c r="Y160" s="1594"/>
      <c r="Z160" s="1594"/>
      <c r="AA160" s="1594"/>
      <c r="AB160" s="1594"/>
      <c r="AC160" s="1594"/>
      <c r="AD160" s="1594"/>
      <c r="AE160" s="1594"/>
      <c r="AF160" s="1594"/>
      <c r="AG160" s="1594"/>
      <c r="AH160" s="1594"/>
      <c r="AI160" s="1594"/>
      <c r="AJ160" s="1594"/>
      <c r="AK160" s="1594"/>
      <c r="AL160" s="1594"/>
      <c r="AM160" s="1594"/>
      <c r="AN160" s="1594"/>
      <c r="AO160" s="1594"/>
      <c r="AP160" s="1594"/>
      <c r="AQ160" s="1594"/>
      <c r="AR160" s="1594"/>
      <c r="AS160" s="1594"/>
      <c r="AT160" s="1594"/>
      <c r="AU160" s="1594"/>
      <c r="AV160" s="1594"/>
      <c r="AW160" s="1594"/>
      <c r="AX160" s="1594"/>
      <c r="AY160" s="1594"/>
      <c r="AZ160" s="1594"/>
      <c r="BA160" s="1594"/>
      <c r="BB160" s="1594"/>
      <c r="BC160" s="1594"/>
      <c r="BD160" s="1594"/>
      <c r="BE160" s="1594"/>
      <c r="BF160" s="1594"/>
      <c r="BG160" s="1594"/>
      <c r="BH160" s="1594"/>
      <c r="BI160" s="1594"/>
      <c r="BJ160" s="1594"/>
    </row>
    <row r="161" spans="1:62" ht="12.75">
      <c r="A161" s="1594"/>
      <c r="B161" s="1615"/>
      <c r="C161" s="1616" t="s">
        <v>86</v>
      </c>
      <c r="D161" s="1616" t="s">
        <v>745</v>
      </c>
      <c r="E161" s="1616" t="s">
        <v>77</v>
      </c>
      <c r="F161" s="1623">
        <f>97*1000000</f>
        <v>97000000</v>
      </c>
      <c r="G161" s="1616" t="s">
        <v>144</v>
      </c>
      <c r="H161" s="1618">
        <v>1064</v>
      </c>
      <c r="I161" s="1616" t="s">
        <v>746</v>
      </c>
      <c r="J161" s="1626">
        <f>F161*H161/1000000</f>
        <v>103208</v>
      </c>
      <c r="K161" s="1700">
        <v>5975</v>
      </c>
      <c r="L161" s="1702">
        <v>1</v>
      </c>
      <c r="M161" s="1654">
        <v>0.01</v>
      </c>
      <c r="N161" s="1594"/>
      <c r="O161" s="1594"/>
      <c r="P161" s="1594"/>
      <c r="Q161" s="1594"/>
      <c r="R161" s="1594"/>
      <c r="S161" s="1594"/>
      <c r="T161" s="1594"/>
      <c r="U161" s="1594"/>
      <c r="V161" s="1594"/>
      <c r="W161" s="1594"/>
      <c r="X161" s="1594"/>
      <c r="Y161" s="1594"/>
      <c r="Z161" s="1594"/>
      <c r="AA161" s="1594"/>
      <c r="AB161" s="1594"/>
      <c r="AC161" s="1594"/>
      <c r="AD161" s="1594"/>
      <c r="AE161" s="1594"/>
      <c r="AF161" s="1594"/>
      <c r="AG161" s="1594"/>
      <c r="AH161" s="1594"/>
      <c r="AI161" s="1594"/>
      <c r="AJ161" s="1594"/>
      <c r="AK161" s="1594"/>
      <c r="AL161" s="1594"/>
      <c r="AM161" s="1594"/>
      <c r="AN161" s="1594"/>
      <c r="AO161" s="1594"/>
      <c r="AP161" s="1594"/>
      <c r="AQ161" s="1594"/>
      <c r="AR161" s="1594"/>
      <c r="AS161" s="1594"/>
      <c r="AT161" s="1594"/>
      <c r="AU161" s="1594"/>
      <c r="AV161" s="1594"/>
      <c r="AW161" s="1594"/>
      <c r="AX161" s="1594"/>
      <c r="AY161" s="1594"/>
      <c r="AZ161" s="1594"/>
      <c r="BA161" s="1594"/>
      <c r="BB161" s="1594"/>
      <c r="BC161" s="1594"/>
      <c r="BD161" s="1594"/>
      <c r="BE161" s="1594"/>
      <c r="BF161" s="1594"/>
      <c r="BG161" s="1594"/>
      <c r="BH161" s="1594"/>
      <c r="BI161" s="1594"/>
      <c r="BJ161" s="1594"/>
    </row>
    <row r="162" spans="1:62" ht="13.5" thickBot="1">
      <c r="A162" s="1594"/>
      <c r="B162" s="1615"/>
      <c r="C162" s="1616"/>
      <c r="D162" s="1616"/>
      <c r="E162" s="1616"/>
      <c r="F162" s="1617"/>
      <c r="G162" s="1616"/>
      <c r="H162" s="1618"/>
      <c r="I162" s="1616"/>
      <c r="J162" s="1618"/>
      <c r="K162" s="1616"/>
      <c r="L162" s="1616"/>
      <c r="M162" s="1624"/>
      <c r="N162" s="1594"/>
      <c r="O162" s="1594"/>
      <c r="P162" s="1594"/>
      <c r="Q162" s="1594"/>
      <c r="R162" s="1594"/>
      <c r="S162" s="1594"/>
      <c r="T162" s="1594"/>
      <c r="U162" s="1594"/>
      <c r="V162" s="1594"/>
      <c r="W162" s="1594"/>
      <c r="X162" s="1594"/>
      <c r="Y162" s="1594"/>
      <c r="Z162" s="1594"/>
      <c r="AA162" s="1594"/>
      <c r="AB162" s="1594"/>
      <c r="AC162" s="1594"/>
      <c r="AD162" s="1594"/>
      <c r="AE162" s="1594"/>
      <c r="AF162" s="1594"/>
      <c r="AG162" s="1594"/>
      <c r="AH162" s="1594"/>
      <c r="AI162" s="1594"/>
      <c r="AJ162" s="1594"/>
      <c r="AK162" s="1594"/>
      <c r="AL162" s="1594"/>
      <c r="AM162" s="1594"/>
      <c r="AN162" s="1594"/>
      <c r="AO162" s="1594"/>
      <c r="AP162" s="1594"/>
      <c r="AQ162" s="1594"/>
      <c r="AR162" s="1594"/>
      <c r="AS162" s="1594"/>
      <c r="AT162" s="1594"/>
      <c r="AU162" s="1594"/>
      <c r="AV162" s="1594"/>
      <c r="AW162" s="1594"/>
      <c r="AX162" s="1594"/>
      <c r="AY162" s="1594"/>
      <c r="AZ162" s="1594"/>
      <c r="BA162" s="1594"/>
      <c r="BB162" s="1594"/>
      <c r="BC162" s="1594"/>
      <c r="BD162" s="1594"/>
      <c r="BE162" s="1594"/>
      <c r="BF162" s="1594"/>
      <c r="BG162" s="1594"/>
      <c r="BH162" s="1594"/>
      <c r="BI162" s="1594"/>
      <c r="BJ162" s="1594"/>
    </row>
    <row r="163" spans="1:62" ht="12.75">
      <c r="A163" s="1594"/>
      <c r="B163" s="1660"/>
      <c r="C163" s="1613"/>
      <c r="D163" s="1613"/>
      <c r="E163" s="1613"/>
      <c r="F163" s="1613"/>
      <c r="G163" s="1613"/>
      <c r="H163" s="1613"/>
      <c r="I163" s="1613"/>
      <c r="J163" s="1613"/>
      <c r="K163" s="1613"/>
      <c r="L163" s="1613"/>
      <c r="M163" s="1662"/>
      <c r="N163" s="1594"/>
      <c r="O163" s="1594"/>
      <c r="P163" s="1594"/>
      <c r="Q163" s="1594"/>
      <c r="R163" s="1594"/>
      <c r="S163" s="1594"/>
      <c r="T163" s="1594"/>
      <c r="U163" s="1594"/>
      <c r="V163" s="1594"/>
      <c r="W163" s="1594"/>
      <c r="X163" s="1594"/>
      <c r="Y163" s="1594"/>
      <c r="Z163" s="1594"/>
      <c r="AA163" s="1594"/>
      <c r="AB163" s="1594"/>
      <c r="AC163" s="1594"/>
      <c r="AD163" s="1594"/>
      <c r="AE163" s="1594"/>
      <c r="AF163" s="1594"/>
      <c r="AG163" s="1594"/>
      <c r="AH163" s="1594"/>
      <c r="AI163" s="1594"/>
      <c r="AJ163" s="1594"/>
      <c r="AK163" s="1594"/>
      <c r="AL163" s="1594"/>
      <c r="AM163" s="1594"/>
      <c r="AN163" s="1594"/>
      <c r="AO163" s="1594"/>
      <c r="AP163" s="1594"/>
      <c r="AQ163" s="1594"/>
      <c r="AR163" s="1594"/>
      <c r="AS163" s="1594"/>
      <c r="AT163" s="1594"/>
      <c r="AU163" s="1594"/>
      <c r="AV163" s="1594"/>
      <c r="AW163" s="1594"/>
      <c r="AX163" s="1594"/>
      <c r="AY163" s="1594"/>
      <c r="AZ163" s="1594"/>
      <c r="BA163" s="1594"/>
      <c r="BB163" s="1594"/>
      <c r="BC163" s="1594"/>
      <c r="BD163" s="1594"/>
      <c r="BE163" s="1594"/>
      <c r="BF163" s="1594"/>
      <c r="BG163" s="1594"/>
      <c r="BH163" s="1594"/>
      <c r="BI163" s="1594"/>
      <c r="BJ163" s="1594"/>
    </row>
    <row r="164" spans="1:62" ht="12.75">
      <c r="A164" s="1594"/>
      <c r="B164" s="1615"/>
      <c r="C164" s="1616"/>
      <c r="D164" s="1616"/>
      <c r="E164" s="1616"/>
      <c r="F164" s="1616"/>
      <c r="G164" s="1616"/>
      <c r="H164" s="1616"/>
      <c r="I164" s="1616"/>
      <c r="J164" s="1616"/>
      <c r="K164" s="1616"/>
      <c r="L164" s="1616"/>
      <c r="M164" s="1624"/>
      <c r="N164" s="1594"/>
      <c r="O164" s="1594"/>
      <c r="P164" s="1594"/>
      <c r="Q164" s="1594"/>
      <c r="R164" s="1594"/>
      <c r="S164" s="1594"/>
      <c r="T164" s="1594"/>
      <c r="U164" s="1594"/>
      <c r="V164" s="1594"/>
      <c r="W164" s="1594"/>
      <c r="X164" s="1594"/>
      <c r="Y164" s="1594"/>
      <c r="Z164" s="1594"/>
      <c r="AA164" s="1594"/>
      <c r="AB164" s="1594"/>
      <c r="AC164" s="1594"/>
      <c r="AD164" s="1594"/>
      <c r="AE164" s="1594"/>
      <c r="AF164" s="1594"/>
      <c r="AG164" s="1594"/>
      <c r="AH164" s="1594"/>
      <c r="AI164" s="1594"/>
      <c r="AJ164" s="1594"/>
      <c r="AK164" s="1594"/>
      <c r="AL164" s="1594"/>
      <c r="AM164" s="1594"/>
      <c r="AN164" s="1594"/>
      <c r="AO164" s="1594"/>
      <c r="AP164" s="1594"/>
      <c r="AQ164" s="1594"/>
      <c r="AR164" s="1594"/>
      <c r="AS164" s="1594"/>
      <c r="AT164" s="1594"/>
      <c r="AU164" s="1594"/>
      <c r="AV164" s="1594"/>
      <c r="AW164" s="1594"/>
      <c r="AX164" s="1594"/>
      <c r="AY164" s="1594"/>
      <c r="AZ164" s="1594"/>
      <c r="BA164" s="1594"/>
      <c r="BB164" s="1594"/>
      <c r="BC164" s="1594"/>
      <c r="BD164" s="1594"/>
      <c r="BE164" s="1594"/>
      <c r="BF164" s="1594"/>
      <c r="BG164" s="1594"/>
      <c r="BH164" s="1594"/>
      <c r="BI164" s="1594"/>
      <c r="BJ164" s="1594"/>
    </row>
    <row r="165" spans="1:62" ht="12.75">
      <c r="A165" s="1594"/>
      <c r="B165" s="1615" t="s">
        <v>0</v>
      </c>
      <c r="C165" s="163" t="s">
        <v>1</v>
      </c>
      <c r="D165" s="1616"/>
      <c r="E165" s="1616"/>
      <c r="F165" s="1616"/>
      <c r="G165" s="1616"/>
      <c r="H165" s="1616"/>
      <c r="I165" s="1616"/>
      <c r="J165" s="1616"/>
      <c r="K165" s="1616"/>
      <c r="L165" s="1616"/>
      <c r="M165" s="1624"/>
      <c r="N165" s="1594"/>
      <c r="O165" s="14" t="s">
        <v>1155</v>
      </c>
      <c r="P165" s="1594"/>
      <c r="Q165" s="1594"/>
      <c r="R165" s="1594"/>
      <c r="S165" s="1594"/>
      <c r="T165" s="1594"/>
      <c r="U165" s="1594"/>
      <c r="V165" s="1594"/>
      <c r="W165" s="1594"/>
      <c r="X165" s="1594"/>
      <c r="Y165" s="1594"/>
      <c r="Z165" s="1594"/>
      <c r="AA165" s="1594"/>
      <c r="AB165" s="1594"/>
      <c r="AC165" s="1594"/>
      <c r="AD165" s="1594"/>
      <c r="AE165" s="1594"/>
      <c r="AF165" s="1594"/>
      <c r="AG165" s="1594"/>
      <c r="AH165" s="1594"/>
      <c r="AI165" s="1594"/>
      <c r="AJ165" s="1594"/>
      <c r="AK165" s="1594"/>
      <c r="AL165" s="1594"/>
      <c r="AM165" s="1594"/>
      <c r="AN165" s="1594"/>
      <c r="AO165" s="1594"/>
      <c r="AP165" s="1594"/>
      <c r="AQ165" s="1594"/>
      <c r="AR165" s="1594"/>
      <c r="AS165" s="1594"/>
      <c r="AT165" s="1594"/>
      <c r="AU165" s="1594"/>
      <c r="AV165" s="1594"/>
      <c r="AW165" s="1594"/>
      <c r="AX165" s="1594"/>
      <c r="AY165" s="1594"/>
      <c r="AZ165" s="1594"/>
      <c r="BA165" s="1594"/>
      <c r="BB165" s="1594"/>
      <c r="BC165" s="1594"/>
      <c r="BD165" s="1594"/>
      <c r="BE165" s="1594"/>
      <c r="BF165" s="1594"/>
      <c r="BG165" s="1594"/>
      <c r="BH165" s="1594"/>
      <c r="BI165" s="1594"/>
      <c r="BJ165" s="1594"/>
    </row>
    <row r="166" spans="1:62" ht="13.5" thickBot="1">
      <c r="A166" s="1594"/>
      <c r="B166" s="1615"/>
      <c r="C166" s="1616" t="s">
        <v>2</v>
      </c>
      <c r="D166" s="1616" t="s">
        <v>3</v>
      </c>
      <c r="E166" s="1616" t="s">
        <v>1102</v>
      </c>
      <c r="F166" s="1704">
        <v>173361</v>
      </c>
      <c r="G166" s="1616" t="s">
        <v>279</v>
      </c>
      <c r="H166" s="1618">
        <v>12882.09</v>
      </c>
      <c r="I166" s="1616" t="s">
        <v>1119</v>
      </c>
      <c r="J166" s="1705">
        <f>F166*H166*2000/1000000</f>
        <v>4466504.0089800013</v>
      </c>
      <c r="K166" s="1620">
        <f>J166/J168*K168</f>
        <v>441072.1482277519</v>
      </c>
      <c r="L166" s="1707">
        <f>J166*Q170/907.184</f>
        <v>54.158300960753287</v>
      </c>
      <c r="M166" s="1695">
        <f>J166*R170/907.1847</f>
        <v>7.8775649703616057</v>
      </c>
      <c r="N166" s="1594"/>
      <c r="O166" s="1594"/>
      <c r="P166" s="1594"/>
      <c r="Q166" s="1594"/>
      <c r="R166" s="1594"/>
      <c r="S166" s="1594"/>
      <c r="T166" s="1594"/>
      <c r="U166" s="1594"/>
      <c r="V166" s="1594"/>
      <c r="W166" s="1594"/>
      <c r="X166" s="1594"/>
      <c r="Y166" s="1594"/>
      <c r="Z166" s="1594"/>
      <c r="AA166" s="1594"/>
      <c r="AB166" s="1594"/>
      <c r="AC166" s="1594"/>
      <c r="AD166" s="1594"/>
      <c r="AE166" s="1594"/>
      <c r="AF166" s="1594"/>
      <c r="AG166" s="1594"/>
      <c r="AH166" s="1594"/>
      <c r="AI166" s="1594"/>
      <c r="AJ166" s="1594"/>
      <c r="AK166" s="1594"/>
      <c r="AL166" s="1594"/>
      <c r="AM166" s="1594"/>
      <c r="AN166" s="1594"/>
      <c r="AO166" s="1594"/>
      <c r="AP166" s="1594"/>
      <c r="AQ166" s="1594"/>
      <c r="AR166" s="1594"/>
      <c r="AS166" s="1594"/>
      <c r="AT166" s="1594"/>
      <c r="AU166" s="1594"/>
      <c r="AV166" s="1594"/>
      <c r="AW166" s="1594"/>
      <c r="AX166" s="1594"/>
      <c r="AY166" s="1594"/>
      <c r="AZ166" s="1594"/>
      <c r="BA166" s="1594"/>
      <c r="BB166" s="1594"/>
      <c r="BC166" s="1594"/>
      <c r="BD166" s="1594"/>
      <c r="BE166" s="1594"/>
      <c r="BF166" s="1594"/>
      <c r="BG166" s="1594"/>
      <c r="BH166" s="1594"/>
      <c r="BI166" s="1594"/>
      <c r="BJ166" s="1594"/>
    </row>
    <row r="167" spans="1:62" ht="12.75">
      <c r="A167" s="1594"/>
      <c r="B167" s="1615"/>
      <c r="C167" s="1616"/>
      <c r="D167" s="1616"/>
      <c r="E167" s="1616" t="s">
        <v>47</v>
      </c>
      <c r="F167" s="1704">
        <v>183120</v>
      </c>
      <c r="G167" s="1616" t="s">
        <v>67</v>
      </c>
      <c r="H167" s="1618">
        <v>139181</v>
      </c>
      <c r="I167" s="1616" t="s">
        <v>57</v>
      </c>
      <c r="J167" s="1705">
        <f>F167*H167/1000000</f>
        <v>25486.824720000001</v>
      </c>
      <c r="K167" s="1620">
        <f>J167/J168*K168</f>
        <v>2516.8517722481024</v>
      </c>
      <c r="L167" s="1707">
        <f>J167*Q172/907.1847</f>
        <v>8.4283249221465045E-2</v>
      </c>
      <c r="M167" s="1695">
        <f>J167*R172/907.1847</f>
        <v>1.6856649844293008E-2</v>
      </c>
      <c r="N167" s="1594"/>
      <c r="O167" s="1599" t="s">
        <v>1156</v>
      </c>
      <c r="P167" s="663" t="s">
        <v>1161</v>
      </c>
      <c r="Q167" s="663"/>
      <c r="R167" s="664"/>
      <c r="S167" s="1594"/>
      <c r="T167" s="1594"/>
      <c r="U167" s="1594"/>
      <c r="V167" s="1594"/>
      <c r="W167" s="1594"/>
      <c r="X167" s="1594"/>
      <c r="Y167" s="1594"/>
      <c r="Z167" s="1594"/>
      <c r="AA167" s="1594"/>
      <c r="AB167" s="1594"/>
      <c r="AC167" s="1594"/>
      <c r="AD167" s="1594"/>
      <c r="AE167" s="1594"/>
      <c r="AF167" s="1594"/>
      <c r="AG167" s="1594"/>
      <c r="AH167" s="1594"/>
      <c r="AI167" s="1594"/>
      <c r="AJ167" s="1594"/>
      <c r="AK167" s="1594"/>
      <c r="AL167" s="1594"/>
      <c r="AM167" s="1594"/>
      <c r="AN167" s="1594"/>
      <c r="AO167" s="1594"/>
      <c r="AP167" s="1594"/>
      <c r="AQ167" s="1594"/>
      <c r="AR167" s="1594"/>
      <c r="AS167" s="1594"/>
      <c r="AT167" s="1594"/>
      <c r="AU167" s="1594"/>
      <c r="AV167" s="1594"/>
      <c r="AW167" s="1594"/>
      <c r="AX167" s="1594"/>
      <c r="AY167" s="1594"/>
      <c r="AZ167" s="1594"/>
      <c r="BA167" s="1594"/>
      <c r="BB167" s="1594"/>
      <c r="BC167" s="1594"/>
      <c r="BD167" s="1594"/>
      <c r="BE167" s="1594"/>
      <c r="BF167" s="1594"/>
      <c r="BG167" s="1594"/>
      <c r="BH167" s="1594"/>
      <c r="BI167" s="1594"/>
      <c r="BJ167" s="1594"/>
    </row>
    <row r="168" spans="1:62" ht="15" thickBot="1">
      <c r="A168" s="1594"/>
      <c r="B168" s="1615"/>
      <c r="C168" s="1616"/>
      <c r="D168" s="1616"/>
      <c r="E168" s="1616"/>
      <c r="F168" s="1616"/>
      <c r="G168" s="1616"/>
      <c r="H168" s="1616"/>
      <c r="I168" s="1616"/>
      <c r="J168" s="1699">
        <f>SUM(J166:J167)</f>
        <v>4491990.8337000012</v>
      </c>
      <c r="K168" s="1696">
        <v>443589</v>
      </c>
      <c r="L168" s="1702">
        <f>SUM(L166:L167)</f>
        <v>54.242584209974751</v>
      </c>
      <c r="M168" s="1694">
        <f>SUM(M166:M167)</f>
        <v>7.8944216202058985</v>
      </c>
      <c r="N168" s="1594"/>
      <c r="O168" s="1600"/>
      <c r="P168" s="1601" t="s">
        <v>154</v>
      </c>
      <c r="Q168" s="1601" t="s">
        <v>156</v>
      </c>
      <c r="R168" s="1602" t="s">
        <v>155</v>
      </c>
      <c r="S168" s="1594"/>
      <c r="T168" s="1594"/>
      <c r="U168" s="1594"/>
      <c r="V168" s="1594"/>
      <c r="W168" s="1594"/>
      <c r="X168" s="1594"/>
      <c r="Y168" s="1594"/>
      <c r="Z168" s="1594"/>
      <c r="AA168" s="1594"/>
      <c r="AB168" s="1594"/>
      <c r="AC168" s="1594"/>
      <c r="AD168" s="1594"/>
      <c r="AE168" s="1594"/>
      <c r="AF168" s="1594"/>
      <c r="AG168" s="1594"/>
      <c r="AH168" s="1594"/>
      <c r="AI168" s="1594"/>
      <c r="AJ168" s="1594"/>
      <c r="AK168" s="1594"/>
      <c r="AL168" s="1594"/>
      <c r="AM168" s="1594"/>
      <c r="AN168" s="1594"/>
      <c r="AO168" s="1594"/>
      <c r="AP168" s="1594"/>
      <c r="AQ168" s="1594"/>
      <c r="AR168" s="1594"/>
      <c r="AS168" s="1594"/>
      <c r="AT168" s="1594"/>
      <c r="AU168" s="1594"/>
      <c r="AV168" s="1594"/>
      <c r="AW168" s="1594"/>
      <c r="AX168" s="1594"/>
      <c r="AY168" s="1594"/>
      <c r="AZ168" s="1594"/>
      <c r="BA168" s="1594"/>
      <c r="BB168" s="1594"/>
      <c r="BC168" s="1594"/>
      <c r="BD168" s="1594"/>
      <c r="BE168" s="1594"/>
      <c r="BF168" s="1594"/>
      <c r="BG168" s="1594"/>
      <c r="BH168" s="1594"/>
      <c r="BI168" s="1594"/>
      <c r="BJ168" s="1594"/>
    </row>
    <row r="169" spans="1:62" ht="12.75">
      <c r="A169" s="1594"/>
      <c r="B169" s="1615"/>
      <c r="C169" s="1616"/>
      <c r="D169" s="1616"/>
      <c r="E169" s="1616"/>
      <c r="F169" s="1616"/>
      <c r="G169" s="1616"/>
      <c r="H169" s="1616"/>
      <c r="I169" s="1616"/>
      <c r="J169" s="1616"/>
      <c r="K169" s="1616"/>
      <c r="L169" s="1616"/>
      <c r="M169" s="1624"/>
      <c r="N169" s="1594"/>
      <c r="O169" s="1603" t="s">
        <v>1157</v>
      </c>
      <c r="P169" s="1604">
        <v>93.28</v>
      </c>
      <c r="Q169" s="1605">
        <v>1.0999999999999999E-2</v>
      </c>
      <c r="R169" s="1606">
        <v>1.6000000000000001E-3</v>
      </c>
      <c r="S169" s="1594"/>
      <c r="T169" s="1594"/>
      <c r="U169" s="1594"/>
      <c r="V169" s="1594"/>
      <c r="W169" s="1594"/>
      <c r="X169" s="1594"/>
      <c r="Y169" s="1594"/>
      <c r="Z169" s="1594"/>
      <c r="AA169" s="1594"/>
      <c r="AB169" s="1594"/>
      <c r="AC169" s="1594"/>
      <c r="AD169" s="1594"/>
      <c r="AE169" s="1594"/>
      <c r="AF169" s="1594"/>
      <c r="AG169" s="1594"/>
      <c r="AH169" s="1594"/>
      <c r="AI169" s="1594"/>
      <c r="AJ169" s="1594"/>
      <c r="AK169" s="1594"/>
      <c r="AL169" s="1594"/>
      <c r="AM169" s="1594"/>
      <c r="AN169" s="1594"/>
      <c r="AO169" s="1594"/>
      <c r="AP169" s="1594"/>
      <c r="AQ169" s="1594"/>
      <c r="AR169" s="1594"/>
      <c r="AS169" s="1594"/>
      <c r="AT169" s="1594"/>
      <c r="AU169" s="1594"/>
      <c r="AV169" s="1594"/>
      <c r="AW169" s="1594"/>
      <c r="AX169" s="1594"/>
      <c r="AY169" s="1594"/>
      <c r="AZ169" s="1594"/>
      <c r="BA169" s="1594"/>
      <c r="BB169" s="1594"/>
      <c r="BC169" s="1594"/>
      <c r="BD169" s="1594"/>
      <c r="BE169" s="1594"/>
      <c r="BF169" s="1594"/>
      <c r="BG169" s="1594"/>
      <c r="BH169" s="1594"/>
      <c r="BI169" s="1594"/>
      <c r="BJ169" s="1594"/>
    </row>
    <row r="170" spans="1:62" ht="12.75">
      <c r="A170" s="1594"/>
      <c r="B170" s="1615"/>
      <c r="C170" s="1616" t="s">
        <v>4</v>
      </c>
      <c r="D170" s="1616" t="s">
        <v>5</v>
      </c>
      <c r="E170" s="1616" t="s">
        <v>1102</v>
      </c>
      <c r="F170" s="1704">
        <v>175090</v>
      </c>
      <c r="G170" s="1616" t="s">
        <v>279</v>
      </c>
      <c r="H170" s="1618">
        <v>12882.09</v>
      </c>
      <c r="I170" s="1616" t="s">
        <v>1119</v>
      </c>
      <c r="J170" s="1705">
        <f>F170*H170*2000/1000000</f>
        <v>4511050.2762000002</v>
      </c>
      <c r="K170" s="1620">
        <f>J170/J172*K172</f>
        <v>445470.91911752173</v>
      </c>
      <c r="L170" s="1707">
        <f>J170*Q170/907.1847</f>
        <v>54.698401591428954</v>
      </c>
      <c r="M170" s="1695">
        <f>J170*R170/907.1847</f>
        <v>7.9561311405714852</v>
      </c>
      <c r="N170" s="1594"/>
      <c r="O170" s="1607" t="s">
        <v>1158</v>
      </c>
      <c r="P170" s="673">
        <v>97.14</v>
      </c>
      <c r="Q170" s="1597">
        <v>1.0999999999999999E-2</v>
      </c>
      <c r="R170" s="1608">
        <v>1.6000000000000001E-3</v>
      </c>
      <c r="S170" s="1594"/>
      <c r="T170" s="1594"/>
      <c r="U170" s="1594"/>
      <c r="V170" s="1594"/>
      <c r="W170" s="1594"/>
      <c r="X170" s="1594"/>
      <c r="Y170" s="1594"/>
      <c r="Z170" s="1594"/>
      <c r="AA170" s="1594"/>
      <c r="AB170" s="1594"/>
      <c r="AC170" s="1594"/>
      <c r="AD170" s="1594"/>
      <c r="AE170" s="1594"/>
      <c r="AF170" s="1594"/>
      <c r="AG170" s="1594"/>
      <c r="AH170" s="1594"/>
      <c r="AI170" s="1594"/>
      <c r="AJ170" s="1594"/>
      <c r="AK170" s="1594"/>
      <c r="AL170" s="1594"/>
      <c r="AM170" s="1594"/>
      <c r="AN170" s="1594"/>
      <c r="AO170" s="1594"/>
      <c r="AP170" s="1594"/>
      <c r="AQ170" s="1594"/>
      <c r="AR170" s="1594"/>
      <c r="AS170" s="1594"/>
      <c r="AT170" s="1594"/>
      <c r="AU170" s="1594"/>
      <c r="AV170" s="1594"/>
      <c r="AW170" s="1594"/>
      <c r="AX170" s="1594"/>
      <c r="AY170" s="1594"/>
      <c r="AZ170" s="1594"/>
      <c r="BA170" s="1594"/>
      <c r="BB170" s="1594"/>
      <c r="BC170" s="1594"/>
      <c r="BD170" s="1594"/>
      <c r="BE170" s="1594"/>
      <c r="BF170" s="1594"/>
      <c r="BG170" s="1594"/>
      <c r="BH170" s="1594"/>
      <c r="BI170" s="1594"/>
      <c r="BJ170" s="1594"/>
    </row>
    <row r="171" spans="1:62" ht="12.75">
      <c r="A171" s="1594"/>
      <c r="B171" s="1615"/>
      <c r="C171" s="1616"/>
      <c r="D171" s="1616"/>
      <c r="E171" s="1616" t="s">
        <v>47</v>
      </c>
      <c r="F171" s="1704">
        <v>173460</v>
      </c>
      <c r="G171" s="1616" t="s">
        <v>67</v>
      </c>
      <c r="H171" s="1618">
        <v>139181</v>
      </c>
      <c r="I171" s="1616" t="s">
        <v>57</v>
      </c>
      <c r="J171" s="1705">
        <f>F171*H171/1000000</f>
        <v>24142.33626</v>
      </c>
      <c r="K171" s="1620">
        <f>J171/J172*K172</f>
        <v>2384.0808824782107</v>
      </c>
      <c r="L171" s="1707">
        <f>J171*Q172/907.1847</f>
        <v>7.9837114514828139E-2</v>
      </c>
      <c r="M171" s="1695">
        <f>J171*R172/907.1847</f>
        <v>1.5967422902965624E-2</v>
      </c>
      <c r="N171" s="1594"/>
      <c r="O171" s="1607" t="s">
        <v>1104</v>
      </c>
      <c r="P171" s="673">
        <v>53.06</v>
      </c>
      <c r="Q171" s="1597">
        <v>1E-3</v>
      </c>
      <c r="R171" s="1608">
        <v>1E-4</v>
      </c>
      <c r="S171" s="1594"/>
      <c r="T171" s="1594"/>
      <c r="U171" s="1594"/>
      <c r="V171" s="1594"/>
      <c r="W171" s="1594"/>
      <c r="X171" s="1594"/>
      <c r="Y171" s="1594"/>
      <c r="Z171" s="1594"/>
      <c r="AA171" s="1594"/>
      <c r="AB171" s="1594"/>
      <c r="AC171" s="1594"/>
      <c r="AD171" s="1594"/>
      <c r="AE171" s="1594"/>
      <c r="AF171" s="1594"/>
      <c r="AG171" s="1594"/>
      <c r="AH171" s="1594"/>
      <c r="AI171" s="1594"/>
      <c r="AJ171" s="1594"/>
      <c r="AK171" s="1594"/>
      <c r="AL171" s="1594"/>
      <c r="AM171" s="1594"/>
      <c r="AN171" s="1594"/>
      <c r="AO171" s="1594"/>
      <c r="AP171" s="1594"/>
      <c r="AQ171" s="1594"/>
      <c r="AR171" s="1594"/>
      <c r="AS171" s="1594"/>
      <c r="AT171" s="1594"/>
      <c r="AU171" s="1594"/>
      <c r="AV171" s="1594"/>
      <c r="AW171" s="1594"/>
      <c r="AX171" s="1594"/>
      <c r="AY171" s="1594"/>
      <c r="AZ171" s="1594"/>
      <c r="BA171" s="1594"/>
      <c r="BB171" s="1594"/>
      <c r="BC171" s="1594"/>
      <c r="BD171" s="1594"/>
      <c r="BE171" s="1594"/>
      <c r="BF171" s="1594"/>
      <c r="BG171" s="1594"/>
      <c r="BH171" s="1594"/>
      <c r="BI171" s="1594"/>
      <c r="BJ171" s="1594"/>
    </row>
    <row r="172" spans="1:62" ht="12.75">
      <c r="A172" s="1594"/>
      <c r="B172" s="1615"/>
      <c r="C172" s="1616"/>
      <c r="D172" s="1616"/>
      <c r="E172" s="1616"/>
      <c r="F172" s="1616"/>
      <c r="G172" s="1616"/>
      <c r="H172" s="1616"/>
      <c r="I172" s="1616"/>
      <c r="J172" s="1699">
        <f>SUM(J170:J171)</f>
        <v>4535192.6124600004</v>
      </c>
      <c r="K172" s="1696">
        <v>447855</v>
      </c>
      <c r="L172" s="1702">
        <f>SUM(L170:L171)</f>
        <v>54.778238705943785</v>
      </c>
      <c r="M172" s="1694">
        <f>SUM(M170:M171)</f>
        <v>7.972098563474451</v>
      </c>
      <c r="N172" s="1594"/>
      <c r="O172" s="1607" t="s">
        <v>1159</v>
      </c>
      <c r="P172" s="673">
        <v>73.959999999999994</v>
      </c>
      <c r="Q172" s="1597">
        <v>3.0000000000000001E-3</v>
      </c>
      <c r="R172" s="1608">
        <v>5.9999999999999995E-4</v>
      </c>
      <c r="S172" s="1594"/>
      <c r="T172" s="1594"/>
      <c r="U172" s="1594"/>
      <c r="V172" s="1594"/>
      <c r="W172" s="1594"/>
      <c r="X172" s="1594"/>
      <c r="Y172" s="1594"/>
      <c r="Z172" s="1594"/>
      <c r="AA172" s="1594"/>
      <c r="AB172" s="1594"/>
      <c r="AC172" s="1594"/>
      <c r="AD172" s="1594"/>
      <c r="AE172" s="1594"/>
      <c r="AF172" s="1594"/>
      <c r="AG172" s="1594"/>
      <c r="AH172" s="1594"/>
      <c r="AI172" s="1594"/>
      <c r="AJ172" s="1594"/>
      <c r="AK172" s="1594"/>
      <c r="AL172" s="1594"/>
      <c r="AM172" s="1594"/>
      <c r="AN172" s="1594"/>
      <c r="AO172" s="1594"/>
      <c r="AP172" s="1594"/>
      <c r="AQ172" s="1594"/>
      <c r="AR172" s="1594"/>
      <c r="AS172" s="1594"/>
      <c r="AT172" s="1594"/>
      <c r="AU172" s="1594"/>
      <c r="AV172" s="1594"/>
      <c r="AW172" s="1594"/>
      <c r="AX172" s="1594"/>
      <c r="AY172" s="1594"/>
      <c r="AZ172" s="1594"/>
      <c r="BA172" s="1594"/>
      <c r="BB172" s="1594"/>
      <c r="BC172" s="1594"/>
      <c r="BD172" s="1594"/>
      <c r="BE172" s="1594"/>
      <c r="BF172" s="1594"/>
      <c r="BG172" s="1594"/>
      <c r="BH172" s="1594"/>
      <c r="BI172" s="1594"/>
      <c r="BJ172" s="1594"/>
    </row>
    <row r="173" spans="1:62" ht="12.75">
      <c r="A173" s="1594"/>
      <c r="B173" s="1615"/>
      <c r="C173" s="1616"/>
      <c r="D173" s="1616"/>
      <c r="E173" s="1616"/>
      <c r="F173" s="1616"/>
      <c r="G173" s="1616"/>
      <c r="H173" s="1616"/>
      <c r="I173" s="1616"/>
      <c r="J173" s="1616"/>
      <c r="K173" s="1616"/>
      <c r="L173" s="1616"/>
      <c r="M173" s="1624"/>
      <c r="N173" s="1594"/>
      <c r="O173" s="1607" t="s">
        <v>1160</v>
      </c>
      <c r="P173" s="673">
        <v>75.099999999999994</v>
      </c>
      <c r="Q173" s="1597">
        <v>3.0000000000000001E-3</v>
      </c>
      <c r="R173" s="1608">
        <v>5.9999999999999995E-4</v>
      </c>
      <c r="S173" s="1594"/>
      <c r="T173" s="1594"/>
      <c r="U173" s="1594"/>
      <c r="V173" s="1594"/>
      <c r="W173" s="1594"/>
      <c r="X173" s="1594"/>
      <c r="Y173" s="1594"/>
      <c r="Z173" s="1594"/>
      <c r="AA173" s="1594"/>
      <c r="AB173" s="1594"/>
      <c r="AC173" s="1594"/>
      <c r="AD173" s="1594"/>
      <c r="AE173" s="1594"/>
      <c r="AF173" s="1594"/>
      <c r="AG173" s="1594"/>
      <c r="AH173" s="1594"/>
      <c r="AI173" s="1594"/>
      <c r="AJ173" s="1594"/>
      <c r="AK173" s="1594"/>
      <c r="AL173" s="1594"/>
      <c r="AM173" s="1594"/>
      <c r="AN173" s="1594"/>
      <c r="AO173" s="1594"/>
      <c r="AP173" s="1594"/>
      <c r="AQ173" s="1594"/>
      <c r="AR173" s="1594"/>
      <c r="AS173" s="1594"/>
      <c r="AT173" s="1594"/>
      <c r="AU173" s="1594"/>
      <c r="AV173" s="1594"/>
      <c r="AW173" s="1594"/>
      <c r="AX173" s="1594"/>
      <c r="AY173" s="1594"/>
      <c r="AZ173" s="1594"/>
      <c r="BA173" s="1594"/>
      <c r="BB173" s="1594"/>
      <c r="BC173" s="1594"/>
      <c r="BD173" s="1594"/>
      <c r="BE173" s="1594"/>
      <c r="BF173" s="1594"/>
      <c r="BG173" s="1594"/>
      <c r="BH173" s="1594"/>
      <c r="BI173" s="1594"/>
      <c r="BJ173" s="1594"/>
    </row>
    <row r="174" spans="1:62" ht="12.75">
      <c r="A174" s="1594"/>
      <c r="B174" s="1615"/>
      <c r="C174" s="1616" t="s">
        <v>6</v>
      </c>
      <c r="D174" s="1616" t="s">
        <v>7</v>
      </c>
      <c r="E174" s="1616" t="s">
        <v>1102</v>
      </c>
      <c r="F174" s="1704">
        <v>156270</v>
      </c>
      <c r="G174" s="1616" t="s">
        <v>279</v>
      </c>
      <c r="H174" s="1618">
        <v>12882.09</v>
      </c>
      <c r="I174" s="1616" t="s">
        <v>1119</v>
      </c>
      <c r="J174" s="1705">
        <f>F174*H174*2000/1000000</f>
        <v>4026168.4086000002</v>
      </c>
      <c r="K174" s="1620">
        <f>J174/J176*K176</f>
        <v>397588.45191653183</v>
      </c>
      <c r="L174" s="1707">
        <f>J174*Q170/907.1847</f>
        <v>48.819002893898009</v>
      </c>
      <c r="M174" s="1695">
        <f>J174*R170/907.1847</f>
        <v>7.100945875476075</v>
      </c>
      <c r="N174" s="1594"/>
      <c r="O174" s="1607" t="s">
        <v>909</v>
      </c>
      <c r="P174" s="673">
        <v>75.2</v>
      </c>
      <c r="Q174" s="1597">
        <v>3.0000000000000001E-3</v>
      </c>
      <c r="R174" s="1608">
        <v>5.9999999999999995E-4</v>
      </c>
      <c r="S174" s="1594"/>
      <c r="T174" s="1594"/>
      <c r="U174" s="1594"/>
      <c r="V174" s="1594"/>
      <c r="W174" s="1594"/>
      <c r="X174" s="1594"/>
      <c r="Y174" s="1594"/>
      <c r="Z174" s="1594"/>
      <c r="AA174" s="1594"/>
      <c r="AB174" s="1594"/>
      <c r="AC174" s="1594"/>
      <c r="AD174" s="1594"/>
      <c r="AE174" s="1594"/>
      <c r="AF174" s="1594"/>
      <c r="AG174" s="1594"/>
      <c r="AH174" s="1594"/>
      <c r="AI174" s="1594"/>
      <c r="AJ174" s="1594"/>
      <c r="AK174" s="1594"/>
      <c r="AL174" s="1594"/>
      <c r="AM174" s="1594"/>
      <c r="AN174" s="1594"/>
      <c r="AO174" s="1594"/>
      <c r="AP174" s="1594"/>
      <c r="AQ174" s="1594"/>
      <c r="AR174" s="1594"/>
      <c r="AS174" s="1594"/>
      <c r="AT174" s="1594"/>
      <c r="AU174" s="1594"/>
      <c r="AV174" s="1594"/>
      <c r="AW174" s="1594"/>
      <c r="AX174" s="1594"/>
      <c r="AY174" s="1594"/>
      <c r="AZ174" s="1594"/>
      <c r="BA174" s="1594"/>
      <c r="BB174" s="1594"/>
      <c r="BC174" s="1594"/>
      <c r="BD174" s="1594"/>
      <c r="BE174" s="1594"/>
      <c r="BF174" s="1594"/>
      <c r="BG174" s="1594"/>
      <c r="BH174" s="1594"/>
      <c r="BI174" s="1594"/>
      <c r="BJ174" s="1594"/>
    </row>
    <row r="175" spans="1:62" ht="12.75">
      <c r="A175" s="1594"/>
      <c r="B175" s="1615"/>
      <c r="C175" s="1616"/>
      <c r="D175" s="1616"/>
      <c r="E175" s="1616" t="s">
        <v>47</v>
      </c>
      <c r="F175" s="1704">
        <v>279720</v>
      </c>
      <c r="G175" s="1616" t="s">
        <v>67</v>
      </c>
      <c r="H175" s="1618">
        <v>139181</v>
      </c>
      <c r="I175" s="1616" t="s">
        <v>57</v>
      </c>
      <c r="J175" s="1705">
        <f>F175*H175/1000000</f>
        <v>38931.709320000002</v>
      </c>
      <c r="K175" s="1620">
        <f>J175/J176*K176</f>
        <v>3844.548083468168</v>
      </c>
      <c r="L175" s="1707">
        <f>J175*Q172/907.1847</f>
        <v>0.12874459628783422</v>
      </c>
      <c r="M175" s="1695">
        <f>J175*R172/907.1847</f>
        <v>2.5748919257566841E-2</v>
      </c>
      <c r="N175" s="1594"/>
      <c r="O175" s="1607" t="s">
        <v>794</v>
      </c>
      <c r="P175" s="673">
        <v>62.87</v>
      </c>
      <c r="Q175" s="1597">
        <v>3.0000000000000001E-3</v>
      </c>
      <c r="R175" s="1608">
        <v>5.9999999999999995E-4</v>
      </c>
      <c r="S175" s="1594"/>
      <c r="T175" s="1594"/>
      <c r="U175" s="1594"/>
      <c r="V175" s="1594"/>
      <c r="W175" s="1594"/>
      <c r="X175" s="1594"/>
      <c r="Y175" s="1594"/>
      <c r="Z175" s="1594"/>
      <c r="AA175" s="1594"/>
      <c r="AB175" s="1594"/>
      <c r="AC175" s="1594"/>
      <c r="AD175" s="1594"/>
      <c r="AE175" s="1594"/>
      <c r="AF175" s="1594"/>
      <c r="AG175" s="1594"/>
      <c r="AH175" s="1594"/>
      <c r="AI175" s="1594"/>
      <c r="AJ175" s="1594"/>
      <c r="AK175" s="1594"/>
      <c r="AL175" s="1594"/>
      <c r="AM175" s="1594"/>
      <c r="AN175" s="1594"/>
      <c r="AO175" s="1594"/>
      <c r="AP175" s="1594"/>
      <c r="AQ175" s="1594"/>
      <c r="AR175" s="1594"/>
      <c r="AS175" s="1594"/>
      <c r="AT175" s="1594"/>
      <c r="AU175" s="1594"/>
      <c r="AV175" s="1594"/>
      <c r="AW175" s="1594"/>
      <c r="AX175" s="1594"/>
      <c r="AY175" s="1594"/>
      <c r="AZ175" s="1594"/>
      <c r="BA175" s="1594"/>
      <c r="BB175" s="1594"/>
      <c r="BC175" s="1594"/>
      <c r="BD175" s="1594"/>
      <c r="BE175" s="1594"/>
      <c r="BF175" s="1594"/>
      <c r="BG175" s="1594"/>
      <c r="BH175" s="1594"/>
      <c r="BI175" s="1594"/>
      <c r="BJ175" s="1594"/>
    </row>
    <row r="176" spans="1:62" ht="12.75">
      <c r="A176" s="1594"/>
      <c r="B176" s="1615"/>
      <c r="C176" s="1616"/>
      <c r="D176" s="1616"/>
      <c r="E176" s="1616"/>
      <c r="F176" s="1616"/>
      <c r="G176" s="1616"/>
      <c r="H176" s="1616"/>
      <c r="I176" s="1616"/>
      <c r="J176" s="1699">
        <f>SUM(J174:J175)</f>
        <v>4065100.1179200001</v>
      </c>
      <c r="K176" s="1696">
        <v>401433</v>
      </c>
      <c r="L176" s="1702">
        <f>SUM(L174:L175)</f>
        <v>48.94774749018584</v>
      </c>
      <c r="M176" s="1694">
        <f>SUM(M174:M175)</f>
        <v>7.1266947947336421</v>
      </c>
      <c r="N176" s="1594"/>
      <c r="O176" s="1607" t="s">
        <v>217</v>
      </c>
      <c r="P176" s="673">
        <v>66.88</v>
      </c>
      <c r="Q176" s="1597">
        <v>3.0000000000000001E-3</v>
      </c>
      <c r="R176" s="1608">
        <v>5.9999999999999995E-4</v>
      </c>
      <c r="S176" s="1594"/>
      <c r="T176" s="1594"/>
      <c r="U176" s="1594"/>
      <c r="V176" s="1594"/>
      <c r="W176" s="1594"/>
      <c r="X176" s="1594"/>
      <c r="Y176" s="1594"/>
      <c r="Z176" s="1594"/>
      <c r="AA176" s="1594"/>
      <c r="AB176" s="1594"/>
      <c r="AC176" s="1594"/>
      <c r="AD176" s="1594"/>
      <c r="AE176" s="1594"/>
      <c r="AF176" s="1594"/>
      <c r="AG176" s="1594"/>
      <c r="AH176" s="1594"/>
      <c r="AI176" s="1594"/>
      <c r="AJ176" s="1594"/>
      <c r="AK176" s="1594"/>
      <c r="AL176" s="1594"/>
      <c r="AM176" s="1594"/>
      <c r="AN176" s="1594"/>
      <c r="AO176" s="1594"/>
      <c r="AP176" s="1594"/>
      <c r="AQ176" s="1594"/>
      <c r="AR176" s="1594"/>
      <c r="AS176" s="1594"/>
      <c r="AT176" s="1594"/>
      <c r="AU176" s="1594"/>
      <c r="AV176" s="1594"/>
      <c r="AW176" s="1594"/>
      <c r="AX176" s="1594"/>
      <c r="AY176" s="1594"/>
      <c r="AZ176" s="1594"/>
      <c r="BA176" s="1594"/>
      <c r="BB176" s="1594"/>
      <c r="BC176" s="1594"/>
      <c r="BD176" s="1594"/>
      <c r="BE176" s="1594"/>
      <c r="BF176" s="1594"/>
      <c r="BG176" s="1594"/>
      <c r="BH176" s="1594"/>
      <c r="BI176" s="1594"/>
      <c r="BJ176" s="1594"/>
    </row>
    <row r="177" spans="1:62" ht="13.5" thickBot="1">
      <c r="A177" s="1594"/>
      <c r="B177" s="1615"/>
      <c r="C177" s="1616"/>
      <c r="D177" s="1616"/>
      <c r="E177" s="1616"/>
      <c r="F177" s="1616"/>
      <c r="G177" s="1616"/>
      <c r="H177" s="1616"/>
      <c r="I177" s="1616"/>
      <c r="J177" s="1616"/>
      <c r="K177" s="1616"/>
      <c r="L177" s="1616"/>
      <c r="M177" s="1624"/>
      <c r="N177" s="1594"/>
      <c r="O177" s="1600" t="s">
        <v>1154</v>
      </c>
      <c r="P177" s="1609">
        <v>74</v>
      </c>
      <c r="Q177" s="1610">
        <v>3.0000000000000001E-3</v>
      </c>
      <c r="R177" s="1611">
        <v>5.9999999999999995E-4</v>
      </c>
      <c r="S177" s="1594"/>
      <c r="T177" s="1594"/>
      <c r="U177" s="1594"/>
      <c r="V177" s="1594"/>
      <c r="W177" s="1594"/>
      <c r="X177" s="1594"/>
      <c r="Y177" s="1594"/>
      <c r="Z177" s="1594"/>
      <c r="AA177" s="1594"/>
      <c r="AB177" s="1594"/>
      <c r="AC177" s="1594"/>
      <c r="AD177" s="1594"/>
      <c r="AE177" s="1594"/>
      <c r="AF177" s="1594"/>
      <c r="AG177" s="1594"/>
      <c r="AH177" s="1594"/>
      <c r="AI177" s="1594"/>
      <c r="AJ177" s="1594"/>
      <c r="AK177" s="1594"/>
      <c r="AL177" s="1594"/>
      <c r="AM177" s="1594"/>
      <c r="AN177" s="1594"/>
      <c r="AO177" s="1594"/>
      <c r="AP177" s="1594"/>
      <c r="AQ177" s="1594"/>
      <c r="AR177" s="1594"/>
      <c r="AS177" s="1594"/>
      <c r="AT177" s="1594"/>
      <c r="AU177" s="1594"/>
      <c r="AV177" s="1594"/>
      <c r="AW177" s="1594"/>
      <c r="AX177" s="1594"/>
      <c r="AY177" s="1594"/>
      <c r="AZ177" s="1594"/>
      <c r="BA177" s="1594"/>
      <c r="BB177" s="1594"/>
      <c r="BC177" s="1594"/>
      <c r="BD177" s="1594"/>
      <c r="BE177" s="1594"/>
      <c r="BF177" s="1594"/>
      <c r="BG177" s="1594"/>
      <c r="BH177" s="1594"/>
      <c r="BI177" s="1594"/>
      <c r="BJ177" s="1594"/>
    </row>
    <row r="178" spans="1:62" ht="12.75">
      <c r="A178" s="1594"/>
      <c r="B178" s="1615"/>
      <c r="C178" s="1616" t="s">
        <v>298</v>
      </c>
      <c r="D178" s="1616" t="s">
        <v>743</v>
      </c>
      <c r="E178" s="1616" t="s">
        <v>47</v>
      </c>
      <c r="F178" s="1704">
        <v>55212</v>
      </c>
      <c r="G178" s="1616" t="s">
        <v>67</v>
      </c>
      <c r="H178" s="1618">
        <v>139181</v>
      </c>
      <c r="I178" s="1616" t="s">
        <v>57</v>
      </c>
      <c r="J178" s="1699">
        <f>F178*H178/1000000</f>
        <v>7684.4613719999998</v>
      </c>
      <c r="K178" s="1698">
        <v>626</v>
      </c>
      <c r="L178" s="1702">
        <f>K178*Q172/907.1847</f>
        <v>2.0701407331935825E-3</v>
      </c>
      <c r="M178" s="1680">
        <f>K178*R172/907.1847</f>
        <v>4.1402814663871646E-4</v>
      </c>
      <c r="N178" s="1594"/>
      <c r="O178" s="1594"/>
      <c r="P178" s="1594"/>
      <c r="Q178" s="1594"/>
      <c r="R178" s="1594"/>
      <c r="S178" s="1594"/>
      <c r="T178" s="1594"/>
      <c r="U178" s="1594"/>
      <c r="V178" s="1594"/>
      <c r="W178" s="1594"/>
      <c r="X178" s="1594"/>
      <c r="Y178" s="1594"/>
      <c r="Z178" s="1594"/>
      <c r="AA178" s="1594"/>
      <c r="AB178" s="1594"/>
      <c r="AC178" s="1594"/>
      <c r="AD178" s="1594"/>
      <c r="AE178" s="1594"/>
      <c r="AF178" s="1594"/>
      <c r="AG178" s="1594"/>
      <c r="AH178" s="1594"/>
      <c r="AI178" s="1594"/>
      <c r="AJ178" s="1594"/>
      <c r="AK178" s="1594"/>
      <c r="AL178" s="1594"/>
      <c r="AM178" s="1594"/>
      <c r="AN178" s="1594"/>
      <c r="AO178" s="1594"/>
      <c r="AP178" s="1594"/>
      <c r="AQ178" s="1594"/>
      <c r="AR178" s="1594"/>
      <c r="AS178" s="1594"/>
      <c r="AT178" s="1594"/>
      <c r="AU178" s="1594"/>
      <c r="AV178" s="1594"/>
      <c r="AW178" s="1594"/>
      <c r="AX178" s="1594"/>
      <c r="AY178" s="1594"/>
      <c r="AZ178" s="1594"/>
      <c r="BA178" s="1594"/>
      <c r="BB178" s="1594"/>
      <c r="BC178" s="1594"/>
      <c r="BD178" s="1594"/>
      <c r="BE178" s="1594"/>
      <c r="BF178" s="1594"/>
      <c r="BG178" s="1594"/>
      <c r="BH178" s="1594"/>
      <c r="BI178" s="1594"/>
      <c r="BJ178" s="1594"/>
    </row>
    <row r="179" spans="1:62" ht="13.5" thickBot="1">
      <c r="A179" s="1594"/>
      <c r="B179" s="1615"/>
      <c r="C179" s="1616"/>
      <c r="D179" s="1616"/>
      <c r="E179" s="1616"/>
      <c r="F179" s="1616"/>
      <c r="G179" s="1616"/>
      <c r="H179" s="1616"/>
      <c r="I179" s="1616"/>
      <c r="J179" s="1616"/>
      <c r="K179" s="1616"/>
      <c r="L179" s="1616"/>
      <c r="M179" s="1624"/>
      <c r="N179" s="1594"/>
      <c r="O179" s="1594"/>
      <c r="P179" s="1594"/>
      <c r="Q179" s="1594"/>
      <c r="R179" s="1594"/>
      <c r="S179" s="1594"/>
      <c r="T179" s="1594"/>
      <c r="U179" s="1594"/>
      <c r="V179" s="1594"/>
      <c r="W179" s="1594"/>
      <c r="X179" s="1594"/>
      <c r="Y179" s="1594"/>
      <c r="Z179" s="1594"/>
      <c r="AA179" s="1594"/>
      <c r="AB179" s="1594"/>
      <c r="AC179" s="1594"/>
      <c r="AD179" s="1594"/>
      <c r="AE179" s="1594"/>
      <c r="AF179" s="1594"/>
      <c r="AG179" s="1594"/>
      <c r="AH179" s="1594"/>
      <c r="AI179" s="1594"/>
      <c r="AJ179" s="1594"/>
      <c r="AK179" s="1594"/>
      <c r="AL179" s="1594"/>
      <c r="AM179" s="1594"/>
      <c r="AN179" s="1594"/>
      <c r="AO179" s="1594"/>
      <c r="AP179" s="1594"/>
      <c r="AQ179" s="1594"/>
      <c r="AR179" s="1594"/>
      <c r="AS179" s="1594"/>
      <c r="AT179" s="1594"/>
      <c r="AU179" s="1594"/>
      <c r="AV179" s="1594"/>
      <c r="AW179" s="1594"/>
      <c r="AX179" s="1594"/>
      <c r="AY179" s="1594"/>
      <c r="AZ179" s="1594"/>
      <c r="BA179" s="1594"/>
      <c r="BB179" s="1594"/>
      <c r="BC179" s="1594"/>
      <c r="BD179" s="1594"/>
      <c r="BE179" s="1594"/>
      <c r="BF179" s="1594"/>
      <c r="BG179" s="1594"/>
      <c r="BH179" s="1594"/>
      <c r="BI179" s="1594"/>
      <c r="BJ179" s="1594"/>
    </row>
    <row r="180" spans="1:62" ht="12.75">
      <c r="A180" s="1594"/>
      <c r="B180" s="1660"/>
      <c r="C180" s="1613"/>
      <c r="D180" s="1613"/>
      <c r="E180" s="1613"/>
      <c r="F180" s="1613"/>
      <c r="G180" s="1613"/>
      <c r="H180" s="1613"/>
      <c r="I180" s="1613"/>
      <c r="J180" s="1613"/>
      <c r="K180" s="1613"/>
      <c r="L180" s="1613"/>
      <c r="M180" s="1662"/>
      <c r="N180" s="1594"/>
      <c r="O180" s="1594"/>
      <c r="P180" s="1594"/>
      <c r="Q180" s="1594"/>
      <c r="R180" s="1594"/>
      <c r="S180" s="1594"/>
      <c r="T180" s="1594"/>
      <c r="U180" s="1594"/>
      <c r="V180" s="1594"/>
      <c r="W180" s="1594"/>
      <c r="X180" s="1594"/>
      <c r="Y180" s="1594"/>
      <c r="Z180" s="1594"/>
      <c r="AA180" s="1594"/>
      <c r="AB180" s="1594"/>
      <c r="AC180" s="1594"/>
      <c r="AD180" s="1594"/>
      <c r="AE180" s="1594"/>
      <c r="AF180" s="1594"/>
      <c r="AG180" s="1594"/>
      <c r="AH180" s="1594"/>
      <c r="AI180" s="1594"/>
      <c r="AJ180" s="1594"/>
      <c r="AK180" s="1594"/>
      <c r="AL180" s="1594"/>
      <c r="AM180" s="1594"/>
      <c r="AN180" s="1594"/>
      <c r="AO180" s="1594"/>
      <c r="AP180" s="1594"/>
      <c r="AQ180" s="1594"/>
      <c r="AR180" s="1594"/>
      <c r="AS180" s="1594"/>
      <c r="AT180" s="1594"/>
      <c r="AU180" s="1594"/>
      <c r="AV180" s="1594"/>
      <c r="AW180" s="1594"/>
      <c r="AX180" s="1594"/>
      <c r="AY180" s="1594"/>
      <c r="AZ180" s="1594"/>
      <c r="BA180" s="1594"/>
      <c r="BB180" s="1594"/>
      <c r="BC180" s="1594"/>
      <c r="BD180" s="1594"/>
      <c r="BE180" s="1594"/>
      <c r="BF180" s="1594"/>
      <c r="BG180" s="1594"/>
      <c r="BH180" s="1594"/>
      <c r="BI180" s="1594"/>
      <c r="BJ180" s="1594"/>
    </row>
    <row r="181" spans="1:62" ht="12.75">
      <c r="A181" s="1594"/>
      <c r="B181" s="1615"/>
      <c r="C181" s="1616"/>
      <c r="D181" s="1616"/>
      <c r="E181" s="1616"/>
      <c r="F181" s="1616"/>
      <c r="G181" s="1616"/>
      <c r="H181" s="1616"/>
      <c r="I181" s="1616"/>
      <c r="J181" s="1616"/>
      <c r="K181" s="1616"/>
      <c r="L181" s="1616"/>
      <c r="M181" s="1624"/>
      <c r="N181" s="1594"/>
      <c r="O181" s="1594"/>
      <c r="P181" s="1594"/>
      <c r="Q181" s="1594"/>
      <c r="R181" s="1594"/>
      <c r="S181" s="1594"/>
      <c r="T181" s="1594"/>
      <c r="U181" s="1594"/>
      <c r="V181" s="1594"/>
      <c r="W181" s="1594"/>
      <c r="X181" s="1594"/>
      <c r="Y181" s="1594"/>
      <c r="Z181" s="1594"/>
      <c r="AA181" s="1594"/>
      <c r="AB181" s="1594"/>
      <c r="AC181" s="1594"/>
      <c r="AD181" s="1594"/>
      <c r="AE181" s="1594"/>
      <c r="AF181" s="1594"/>
      <c r="AG181" s="1594"/>
      <c r="AH181" s="1594"/>
      <c r="AI181" s="1594"/>
      <c r="AJ181" s="1594"/>
      <c r="AK181" s="1594"/>
      <c r="AL181" s="1594"/>
      <c r="AM181" s="1594"/>
      <c r="AN181" s="1594"/>
      <c r="AO181" s="1594"/>
      <c r="AP181" s="1594"/>
      <c r="AQ181" s="1594"/>
      <c r="AR181" s="1594"/>
      <c r="AS181" s="1594"/>
      <c r="AT181" s="1594"/>
      <c r="AU181" s="1594"/>
      <c r="AV181" s="1594"/>
      <c r="AW181" s="1594"/>
      <c r="AX181" s="1594"/>
      <c r="AY181" s="1594"/>
      <c r="AZ181" s="1594"/>
      <c r="BA181" s="1594"/>
      <c r="BB181" s="1594"/>
      <c r="BC181" s="1594"/>
      <c r="BD181" s="1594"/>
      <c r="BE181" s="1594"/>
      <c r="BF181" s="1594"/>
      <c r="BG181" s="1594"/>
      <c r="BH181" s="1594"/>
      <c r="BI181" s="1594"/>
      <c r="BJ181" s="1594"/>
    </row>
    <row r="182" spans="1:62" ht="12.75">
      <c r="A182" s="1594"/>
      <c r="B182" s="1615" t="s">
        <v>58</v>
      </c>
      <c r="C182" s="163" t="s">
        <v>59</v>
      </c>
      <c r="D182" s="1616"/>
      <c r="E182" s="1616"/>
      <c r="F182" s="1616"/>
      <c r="G182" s="1616"/>
      <c r="H182" s="1616"/>
      <c r="I182" s="1616"/>
      <c r="J182" s="1616"/>
      <c r="K182" s="1616"/>
      <c r="L182" s="1616"/>
      <c r="M182" s="1624"/>
      <c r="N182" s="1594"/>
      <c r="O182" s="1594"/>
      <c r="P182" s="1594"/>
      <c r="Q182" s="1594"/>
      <c r="R182" s="1594"/>
      <c r="S182" s="1594"/>
      <c r="T182" s="1594"/>
      <c r="U182" s="1594"/>
      <c r="V182" s="1594"/>
      <c r="W182" s="1594"/>
      <c r="X182" s="1594"/>
      <c r="Y182" s="1594"/>
      <c r="Z182" s="1594"/>
      <c r="AA182" s="1594"/>
      <c r="AB182" s="1594"/>
      <c r="AC182" s="1594"/>
      <c r="AD182" s="1594"/>
      <c r="AE182" s="1594"/>
      <c r="AF182" s="1594"/>
      <c r="AG182" s="1594"/>
      <c r="AH182" s="1594"/>
      <c r="AI182" s="1594"/>
      <c r="AJ182" s="1594"/>
      <c r="AK182" s="1594"/>
      <c r="AL182" s="1594"/>
      <c r="AM182" s="1594"/>
      <c r="AN182" s="1594"/>
      <c r="AO182" s="1594"/>
      <c r="AP182" s="1594"/>
      <c r="AQ182" s="1594"/>
      <c r="AR182" s="1594"/>
      <c r="AS182" s="1594"/>
      <c r="AT182" s="1594"/>
      <c r="AU182" s="1594"/>
      <c r="AV182" s="1594"/>
      <c r="AW182" s="1594"/>
      <c r="AX182" s="1594"/>
      <c r="AY182" s="1594"/>
      <c r="AZ182" s="1594"/>
      <c r="BA182" s="1594"/>
      <c r="BB182" s="1594"/>
      <c r="BC182" s="1594"/>
      <c r="BD182" s="1594"/>
      <c r="BE182" s="1594"/>
      <c r="BF182" s="1594"/>
      <c r="BG182" s="1594"/>
      <c r="BH182" s="1594"/>
      <c r="BI182" s="1594"/>
      <c r="BJ182" s="1594"/>
    </row>
    <row r="183" spans="1:62" ht="12.75">
      <c r="A183" s="1594"/>
      <c r="B183" s="1615"/>
      <c r="C183" s="1616" t="s">
        <v>60</v>
      </c>
      <c r="D183" s="1616" t="s">
        <v>747</v>
      </c>
      <c r="E183" s="1616" t="s">
        <v>77</v>
      </c>
      <c r="F183" s="1704">
        <v>79260000</v>
      </c>
      <c r="G183" s="1616" t="s">
        <v>144</v>
      </c>
      <c r="H183" s="1618">
        <v>1046</v>
      </c>
      <c r="I183" s="1616" t="s">
        <v>748</v>
      </c>
      <c r="J183" s="1705">
        <f>F183*H183/1000000</f>
        <v>82905.960000000006</v>
      </c>
      <c r="K183" s="1620">
        <f>J183/J185*K185</f>
        <v>6230.2873118412363</v>
      </c>
      <c r="L183" s="1707">
        <f>J183*Q171/907.1847</f>
        <v>9.1388181480573913E-2</v>
      </c>
      <c r="M183" s="1708">
        <f>J183*R171/907.1847</f>
        <v>9.1388181480573909E-3</v>
      </c>
      <c r="N183" s="1594"/>
      <c r="O183" s="1594"/>
      <c r="P183" s="1594"/>
      <c r="Q183" s="1594"/>
      <c r="R183" s="1594"/>
      <c r="S183" s="1594"/>
      <c r="T183" s="1594"/>
      <c r="U183" s="1594"/>
      <c r="V183" s="1594"/>
      <c r="W183" s="1594"/>
      <c r="X183" s="1594"/>
      <c r="Y183" s="1594"/>
      <c r="Z183" s="1594"/>
      <c r="AA183" s="1594"/>
      <c r="AB183" s="1594"/>
      <c r="AC183" s="1594"/>
      <c r="AD183" s="1594"/>
      <c r="AE183" s="1594"/>
      <c r="AF183" s="1594"/>
      <c r="AG183" s="1594"/>
      <c r="AH183" s="1594"/>
      <c r="AI183" s="1594"/>
      <c r="AJ183" s="1594"/>
      <c r="AK183" s="1594"/>
      <c r="AL183" s="1594"/>
      <c r="AM183" s="1594"/>
      <c r="AN183" s="1594"/>
      <c r="AO183" s="1594"/>
      <c r="AP183" s="1594"/>
      <c r="AQ183" s="1594"/>
      <c r="AR183" s="1594"/>
      <c r="AS183" s="1594"/>
      <c r="AT183" s="1594"/>
      <c r="AU183" s="1594"/>
      <c r="AV183" s="1594"/>
      <c r="AW183" s="1594"/>
      <c r="AX183" s="1594"/>
      <c r="AY183" s="1594"/>
      <c r="AZ183" s="1594"/>
      <c r="BA183" s="1594"/>
      <c r="BB183" s="1594"/>
      <c r="BC183" s="1594"/>
      <c r="BD183" s="1594"/>
      <c r="BE183" s="1594"/>
      <c r="BF183" s="1594"/>
      <c r="BG183" s="1594"/>
      <c r="BH183" s="1594"/>
      <c r="BI183" s="1594"/>
      <c r="BJ183" s="1594"/>
    </row>
    <row r="184" spans="1:62" ht="12.75">
      <c r="A184" s="1594"/>
      <c r="B184" s="1615"/>
      <c r="C184" s="1616"/>
      <c r="D184" s="1616"/>
      <c r="E184" s="1616" t="s">
        <v>47</v>
      </c>
      <c r="F184" s="1704">
        <v>1638420</v>
      </c>
      <c r="G184" s="1616" t="s">
        <v>67</v>
      </c>
      <c r="H184" s="1618">
        <v>139181</v>
      </c>
      <c r="I184" s="1616" t="s">
        <v>57</v>
      </c>
      <c r="J184" s="1705">
        <f>F184*H184/1000000</f>
        <v>228036.93401999999</v>
      </c>
      <c r="K184" s="1620">
        <f>J184/J185*K185</f>
        <v>17136.712688158765</v>
      </c>
      <c r="L184" s="1707">
        <f>J184*Q172/907.1847</f>
        <v>0.75410310828654847</v>
      </c>
      <c r="M184" s="1708">
        <f>J184*R172/907.1847</f>
        <v>0.15082062165730967</v>
      </c>
      <c r="N184" s="1594"/>
      <c r="O184" s="1594"/>
      <c r="P184" s="1594"/>
      <c r="Q184" s="1594"/>
      <c r="R184" s="1594"/>
      <c r="S184" s="1594"/>
      <c r="T184" s="1594"/>
      <c r="U184" s="1594"/>
      <c r="V184" s="1594"/>
      <c r="W184" s="1594"/>
      <c r="X184" s="1594"/>
      <c r="Y184" s="1594"/>
      <c r="Z184" s="1594"/>
      <c r="AA184" s="1594"/>
      <c r="AB184" s="1594"/>
      <c r="AC184" s="1594"/>
      <c r="AD184" s="1594"/>
      <c r="AE184" s="1594"/>
      <c r="AF184" s="1594"/>
      <c r="AG184" s="1594"/>
      <c r="AH184" s="1594"/>
      <c r="AI184" s="1594"/>
      <c r="AJ184" s="1594"/>
      <c r="AK184" s="1594"/>
      <c r="AL184" s="1594"/>
      <c r="AM184" s="1594"/>
      <c r="AN184" s="1594"/>
      <c r="AO184" s="1594"/>
      <c r="AP184" s="1594"/>
      <c r="AQ184" s="1594"/>
      <c r="AR184" s="1594"/>
      <c r="AS184" s="1594"/>
      <c r="AT184" s="1594"/>
      <c r="AU184" s="1594"/>
      <c r="AV184" s="1594"/>
      <c r="AW184" s="1594"/>
      <c r="AX184" s="1594"/>
      <c r="AY184" s="1594"/>
      <c r="AZ184" s="1594"/>
      <c r="BA184" s="1594"/>
      <c r="BB184" s="1594"/>
      <c r="BC184" s="1594"/>
      <c r="BD184" s="1594"/>
      <c r="BE184" s="1594"/>
      <c r="BF184" s="1594"/>
      <c r="BG184" s="1594"/>
      <c r="BH184" s="1594"/>
      <c r="BI184" s="1594"/>
      <c r="BJ184" s="1594"/>
    </row>
    <row r="185" spans="1:62" ht="12.75">
      <c r="A185" s="1594"/>
      <c r="B185" s="1615"/>
      <c r="C185" s="1616"/>
      <c r="D185" s="1616"/>
      <c r="E185" s="1616"/>
      <c r="F185" s="1616"/>
      <c r="G185" s="1616"/>
      <c r="H185" s="1616"/>
      <c r="I185" s="1616"/>
      <c r="J185" s="1699">
        <f>SUM(J183:J184)</f>
        <v>310942.89402000001</v>
      </c>
      <c r="K185" s="1696">
        <v>23367</v>
      </c>
      <c r="L185" s="1702">
        <f>SUM(L183:L184)</f>
        <v>0.8454912897671224</v>
      </c>
      <c r="M185" s="1694">
        <f>SUM(M183:M184)</f>
        <v>0.15995943980536706</v>
      </c>
      <c r="N185" s="1594"/>
      <c r="O185" s="1594"/>
      <c r="P185" s="1594"/>
      <c r="Q185" s="1594"/>
      <c r="R185" s="1594"/>
      <c r="S185" s="1594"/>
      <c r="T185" s="1594"/>
      <c r="U185" s="1594"/>
      <c r="V185" s="1594"/>
      <c r="W185" s="1594"/>
      <c r="X185" s="1594"/>
      <c r="Y185" s="1594"/>
      <c r="Z185" s="1594"/>
      <c r="AA185" s="1594"/>
      <c r="AB185" s="1594"/>
      <c r="AC185" s="1594"/>
      <c r="AD185" s="1594"/>
      <c r="AE185" s="1594"/>
      <c r="AF185" s="1594"/>
      <c r="AG185" s="1594"/>
      <c r="AH185" s="1594"/>
      <c r="AI185" s="1594"/>
      <c r="AJ185" s="1594"/>
      <c r="AK185" s="1594"/>
      <c r="AL185" s="1594"/>
      <c r="AM185" s="1594"/>
      <c r="AN185" s="1594"/>
      <c r="AO185" s="1594"/>
      <c r="AP185" s="1594"/>
      <c r="AQ185" s="1594"/>
      <c r="AR185" s="1594"/>
      <c r="AS185" s="1594"/>
      <c r="AT185" s="1594"/>
      <c r="AU185" s="1594"/>
      <c r="AV185" s="1594"/>
      <c r="AW185" s="1594"/>
      <c r="AX185" s="1594"/>
      <c r="AY185" s="1594"/>
      <c r="AZ185" s="1594"/>
      <c r="BA185" s="1594"/>
      <c r="BB185" s="1594"/>
      <c r="BC185" s="1594"/>
      <c r="BD185" s="1594"/>
      <c r="BE185" s="1594"/>
      <c r="BF185" s="1594"/>
      <c r="BG185" s="1594"/>
      <c r="BH185" s="1594"/>
      <c r="BI185" s="1594"/>
      <c r="BJ185" s="1594"/>
    </row>
    <row r="186" spans="1:62" ht="12.75">
      <c r="A186" s="1594"/>
      <c r="B186" s="1615"/>
      <c r="C186" s="1616"/>
      <c r="D186" s="1616"/>
      <c r="E186" s="1616"/>
      <c r="F186" s="1616"/>
      <c r="G186" s="1616"/>
      <c r="H186" s="1616"/>
      <c r="I186" s="1616"/>
      <c r="J186" s="1616"/>
      <c r="K186" s="1616"/>
      <c r="L186" s="1616"/>
      <c r="M186" s="1624"/>
      <c r="N186" s="1594"/>
      <c r="O186" s="1594"/>
      <c r="P186" s="1594"/>
      <c r="Q186" s="1594"/>
      <c r="R186" s="1594"/>
      <c r="S186" s="1594"/>
      <c r="T186" s="1594"/>
      <c r="U186" s="1594"/>
      <c r="V186" s="1594"/>
      <c r="W186" s="1594"/>
      <c r="X186" s="1594"/>
      <c r="Y186" s="1594"/>
      <c r="Z186" s="1594"/>
      <c r="AA186" s="1594"/>
      <c r="AB186" s="1594"/>
      <c r="AC186" s="1594"/>
      <c r="AD186" s="1594"/>
      <c r="AE186" s="1594"/>
      <c r="AF186" s="1594"/>
      <c r="AG186" s="1594"/>
      <c r="AH186" s="1594"/>
      <c r="AI186" s="1594"/>
      <c r="AJ186" s="1594"/>
      <c r="AK186" s="1594"/>
      <c r="AL186" s="1594"/>
      <c r="AM186" s="1594"/>
      <c r="AN186" s="1594"/>
      <c r="AO186" s="1594"/>
      <c r="AP186" s="1594"/>
      <c r="AQ186" s="1594"/>
      <c r="AR186" s="1594"/>
      <c r="AS186" s="1594"/>
      <c r="AT186" s="1594"/>
      <c r="AU186" s="1594"/>
      <c r="AV186" s="1594"/>
      <c r="AW186" s="1594"/>
      <c r="AX186" s="1594"/>
      <c r="AY186" s="1594"/>
      <c r="AZ186" s="1594"/>
      <c r="BA186" s="1594"/>
      <c r="BB186" s="1594"/>
      <c r="BC186" s="1594"/>
      <c r="BD186" s="1594"/>
      <c r="BE186" s="1594"/>
      <c r="BF186" s="1594"/>
      <c r="BG186" s="1594"/>
      <c r="BH186" s="1594"/>
      <c r="BI186" s="1594"/>
      <c r="BJ186" s="1594"/>
    </row>
    <row r="187" spans="1:62" ht="12.75">
      <c r="A187" s="1594"/>
      <c r="B187" s="1615"/>
      <c r="C187" s="1616"/>
      <c r="D187" s="1616" t="s">
        <v>24</v>
      </c>
      <c r="E187" s="1616" t="s">
        <v>77</v>
      </c>
      <c r="F187" s="1704">
        <v>462230000</v>
      </c>
      <c r="G187" s="1616" t="s">
        <v>144</v>
      </c>
      <c r="H187" s="1618">
        <v>1046</v>
      </c>
      <c r="I187" s="1616" t="s">
        <v>748</v>
      </c>
      <c r="J187" s="1705">
        <f>F187*H187/1000000</f>
        <v>483492.58</v>
      </c>
      <c r="K187" s="1620">
        <f>J187/J189*K189</f>
        <v>31187.329849436726</v>
      </c>
      <c r="L187" s="1707">
        <f>J187*Q171/907.1847</f>
        <v>0.53295936318149983</v>
      </c>
      <c r="M187" s="1708">
        <f>J187*R171/907.1847</f>
        <v>5.3295936318149995E-2</v>
      </c>
      <c r="N187" s="1594"/>
      <c r="O187" s="1594"/>
      <c r="P187" s="1594"/>
      <c r="Q187" s="1594"/>
      <c r="R187" s="1594"/>
      <c r="S187" s="1594"/>
      <c r="T187" s="1594"/>
      <c r="U187" s="1594"/>
      <c r="V187" s="1594"/>
      <c r="W187" s="1594"/>
      <c r="X187" s="1594"/>
      <c r="Y187" s="1594"/>
      <c r="Z187" s="1594"/>
      <c r="AA187" s="1594"/>
      <c r="AB187" s="1594"/>
      <c r="AC187" s="1594"/>
      <c r="AD187" s="1594"/>
      <c r="AE187" s="1594"/>
      <c r="AF187" s="1594"/>
      <c r="AG187" s="1594"/>
      <c r="AH187" s="1594"/>
      <c r="AI187" s="1594"/>
      <c r="AJ187" s="1594"/>
      <c r="AK187" s="1594"/>
      <c r="AL187" s="1594"/>
      <c r="AM187" s="1594"/>
      <c r="AN187" s="1594"/>
      <c r="AO187" s="1594"/>
      <c r="AP187" s="1594"/>
      <c r="AQ187" s="1594"/>
      <c r="AR187" s="1594"/>
      <c r="AS187" s="1594"/>
      <c r="AT187" s="1594"/>
      <c r="AU187" s="1594"/>
      <c r="AV187" s="1594"/>
      <c r="AW187" s="1594"/>
      <c r="AX187" s="1594"/>
      <c r="AY187" s="1594"/>
      <c r="AZ187" s="1594"/>
      <c r="BA187" s="1594"/>
      <c r="BB187" s="1594"/>
      <c r="BC187" s="1594"/>
      <c r="BD187" s="1594"/>
      <c r="BE187" s="1594"/>
      <c r="BF187" s="1594"/>
      <c r="BG187" s="1594"/>
      <c r="BH187" s="1594"/>
      <c r="BI187" s="1594"/>
      <c r="BJ187" s="1594"/>
    </row>
    <row r="188" spans="1:62" ht="12.75">
      <c r="A188" s="1594"/>
      <c r="B188" s="1615"/>
      <c r="C188" s="1616"/>
      <c r="D188" s="1616"/>
      <c r="E188" s="1616" t="s">
        <v>47</v>
      </c>
      <c r="F188" s="1704">
        <v>1167180</v>
      </c>
      <c r="G188" s="1616" t="s">
        <v>67</v>
      </c>
      <c r="H188" s="1618">
        <v>139181</v>
      </c>
      <c r="I188" s="1616" t="s">
        <v>57</v>
      </c>
      <c r="J188" s="1705">
        <f>F188*H188/1000000</f>
        <v>162449.27958</v>
      </c>
      <c r="K188" s="1620">
        <f>J188/J189*K189</f>
        <v>10478.670150563274</v>
      </c>
      <c r="L188" s="1707">
        <f>J188*Q172/907.1847</f>
        <v>0.53720905868452151</v>
      </c>
      <c r="M188" s="1708">
        <f>J188*R172/907.1847</f>
        <v>0.10744181173690427</v>
      </c>
      <c r="N188" s="1594"/>
      <c r="O188" s="1594"/>
      <c r="P188" s="1594"/>
      <c r="Q188" s="1594"/>
      <c r="R188" s="1594"/>
      <c r="S188" s="1594"/>
      <c r="T188" s="1594"/>
      <c r="U188" s="1594"/>
      <c r="V188" s="1594"/>
      <c r="W188" s="1594"/>
      <c r="X188" s="1594"/>
      <c r="Y188" s="1594"/>
      <c r="Z188" s="1594"/>
      <c r="AA188" s="1594"/>
      <c r="AB188" s="1594"/>
      <c r="AC188" s="1594"/>
      <c r="AD188" s="1594"/>
      <c r="AE188" s="1594"/>
      <c r="AF188" s="1594"/>
      <c r="AG188" s="1594"/>
      <c r="AH188" s="1594"/>
      <c r="AI188" s="1594"/>
      <c r="AJ188" s="1594"/>
      <c r="AK188" s="1594"/>
      <c r="AL188" s="1594"/>
      <c r="AM188" s="1594"/>
      <c r="AN188" s="1594"/>
      <c r="AO188" s="1594"/>
      <c r="AP188" s="1594"/>
      <c r="AQ188" s="1594"/>
      <c r="AR188" s="1594"/>
      <c r="AS188" s="1594"/>
      <c r="AT188" s="1594"/>
      <c r="AU188" s="1594"/>
      <c r="AV188" s="1594"/>
      <c r="AW188" s="1594"/>
      <c r="AX188" s="1594"/>
      <c r="AY188" s="1594"/>
      <c r="AZ188" s="1594"/>
      <c r="BA188" s="1594"/>
      <c r="BB188" s="1594"/>
      <c r="BC188" s="1594"/>
      <c r="BD188" s="1594"/>
      <c r="BE188" s="1594"/>
      <c r="BF188" s="1594"/>
      <c r="BG188" s="1594"/>
      <c r="BH188" s="1594"/>
      <c r="BI188" s="1594"/>
      <c r="BJ188" s="1594"/>
    </row>
    <row r="189" spans="1:62" ht="12.75">
      <c r="A189" s="1594"/>
      <c r="B189" s="1615"/>
      <c r="C189" s="1616"/>
      <c r="D189" s="1616"/>
      <c r="E189" s="1616"/>
      <c r="F189" s="1616"/>
      <c r="G189" s="1616"/>
      <c r="H189" s="1616"/>
      <c r="I189" s="1616"/>
      <c r="J189" s="1699">
        <f>SUM(J187:J188)</f>
        <v>645941.85958000005</v>
      </c>
      <c r="K189" s="1700">
        <v>41666</v>
      </c>
      <c r="L189" s="1702">
        <f>SUM(L187:L188)</f>
        <v>1.0701684218660215</v>
      </c>
      <c r="M189" s="1694">
        <f>SUM(M187:M188)</f>
        <v>0.16073774805505425</v>
      </c>
      <c r="N189" s="1594"/>
      <c r="O189" s="1594"/>
      <c r="P189" s="1594"/>
      <c r="Q189" s="1594"/>
      <c r="R189" s="1594"/>
      <c r="S189" s="1594"/>
      <c r="T189" s="1594"/>
      <c r="U189" s="1594"/>
      <c r="V189" s="1594"/>
      <c r="W189" s="1594"/>
      <c r="X189" s="1594"/>
      <c r="Y189" s="1594"/>
      <c r="Z189" s="1594"/>
      <c r="AA189" s="1594"/>
      <c r="AB189" s="1594"/>
      <c r="AC189" s="1594"/>
      <c r="AD189" s="1594"/>
      <c r="AE189" s="1594"/>
      <c r="AF189" s="1594"/>
      <c r="AG189" s="1594"/>
      <c r="AH189" s="1594"/>
      <c r="AI189" s="1594"/>
      <c r="AJ189" s="1594"/>
      <c r="AK189" s="1594"/>
      <c r="AL189" s="1594"/>
      <c r="AM189" s="1594"/>
      <c r="AN189" s="1594"/>
      <c r="AO189" s="1594"/>
      <c r="AP189" s="1594"/>
      <c r="AQ189" s="1594"/>
      <c r="AR189" s="1594"/>
      <c r="AS189" s="1594"/>
      <c r="AT189" s="1594"/>
      <c r="AU189" s="1594"/>
      <c r="AV189" s="1594"/>
      <c r="AW189" s="1594"/>
      <c r="AX189" s="1594"/>
      <c r="AY189" s="1594"/>
      <c r="AZ189" s="1594"/>
      <c r="BA189" s="1594"/>
      <c r="BB189" s="1594"/>
      <c r="BC189" s="1594"/>
      <c r="BD189" s="1594"/>
      <c r="BE189" s="1594"/>
      <c r="BF189" s="1594"/>
      <c r="BG189" s="1594"/>
      <c r="BH189" s="1594"/>
      <c r="BI189" s="1594"/>
      <c r="BJ189" s="1594"/>
    </row>
    <row r="190" spans="1:62" ht="13.5" thickBot="1">
      <c r="A190" s="1594"/>
      <c r="B190" s="1615"/>
      <c r="C190" s="1616"/>
      <c r="D190" s="1616"/>
      <c r="E190" s="1616"/>
      <c r="F190" s="1616"/>
      <c r="G190" s="1616"/>
      <c r="H190" s="1616"/>
      <c r="I190" s="1616"/>
      <c r="J190" s="1616"/>
      <c r="K190" s="1616"/>
      <c r="L190" s="1616"/>
      <c r="M190" s="1624"/>
      <c r="N190" s="1594"/>
      <c r="O190" s="1594"/>
      <c r="P190" s="1594"/>
      <c r="Q190" s="1594"/>
      <c r="R190" s="1594"/>
      <c r="S190" s="1594"/>
      <c r="T190" s="1594"/>
      <c r="U190" s="1594"/>
      <c r="V190" s="1594"/>
      <c r="W190" s="1594"/>
      <c r="X190" s="1594"/>
      <c r="Y190" s="1594"/>
      <c r="Z190" s="1594"/>
      <c r="AA190" s="1594"/>
      <c r="AB190" s="1594"/>
      <c r="AC190" s="1594"/>
      <c r="AD190" s="1594"/>
      <c r="AE190" s="1594"/>
      <c r="AF190" s="1594"/>
      <c r="AG190" s="1594"/>
      <c r="AH190" s="1594"/>
      <c r="AI190" s="1594"/>
      <c r="AJ190" s="1594"/>
      <c r="AK190" s="1594"/>
      <c r="AL190" s="1594"/>
      <c r="AM190" s="1594"/>
      <c r="AN190" s="1594"/>
      <c r="AO190" s="1594"/>
      <c r="AP190" s="1594"/>
      <c r="AQ190" s="1594"/>
      <c r="AR190" s="1594"/>
      <c r="AS190" s="1594"/>
      <c r="AT190" s="1594"/>
      <c r="AU190" s="1594"/>
      <c r="AV190" s="1594"/>
      <c r="AW190" s="1594"/>
      <c r="AX190" s="1594"/>
      <c r="AY190" s="1594"/>
      <c r="AZ190" s="1594"/>
      <c r="BA190" s="1594"/>
      <c r="BB190" s="1594"/>
      <c r="BC190" s="1594"/>
      <c r="BD190" s="1594"/>
      <c r="BE190" s="1594"/>
      <c r="BF190" s="1594"/>
      <c r="BG190" s="1594"/>
      <c r="BH190" s="1594"/>
      <c r="BI190" s="1594"/>
      <c r="BJ190" s="1594"/>
    </row>
    <row r="191" spans="1:62" ht="12.75">
      <c r="A191" s="1594"/>
      <c r="B191" s="1660"/>
      <c r="C191" s="1613"/>
      <c r="D191" s="1613"/>
      <c r="E191" s="1613"/>
      <c r="F191" s="1613"/>
      <c r="G191" s="1613"/>
      <c r="H191" s="1613"/>
      <c r="I191" s="1613"/>
      <c r="J191" s="1613"/>
      <c r="K191" s="1613"/>
      <c r="L191" s="1613"/>
      <c r="M191" s="1662"/>
      <c r="N191" s="1594"/>
      <c r="O191" s="1594"/>
      <c r="P191" s="1594"/>
      <c r="Q191" s="1594"/>
      <c r="R191" s="1594"/>
      <c r="S191" s="1594"/>
      <c r="T191" s="1594"/>
      <c r="U191" s="1594"/>
      <c r="V191" s="1594"/>
      <c r="W191" s="1594"/>
      <c r="X191" s="1594"/>
      <c r="Y191" s="1594"/>
      <c r="Z191" s="1594"/>
      <c r="AA191" s="1594"/>
      <c r="AB191" s="1594"/>
      <c r="AC191" s="1594"/>
      <c r="AD191" s="1594"/>
      <c r="AE191" s="1594"/>
      <c r="AF191" s="1594"/>
      <c r="AG191" s="1594"/>
      <c r="AH191" s="1594"/>
      <c r="AI191" s="1594"/>
      <c r="AJ191" s="1594"/>
      <c r="AK191" s="1594"/>
      <c r="AL191" s="1594"/>
      <c r="AM191" s="1594"/>
      <c r="AN191" s="1594"/>
      <c r="AO191" s="1594"/>
      <c r="AP191" s="1594"/>
      <c r="AQ191" s="1594"/>
      <c r="AR191" s="1594"/>
      <c r="AS191" s="1594"/>
      <c r="AT191" s="1594"/>
      <c r="AU191" s="1594"/>
      <c r="AV191" s="1594"/>
      <c r="AW191" s="1594"/>
      <c r="AX191" s="1594"/>
      <c r="AY191" s="1594"/>
      <c r="AZ191" s="1594"/>
      <c r="BA191" s="1594"/>
      <c r="BB191" s="1594"/>
      <c r="BC191" s="1594"/>
      <c r="BD191" s="1594"/>
      <c r="BE191" s="1594"/>
      <c r="BF191" s="1594"/>
      <c r="BG191" s="1594"/>
      <c r="BH191" s="1594"/>
      <c r="BI191" s="1594"/>
      <c r="BJ191" s="1594"/>
    </row>
    <row r="192" spans="1:62" ht="12.75">
      <c r="A192" s="1594"/>
      <c r="B192" s="1615"/>
      <c r="C192" s="1616"/>
      <c r="D192" s="1616"/>
      <c r="E192" s="1616"/>
      <c r="F192" s="1616"/>
      <c r="G192" s="1616"/>
      <c r="H192" s="1616"/>
      <c r="I192" s="1616"/>
      <c r="J192" s="1616"/>
      <c r="K192" s="1616"/>
      <c r="L192" s="1616"/>
      <c r="M192" s="1624"/>
      <c r="N192" s="1594"/>
      <c r="O192" s="1594"/>
      <c r="P192" s="1594"/>
      <c r="Q192" s="1594"/>
      <c r="R192" s="1594"/>
      <c r="S192" s="1594"/>
      <c r="T192" s="1594"/>
      <c r="U192" s="1594"/>
      <c r="V192" s="1594"/>
      <c r="W192" s="1594"/>
      <c r="X192" s="1594"/>
      <c r="Y192" s="1594"/>
      <c r="Z192" s="1594"/>
      <c r="AA192" s="1594"/>
      <c r="AB192" s="1594"/>
      <c r="AC192" s="1594"/>
      <c r="AD192" s="1594"/>
      <c r="AE192" s="1594"/>
      <c r="AF192" s="1594"/>
      <c r="AG192" s="1594"/>
      <c r="AH192" s="1594"/>
      <c r="AI192" s="1594"/>
      <c r="AJ192" s="1594"/>
      <c r="AK192" s="1594"/>
      <c r="AL192" s="1594"/>
      <c r="AM192" s="1594"/>
      <c r="AN192" s="1594"/>
      <c r="AO192" s="1594"/>
      <c r="AP192" s="1594"/>
      <c r="AQ192" s="1594"/>
      <c r="AR192" s="1594"/>
      <c r="AS192" s="1594"/>
      <c r="AT192" s="1594"/>
      <c r="AU192" s="1594"/>
      <c r="AV192" s="1594"/>
      <c r="AW192" s="1594"/>
      <c r="AX192" s="1594"/>
      <c r="AY192" s="1594"/>
      <c r="AZ192" s="1594"/>
      <c r="BA192" s="1594"/>
      <c r="BB192" s="1594"/>
      <c r="BC192" s="1594"/>
      <c r="BD192" s="1594"/>
      <c r="BE192" s="1594"/>
      <c r="BF192" s="1594"/>
      <c r="BG192" s="1594"/>
      <c r="BH192" s="1594"/>
      <c r="BI192" s="1594"/>
      <c r="BJ192" s="1594"/>
    </row>
    <row r="193" spans="1:62" ht="12.75">
      <c r="A193" s="1594"/>
      <c r="B193" s="1615"/>
      <c r="C193" s="1616"/>
      <c r="D193" s="1616"/>
      <c r="E193" s="1616"/>
      <c r="F193" s="1616"/>
      <c r="G193" s="1616"/>
      <c r="H193" s="1616"/>
      <c r="I193" s="1616"/>
      <c r="J193" s="1616"/>
      <c r="K193" s="1616"/>
      <c r="L193" s="1616"/>
      <c r="M193" s="1624"/>
      <c r="N193" s="1594"/>
      <c r="O193" s="1594"/>
      <c r="P193" s="1594"/>
      <c r="Q193" s="1594"/>
      <c r="R193" s="1594"/>
      <c r="S193" s="1594"/>
      <c r="T193" s="1594"/>
      <c r="U193" s="1594"/>
      <c r="V193" s="1594"/>
      <c r="W193" s="1594"/>
      <c r="X193" s="1594"/>
      <c r="Y193" s="1594"/>
      <c r="Z193" s="1594"/>
      <c r="AA193" s="1594"/>
      <c r="AB193" s="1594"/>
      <c r="AC193" s="1594"/>
      <c r="AD193" s="1594"/>
      <c r="AE193" s="1594"/>
      <c r="AF193" s="1594"/>
      <c r="AG193" s="1594"/>
      <c r="AH193" s="1594"/>
      <c r="AI193" s="1594"/>
      <c r="AJ193" s="1594"/>
      <c r="AK193" s="1594"/>
      <c r="AL193" s="1594"/>
      <c r="AM193" s="1594"/>
      <c r="AN193" s="1594"/>
      <c r="AO193" s="1594"/>
      <c r="AP193" s="1594"/>
      <c r="AQ193" s="1594"/>
      <c r="AR193" s="1594"/>
      <c r="AS193" s="1594"/>
      <c r="AT193" s="1594"/>
      <c r="AU193" s="1594"/>
      <c r="AV193" s="1594"/>
      <c r="AW193" s="1594"/>
      <c r="AX193" s="1594"/>
      <c r="AY193" s="1594"/>
      <c r="AZ193" s="1594"/>
      <c r="BA193" s="1594"/>
      <c r="BB193" s="1594"/>
      <c r="BC193" s="1594"/>
      <c r="BD193" s="1594"/>
      <c r="BE193" s="1594"/>
      <c r="BF193" s="1594"/>
      <c r="BG193" s="1594"/>
      <c r="BH193" s="1594"/>
      <c r="BI193" s="1594"/>
      <c r="BJ193" s="1594"/>
    </row>
    <row r="194" spans="1:62" ht="12.75">
      <c r="A194" s="1594"/>
      <c r="B194" s="1615" t="s">
        <v>8</v>
      </c>
      <c r="C194" s="163" t="s">
        <v>9</v>
      </c>
      <c r="D194" s="1616"/>
      <c r="E194" s="1616"/>
      <c r="F194" s="1616"/>
      <c r="G194" s="1616"/>
      <c r="H194" s="1616"/>
      <c r="I194" s="1616"/>
      <c r="J194" s="1616"/>
      <c r="K194" s="1616"/>
      <c r="L194" s="1616"/>
      <c r="M194" s="1624"/>
      <c r="N194" s="1594"/>
      <c r="O194" s="1594"/>
      <c r="P194" s="1594"/>
      <c r="Q194" s="1594"/>
      <c r="R194" s="1594"/>
      <c r="S194" s="1594"/>
      <c r="T194" s="1594"/>
      <c r="U194" s="1594"/>
      <c r="V194" s="1594"/>
      <c r="W194" s="1594"/>
      <c r="X194" s="1594"/>
      <c r="Y194" s="1594"/>
      <c r="Z194" s="1594"/>
      <c r="AA194" s="1594"/>
      <c r="AB194" s="1594"/>
      <c r="AC194" s="1594"/>
      <c r="AD194" s="1594"/>
      <c r="AE194" s="1594"/>
      <c r="AF194" s="1594"/>
      <c r="AG194" s="1594"/>
      <c r="AH194" s="1594"/>
      <c r="AI194" s="1594"/>
      <c r="AJ194" s="1594"/>
      <c r="AK194" s="1594"/>
      <c r="AL194" s="1594"/>
      <c r="AM194" s="1594"/>
      <c r="AN194" s="1594"/>
      <c r="AO194" s="1594"/>
      <c r="AP194" s="1594"/>
      <c r="AQ194" s="1594"/>
      <c r="AR194" s="1594"/>
      <c r="AS194" s="1594"/>
      <c r="AT194" s="1594"/>
      <c r="AU194" s="1594"/>
      <c r="AV194" s="1594"/>
      <c r="AW194" s="1594"/>
      <c r="AX194" s="1594"/>
      <c r="AY194" s="1594"/>
      <c r="AZ194" s="1594"/>
      <c r="BA194" s="1594"/>
      <c r="BB194" s="1594"/>
      <c r="BC194" s="1594"/>
      <c r="BD194" s="1594"/>
      <c r="BE194" s="1594"/>
      <c r="BF194" s="1594"/>
      <c r="BG194" s="1594"/>
      <c r="BH194" s="1594"/>
      <c r="BI194" s="1594"/>
      <c r="BJ194" s="1594"/>
    </row>
    <row r="195" spans="1:62" ht="12.75">
      <c r="A195" s="1594"/>
      <c r="B195" s="1615"/>
      <c r="C195" s="1616" t="s">
        <v>10</v>
      </c>
      <c r="D195" s="1616" t="s">
        <v>1128</v>
      </c>
      <c r="E195" s="1616" t="s">
        <v>1102</v>
      </c>
      <c r="F195" s="1704">
        <v>1181982</v>
      </c>
      <c r="G195" s="1616" t="s">
        <v>279</v>
      </c>
      <c r="H195" s="1618">
        <v>12975.7</v>
      </c>
      <c r="I195" s="1616" t="s">
        <v>1119</v>
      </c>
      <c r="J195" s="1705">
        <f>F195*H195*2000/1000000</f>
        <v>30674087.674800005</v>
      </c>
      <c r="K195" s="1620">
        <f>J195/J197*K197</f>
        <v>3033463.0443535028</v>
      </c>
      <c r="L195" s="1707">
        <f>J195/J197*L197</f>
        <v>357.83700104466419</v>
      </c>
      <c r="M195" s="1695">
        <f>J195/J197*M197</f>
        <v>52.054650872476991</v>
      </c>
      <c r="N195" s="1594"/>
      <c r="O195" s="1594"/>
      <c r="P195" s="1594"/>
      <c r="Q195" s="1594"/>
      <c r="R195" s="1594"/>
      <c r="S195" s="1594"/>
      <c r="T195" s="1594"/>
      <c r="U195" s="1594"/>
      <c r="V195" s="1594"/>
      <c r="W195" s="1594"/>
      <c r="X195" s="1594"/>
      <c r="Y195" s="1594"/>
      <c r="Z195" s="1594"/>
      <c r="AA195" s="1594"/>
      <c r="AB195" s="1594"/>
      <c r="AC195" s="1594"/>
      <c r="AD195" s="1594"/>
      <c r="AE195" s="1594"/>
      <c r="AF195" s="1594"/>
      <c r="AG195" s="1594"/>
      <c r="AH195" s="1594"/>
      <c r="AI195" s="1594"/>
      <c r="AJ195" s="1594"/>
      <c r="AK195" s="1594"/>
      <c r="AL195" s="1594"/>
      <c r="AM195" s="1594"/>
      <c r="AN195" s="1594"/>
      <c r="AO195" s="1594"/>
      <c r="AP195" s="1594"/>
      <c r="AQ195" s="1594"/>
      <c r="AR195" s="1594"/>
      <c r="AS195" s="1594"/>
      <c r="AT195" s="1594"/>
      <c r="AU195" s="1594"/>
      <c r="AV195" s="1594"/>
      <c r="AW195" s="1594"/>
      <c r="AX195" s="1594"/>
      <c r="AY195" s="1594"/>
      <c r="AZ195" s="1594"/>
      <c r="BA195" s="1594"/>
      <c r="BB195" s="1594"/>
      <c r="BC195" s="1594"/>
      <c r="BD195" s="1594"/>
      <c r="BE195" s="1594"/>
      <c r="BF195" s="1594"/>
      <c r="BG195" s="1594"/>
      <c r="BH195" s="1594"/>
      <c r="BI195" s="1594"/>
      <c r="BJ195" s="1594"/>
    </row>
    <row r="196" spans="1:62" ht="12.75">
      <c r="A196" s="1594"/>
      <c r="B196" s="1615"/>
      <c r="C196" s="1616"/>
      <c r="D196" s="1616"/>
      <c r="E196" s="1616" t="s">
        <v>47</v>
      </c>
      <c r="F196" s="1704">
        <v>150606</v>
      </c>
      <c r="G196" s="1616" t="s">
        <v>67</v>
      </c>
      <c r="H196" s="1618">
        <v>138308.39499999999</v>
      </c>
      <c r="I196" s="1616" t="s">
        <v>57</v>
      </c>
      <c r="J196" s="1705">
        <f>F196*H196/1000000</f>
        <v>20830.07413737</v>
      </c>
      <c r="K196" s="1620">
        <f>J196/J197*K197</f>
        <v>2059.9556464972366</v>
      </c>
      <c r="L196" s="1707">
        <f>J196/J197*L197</f>
        <v>0.24299895533577917</v>
      </c>
      <c r="M196" s="1695">
        <f>J196/J197*M197</f>
        <v>3.5349127523013682E-2</v>
      </c>
      <c r="N196" s="1594"/>
      <c r="O196" s="1594"/>
      <c r="P196" s="1594"/>
      <c r="Q196" s="1594"/>
      <c r="R196" s="1594"/>
      <c r="S196" s="1594"/>
      <c r="T196" s="1594"/>
      <c r="U196" s="1594"/>
      <c r="V196" s="1594"/>
      <c r="W196" s="1594"/>
      <c r="X196" s="1594"/>
      <c r="Y196" s="1594"/>
      <c r="Z196" s="1594"/>
      <c r="AA196" s="1594"/>
      <c r="AB196" s="1594"/>
      <c r="AC196" s="1594"/>
      <c r="AD196" s="1594"/>
      <c r="AE196" s="1594"/>
      <c r="AF196" s="1594"/>
      <c r="AG196" s="1594"/>
      <c r="AH196" s="1594"/>
      <c r="AI196" s="1594"/>
      <c r="AJ196" s="1594"/>
      <c r="AK196" s="1594"/>
      <c r="AL196" s="1594"/>
      <c r="AM196" s="1594"/>
      <c r="AN196" s="1594"/>
      <c r="AO196" s="1594"/>
      <c r="AP196" s="1594"/>
      <c r="AQ196" s="1594"/>
      <c r="AR196" s="1594"/>
      <c r="AS196" s="1594"/>
      <c r="AT196" s="1594"/>
      <c r="AU196" s="1594"/>
      <c r="AV196" s="1594"/>
      <c r="AW196" s="1594"/>
      <c r="AX196" s="1594"/>
      <c r="AY196" s="1594"/>
      <c r="AZ196" s="1594"/>
      <c r="BA196" s="1594"/>
      <c r="BB196" s="1594"/>
      <c r="BC196" s="1594"/>
      <c r="BD196" s="1594"/>
      <c r="BE196" s="1594"/>
      <c r="BF196" s="1594"/>
      <c r="BG196" s="1594"/>
      <c r="BH196" s="1594"/>
      <c r="BI196" s="1594"/>
      <c r="BJ196" s="1594"/>
    </row>
    <row r="197" spans="1:62" ht="12.75">
      <c r="A197" s="1594"/>
      <c r="B197" s="1615"/>
      <c r="C197" s="1616"/>
      <c r="D197" s="1616"/>
      <c r="E197" s="1616"/>
      <c r="F197" s="1616"/>
      <c r="G197" s="1616"/>
      <c r="H197" s="1616"/>
      <c r="I197" s="1616"/>
      <c r="J197" s="1626">
        <f>SUM(J195:J196)</f>
        <v>30694917.748937376</v>
      </c>
      <c r="K197" s="1696">
        <v>3035523</v>
      </c>
      <c r="L197" s="1702">
        <v>358.08</v>
      </c>
      <c r="M197" s="1702">
        <v>52.09</v>
      </c>
      <c r="N197" s="1594"/>
      <c r="O197" s="1594"/>
      <c r="P197" s="1594"/>
      <c r="Q197" s="1594"/>
      <c r="R197" s="1594"/>
      <c r="S197" s="1594"/>
      <c r="T197" s="1594"/>
      <c r="U197" s="1594"/>
      <c r="V197" s="1594"/>
      <c r="W197" s="1594"/>
      <c r="X197" s="1594"/>
      <c r="Y197" s="1594"/>
      <c r="Z197" s="1594"/>
      <c r="AA197" s="1594"/>
      <c r="AB197" s="1594"/>
      <c r="AC197" s="1594"/>
      <c r="AD197" s="1594"/>
      <c r="AE197" s="1594"/>
      <c r="AF197" s="1594"/>
      <c r="AG197" s="1594"/>
      <c r="AH197" s="1594"/>
      <c r="AI197" s="1594"/>
      <c r="AJ197" s="1594"/>
      <c r="AK197" s="1594"/>
      <c r="AL197" s="1594"/>
      <c r="AM197" s="1594"/>
      <c r="AN197" s="1594"/>
      <c r="AO197" s="1594"/>
      <c r="AP197" s="1594"/>
      <c r="AQ197" s="1594"/>
      <c r="AR197" s="1594"/>
      <c r="AS197" s="1594"/>
      <c r="AT197" s="1594"/>
      <c r="AU197" s="1594"/>
      <c r="AV197" s="1594"/>
      <c r="AW197" s="1594"/>
      <c r="AX197" s="1594"/>
      <c r="AY197" s="1594"/>
      <c r="AZ197" s="1594"/>
      <c r="BA197" s="1594"/>
      <c r="BB197" s="1594"/>
      <c r="BC197" s="1594"/>
      <c r="BD197" s="1594"/>
      <c r="BE197" s="1594"/>
      <c r="BF197" s="1594"/>
      <c r="BG197" s="1594"/>
      <c r="BH197" s="1594"/>
      <c r="BI197" s="1594"/>
      <c r="BJ197" s="1594"/>
    </row>
    <row r="198" spans="1:62" ht="12.75">
      <c r="A198" s="1594"/>
      <c r="B198" s="1615"/>
      <c r="C198" s="1616"/>
      <c r="D198" s="1616"/>
      <c r="E198" s="1616"/>
      <c r="F198" s="1616"/>
      <c r="G198" s="1616"/>
      <c r="H198" s="1616"/>
      <c r="I198" s="1616"/>
      <c r="J198" s="1630"/>
      <c r="K198" s="1618"/>
      <c r="L198" s="1616"/>
      <c r="M198" s="1624"/>
      <c r="N198" s="1594"/>
      <c r="O198" s="1594"/>
      <c r="P198" s="1594"/>
      <c r="Q198" s="1594"/>
      <c r="R198" s="1594"/>
      <c r="S198" s="1594"/>
      <c r="T198" s="1594"/>
      <c r="U198" s="1594"/>
      <c r="V198" s="1594"/>
      <c r="W198" s="1594"/>
      <c r="X198" s="1594"/>
      <c r="Y198" s="1594"/>
      <c r="Z198" s="1594"/>
      <c r="AA198" s="1594"/>
      <c r="AB198" s="1594"/>
      <c r="AC198" s="1594"/>
      <c r="AD198" s="1594"/>
      <c r="AE198" s="1594"/>
      <c r="AF198" s="1594"/>
      <c r="AG198" s="1594"/>
      <c r="AH198" s="1594"/>
      <c r="AI198" s="1594"/>
      <c r="AJ198" s="1594"/>
      <c r="AK198" s="1594"/>
      <c r="AL198" s="1594"/>
      <c r="AM198" s="1594"/>
      <c r="AN198" s="1594"/>
      <c r="AO198" s="1594"/>
      <c r="AP198" s="1594"/>
      <c r="AQ198" s="1594"/>
      <c r="AR198" s="1594"/>
      <c r="AS198" s="1594"/>
      <c r="AT198" s="1594"/>
      <c r="AU198" s="1594"/>
      <c r="AV198" s="1594"/>
      <c r="AW198" s="1594"/>
      <c r="AX198" s="1594"/>
      <c r="AY198" s="1594"/>
      <c r="AZ198" s="1594"/>
      <c r="BA198" s="1594"/>
      <c r="BB198" s="1594"/>
      <c r="BC198" s="1594"/>
      <c r="BD198" s="1594"/>
      <c r="BE198" s="1594"/>
      <c r="BF198" s="1594"/>
      <c r="BG198" s="1594"/>
      <c r="BH198" s="1594"/>
      <c r="BI198" s="1594"/>
      <c r="BJ198" s="1594"/>
    </row>
    <row r="199" spans="1:62" ht="12.75">
      <c r="A199" s="1594"/>
      <c r="B199" s="1615"/>
      <c r="C199" s="1616" t="s">
        <v>11</v>
      </c>
      <c r="D199" s="1616" t="s">
        <v>1130</v>
      </c>
      <c r="E199" s="1616" t="s">
        <v>1102</v>
      </c>
      <c r="F199" s="1704">
        <v>1175132</v>
      </c>
      <c r="G199" s="1616" t="s">
        <v>279</v>
      </c>
      <c r="H199" s="1618">
        <v>12975.7</v>
      </c>
      <c r="I199" s="1616" t="s">
        <v>1119</v>
      </c>
      <c r="J199" s="1705">
        <f>F199*H199*2000/1000000</f>
        <v>30496320.584800005</v>
      </c>
      <c r="K199" s="1620">
        <f>J199/J201*K201</f>
        <v>3111761.2303939178</v>
      </c>
      <c r="L199" s="1707">
        <f>J199/J201*L201</f>
        <v>367.43966619338244</v>
      </c>
      <c r="M199" s="1695">
        <f>J199/J201*M201</f>
        <v>53.447768049068678</v>
      </c>
      <c r="N199" s="1594"/>
      <c r="O199" s="1594"/>
      <c r="P199" s="1594"/>
      <c r="Q199" s="1594"/>
      <c r="R199" s="1594"/>
      <c r="S199" s="1594"/>
      <c r="T199" s="1594"/>
      <c r="U199" s="1594"/>
      <c r="V199" s="1594"/>
      <c r="W199" s="1594"/>
      <c r="X199" s="1594"/>
      <c r="Y199" s="1594"/>
      <c r="Z199" s="1594"/>
      <c r="AA199" s="1594"/>
      <c r="AB199" s="1594"/>
      <c r="AC199" s="1594"/>
      <c r="AD199" s="1594"/>
      <c r="AE199" s="1594"/>
      <c r="AF199" s="1594"/>
      <c r="AG199" s="1594"/>
      <c r="AH199" s="1594"/>
      <c r="AI199" s="1594"/>
      <c r="AJ199" s="1594"/>
      <c r="AK199" s="1594"/>
      <c r="AL199" s="1594"/>
      <c r="AM199" s="1594"/>
      <c r="AN199" s="1594"/>
      <c r="AO199" s="1594"/>
      <c r="AP199" s="1594"/>
      <c r="AQ199" s="1594"/>
      <c r="AR199" s="1594"/>
      <c r="AS199" s="1594"/>
      <c r="AT199" s="1594"/>
      <c r="AU199" s="1594"/>
      <c r="AV199" s="1594"/>
      <c r="AW199" s="1594"/>
      <c r="AX199" s="1594"/>
      <c r="AY199" s="1594"/>
      <c r="AZ199" s="1594"/>
      <c r="BA199" s="1594"/>
      <c r="BB199" s="1594"/>
      <c r="BC199" s="1594"/>
      <c r="BD199" s="1594"/>
      <c r="BE199" s="1594"/>
      <c r="BF199" s="1594"/>
      <c r="BG199" s="1594"/>
      <c r="BH199" s="1594"/>
      <c r="BI199" s="1594"/>
      <c r="BJ199" s="1594"/>
    </row>
    <row r="200" spans="1:62" ht="12.75">
      <c r="A200" s="1594"/>
      <c r="B200" s="1615"/>
      <c r="C200" s="1616"/>
      <c r="D200" s="1616"/>
      <c r="E200" s="1616" t="s">
        <v>47</v>
      </c>
      <c r="F200" s="1704">
        <v>174225</v>
      </c>
      <c r="G200" s="1616" t="s">
        <v>67</v>
      </c>
      <c r="H200" s="1618">
        <v>138308.39499999999</v>
      </c>
      <c r="I200" s="1616" t="s">
        <v>57</v>
      </c>
      <c r="J200" s="1705">
        <f>F200*H200/1000000</f>
        <v>24096.780118875002</v>
      </c>
      <c r="K200" s="1620">
        <f>J200/J201*K201</f>
        <v>2458.7696060821008</v>
      </c>
      <c r="L200" s="1707">
        <f>J200/J201*L201</f>
        <v>0.29033380661757069</v>
      </c>
      <c r="M200" s="1695">
        <f>J200/J201*M201</f>
        <v>4.2231950931318783E-2</v>
      </c>
      <c r="N200" s="1594"/>
      <c r="O200" s="1594"/>
      <c r="P200" s="1594"/>
      <c r="Q200" s="1594"/>
      <c r="R200" s="1594"/>
      <c r="S200" s="1594"/>
      <c r="T200" s="1594"/>
      <c r="U200" s="1594"/>
      <c r="V200" s="1594"/>
      <c r="W200" s="1594"/>
      <c r="X200" s="1594"/>
      <c r="Y200" s="1594"/>
      <c r="Z200" s="1594"/>
      <c r="AA200" s="1594"/>
      <c r="AB200" s="1594"/>
      <c r="AC200" s="1594"/>
      <c r="AD200" s="1594"/>
      <c r="AE200" s="1594"/>
      <c r="AF200" s="1594"/>
      <c r="AG200" s="1594"/>
      <c r="AH200" s="1594"/>
      <c r="AI200" s="1594"/>
      <c r="AJ200" s="1594"/>
      <c r="AK200" s="1594"/>
      <c r="AL200" s="1594"/>
      <c r="AM200" s="1594"/>
      <c r="AN200" s="1594"/>
      <c r="AO200" s="1594"/>
      <c r="AP200" s="1594"/>
      <c r="AQ200" s="1594"/>
      <c r="AR200" s="1594"/>
      <c r="AS200" s="1594"/>
      <c r="AT200" s="1594"/>
      <c r="AU200" s="1594"/>
      <c r="AV200" s="1594"/>
      <c r="AW200" s="1594"/>
      <c r="AX200" s="1594"/>
      <c r="AY200" s="1594"/>
      <c r="AZ200" s="1594"/>
      <c r="BA200" s="1594"/>
      <c r="BB200" s="1594"/>
      <c r="BC200" s="1594"/>
      <c r="BD200" s="1594"/>
      <c r="BE200" s="1594"/>
      <c r="BF200" s="1594"/>
      <c r="BG200" s="1594"/>
      <c r="BH200" s="1594"/>
      <c r="BI200" s="1594"/>
      <c r="BJ200" s="1594"/>
    </row>
    <row r="201" spans="1:62" ht="12.75">
      <c r="A201" s="1594"/>
      <c r="B201" s="1615"/>
      <c r="C201" s="1616"/>
      <c r="D201" s="1616"/>
      <c r="E201" s="1616"/>
      <c r="F201" s="1616"/>
      <c r="G201" s="1616"/>
      <c r="H201" s="1616"/>
      <c r="I201" s="1616"/>
      <c r="J201" s="1626">
        <f>SUM(J199:J200)</f>
        <v>30520417.36491888</v>
      </c>
      <c r="K201" s="1696">
        <v>3114220</v>
      </c>
      <c r="L201" s="1702">
        <v>367.73</v>
      </c>
      <c r="M201" s="1703">
        <v>53.49</v>
      </c>
      <c r="N201" s="1594"/>
      <c r="O201" s="1594"/>
      <c r="P201" s="1594"/>
      <c r="Q201" s="1594"/>
      <c r="R201" s="1594"/>
      <c r="S201" s="1594"/>
      <c r="T201" s="1594"/>
      <c r="U201" s="1594"/>
      <c r="V201" s="1594"/>
      <c r="W201" s="1594"/>
      <c r="X201" s="1594"/>
      <c r="Y201" s="1594"/>
      <c r="Z201" s="1594"/>
      <c r="AA201" s="1594"/>
      <c r="AB201" s="1594"/>
      <c r="AC201" s="1594"/>
      <c r="AD201" s="1594"/>
      <c r="AE201" s="1594"/>
      <c r="AF201" s="1594"/>
      <c r="AG201" s="1594"/>
      <c r="AH201" s="1594"/>
      <c r="AI201" s="1594"/>
      <c r="AJ201" s="1594"/>
      <c r="AK201" s="1594"/>
      <c r="AL201" s="1594"/>
      <c r="AM201" s="1594"/>
      <c r="AN201" s="1594"/>
      <c r="AO201" s="1594"/>
      <c r="AP201" s="1594"/>
      <c r="AQ201" s="1594"/>
      <c r="AR201" s="1594"/>
      <c r="AS201" s="1594"/>
      <c r="AT201" s="1594"/>
      <c r="AU201" s="1594"/>
      <c r="AV201" s="1594"/>
      <c r="AW201" s="1594"/>
      <c r="AX201" s="1594"/>
      <c r="AY201" s="1594"/>
      <c r="AZ201" s="1594"/>
      <c r="BA201" s="1594"/>
      <c r="BB201" s="1594"/>
      <c r="BC201" s="1594"/>
      <c r="BD201" s="1594"/>
      <c r="BE201" s="1594"/>
      <c r="BF201" s="1594"/>
      <c r="BG201" s="1594"/>
      <c r="BH201" s="1594"/>
      <c r="BI201" s="1594"/>
      <c r="BJ201" s="1594"/>
    </row>
    <row r="202" spans="1:62" ht="12.75">
      <c r="A202" s="1594"/>
      <c r="B202" s="1615"/>
      <c r="C202" s="1616"/>
      <c r="D202" s="1616"/>
      <c r="E202" s="1616"/>
      <c r="F202" s="1616"/>
      <c r="G202" s="1616"/>
      <c r="H202" s="1616"/>
      <c r="I202" s="1616"/>
      <c r="J202" s="1616"/>
      <c r="K202" s="1616"/>
      <c r="L202" s="1616"/>
      <c r="M202" s="1624"/>
      <c r="N202" s="1594"/>
      <c r="O202" s="1594"/>
      <c r="P202" s="1594"/>
      <c r="Q202" s="1594"/>
      <c r="R202" s="1594"/>
      <c r="S202" s="1594"/>
      <c r="T202" s="1594"/>
      <c r="U202" s="1594"/>
      <c r="V202" s="1594"/>
      <c r="W202" s="1594"/>
      <c r="X202" s="1594"/>
      <c r="Y202" s="1594"/>
      <c r="Z202" s="1594"/>
      <c r="AA202" s="1594"/>
      <c r="AB202" s="1594"/>
      <c r="AC202" s="1594"/>
      <c r="AD202" s="1594"/>
      <c r="AE202" s="1594"/>
      <c r="AF202" s="1594"/>
      <c r="AG202" s="1594"/>
      <c r="AH202" s="1594"/>
      <c r="AI202" s="1594"/>
      <c r="AJ202" s="1594"/>
      <c r="AK202" s="1594"/>
      <c r="AL202" s="1594"/>
      <c r="AM202" s="1594"/>
      <c r="AN202" s="1594"/>
      <c r="AO202" s="1594"/>
      <c r="AP202" s="1594"/>
      <c r="AQ202" s="1594"/>
      <c r="AR202" s="1594"/>
      <c r="AS202" s="1594"/>
      <c r="AT202" s="1594"/>
      <c r="AU202" s="1594"/>
      <c r="AV202" s="1594"/>
      <c r="AW202" s="1594"/>
      <c r="AX202" s="1594"/>
      <c r="AY202" s="1594"/>
      <c r="AZ202" s="1594"/>
      <c r="BA202" s="1594"/>
      <c r="BB202" s="1594"/>
      <c r="BC202" s="1594"/>
      <c r="BD202" s="1594"/>
      <c r="BE202" s="1594"/>
      <c r="BF202" s="1594"/>
      <c r="BG202" s="1594"/>
      <c r="BH202" s="1594"/>
      <c r="BI202" s="1594"/>
      <c r="BJ202" s="1594"/>
    </row>
    <row r="203" spans="1:62" ht="12.75">
      <c r="A203" s="1594"/>
      <c r="B203" s="1615"/>
      <c r="C203" s="1616" t="s">
        <v>299</v>
      </c>
      <c r="D203" s="1616" t="s">
        <v>300</v>
      </c>
      <c r="E203" s="1616" t="s">
        <v>47</v>
      </c>
      <c r="F203" s="1704">
        <v>197104</v>
      </c>
      <c r="G203" s="1616" t="s">
        <v>67</v>
      </c>
      <c r="H203" s="1618">
        <v>138308.39499999999</v>
      </c>
      <c r="I203" s="1616" t="s">
        <v>57</v>
      </c>
      <c r="J203" s="1700">
        <f t="shared" ref="J203:J209" si="0">F203*H203/1000000</f>
        <v>27261.137888079997</v>
      </c>
      <c r="K203" s="1700">
        <v>2223</v>
      </c>
      <c r="L203" s="1698">
        <v>0.09</v>
      </c>
      <c r="M203" s="1698">
        <v>0.02</v>
      </c>
      <c r="N203" s="1594"/>
      <c r="O203" s="1594"/>
      <c r="P203" s="1594"/>
      <c r="Q203" s="1594"/>
      <c r="R203" s="1594"/>
      <c r="S203" s="1594"/>
      <c r="T203" s="1594"/>
      <c r="U203" s="1594"/>
      <c r="V203" s="1594"/>
      <c r="W203" s="1594"/>
      <c r="X203" s="1594"/>
      <c r="Y203" s="1594"/>
      <c r="Z203" s="1594"/>
      <c r="AA203" s="1594"/>
      <c r="AB203" s="1594"/>
      <c r="AC203" s="1594"/>
      <c r="AD203" s="1594"/>
      <c r="AE203" s="1594"/>
      <c r="AF203" s="1594"/>
      <c r="AG203" s="1594"/>
      <c r="AH203" s="1594"/>
      <c r="AI203" s="1594"/>
      <c r="AJ203" s="1594"/>
      <c r="AK203" s="1594"/>
      <c r="AL203" s="1594"/>
      <c r="AM203" s="1594"/>
      <c r="AN203" s="1594"/>
      <c r="AO203" s="1594"/>
      <c r="AP203" s="1594"/>
      <c r="AQ203" s="1594"/>
      <c r="AR203" s="1594"/>
      <c r="AS203" s="1594"/>
      <c r="AT203" s="1594"/>
      <c r="AU203" s="1594"/>
      <c r="AV203" s="1594"/>
      <c r="AW203" s="1594"/>
      <c r="AX203" s="1594"/>
      <c r="AY203" s="1594"/>
      <c r="AZ203" s="1594"/>
      <c r="BA203" s="1594"/>
      <c r="BB203" s="1594"/>
      <c r="BC203" s="1594"/>
      <c r="BD203" s="1594"/>
      <c r="BE203" s="1594"/>
      <c r="BF203" s="1594"/>
      <c r="BG203" s="1594"/>
      <c r="BH203" s="1594"/>
      <c r="BI203" s="1594"/>
      <c r="BJ203" s="1594"/>
    </row>
    <row r="204" spans="1:62" ht="12.75">
      <c r="A204" s="1594"/>
      <c r="B204" s="1615"/>
      <c r="C204" s="1616" t="s">
        <v>301</v>
      </c>
      <c r="D204" s="1616" t="s">
        <v>747</v>
      </c>
      <c r="E204" s="1616" t="s">
        <v>47</v>
      </c>
      <c r="F204" s="1704">
        <v>349049</v>
      </c>
      <c r="G204" s="1616" t="s">
        <v>67</v>
      </c>
      <c r="H204" s="1618">
        <v>138308.39499999999</v>
      </c>
      <c r="I204" s="1616" t="s">
        <v>57</v>
      </c>
      <c r="J204" s="1705">
        <f t="shared" si="0"/>
        <v>48276.406966354996</v>
      </c>
      <c r="K204" s="1700">
        <v>3936</v>
      </c>
      <c r="L204" s="1698">
        <v>0.16</v>
      </c>
      <c r="M204" s="1698">
        <v>0.03</v>
      </c>
      <c r="N204" s="1594"/>
      <c r="O204" s="1594"/>
      <c r="P204" s="1594"/>
      <c r="Q204" s="1594"/>
      <c r="R204" s="1594"/>
      <c r="S204" s="1594"/>
      <c r="T204" s="1594"/>
      <c r="U204" s="1594"/>
      <c r="V204" s="1594"/>
      <c r="W204" s="1594"/>
      <c r="X204" s="1594"/>
      <c r="Y204" s="1594"/>
      <c r="Z204" s="1594"/>
      <c r="AA204" s="1594"/>
      <c r="AB204" s="1594"/>
      <c r="AC204" s="1594"/>
      <c r="AD204" s="1594"/>
      <c r="AE204" s="1594"/>
      <c r="AF204" s="1594"/>
      <c r="AG204" s="1594"/>
      <c r="AH204" s="1594"/>
      <c r="AI204" s="1594"/>
      <c r="AJ204" s="1594"/>
      <c r="AK204" s="1594"/>
      <c r="AL204" s="1594"/>
      <c r="AM204" s="1594"/>
      <c r="AN204" s="1594"/>
      <c r="AO204" s="1594"/>
      <c r="AP204" s="1594"/>
      <c r="AQ204" s="1594"/>
      <c r="AR204" s="1594"/>
      <c r="AS204" s="1594"/>
      <c r="AT204" s="1594"/>
      <c r="AU204" s="1594"/>
      <c r="AV204" s="1594"/>
      <c r="AW204" s="1594"/>
      <c r="AX204" s="1594"/>
      <c r="AY204" s="1594"/>
      <c r="AZ204" s="1594"/>
      <c r="BA204" s="1594"/>
      <c r="BB204" s="1594"/>
      <c r="BC204" s="1594"/>
      <c r="BD204" s="1594"/>
      <c r="BE204" s="1594"/>
      <c r="BF204" s="1594"/>
      <c r="BG204" s="1594"/>
      <c r="BH204" s="1594"/>
      <c r="BI204" s="1594"/>
      <c r="BJ204" s="1594"/>
    </row>
    <row r="205" spans="1:62" ht="12.75">
      <c r="A205" s="1594"/>
      <c r="B205" s="1615"/>
      <c r="C205" s="1616" t="s">
        <v>302</v>
      </c>
      <c r="D205" s="1616" t="s">
        <v>24</v>
      </c>
      <c r="E205" s="1616" t="s">
        <v>47</v>
      </c>
      <c r="F205" s="1704">
        <v>348120</v>
      </c>
      <c r="G205" s="1616" t="s">
        <v>67</v>
      </c>
      <c r="H205" s="1618">
        <v>138308.39499999999</v>
      </c>
      <c r="I205" s="1616" t="s">
        <v>57</v>
      </c>
      <c r="J205" s="1705">
        <f t="shared" si="0"/>
        <v>48147.918467399992</v>
      </c>
      <c r="K205" s="1700">
        <v>3925</v>
      </c>
      <c r="L205" s="1698">
        <v>0.16</v>
      </c>
      <c r="M205" s="1698">
        <v>0.03</v>
      </c>
      <c r="N205" s="1594"/>
      <c r="O205" s="1594"/>
      <c r="P205" s="1594"/>
      <c r="Q205" s="1594"/>
      <c r="R205" s="1594"/>
      <c r="S205" s="1594"/>
      <c r="T205" s="1594"/>
      <c r="U205" s="1594"/>
      <c r="V205" s="1594"/>
      <c r="W205" s="1594"/>
      <c r="X205" s="1594"/>
      <c r="Y205" s="1594"/>
      <c r="Z205" s="1594"/>
      <c r="AA205" s="1594"/>
      <c r="AB205" s="1594"/>
      <c r="AC205" s="1594"/>
      <c r="AD205" s="1594"/>
      <c r="AE205" s="1594"/>
      <c r="AF205" s="1594"/>
      <c r="AG205" s="1594"/>
      <c r="AH205" s="1594"/>
      <c r="AI205" s="1594"/>
      <c r="AJ205" s="1594"/>
      <c r="AK205" s="1594"/>
      <c r="AL205" s="1594"/>
      <c r="AM205" s="1594"/>
      <c r="AN205" s="1594"/>
      <c r="AO205" s="1594"/>
      <c r="AP205" s="1594"/>
      <c r="AQ205" s="1594"/>
      <c r="AR205" s="1594"/>
      <c r="AS205" s="1594"/>
      <c r="AT205" s="1594"/>
      <c r="AU205" s="1594"/>
      <c r="AV205" s="1594"/>
      <c r="AW205" s="1594"/>
      <c r="AX205" s="1594"/>
      <c r="AY205" s="1594"/>
      <c r="AZ205" s="1594"/>
      <c r="BA205" s="1594"/>
      <c r="BB205" s="1594"/>
      <c r="BC205" s="1594"/>
      <c r="BD205" s="1594"/>
      <c r="BE205" s="1594"/>
      <c r="BF205" s="1594"/>
      <c r="BG205" s="1594"/>
      <c r="BH205" s="1594"/>
      <c r="BI205" s="1594"/>
      <c r="BJ205" s="1594"/>
    </row>
    <row r="206" spans="1:62" ht="12.75">
      <c r="A206" s="1594"/>
      <c r="B206" s="1615"/>
      <c r="C206" s="1616" t="s">
        <v>61</v>
      </c>
      <c r="D206" s="1616" t="s">
        <v>749</v>
      </c>
      <c r="E206" s="1616" t="s">
        <v>47</v>
      </c>
      <c r="F206" s="1704">
        <v>971924</v>
      </c>
      <c r="G206" s="1616" t="s">
        <v>67</v>
      </c>
      <c r="H206" s="1618">
        <v>138308.39499999999</v>
      </c>
      <c r="I206" s="1616" t="s">
        <v>57</v>
      </c>
      <c r="J206" s="1705">
        <f t="shared" si="0"/>
        <v>134425.24850198001</v>
      </c>
      <c r="K206" s="1700">
        <v>10345</v>
      </c>
      <c r="L206" s="1698">
        <v>0.43</v>
      </c>
      <c r="M206" s="1698">
        <v>0.09</v>
      </c>
      <c r="N206" s="1594"/>
      <c r="O206" s="1594"/>
      <c r="P206" s="1594"/>
      <c r="Q206" s="1594"/>
      <c r="R206" s="1594"/>
      <c r="S206" s="1594"/>
      <c r="T206" s="1594"/>
      <c r="U206" s="1594"/>
      <c r="V206" s="1594"/>
      <c r="W206" s="1594"/>
      <c r="X206" s="1594"/>
      <c r="Y206" s="1594"/>
      <c r="Z206" s="1594"/>
      <c r="AA206" s="1594"/>
      <c r="AB206" s="1594"/>
      <c r="AC206" s="1594"/>
      <c r="AD206" s="1594"/>
      <c r="AE206" s="1594"/>
      <c r="AF206" s="1594"/>
      <c r="AG206" s="1594"/>
      <c r="AH206" s="1594"/>
      <c r="AI206" s="1594"/>
      <c r="AJ206" s="1594"/>
      <c r="AK206" s="1594"/>
      <c r="AL206" s="1594"/>
      <c r="AM206" s="1594"/>
      <c r="AN206" s="1594"/>
      <c r="AO206" s="1594"/>
      <c r="AP206" s="1594"/>
      <c r="AQ206" s="1594"/>
      <c r="AR206" s="1594"/>
      <c r="AS206" s="1594"/>
      <c r="AT206" s="1594"/>
      <c r="AU206" s="1594"/>
      <c r="AV206" s="1594"/>
      <c r="AW206" s="1594"/>
      <c r="AX206" s="1594"/>
      <c r="AY206" s="1594"/>
      <c r="AZ206" s="1594"/>
      <c r="BA206" s="1594"/>
      <c r="BB206" s="1594"/>
      <c r="BC206" s="1594"/>
      <c r="BD206" s="1594"/>
      <c r="BE206" s="1594"/>
      <c r="BF206" s="1594"/>
      <c r="BG206" s="1594"/>
      <c r="BH206" s="1594"/>
      <c r="BI206" s="1594"/>
      <c r="BJ206" s="1594"/>
    </row>
    <row r="207" spans="1:62" ht="12.75">
      <c r="A207" s="1594"/>
      <c r="B207" s="1615"/>
      <c r="C207" s="1616" t="s">
        <v>303</v>
      </c>
      <c r="D207" s="1616" t="s">
        <v>750</v>
      </c>
      <c r="E207" s="1616" t="s">
        <v>47</v>
      </c>
      <c r="F207" s="1704">
        <v>991621</v>
      </c>
      <c r="G207" s="1616" t="s">
        <v>67</v>
      </c>
      <c r="H207" s="1618">
        <v>138308.39499999999</v>
      </c>
      <c r="I207" s="1616" t="s">
        <v>57</v>
      </c>
      <c r="J207" s="1705">
        <f t="shared" si="0"/>
        <v>137149.50895829499</v>
      </c>
      <c r="K207" s="1700">
        <v>10835</v>
      </c>
      <c r="L207" s="1698">
        <v>0.44</v>
      </c>
      <c r="M207" s="1698">
        <v>0.09</v>
      </c>
      <c r="N207" s="1594"/>
      <c r="O207" s="1594"/>
      <c r="P207" s="1594"/>
      <c r="Q207" s="1594"/>
      <c r="R207" s="1594"/>
      <c r="S207" s="1594"/>
      <c r="T207" s="1594"/>
      <c r="U207" s="1594"/>
      <c r="V207" s="1594"/>
      <c r="W207" s="1594"/>
      <c r="X207" s="1594"/>
      <c r="Y207" s="1594"/>
      <c r="Z207" s="1594"/>
      <c r="AA207" s="1594"/>
      <c r="AB207" s="1594"/>
      <c r="AC207" s="1594"/>
      <c r="AD207" s="1594"/>
      <c r="AE207" s="1594"/>
      <c r="AF207" s="1594"/>
      <c r="AG207" s="1594"/>
      <c r="AH207" s="1594"/>
      <c r="AI207" s="1594"/>
      <c r="AJ207" s="1594"/>
      <c r="AK207" s="1594"/>
      <c r="AL207" s="1594"/>
      <c r="AM207" s="1594"/>
      <c r="AN207" s="1594"/>
      <c r="AO207" s="1594"/>
      <c r="AP207" s="1594"/>
      <c r="AQ207" s="1594"/>
      <c r="AR207" s="1594"/>
      <c r="AS207" s="1594"/>
      <c r="AT207" s="1594"/>
      <c r="AU207" s="1594"/>
      <c r="AV207" s="1594"/>
      <c r="AW207" s="1594"/>
      <c r="AX207" s="1594"/>
      <c r="AY207" s="1594"/>
      <c r="AZ207" s="1594"/>
      <c r="BA207" s="1594"/>
      <c r="BB207" s="1594"/>
      <c r="BC207" s="1594"/>
      <c r="BD207" s="1594"/>
      <c r="BE207" s="1594"/>
      <c r="BF207" s="1594"/>
      <c r="BG207" s="1594"/>
      <c r="BH207" s="1594"/>
      <c r="BI207" s="1594"/>
      <c r="BJ207" s="1594"/>
    </row>
    <row r="208" spans="1:62" ht="12.75">
      <c r="A208" s="1594"/>
      <c r="B208" s="1615"/>
      <c r="C208" s="1616" t="s">
        <v>62</v>
      </c>
      <c r="D208" s="1616" t="s">
        <v>751</v>
      </c>
      <c r="E208" s="1616" t="s">
        <v>47</v>
      </c>
      <c r="F208" s="1704">
        <v>1126646</v>
      </c>
      <c r="G208" s="1616" t="s">
        <v>67</v>
      </c>
      <c r="H208" s="1618">
        <v>138308.39499999999</v>
      </c>
      <c r="I208" s="1616" t="s">
        <v>57</v>
      </c>
      <c r="J208" s="1705">
        <f t="shared" si="0"/>
        <v>155824.59999316998</v>
      </c>
      <c r="K208" s="1700">
        <v>12551</v>
      </c>
      <c r="L208" s="1698">
        <v>0.51</v>
      </c>
      <c r="M208" s="1698">
        <v>0.1</v>
      </c>
      <c r="N208" s="1594"/>
      <c r="O208" s="1594"/>
      <c r="P208" s="1594"/>
      <c r="Q208" s="1594"/>
      <c r="R208" s="1594"/>
      <c r="S208" s="1594"/>
      <c r="T208" s="1594"/>
      <c r="U208" s="1594"/>
      <c r="V208" s="1594"/>
      <c r="W208" s="1594"/>
      <c r="X208" s="1594"/>
      <c r="Y208" s="1594"/>
      <c r="Z208" s="1594"/>
      <c r="AA208" s="1594"/>
      <c r="AB208" s="1594"/>
      <c r="AC208" s="1594"/>
      <c r="AD208" s="1594"/>
      <c r="AE208" s="1594"/>
      <c r="AF208" s="1594"/>
      <c r="AG208" s="1594"/>
      <c r="AH208" s="1594"/>
      <c r="AI208" s="1594"/>
      <c r="AJ208" s="1594"/>
      <c r="AK208" s="1594"/>
      <c r="AL208" s="1594"/>
      <c r="AM208" s="1594"/>
      <c r="AN208" s="1594"/>
      <c r="AO208" s="1594"/>
      <c r="AP208" s="1594"/>
      <c r="AQ208" s="1594"/>
      <c r="AR208" s="1594"/>
      <c r="AS208" s="1594"/>
      <c r="AT208" s="1594"/>
      <c r="AU208" s="1594"/>
      <c r="AV208" s="1594"/>
      <c r="AW208" s="1594"/>
      <c r="AX208" s="1594"/>
      <c r="AY208" s="1594"/>
      <c r="AZ208" s="1594"/>
      <c r="BA208" s="1594"/>
      <c r="BB208" s="1594"/>
      <c r="BC208" s="1594"/>
      <c r="BD208" s="1594"/>
      <c r="BE208" s="1594"/>
      <c r="BF208" s="1594"/>
      <c r="BG208" s="1594"/>
      <c r="BH208" s="1594"/>
      <c r="BI208" s="1594"/>
      <c r="BJ208" s="1594"/>
    </row>
    <row r="209" spans="1:62" ht="12.75">
      <c r="A209" s="1594"/>
      <c r="B209" s="1615"/>
      <c r="C209" s="1616" t="s">
        <v>63</v>
      </c>
      <c r="D209" s="1616" t="s">
        <v>752</v>
      </c>
      <c r="E209" s="1616" t="s">
        <v>47</v>
      </c>
      <c r="F209" s="1704">
        <v>891165</v>
      </c>
      <c r="G209" s="1616" t="s">
        <v>67</v>
      </c>
      <c r="H209" s="1618">
        <v>138308.39499999999</v>
      </c>
      <c r="I209" s="1616" t="s">
        <v>57</v>
      </c>
      <c r="J209" s="1705">
        <f t="shared" si="0"/>
        <v>123255.60083017498</v>
      </c>
      <c r="K209" s="1700">
        <v>9425.2999999999993</v>
      </c>
      <c r="L209" s="1698">
        <v>0.38</v>
      </c>
      <c r="M209" s="1698">
        <v>0.08</v>
      </c>
      <c r="N209" s="1594"/>
      <c r="O209" s="1594"/>
      <c r="P209" s="1594"/>
      <c r="Q209" s="1594"/>
      <c r="R209" s="1594"/>
      <c r="S209" s="1594"/>
      <c r="T209" s="1594"/>
      <c r="U209" s="1594"/>
      <c r="V209" s="1594"/>
      <c r="W209" s="1594"/>
      <c r="X209" s="1594"/>
      <c r="Y209" s="1594"/>
      <c r="Z209" s="1594"/>
      <c r="AA209" s="1594"/>
      <c r="AB209" s="1594"/>
      <c r="AC209" s="1594"/>
      <c r="AD209" s="1594"/>
      <c r="AE209" s="1594"/>
      <c r="AF209" s="1594"/>
      <c r="AG209" s="1594"/>
      <c r="AH209" s="1594"/>
      <c r="AI209" s="1594"/>
      <c r="AJ209" s="1594"/>
      <c r="AK209" s="1594"/>
      <c r="AL209" s="1594"/>
      <c r="AM209" s="1594"/>
      <c r="AN209" s="1594"/>
      <c r="AO209" s="1594"/>
      <c r="AP209" s="1594"/>
      <c r="AQ209" s="1594"/>
      <c r="AR209" s="1594"/>
      <c r="AS209" s="1594"/>
      <c r="AT209" s="1594"/>
      <c r="AU209" s="1594"/>
      <c r="AV209" s="1594"/>
      <c r="AW209" s="1594"/>
      <c r="AX209" s="1594"/>
      <c r="AY209" s="1594"/>
      <c r="AZ209" s="1594"/>
      <c r="BA209" s="1594"/>
      <c r="BB209" s="1594"/>
      <c r="BC209" s="1594"/>
      <c r="BD209" s="1594"/>
      <c r="BE209" s="1594"/>
      <c r="BF209" s="1594"/>
      <c r="BG209" s="1594"/>
      <c r="BH209" s="1594"/>
      <c r="BI209" s="1594"/>
      <c r="BJ209" s="1594"/>
    </row>
    <row r="210" spans="1:62" ht="13.5" thickBot="1">
      <c r="A210" s="1594"/>
      <c r="B210" s="1615"/>
      <c r="C210" s="1616"/>
      <c r="D210" s="1616"/>
      <c r="E210" s="1616"/>
      <c r="F210" s="1616"/>
      <c r="G210" s="1616"/>
      <c r="H210" s="1616"/>
      <c r="I210" s="1616"/>
      <c r="J210" s="1616"/>
      <c r="K210" s="1616"/>
      <c r="L210" s="1616"/>
      <c r="M210" s="1624"/>
      <c r="N210" s="1594"/>
      <c r="O210" s="1594"/>
      <c r="P210" s="1594"/>
      <c r="Q210" s="1594"/>
      <c r="R210" s="1594"/>
      <c r="S210" s="1594"/>
      <c r="T210" s="1594"/>
      <c r="U210" s="1594"/>
      <c r="V210" s="1594"/>
      <c r="W210" s="1594"/>
      <c r="X210" s="1594"/>
      <c r="Y210" s="1594"/>
      <c r="Z210" s="1594"/>
      <c r="AA210" s="1594"/>
      <c r="AB210" s="1594"/>
      <c r="AC210" s="1594"/>
      <c r="AD210" s="1594"/>
      <c r="AE210" s="1594"/>
      <c r="AF210" s="1594"/>
      <c r="AG210" s="1594"/>
      <c r="AH210" s="1594"/>
      <c r="AI210" s="1594"/>
      <c r="AJ210" s="1594"/>
      <c r="AK210" s="1594"/>
      <c r="AL210" s="1594"/>
      <c r="AM210" s="1594"/>
      <c r="AN210" s="1594"/>
      <c r="AO210" s="1594"/>
      <c r="AP210" s="1594"/>
      <c r="AQ210" s="1594"/>
      <c r="AR210" s="1594"/>
      <c r="AS210" s="1594"/>
      <c r="AT210" s="1594"/>
      <c r="AU210" s="1594"/>
      <c r="AV210" s="1594"/>
      <c r="AW210" s="1594"/>
      <c r="AX210" s="1594"/>
      <c r="AY210" s="1594"/>
      <c r="AZ210" s="1594"/>
      <c r="BA210" s="1594"/>
      <c r="BB210" s="1594"/>
      <c r="BC210" s="1594"/>
      <c r="BD210" s="1594"/>
      <c r="BE210" s="1594"/>
      <c r="BF210" s="1594"/>
      <c r="BG210" s="1594"/>
      <c r="BH210" s="1594"/>
      <c r="BI210" s="1594"/>
      <c r="BJ210" s="1594"/>
    </row>
    <row r="211" spans="1:62" ht="12.75">
      <c r="A211" s="1594"/>
      <c r="B211" s="1660"/>
      <c r="C211" s="1613"/>
      <c r="D211" s="1613"/>
      <c r="E211" s="1613"/>
      <c r="F211" s="1613"/>
      <c r="G211" s="1613"/>
      <c r="H211" s="1613"/>
      <c r="I211" s="1613"/>
      <c r="J211" s="1613"/>
      <c r="K211" s="1613"/>
      <c r="L211" s="1613"/>
      <c r="M211" s="1662"/>
      <c r="N211" s="1594"/>
      <c r="O211" s="1594"/>
      <c r="P211" s="1594"/>
      <c r="Q211" s="1594"/>
      <c r="R211" s="1594"/>
      <c r="S211" s="1594"/>
      <c r="T211" s="1594"/>
      <c r="U211" s="1594"/>
      <c r="V211" s="1594"/>
      <c r="W211" s="1594"/>
      <c r="X211" s="1594"/>
      <c r="Y211" s="1594"/>
      <c r="Z211" s="1594"/>
      <c r="AA211" s="1594"/>
      <c r="AB211" s="1594"/>
      <c r="AC211" s="1594"/>
      <c r="AD211" s="1594"/>
      <c r="AE211" s="1594"/>
      <c r="AF211" s="1594"/>
      <c r="AG211" s="1594"/>
      <c r="AH211" s="1594"/>
      <c r="AI211" s="1594"/>
      <c r="AJ211" s="1594"/>
      <c r="AK211" s="1594"/>
      <c r="AL211" s="1594"/>
      <c r="AM211" s="1594"/>
      <c r="AN211" s="1594"/>
      <c r="AO211" s="1594"/>
      <c r="AP211" s="1594"/>
      <c r="AQ211" s="1594"/>
      <c r="AR211" s="1594"/>
      <c r="AS211" s="1594"/>
      <c r="AT211" s="1594"/>
      <c r="AU211" s="1594"/>
      <c r="AV211" s="1594"/>
      <c r="AW211" s="1594"/>
      <c r="AX211" s="1594"/>
      <c r="AY211" s="1594"/>
      <c r="AZ211" s="1594"/>
      <c r="BA211" s="1594"/>
      <c r="BB211" s="1594"/>
      <c r="BC211" s="1594"/>
      <c r="BD211" s="1594"/>
      <c r="BE211" s="1594"/>
      <c r="BF211" s="1594"/>
      <c r="BG211" s="1594"/>
      <c r="BH211" s="1594"/>
      <c r="BI211" s="1594"/>
      <c r="BJ211" s="1594"/>
    </row>
    <row r="212" spans="1:62" ht="12.75">
      <c r="A212" s="1594"/>
      <c r="B212" s="1615"/>
      <c r="C212" s="1616"/>
      <c r="D212" s="1616"/>
      <c r="E212" s="1616"/>
      <c r="F212" s="1616"/>
      <c r="G212" s="1616"/>
      <c r="H212" s="1616"/>
      <c r="I212" s="1616"/>
      <c r="J212" s="1616"/>
      <c r="K212" s="1616"/>
      <c r="L212" s="1616"/>
      <c r="M212" s="1624"/>
      <c r="N212" s="1594"/>
      <c r="O212" s="1594"/>
      <c r="P212" s="1594"/>
      <c r="Q212" s="1594"/>
      <c r="R212" s="1594"/>
      <c r="S212" s="1594"/>
      <c r="T212" s="1594"/>
      <c r="U212" s="1594"/>
      <c r="V212" s="1594"/>
      <c r="W212" s="1594"/>
      <c r="X212" s="1594"/>
      <c r="Y212" s="1594"/>
      <c r="Z212" s="1594"/>
      <c r="AA212" s="1594"/>
      <c r="AB212" s="1594"/>
      <c r="AC212" s="1594"/>
      <c r="AD212" s="1594"/>
      <c r="AE212" s="1594"/>
      <c r="AF212" s="1594"/>
      <c r="AG212" s="1594"/>
      <c r="AH212" s="1594"/>
      <c r="AI212" s="1594"/>
      <c r="AJ212" s="1594"/>
      <c r="AK212" s="1594"/>
      <c r="AL212" s="1594"/>
      <c r="AM212" s="1594"/>
      <c r="AN212" s="1594"/>
      <c r="AO212" s="1594"/>
      <c r="AP212" s="1594"/>
      <c r="AQ212" s="1594"/>
      <c r="AR212" s="1594"/>
      <c r="AS212" s="1594"/>
      <c r="AT212" s="1594"/>
      <c r="AU212" s="1594"/>
      <c r="AV212" s="1594"/>
      <c r="AW212" s="1594"/>
      <c r="AX212" s="1594"/>
      <c r="AY212" s="1594"/>
      <c r="AZ212" s="1594"/>
      <c r="BA212" s="1594"/>
      <c r="BB212" s="1594"/>
      <c r="BC212" s="1594"/>
      <c r="BD212" s="1594"/>
      <c r="BE212" s="1594"/>
      <c r="BF212" s="1594"/>
      <c r="BG212" s="1594"/>
      <c r="BH212" s="1594"/>
      <c r="BI212" s="1594"/>
      <c r="BJ212" s="1594"/>
    </row>
    <row r="213" spans="1:62" ht="12.75">
      <c r="A213" s="1594"/>
      <c r="B213" s="1615" t="s">
        <v>87</v>
      </c>
      <c r="C213" s="163" t="s">
        <v>88</v>
      </c>
      <c r="D213" s="1616"/>
      <c r="E213" s="1616"/>
      <c r="F213" s="1616"/>
      <c r="G213" s="1616"/>
      <c r="H213" s="1616"/>
      <c r="I213" s="1616"/>
      <c r="J213" s="1616"/>
      <c r="K213" s="1616"/>
      <c r="L213" s="1616"/>
      <c r="M213" s="1624"/>
      <c r="N213" s="1594"/>
      <c r="O213" s="1594"/>
      <c r="P213" s="1594"/>
      <c r="Q213" s="1594"/>
      <c r="R213" s="1594"/>
      <c r="S213" s="1594"/>
      <c r="T213" s="1594"/>
      <c r="U213" s="1594"/>
      <c r="V213" s="1594"/>
      <c r="W213" s="1594"/>
      <c r="X213" s="1594"/>
      <c r="Y213" s="1594"/>
      <c r="Z213" s="1594"/>
      <c r="AA213" s="1594"/>
      <c r="AB213" s="1594"/>
      <c r="AC213" s="1594"/>
      <c r="AD213" s="1594"/>
      <c r="AE213" s="1594"/>
      <c r="AF213" s="1594"/>
      <c r="AG213" s="1594"/>
      <c r="AH213" s="1594"/>
      <c r="AI213" s="1594"/>
      <c r="AJ213" s="1594"/>
      <c r="AK213" s="1594"/>
      <c r="AL213" s="1594"/>
      <c r="AM213" s="1594"/>
      <c r="AN213" s="1594"/>
      <c r="AO213" s="1594"/>
      <c r="AP213" s="1594"/>
      <c r="AQ213" s="1594"/>
      <c r="AR213" s="1594"/>
      <c r="AS213" s="1594"/>
      <c r="AT213" s="1594"/>
      <c r="AU213" s="1594"/>
      <c r="AV213" s="1594"/>
      <c r="AW213" s="1594"/>
      <c r="AX213" s="1594"/>
      <c r="AY213" s="1594"/>
      <c r="AZ213" s="1594"/>
      <c r="BA213" s="1594"/>
      <c r="BB213" s="1594"/>
      <c r="BC213" s="1594"/>
      <c r="BD213" s="1594"/>
      <c r="BE213" s="1594"/>
      <c r="BF213" s="1594"/>
      <c r="BG213" s="1594"/>
      <c r="BH213" s="1594"/>
      <c r="BI213" s="1594"/>
      <c r="BJ213" s="1594"/>
    </row>
    <row r="214" spans="1:62" ht="12.75">
      <c r="A214" s="1594"/>
      <c r="B214" s="1615"/>
      <c r="C214" s="1616" t="s">
        <v>89</v>
      </c>
      <c r="D214" s="1616" t="s">
        <v>1128</v>
      </c>
      <c r="E214" s="1616" t="s">
        <v>1104</v>
      </c>
      <c r="F214" s="1704">
        <f>J214/H214</f>
        <v>3780080.4597701146</v>
      </c>
      <c r="G214" s="1616" t="s">
        <v>144</v>
      </c>
      <c r="H214" s="1616">
        <v>1.044</v>
      </c>
      <c r="I214" s="1616" t="s">
        <v>753</v>
      </c>
      <c r="J214" s="1705">
        <v>3946404</v>
      </c>
      <c r="K214" s="1620">
        <f>(J214/(J214+J215))*K216</f>
        <v>234662.13383203789</v>
      </c>
      <c r="L214" s="1707">
        <f>(K214/(K214+K215))*L216</f>
        <v>16.97317515048799</v>
      </c>
      <c r="M214" s="1695">
        <f>(L214/(L214+L215))*M216</f>
        <v>5.8906901992870084</v>
      </c>
      <c r="N214" s="1594"/>
      <c r="O214" s="1594"/>
      <c r="P214" s="1594"/>
      <c r="Q214" s="1594"/>
      <c r="R214" s="1594"/>
      <c r="S214" s="1594"/>
      <c r="T214" s="1594"/>
      <c r="U214" s="1594"/>
      <c r="V214" s="1594"/>
      <c r="W214" s="1594"/>
      <c r="X214" s="1594"/>
      <c r="Y214" s="1594"/>
      <c r="Z214" s="1594"/>
      <c r="AA214" s="1594"/>
      <c r="AB214" s="1594"/>
      <c r="AC214" s="1594"/>
      <c r="AD214" s="1594"/>
      <c r="AE214" s="1594"/>
      <c r="AF214" s="1594"/>
      <c r="AG214" s="1594"/>
      <c r="AH214" s="1594"/>
      <c r="AI214" s="1594"/>
      <c r="AJ214" s="1594"/>
      <c r="AK214" s="1594"/>
      <c r="AL214" s="1594"/>
      <c r="AM214" s="1594"/>
      <c r="AN214" s="1594"/>
      <c r="AO214" s="1594"/>
      <c r="AP214" s="1594"/>
      <c r="AQ214" s="1594"/>
      <c r="AR214" s="1594"/>
      <c r="AS214" s="1594"/>
      <c r="AT214" s="1594"/>
      <c r="AU214" s="1594"/>
      <c r="AV214" s="1594"/>
      <c r="AW214" s="1594"/>
      <c r="AX214" s="1594"/>
      <c r="AY214" s="1594"/>
      <c r="AZ214" s="1594"/>
      <c r="BA214" s="1594"/>
      <c r="BB214" s="1594"/>
      <c r="BC214" s="1594"/>
      <c r="BD214" s="1594"/>
      <c r="BE214" s="1594"/>
      <c r="BF214" s="1594"/>
      <c r="BG214" s="1594"/>
      <c r="BH214" s="1594"/>
      <c r="BI214" s="1594"/>
      <c r="BJ214" s="1594"/>
    </row>
    <row r="215" spans="1:62" ht="12.75">
      <c r="A215" s="1594"/>
      <c r="B215" s="1615"/>
      <c r="C215" s="1616"/>
      <c r="D215" s="1616"/>
      <c r="E215" s="1616" t="s">
        <v>304</v>
      </c>
      <c r="F215" s="1705">
        <f>(J215/H215)*1000000</f>
        <v>44550</v>
      </c>
      <c r="G215" s="1616" t="s">
        <v>67</v>
      </c>
      <c r="H215" s="1618">
        <v>140000</v>
      </c>
      <c r="I215" s="1616" t="s">
        <v>137</v>
      </c>
      <c r="J215" s="1705">
        <v>6237</v>
      </c>
      <c r="K215" s="1620">
        <f>(J215/(J215+J214))*K216</f>
        <v>370.86616796212962</v>
      </c>
      <c r="L215" s="1707">
        <f>(K215/(K215+K214))*L216</f>
        <v>2.6824849512009814E-2</v>
      </c>
      <c r="M215" s="1695">
        <f>(L215/(L215+L214))*M216</f>
        <v>9.3098007129916414E-3</v>
      </c>
      <c r="N215" s="1594"/>
      <c r="O215" s="1594"/>
      <c r="P215" s="1594"/>
      <c r="Q215" s="1594"/>
      <c r="R215" s="1594"/>
      <c r="S215" s="1594"/>
      <c r="T215" s="1594"/>
      <c r="U215" s="1594"/>
      <c r="V215" s="1594"/>
      <c r="W215" s="1594"/>
      <c r="X215" s="1594"/>
      <c r="Y215" s="1594"/>
      <c r="Z215" s="1594"/>
      <c r="AA215" s="1594"/>
      <c r="AB215" s="1594"/>
      <c r="AC215" s="1594"/>
      <c r="AD215" s="1594"/>
      <c r="AE215" s="1594"/>
      <c r="AF215" s="1594"/>
      <c r="AG215" s="1594"/>
      <c r="AH215" s="1594"/>
      <c r="AI215" s="1594"/>
      <c r="AJ215" s="1594"/>
      <c r="AK215" s="1594"/>
      <c r="AL215" s="1594"/>
      <c r="AM215" s="1594"/>
      <c r="AN215" s="1594"/>
      <c r="AO215" s="1594"/>
      <c r="AP215" s="1594"/>
      <c r="AQ215" s="1594"/>
      <c r="AR215" s="1594"/>
      <c r="AS215" s="1594"/>
      <c r="AT215" s="1594"/>
      <c r="AU215" s="1594"/>
      <c r="AV215" s="1594"/>
      <c r="AW215" s="1594"/>
      <c r="AX215" s="1594"/>
      <c r="AY215" s="1594"/>
      <c r="AZ215" s="1594"/>
      <c r="BA215" s="1594"/>
      <c r="BB215" s="1594"/>
      <c r="BC215" s="1594"/>
      <c r="BD215" s="1594"/>
      <c r="BE215" s="1594"/>
      <c r="BF215" s="1594"/>
      <c r="BG215" s="1594"/>
      <c r="BH215" s="1594"/>
      <c r="BI215" s="1594"/>
      <c r="BJ215" s="1594"/>
    </row>
    <row r="216" spans="1:62" ht="12.75">
      <c r="A216" s="1594"/>
      <c r="B216" s="1615"/>
      <c r="C216" s="1616"/>
      <c r="D216" s="1616"/>
      <c r="E216" s="1616"/>
      <c r="F216" s="1616"/>
      <c r="G216" s="1616"/>
      <c r="H216" s="1616"/>
      <c r="I216" s="1616"/>
      <c r="J216" s="1626">
        <f>SUM(J214:J215)</f>
        <v>3952641</v>
      </c>
      <c r="K216" s="1700">
        <v>235033</v>
      </c>
      <c r="L216" s="1717">
        <v>17</v>
      </c>
      <c r="M216" s="1718">
        <v>5.9</v>
      </c>
      <c r="N216" s="1594"/>
      <c r="O216" s="1594"/>
      <c r="P216" s="1594"/>
      <c r="Q216" s="1594"/>
      <c r="R216" s="1594"/>
      <c r="S216" s="1594"/>
      <c r="T216" s="1594"/>
      <c r="U216" s="1594"/>
      <c r="V216" s="1594"/>
      <c r="W216" s="1594"/>
      <c r="X216" s="1594"/>
      <c r="Y216" s="1594"/>
      <c r="Z216" s="1594"/>
      <c r="AA216" s="1594"/>
      <c r="AB216" s="1594"/>
      <c r="AC216" s="1594"/>
      <c r="AD216" s="1594"/>
      <c r="AE216" s="1594"/>
      <c r="AF216" s="1594"/>
      <c r="AG216" s="1594"/>
      <c r="AH216" s="1594"/>
      <c r="AI216" s="1594"/>
      <c r="AJ216" s="1594"/>
      <c r="AK216" s="1594"/>
      <c r="AL216" s="1594"/>
      <c r="AM216" s="1594"/>
      <c r="AN216" s="1594"/>
      <c r="AO216" s="1594"/>
      <c r="AP216" s="1594"/>
      <c r="AQ216" s="1594"/>
      <c r="AR216" s="1594"/>
      <c r="AS216" s="1594"/>
      <c r="AT216" s="1594"/>
      <c r="AU216" s="1594"/>
      <c r="AV216" s="1594"/>
      <c r="AW216" s="1594"/>
      <c r="AX216" s="1594"/>
      <c r="AY216" s="1594"/>
      <c r="AZ216" s="1594"/>
      <c r="BA216" s="1594"/>
      <c r="BB216" s="1594"/>
      <c r="BC216" s="1594"/>
      <c r="BD216" s="1594"/>
      <c r="BE216" s="1594"/>
      <c r="BF216" s="1594"/>
      <c r="BG216" s="1594"/>
      <c r="BH216" s="1594"/>
      <c r="BI216" s="1594"/>
      <c r="BJ216" s="1594"/>
    </row>
    <row r="217" spans="1:62" ht="12.75">
      <c r="A217" s="1594"/>
      <c r="B217" s="1615"/>
      <c r="C217" s="1616"/>
      <c r="D217" s="1616"/>
      <c r="E217" s="1616"/>
      <c r="F217" s="1616"/>
      <c r="G217" s="1616"/>
      <c r="H217" s="1616"/>
      <c r="I217" s="1616"/>
      <c r="J217" s="1630"/>
      <c r="K217" s="1616"/>
      <c r="L217" s="1616"/>
      <c r="M217" s="1624"/>
      <c r="N217" s="1594"/>
      <c r="O217" s="1594"/>
      <c r="P217" s="1594"/>
      <c r="Q217" s="1594"/>
      <c r="R217" s="1594"/>
      <c r="S217" s="1594"/>
      <c r="T217" s="1594"/>
      <c r="U217" s="1594"/>
      <c r="V217" s="1594"/>
      <c r="W217" s="1594"/>
      <c r="X217" s="1594"/>
      <c r="Y217" s="1594"/>
      <c r="Z217" s="1594"/>
      <c r="AA217" s="1594"/>
      <c r="AB217" s="1594"/>
      <c r="AC217" s="1594"/>
      <c r="AD217" s="1594"/>
      <c r="AE217" s="1594"/>
      <c r="AF217" s="1594"/>
      <c r="AG217" s="1594"/>
      <c r="AH217" s="1594"/>
      <c r="AI217" s="1594"/>
      <c r="AJ217" s="1594"/>
      <c r="AK217" s="1594"/>
      <c r="AL217" s="1594"/>
      <c r="AM217" s="1594"/>
      <c r="AN217" s="1594"/>
      <c r="AO217" s="1594"/>
      <c r="AP217" s="1594"/>
      <c r="AQ217" s="1594"/>
      <c r="AR217" s="1594"/>
      <c r="AS217" s="1594"/>
      <c r="AT217" s="1594"/>
      <c r="AU217" s="1594"/>
      <c r="AV217" s="1594"/>
      <c r="AW217" s="1594"/>
      <c r="AX217" s="1594"/>
      <c r="AY217" s="1594"/>
      <c r="AZ217" s="1594"/>
      <c r="BA217" s="1594"/>
      <c r="BB217" s="1594"/>
      <c r="BC217" s="1594"/>
      <c r="BD217" s="1594"/>
      <c r="BE217" s="1594"/>
      <c r="BF217" s="1594"/>
      <c r="BG217" s="1594"/>
      <c r="BH217" s="1594"/>
      <c r="BI217" s="1594"/>
      <c r="BJ217" s="1594"/>
    </row>
    <row r="218" spans="1:62" ht="12.75">
      <c r="A218" s="1594"/>
      <c r="B218" s="1615"/>
      <c r="C218" s="1616" t="s">
        <v>90</v>
      </c>
      <c r="D218" s="1616" t="s">
        <v>1130</v>
      </c>
      <c r="E218" s="1616" t="s">
        <v>1104</v>
      </c>
      <c r="F218" s="1705">
        <f>J218/H218</f>
        <v>3587614.9425287354</v>
      </c>
      <c r="G218" s="1616" t="s">
        <v>144</v>
      </c>
      <c r="H218" s="1616">
        <v>1.044</v>
      </c>
      <c r="I218" s="1616" t="s">
        <v>753</v>
      </c>
      <c r="J218" s="1705">
        <v>3745470</v>
      </c>
      <c r="K218" s="1620">
        <f>(J218/(J218+J219))*K220</f>
        <v>222782.9568362225</v>
      </c>
      <c r="L218" s="1707">
        <f>(K218/(K218+K219))*L220</f>
        <v>16.06171402179524</v>
      </c>
      <c r="M218" s="1695">
        <f>(L218/(L218+L219))*M220</f>
        <v>5.5866831380157347</v>
      </c>
      <c r="N218" s="1594"/>
      <c r="O218" s="1594"/>
      <c r="P218" s="1594"/>
      <c r="Q218" s="1594"/>
      <c r="R218" s="1594"/>
      <c r="S218" s="1594"/>
      <c r="T218" s="1594"/>
      <c r="U218" s="1594"/>
      <c r="V218" s="1594"/>
      <c r="W218" s="1594"/>
      <c r="X218" s="1594"/>
      <c r="Y218" s="1594"/>
      <c r="Z218" s="1594"/>
      <c r="AA218" s="1594"/>
      <c r="AB218" s="1594"/>
      <c r="AC218" s="1594"/>
      <c r="AD218" s="1594"/>
      <c r="AE218" s="1594"/>
      <c r="AF218" s="1594"/>
      <c r="AG218" s="1594"/>
      <c r="AH218" s="1594"/>
      <c r="AI218" s="1594"/>
      <c r="AJ218" s="1594"/>
      <c r="AK218" s="1594"/>
      <c r="AL218" s="1594"/>
      <c r="AM218" s="1594"/>
      <c r="AN218" s="1594"/>
      <c r="AO218" s="1594"/>
      <c r="AP218" s="1594"/>
      <c r="AQ218" s="1594"/>
      <c r="AR218" s="1594"/>
      <c r="AS218" s="1594"/>
      <c r="AT218" s="1594"/>
      <c r="AU218" s="1594"/>
      <c r="AV218" s="1594"/>
      <c r="AW218" s="1594"/>
      <c r="AX218" s="1594"/>
      <c r="AY218" s="1594"/>
      <c r="AZ218" s="1594"/>
      <c r="BA218" s="1594"/>
      <c r="BB218" s="1594"/>
      <c r="BC218" s="1594"/>
      <c r="BD218" s="1594"/>
      <c r="BE218" s="1594"/>
      <c r="BF218" s="1594"/>
      <c r="BG218" s="1594"/>
      <c r="BH218" s="1594"/>
      <c r="BI218" s="1594"/>
      <c r="BJ218" s="1594"/>
    </row>
    <row r="219" spans="1:62" ht="12.75">
      <c r="A219" s="1594"/>
      <c r="B219" s="1615"/>
      <c r="C219" s="1616"/>
      <c r="D219" s="1616"/>
      <c r="E219" s="1616" t="s">
        <v>304</v>
      </c>
      <c r="F219" s="1705">
        <f>(J219/H219)*1000000</f>
        <v>63771.42857142858</v>
      </c>
      <c r="G219" s="1616" t="s">
        <v>67</v>
      </c>
      <c r="H219" s="1618">
        <v>140000</v>
      </c>
      <c r="I219" s="1616" t="s">
        <v>137</v>
      </c>
      <c r="J219" s="1705">
        <v>8928</v>
      </c>
      <c r="K219" s="1620">
        <f>(J219/(J219+J218))*K220</f>
        <v>531.04316377752173</v>
      </c>
      <c r="L219" s="1707">
        <f>(K219/(K219+K218))*L220</f>
        <v>3.8285978204761456E-2</v>
      </c>
      <c r="M219" s="1695">
        <f>(L219/(L219+L218))*M220</f>
        <v>1.3316861984264853E-2</v>
      </c>
      <c r="N219" s="1594"/>
      <c r="O219" s="1594"/>
      <c r="P219" s="1594"/>
      <c r="Q219" s="1594"/>
      <c r="R219" s="1594"/>
      <c r="S219" s="1594"/>
      <c r="T219" s="1594"/>
      <c r="U219" s="1594"/>
      <c r="V219" s="1594"/>
      <c r="W219" s="1594"/>
      <c r="X219" s="1594"/>
      <c r="Y219" s="1594"/>
      <c r="Z219" s="1594"/>
      <c r="AA219" s="1594"/>
      <c r="AB219" s="1594"/>
      <c r="AC219" s="1594"/>
      <c r="AD219" s="1594"/>
      <c r="AE219" s="1594"/>
      <c r="AF219" s="1594"/>
      <c r="AG219" s="1594"/>
      <c r="AH219" s="1594"/>
      <c r="AI219" s="1594"/>
      <c r="AJ219" s="1594"/>
      <c r="AK219" s="1594"/>
      <c r="AL219" s="1594"/>
      <c r="AM219" s="1594"/>
      <c r="AN219" s="1594"/>
      <c r="AO219" s="1594"/>
      <c r="AP219" s="1594"/>
      <c r="AQ219" s="1594"/>
      <c r="AR219" s="1594"/>
      <c r="AS219" s="1594"/>
      <c r="AT219" s="1594"/>
      <c r="AU219" s="1594"/>
      <c r="AV219" s="1594"/>
      <c r="AW219" s="1594"/>
      <c r="AX219" s="1594"/>
      <c r="AY219" s="1594"/>
      <c r="AZ219" s="1594"/>
      <c r="BA219" s="1594"/>
      <c r="BB219" s="1594"/>
      <c r="BC219" s="1594"/>
      <c r="BD219" s="1594"/>
      <c r="BE219" s="1594"/>
      <c r="BF219" s="1594"/>
      <c r="BG219" s="1594"/>
      <c r="BH219" s="1594"/>
      <c r="BI219" s="1594"/>
      <c r="BJ219" s="1594"/>
    </row>
    <row r="220" spans="1:62" ht="12.75">
      <c r="A220" s="1594"/>
      <c r="B220" s="1615"/>
      <c r="C220" s="1616"/>
      <c r="D220" s="1616"/>
      <c r="E220" s="1616"/>
      <c r="F220" s="1616"/>
      <c r="G220" s="1616"/>
      <c r="H220" s="1616"/>
      <c r="I220" s="1616"/>
      <c r="J220" s="1626">
        <f>SUM(J218:J219)</f>
        <v>3754398</v>
      </c>
      <c r="K220" s="1637">
        <v>223314</v>
      </c>
      <c r="L220" s="1698">
        <v>16.100000000000001</v>
      </c>
      <c r="M220" s="1692">
        <v>5.6</v>
      </c>
      <c r="N220" s="1594"/>
      <c r="O220" s="1594"/>
      <c r="P220" s="1594"/>
      <c r="Q220" s="1594"/>
      <c r="R220" s="1594"/>
      <c r="S220" s="1594"/>
      <c r="T220" s="1594"/>
      <c r="U220" s="1594"/>
      <c r="V220" s="1594"/>
      <c r="W220" s="1594"/>
      <c r="X220" s="1594"/>
      <c r="Y220" s="1594"/>
      <c r="Z220" s="1594"/>
      <c r="AA220" s="1594"/>
      <c r="AB220" s="1594"/>
      <c r="AC220" s="1594"/>
      <c r="AD220" s="1594"/>
      <c r="AE220" s="1594"/>
      <c r="AF220" s="1594"/>
      <c r="AG220" s="1594"/>
      <c r="AH220" s="1594"/>
      <c r="AI220" s="1594"/>
      <c r="AJ220" s="1594"/>
      <c r="AK220" s="1594"/>
      <c r="AL220" s="1594"/>
      <c r="AM220" s="1594"/>
      <c r="AN220" s="1594"/>
      <c r="AO220" s="1594"/>
      <c r="AP220" s="1594"/>
      <c r="AQ220" s="1594"/>
      <c r="AR220" s="1594"/>
      <c r="AS220" s="1594"/>
      <c r="AT220" s="1594"/>
      <c r="AU220" s="1594"/>
      <c r="AV220" s="1594"/>
      <c r="AW220" s="1594"/>
      <c r="AX220" s="1594"/>
      <c r="AY220" s="1594"/>
      <c r="AZ220" s="1594"/>
      <c r="BA220" s="1594"/>
      <c r="BB220" s="1594"/>
      <c r="BC220" s="1594"/>
      <c r="BD220" s="1594"/>
      <c r="BE220" s="1594"/>
      <c r="BF220" s="1594"/>
      <c r="BG220" s="1594"/>
      <c r="BH220" s="1594"/>
      <c r="BI220" s="1594"/>
      <c r="BJ220" s="1594"/>
    </row>
    <row r="221" spans="1:62" ht="13.5" thickBot="1">
      <c r="A221" s="1594"/>
      <c r="B221" s="1615"/>
      <c r="C221" s="1616"/>
      <c r="D221" s="1616"/>
      <c r="E221" s="1616"/>
      <c r="F221" s="1616"/>
      <c r="G221" s="1616"/>
      <c r="H221" s="1616"/>
      <c r="I221" s="1616"/>
      <c r="J221" s="1616"/>
      <c r="K221" s="1616"/>
      <c r="L221" s="1616"/>
      <c r="M221" s="1624"/>
      <c r="N221" s="1594"/>
      <c r="O221" s="1594"/>
      <c r="P221" s="1594"/>
      <c r="Q221" s="1594"/>
      <c r="R221" s="1594"/>
      <c r="S221" s="1594"/>
      <c r="T221" s="1594"/>
      <c r="U221" s="1594"/>
      <c r="V221" s="1594"/>
      <c r="W221" s="1594"/>
      <c r="X221" s="1594"/>
      <c r="Y221" s="1594"/>
      <c r="Z221" s="1594"/>
      <c r="AA221" s="1594"/>
      <c r="AB221" s="1594"/>
      <c r="AC221" s="1594"/>
      <c r="AD221" s="1594"/>
      <c r="AE221" s="1594"/>
      <c r="AF221" s="1594"/>
      <c r="AG221" s="1594"/>
      <c r="AH221" s="1594"/>
      <c r="AI221" s="1594"/>
      <c r="AJ221" s="1594"/>
      <c r="AK221" s="1594"/>
      <c r="AL221" s="1594"/>
      <c r="AM221" s="1594"/>
      <c r="AN221" s="1594"/>
      <c r="AO221" s="1594"/>
      <c r="AP221" s="1594"/>
      <c r="AQ221" s="1594"/>
      <c r="AR221" s="1594"/>
      <c r="AS221" s="1594"/>
      <c r="AT221" s="1594"/>
      <c r="AU221" s="1594"/>
      <c r="AV221" s="1594"/>
      <c r="AW221" s="1594"/>
      <c r="AX221" s="1594"/>
      <c r="AY221" s="1594"/>
      <c r="AZ221" s="1594"/>
      <c r="BA221" s="1594"/>
      <c r="BB221" s="1594"/>
      <c r="BC221" s="1594"/>
      <c r="BD221" s="1594"/>
      <c r="BE221" s="1594"/>
      <c r="BF221" s="1594"/>
      <c r="BG221" s="1594"/>
      <c r="BH221" s="1594"/>
      <c r="BI221" s="1594"/>
      <c r="BJ221" s="1594"/>
    </row>
    <row r="222" spans="1:62" ht="12.75">
      <c r="A222" s="1594"/>
      <c r="B222" s="1660"/>
      <c r="C222" s="1613"/>
      <c r="D222" s="1613"/>
      <c r="E222" s="1613"/>
      <c r="F222" s="1613"/>
      <c r="G222" s="1613"/>
      <c r="H222" s="1613"/>
      <c r="I222" s="1613"/>
      <c r="J222" s="1613"/>
      <c r="K222" s="1613"/>
      <c r="L222" s="1613"/>
      <c r="M222" s="1662"/>
      <c r="N222" s="1594"/>
      <c r="O222" s="1594"/>
      <c r="P222" s="1594"/>
      <c r="Q222" s="1594"/>
      <c r="R222" s="1594"/>
      <c r="S222" s="1594"/>
      <c r="T222" s="1594"/>
      <c r="U222" s="1594"/>
      <c r="V222" s="1594"/>
      <c r="W222" s="1594"/>
      <c r="X222" s="1594"/>
      <c r="Y222" s="1594"/>
      <c r="Z222" s="1594"/>
      <c r="AA222" s="1594"/>
      <c r="AB222" s="1594"/>
      <c r="AC222" s="1594"/>
      <c r="AD222" s="1594"/>
      <c r="AE222" s="1594"/>
      <c r="AF222" s="1594"/>
      <c r="AG222" s="1594"/>
      <c r="AH222" s="1594"/>
      <c r="AI222" s="1594"/>
      <c r="AJ222" s="1594"/>
      <c r="AK222" s="1594"/>
      <c r="AL222" s="1594"/>
      <c r="AM222" s="1594"/>
      <c r="AN222" s="1594"/>
      <c r="AO222" s="1594"/>
      <c r="AP222" s="1594"/>
      <c r="AQ222" s="1594"/>
      <c r="AR222" s="1594"/>
      <c r="AS222" s="1594"/>
      <c r="AT222" s="1594"/>
      <c r="AU222" s="1594"/>
      <c r="AV222" s="1594"/>
      <c r="AW222" s="1594"/>
      <c r="AX222" s="1594"/>
      <c r="AY222" s="1594"/>
      <c r="AZ222" s="1594"/>
      <c r="BA222" s="1594"/>
      <c r="BB222" s="1594"/>
      <c r="BC222" s="1594"/>
      <c r="BD222" s="1594"/>
      <c r="BE222" s="1594"/>
      <c r="BF222" s="1594"/>
      <c r="BG222" s="1594"/>
      <c r="BH222" s="1594"/>
      <c r="BI222" s="1594"/>
      <c r="BJ222" s="1594"/>
    </row>
    <row r="223" spans="1:62" ht="12.75">
      <c r="A223" s="1594"/>
      <c r="B223" s="1615"/>
      <c r="C223" s="1616"/>
      <c r="D223" s="1616"/>
      <c r="E223" s="1616"/>
      <c r="F223" s="1616"/>
      <c r="G223" s="1616"/>
      <c r="H223" s="1616"/>
      <c r="I223" s="1616"/>
      <c r="J223" s="1616"/>
      <c r="K223" s="1616"/>
      <c r="L223" s="1616"/>
      <c r="M223" s="1624"/>
      <c r="N223" s="1594"/>
      <c r="O223" s="1594"/>
      <c r="P223" s="1594"/>
      <c r="Q223" s="1594"/>
      <c r="R223" s="1594"/>
      <c r="S223" s="1594"/>
      <c r="T223" s="1594"/>
      <c r="U223" s="1594"/>
      <c r="V223" s="1594"/>
      <c r="W223" s="1594"/>
      <c r="X223" s="1594"/>
      <c r="Y223" s="1594"/>
      <c r="Z223" s="1594"/>
      <c r="AA223" s="1594"/>
      <c r="AB223" s="1594"/>
      <c r="AC223" s="1594"/>
      <c r="AD223" s="1594"/>
      <c r="AE223" s="1594"/>
      <c r="AF223" s="1594"/>
      <c r="AG223" s="1594"/>
      <c r="AH223" s="1594"/>
      <c r="AI223" s="1594"/>
      <c r="AJ223" s="1594"/>
      <c r="AK223" s="1594"/>
      <c r="AL223" s="1594"/>
      <c r="AM223" s="1594"/>
      <c r="AN223" s="1594"/>
      <c r="AO223" s="1594"/>
      <c r="AP223" s="1594"/>
      <c r="AQ223" s="1594"/>
      <c r="AR223" s="1594"/>
      <c r="AS223" s="1594"/>
      <c r="AT223" s="1594"/>
      <c r="AU223" s="1594"/>
      <c r="AV223" s="1594"/>
      <c r="AW223" s="1594"/>
      <c r="AX223" s="1594"/>
      <c r="AY223" s="1594"/>
      <c r="AZ223" s="1594"/>
      <c r="BA223" s="1594"/>
      <c r="BB223" s="1594"/>
      <c r="BC223" s="1594"/>
      <c r="BD223" s="1594"/>
      <c r="BE223" s="1594"/>
      <c r="BF223" s="1594"/>
      <c r="BG223" s="1594"/>
      <c r="BH223" s="1594"/>
      <c r="BI223" s="1594"/>
      <c r="BJ223" s="1594"/>
    </row>
    <row r="224" spans="1:62" ht="12.75">
      <c r="A224" s="1594"/>
      <c r="B224" s="1615" t="s">
        <v>754</v>
      </c>
      <c r="C224" s="163" t="s">
        <v>755</v>
      </c>
      <c r="D224" s="1616"/>
      <c r="E224" s="1616"/>
      <c r="F224" s="1616"/>
      <c r="G224" s="1616"/>
      <c r="H224" s="1616"/>
      <c r="I224" s="1616"/>
      <c r="J224" s="1616"/>
      <c r="K224" s="1616"/>
      <c r="L224" s="1616"/>
      <c r="M224" s="1624"/>
      <c r="N224" s="1594"/>
      <c r="O224" s="1594"/>
      <c r="P224" s="1594"/>
      <c r="Q224" s="1594"/>
      <c r="R224" s="1594"/>
      <c r="S224" s="1594"/>
      <c r="T224" s="1594"/>
      <c r="U224" s="1594"/>
      <c r="V224" s="1594"/>
      <c r="W224" s="1594"/>
      <c r="X224" s="1594"/>
      <c r="Y224" s="1594"/>
      <c r="Z224" s="1594"/>
      <c r="AA224" s="1594"/>
      <c r="AB224" s="1594"/>
      <c r="AC224" s="1594"/>
      <c r="AD224" s="1594"/>
      <c r="AE224" s="1594"/>
      <c r="AF224" s="1594"/>
      <c r="AG224" s="1594"/>
      <c r="AH224" s="1594"/>
      <c r="AI224" s="1594"/>
      <c r="AJ224" s="1594"/>
      <c r="AK224" s="1594"/>
      <c r="AL224" s="1594"/>
      <c r="AM224" s="1594"/>
      <c r="AN224" s="1594"/>
      <c r="AO224" s="1594"/>
      <c r="AP224" s="1594"/>
      <c r="AQ224" s="1594"/>
      <c r="AR224" s="1594"/>
      <c r="AS224" s="1594"/>
      <c r="AT224" s="1594"/>
      <c r="AU224" s="1594"/>
      <c r="AV224" s="1594"/>
      <c r="AW224" s="1594"/>
      <c r="AX224" s="1594"/>
      <c r="AY224" s="1594"/>
      <c r="AZ224" s="1594"/>
      <c r="BA224" s="1594"/>
      <c r="BB224" s="1594"/>
      <c r="BC224" s="1594"/>
      <c r="BD224" s="1594"/>
      <c r="BE224" s="1594"/>
      <c r="BF224" s="1594"/>
      <c r="BG224" s="1594"/>
      <c r="BH224" s="1594"/>
      <c r="BI224" s="1594"/>
      <c r="BJ224" s="1594"/>
    </row>
    <row r="225" spans="1:62" ht="12.75">
      <c r="A225" s="1594"/>
      <c r="B225" s="1615"/>
      <c r="C225" s="1616" t="s">
        <v>86</v>
      </c>
      <c r="D225" s="1616" t="s">
        <v>40</v>
      </c>
      <c r="E225" s="1616" t="s">
        <v>77</v>
      </c>
      <c r="F225" s="1623">
        <f>8*1000000</f>
        <v>8000000</v>
      </c>
      <c r="G225" s="1616" t="s">
        <v>144</v>
      </c>
      <c r="H225" s="1618">
        <v>1089</v>
      </c>
      <c r="I225" s="1616" t="s">
        <v>748</v>
      </c>
      <c r="J225" s="1618">
        <f t="shared" ref="J225:J231" si="1">F225*H225/1000000</f>
        <v>8712</v>
      </c>
      <c r="K225" s="1623">
        <v>505</v>
      </c>
      <c r="L225" s="1697">
        <v>0.01</v>
      </c>
      <c r="M225" s="1680">
        <v>0</v>
      </c>
      <c r="N225" s="1594"/>
      <c r="O225" s="1594"/>
      <c r="P225" s="1594"/>
      <c r="Q225" s="1594"/>
      <c r="R225" s="1594"/>
      <c r="S225" s="1594"/>
      <c r="T225" s="1594"/>
      <c r="U225" s="1594"/>
      <c r="V225" s="1594"/>
      <c r="W225" s="1594"/>
      <c r="X225" s="1594"/>
      <c r="Y225" s="1594"/>
      <c r="Z225" s="1594"/>
      <c r="AA225" s="1594"/>
      <c r="AB225" s="1594"/>
      <c r="AC225" s="1594"/>
      <c r="AD225" s="1594"/>
      <c r="AE225" s="1594"/>
      <c r="AF225" s="1594"/>
      <c r="AG225" s="1594"/>
      <c r="AH225" s="1594"/>
      <c r="AI225" s="1594"/>
      <c r="AJ225" s="1594"/>
      <c r="AK225" s="1594"/>
      <c r="AL225" s="1594"/>
      <c r="AM225" s="1594"/>
      <c r="AN225" s="1594"/>
      <c r="AO225" s="1594"/>
      <c r="AP225" s="1594"/>
      <c r="AQ225" s="1594"/>
      <c r="AR225" s="1594"/>
      <c r="AS225" s="1594"/>
      <c r="AT225" s="1594"/>
      <c r="AU225" s="1594"/>
      <c r="AV225" s="1594"/>
      <c r="AW225" s="1594"/>
      <c r="AX225" s="1594"/>
      <c r="AY225" s="1594"/>
      <c r="AZ225" s="1594"/>
      <c r="BA225" s="1594"/>
      <c r="BB225" s="1594"/>
      <c r="BC225" s="1594"/>
      <c r="BD225" s="1594"/>
      <c r="BE225" s="1594"/>
      <c r="BF225" s="1594"/>
      <c r="BG225" s="1594"/>
      <c r="BH225" s="1594"/>
      <c r="BI225" s="1594"/>
      <c r="BJ225" s="1594"/>
    </row>
    <row r="226" spans="1:62" ht="12.75">
      <c r="A226" s="1594"/>
      <c r="B226" s="1615"/>
      <c r="C226" s="1616" t="s">
        <v>333</v>
      </c>
      <c r="D226" s="1616" t="s">
        <v>42</v>
      </c>
      <c r="E226" s="1616" t="s">
        <v>77</v>
      </c>
      <c r="F226" s="1623">
        <f>18*1000000</f>
        <v>18000000</v>
      </c>
      <c r="G226" s="1616" t="s">
        <v>144</v>
      </c>
      <c r="H226" s="1618">
        <v>1042</v>
      </c>
      <c r="I226" s="1616" t="s">
        <v>748</v>
      </c>
      <c r="J226" s="1618">
        <f t="shared" si="1"/>
        <v>18756</v>
      </c>
      <c r="K226" s="1623">
        <v>1096</v>
      </c>
      <c r="L226" s="1697">
        <v>0.02</v>
      </c>
      <c r="M226" s="1680">
        <v>0</v>
      </c>
      <c r="N226" s="1594"/>
      <c r="O226" s="1594"/>
      <c r="P226" s="1594"/>
      <c r="Q226" s="1594"/>
      <c r="R226" s="1594"/>
      <c r="S226" s="1594"/>
      <c r="T226" s="1594"/>
      <c r="U226" s="1594"/>
      <c r="V226" s="1594"/>
      <c r="W226" s="1594"/>
      <c r="X226" s="1594"/>
      <c r="Y226" s="1594"/>
      <c r="Z226" s="1594"/>
      <c r="AA226" s="1594"/>
      <c r="AB226" s="1594"/>
      <c r="AC226" s="1594"/>
      <c r="AD226" s="1594"/>
      <c r="AE226" s="1594"/>
      <c r="AF226" s="1594"/>
      <c r="AG226" s="1594"/>
      <c r="AH226" s="1594"/>
      <c r="AI226" s="1594"/>
      <c r="AJ226" s="1594"/>
      <c r="AK226" s="1594"/>
      <c r="AL226" s="1594"/>
      <c r="AM226" s="1594"/>
      <c r="AN226" s="1594"/>
      <c r="AO226" s="1594"/>
      <c r="AP226" s="1594"/>
      <c r="AQ226" s="1594"/>
      <c r="AR226" s="1594"/>
      <c r="AS226" s="1594"/>
      <c r="AT226" s="1594"/>
      <c r="AU226" s="1594"/>
      <c r="AV226" s="1594"/>
      <c r="AW226" s="1594"/>
      <c r="AX226" s="1594"/>
      <c r="AY226" s="1594"/>
      <c r="AZ226" s="1594"/>
      <c r="BA226" s="1594"/>
      <c r="BB226" s="1594"/>
      <c r="BC226" s="1594"/>
      <c r="BD226" s="1594"/>
      <c r="BE226" s="1594"/>
      <c r="BF226" s="1594"/>
      <c r="BG226" s="1594"/>
      <c r="BH226" s="1594"/>
      <c r="BI226" s="1594"/>
      <c r="BJ226" s="1594"/>
    </row>
    <row r="227" spans="1:62" ht="12.75">
      <c r="A227" s="1594"/>
      <c r="B227" s="1615"/>
      <c r="C227" s="1616" t="s">
        <v>334</v>
      </c>
      <c r="D227" s="1616" t="s">
        <v>44</v>
      </c>
      <c r="E227" s="1616" t="s">
        <v>77</v>
      </c>
      <c r="F227" s="1623">
        <f>16*1000000</f>
        <v>16000000</v>
      </c>
      <c r="G227" s="1616" t="s">
        <v>144</v>
      </c>
      <c r="H227" s="1618">
        <v>1079</v>
      </c>
      <c r="I227" s="1616" t="s">
        <v>748</v>
      </c>
      <c r="J227" s="1618">
        <f t="shared" si="1"/>
        <v>17264</v>
      </c>
      <c r="K227" s="1623">
        <v>1009</v>
      </c>
      <c r="L227" s="1697">
        <v>0.02</v>
      </c>
      <c r="M227" s="1680">
        <v>0</v>
      </c>
      <c r="N227" s="1594"/>
      <c r="O227" s="1594"/>
      <c r="P227" s="1594"/>
      <c r="Q227" s="1594"/>
      <c r="R227" s="1594"/>
      <c r="S227" s="1594"/>
      <c r="T227" s="1594"/>
      <c r="U227" s="1594"/>
      <c r="V227" s="1594"/>
      <c r="W227" s="1594"/>
      <c r="X227" s="1594"/>
      <c r="Y227" s="1594"/>
      <c r="Z227" s="1594"/>
      <c r="AA227" s="1594"/>
      <c r="AB227" s="1594"/>
      <c r="AC227" s="1594"/>
      <c r="AD227" s="1594"/>
      <c r="AE227" s="1594"/>
      <c r="AF227" s="1594"/>
      <c r="AG227" s="1594"/>
      <c r="AH227" s="1594"/>
      <c r="AI227" s="1594"/>
      <c r="AJ227" s="1594"/>
      <c r="AK227" s="1594"/>
      <c r="AL227" s="1594"/>
      <c r="AM227" s="1594"/>
      <c r="AN227" s="1594"/>
      <c r="AO227" s="1594"/>
      <c r="AP227" s="1594"/>
      <c r="AQ227" s="1594"/>
      <c r="AR227" s="1594"/>
      <c r="AS227" s="1594"/>
      <c r="AT227" s="1594"/>
      <c r="AU227" s="1594"/>
      <c r="AV227" s="1594"/>
      <c r="AW227" s="1594"/>
      <c r="AX227" s="1594"/>
      <c r="AY227" s="1594"/>
      <c r="AZ227" s="1594"/>
      <c r="BA227" s="1594"/>
      <c r="BB227" s="1594"/>
      <c r="BC227" s="1594"/>
      <c r="BD227" s="1594"/>
      <c r="BE227" s="1594"/>
      <c r="BF227" s="1594"/>
      <c r="BG227" s="1594"/>
      <c r="BH227" s="1594"/>
      <c r="BI227" s="1594"/>
      <c r="BJ227" s="1594"/>
    </row>
    <row r="228" spans="1:62" ht="12.75">
      <c r="A228" s="1594"/>
      <c r="B228" s="1615"/>
      <c r="C228" s="1616" t="s">
        <v>335</v>
      </c>
      <c r="D228" s="1616" t="s">
        <v>46</v>
      </c>
      <c r="E228" s="1616" t="s">
        <v>77</v>
      </c>
      <c r="F228" s="1623">
        <f>18*1000000</f>
        <v>18000000</v>
      </c>
      <c r="G228" s="1616" t="s">
        <v>144</v>
      </c>
      <c r="H228" s="1618">
        <v>1071</v>
      </c>
      <c r="I228" s="1616" t="s">
        <v>748</v>
      </c>
      <c r="J228" s="1618">
        <f t="shared" si="1"/>
        <v>19278</v>
      </c>
      <c r="K228" s="1623">
        <v>1149</v>
      </c>
      <c r="L228" s="1697">
        <v>0.02</v>
      </c>
      <c r="M228" s="1680">
        <v>0</v>
      </c>
      <c r="N228" s="1594"/>
      <c r="O228" s="1594"/>
      <c r="P228" s="1594"/>
      <c r="Q228" s="1594"/>
      <c r="R228" s="1594"/>
      <c r="S228" s="1594"/>
      <c r="T228" s="1594"/>
      <c r="U228" s="1594"/>
      <c r="V228" s="1594"/>
      <c r="W228" s="1594"/>
      <c r="X228" s="1594"/>
      <c r="Y228" s="1594"/>
      <c r="Z228" s="1594"/>
      <c r="AA228" s="1594"/>
      <c r="AB228" s="1594"/>
      <c r="AC228" s="1594"/>
      <c r="AD228" s="1594"/>
      <c r="AE228" s="1594"/>
      <c r="AF228" s="1594"/>
      <c r="AG228" s="1594"/>
      <c r="AH228" s="1594"/>
      <c r="AI228" s="1594"/>
      <c r="AJ228" s="1594"/>
      <c r="AK228" s="1594"/>
      <c r="AL228" s="1594"/>
      <c r="AM228" s="1594"/>
      <c r="AN228" s="1594"/>
      <c r="AO228" s="1594"/>
      <c r="AP228" s="1594"/>
      <c r="AQ228" s="1594"/>
      <c r="AR228" s="1594"/>
      <c r="AS228" s="1594"/>
      <c r="AT228" s="1594"/>
      <c r="AU228" s="1594"/>
      <c r="AV228" s="1594"/>
      <c r="AW228" s="1594"/>
      <c r="AX228" s="1594"/>
      <c r="AY228" s="1594"/>
      <c r="AZ228" s="1594"/>
      <c r="BA228" s="1594"/>
      <c r="BB228" s="1594"/>
      <c r="BC228" s="1594"/>
      <c r="BD228" s="1594"/>
      <c r="BE228" s="1594"/>
      <c r="BF228" s="1594"/>
      <c r="BG228" s="1594"/>
      <c r="BH228" s="1594"/>
      <c r="BI228" s="1594"/>
      <c r="BJ228" s="1594"/>
    </row>
    <row r="229" spans="1:62" ht="12.75">
      <c r="A229" s="1594"/>
      <c r="B229" s="1615"/>
      <c r="C229" s="1616" t="s">
        <v>336</v>
      </c>
      <c r="D229" s="1616" t="s">
        <v>145</v>
      </c>
      <c r="E229" s="1616" t="s">
        <v>77</v>
      </c>
      <c r="F229" s="1623">
        <f>4*1000000</f>
        <v>4000000</v>
      </c>
      <c r="G229" s="1616" t="s">
        <v>144</v>
      </c>
      <c r="H229" s="1618">
        <v>1049</v>
      </c>
      <c r="I229" s="1616" t="s">
        <v>748</v>
      </c>
      <c r="J229" s="1618">
        <f t="shared" si="1"/>
        <v>4196</v>
      </c>
      <c r="K229" s="1623">
        <v>215</v>
      </c>
      <c r="L229" s="1703">
        <v>0</v>
      </c>
      <c r="M229" s="1680">
        <v>0</v>
      </c>
      <c r="N229" s="1594"/>
      <c r="O229" s="1594"/>
      <c r="P229" s="1594"/>
      <c r="Q229" s="1594"/>
      <c r="R229" s="1594"/>
      <c r="S229" s="1594"/>
      <c r="T229" s="1594"/>
      <c r="U229" s="1594"/>
      <c r="V229" s="1594"/>
      <c r="W229" s="1594"/>
      <c r="X229" s="1594"/>
      <c r="Y229" s="1594"/>
      <c r="Z229" s="1594"/>
      <c r="AA229" s="1594"/>
      <c r="AB229" s="1594"/>
      <c r="AC229" s="1594"/>
      <c r="AD229" s="1594"/>
      <c r="AE229" s="1594"/>
      <c r="AF229" s="1594"/>
      <c r="AG229" s="1594"/>
      <c r="AH229" s="1594"/>
      <c r="AI229" s="1594"/>
      <c r="AJ229" s="1594"/>
      <c r="AK229" s="1594"/>
      <c r="AL229" s="1594"/>
      <c r="AM229" s="1594"/>
      <c r="AN229" s="1594"/>
      <c r="AO229" s="1594"/>
      <c r="AP229" s="1594"/>
      <c r="AQ229" s="1594"/>
      <c r="AR229" s="1594"/>
      <c r="AS229" s="1594"/>
      <c r="AT229" s="1594"/>
      <c r="AU229" s="1594"/>
      <c r="AV229" s="1594"/>
      <c r="AW229" s="1594"/>
      <c r="AX229" s="1594"/>
      <c r="AY229" s="1594"/>
      <c r="AZ229" s="1594"/>
      <c r="BA229" s="1594"/>
      <c r="BB229" s="1594"/>
      <c r="BC229" s="1594"/>
      <c r="BD229" s="1594"/>
      <c r="BE229" s="1594"/>
      <c r="BF229" s="1594"/>
      <c r="BG229" s="1594"/>
      <c r="BH229" s="1594"/>
      <c r="BI229" s="1594"/>
      <c r="BJ229" s="1594"/>
    </row>
    <row r="230" spans="1:62" ht="12.75">
      <c r="A230" s="1594"/>
      <c r="B230" s="1615"/>
      <c r="C230" s="1616" t="s">
        <v>337</v>
      </c>
      <c r="D230" s="1616" t="s">
        <v>146</v>
      </c>
      <c r="E230" s="1616" t="s">
        <v>77</v>
      </c>
      <c r="F230" s="1623">
        <f>21*1000000</f>
        <v>21000000</v>
      </c>
      <c r="G230" s="1616" t="s">
        <v>144</v>
      </c>
      <c r="H230" s="1618">
        <v>1075</v>
      </c>
      <c r="I230" s="1616" t="s">
        <v>748</v>
      </c>
      <c r="J230" s="1618">
        <f t="shared" si="1"/>
        <v>22575</v>
      </c>
      <c r="K230" s="1623">
        <v>1334</v>
      </c>
      <c r="L230" s="1697">
        <v>0.03</v>
      </c>
      <c r="M230" s="1680">
        <v>0</v>
      </c>
      <c r="N230" s="1594"/>
      <c r="O230" s="1594"/>
      <c r="P230" s="1594"/>
      <c r="Q230" s="1594"/>
      <c r="R230" s="1594"/>
      <c r="S230" s="1594"/>
      <c r="T230" s="1594"/>
      <c r="U230" s="1594"/>
      <c r="V230" s="1594"/>
      <c r="W230" s="1594"/>
      <c r="X230" s="1594"/>
      <c r="Y230" s="1594"/>
      <c r="Z230" s="1594"/>
      <c r="AA230" s="1594"/>
      <c r="AB230" s="1594"/>
      <c r="AC230" s="1594"/>
      <c r="AD230" s="1594"/>
      <c r="AE230" s="1594"/>
      <c r="AF230" s="1594"/>
      <c r="AG230" s="1594"/>
      <c r="AH230" s="1594"/>
      <c r="AI230" s="1594"/>
      <c r="AJ230" s="1594"/>
      <c r="AK230" s="1594"/>
      <c r="AL230" s="1594"/>
      <c r="AM230" s="1594"/>
      <c r="AN230" s="1594"/>
      <c r="AO230" s="1594"/>
      <c r="AP230" s="1594"/>
      <c r="AQ230" s="1594"/>
      <c r="AR230" s="1594"/>
      <c r="AS230" s="1594"/>
      <c r="AT230" s="1594"/>
      <c r="AU230" s="1594"/>
      <c r="AV230" s="1594"/>
      <c r="AW230" s="1594"/>
      <c r="AX230" s="1594"/>
      <c r="AY230" s="1594"/>
      <c r="AZ230" s="1594"/>
      <c r="BA230" s="1594"/>
      <c r="BB230" s="1594"/>
      <c r="BC230" s="1594"/>
      <c r="BD230" s="1594"/>
      <c r="BE230" s="1594"/>
      <c r="BF230" s="1594"/>
      <c r="BG230" s="1594"/>
      <c r="BH230" s="1594"/>
      <c r="BI230" s="1594"/>
      <c r="BJ230" s="1594"/>
    </row>
    <row r="231" spans="1:62" ht="12.75">
      <c r="A231" s="1594"/>
      <c r="B231" s="1615"/>
      <c r="C231" s="1616" t="s">
        <v>338</v>
      </c>
      <c r="D231" s="1616" t="s">
        <v>147</v>
      </c>
      <c r="E231" s="1616" t="s">
        <v>77</v>
      </c>
      <c r="F231" s="1623">
        <f>19*1000000</f>
        <v>19000000</v>
      </c>
      <c r="G231" s="1616" t="s">
        <v>144</v>
      </c>
      <c r="H231" s="1618">
        <v>1072</v>
      </c>
      <c r="I231" s="1616" t="s">
        <v>748</v>
      </c>
      <c r="J231" s="1618">
        <f t="shared" si="1"/>
        <v>20368</v>
      </c>
      <c r="K231" s="1623">
        <v>1193</v>
      </c>
      <c r="L231" s="1697">
        <v>0.02</v>
      </c>
      <c r="M231" s="1680">
        <v>0</v>
      </c>
      <c r="N231" s="1594"/>
      <c r="O231" s="1594"/>
      <c r="P231" s="1594"/>
      <c r="Q231" s="1594"/>
      <c r="R231" s="1594"/>
      <c r="S231" s="1594"/>
      <c r="T231" s="1594"/>
      <c r="U231" s="1594"/>
      <c r="V231" s="1594"/>
      <c r="W231" s="1594"/>
      <c r="X231" s="1594"/>
      <c r="Y231" s="1594"/>
      <c r="Z231" s="1594"/>
      <c r="AA231" s="1594"/>
      <c r="AB231" s="1594"/>
      <c r="AC231" s="1594"/>
      <c r="AD231" s="1594"/>
      <c r="AE231" s="1594"/>
      <c r="AF231" s="1594"/>
      <c r="AG231" s="1594"/>
      <c r="AH231" s="1594"/>
      <c r="AI231" s="1594"/>
      <c r="AJ231" s="1594"/>
      <c r="AK231" s="1594"/>
      <c r="AL231" s="1594"/>
      <c r="AM231" s="1594"/>
      <c r="AN231" s="1594"/>
      <c r="AO231" s="1594"/>
      <c r="AP231" s="1594"/>
      <c r="AQ231" s="1594"/>
      <c r="AR231" s="1594"/>
      <c r="AS231" s="1594"/>
      <c r="AT231" s="1594"/>
      <c r="AU231" s="1594"/>
      <c r="AV231" s="1594"/>
      <c r="AW231" s="1594"/>
      <c r="AX231" s="1594"/>
      <c r="AY231" s="1594"/>
      <c r="AZ231" s="1594"/>
      <c r="BA231" s="1594"/>
      <c r="BB231" s="1594"/>
      <c r="BC231" s="1594"/>
      <c r="BD231" s="1594"/>
      <c r="BE231" s="1594"/>
      <c r="BF231" s="1594"/>
      <c r="BG231" s="1594"/>
      <c r="BH231" s="1594"/>
      <c r="BI231" s="1594"/>
      <c r="BJ231" s="1594"/>
    </row>
    <row r="232" spans="1:62" ht="12.75">
      <c r="A232" s="1594"/>
      <c r="B232" s="1615"/>
      <c r="C232" s="1616" t="s">
        <v>339</v>
      </c>
      <c r="D232" s="1616" t="s">
        <v>148</v>
      </c>
      <c r="E232" s="1616" t="s">
        <v>77</v>
      </c>
      <c r="F232" s="1623">
        <f>19*1000000</f>
        <v>19000000</v>
      </c>
      <c r="G232" s="1616" t="s">
        <v>144</v>
      </c>
      <c r="H232" s="1618">
        <v>1068</v>
      </c>
      <c r="I232" s="1616" t="s">
        <v>748</v>
      </c>
      <c r="J232" s="1618">
        <f>F232*H232/1000000</f>
        <v>20292</v>
      </c>
      <c r="K232" s="1623">
        <v>1198</v>
      </c>
      <c r="L232" s="1697">
        <v>0.02</v>
      </c>
      <c r="M232" s="1680">
        <v>0</v>
      </c>
      <c r="N232" s="1594"/>
      <c r="O232" s="1594"/>
      <c r="P232" s="1594"/>
      <c r="Q232" s="1594"/>
      <c r="R232" s="1594"/>
      <c r="S232" s="1594"/>
      <c r="T232" s="1594"/>
      <c r="U232" s="1594"/>
      <c r="V232" s="1594"/>
      <c r="W232" s="1594"/>
      <c r="X232" s="1594"/>
      <c r="Y232" s="1594"/>
      <c r="Z232" s="1594"/>
      <c r="AA232" s="1594"/>
      <c r="AB232" s="1594"/>
      <c r="AC232" s="1594"/>
      <c r="AD232" s="1594"/>
      <c r="AE232" s="1594"/>
      <c r="AF232" s="1594"/>
      <c r="AG232" s="1594"/>
      <c r="AH232" s="1594"/>
      <c r="AI232" s="1594"/>
      <c r="AJ232" s="1594"/>
      <c r="AK232" s="1594"/>
      <c r="AL232" s="1594"/>
      <c r="AM232" s="1594"/>
      <c r="AN232" s="1594"/>
      <c r="AO232" s="1594"/>
      <c r="AP232" s="1594"/>
      <c r="AQ232" s="1594"/>
      <c r="AR232" s="1594"/>
      <c r="AS232" s="1594"/>
      <c r="AT232" s="1594"/>
      <c r="AU232" s="1594"/>
      <c r="AV232" s="1594"/>
      <c r="AW232" s="1594"/>
      <c r="AX232" s="1594"/>
      <c r="AY232" s="1594"/>
      <c r="AZ232" s="1594"/>
      <c r="BA232" s="1594"/>
      <c r="BB232" s="1594"/>
      <c r="BC232" s="1594"/>
      <c r="BD232" s="1594"/>
      <c r="BE232" s="1594"/>
      <c r="BF232" s="1594"/>
      <c r="BG232" s="1594"/>
      <c r="BH232" s="1594"/>
      <c r="BI232" s="1594"/>
      <c r="BJ232" s="1594"/>
    </row>
    <row r="233" spans="1:62" ht="13.5" thickBot="1">
      <c r="A233" s="1594"/>
      <c r="B233" s="1615"/>
      <c r="C233" s="1616"/>
      <c r="D233" s="1616"/>
      <c r="E233" s="1616"/>
      <c r="F233" s="1616"/>
      <c r="G233" s="1616"/>
      <c r="H233" s="1618"/>
      <c r="I233" s="1616"/>
      <c r="J233" s="1616"/>
      <c r="K233" s="1620"/>
      <c r="L233" s="1616"/>
      <c r="M233" s="1624"/>
      <c r="N233" s="1594"/>
      <c r="O233" s="1594"/>
      <c r="P233" s="1594"/>
      <c r="Q233" s="1594"/>
      <c r="R233" s="1594"/>
      <c r="S233" s="1594"/>
      <c r="T233" s="1594"/>
      <c r="U233" s="1594"/>
      <c r="V233" s="1594"/>
      <c r="W233" s="1594"/>
      <c r="X233" s="1594"/>
      <c r="Y233" s="1594"/>
      <c r="Z233" s="1594"/>
      <c r="AA233" s="1594"/>
      <c r="AB233" s="1594"/>
      <c r="AC233" s="1594"/>
      <c r="AD233" s="1594"/>
      <c r="AE233" s="1594"/>
      <c r="AF233" s="1594"/>
      <c r="AG233" s="1594"/>
      <c r="AH233" s="1594"/>
      <c r="AI233" s="1594"/>
      <c r="AJ233" s="1594"/>
      <c r="AK233" s="1594"/>
      <c r="AL233" s="1594"/>
      <c r="AM233" s="1594"/>
      <c r="AN233" s="1594"/>
      <c r="AO233" s="1594"/>
      <c r="AP233" s="1594"/>
      <c r="AQ233" s="1594"/>
      <c r="AR233" s="1594"/>
      <c r="AS233" s="1594"/>
      <c r="AT233" s="1594"/>
      <c r="AU233" s="1594"/>
      <c r="AV233" s="1594"/>
      <c r="AW233" s="1594"/>
      <c r="AX233" s="1594"/>
      <c r="AY233" s="1594"/>
      <c r="AZ233" s="1594"/>
      <c r="BA233" s="1594"/>
      <c r="BB233" s="1594"/>
      <c r="BC233" s="1594"/>
      <c r="BD233" s="1594"/>
      <c r="BE233" s="1594"/>
      <c r="BF233" s="1594"/>
      <c r="BG233" s="1594"/>
      <c r="BH233" s="1594"/>
      <c r="BI233" s="1594"/>
      <c r="BJ233" s="1594"/>
    </row>
    <row r="234" spans="1:62" ht="12.75">
      <c r="A234" s="1594"/>
      <c r="B234" s="1660"/>
      <c r="C234" s="1613"/>
      <c r="D234" s="1613"/>
      <c r="E234" s="1613"/>
      <c r="F234" s="1613"/>
      <c r="G234" s="1613"/>
      <c r="H234" s="1613"/>
      <c r="I234" s="1613"/>
      <c r="J234" s="1613"/>
      <c r="K234" s="1613"/>
      <c r="L234" s="1613"/>
      <c r="M234" s="1662"/>
      <c r="N234" s="1594"/>
      <c r="O234" s="1594"/>
      <c r="P234" s="1594"/>
      <c r="Q234" s="1594"/>
      <c r="R234" s="1594"/>
      <c r="S234" s="1594"/>
      <c r="T234" s="1594"/>
      <c r="U234" s="1594"/>
      <c r="V234" s="1594"/>
      <c r="W234" s="1594"/>
      <c r="X234" s="1594"/>
      <c r="Y234" s="1594"/>
      <c r="Z234" s="1594"/>
      <c r="AA234" s="1594"/>
      <c r="AB234" s="1594"/>
      <c r="AC234" s="1594"/>
      <c r="AD234" s="1594"/>
      <c r="AE234" s="1594"/>
      <c r="AF234" s="1594"/>
      <c r="AG234" s="1594"/>
      <c r="AH234" s="1594"/>
      <c r="AI234" s="1594"/>
      <c r="AJ234" s="1594"/>
      <c r="AK234" s="1594"/>
      <c r="AL234" s="1594"/>
      <c r="AM234" s="1594"/>
      <c r="AN234" s="1594"/>
      <c r="AO234" s="1594"/>
      <c r="AP234" s="1594"/>
      <c r="AQ234" s="1594"/>
      <c r="AR234" s="1594"/>
      <c r="AS234" s="1594"/>
      <c r="AT234" s="1594"/>
      <c r="AU234" s="1594"/>
      <c r="AV234" s="1594"/>
      <c r="AW234" s="1594"/>
      <c r="AX234" s="1594"/>
      <c r="AY234" s="1594"/>
      <c r="AZ234" s="1594"/>
      <c r="BA234" s="1594"/>
      <c r="BB234" s="1594"/>
      <c r="BC234" s="1594"/>
      <c r="BD234" s="1594"/>
      <c r="BE234" s="1594"/>
      <c r="BF234" s="1594"/>
      <c r="BG234" s="1594"/>
      <c r="BH234" s="1594"/>
      <c r="BI234" s="1594"/>
      <c r="BJ234" s="1594"/>
    </row>
    <row r="235" spans="1:62" ht="12.75">
      <c r="A235" s="1594"/>
      <c r="B235" s="1615"/>
      <c r="C235" s="1616"/>
      <c r="D235" s="1616"/>
      <c r="E235" s="1616"/>
      <c r="F235" s="1616"/>
      <c r="G235" s="1616"/>
      <c r="H235" s="1616"/>
      <c r="I235" s="1616"/>
      <c r="J235" s="1616"/>
      <c r="K235" s="1616"/>
      <c r="L235" s="1616"/>
      <c r="M235" s="1624"/>
      <c r="N235" s="1594"/>
      <c r="O235" s="1594"/>
      <c r="P235" s="1594"/>
      <c r="Q235" s="1594"/>
      <c r="R235" s="1594"/>
      <c r="S235" s="1594"/>
      <c r="T235" s="1594"/>
      <c r="U235" s="1594"/>
      <c r="V235" s="1594"/>
      <c r="W235" s="1594"/>
      <c r="X235" s="1594"/>
      <c r="Y235" s="1594"/>
      <c r="Z235" s="1594"/>
      <c r="AA235" s="1594"/>
      <c r="AB235" s="1594"/>
      <c r="AC235" s="1594"/>
      <c r="AD235" s="1594"/>
      <c r="AE235" s="1594"/>
      <c r="AF235" s="1594"/>
      <c r="AG235" s="1594"/>
      <c r="AH235" s="1594"/>
      <c r="AI235" s="1594"/>
      <c r="AJ235" s="1594"/>
      <c r="AK235" s="1594"/>
      <c r="AL235" s="1594"/>
      <c r="AM235" s="1594"/>
      <c r="AN235" s="1594"/>
      <c r="AO235" s="1594"/>
      <c r="AP235" s="1594"/>
      <c r="AQ235" s="1594"/>
      <c r="AR235" s="1594"/>
      <c r="AS235" s="1594"/>
      <c r="AT235" s="1594"/>
      <c r="AU235" s="1594"/>
      <c r="AV235" s="1594"/>
      <c r="AW235" s="1594"/>
      <c r="AX235" s="1594"/>
      <c r="AY235" s="1594"/>
      <c r="AZ235" s="1594"/>
      <c r="BA235" s="1594"/>
      <c r="BB235" s="1594"/>
      <c r="BC235" s="1594"/>
      <c r="BD235" s="1594"/>
      <c r="BE235" s="1594"/>
      <c r="BF235" s="1594"/>
      <c r="BG235" s="1594"/>
      <c r="BH235" s="1594"/>
      <c r="BI235" s="1594"/>
      <c r="BJ235" s="1594"/>
    </row>
    <row r="236" spans="1:62" ht="12.75">
      <c r="A236" s="1594"/>
      <c r="B236" s="1615" t="s">
        <v>305</v>
      </c>
      <c r="C236" s="163" t="s">
        <v>118</v>
      </c>
      <c r="D236" s="1616"/>
      <c r="E236" s="1616"/>
      <c r="F236" s="1616"/>
      <c r="G236" s="1616"/>
      <c r="H236" s="1616"/>
      <c r="I236" s="1616"/>
      <c r="J236" s="1616"/>
      <c r="K236" s="1616"/>
      <c r="L236" s="1616"/>
      <c r="M236" s="1624"/>
      <c r="N236" s="1594"/>
      <c r="O236" s="1594"/>
      <c r="P236" s="1594"/>
      <c r="Q236" s="1594"/>
      <c r="R236" s="1594"/>
      <c r="S236" s="1594"/>
      <c r="T236" s="1594"/>
      <c r="U236" s="1594"/>
      <c r="V236" s="1594"/>
      <c r="W236" s="1594"/>
      <c r="X236" s="1594"/>
      <c r="Y236" s="1594"/>
      <c r="Z236" s="1594"/>
      <c r="AA236" s="1594"/>
      <c r="AB236" s="1594"/>
      <c r="AC236" s="1594"/>
      <c r="AD236" s="1594"/>
      <c r="AE236" s="1594"/>
      <c r="AF236" s="1594"/>
      <c r="AG236" s="1594"/>
      <c r="AH236" s="1594"/>
      <c r="AI236" s="1594"/>
      <c r="AJ236" s="1594"/>
      <c r="AK236" s="1594"/>
      <c r="AL236" s="1594"/>
      <c r="AM236" s="1594"/>
      <c r="AN236" s="1594"/>
      <c r="AO236" s="1594"/>
      <c r="AP236" s="1594"/>
      <c r="AQ236" s="1594"/>
      <c r="AR236" s="1594"/>
      <c r="AS236" s="1594"/>
      <c r="AT236" s="1594"/>
      <c r="AU236" s="1594"/>
      <c r="AV236" s="1594"/>
      <c r="AW236" s="1594"/>
      <c r="AX236" s="1594"/>
      <c r="AY236" s="1594"/>
      <c r="AZ236" s="1594"/>
      <c r="BA236" s="1594"/>
      <c r="BB236" s="1594"/>
      <c r="BC236" s="1594"/>
      <c r="BD236" s="1594"/>
      <c r="BE236" s="1594"/>
      <c r="BF236" s="1594"/>
      <c r="BG236" s="1594"/>
      <c r="BH236" s="1594"/>
      <c r="BI236" s="1594"/>
      <c r="BJ236" s="1594"/>
    </row>
    <row r="237" spans="1:62" ht="12.75">
      <c r="A237" s="1594"/>
      <c r="B237" s="1615"/>
      <c r="C237" s="1616" t="s">
        <v>119</v>
      </c>
      <c r="D237" s="1616" t="s">
        <v>40</v>
      </c>
      <c r="E237" s="1616" t="s">
        <v>47</v>
      </c>
      <c r="F237" s="1623">
        <f>370*1000</f>
        <v>370000</v>
      </c>
      <c r="G237" s="1616" t="s">
        <v>67</v>
      </c>
      <c r="H237" s="1616">
        <v>138</v>
      </c>
      <c r="I237" s="1616" t="s">
        <v>756</v>
      </c>
      <c r="J237" s="1616">
        <f>F237*H237/1000</f>
        <v>51060</v>
      </c>
      <c r="K237" s="1623">
        <v>4159</v>
      </c>
      <c r="L237" s="1656">
        <v>0.01</v>
      </c>
      <c r="M237" s="1710">
        <v>0</v>
      </c>
      <c r="N237" s="1594"/>
      <c r="O237" s="1594"/>
      <c r="P237" s="1594"/>
      <c r="Q237" s="1594"/>
      <c r="R237" s="1594"/>
      <c r="S237" s="1594"/>
      <c r="T237" s="1594"/>
      <c r="U237" s="1594"/>
      <c r="V237" s="1594"/>
      <c r="W237" s="1594"/>
      <c r="X237" s="1594"/>
      <c r="Y237" s="1594"/>
      <c r="Z237" s="1594"/>
      <c r="AA237" s="1594"/>
      <c r="AB237" s="1594"/>
      <c r="AC237" s="1594"/>
      <c r="AD237" s="1594"/>
      <c r="AE237" s="1594"/>
      <c r="AF237" s="1594"/>
      <c r="AG237" s="1594"/>
      <c r="AH237" s="1594"/>
      <c r="AI237" s="1594"/>
      <c r="AJ237" s="1594"/>
      <c r="AK237" s="1594"/>
      <c r="AL237" s="1594"/>
      <c r="AM237" s="1594"/>
      <c r="AN237" s="1594"/>
      <c r="AO237" s="1594"/>
      <c r="AP237" s="1594"/>
      <c r="AQ237" s="1594"/>
      <c r="AR237" s="1594"/>
      <c r="AS237" s="1594"/>
      <c r="AT237" s="1594"/>
      <c r="AU237" s="1594"/>
      <c r="AV237" s="1594"/>
      <c r="AW237" s="1594"/>
      <c r="AX237" s="1594"/>
      <c r="AY237" s="1594"/>
      <c r="AZ237" s="1594"/>
      <c r="BA237" s="1594"/>
      <c r="BB237" s="1594"/>
      <c r="BC237" s="1594"/>
      <c r="BD237" s="1594"/>
      <c r="BE237" s="1594"/>
      <c r="BF237" s="1594"/>
      <c r="BG237" s="1594"/>
      <c r="BH237" s="1594"/>
      <c r="BI237" s="1594"/>
      <c r="BJ237" s="1594"/>
    </row>
    <row r="238" spans="1:62" ht="12.75">
      <c r="A238" s="1594"/>
      <c r="B238" s="1615"/>
      <c r="C238" s="1616" t="s">
        <v>120</v>
      </c>
      <c r="D238" s="1616" t="s">
        <v>42</v>
      </c>
      <c r="E238" s="1616" t="s">
        <v>47</v>
      </c>
      <c r="F238" s="1623">
        <f>460*1000</f>
        <v>460000</v>
      </c>
      <c r="G238" s="1616" t="s">
        <v>67</v>
      </c>
      <c r="H238" s="1616">
        <v>138</v>
      </c>
      <c r="I238" s="1616" t="s">
        <v>756</v>
      </c>
      <c r="J238" s="1616">
        <f>F238*H238/1000</f>
        <v>63480</v>
      </c>
      <c r="K238" s="1623">
        <v>5171</v>
      </c>
      <c r="L238" s="1656">
        <v>0.02</v>
      </c>
      <c r="M238" s="1710">
        <v>0</v>
      </c>
      <c r="N238" s="1594"/>
      <c r="O238" s="1594"/>
      <c r="P238" s="1594"/>
      <c r="Q238" s="1594"/>
      <c r="R238" s="1594"/>
      <c r="S238" s="1594"/>
      <c r="T238" s="1594"/>
      <c r="U238" s="1594"/>
      <c r="V238" s="1594"/>
      <c r="W238" s="1594"/>
      <c r="X238" s="1594"/>
      <c r="Y238" s="1594"/>
      <c r="Z238" s="1594"/>
      <c r="AA238" s="1594"/>
      <c r="AB238" s="1594"/>
      <c r="AC238" s="1594"/>
      <c r="AD238" s="1594"/>
      <c r="AE238" s="1594"/>
      <c r="AF238" s="1594"/>
      <c r="AG238" s="1594"/>
      <c r="AH238" s="1594"/>
      <c r="AI238" s="1594"/>
      <c r="AJ238" s="1594"/>
      <c r="AK238" s="1594"/>
      <c r="AL238" s="1594"/>
      <c r="AM238" s="1594"/>
      <c r="AN238" s="1594"/>
      <c r="AO238" s="1594"/>
      <c r="AP238" s="1594"/>
      <c r="AQ238" s="1594"/>
      <c r="AR238" s="1594"/>
      <c r="AS238" s="1594"/>
      <c r="AT238" s="1594"/>
      <c r="AU238" s="1594"/>
      <c r="AV238" s="1594"/>
      <c r="AW238" s="1594"/>
      <c r="AX238" s="1594"/>
      <c r="AY238" s="1594"/>
      <c r="AZ238" s="1594"/>
      <c r="BA238" s="1594"/>
      <c r="BB238" s="1594"/>
      <c r="BC238" s="1594"/>
      <c r="BD238" s="1594"/>
      <c r="BE238" s="1594"/>
      <c r="BF238" s="1594"/>
      <c r="BG238" s="1594"/>
      <c r="BH238" s="1594"/>
      <c r="BI238" s="1594"/>
      <c r="BJ238" s="1594"/>
    </row>
    <row r="239" spans="1:62" ht="12.75">
      <c r="A239" s="1594"/>
      <c r="B239" s="1615"/>
      <c r="C239" s="1616" t="s">
        <v>121</v>
      </c>
      <c r="D239" s="1616" t="s">
        <v>44</v>
      </c>
      <c r="E239" s="1616" t="s">
        <v>47</v>
      </c>
      <c r="F239" s="1623">
        <f>458*1000</f>
        <v>458000</v>
      </c>
      <c r="G239" s="1616" t="s">
        <v>67</v>
      </c>
      <c r="H239" s="1616">
        <v>138</v>
      </c>
      <c r="I239" s="1616" t="s">
        <v>756</v>
      </c>
      <c r="J239" s="1616">
        <f>F239*H239/1000</f>
        <v>63204</v>
      </c>
      <c r="K239" s="1623">
        <v>5148</v>
      </c>
      <c r="L239" s="1656">
        <v>0.02</v>
      </c>
      <c r="M239" s="1710">
        <v>0</v>
      </c>
      <c r="N239" s="1594"/>
      <c r="O239" s="1594"/>
      <c r="P239" s="1594"/>
      <c r="Q239" s="1594"/>
      <c r="R239" s="1594"/>
      <c r="S239" s="1594"/>
      <c r="T239" s="1594"/>
      <c r="U239" s="1594"/>
      <c r="V239" s="1594"/>
      <c r="W239" s="1594"/>
      <c r="X239" s="1594"/>
      <c r="Y239" s="1594"/>
      <c r="Z239" s="1594"/>
      <c r="AA239" s="1594"/>
      <c r="AB239" s="1594"/>
      <c r="AC239" s="1594"/>
      <c r="AD239" s="1594"/>
      <c r="AE239" s="1594"/>
      <c r="AF239" s="1594"/>
      <c r="AG239" s="1594"/>
      <c r="AH239" s="1594"/>
      <c r="AI239" s="1594"/>
      <c r="AJ239" s="1594"/>
      <c r="AK239" s="1594"/>
      <c r="AL239" s="1594"/>
      <c r="AM239" s="1594"/>
      <c r="AN239" s="1594"/>
      <c r="AO239" s="1594"/>
      <c r="AP239" s="1594"/>
      <c r="AQ239" s="1594"/>
      <c r="AR239" s="1594"/>
      <c r="AS239" s="1594"/>
      <c r="AT239" s="1594"/>
      <c r="AU239" s="1594"/>
      <c r="AV239" s="1594"/>
      <c r="AW239" s="1594"/>
      <c r="AX239" s="1594"/>
      <c r="AY239" s="1594"/>
      <c r="AZ239" s="1594"/>
      <c r="BA239" s="1594"/>
      <c r="BB239" s="1594"/>
      <c r="BC239" s="1594"/>
      <c r="BD239" s="1594"/>
      <c r="BE239" s="1594"/>
      <c r="BF239" s="1594"/>
      <c r="BG239" s="1594"/>
      <c r="BH239" s="1594"/>
      <c r="BI239" s="1594"/>
      <c r="BJ239" s="1594"/>
    </row>
    <row r="240" spans="1:62" ht="12.75">
      <c r="A240" s="1594"/>
      <c r="B240" s="1615"/>
      <c r="C240" s="1616" t="s">
        <v>122</v>
      </c>
      <c r="D240" s="1616" t="s">
        <v>46</v>
      </c>
      <c r="E240" s="1616" t="s">
        <v>47</v>
      </c>
      <c r="F240" s="1623">
        <f>457*1000</f>
        <v>457000</v>
      </c>
      <c r="G240" s="1616" t="s">
        <v>67</v>
      </c>
      <c r="H240" s="1616">
        <v>138</v>
      </c>
      <c r="I240" s="1616" t="s">
        <v>756</v>
      </c>
      <c r="J240" s="1616">
        <f>F240*H240/1000</f>
        <v>63066</v>
      </c>
      <c r="K240" s="1623">
        <v>5137</v>
      </c>
      <c r="L240" s="1656">
        <v>0.02</v>
      </c>
      <c r="M240" s="1710">
        <v>0</v>
      </c>
      <c r="N240" s="1594"/>
      <c r="O240" s="1594"/>
      <c r="P240" s="1594"/>
      <c r="Q240" s="1594"/>
      <c r="R240" s="1594"/>
      <c r="S240" s="1594"/>
      <c r="T240" s="1594"/>
      <c r="U240" s="1594"/>
      <c r="V240" s="1594"/>
      <c r="W240" s="1594"/>
      <c r="X240" s="1594"/>
      <c r="Y240" s="1594"/>
      <c r="Z240" s="1594"/>
      <c r="AA240" s="1594"/>
      <c r="AB240" s="1594"/>
      <c r="AC240" s="1594"/>
      <c r="AD240" s="1594"/>
      <c r="AE240" s="1594"/>
      <c r="AF240" s="1594"/>
      <c r="AG240" s="1594"/>
      <c r="AH240" s="1594"/>
      <c r="AI240" s="1594"/>
      <c r="AJ240" s="1594"/>
      <c r="AK240" s="1594"/>
      <c r="AL240" s="1594"/>
      <c r="AM240" s="1594"/>
      <c r="AN240" s="1594"/>
      <c r="AO240" s="1594"/>
      <c r="AP240" s="1594"/>
      <c r="AQ240" s="1594"/>
      <c r="AR240" s="1594"/>
      <c r="AS240" s="1594"/>
      <c r="AT240" s="1594"/>
      <c r="AU240" s="1594"/>
      <c r="AV240" s="1594"/>
      <c r="AW240" s="1594"/>
      <c r="AX240" s="1594"/>
      <c r="AY240" s="1594"/>
      <c r="AZ240" s="1594"/>
      <c r="BA240" s="1594"/>
      <c r="BB240" s="1594"/>
      <c r="BC240" s="1594"/>
      <c r="BD240" s="1594"/>
      <c r="BE240" s="1594"/>
      <c r="BF240" s="1594"/>
      <c r="BG240" s="1594"/>
      <c r="BH240" s="1594"/>
      <c r="BI240" s="1594"/>
      <c r="BJ240" s="1594"/>
    </row>
    <row r="241" spans="1:62" ht="13.5" thickBot="1">
      <c r="A241" s="1594"/>
      <c r="B241" s="1615"/>
      <c r="C241" s="1616"/>
      <c r="D241" s="1616"/>
      <c r="E241" s="1616"/>
      <c r="F241" s="1616"/>
      <c r="G241" s="1616"/>
      <c r="H241" s="1616"/>
      <c r="I241" s="1616"/>
      <c r="J241" s="1616"/>
      <c r="K241" s="1620"/>
      <c r="L241" s="1616"/>
      <c r="M241" s="1624"/>
      <c r="N241" s="1594"/>
      <c r="O241" s="1594"/>
      <c r="P241" s="1594"/>
      <c r="Q241" s="1594"/>
      <c r="R241" s="1594"/>
      <c r="S241" s="1594"/>
      <c r="T241" s="1594"/>
      <c r="U241" s="1594"/>
      <c r="V241" s="1594"/>
      <c r="W241" s="1594"/>
      <c r="X241" s="1594"/>
      <c r="Y241" s="1594"/>
      <c r="Z241" s="1594"/>
      <c r="AA241" s="1594"/>
      <c r="AB241" s="1594"/>
      <c r="AC241" s="1594"/>
      <c r="AD241" s="1594"/>
      <c r="AE241" s="1594"/>
      <c r="AF241" s="1594"/>
      <c r="AG241" s="1594"/>
      <c r="AH241" s="1594"/>
      <c r="AI241" s="1594"/>
      <c r="AJ241" s="1594"/>
      <c r="AK241" s="1594"/>
      <c r="AL241" s="1594"/>
      <c r="AM241" s="1594"/>
      <c r="AN241" s="1594"/>
      <c r="AO241" s="1594"/>
      <c r="AP241" s="1594"/>
      <c r="AQ241" s="1594"/>
      <c r="AR241" s="1594"/>
      <c r="AS241" s="1594"/>
      <c r="AT241" s="1594"/>
      <c r="AU241" s="1594"/>
      <c r="AV241" s="1594"/>
      <c r="AW241" s="1594"/>
      <c r="AX241" s="1594"/>
      <c r="AY241" s="1594"/>
      <c r="AZ241" s="1594"/>
      <c r="BA241" s="1594"/>
      <c r="BB241" s="1594"/>
      <c r="BC241" s="1594"/>
      <c r="BD241" s="1594"/>
      <c r="BE241" s="1594"/>
      <c r="BF241" s="1594"/>
      <c r="BG241" s="1594"/>
      <c r="BH241" s="1594"/>
      <c r="BI241" s="1594"/>
      <c r="BJ241" s="1594"/>
    </row>
    <row r="242" spans="1:62" ht="12.75">
      <c r="A242" s="1594"/>
      <c r="B242" s="1660"/>
      <c r="C242" s="1613"/>
      <c r="D242" s="1613"/>
      <c r="E242" s="1613"/>
      <c r="F242" s="1613"/>
      <c r="G242" s="1613"/>
      <c r="H242" s="1613"/>
      <c r="I242" s="1613"/>
      <c r="J242" s="1613"/>
      <c r="K242" s="1613"/>
      <c r="L242" s="1613"/>
      <c r="M242" s="1662"/>
      <c r="N242" s="1594"/>
      <c r="O242" s="1594"/>
      <c r="P242" s="1594"/>
      <c r="Q242" s="1594"/>
      <c r="R242" s="1594"/>
      <c r="S242" s="1594"/>
      <c r="T242" s="1594"/>
      <c r="U242" s="1594"/>
      <c r="V242" s="1594"/>
      <c r="W242" s="1594"/>
      <c r="X242" s="1594"/>
      <c r="Y242" s="1594"/>
      <c r="Z242" s="1594"/>
      <c r="AA242" s="1594"/>
      <c r="AB242" s="1594"/>
      <c r="AC242" s="1594"/>
      <c r="AD242" s="1594"/>
      <c r="AE242" s="1594"/>
      <c r="AF242" s="1594"/>
      <c r="AG242" s="1594"/>
      <c r="AH242" s="1594"/>
      <c r="AI242" s="1594"/>
      <c r="AJ242" s="1594"/>
      <c r="AK242" s="1594"/>
      <c r="AL242" s="1594"/>
      <c r="AM242" s="1594"/>
      <c r="AN242" s="1594"/>
      <c r="AO242" s="1594"/>
      <c r="AP242" s="1594"/>
      <c r="AQ242" s="1594"/>
      <c r="AR242" s="1594"/>
      <c r="AS242" s="1594"/>
      <c r="AT242" s="1594"/>
      <c r="AU242" s="1594"/>
      <c r="AV242" s="1594"/>
      <c r="AW242" s="1594"/>
      <c r="AX242" s="1594"/>
      <c r="AY242" s="1594"/>
      <c r="AZ242" s="1594"/>
      <c r="BA242" s="1594"/>
      <c r="BB242" s="1594"/>
      <c r="BC242" s="1594"/>
      <c r="BD242" s="1594"/>
      <c r="BE242" s="1594"/>
      <c r="BF242" s="1594"/>
      <c r="BG242" s="1594"/>
      <c r="BH242" s="1594"/>
      <c r="BI242" s="1594"/>
      <c r="BJ242" s="1594"/>
    </row>
    <row r="243" spans="1:62" ht="12.75">
      <c r="A243" s="1594"/>
      <c r="B243" s="1615"/>
      <c r="C243" s="1616"/>
      <c r="D243" s="1616"/>
      <c r="E243" s="1616"/>
      <c r="F243" s="1616"/>
      <c r="G243" s="1616"/>
      <c r="H243" s="1616"/>
      <c r="I243" s="1616"/>
      <c r="J243" s="1616"/>
      <c r="K243" s="1616"/>
      <c r="L243" s="1616"/>
      <c r="M243" s="1624"/>
      <c r="N243" s="1594"/>
      <c r="O243" s="1594"/>
      <c r="P243" s="1594"/>
      <c r="Q243" s="1594"/>
      <c r="R243" s="1594"/>
      <c r="S243" s="1594"/>
      <c r="T243" s="1594"/>
      <c r="U243" s="1594"/>
      <c r="V243" s="1594"/>
      <c r="W243" s="1594"/>
      <c r="X243" s="1594"/>
      <c r="Y243" s="1594"/>
      <c r="Z243" s="1594"/>
      <c r="AA243" s="1594"/>
      <c r="AB243" s="1594"/>
      <c r="AC243" s="1594"/>
      <c r="AD243" s="1594"/>
      <c r="AE243" s="1594"/>
      <c r="AF243" s="1594"/>
      <c r="AG243" s="1594"/>
      <c r="AH243" s="1594"/>
      <c r="AI243" s="1594"/>
      <c r="AJ243" s="1594"/>
      <c r="AK243" s="1594"/>
      <c r="AL243" s="1594"/>
      <c r="AM243" s="1594"/>
      <c r="AN243" s="1594"/>
      <c r="AO243" s="1594"/>
      <c r="AP243" s="1594"/>
      <c r="AQ243" s="1594"/>
      <c r="AR243" s="1594"/>
      <c r="AS243" s="1594"/>
      <c r="AT243" s="1594"/>
      <c r="AU243" s="1594"/>
      <c r="AV243" s="1594"/>
      <c r="AW243" s="1594"/>
      <c r="AX243" s="1594"/>
      <c r="AY243" s="1594"/>
      <c r="AZ243" s="1594"/>
      <c r="BA243" s="1594"/>
      <c r="BB243" s="1594"/>
      <c r="BC243" s="1594"/>
      <c r="BD243" s="1594"/>
      <c r="BE243" s="1594"/>
      <c r="BF243" s="1594"/>
      <c r="BG243" s="1594"/>
      <c r="BH243" s="1594"/>
      <c r="BI243" s="1594"/>
      <c r="BJ243" s="1594"/>
    </row>
    <row r="244" spans="1:62" ht="12.75">
      <c r="A244" s="1594"/>
      <c r="B244" s="1615" t="s">
        <v>91</v>
      </c>
      <c r="C244" s="163" t="s">
        <v>757</v>
      </c>
      <c r="D244" s="1616"/>
      <c r="E244" s="1616"/>
      <c r="F244" s="1616"/>
      <c r="G244" s="1616"/>
      <c r="H244" s="1616"/>
      <c r="I244" s="1616"/>
      <c r="J244" s="1616"/>
      <c r="K244" s="1616"/>
      <c r="L244" s="1616"/>
      <c r="M244" s="1624"/>
      <c r="N244" s="1594"/>
      <c r="O244" s="1594"/>
      <c r="P244" s="1594"/>
      <c r="Q244" s="1594"/>
      <c r="R244" s="1594"/>
      <c r="S244" s="1594"/>
      <c r="T244" s="1594"/>
      <c r="U244" s="1594"/>
      <c r="V244" s="1594"/>
      <c r="W244" s="1594"/>
      <c r="X244" s="1594"/>
      <c r="Y244" s="1594"/>
      <c r="Z244" s="1594"/>
      <c r="AA244" s="1594"/>
      <c r="AB244" s="1594"/>
      <c r="AC244" s="1594"/>
      <c r="AD244" s="1594"/>
      <c r="AE244" s="1594"/>
      <c r="AF244" s="1594"/>
      <c r="AG244" s="1594"/>
      <c r="AH244" s="1594"/>
      <c r="AI244" s="1594"/>
      <c r="AJ244" s="1594"/>
      <c r="AK244" s="1594"/>
      <c r="AL244" s="1594"/>
      <c r="AM244" s="1594"/>
      <c r="AN244" s="1594"/>
      <c r="AO244" s="1594"/>
      <c r="AP244" s="1594"/>
      <c r="AQ244" s="1594"/>
      <c r="AR244" s="1594"/>
      <c r="AS244" s="1594"/>
      <c r="AT244" s="1594"/>
      <c r="AU244" s="1594"/>
      <c r="AV244" s="1594"/>
      <c r="AW244" s="1594"/>
      <c r="AX244" s="1594"/>
      <c r="AY244" s="1594"/>
      <c r="AZ244" s="1594"/>
      <c r="BA244" s="1594"/>
      <c r="BB244" s="1594"/>
      <c r="BC244" s="1594"/>
      <c r="BD244" s="1594"/>
      <c r="BE244" s="1594"/>
      <c r="BF244" s="1594"/>
      <c r="BG244" s="1594"/>
      <c r="BH244" s="1594"/>
      <c r="BI244" s="1594"/>
      <c r="BJ244" s="1594"/>
    </row>
    <row r="245" spans="1:62" ht="12.75">
      <c r="A245" s="1594"/>
      <c r="B245" s="1615"/>
      <c r="C245" s="1616" t="s">
        <v>92</v>
      </c>
      <c r="D245" s="1616" t="s">
        <v>93</v>
      </c>
      <c r="E245" s="1616" t="s">
        <v>1104</v>
      </c>
      <c r="F245" s="1720">
        <f>(J245*1000)/H245</f>
        <v>495510389.80737144</v>
      </c>
      <c r="G245" s="1616" t="s">
        <v>144</v>
      </c>
      <c r="H245" s="1706">
        <v>1.05488</v>
      </c>
      <c r="I245" s="1616" t="s">
        <v>753</v>
      </c>
      <c r="J245" s="1705">
        <v>522704</v>
      </c>
      <c r="K245" s="1709">
        <v>31063.3</v>
      </c>
      <c r="L245" s="1709">
        <v>13.1</v>
      </c>
      <c r="M245" s="1711">
        <v>15.16</v>
      </c>
      <c r="N245" s="1594"/>
      <c r="O245" s="1594"/>
      <c r="P245" s="1594"/>
      <c r="Q245" s="1594"/>
      <c r="R245" s="1594"/>
      <c r="S245" s="1594"/>
      <c r="T245" s="1594"/>
      <c r="U245" s="1594"/>
      <c r="V245" s="1594"/>
      <c r="W245" s="1594"/>
      <c r="X245" s="1594"/>
      <c r="Y245" s="1594"/>
      <c r="Z245" s="1594"/>
      <c r="AA245" s="1594"/>
      <c r="AB245" s="1594"/>
      <c r="AC245" s="1594"/>
      <c r="AD245" s="1594"/>
      <c r="AE245" s="1594"/>
      <c r="AF245" s="1594"/>
      <c r="AG245" s="1594"/>
      <c r="AH245" s="1594"/>
      <c r="AI245" s="1594"/>
      <c r="AJ245" s="1594"/>
      <c r="AK245" s="1594"/>
      <c r="AL245" s="1594"/>
      <c r="AM245" s="1594"/>
      <c r="AN245" s="1594"/>
      <c r="AO245" s="1594"/>
      <c r="AP245" s="1594"/>
      <c r="AQ245" s="1594"/>
      <c r="AR245" s="1594"/>
      <c r="AS245" s="1594"/>
      <c r="AT245" s="1594"/>
      <c r="AU245" s="1594"/>
      <c r="AV245" s="1594"/>
      <c r="AW245" s="1594"/>
      <c r="AX245" s="1594"/>
      <c r="AY245" s="1594"/>
      <c r="AZ245" s="1594"/>
      <c r="BA245" s="1594"/>
      <c r="BB245" s="1594"/>
      <c r="BC245" s="1594"/>
      <c r="BD245" s="1594"/>
      <c r="BE245" s="1594"/>
      <c r="BF245" s="1594"/>
      <c r="BG245" s="1594"/>
      <c r="BH245" s="1594"/>
      <c r="BI245" s="1594"/>
      <c r="BJ245" s="1594"/>
    </row>
    <row r="246" spans="1:62" ht="12.75">
      <c r="A246" s="1594"/>
      <c r="B246" s="1615"/>
      <c r="C246" s="1616" t="s">
        <v>94</v>
      </c>
      <c r="D246" s="1616" t="s">
        <v>95</v>
      </c>
      <c r="E246" s="1616" t="s">
        <v>1104</v>
      </c>
      <c r="F246" s="1720">
        <f>(J246*1000)/H246</f>
        <v>485497876.53571969</v>
      </c>
      <c r="G246" s="1616" t="s">
        <v>144</v>
      </c>
      <c r="H246" s="1706">
        <v>1.05488</v>
      </c>
      <c r="I246" s="1616" t="s">
        <v>753</v>
      </c>
      <c r="J246" s="1705">
        <v>512142</v>
      </c>
      <c r="K246" s="1709">
        <v>30436.1</v>
      </c>
      <c r="L246" s="1709">
        <v>12.8</v>
      </c>
      <c r="M246" s="1711">
        <v>15.3</v>
      </c>
      <c r="N246" s="1594"/>
      <c r="O246" s="1594"/>
      <c r="P246" s="1594"/>
      <c r="Q246" s="1594"/>
      <c r="R246" s="1594"/>
      <c r="S246" s="1594"/>
      <c r="T246" s="1594"/>
      <c r="U246" s="1594"/>
      <c r="V246" s="1594"/>
      <c r="W246" s="1594"/>
      <c r="X246" s="1594"/>
      <c r="Y246" s="1594"/>
      <c r="Z246" s="1594"/>
      <c r="AA246" s="1594"/>
      <c r="AB246" s="1594"/>
      <c r="AC246" s="1594"/>
      <c r="AD246" s="1594"/>
      <c r="AE246" s="1594"/>
      <c r="AF246" s="1594"/>
      <c r="AG246" s="1594"/>
      <c r="AH246" s="1594"/>
      <c r="AI246" s="1594"/>
      <c r="AJ246" s="1594"/>
      <c r="AK246" s="1594"/>
      <c r="AL246" s="1594"/>
      <c r="AM246" s="1594"/>
      <c r="AN246" s="1594"/>
      <c r="AO246" s="1594"/>
      <c r="AP246" s="1594"/>
      <c r="AQ246" s="1594"/>
      <c r="AR246" s="1594"/>
      <c r="AS246" s="1594"/>
      <c r="AT246" s="1594"/>
      <c r="AU246" s="1594"/>
      <c r="AV246" s="1594"/>
      <c r="AW246" s="1594"/>
      <c r="AX246" s="1594"/>
      <c r="AY246" s="1594"/>
      <c r="AZ246" s="1594"/>
      <c r="BA246" s="1594"/>
      <c r="BB246" s="1594"/>
      <c r="BC246" s="1594"/>
      <c r="BD246" s="1594"/>
      <c r="BE246" s="1594"/>
      <c r="BF246" s="1594"/>
      <c r="BG246" s="1594"/>
      <c r="BH246" s="1594"/>
      <c r="BI246" s="1594"/>
      <c r="BJ246" s="1594"/>
    </row>
    <row r="247" spans="1:62" ht="12.75">
      <c r="A247" s="1594"/>
      <c r="B247" s="1615"/>
      <c r="C247" s="1616" t="s">
        <v>96</v>
      </c>
      <c r="D247" s="1616" t="s">
        <v>97</v>
      </c>
      <c r="E247" s="1616" t="s">
        <v>1104</v>
      </c>
      <c r="F247" s="1720">
        <f>(J247*1000)/H247</f>
        <v>1002311163.3550736</v>
      </c>
      <c r="G247" s="1616" t="s">
        <v>144</v>
      </c>
      <c r="H247" s="1706">
        <v>1.05488</v>
      </c>
      <c r="I247" s="1616" t="s">
        <v>753</v>
      </c>
      <c r="J247" s="1705">
        <v>1057318</v>
      </c>
      <c r="K247" s="1709">
        <v>62834.5</v>
      </c>
      <c r="L247" s="1709">
        <v>26.4</v>
      </c>
      <c r="M247" s="1711">
        <v>31.5</v>
      </c>
      <c r="N247" s="1594"/>
      <c r="O247" s="1594"/>
      <c r="P247" s="1594"/>
      <c r="Q247" s="1594"/>
      <c r="R247" s="1594"/>
      <c r="S247" s="1594"/>
      <c r="T247" s="1594"/>
      <c r="U247" s="1594"/>
      <c r="V247" s="1594"/>
      <c r="W247" s="1594"/>
      <c r="X247" s="1594"/>
      <c r="Y247" s="1594"/>
      <c r="Z247" s="1594"/>
      <c r="AA247" s="1594"/>
      <c r="AB247" s="1594"/>
      <c r="AC247" s="1594"/>
      <c r="AD247" s="1594"/>
      <c r="AE247" s="1594"/>
      <c r="AF247" s="1594"/>
      <c r="AG247" s="1594"/>
      <c r="AH247" s="1594"/>
      <c r="AI247" s="1594"/>
      <c r="AJ247" s="1594"/>
      <c r="AK247" s="1594"/>
      <c r="AL247" s="1594"/>
      <c r="AM247" s="1594"/>
      <c r="AN247" s="1594"/>
      <c r="AO247" s="1594"/>
      <c r="AP247" s="1594"/>
      <c r="AQ247" s="1594"/>
      <c r="AR247" s="1594"/>
      <c r="AS247" s="1594"/>
      <c r="AT247" s="1594"/>
      <c r="AU247" s="1594"/>
      <c r="AV247" s="1594"/>
      <c r="AW247" s="1594"/>
      <c r="AX247" s="1594"/>
      <c r="AY247" s="1594"/>
      <c r="AZ247" s="1594"/>
      <c r="BA247" s="1594"/>
      <c r="BB247" s="1594"/>
      <c r="BC247" s="1594"/>
      <c r="BD247" s="1594"/>
      <c r="BE247" s="1594"/>
      <c r="BF247" s="1594"/>
      <c r="BG247" s="1594"/>
      <c r="BH247" s="1594"/>
      <c r="BI247" s="1594"/>
      <c r="BJ247" s="1594"/>
    </row>
    <row r="248" spans="1:62" ht="12.75">
      <c r="A248" s="1594"/>
      <c r="B248" s="1615"/>
      <c r="C248" s="1616" t="s">
        <v>98</v>
      </c>
      <c r="D248" s="1616" t="s">
        <v>99</v>
      </c>
      <c r="E248" s="1616" t="s">
        <v>1104</v>
      </c>
      <c r="F248" s="1720">
        <f>(J248*1000)/H248</f>
        <v>1026439026.2399514</v>
      </c>
      <c r="G248" s="1616" t="s">
        <v>144</v>
      </c>
      <c r="H248" s="1706">
        <v>1.05488</v>
      </c>
      <c r="I248" s="1616" t="s">
        <v>753</v>
      </c>
      <c r="J248" s="1705">
        <v>1082770</v>
      </c>
      <c r="K248" s="1709">
        <v>64347.7</v>
      </c>
      <c r="L248" s="1709">
        <v>27.1</v>
      </c>
      <c r="M248" s="1711">
        <v>32.299999999999997</v>
      </c>
      <c r="N248" s="1594"/>
      <c r="O248" s="1594"/>
      <c r="P248" s="1594"/>
      <c r="Q248" s="1594"/>
      <c r="R248" s="1594"/>
      <c r="S248" s="1594"/>
      <c r="T248" s="1594"/>
      <c r="U248" s="1594"/>
      <c r="V248" s="1594"/>
      <c r="W248" s="1594"/>
      <c r="X248" s="1594"/>
      <c r="Y248" s="1594"/>
      <c r="Z248" s="1594"/>
      <c r="AA248" s="1594"/>
      <c r="AB248" s="1594"/>
      <c r="AC248" s="1594"/>
      <c r="AD248" s="1594"/>
      <c r="AE248" s="1594"/>
      <c r="AF248" s="1594"/>
      <c r="AG248" s="1594"/>
      <c r="AH248" s="1594"/>
      <c r="AI248" s="1594"/>
      <c r="AJ248" s="1594"/>
      <c r="AK248" s="1594"/>
      <c r="AL248" s="1594"/>
      <c r="AM248" s="1594"/>
      <c r="AN248" s="1594"/>
      <c r="AO248" s="1594"/>
      <c r="AP248" s="1594"/>
      <c r="AQ248" s="1594"/>
      <c r="AR248" s="1594"/>
      <c r="AS248" s="1594"/>
      <c r="AT248" s="1594"/>
      <c r="AU248" s="1594"/>
      <c r="AV248" s="1594"/>
      <c r="AW248" s="1594"/>
      <c r="AX248" s="1594"/>
      <c r="AY248" s="1594"/>
      <c r="AZ248" s="1594"/>
      <c r="BA248" s="1594"/>
      <c r="BB248" s="1594"/>
      <c r="BC248" s="1594"/>
      <c r="BD248" s="1594"/>
      <c r="BE248" s="1594"/>
      <c r="BF248" s="1594"/>
      <c r="BG248" s="1594"/>
      <c r="BH248" s="1594"/>
      <c r="BI248" s="1594"/>
      <c r="BJ248" s="1594"/>
    </row>
    <row r="249" spans="1:62" ht="12.75">
      <c r="A249" s="1594"/>
      <c r="B249" s="1615"/>
      <c r="C249" s="1616" t="s">
        <v>340</v>
      </c>
      <c r="D249" s="1616" t="s">
        <v>341</v>
      </c>
      <c r="E249" s="1616" t="s">
        <v>1104</v>
      </c>
      <c r="F249" s="1705">
        <v>10541000</v>
      </c>
      <c r="G249" s="1616" t="s">
        <v>144</v>
      </c>
      <c r="H249" s="1706">
        <v>1.05488</v>
      </c>
      <c r="I249" s="1616" t="s">
        <v>753</v>
      </c>
      <c r="J249" s="1705">
        <f>(F249*H249)/1000</f>
        <v>11119.49008</v>
      </c>
      <c r="K249" s="1709">
        <v>632.4</v>
      </c>
      <c r="L249" s="1709">
        <v>1.2E-2</v>
      </c>
      <c r="M249" s="1711">
        <v>1E-3</v>
      </c>
      <c r="N249" s="1594"/>
      <c r="O249" s="1594"/>
      <c r="P249" s="1594"/>
      <c r="Q249" s="1594"/>
      <c r="R249" s="1594"/>
      <c r="S249" s="1594"/>
      <c r="T249" s="1594"/>
      <c r="U249" s="1594"/>
      <c r="V249" s="1594"/>
      <c r="W249" s="1594"/>
      <c r="X249" s="1594"/>
      <c r="Y249" s="1594"/>
      <c r="Z249" s="1594"/>
      <c r="AA249" s="1594"/>
      <c r="AB249" s="1594"/>
      <c r="AC249" s="1594"/>
      <c r="AD249" s="1594"/>
      <c r="AE249" s="1594"/>
      <c r="AF249" s="1594"/>
      <c r="AG249" s="1594"/>
      <c r="AH249" s="1594"/>
      <c r="AI249" s="1594"/>
      <c r="AJ249" s="1594"/>
      <c r="AK249" s="1594"/>
      <c r="AL249" s="1594"/>
      <c r="AM249" s="1594"/>
      <c r="AN249" s="1594"/>
      <c r="AO249" s="1594"/>
      <c r="AP249" s="1594"/>
      <c r="AQ249" s="1594"/>
      <c r="AR249" s="1594"/>
      <c r="AS249" s="1594"/>
      <c r="AT249" s="1594"/>
      <c r="AU249" s="1594"/>
      <c r="AV249" s="1594"/>
      <c r="AW249" s="1594"/>
      <c r="AX249" s="1594"/>
      <c r="AY249" s="1594"/>
      <c r="AZ249" s="1594"/>
      <c r="BA249" s="1594"/>
      <c r="BB249" s="1594"/>
      <c r="BC249" s="1594"/>
      <c r="BD249" s="1594"/>
      <c r="BE249" s="1594"/>
      <c r="BF249" s="1594"/>
      <c r="BG249" s="1594"/>
      <c r="BH249" s="1594"/>
      <c r="BI249" s="1594"/>
      <c r="BJ249" s="1594"/>
    </row>
    <row r="250" spans="1:62" ht="13.5" thickBot="1">
      <c r="A250" s="1594"/>
      <c r="B250" s="1615"/>
      <c r="C250" s="1616"/>
      <c r="D250" s="1616"/>
      <c r="E250" s="1616"/>
      <c r="F250" s="1616"/>
      <c r="G250" s="1616"/>
      <c r="H250" s="1616"/>
      <c r="I250" s="1616"/>
      <c r="J250" s="1616"/>
      <c r="K250" s="1616"/>
      <c r="L250" s="1616"/>
      <c r="M250" s="1624"/>
      <c r="N250" s="1594"/>
      <c r="O250" s="1594"/>
      <c r="P250" s="1594"/>
      <c r="Q250" s="1594"/>
      <c r="R250" s="1594"/>
      <c r="S250" s="1594"/>
      <c r="T250" s="1594"/>
      <c r="U250" s="1594"/>
      <c r="V250" s="1594"/>
      <c r="W250" s="1594"/>
      <c r="X250" s="1594"/>
      <c r="Y250" s="1594"/>
      <c r="Z250" s="1594"/>
      <c r="AA250" s="1594"/>
      <c r="AB250" s="1594"/>
      <c r="AC250" s="1594"/>
      <c r="AD250" s="1594"/>
      <c r="AE250" s="1594"/>
      <c r="AF250" s="1594"/>
      <c r="AG250" s="1594"/>
      <c r="AH250" s="1594"/>
      <c r="AI250" s="1594"/>
      <c r="AJ250" s="1594"/>
      <c r="AK250" s="1594"/>
      <c r="AL250" s="1594"/>
      <c r="AM250" s="1594"/>
      <c r="AN250" s="1594"/>
      <c r="AO250" s="1594"/>
      <c r="AP250" s="1594"/>
      <c r="AQ250" s="1594"/>
      <c r="AR250" s="1594"/>
      <c r="AS250" s="1594"/>
      <c r="AT250" s="1594"/>
      <c r="AU250" s="1594"/>
      <c r="AV250" s="1594"/>
      <c r="AW250" s="1594"/>
      <c r="AX250" s="1594"/>
      <c r="AY250" s="1594"/>
      <c r="AZ250" s="1594"/>
      <c r="BA250" s="1594"/>
      <c r="BB250" s="1594"/>
      <c r="BC250" s="1594"/>
      <c r="BD250" s="1594"/>
      <c r="BE250" s="1594"/>
      <c r="BF250" s="1594"/>
      <c r="BG250" s="1594"/>
      <c r="BH250" s="1594"/>
      <c r="BI250" s="1594"/>
      <c r="BJ250" s="1594"/>
    </row>
    <row r="251" spans="1:62" ht="12.75">
      <c r="A251" s="1594"/>
      <c r="B251" s="1660"/>
      <c r="C251" s="1613"/>
      <c r="D251" s="1613"/>
      <c r="E251" s="1613"/>
      <c r="F251" s="1613"/>
      <c r="G251" s="1613"/>
      <c r="H251" s="1613"/>
      <c r="I251" s="1613"/>
      <c r="J251" s="1613"/>
      <c r="K251" s="1613"/>
      <c r="L251" s="1613"/>
      <c r="M251" s="1662"/>
      <c r="N251" s="1594"/>
      <c r="O251" s="1594"/>
      <c r="P251" s="1594"/>
      <c r="Q251" s="1594"/>
      <c r="R251" s="1594"/>
      <c r="S251" s="1594"/>
      <c r="T251" s="1594"/>
      <c r="U251" s="1594"/>
      <c r="V251" s="1594"/>
      <c r="W251" s="1594"/>
      <c r="X251" s="1594"/>
      <c r="Y251" s="1594"/>
      <c r="Z251" s="1594"/>
      <c r="AA251" s="1594"/>
      <c r="AB251" s="1594"/>
      <c r="AC251" s="1594"/>
      <c r="AD251" s="1594"/>
      <c r="AE251" s="1594"/>
      <c r="AF251" s="1594"/>
      <c r="AG251" s="1594"/>
      <c r="AH251" s="1594"/>
      <c r="AI251" s="1594"/>
      <c r="AJ251" s="1594"/>
      <c r="AK251" s="1594"/>
      <c r="AL251" s="1594"/>
      <c r="AM251" s="1594"/>
      <c r="AN251" s="1594"/>
      <c r="AO251" s="1594"/>
      <c r="AP251" s="1594"/>
      <c r="AQ251" s="1594"/>
      <c r="AR251" s="1594"/>
      <c r="AS251" s="1594"/>
      <c r="AT251" s="1594"/>
      <c r="AU251" s="1594"/>
      <c r="AV251" s="1594"/>
      <c r="AW251" s="1594"/>
      <c r="AX251" s="1594"/>
      <c r="AY251" s="1594"/>
      <c r="AZ251" s="1594"/>
      <c r="BA251" s="1594"/>
      <c r="BB251" s="1594"/>
      <c r="BC251" s="1594"/>
      <c r="BD251" s="1594"/>
      <c r="BE251" s="1594"/>
      <c r="BF251" s="1594"/>
      <c r="BG251" s="1594"/>
      <c r="BH251" s="1594"/>
      <c r="BI251" s="1594"/>
      <c r="BJ251" s="1594"/>
    </row>
    <row r="252" spans="1:62" ht="12.75">
      <c r="A252" s="1594"/>
      <c r="B252" s="1615"/>
      <c r="C252" s="1616"/>
      <c r="D252" s="1616"/>
      <c r="E252" s="1616"/>
      <c r="F252" s="1616"/>
      <c r="G252" s="1616"/>
      <c r="H252" s="1616"/>
      <c r="I252" s="1616"/>
      <c r="J252" s="1616"/>
      <c r="K252" s="1616"/>
      <c r="L252" s="1616"/>
      <c r="M252" s="1624"/>
      <c r="N252" s="1594"/>
      <c r="O252" s="1594"/>
      <c r="P252" s="1594"/>
      <c r="Q252" s="1594"/>
      <c r="R252" s="1594"/>
      <c r="S252" s="1594"/>
      <c r="T252" s="1594"/>
      <c r="U252" s="1594"/>
      <c r="V252" s="1594"/>
      <c r="W252" s="1594"/>
      <c r="X252" s="1594"/>
      <c r="Y252" s="1594"/>
      <c r="Z252" s="1594"/>
      <c r="AA252" s="1594"/>
      <c r="AB252" s="1594"/>
      <c r="AC252" s="1594"/>
      <c r="AD252" s="1594"/>
      <c r="AE252" s="1594"/>
      <c r="AF252" s="1594"/>
      <c r="AG252" s="1594"/>
      <c r="AH252" s="1594"/>
      <c r="AI252" s="1594"/>
      <c r="AJ252" s="1594"/>
      <c r="AK252" s="1594"/>
      <c r="AL252" s="1594"/>
      <c r="AM252" s="1594"/>
      <c r="AN252" s="1594"/>
      <c r="AO252" s="1594"/>
      <c r="AP252" s="1594"/>
      <c r="AQ252" s="1594"/>
      <c r="AR252" s="1594"/>
      <c r="AS252" s="1594"/>
      <c r="AT252" s="1594"/>
      <c r="AU252" s="1594"/>
      <c r="AV252" s="1594"/>
      <c r="AW252" s="1594"/>
      <c r="AX252" s="1594"/>
      <c r="AY252" s="1594"/>
      <c r="AZ252" s="1594"/>
      <c r="BA252" s="1594"/>
      <c r="BB252" s="1594"/>
      <c r="BC252" s="1594"/>
      <c r="BD252" s="1594"/>
      <c r="BE252" s="1594"/>
      <c r="BF252" s="1594"/>
      <c r="BG252" s="1594"/>
      <c r="BH252" s="1594"/>
      <c r="BI252" s="1594"/>
      <c r="BJ252" s="1594"/>
    </row>
    <row r="253" spans="1:62" ht="12.75">
      <c r="A253" s="1594"/>
      <c r="B253" s="1615" t="s">
        <v>306</v>
      </c>
      <c r="C253" s="163" t="s">
        <v>123</v>
      </c>
      <c r="D253" s="1616"/>
      <c r="E253" s="1616"/>
      <c r="F253" s="1616"/>
      <c r="G253" s="1616"/>
      <c r="H253" s="1616"/>
      <c r="I253" s="1616"/>
      <c r="J253" s="1616"/>
      <c r="K253" s="1616"/>
      <c r="L253" s="1616"/>
      <c r="M253" s="1624"/>
      <c r="N253" s="1594"/>
      <c r="O253" s="1594" t="s">
        <v>1183</v>
      </c>
      <c r="P253" s="1598"/>
      <c r="Q253" s="1598"/>
      <c r="R253" s="1594"/>
      <c r="S253" s="1594"/>
      <c r="T253" s="1594"/>
      <c r="U253" s="1594"/>
      <c r="V253" s="1594"/>
      <c r="W253" s="1594"/>
      <c r="X253" s="1594"/>
      <c r="Y253" s="1594"/>
      <c r="Z253" s="1594"/>
      <c r="AA253" s="1594"/>
      <c r="AB253" s="1594"/>
      <c r="AC253" s="1594"/>
      <c r="AD253" s="1594"/>
      <c r="AE253" s="1594"/>
      <c r="AF253" s="1594"/>
      <c r="AG253" s="1594"/>
      <c r="AH253" s="1594"/>
      <c r="AI253" s="1594"/>
      <c r="AJ253" s="1594"/>
      <c r="AK253" s="1594"/>
      <c r="AL253" s="1594"/>
      <c r="AM253" s="1594"/>
      <c r="AN253" s="1594"/>
      <c r="AO253" s="1594"/>
      <c r="AP253" s="1594"/>
      <c r="AQ253" s="1594"/>
      <c r="AR253" s="1594"/>
      <c r="AS253" s="1594"/>
      <c r="AT253" s="1594"/>
      <c r="AU253" s="1594"/>
      <c r="AV253" s="1594"/>
      <c r="AW253" s="1594"/>
      <c r="AX253" s="1594"/>
      <c r="AY253" s="1594"/>
      <c r="AZ253" s="1594"/>
      <c r="BA253" s="1594"/>
      <c r="BB253" s="1594"/>
      <c r="BC253" s="1594"/>
      <c r="BD253" s="1594"/>
      <c r="BE253" s="1594"/>
      <c r="BF253" s="1594"/>
      <c r="BG253" s="1594"/>
      <c r="BH253" s="1594"/>
      <c r="BI253" s="1594"/>
      <c r="BJ253" s="1594"/>
    </row>
    <row r="254" spans="1:62" ht="12.75">
      <c r="A254" s="1594"/>
      <c r="B254" s="1615"/>
      <c r="C254" s="1616" t="s">
        <v>142</v>
      </c>
      <c r="D254" s="1616" t="s">
        <v>758</v>
      </c>
      <c r="E254" s="1616" t="s">
        <v>47</v>
      </c>
      <c r="F254" s="1623">
        <v>2301</v>
      </c>
      <c r="G254" s="1616" t="s">
        <v>67</v>
      </c>
      <c r="H254" s="1616">
        <v>137</v>
      </c>
      <c r="I254" s="1616" t="s">
        <v>756</v>
      </c>
      <c r="J254" s="1616">
        <f>F254*H254/1000</f>
        <v>315.23700000000002</v>
      </c>
      <c r="K254" s="1655">
        <v>26</v>
      </c>
      <c r="L254" s="1655">
        <v>1E-3</v>
      </c>
      <c r="M254" s="1682">
        <v>0</v>
      </c>
      <c r="N254" s="1594"/>
      <c r="O254" s="1598"/>
      <c r="P254" s="1598"/>
      <c r="Q254" s="1598"/>
      <c r="R254" s="1594"/>
      <c r="S254" s="1594"/>
      <c r="T254" s="1594"/>
      <c r="U254" s="1594"/>
      <c r="V254" s="1594"/>
      <c r="W254" s="1594"/>
      <c r="X254" s="1594"/>
      <c r="Y254" s="1594"/>
      <c r="Z254" s="1594"/>
      <c r="AA254" s="1594"/>
      <c r="AB254" s="1594"/>
      <c r="AC254" s="1594"/>
      <c r="AD254" s="1594"/>
      <c r="AE254" s="1594"/>
      <c r="AF254" s="1594"/>
      <c r="AG254" s="1594"/>
      <c r="AH254" s="1594"/>
      <c r="AI254" s="1594"/>
      <c r="AJ254" s="1594"/>
      <c r="AK254" s="1594"/>
      <c r="AL254" s="1594"/>
      <c r="AM254" s="1594"/>
      <c r="AN254" s="1594"/>
      <c r="AO254" s="1594"/>
      <c r="AP254" s="1594"/>
      <c r="AQ254" s="1594"/>
      <c r="AR254" s="1594"/>
      <c r="AS254" s="1594"/>
      <c r="AT254" s="1594"/>
      <c r="AU254" s="1594"/>
      <c r="AV254" s="1594"/>
      <c r="AW254" s="1594"/>
      <c r="AX254" s="1594"/>
      <c r="AY254" s="1594"/>
      <c r="AZ254" s="1594"/>
      <c r="BA254" s="1594"/>
      <c r="BB254" s="1594"/>
      <c r="BC254" s="1594"/>
      <c r="BD254" s="1594"/>
      <c r="BE254" s="1594"/>
      <c r="BF254" s="1594"/>
      <c r="BG254" s="1594"/>
      <c r="BH254" s="1594"/>
      <c r="BI254" s="1594"/>
      <c r="BJ254" s="1594"/>
    </row>
    <row r="255" spans="1:62" ht="12.75">
      <c r="A255" s="1594"/>
      <c r="B255" s="1615"/>
      <c r="C255" s="1616" t="s">
        <v>141</v>
      </c>
      <c r="D255" s="1616" t="s">
        <v>759</v>
      </c>
      <c r="E255" s="1616" t="s">
        <v>47</v>
      </c>
      <c r="F255" s="1623">
        <v>4148</v>
      </c>
      <c r="G255" s="1616" t="s">
        <v>67</v>
      </c>
      <c r="H255" s="1616">
        <v>137</v>
      </c>
      <c r="I255" s="1616" t="s">
        <v>756</v>
      </c>
      <c r="J255" s="1616">
        <f>F255*H255/1000</f>
        <v>568.27599999999995</v>
      </c>
      <c r="K255" s="1655">
        <v>46.9</v>
      </c>
      <c r="L255" s="1655">
        <v>2E-3</v>
      </c>
      <c r="M255" s="1682">
        <v>0</v>
      </c>
      <c r="N255" s="1594"/>
      <c r="O255" s="1598" t="s">
        <v>1179</v>
      </c>
      <c r="P255" s="1598"/>
      <c r="Q255" s="1598"/>
      <c r="R255" s="1594"/>
      <c r="S255" s="1594"/>
      <c r="T255" s="1594"/>
      <c r="U255" s="1594"/>
      <c r="V255" s="1594"/>
      <c r="W255" s="1594"/>
      <c r="X255" s="1594"/>
      <c r="Y255" s="1594"/>
      <c r="Z255" s="1594"/>
      <c r="AA255" s="1594"/>
      <c r="AB255" s="1594"/>
      <c r="AC255" s="1594"/>
      <c r="AD255" s="1594"/>
      <c r="AE255" s="1594"/>
      <c r="AF255" s="1594"/>
      <c r="AG255" s="1594"/>
      <c r="AH255" s="1594"/>
      <c r="AI255" s="1594"/>
      <c r="AJ255" s="1594"/>
      <c r="AK255" s="1594"/>
      <c r="AL255" s="1594"/>
      <c r="AM255" s="1594"/>
      <c r="AN255" s="1594"/>
      <c r="AO255" s="1594"/>
      <c r="AP255" s="1594"/>
      <c r="AQ255" s="1594"/>
      <c r="AR255" s="1594"/>
      <c r="AS255" s="1594"/>
      <c r="AT255" s="1594"/>
      <c r="AU255" s="1594"/>
      <c r="AV255" s="1594"/>
      <c r="AW255" s="1594"/>
      <c r="AX255" s="1594"/>
      <c r="AY255" s="1594"/>
      <c r="AZ255" s="1594"/>
      <c r="BA255" s="1594"/>
      <c r="BB255" s="1594"/>
      <c r="BC255" s="1594"/>
      <c r="BD255" s="1594"/>
      <c r="BE255" s="1594"/>
      <c r="BF255" s="1594"/>
      <c r="BG255" s="1594"/>
      <c r="BH255" s="1594"/>
      <c r="BI255" s="1594"/>
      <c r="BJ255" s="1594"/>
    </row>
    <row r="256" spans="1:62" ht="12.75">
      <c r="A256" s="1594"/>
      <c r="B256" s="1615"/>
      <c r="C256" s="1616" t="s">
        <v>307</v>
      </c>
      <c r="D256" s="1616" t="s">
        <v>760</v>
      </c>
      <c r="E256" s="1616" t="s">
        <v>47</v>
      </c>
      <c r="F256" s="1623">
        <v>32299</v>
      </c>
      <c r="G256" s="1616" t="s">
        <v>67</v>
      </c>
      <c r="H256" s="1616">
        <v>137</v>
      </c>
      <c r="I256" s="1616" t="s">
        <v>756</v>
      </c>
      <c r="J256" s="1616">
        <f>F256*H256/1000</f>
        <v>4424.9629999999997</v>
      </c>
      <c r="K256" s="1655">
        <v>365</v>
      </c>
      <c r="L256" s="1655">
        <v>0.18</v>
      </c>
      <c r="M256" s="1682">
        <v>2E-3</v>
      </c>
      <c r="N256" s="1594"/>
      <c r="O256" s="1598"/>
      <c r="P256" s="1598"/>
      <c r="Q256" s="1598"/>
      <c r="R256" s="1594"/>
      <c r="S256" s="1594"/>
      <c r="T256" s="1594"/>
      <c r="U256" s="1594"/>
      <c r="V256" s="1594"/>
      <c r="W256" s="1594"/>
      <c r="X256" s="1594"/>
      <c r="Y256" s="1594"/>
      <c r="Z256" s="1594"/>
      <c r="AA256" s="1594"/>
      <c r="AB256" s="1594"/>
      <c r="AC256" s="1594"/>
      <c r="AD256" s="1594"/>
      <c r="AE256" s="1594"/>
      <c r="AF256" s="1594"/>
      <c r="AG256" s="1594"/>
      <c r="AH256" s="1594"/>
      <c r="AI256" s="1594"/>
      <c r="AJ256" s="1594"/>
      <c r="AK256" s="1594"/>
      <c r="AL256" s="1594"/>
      <c r="AM256" s="1594"/>
      <c r="AN256" s="1594"/>
      <c r="AO256" s="1594"/>
      <c r="AP256" s="1594"/>
      <c r="AQ256" s="1594"/>
      <c r="AR256" s="1594"/>
      <c r="AS256" s="1594"/>
      <c r="AT256" s="1594"/>
      <c r="AU256" s="1594"/>
      <c r="AV256" s="1594"/>
      <c r="AW256" s="1594"/>
      <c r="AX256" s="1594"/>
      <c r="AY256" s="1594"/>
      <c r="AZ256" s="1594"/>
      <c r="BA256" s="1594"/>
      <c r="BB256" s="1594"/>
      <c r="BC256" s="1594"/>
      <c r="BD256" s="1594"/>
      <c r="BE256" s="1594"/>
      <c r="BF256" s="1594"/>
      <c r="BG256" s="1594"/>
      <c r="BH256" s="1594"/>
      <c r="BI256" s="1594"/>
      <c r="BJ256" s="1594"/>
    </row>
    <row r="257" spans="1:62" ht="15.75">
      <c r="A257" s="1594"/>
      <c r="B257" s="1615"/>
      <c r="C257" s="1616" t="s">
        <v>308</v>
      </c>
      <c r="D257" s="1616" t="s">
        <v>56</v>
      </c>
      <c r="E257" s="1616" t="s">
        <v>47</v>
      </c>
      <c r="F257" s="1623">
        <v>37193</v>
      </c>
      <c r="G257" s="1616" t="s">
        <v>67</v>
      </c>
      <c r="H257" s="1616">
        <v>137</v>
      </c>
      <c r="I257" s="1616" t="s">
        <v>756</v>
      </c>
      <c r="J257" s="1616">
        <f t="shared" ref="J257:J262" si="2">F257*H257/1000</f>
        <v>5095.4409999999998</v>
      </c>
      <c r="K257" s="1655">
        <v>420.3</v>
      </c>
      <c r="L257" s="1655">
        <v>2.1000000000000001E-2</v>
      </c>
      <c r="M257" s="1682">
        <v>2E-3</v>
      </c>
      <c r="N257" s="1594"/>
      <c r="O257" s="1598" t="s">
        <v>1192</v>
      </c>
      <c r="P257" s="1598" t="s">
        <v>1180</v>
      </c>
      <c r="Q257" s="1598"/>
      <c r="R257" s="1594"/>
      <c r="S257" s="1594"/>
      <c r="T257" s="1594"/>
      <c r="U257" s="1594"/>
      <c r="V257" s="1594"/>
      <c r="W257" s="1594"/>
      <c r="X257" s="1594"/>
      <c r="Y257" s="1594"/>
      <c r="Z257" s="1594"/>
      <c r="AA257" s="1594"/>
      <c r="AB257" s="1594"/>
      <c r="AC257" s="1594"/>
      <c r="AD257" s="1594"/>
      <c r="AE257" s="1594"/>
      <c r="AF257" s="1594"/>
      <c r="AG257" s="1594"/>
      <c r="AH257" s="1594"/>
      <c r="AI257" s="1594"/>
      <c r="AJ257" s="1594"/>
      <c r="AK257" s="1594"/>
      <c r="AL257" s="1594"/>
      <c r="AM257" s="1594"/>
      <c r="AN257" s="1594"/>
      <c r="AO257" s="1594"/>
      <c r="AP257" s="1594"/>
      <c r="AQ257" s="1594"/>
      <c r="AR257" s="1594"/>
      <c r="AS257" s="1594"/>
      <c r="AT257" s="1594"/>
      <c r="AU257" s="1594"/>
      <c r="AV257" s="1594"/>
      <c r="AW257" s="1594"/>
      <c r="AX257" s="1594"/>
      <c r="AY257" s="1594"/>
      <c r="AZ257" s="1594"/>
      <c r="BA257" s="1594"/>
      <c r="BB257" s="1594"/>
      <c r="BC257" s="1594"/>
      <c r="BD257" s="1594"/>
      <c r="BE257" s="1594"/>
      <c r="BF257" s="1594"/>
      <c r="BG257" s="1594"/>
      <c r="BH257" s="1594"/>
      <c r="BI257" s="1594"/>
      <c r="BJ257" s="1594"/>
    </row>
    <row r="258" spans="1:62" ht="15.75">
      <c r="A258" s="1594"/>
      <c r="B258" s="1615"/>
      <c r="C258" s="1616" t="s">
        <v>309</v>
      </c>
      <c r="D258" s="1616" t="s">
        <v>761</v>
      </c>
      <c r="E258" s="1616" t="s">
        <v>47</v>
      </c>
      <c r="F258" s="1623">
        <v>12022</v>
      </c>
      <c r="G258" s="1616" t="s">
        <v>67</v>
      </c>
      <c r="H258" s="1616">
        <v>137</v>
      </c>
      <c r="I258" s="1616" t="s">
        <v>756</v>
      </c>
      <c r="J258" s="1616">
        <f t="shared" si="2"/>
        <v>1647.0139999999999</v>
      </c>
      <c r="K258" s="1655">
        <v>135.80000000000001</v>
      </c>
      <c r="L258" s="1655">
        <v>7.0000000000000001E-3</v>
      </c>
      <c r="M258" s="1682">
        <v>1E-3</v>
      </c>
      <c r="N258" s="1594"/>
      <c r="O258" s="1598" t="s">
        <v>1193</v>
      </c>
      <c r="P258" s="1598" t="s">
        <v>1181</v>
      </c>
      <c r="Q258" s="1598"/>
      <c r="R258" s="1594"/>
      <c r="S258" s="1594"/>
      <c r="T258" s="1594"/>
      <c r="U258" s="1594"/>
      <c r="V258" s="1594"/>
      <c r="W258" s="1594"/>
      <c r="X258" s="1594"/>
      <c r="Y258" s="1594"/>
      <c r="Z258" s="1594"/>
      <c r="AA258" s="1594"/>
      <c r="AB258" s="1594"/>
      <c r="AC258" s="1594"/>
      <c r="AD258" s="1594"/>
      <c r="AE258" s="1594"/>
      <c r="AF258" s="1594"/>
      <c r="AG258" s="1594"/>
      <c r="AH258" s="1594"/>
      <c r="AI258" s="1594"/>
      <c r="AJ258" s="1594"/>
      <c r="AK258" s="1594"/>
      <c r="AL258" s="1594"/>
      <c r="AM258" s="1594"/>
      <c r="AN258" s="1594"/>
      <c r="AO258" s="1594"/>
      <c r="AP258" s="1594"/>
      <c r="AQ258" s="1594"/>
      <c r="AR258" s="1594"/>
      <c r="AS258" s="1594"/>
      <c r="AT258" s="1594"/>
      <c r="AU258" s="1594"/>
      <c r="AV258" s="1594"/>
      <c r="AW258" s="1594"/>
      <c r="AX258" s="1594"/>
      <c r="AY258" s="1594"/>
      <c r="AZ258" s="1594"/>
      <c r="BA258" s="1594"/>
      <c r="BB258" s="1594"/>
      <c r="BC258" s="1594"/>
      <c r="BD258" s="1594"/>
      <c r="BE258" s="1594"/>
      <c r="BF258" s="1594"/>
      <c r="BG258" s="1594"/>
      <c r="BH258" s="1594"/>
      <c r="BI258" s="1594"/>
      <c r="BJ258" s="1594"/>
    </row>
    <row r="259" spans="1:62" ht="15.75">
      <c r="A259" s="1594"/>
      <c r="B259" s="1615"/>
      <c r="C259" s="1616" t="s">
        <v>310</v>
      </c>
      <c r="D259" s="1616" t="s">
        <v>762</v>
      </c>
      <c r="E259" s="1616" t="s">
        <v>47</v>
      </c>
      <c r="F259" s="1623">
        <v>56276</v>
      </c>
      <c r="G259" s="1616" t="s">
        <v>67</v>
      </c>
      <c r="H259" s="1616">
        <v>137</v>
      </c>
      <c r="I259" s="1616" t="s">
        <v>756</v>
      </c>
      <c r="J259" s="1616">
        <f t="shared" si="2"/>
        <v>7709.8119999999999</v>
      </c>
      <c r="K259" s="1655">
        <v>635.9</v>
      </c>
      <c r="L259" s="1655">
        <v>0.31</v>
      </c>
      <c r="M259" s="1682">
        <v>3.0000000000000001E-3</v>
      </c>
      <c r="N259" s="1594"/>
      <c r="O259" s="1598" t="s">
        <v>1194</v>
      </c>
      <c r="P259" s="1598" t="s">
        <v>1182</v>
      </c>
      <c r="Q259" s="1598"/>
      <c r="R259" s="1594"/>
      <c r="S259" s="1594"/>
      <c r="T259" s="1594"/>
      <c r="U259" s="1594"/>
      <c r="V259" s="1594"/>
      <c r="W259" s="1594"/>
      <c r="X259" s="1594"/>
      <c r="Y259" s="1594"/>
      <c r="Z259" s="1594"/>
      <c r="AA259" s="1594"/>
      <c r="AB259" s="1594"/>
      <c r="AC259" s="1594"/>
      <c r="AD259" s="1594"/>
      <c r="AE259" s="1594"/>
      <c r="AF259" s="1594"/>
      <c r="AG259" s="1594"/>
      <c r="AH259" s="1594"/>
      <c r="AI259" s="1594"/>
      <c r="AJ259" s="1594"/>
      <c r="AK259" s="1594"/>
      <c r="AL259" s="1594"/>
      <c r="AM259" s="1594"/>
      <c r="AN259" s="1594"/>
      <c r="AO259" s="1594"/>
      <c r="AP259" s="1594"/>
      <c r="AQ259" s="1594"/>
      <c r="AR259" s="1594"/>
      <c r="AS259" s="1594"/>
      <c r="AT259" s="1594"/>
      <c r="AU259" s="1594"/>
      <c r="AV259" s="1594"/>
      <c r="AW259" s="1594"/>
      <c r="AX259" s="1594"/>
      <c r="AY259" s="1594"/>
      <c r="AZ259" s="1594"/>
      <c r="BA259" s="1594"/>
      <c r="BB259" s="1594"/>
      <c r="BC259" s="1594"/>
      <c r="BD259" s="1594"/>
      <c r="BE259" s="1594"/>
      <c r="BF259" s="1594"/>
      <c r="BG259" s="1594"/>
      <c r="BH259" s="1594"/>
      <c r="BI259" s="1594"/>
      <c r="BJ259" s="1594"/>
    </row>
    <row r="260" spans="1:62" ht="12.75">
      <c r="A260" s="1594"/>
      <c r="B260" s="1615"/>
      <c r="C260" s="1616" t="s">
        <v>311</v>
      </c>
      <c r="D260" s="1616" t="s">
        <v>763</v>
      </c>
      <c r="E260" s="1616" t="s">
        <v>47</v>
      </c>
      <c r="F260" s="1623">
        <v>55333</v>
      </c>
      <c r="G260" s="1616" t="s">
        <v>67</v>
      </c>
      <c r="H260" s="1616">
        <v>137</v>
      </c>
      <c r="I260" s="1616" t="s">
        <v>756</v>
      </c>
      <c r="J260" s="1616">
        <f t="shared" si="2"/>
        <v>7580.6210000000001</v>
      </c>
      <c r="K260" s="1655">
        <v>625.29999999999995</v>
      </c>
      <c r="L260" s="1655">
        <v>3.1E-2</v>
      </c>
      <c r="M260" s="1682">
        <v>3.0000000000000001E-3</v>
      </c>
      <c r="N260" s="1594"/>
      <c r="O260" s="1594"/>
      <c r="P260" s="1594"/>
      <c r="Q260" s="1594"/>
      <c r="R260" s="1594"/>
      <c r="S260" s="1594"/>
      <c r="T260" s="1594"/>
      <c r="U260" s="1594"/>
      <c r="V260" s="1594"/>
      <c r="W260" s="1594"/>
      <c r="X260" s="1594"/>
      <c r="Y260" s="1594"/>
      <c r="Z260" s="1594"/>
      <c r="AA260" s="1594"/>
      <c r="AB260" s="1594"/>
      <c r="AC260" s="1594"/>
      <c r="AD260" s="1594"/>
      <c r="AE260" s="1594"/>
      <c r="AF260" s="1594"/>
      <c r="AG260" s="1594"/>
      <c r="AH260" s="1594"/>
      <c r="AI260" s="1594"/>
      <c r="AJ260" s="1594"/>
      <c r="AK260" s="1594"/>
      <c r="AL260" s="1594"/>
      <c r="AM260" s="1594"/>
      <c r="AN260" s="1594"/>
      <c r="AO260" s="1594"/>
      <c r="AP260" s="1594"/>
      <c r="AQ260" s="1594"/>
      <c r="AR260" s="1594"/>
      <c r="AS260" s="1594"/>
      <c r="AT260" s="1594"/>
      <c r="AU260" s="1594"/>
      <c r="AV260" s="1594"/>
      <c r="AW260" s="1594"/>
      <c r="AX260" s="1594"/>
      <c r="AY260" s="1594"/>
      <c r="AZ260" s="1594"/>
      <c r="BA260" s="1594"/>
      <c r="BB260" s="1594"/>
      <c r="BC260" s="1594"/>
      <c r="BD260" s="1594"/>
      <c r="BE260" s="1594"/>
      <c r="BF260" s="1594"/>
      <c r="BG260" s="1594"/>
      <c r="BH260" s="1594"/>
      <c r="BI260" s="1594"/>
      <c r="BJ260" s="1594"/>
    </row>
    <row r="261" spans="1:62" ht="12.75">
      <c r="A261" s="1594"/>
      <c r="B261" s="1615"/>
      <c r="C261" s="1616" t="s">
        <v>139</v>
      </c>
      <c r="D261" s="1616" t="s">
        <v>764</v>
      </c>
      <c r="E261" s="1616" t="s">
        <v>47</v>
      </c>
      <c r="F261" s="1623">
        <v>67936</v>
      </c>
      <c r="G261" s="1616" t="s">
        <v>67</v>
      </c>
      <c r="H261" s="1616">
        <v>137</v>
      </c>
      <c r="I261" s="1616" t="s">
        <v>756</v>
      </c>
      <c r="J261" s="1616">
        <f t="shared" si="2"/>
        <v>9307.232</v>
      </c>
      <c r="K261" s="1655">
        <v>767.7</v>
      </c>
      <c r="L261" s="1655">
        <v>3.7999999999999999E-2</v>
      </c>
      <c r="M261" s="1682">
        <v>4.0000000000000001E-3</v>
      </c>
      <c r="N261" s="1594"/>
      <c r="O261" s="1594"/>
      <c r="P261" s="1594"/>
      <c r="Q261" s="1594"/>
      <c r="R261" s="1594"/>
      <c r="S261" s="1594"/>
      <c r="T261" s="1594"/>
      <c r="U261" s="1594"/>
      <c r="V261" s="1594"/>
      <c r="W261" s="1594"/>
      <c r="X261" s="1594"/>
      <c r="Y261" s="1594"/>
      <c r="Z261" s="1594"/>
      <c r="AA261" s="1594"/>
      <c r="AB261" s="1594"/>
      <c r="AC261" s="1594"/>
      <c r="AD261" s="1594"/>
      <c r="AE261" s="1594"/>
      <c r="AF261" s="1594"/>
      <c r="AG261" s="1594"/>
      <c r="AH261" s="1594"/>
      <c r="AI261" s="1594"/>
      <c r="AJ261" s="1594"/>
      <c r="AK261" s="1594"/>
      <c r="AL261" s="1594"/>
      <c r="AM261" s="1594"/>
      <c r="AN261" s="1594"/>
      <c r="AO261" s="1594"/>
      <c r="AP261" s="1594"/>
      <c r="AQ261" s="1594"/>
      <c r="AR261" s="1594"/>
      <c r="AS261" s="1594"/>
      <c r="AT261" s="1594"/>
      <c r="AU261" s="1594"/>
      <c r="AV261" s="1594"/>
      <c r="AW261" s="1594"/>
      <c r="AX261" s="1594"/>
      <c r="AY261" s="1594"/>
      <c r="AZ261" s="1594"/>
      <c r="BA261" s="1594"/>
      <c r="BB261" s="1594"/>
      <c r="BC261" s="1594"/>
      <c r="BD261" s="1594"/>
      <c r="BE261" s="1594"/>
      <c r="BF261" s="1594"/>
      <c r="BG261" s="1594"/>
      <c r="BH261" s="1594"/>
      <c r="BI261" s="1594"/>
      <c r="BJ261" s="1594"/>
    </row>
    <row r="262" spans="1:62" ht="12.75">
      <c r="A262" s="1594"/>
      <c r="B262" s="1615"/>
      <c r="C262" s="1616" t="s">
        <v>140</v>
      </c>
      <c r="D262" s="1616" t="s">
        <v>765</v>
      </c>
      <c r="E262" s="1616" t="s">
        <v>47</v>
      </c>
      <c r="F262" s="1623">
        <v>82457</v>
      </c>
      <c r="G262" s="1616" t="s">
        <v>67</v>
      </c>
      <c r="H262" s="1616">
        <v>137</v>
      </c>
      <c r="I262" s="1616" t="s">
        <v>756</v>
      </c>
      <c r="J262" s="1616">
        <f t="shared" si="2"/>
        <v>11296.609</v>
      </c>
      <c r="K262" s="1655">
        <v>931.8</v>
      </c>
      <c r="L262" s="1655">
        <v>4.5999999999999999E-2</v>
      </c>
      <c r="M262" s="1682">
        <v>5.0000000000000001E-3</v>
      </c>
      <c r="N262" s="1594"/>
      <c r="O262" s="1594"/>
      <c r="P262" s="1594"/>
      <c r="Q262" s="1594"/>
      <c r="R262" s="1594"/>
      <c r="S262" s="1594"/>
      <c r="T262" s="1594"/>
      <c r="U262" s="1594"/>
      <c r="V262" s="1594"/>
      <c r="W262" s="1594"/>
      <c r="X262" s="1594"/>
      <c r="Y262" s="1594"/>
      <c r="Z262" s="1594"/>
      <c r="AA262" s="1594"/>
      <c r="AB262" s="1594"/>
      <c r="AC262" s="1594"/>
      <c r="AD262" s="1594"/>
      <c r="AE262" s="1594"/>
      <c r="AF262" s="1594"/>
      <c r="AG262" s="1594"/>
      <c r="AH262" s="1594"/>
      <c r="AI262" s="1594"/>
      <c r="AJ262" s="1594"/>
      <c r="AK262" s="1594"/>
      <c r="AL262" s="1594"/>
      <c r="AM262" s="1594"/>
      <c r="AN262" s="1594"/>
      <c r="AO262" s="1594"/>
      <c r="AP262" s="1594"/>
      <c r="AQ262" s="1594"/>
      <c r="AR262" s="1594"/>
      <c r="AS262" s="1594"/>
      <c r="AT262" s="1594"/>
      <c r="AU262" s="1594"/>
      <c r="AV262" s="1594"/>
      <c r="AW262" s="1594"/>
      <c r="AX262" s="1594"/>
      <c r="AY262" s="1594"/>
      <c r="AZ262" s="1594"/>
      <c r="BA262" s="1594"/>
      <c r="BB262" s="1594"/>
      <c r="BC262" s="1594"/>
      <c r="BD262" s="1594"/>
      <c r="BE262" s="1594"/>
      <c r="BF262" s="1594"/>
      <c r="BG262" s="1594"/>
      <c r="BH262" s="1594"/>
      <c r="BI262" s="1594"/>
      <c r="BJ262" s="1594"/>
    </row>
    <row r="263" spans="1:62" ht="12.75">
      <c r="A263" s="1594"/>
      <c r="B263" s="1615"/>
      <c r="C263" s="1616" t="s">
        <v>312</v>
      </c>
      <c r="D263" s="1616" t="s">
        <v>766</v>
      </c>
      <c r="E263" s="1616" t="s">
        <v>47</v>
      </c>
      <c r="F263" s="1623">
        <v>88270</v>
      </c>
      <c r="G263" s="1616" t="s">
        <v>67</v>
      </c>
      <c r="H263" s="1616">
        <v>137</v>
      </c>
      <c r="I263" s="1616" t="s">
        <v>756</v>
      </c>
      <c r="J263" s="1616">
        <f>F263*H263/1000</f>
        <v>12092.99</v>
      </c>
      <c r="K263" s="1655">
        <v>997.5</v>
      </c>
      <c r="L263" s="1655">
        <v>4.9000000000000002E-2</v>
      </c>
      <c r="M263" s="1682">
        <v>5.0000000000000001E-3</v>
      </c>
      <c r="N263" s="1594"/>
      <c r="O263" s="1594"/>
      <c r="P263" s="1594"/>
      <c r="Q263" s="1594"/>
      <c r="R263" s="1594"/>
      <c r="S263" s="1594"/>
      <c r="T263" s="1594"/>
      <c r="U263" s="1594"/>
      <c r="V263" s="1594"/>
      <c r="W263" s="1594"/>
      <c r="X263" s="1594"/>
      <c r="Y263" s="1594"/>
      <c r="Z263" s="1594"/>
      <c r="AA263" s="1594"/>
      <c r="AB263" s="1594"/>
      <c r="AC263" s="1594"/>
      <c r="AD263" s="1594"/>
      <c r="AE263" s="1594"/>
      <c r="AF263" s="1594"/>
      <c r="AG263" s="1594"/>
      <c r="AH263" s="1594"/>
      <c r="AI263" s="1594"/>
      <c r="AJ263" s="1594"/>
      <c r="AK263" s="1594"/>
      <c r="AL263" s="1594"/>
      <c r="AM263" s="1594"/>
      <c r="AN263" s="1594"/>
      <c r="AO263" s="1594"/>
      <c r="AP263" s="1594"/>
      <c r="AQ263" s="1594"/>
      <c r="AR263" s="1594"/>
      <c r="AS263" s="1594"/>
      <c r="AT263" s="1594"/>
      <c r="AU263" s="1594"/>
      <c r="AV263" s="1594"/>
      <c r="AW263" s="1594"/>
      <c r="AX263" s="1594"/>
      <c r="AY263" s="1594"/>
      <c r="AZ263" s="1594"/>
      <c r="BA263" s="1594"/>
      <c r="BB263" s="1594"/>
      <c r="BC263" s="1594"/>
      <c r="BD263" s="1594"/>
      <c r="BE263" s="1594"/>
      <c r="BF263" s="1594"/>
      <c r="BG263" s="1594"/>
      <c r="BH263" s="1594"/>
      <c r="BI263" s="1594"/>
      <c r="BJ263" s="1594"/>
    </row>
    <row r="264" spans="1:62" ht="13.5" thickBot="1">
      <c r="A264" s="1594"/>
      <c r="B264" s="1615"/>
      <c r="C264" s="1616"/>
      <c r="D264" s="1616"/>
      <c r="E264" s="1616"/>
      <c r="F264" s="1616"/>
      <c r="G264" s="1616"/>
      <c r="H264" s="1616"/>
      <c r="I264" s="1616"/>
      <c r="J264" s="1616"/>
      <c r="K264" s="1616"/>
      <c r="L264" s="1616"/>
      <c r="M264" s="1624"/>
      <c r="N264" s="1594"/>
      <c r="O264" s="1594"/>
      <c r="P264" s="1594"/>
      <c r="Q264" s="1594"/>
      <c r="R264" s="1594"/>
      <c r="S264" s="1594"/>
      <c r="T264" s="1594"/>
      <c r="U264" s="1594"/>
      <c r="V264" s="1594"/>
      <c r="W264" s="1594"/>
      <c r="X264" s="1594"/>
      <c r="Y264" s="1594"/>
      <c r="Z264" s="1594"/>
      <c r="AA264" s="1594"/>
      <c r="AB264" s="1594"/>
      <c r="AC264" s="1594"/>
      <c r="AD264" s="1594"/>
      <c r="AE264" s="1594"/>
      <c r="AF264" s="1594"/>
      <c r="AG264" s="1594"/>
      <c r="AH264" s="1594"/>
      <c r="AI264" s="1594"/>
      <c r="AJ264" s="1594"/>
      <c r="AK264" s="1594"/>
      <c r="AL264" s="1594"/>
      <c r="AM264" s="1594"/>
      <c r="AN264" s="1594"/>
      <c r="AO264" s="1594"/>
      <c r="AP264" s="1594"/>
      <c r="AQ264" s="1594"/>
      <c r="AR264" s="1594"/>
      <c r="AS264" s="1594"/>
      <c r="AT264" s="1594"/>
      <c r="AU264" s="1594"/>
      <c r="AV264" s="1594"/>
      <c r="AW264" s="1594"/>
      <c r="AX264" s="1594"/>
      <c r="AY264" s="1594"/>
      <c r="AZ264" s="1594"/>
      <c r="BA264" s="1594"/>
      <c r="BB264" s="1594"/>
      <c r="BC264" s="1594"/>
      <c r="BD264" s="1594"/>
      <c r="BE264" s="1594"/>
      <c r="BF264" s="1594"/>
      <c r="BG264" s="1594"/>
      <c r="BH264" s="1594"/>
      <c r="BI264" s="1594"/>
      <c r="BJ264" s="1594"/>
    </row>
    <row r="265" spans="1:62" ht="12.75">
      <c r="A265" s="1594"/>
      <c r="B265" s="1660"/>
      <c r="C265" s="1613"/>
      <c r="D265" s="1613"/>
      <c r="E265" s="1613"/>
      <c r="F265" s="1613"/>
      <c r="G265" s="1613"/>
      <c r="H265" s="1613"/>
      <c r="I265" s="1613"/>
      <c r="J265" s="1613"/>
      <c r="K265" s="1613"/>
      <c r="L265" s="1613"/>
      <c r="M265" s="1662"/>
      <c r="N265" s="1594"/>
      <c r="O265" s="1594"/>
      <c r="P265" s="1594"/>
      <c r="Q265" s="1594"/>
      <c r="R265" s="1594"/>
      <c r="S265" s="1594"/>
      <c r="T265" s="1594"/>
      <c r="U265" s="1594"/>
      <c r="V265" s="1594"/>
      <c r="W265" s="1594"/>
      <c r="X265" s="1594"/>
      <c r="Y265" s="1594"/>
      <c r="Z265" s="1594"/>
      <c r="AA265" s="1594"/>
      <c r="AB265" s="1594"/>
      <c r="AC265" s="1594"/>
      <c r="AD265" s="1594"/>
      <c r="AE265" s="1594"/>
      <c r="AF265" s="1594"/>
      <c r="AG265" s="1594"/>
      <c r="AH265" s="1594"/>
      <c r="AI265" s="1594"/>
      <c r="AJ265" s="1594"/>
      <c r="AK265" s="1594"/>
      <c r="AL265" s="1594"/>
      <c r="AM265" s="1594"/>
      <c r="AN265" s="1594"/>
      <c r="AO265" s="1594"/>
      <c r="AP265" s="1594"/>
      <c r="AQ265" s="1594"/>
      <c r="AR265" s="1594"/>
      <c r="AS265" s="1594"/>
      <c r="AT265" s="1594"/>
      <c r="AU265" s="1594"/>
      <c r="AV265" s="1594"/>
      <c r="AW265" s="1594"/>
      <c r="AX265" s="1594"/>
      <c r="AY265" s="1594"/>
      <c r="AZ265" s="1594"/>
      <c r="BA265" s="1594"/>
      <c r="BB265" s="1594"/>
      <c r="BC265" s="1594"/>
      <c r="BD265" s="1594"/>
      <c r="BE265" s="1594"/>
      <c r="BF265" s="1594"/>
      <c r="BG265" s="1594"/>
      <c r="BH265" s="1594"/>
      <c r="BI265" s="1594"/>
      <c r="BJ265" s="1594"/>
    </row>
    <row r="266" spans="1:62" ht="12.75">
      <c r="A266" s="1594"/>
      <c r="B266" s="1615"/>
      <c r="C266" s="1616"/>
      <c r="D266" s="1616"/>
      <c r="E266" s="1616"/>
      <c r="F266" s="1616"/>
      <c r="G266" s="1616"/>
      <c r="H266" s="1616"/>
      <c r="I266" s="1616"/>
      <c r="J266" s="1616"/>
      <c r="K266" s="1616"/>
      <c r="L266" s="1616"/>
      <c r="M266" s="1624"/>
      <c r="N266" s="1594"/>
      <c r="O266" s="1594"/>
      <c r="P266" s="1594"/>
      <c r="Q266" s="1594"/>
      <c r="R266" s="1594"/>
      <c r="S266" s="1594"/>
      <c r="T266" s="1594"/>
      <c r="U266" s="1594"/>
      <c r="V266" s="1594"/>
      <c r="W266" s="1594"/>
      <c r="X266" s="1594"/>
      <c r="Y266" s="1594"/>
      <c r="Z266" s="1594"/>
      <c r="AA266" s="1594"/>
      <c r="AB266" s="1594"/>
      <c r="AC266" s="1594"/>
      <c r="AD266" s="1594"/>
      <c r="AE266" s="1594"/>
      <c r="AF266" s="1594"/>
      <c r="AG266" s="1594"/>
      <c r="AH266" s="1594"/>
      <c r="AI266" s="1594"/>
      <c r="AJ266" s="1594"/>
      <c r="AK266" s="1594"/>
      <c r="AL266" s="1594"/>
      <c r="AM266" s="1594"/>
      <c r="AN266" s="1594"/>
      <c r="AO266" s="1594"/>
      <c r="AP266" s="1594"/>
      <c r="AQ266" s="1594"/>
      <c r="AR266" s="1594"/>
      <c r="AS266" s="1594"/>
      <c r="AT266" s="1594"/>
      <c r="AU266" s="1594"/>
      <c r="AV266" s="1594"/>
      <c r="AW266" s="1594"/>
      <c r="AX266" s="1594"/>
      <c r="AY266" s="1594"/>
      <c r="AZ266" s="1594"/>
      <c r="BA266" s="1594"/>
      <c r="BB266" s="1594"/>
      <c r="BC266" s="1594"/>
      <c r="BD266" s="1594"/>
      <c r="BE266" s="1594"/>
      <c r="BF266" s="1594"/>
      <c r="BG266" s="1594"/>
      <c r="BH266" s="1594"/>
      <c r="BI266" s="1594"/>
      <c r="BJ266" s="1594"/>
    </row>
    <row r="267" spans="1:62" ht="12.75">
      <c r="A267" s="1594"/>
      <c r="B267" s="1615" t="s">
        <v>313</v>
      </c>
      <c r="C267" s="163" t="s">
        <v>767</v>
      </c>
      <c r="D267" s="1616"/>
      <c r="E267" s="1616"/>
      <c r="F267" s="1616"/>
      <c r="G267" s="1616"/>
      <c r="H267" s="1616"/>
      <c r="I267" s="1616"/>
      <c r="J267" s="1616"/>
      <c r="K267" s="1616"/>
      <c r="L267" s="1616"/>
      <c r="M267" s="1624"/>
      <c r="N267" s="1594"/>
      <c r="O267" s="1594"/>
      <c r="P267" s="1594"/>
      <c r="Q267" s="1594"/>
      <c r="R267" s="1594"/>
      <c r="S267" s="1594"/>
      <c r="T267" s="1594"/>
      <c r="U267" s="1594"/>
      <c r="V267" s="1594"/>
      <c r="W267" s="1594"/>
      <c r="X267" s="1594"/>
      <c r="Y267" s="1594"/>
      <c r="Z267" s="1594"/>
      <c r="AA267" s="1594"/>
      <c r="AB267" s="1594"/>
      <c r="AC267" s="1594"/>
      <c r="AD267" s="1594"/>
      <c r="AE267" s="1594"/>
      <c r="AF267" s="1594"/>
      <c r="AG267" s="1594"/>
      <c r="AH267" s="1594"/>
      <c r="AI267" s="1594"/>
      <c r="AJ267" s="1594"/>
      <c r="AK267" s="1594"/>
      <c r="AL267" s="1594"/>
      <c r="AM267" s="1594"/>
      <c r="AN267" s="1594"/>
      <c r="AO267" s="1594"/>
      <c r="AP267" s="1594"/>
      <c r="AQ267" s="1594"/>
      <c r="AR267" s="1594"/>
      <c r="AS267" s="1594"/>
      <c r="AT267" s="1594"/>
      <c r="AU267" s="1594"/>
      <c r="AV267" s="1594"/>
      <c r="AW267" s="1594"/>
      <c r="AX267" s="1594"/>
      <c r="AY267" s="1594"/>
      <c r="AZ267" s="1594"/>
      <c r="BA267" s="1594"/>
      <c r="BB267" s="1594"/>
      <c r="BC267" s="1594"/>
      <c r="BD267" s="1594"/>
      <c r="BE267" s="1594"/>
      <c r="BF267" s="1594"/>
      <c r="BG267" s="1594"/>
      <c r="BH267" s="1594"/>
      <c r="BI267" s="1594"/>
      <c r="BJ267" s="1594"/>
    </row>
    <row r="268" spans="1:62" ht="12.75">
      <c r="A268" s="1594"/>
      <c r="B268" s="1615"/>
      <c r="C268" s="1616" t="s">
        <v>316</v>
      </c>
      <c r="D268" s="1616" t="s">
        <v>768</v>
      </c>
      <c r="E268" s="1616" t="s">
        <v>47</v>
      </c>
      <c r="F268" s="1623">
        <v>6597</v>
      </c>
      <c r="G268" s="1616" t="s">
        <v>67</v>
      </c>
      <c r="H268" s="1616">
        <v>137</v>
      </c>
      <c r="I268" s="1616" t="s">
        <v>756</v>
      </c>
      <c r="J268" s="1616">
        <f t="shared" ref="J268:J275" si="3">F268*H268/1000</f>
        <v>903.78899999999999</v>
      </c>
      <c r="K268" s="1656">
        <v>74.5</v>
      </c>
      <c r="L268" s="1678">
        <v>4.0000000000000001E-3</v>
      </c>
      <c r="M268" s="1681">
        <v>0</v>
      </c>
      <c r="N268" s="1594"/>
      <c r="O268" s="1594"/>
      <c r="P268" s="1594"/>
      <c r="Q268" s="1594"/>
      <c r="R268" s="1594"/>
      <c r="S268" s="1594"/>
      <c r="T268" s="1594"/>
      <c r="U268" s="1594"/>
      <c r="V268" s="1594"/>
      <c r="W268" s="1594"/>
      <c r="X268" s="1594"/>
      <c r="Y268" s="1594"/>
      <c r="Z268" s="1594"/>
      <c r="AA268" s="1594"/>
      <c r="AB268" s="1594"/>
      <c r="AC268" s="1594"/>
      <c r="AD268" s="1594"/>
      <c r="AE268" s="1594"/>
      <c r="AF268" s="1594"/>
      <c r="AG268" s="1594"/>
      <c r="AH268" s="1594"/>
      <c r="AI268" s="1594"/>
      <c r="AJ268" s="1594"/>
      <c r="AK268" s="1594"/>
      <c r="AL268" s="1594"/>
      <c r="AM268" s="1594"/>
      <c r="AN268" s="1594"/>
      <c r="AO268" s="1594"/>
      <c r="AP268" s="1594"/>
      <c r="AQ268" s="1594"/>
      <c r="AR268" s="1594"/>
      <c r="AS268" s="1594"/>
      <c r="AT268" s="1594"/>
      <c r="AU268" s="1594"/>
      <c r="AV268" s="1594"/>
      <c r="AW268" s="1594"/>
      <c r="AX268" s="1594"/>
      <c r="AY268" s="1594"/>
      <c r="AZ268" s="1594"/>
      <c r="BA268" s="1594"/>
      <c r="BB268" s="1594"/>
      <c r="BC268" s="1594"/>
      <c r="BD268" s="1594"/>
      <c r="BE268" s="1594"/>
      <c r="BF268" s="1594"/>
      <c r="BG268" s="1594"/>
      <c r="BH268" s="1594"/>
      <c r="BI268" s="1594"/>
      <c r="BJ268" s="1594"/>
    </row>
    <row r="269" spans="1:62" ht="12.75">
      <c r="A269" s="1594"/>
      <c r="B269" s="1615"/>
      <c r="C269" s="1616" t="s">
        <v>317</v>
      </c>
      <c r="D269" s="1616" t="s">
        <v>769</v>
      </c>
      <c r="E269" s="1616" t="s">
        <v>47</v>
      </c>
      <c r="F269" s="1623">
        <v>6985</v>
      </c>
      <c r="G269" s="1616" t="s">
        <v>67</v>
      </c>
      <c r="H269" s="1616">
        <v>137</v>
      </c>
      <c r="I269" s="1616" t="s">
        <v>756</v>
      </c>
      <c r="J269" s="1616">
        <f t="shared" si="3"/>
        <v>956.94500000000005</v>
      </c>
      <c r="K269" s="1656">
        <v>78.900000000000006</v>
      </c>
      <c r="L269" s="1678">
        <v>4.0000000000000001E-3</v>
      </c>
      <c r="M269" s="1681">
        <v>0</v>
      </c>
      <c r="N269" s="1594"/>
      <c r="O269" s="1594"/>
      <c r="P269" s="1594"/>
      <c r="Q269" s="1594"/>
      <c r="R269" s="1594"/>
      <c r="S269" s="1594"/>
      <c r="T269" s="1594"/>
      <c r="U269" s="1594"/>
      <c r="V269" s="1594"/>
      <c r="W269" s="1594"/>
      <c r="X269" s="1594"/>
      <c r="Y269" s="1594"/>
      <c r="Z269" s="1594"/>
      <c r="AA269" s="1594"/>
      <c r="AB269" s="1594"/>
      <c r="AC269" s="1594"/>
      <c r="AD269" s="1594"/>
      <c r="AE269" s="1594"/>
      <c r="AF269" s="1594"/>
      <c r="AG269" s="1594"/>
      <c r="AH269" s="1594"/>
      <c r="AI269" s="1594"/>
      <c r="AJ269" s="1594"/>
      <c r="AK269" s="1594"/>
      <c r="AL269" s="1594"/>
      <c r="AM269" s="1594"/>
      <c r="AN269" s="1594"/>
      <c r="AO269" s="1594"/>
      <c r="AP269" s="1594"/>
      <c r="AQ269" s="1594"/>
      <c r="AR269" s="1594"/>
      <c r="AS269" s="1594"/>
      <c r="AT269" s="1594"/>
      <c r="AU269" s="1594"/>
      <c r="AV269" s="1594"/>
      <c r="AW269" s="1594"/>
      <c r="AX269" s="1594"/>
      <c r="AY269" s="1594"/>
      <c r="AZ269" s="1594"/>
      <c r="BA269" s="1594"/>
      <c r="BB269" s="1594"/>
      <c r="BC269" s="1594"/>
      <c r="BD269" s="1594"/>
      <c r="BE269" s="1594"/>
      <c r="BF269" s="1594"/>
      <c r="BG269" s="1594"/>
      <c r="BH269" s="1594"/>
      <c r="BI269" s="1594"/>
      <c r="BJ269" s="1594"/>
    </row>
    <row r="270" spans="1:62" ht="12.75">
      <c r="A270" s="1594"/>
      <c r="B270" s="1615"/>
      <c r="C270" s="1616" t="s">
        <v>314</v>
      </c>
      <c r="D270" s="1616" t="s">
        <v>770</v>
      </c>
      <c r="E270" s="1616" t="s">
        <v>47</v>
      </c>
      <c r="F270" s="1623">
        <v>89887</v>
      </c>
      <c r="G270" s="1616" t="s">
        <v>67</v>
      </c>
      <c r="H270" s="1616">
        <v>137</v>
      </c>
      <c r="I270" s="1616" t="s">
        <v>756</v>
      </c>
      <c r="J270" s="1616">
        <f t="shared" si="3"/>
        <v>12314.519</v>
      </c>
      <c r="K270" s="1656">
        <v>1015.7</v>
      </c>
      <c r="L270" s="1719">
        <v>0</v>
      </c>
      <c r="M270" s="1681">
        <v>0</v>
      </c>
      <c r="N270" s="1594"/>
      <c r="O270" s="1594"/>
      <c r="P270" s="1594"/>
      <c r="Q270" s="1594"/>
      <c r="R270" s="1594"/>
      <c r="S270" s="1594"/>
      <c r="T270" s="1594"/>
      <c r="U270" s="1594"/>
      <c r="V270" s="1594"/>
      <c r="W270" s="1594"/>
      <c r="X270" s="1594"/>
      <c r="Y270" s="1594"/>
      <c r="Z270" s="1594"/>
      <c r="AA270" s="1594"/>
      <c r="AB270" s="1594"/>
      <c r="AC270" s="1594"/>
      <c r="AD270" s="1594"/>
      <c r="AE270" s="1594"/>
      <c r="AF270" s="1594"/>
      <c r="AG270" s="1594"/>
      <c r="AH270" s="1594"/>
      <c r="AI270" s="1594"/>
      <c r="AJ270" s="1594"/>
      <c r="AK270" s="1594"/>
      <c r="AL270" s="1594"/>
      <c r="AM270" s="1594"/>
      <c r="AN270" s="1594"/>
      <c r="AO270" s="1594"/>
      <c r="AP270" s="1594"/>
      <c r="AQ270" s="1594"/>
      <c r="AR270" s="1594"/>
      <c r="AS270" s="1594"/>
      <c r="AT270" s="1594"/>
      <c r="AU270" s="1594"/>
      <c r="AV270" s="1594"/>
      <c r="AW270" s="1594"/>
      <c r="AX270" s="1594"/>
      <c r="AY270" s="1594"/>
      <c r="AZ270" s="1594"/>
      <c r="BA270" s="1594"/>
      <c r="BB270" s="1594"/>
      <c r="BC270" s="1594"/>
      <c r="BD270" s="1594"/>
      <c r="BE270" s="1594"/>
      <c r="BF270" s="1594"/>
      <c r="BG270" s="1594"/>
      <c r="BH270" s="1594"/>
      <c r="BI270" s="1594"/>
      <c r="BJ270" s="1594"/>
    </row>
    <row r="271" spans="1:62" ht="12.75">
      <c r="A271" s="1594"/>
      <c r="B271" s="1615"/>
      <c r="C271" s="1616" t="s">
        <v>315</v>
      </c>
      <c r="D271" s="1616" t="s">
        <v>771</v>
      </c>
      <c r="E271" s="1616" t="s">
        <v>47</v>
      </c>
      <c r="F271" s="1623">
        <v>72114</v>
      </c>
      <c r="G271" s="1616" t="s">
        <v>67</v>
      </c>
      <c r="H271" s="1616">
        <v>137</v>
      </c>
      <c r="I271" s="1616" t="s">
        <v>756</v>
      </c>
      <c r="J271" s="1616">
        <f t="shared" si="3"/>
        <v>9879.6180000000004</v>
      </c>
      <c r="K271" s="1656">
        <v>814.9</v>
      </c>
      <c r="L271" s="1719">
        <v>0</v>
      </c>
      <c r="M271" s="1681">
        <v>0</v>
      </c>
      <c r="N271" s="1594"/>
      <c r="O271" s="1594"/>
      <c r="P271" s="1594"/>
      <c r="Q271" s="1594"/>
      <c r="R271" s="1594"/>
      <c r="S271" s="1594"/>
      <c r="T271" s="1594"/>
      <c r="U271" s="1594"/>
      <c r="V271" s="1594"/>
      <c r="W271" s="1594"/>
      <c r="X271" s="1594"/>
      <c r="Y271" s="1594"/>
      <c r="Z271" s="1594"/>
      <c r="AA271" s="1594"/>
      <c r="AB271" s="1594"/>
      <c r="AC271" s="1594"/>
      <c r="AD271" s="1594"/>
      <c r="AE271" s="1594"/>
      <c r="AF271" s="1594"/>
      <c r="AG271" s="1594"/>
      <c r="AH271" s="1594"/>
      <c r="AI271" s="1594"/>
      <c r="AJ271" s="1594"/>
      <c r="AK271" s="1594"/>
      <c r="AL271" s="1594"/>
      <c r="AM271" s="1594"/>
      <c r="AN271" s="1594"/>
      <c r="AO271" s="1594"/>
      <c r="AP271" s="1594"/>
      <c r="AQ271" s="1594"/>
      <c r="AR271" s="1594"/>
      <c r="AS271" s="1594"/>
      <c r="AT271" s="1594"/>
      <c r="AU271" s="1594"/>
      <c r="AV271" s="1594"/>
      <c r="AW271" s="1594"/>
      <c r="AX271" s="1594"/>
      <c r="AY271" s="1594"/>
      <c r="AZ271" s="1594"/>
      <c r="BA271" s="1594"/>
      <c r="BB271" s="1594"/>
      <c r="BC271" s="1594"/>
      <c r="BD271" s="1594"/>
      <c r="BE271" s="1594"/>
      <c r="BF271" s="1594"/>
      <c r="BG271" s="1594"/>
      <c r="BH271" s="1594"/>
      <c r="BI271" s="1594"/>
      <c r="BJ271" s="1594"/>
    </row>
    <row r="272" spans="1:62" ht="12.75">
      <c r="A272" s="1594"/>
      <c r="B272" s="1615"/>
      <c r="C272" s="1616" t="s">
        <v>776</v>
      </c>
      <c r="D272" s="1616" t="s">
        <v>772</v>
      </c>
      <c r="E272" s="1616" t="s">
        <v>47</v>
      </c>
      <c r="F272" s="1705">
        <v>99514</v>
      </c>
      <c r="G272" s="1616" t="s">
        <v>67</v>
      </c>
      <c r="H272" s="1616">
        <v>137</v>
      </c>
      <c r="I272" s="1616" t="s">
        <v>756</v>
      </c>
      <c r="J272" s="1616">
        <f t="shared" si="3"/>
        <v>13633.418</v>
      </c>
      <c r="K272" s="1656">
        <v>1124.5</v>
      </c>
      <c r="L272" s="1678">
        <v>5.5E-2</v>
      </c>
      <c r="M272" s="1679">
        <v>5.0000000000000001E-3</v>
      </c>
      <c r="N272" s="1594"/>
      <c r="O272" s="1594"/>
      <c r="P272" s="1594"/>
      <c r="Q272" s="1594"/>
      <c r="R272" s="1594"/>
      <c r="S272" s="1594"/>
      <c r="T272" s="1594"/>
      <c r="U272" s="1594"/>
      <c r="V272" s="1594"/>
      <c r="W272" s="1594"/>
      <c r="X272" s="1594"/>
      <c r="Y272" s="1594"/>
      <c r="Z272" s="1594"/>
      <c r="AA272" s="1594"/>
      <c r="AB272" s="1594"/>
      <c r="AC272" s="1594"/>
      <c r="AD272" s="1594"/>
      <c r="AE272" s="1594"/>
      <c r="AF272" s="1594"/>
      <c r="AG272" s="1594"/>
      <c r="AH272" s="1594"/>
      <c r="AI272" s="1594"/>
      <c r="AJ272" s="1594"/>
      <c r="AK272" s="1594"/>
      <c r="AL272" s="1594"/>
      <c r="AM272" s="1594"/>
      <c r="AN272" s="1594"/>
      <c r="AO272" s="1594"/>
      <c r="AP272" s="1594"/>
      <c r="AQ272" s="1594"/>
      <c r="AR272" s="1594"/>
      <c r="AS272" s="1594"/>
      <c r="AT272" s="1594"/>
      <c r="AU272" s="1594"/>
      <c r="AV272" s="1594"/>
      <c r="AW272" s="1594"/>
      <c r="AX272" s="1594"/>
      <c r="AY272" s="1594"/>
      <c r="AZ272" s="1594"/>
      <c r="BA272" s="1594"/>
      <c r="BB272" s="1594"/>
      <c r="BC272" s="1594"/>
      <c r="BD272" s="1594"/>
      <c r="BE272" s="1594"/>
      <c r="BF272" s="1594"/>
      <c r="BG272" s="1594"/>
      <c r="BH272" s="1594"/>
      <c r="BI272" s="1594"/>
      <c r="BJ272" s="1594"/>
    </row>
    <row r="273" spans="1:62" ht="12.75">
      <c r="A273" s="1594"/>
      <c r="B273" s="1615"/>
      <c r="C273" s="1616" t="s">
        <v>777</v>
      </c>
      <c r="D273" s="1616" t="s">
        <v>773</v>
      </c>
      <c r="E273" s="1616" t="s">
        <v>47</v>
      </c>
      <c r="F273" s="1705">
        <v>97480</v>
      </c>
      <c r="G273" s="1616" t="s">
        <v>67</v>
      </c>
      <c r="H273" s="1616">
        <v>137</v>
      </c>
      <c r="I273" s="1616" t="s">
        <v>756</v>
      </c>
      <c r="J273" s="1616">
        <f t="shared" si="3"/>
        <v>13354.76</v>
      </c>
      <c r="K273" s="1656">
        <v>1101.5</v>
      </c>
      <c r="L273" s="1678">
        <v>5.3999999999999999E-2</v>
      </c>
      <c r="M273" s="1679">
        <v>5.0000000000000001E-3</v>
      </c>
      <c r="N273" s="1594"/>
      <c r="O273" s="1594"/>
      <c r="P273" s="1594"/>
      <c r="Q273" s="1594"/>
      <c r="R273" s="1594"/>
      <c r="S273" s="1594"/>
      <c r="T273" s="1594"/>
      <c r="U273" s="1594"/>
      <c r="V273" s="1594"/>
      <c r="W273" s="1594"/>
      <c r="X273" s="1594"/>
      <c r="Y273" s="1594"/>
      <c r="Z273" s="1594"/>
      <c r="AA273" s="1594"/>
      <c r="AB273" s="1594"/>
      <c r="AC273" s="1594"/>
      <c r="AD273" s="1594"/>
      <c r="AE273" s="1594"/>
      <c r="AF273" s="1594"/>
      <c r="AG273" s="1594"/>
      <c r="AH273" s="1594"/>
      <c r="AI273" s="1594"/>
      <c r="AJ273" s="1594"/>
      <c r="AK273" s="1594"/>
      <c r="AL273" s="1594"/>
      <c r="AM273" s="1594"/>
      <c r="AN273" s="1594"/>
      <c r="AO273" s="1594"/>
      <c r="AP273" s="1594"/>
      <c r="AQ273" s="1594"/>
      <c r="AR273" s="1594"/>
      <c r="AS273" s="1594"/>
      <c r="AT273" s="1594"/>
      <c r="AU273" s="1594"/>
      <c r="AV273" s="1594"/>
      <c r="AW273" s="1594"/>
      <c r="AX273" s="1594"/>
      <c r="AY273" s="1594"/>
      <c r="AZ273" s="1594"/>
      <c r="BA273" s="1594"/>
      <c r="BB273" s="1594"/>
      <c r="BC273" s="1594"/>
      <c r="BD273" s="1594"/>
      <c r="BE273" s="1594"/>
      <c r="BF273" s="1594"/>
      <c r="BG273" s="1594"/>
      <c r="BH273" s="1594"/>
      <c r="BI273" s="1594"/>
      <c r="BJ273" s="1594"/>
    </row>
    <row r="274" spans="1:62" ht="12.75">
      <c r="A274" s="1594"/>
      <c r="B274" s="1615"/>
      <c r="C274" s="1616" t="s">
        <v>778</v>
      </c>
      <c r="D274" s="1616" t="s">
        <v>774</v>
      </c>
      <c r="E274" s="1616" t="s">
        <v>47</v>
      </c>
      <c r="F274" s="1705">
        <v>93640</v>
      </c>
      <c r="G274" s="1616" t="s">
        <v>67</v>
      </c>
      <c r="H274" s="1616">
        <v>137</v>
      </c>
      <c r="I274" s="1616" t="s">
        <v>756</v>
      </c>
      <c r="J274" s="1616">
        <f t="shared" si="3"/>
        <v>12828.68</v>
      </c>
      <c r="K274" s="1656">
        <v>1058.0999999999999</v>
      </c>
      <c r="L274" s="1678">
        <v>5.1999999999999998E-2</v>
      </c>
      <c r="M274" s="1679">
        <v>5.0000000000000001E-3</v>
      </c>
      <c r="N274" s="1594"/>
      <c r="O274" s="1594"/>
      <c r="P274" s="1594"/>
      <c r="Q274" s="1594"/>
      <c r="R274" s="1594"/>
      <c r="S274" s="1594"/>
      <c r="T274" s="1594"/>
      <c r="U274" s="1594"/>
      <c r="V274" s="1594"/>
      <c r="W274" s="1594"/>
      <c r="X274" s="1594"/>
      <c r="Y274" s="1594"/>
      <c r="Z274" s="1594"/>
      <c r="AA274" s="1594"/>
      <c r="AB274" s="1594"/>
      <c r="AC274" s="1594"/>
      <c r="AD274" s="1594"/>
      <c r="AE274" s="1594"/>
      <c r="AF274" s="1594"/>
      <c r="AG274" s="1594"/>
      <c r="AH274" s="1594"/>
      <c r="AI274" s="1594"/>
      <c r="AJ274" s="1594"/>
      <c r="AK274" s="1594"/>
      <c r="AL274" s="1594"/>
      <c r="AM274" s="1594"/>
      <c r="AN274" s="1594"/>
      <c r="AO274" s="1594"/>
      <c r="AP274" s="1594"/>
      <c r="AQ274" s="1594"/>
      <c r="AR274" s="1594"/>
      <c r="AS274" s="1594"/>
      <c r="AT274" s="1594"/>
      <c r="AU274" s="1594"/>
      <c r="AV274" s="1594"/>
      <c r="AW274" s="1594"/>
      <c r="AX274" s="1594"/>
      <c r="AY274" s="1594"/>
      <c r="AZ274" s="1594"/>
      <c r="BA274" s="1594"/>
      <c r="BB274" s="1594"/>
      <c r="BC274" s="1594"/>
      <c r="BD274" s="1594"/>
      <c r="BE274" s="1594"/>
      <c r="BF274" s="1594"/>
      <c r="BG274" s="1594"/>
      <c r="BH274" s="1594"/>
      <c r="BI274" s="1594"/>
      <c r="BJ274" s="1594"/>
    </row>
    <row r="275" spans="1:62" ht="12.75">
      <c r="A275" s="1594"/>
      <c r="B275" s="1615"/>
      <c r="C275" s="1616" t="s">
        <v>779</v>
      </c>
      <c r="D275" s="1616" t="s">
        <v>775</v>
      </c>
      <c r="E275" s="1616" t="s">
        <v>47</v>
      </c>
      <c r="F275" s="1705">
        <v>129235</v>
      </c>
      <c r="G275" s="1616" t="s">
        <v>67</v>
      </c>
      <c r="H275" s="1616">
        <v>137</v>
      </c>
      <c r="I275" s="1616" t="s">
        <v>756</v>
      </c>
      <c r="J275" s="1616">
        <f t="shared" si="3"/>
        <v>17705.195</v>
      </c>
      <c r="K275" s="1656">
        <v>1460.4</v>
      </c>
      <c r="L275" s="1678">
        <v>7.1999999999999995E-2</v>
      </c>
      <c r="M275" s="1679">
        <v>7.0000000000000001E-3</v>
      </c>
      <c r="N275" s="1594"/>
      <c r="O275" s="1594"/>
      <c r="P275" s="1594"/>
      <c r="Q275" s="1594"/>
      <c r="R275" s="1594"/>
      <c r="S275" s="1594"/>
      <c r="T275" s="1594"/>
      <c r="U275" s="1594"/>
      <c r="V275" s="1594"/>
      <c r="W275" s="1594"/>
      <c r="X275" s="1594"/>
      <c r="Y275" s="1594"/>
      <c r="Z275" s="1594"/>
      <c r="AA275" s="1594"/>
      <c r="AB275" s="1594"/>
      <c r="AC275" s="1594"/>
      <c r="AD275" s="1594"/>
      <c r="AE275" s="1594"/>
      <c r="AF275" s="1594"/>
      <c r="AG275" s="1594"/>
      <c r="AH275" s="1594"/>
      <c r="AI275" s="1594"/>
      <c r="AJ275" s="1594"/>
      <c r="AK275" s="1594"/>
      <c r="AL275" s="1594"/>
      <c r="AM275" s="1594"/>
      <c r="AN275" s="1594"/>
      <c r="AO275" s="1594"/>
      <c r="AP275" s="1594"/>
      <c r="AQ275" s="1594"/>
      <c r="AR275" s="1594"/>
      <c r="AS275" s="1594"/>
      <c r="AT275" s="1594"/>
      <c r="AU275" s="1594"/>
      <c r="AV275" s="1594"/>
      <c r="AW275" s="1594"/>
      <c r="AX275" s="1594"/>
      <c r="AY275" s="1594"/>
      <c r="AZ275" s="1594"/>
      <c r="BA275" s="1594"/>
      <c r="BB275" s="1594"/>
      <c r="BC275" s="1594"/>
      <c r="BD275" s="1594"/>
      <c r="BE275" s="1594"/>
      <c r="BF275" s="1594"/>
      <c r="BG275" s="1594"/>
      <c r="BH275" s="1594"/>
      <c r="BI275" s="1594"/>
      <c r="BJ275" s="1594"/>
    </row>
    <row r="276" spans="1:62" ht="13.5" thickBot="1">
      <c r="A276" s="1594"/>
      <c r="B276" s="1615"/>
      <c r="C276" s="1616"/>
      <c r="D276" s="1616"/>
      <c r="E276" s="1616"/>
      <c r="F276" s="1616"/>
      <c r="G276" s="1616"/>
      <c r="H276" s="1616"/>
      <c r="I276" s="1616"/>
      <c r="J276" s="1616"/>
      <c r="K276" s="1616"/>
      <c r="L276" s="1616"/>
      <c r="M276" s="1624"/>
      <c r="N276" s="1594"/>
      <c r="O276" s="1594"/>
      <c r="P276" s="1594"/>
      <c r="Q276" s="1594"/>
      <c r="R276" s="1594"/>
      <c r="S276" s="1594"/>
      <c r="T276" s="1594"/>
      <c r="U276" s="1594"/>
      <c r="V276" s="1594"/>
      <c r="W276" s="1594"/>
      <c r="X276" s="1594"/>
      <c r="Y276" s="1594"/>
      <c r="Z276" s="1594"/>
      <c r="AA276" s="1594"/>
      <c r="AB276" s="1594"/>
      <c r="AC276" s="1594"/>
      <c r="AD276" s="1594"/>
      <c r="AE276" s="1594"/>
      <c r="AF276" s="1594"/>
      <c r="AG276" s="1594"/>
      <c r="AH276" s="1594"/>
      <c r="AI276" s="1594"/>
      <c r="AJ276" s="1594"/>
      <c r="AK276" s="1594"/>
      <c r="AL276" s="1594"/>
      <c r="AM276" s="1594"/>
      <c r="AN276" s="1594"/>
      <c r="AO276" s="1594"/>
      <c r="AP276" s="1594"/>
      <c r="AQ276" s="1594"/>
      <c r="AR276" s="1594"/>
      <c r="AS276" s="1594"/>
      <c r="AT276" s="1594"/>
      <c r="AU276" s="1594"/>
      <c r="AV276" s="1594"/>
      <c r="AW276" s="1594"/>
      <c r="AX276" s="1594"/>
      <c r="AY276" s="1594"/>
      <c r="AZ276" s="1594"/>
      <c r="BA276" s="1594"/>
      <c r="BB276" s="1594"/>
      <c r="BC276" s="1594"/>
      <c r="BD276" s="1594"/>
      <c r="BE276" s="1594"/>
      <c r="BF276" s="1594"/>
      <c r="BG276" s="1594"/>
      <c r="BH276" s="1594"/>
      <c r="BI276" s="1594"/>
      <c r="BJ276" s="1594"/>
    </row>
    <row r="277" spans="1:62" ht="12.75">
      <c r="A277" s="1594"/>
      <c r="B277" s="1660"/>
      <c r="C277" s="1613"/>
      <c r="D277" s="1613"/>
      <c r="E277" s="1613"/>
      <c r="F277" s="1613"/>
      <c r="G277" s="1613"/>
      <c r="H277" s="1613"/>
      <c r="I277" s="1613"/>
      <c r="J277" s="1613"/>
      <c r="K277" s="1613"/>
      <c r="L277" s="1613"/>
      <c r="M277" s="1662"/>
      <c r="N277" s="1594"/>
      <c r="O277" s="1594"/>
      <c r="P277" s="1594"/>
      <c r="Q277" s="1594"/>
      <c r="R277" s="1594"/>
      <c r="S277" s="1594"/>
      <c r="T277" s="1594"/>
      <c r="U277" s="1594"/>
      <c r="V277" s="1594"/>
      <c r="W277" s="1594"/>
      <c r="X277" s="1594"/>
      <c r="Y277" s="1594"/>
      <c r="Z277" s="1594"/>
      <c r="AA277" s="1594"/>
      <c r="AB277" s="1594"/>
      <c r="AC277" s="1594"/>
      <c r="AD277" s="1594"/>
      <c r="AE277" s="1594"/>
      <c r="AF277" s="1594"/>
      <c r="AG277" s="1594"/>
      <c r="AH277" s="1594"/>
      <c r="AI277" s="1594"/>
      <c r="AJ277" s="1594"/>
      <c r="AK277" s="1594"/>
      <c r="AL277" s="1594"/>
      <c r="AM277" s="1594"/>
      <c r="AN277" s="1594"/>
      <c r="AO277" s="1594"/>
      <c r="AP277" s="1594"/>
      <c r="AQ277" s="1594"/>
      <c r="AR277" s="1594"/>
      <c r="AS277" s="1594"/>
      <c r="AT277" s="1594"/>
      <c r="AU277" s="1594"/>
      <c r="AV277" s="1594"/>
      <c r="AW277" s="1594"/>
      <c r="AX277" s="1594"/>
      <c r="AY277" s="1594"/>
      <c r="AZ277" s="1594"/>
      <c r="BA277" s="1594"/>
      <c r="BB277" s="1594"/>
      <c r="BC277" s="1594"/>
      <c r="BD277" s="1594"/>
      <c r="BE277" s="1594"/>
      <c r="BF277" s="1594"/>
      <c r="BG277" s="1594"/>
      <c r="BH277" s="1594"/>
      <c r="BI277" s="1594"/>
      <c r="BJ277" s="1594"/>
    </row>
    <row r="278" spans="1:62" ht="12.75">
      <c r="A278" s="1594"/>
      <c r="B278" s="1615"/>
      <c r="C278" s="1616"/>
      <c r="D278" s="1616"/>
      <c r="E278" s="1616"/>
      <c r="F278" s="1616"/>
      <c r="G278" s="1616"/>
      <c r="H278" s="1616"/>
      <c r="I278" s="1616"/>
      <c r="J278" s="1616"/>
      <c r="K278" s="1616"/>
      <c r="L278" s="1616"/>
      <c r="M278" s="1624"/>
      <c r="N278" s="1594"/>
      <c r="O278" s="1598" t="s">
        <v>1184</v>
      </c>
      <c r="P278" s="1594"/>
      <c r="Q278" s="1594"/>
      <c r="R278" s="1594"/>
      <c r="S278" s="1594"/>
      <c r="T278" s="1594"/>
      <c r="U278" s="1594"/>
      <c r="V278" s="1594"/>
      <c r="W278" s="1594"/>
      <c r="X278" s="1594"/>
      <c r="Y278" s="1594"/>
      <c r="Z278" s="1594"/>
      <c r="AA278" s="1594"/>
      <c r="AB278" s="1594"/>
      <c r="AC278" s="1594"/>
      <c r="AD278" s="1594"/>
      <c r="AE278" s="1594"/>
      <c r="AF278" s="1594"/>
      <c r="AG278" s="1594"/>
      <c r="AH278" s="1594"/>
      <c r="AI278" s="1594"/>
      <c r="AJ278" s="1594"/>
      <c r="AK278" s="1594"/>
      <c r="AL278" s="1594"/>
      <c r="AM278" s="1594"/>
      <c r="AN278" s="1594"/>
      <c r="AO278" s="1594"/>
      <c r="AP278" s="1594"/>
      <c r="AQ278" s="1594"/>
      <c r="AR278" s="1594"/>
      <c r="AS278" s="1594"/>
      <c r="AT278" s="1594"/>
      <c r="AU278" s="1594"/>
      <c r="AV278" s="1594"/>
      <c r="AW278" s="1594"/>
      <c r="AX278" s="1594"/>
      <c r="AY278" s="1594"/>
      <c r="AZ278" s="1594"/>
      <c r="BA278" s="1594"/>
      <c r="BB278" s="1594"/>
      <c r="BC278" s="1594"/>
      <c r="BD278" s="1594"/>
      <c r="BE278" s="1594"/>
      <c r="BF278" s="1594"/>
      <c r="BG278" s="1594"/>
      <c r="BH278" s="1594"/>
      <c r="BI278" s="1594"/>
      <c r="BJ278" s="1594"/>
    </row>
    <row r="279" spans="1:62" ht="14.25">
      <c r="A279" s="1594"/>
      <c r="B279" s="1615" t="s">
        <v>318</v>
      </c>
      <c r="C279" s="163" t="s">
        <v>138</v>
      </c>
      <c r="D279" s="1616"/>
      <c r="E279" s="1616"/>
      <c r="F279" s="1616"/>
      <c r="G279" s="1616"/>
      <c r="H279" s="1616"/>
      <c r="I279" s="1616"/>
      <c r="J279" s="1616"/>
      <c r="K279" s="1616"/>
      <c r="L279" s="1616"/>
      <c r="M279" s="1624"/>
      <c r="N279" s="1594"/>
      <c r="O279" s="1594" t="s">
        <v>1195</v>
      </c>
      <c r="P279" s="1594"/>
      <c r="Q279" s="1594"/>
      <c r="R279" s="1598"/>
      <c r="S279" s="1598"/>
      <c r="T279" s="1594"/>
      <c r="U279" s="1594"/>
      <c r="V279" s="1594"/>
      <c r="W279" s="1594"/>
      <c r="X279" s="1594"/>
      <c r="Y279" s="1594"/>
      <c r="Z279" s="1594"/>
      <c r="AA279" s="1594"/>
      <c r="AB279" s="1594"/>
      <c r="AC279" s="1594"/>
      <c r="AD279" s="1594"/>
      <c r="AE279" s="1594"/>
      <c r="AF279" s="1594"/>
      <c r="AG279" s="1594"/>
      <c r="AH279" s="1594"/>
      <c r="AI279" s="1594"/>
      <c r="AJ279" s="1594"/>
      <c r="AK279" s="1594"/>
      <c r="AL279" s="1594"/>
      <c r="AM279" s="1594"/>
      <c r="AN279" s="1594"/>
      <c r="AO279" s="1594"/>
      <c r="AP279" s="1594"/>
      <c r="AQ279" s="1594"/>
      <c r="AR279" s="1594"/>
      <c r="AS279" s="1594"/>
      <c r="AT279" s="1594"/>
      <c r="AU279" s="1594"/>
      <c r="AV279" s="1594"/>
      <c r="AW279" s="1594"/>
      <c r="AX279" s="1594"/>
      <c r="AY279" s="1594"/>
      <c r="AZ279" s="1594"/>
      <c r="BA279" s="1594"/>
      <c r="BB279" s="1594"/>
      <c r="BC279" s="1594"/>
      <c r="BD279" s="1594"/>
      <c r="BE279" s="1594"/>
      <c r="BF279" s="1594"/>
      <c r="BG279" s="1594"/>
      <c r="BH279" s="1594"/>
      <c r="BI279" s="1594"/>
      <c r="BJ279" s="1594"/>
    </row>
    <row r="280" spans="1:62" ht="14.25">
      <c r="A280" s="1594"/>
      <c r="B280" s="1615"/>
      <c r="C280" s="1616" t="s">
        <v>140</v>
      </c>
      <c r="D280" s="1616" t="s">
        <v>780</v>
      </c>
      <c r="E280" s="1616" t="s">
        <v>47</v>
      </c>
      <c r="F280" s="1623">
        <v>1600</v>
      </c>
      <c r="G280" s="1616" t="s">
        <v>67</v>
      </c>
      <c r="H280" s="1620">
        <v>140984</v>
      </c>
      <c r="I280" s="1616" t="s">
        <v>137</v>
      </c>
      <c r="J280" s="1653">
        <f>F280*H280/1000000</f>
        <v>225.5744</v>
      </c>
      <c r="K280" s="1655">
        <v>18.309999999999999</v>
      </c>
      <c r="L280" s="1677">
        <v>0</v>
      </c>
      <c r="M280" s="1721">
        <v>0</v>
      </c>
      <c r="N280" s="1594"/>
      <c r="O280" s="1594" t="s">
        <v>1196</v>
      </c>
      <c r="P280" s="1594" t="s">
        <v>1186</v>
      </c>
      <c r="Q280" s="1594">
        <v>0.9</v>
      </c>
      <c r="R280" s="1598"/>
      <c r="S280" s="1598"/>
      <c r="T280" s="1594"/>
      <c r="U280" s="1594"/>
      <c r="V280" s="1594"/>
      <c r="W280" s="1594"/>
      <c r="X280" s="1594"/>
      <c r="Y280" s="1594"/>
      <c r="Z280" s="1594"/>
      <c r="AA280" s="1594"/>
      <c r="AB280" s="1594"/>
      <c r="AC280" s="1594"/>
      <c r="AD280" s="1594"/>
      <c r="AE280" s="1594"/>
      <c r="AF280" s="1594"/>
      <c r="AG280" s="1594"/>
      <c r="AH280" s="1594"/>
      <c r="AI280" s="1594"/>
      <c r="AJ280" s="1594"/>
      <c r="AK280" s="1594"/>
      <c r="AL280" s="1594"/>
      <c r="AM280" s="1594"/>
      <c r="AN280" s="1594"/>
      <c r="AO280" s="1594"/>
      <c r="AP280" s="1594"/>
      <c r="AQ280" s="1594"/>
      <c r="AR280" s="1594"/>
      <c r="AS280" s="1594"/>
      <c r="AT280" s="1594"/>
      <c r="AU280" s="1594"/>
      <c r="AV280" s="1594"/>
      <c r="AW280" s="1594"/>
      <c r="AX280" s="1594"/>
      <c r="AY280" s="1594"/>
      <c r="AZ280" s="1594"/>
      <c r="BA280" s="1594"/>
      <c r="BB280" s="1594"/>
      <c r="BC280" s="1594"/>
      <c r="BD280" s="1594"/>
      <c r="BE280" s="1594"/>
      <c r="BF280" s="1594"/>
      <c r="BG280" s="1594"/>
      <c r="BH280" s="1594"/>
      <c r="BI280" s="1594"/>
      <c r="BJ280" s="1594"/>
    </row>
    <row r="281" spans="1:62" ht="14.25">
      <c r="A281" s="1594"/>
      <c r="B281" s="1615"/>
      <c r="C281" s="1616" t="s">
        <v>139</v>
      </c>
      <c r="D281" s="1616" t="s">
        <v>781</v>
      </c>
      <c r="E281" s="1616" t="s">
        <v>47</v>
      </c>
      <c r="F281" s="1623">
        <v>2829</v>
      </c>
      <c r="G281" s="1616" t="s">
        <v>67</v>
      </c>
      <c r="H281" s="1620">
        <v>140983</v>
      </c>
      <c r="I281" s="1616" t="s">
        <v>137</v>
      </c>
      <c r="J281" s="1653">
        <f>F281*H281/1000000</f>
        <v>398.84090700000002</v>
      </c>
      <c r="K281" s="1655">
        <v>42.85</v>
      </c>
      <c r="L281" s="1677">
        <v>0</v>
      </c>
      <c r="M281" s="1721">
        <v>0</v>
      </c>
      <c r="N281" s="1594"/>
      <c r="O281" s="1594" t="s">
        <v>1197</v>
      </c>
      <c r="P281" s="1594" t="s">
        <v>1187</v>
      </c>
      <c r="Q281" s="1594">
        <v>0.2</v>
      </c>
      <c r="R281" s="1598"/>
      <c r="S281" s="1598"/>
      <c r="T281" s="1594"/>
      <c r="U281" s="1594"/>
      <c r="V281" s="1594"/>
      <c r="W281" s="1594"/>
      <c r="X281" s="1594"/>
      <c r="Y281" s="1594"/>
      <c r="Z281" s="1594"/>
      <c r="AA281" s="1594"/>
      <c r="AB281" s="1594"/>
      <c r="AC281" s="1594"/>
      <c r="AD281" s="1594"/>
      <c r="AE281" s="1594"/>
      <c r="AF281" s="1594"/>
      <c r="AG281" s="1594"/>
      <c r="AH281" s="1594"/>
      <c r="AI281" s="1594"/>
      <c r="AJ281" s="1594"/>
      <c r="AK281" s="1594"/>
      <c r="AL281" s="1594"/>
      <c r="AM281" s="1594"/>
      <c r="AN281" s="1594"/>
      <c r="AO281" s="1594"/>
      <c r="AP281" s="1594"/>
      <c r="AQ281" s="1594"/>
      <c r="AR281" s="1594"/>
      <c r="AS281" s="1594"/>
      <c r="AT281" s="1594"/>
      <c r="AU281" s="1594"/>
      <c r="AV281" s="1594"/>
      <c r="AW281" s="1594"/>
      <c r="AX281" s="1594"/>
      <c r="AY281" s="1594"/>
      <c r="AZ281" s="1594"/>
      <c r="BA281" s="1594"/>
      <c r="BB281" s="1594"/>
      <c r="BC281" s="1594"/>
      <c r="BD281" s="1594"/>
      <c r="BE281" s="1594"/>
      <c r="BF281" s="1594"/>
      <c r="BG281" s="1594"/>
      <c r="BH281" s="1594"/>
      <c r="BI281" s="1594"/>
      <c r="BJ281" s="1594"/>
    </row>
    <row r="282" spans="1:62" ht="15.75">
      <c r="A282" s="1594"/>
      <c r="B282" s="1615"/>
      <c r="C282" s="1616" t="s">
        <v>141</v>
      </c>
      <c r="D282" s="1616" t="s">
        <v>782</v>
      </c>
      <c r="E282" s="1616" t="s">
        <v>47</v>
      </c>
      <c r="F282" s="1623">
        <v>2829</v>
      </c>
      <c r="G282" s="1616" t="s">
        <v>67</v>
      </c>
      <c r="H282" s="1620">
        <v>140987</v>
      </c>
      <c r="I282" s="1616" t="s">
        <v>137</v>
      </c>
      <c r="J282" s="1653">
        <f>F282*H282/1000000</f>
        <v>398.85222299999998</v>
      </c>
      <c r="K282" s="1655">
        <v>24.59</v>
      </c>
      <c r="L282" s="1677">
        <v>0</v>
      </c>
      <c r="M282" s="1721">
        <v>0</v>
      </c>
      <c r="N282" s="1594"/>
      <c r="O282" s="1598" t="s">
        <v>1202</v>
      </c>
      <c r="P282" s="1598" t="s">
        <v>1201</v>
      </c>
      <c r="Q282" s="1598">
        <v>22</v>
      </c>
      <c r="R282" s="1598"/>
      <c r="S282" s="1598"/>
      <c r="T282" s="1594"/>
      <c r="U282" s="1594"/>
      <c r="V282" s="1594"/>
      <c r="W282" s="1594"/>
      <c r="X282" s="1594"/>
      <c r="Y282" s="1594"/>
      <c r="Z282" s="1594"/>
      <c r="AA282" s="1594"/>
      <c r="AB282" s="1594"/>
      <c r="AC282" s="1594"/>
      <c r="AD282" s="1594"/>
      <c r="AE282" s="1594"/>
      <c r="AF282" s="1594"/>
      <c r="AG282" s="1594"/>
      <c r="AH282" s="1594"/>
      <c r="AI282" s="1594"/>
      <c r="AJ282" s="1594"/>
      <c r="AK282" s="1594"/>
      <c r="AL282" s="1594"/>
      <c r="AM282" s="1594"/>
      <c r="AN282" s="1594"/>
      <c r="AO282" s="1594"/>
      <c r="AP282" s="1594"/>
      <c r="AQ282" s="1594"/>
      <c r="AR282" s="1594"/>
      <c r="AS282" s="1594"/>
      <c r="AT282" s="1594"/>
      <c r="AU282" s="1594"/>
      <c r="AV282" s="1594"/>
      <c r="AW282" s="1594"/>
      <c r="AX282" s="1594"/>
      <c r="AY282" s="1594"/>
      <c r="AZ282" s="1594"/>
      <c r="BA282" s="1594"/>
      <c r="BB282" s="1594"/>
      <c r="BC282" s="1594"/>
      <c r="BD282" s="1594"/>
      <c r="BE282" s="1594"/>
      <c r="BF282" s="1594"/>
      <c r="BG282" s="1594"/>
      <c r="BH282" s="1594"/>
      <c r="BI282" s="1594"/>
      <c r="BJ282" s="1594"/>
    </row>
    <row r="283" spans="1:62" ht="12.75">
      <c r="A283" s="1594"/>
      <c r="B283" s="1615"/>
      <c r="C283" s="1616" t="s">
        <v>143</v>
      </c>
      <c r="D283" s="1616" t="s">
        <v>782</v>
      </c>
      <c r="E283" s="1616" t="s">
        <v>47</v>
      </c>
      <c r="F283" s="1623">
        <v>3600</v>
      </c>
      <c r="G283" s="1616" t="s">
        <v>67</v>
      </c>
      <c r="H283" s="1620">
        <v>140987</v>
      </c>
      <c r="I283" s="1616" t="s">
        <v>137</v>
      </c>
      <c r="J283" s="1653">
        <f>F283*H283/1000000</f>
        <v>507.5532</v>
      </c>
      <c r="K283" s="1655">
        <v>24.91</v>
      </c>
      <c r="L283" s="1677">
        <v>0</v>
      </c>
      <c r="M283" s="1721">
        <v>0</v>
      </c>
      <c r="N283" s="1594"/>
      <c r="O283" s="1594"/>
      <c r="P283" s="1594"/>
      <c r="Q283" s="1594"/>
      <c r="R283" s="1594"/>
      <c r="S283" s="1594"/>
      <c r="T283" s="1594"/>
      <c r="U283" s="1594"/>
      <c r="V283" s="1594"/>
      <c r="W283" s="1594"/>
      <c r="X283" s="1594"/>
      <c r="Y283" s="1594"/>
      <c r="Z283" s="1594"/>
      <c r="AA283" s="1594"/>
      <c r="AB283" s="1594"/>
      <c r="AC283" s="1594"/>
      <c r="AD283" s="1594"/>
      <c r="AE283" s="1594"/>
      <c r="AF283" s="1594"/>
      <c r="AG283" s="1594"/>
      <c r="AH283" s="1594"/>
      <c r="AI283" s="1594"/>
      <c r="AJ283" s="1594"/>
      <c r="AK283" s="1594"/>
      <c r="AL283" s="1594"/>
      <c r="AM283" s="1594"/>
      <c r="AN283" s="1594"/>
      <c r="AO283" s="1594"/>
      <c r="AP283" s="1594"/>
      <c r="AQ283" s="1594"/>
      <c r="AR283" s="1594"/>
      <c r="AS283" s="1594"/>
      <c r="AT283" s="1594"/>
      <c r="AU283" s="1594"/>
      <c r="AV283" s="1594"/>
      <c r="AW283" s="1594"/>
      <c r="AX283" s="1594"/>
      <c r="AY283" s="1594"/>
      <c r="AZ283" s="1594"/>
      <c r="BA283" s="1594"/>
      <c r="BB283" s="1594"/>
      <c r="BC283" s="1594"/>
      <c r="BD283" s="1594"/>
      <c r="BE283" s="1594"/>
      <c r="BF283" s="1594"/>
      <c r="BG283" s="1594"/>
      <c r="BH283" s="1594"/>
      <c r="BI283" s="1594"/>
      <c r="BJ283" s="1594"/>
    </row>
    <row r="284" spans="1:62" ht="13.5" thickBot="1">
      <c r="A284" s="1594"/>
      <c r="B284" s="1615"/>
      <c r="C284" s="1616"/>
      <c r="D284" s="1616"/>
      <c r="E284" s="1616"/>
      <c r="F284" s="1620"/>
      <c r="G284" s="1616"/>
      <c r="H284" s="1616"/>
      <c r="I284" s="1616"/>
      <c r="J284" s="1620"/>
      <c r="K284" s="1616"/>
      <c r="L284" s="1616"/>
      <c r="M284" s="1624"/>
      <c r="N284" s="1594"/>
      <c r="O284" s="1594"/>
      <c r="P284" s="1594"/>
      <c r="Q284" s="1594"/>
      <c r="R284" s="1594"/>
      <c r="S284" s="1594"/>
      <c r="T284" s="1594"/>
      <c r="U284" s="1594"/>
      <c r="V284" s="1594"/>
      <c r="W284" s="1594"/>
      <c r="X284" s="1594"/>
      <c r="Y284" s="1594"/>
      <c r="Z284" s="1594"/>
      <c r="AA284" s="1594"/>
      <c r="AB284" s="1594"/>
      <c r="AC284" s="1594"/>
      <c r="AD284" s="1594"/>
      <c r="AE284" s="1594"/>
      <c r="AF284" s="1594"/>
      <c r="AG284" s="1594"/>
      <c r="AH284" s="1594"/>
      <c r="AI284" s="1594"/>
      <c r="AJ284" s="1594"/>
      <c r="AK284" s="1594"/>
      <c r="AL284" s="1594"/>
      <c r="AM284" s="1594"/>
      <c r="AN284" s="1594"/>
      <c r="AO284" s="1594"/>
      <c r="AP284" s="1594"/>
      <c r="AQ284" s="1594"/>
      <c r="AR284" s="1594"/>
      <c r="AS284" s="1594"/>
      <c r="AT284" s="1594"/>
      <c r="AU284" s="1594"/>
      <c r="AV284" s="1594"/>
      <c r="AW284" s="1594"/>
      <c r="AX284" s="1594"/>
      <c r="AY284" s="1594"/>
      <c r="AZ284" s="1594"/>
      <c r="BA284" s="1594"/>
      <c r="BB284" s="1594"/>
      <c r="BC284" s="1594"/>
      <c r="BD284" s="1594"/>
      <c r="BE284" s="1594"/>
      <c r="BF284" s="1594"/>
      <c r="BG284" s="1594"/>
      <c r="BH284" s="1594"/>
      <c r="BI284" s="1594"/>
      <c r="BJ284" s="1594"/>
    </row>
    <row r="285" spans="1:62" ht="12.75">
      <c r="A285" s="1594"/>
      <c r="B285" s="1660"/>
      <c r="C285" s="1613"/>
      <c r="D285" s="1613"/>
      <c r="E285" s="1613"/>
      <c r="F285" s="1613"/>
      <c r="G285" s="1613"/>
      <c r="H285" s="1613"/>
      <c r="I285" s="1613"/>
      <c r="J285" s="1613"/>
      <c r="K285" s="1613"/>
      <c r="L285" s="1613"/>
      <c r="M285" s="1662"/>
      <c r="N285" s="1594"/>
      <c r="O285" s="1594"/>
      <c r="P285" s="1594"/>
      <c r="Q285" s="1594"/>
      <c r="R285" s="1594"/>
      <c r="S285" s="1594"/>
      <c r="T285" s="1594"/>
      <c r="U285" s="1594"/>
      <c r="V285" s="1594"/>
      <c r="W285" s="1594"/>
      <c r="X285" s="1594"/>
      <c r="Y285" s="1594"/>
      <c r="Z285" s="1594"/>
      <c r="AA285" s="1594"/>
      <c r="AB285" s="1594"/>
      <c r="AC285" s="1594"/>
      <c r="AD285" s="1594"/>
      <c r="AE285" s="1594"/>
      <c r="AF285" s="1594"/>
      <c r="AG285" s="1594"/>
      <c r="AH285" s="1594"/>
      <c r="AI285" s="1594"/>
      <c r="AJ285" s="1594"/>
      <c r="AK285" s="1594"/>
      <c r="AL285" s="1594"/>
      <c r="AM285" s="1594"/>
      <c r="AN285" s="1594"/>
      <c r="AO285" s="1594"/>
      <c r="AP285" s="1594"/>
      <c r="AQ285" s="1594"/>
      <c r="AR285" s="1594"/>
      <c r="AS285" s="1594"/>
      <c r="AT285" s="1594"/>
      <c r="AU285" s="1594"/>
      <c r="AV285" s="1594"/>
      <c r="AW285" s="1594"/>
      <c r="AX285" s="1594"/>
      <c r="AY285" s="1594"/>
      <c r="AZ285" s="1594"/>
      <c r="BA285" s="1594"/>
      <c r="BB285" s="1594"/>
      <c r="BC285" s="1594"/>
      <c r="BD285" s="1594"/>
      <c r="BE285" s="1594"/>
      <c r="BF285" s="1594"/>
      <c r="BG285" s="1594"/>
      <c r="BH285" s="1594"/>
      <c r="BI285" s="1594"/>
      <c r="BJ285" s="1594"/>
    </row>
    <row r="286" spans="1:62" ht="12.75">
      <c r="A286" s="1594"/>
      <c r="B286" s="1615"/>
      <c r="C286" s="1616"/>
      <c r="D286" s="1616"/>
      <c r="E286" s="1616"/>
      <c r="F286" s="1616"/>
      <c r="G286" s="1616"/>
      <c r="H286" s="1616"/>
      <c r="I286" s="1616"/>
      <c r="J286" s="1616"/>
      <c r="K286" s="1616"/>
      <c r="L286" s="1616"/>
      <c r="M286" s="1624"/>
      <c r="N286" s="1594"/>
      <c r="O286" s="1598" t="s">
        <v>1185</v>
      </c>
      <c r="P286" s="1594"/>
      <c r="Q286" s="1594"/>
      <c r="R286" s="1594"/>
      <c r="S286" s="1594"/>
      <c r="T286" s="1594"/>
      <c r="U286" s="1594"/>
      <c r="V286" s="1594"/>
      <c r="W286" s="1594"/>
      <c r="X286" s="1594"/>
      <c r="Y286" s="1594"/>
      <c r="Z286" s="1594"/>
      <c r="AA286" s="1594"/>
      <c r="AB286" s="1594"/>
      <c r="AC286" s="1594"/>
      <c r="AD286" s="1594"/>
      <c r="AE286" s="1594"/>
      <c r="AF286" s="1594"/>
      <c r="AG286" s="1594"/>
      <c r="AH286" s="1594"/>
      <c r="AI286" s="1594"/>
      <c r="AJ286" s="1594"/>
      <c r="AK286" s="1594"/>
      <c r="AL286" s="1594"/>
      <c r="AM286" s="1594"/>
      <c r="AN286" s="1594"/>
      <c r="AO286" s="1594"/>
      <c r="AP286" s="1594"/>
      <c r="AQ286" s="1594"/>
      <c r="AR286" s="1594"/>
      <c r="AS286" s="1594"/>
      <c r="AT286" s="1594"/>
      <c r="AU286" s="1594"/>
      <c r="AV286" s="1594"/>
      <c r="AW286" s="1594"/>
      <c r="AX286" s="1594"/>
      <c r="AY286" s="1594"/>
      <c r="AZ286" s="1594"/>
      <c r="BA286" s="1594"/>
      <c r="BB286" s="1594"/>
      <c r="BC286" s="1594"/>
      <c r="BD286" s="1594"/>
      <c r="BE286" s="1594"/>
      <c r="BF286" s="1594"/>
      <c r="BG286" s="1594"/>
      <c r="BH286" s="1594"/>
      <c r="BI286" s="1594"/>
      <c r="BJ286" s="1594"/>
    </row>
    <row r="287" spans="1:62" ht="13.5" thickBot="1">
      <c r="A287" s="1594"/>
      <c r="B287" s="1615" t="s">
        <v>319</v>
      </c>
      <c r="C287" s="163" t="s">
        <v>783</v>
      </c>
      <c r="D287" s="1616"/>
      <c r="E287" s="1616"/>
      <c r="F287" s="1616"/>
      <c r="G287" s="1616"/>
      <c r="H287" s="1616"/>
      <c r="I287" s="1616"/>
      <c r="J287" s="1616"/>
      <c r="K287" s="1616"/>
      <c r="L287" s="1616"/>
      <c r="M287" s="1624"/>
      <c r="N287" s="1594"/>
      <c r="O287" s="1594" t="s">
        <v>1164</v>
      </c>
      <c r="P287" s="1594" t="s">
        <v>1165</v>
      </c>
      <c r="Q287" s="1594"/>
      <c r="R287" s="1594"/>
      <c r="S287" s="1594"/>
      <c r="T287" s="1594"/>
      <c r="U287" s="1594"/>
      <c r="V287" s="1594"/>
      <c r="W287" s="1594"/>
      <c r="X287" s="1594"/>
      <c r="Y287" s="1594"/>
      <c r="Z287" s="1594"/>
      <c r="AA287" s="1594"/>
      <c r="AB287" s="1594"/>
      <c r="AC287" s="1594"/>
      <c r="AD287" s="1594"/>
      <c r="AE287" s="1594"/>
      <c r="AF287" s="1594"/>
      <c r="AG287" s="1594"/>
      <c r="AH287" s="1594"/>
      <c r="AI287" s="1594"/>
      <c r="AJ287" s="1594"/>
      <c r="AK287" s="1594"/>
      <c r="AL287" s="1594"/>
      <c r="AM287" s="1594"/>
      <c r="AN287" s="1594"/>
      <c r="AO287" s="1594"/>
      <c r="AP287" s="1594"/>
      <c r="AQ287" s="1594"/>
      <c r="AR287" s="1594"/>
      <c r="AS287" s="1594"/>
      <c r="AT287" s="1594"/>
      <c r="AU287" s="1594"/>
      <c r="AV287" s="1594"/>
      <c r="AW287" s="1594"/>
      <c r="AX287" s="1594"/>
      <c r="AY287" s="1594"/>
      <c r="AZ287" s="1594"/>
      <c r="BA287" s="1594"/>
      <c r="BB287" s="1594"/>
      <c r="BC287" s="1594"/>
      <c r="BD287" s="1594"/>
      <c r="BE287" s="1594"/>
      <c r="BF287" s="1594"/>
      <c r="BG287" s="1594"/>
      <c r="BH287" s="1594"/>
      <c r="BI287" s="1594"/>
      <c r="BJ287" s="1594"/>
    </row>
    <row r="288" spans="1:62" ht="15.75">
      <c r="A288" s="1594"/>
      <c r="B288" s="1615"/>
      <c r="C288" s="1616" t="s">
        <v>320</v>
      </c>
      <c r="D288" s="1616" t="s">
        <v>784</v>
      </c>
      <c r="E288" s="1616" t="s">
        <v>47</v>
      </c>
      <c r="F288" s="1623">
        <v>44465</v>
      </c>
      <c r="G288" s="1616" t="s">
        <v>67</v>
      </c>
      <c r="H288" s="1620">
        <v>141494</v>
      </c>
      <c r="I288" s="1616" t="s">
        <v>137</v>
      </c>
      <c r="J288" s="1653">
        <f>F288*H288/1000000</f>
        <v>6291.53071</v>
      </c>
      <c r="K288" s="1655">
        <v>502</v>
      </c>
      <c r="L288" s="1678">
        <v>2.5000000000000001E-2</v>
      </c>
      <c r="M288" s="1721">
        <v>0</v>
      </c>
      <c r="N288" s="1594"/>
      <c r="O288" s="1599" t="s">
        <v>1198</v>
      </c>
      <c r="P288" s="1594">
        <v>22600</v>
      </c>
      <c r="Q288" s="1594"/>
      <c r="R288" s="1594"/>
      <c r="S288" s="1594"/>
      <c r="T288" s="1594"/>
      <c r="U288" s="1594"/>
      <c r="V288" s="1594"/>
      <c r="W288" s="1594"/>
      <c r="X288" s="1594"/>
      <c r="Y288" s="1594"/>
      <c r="Z288" s="1594"/>
      <c r="AA288" s="1594"/>
      <c r="AB288" s="1594"/>
      <c r="AC288" s="1594"/>
      <c r="AD288" s="1594"/>
      <c r="AE288" s="1594"/>
      <c r="AF288" s="1594"/>
      <c r="AG288" s="1594"/>
      <c r="AH288" s="1594"/>
      <c r="AI288" s="1594"/>
      <c r="AJ288" s="1594"/>
      <c r="AK288" s="1594"/>
      <c r="AL288" s="1594"/>
      <c r="AM288" s="1594"/>
      <c r="AN288" s="1594"/>
      <c r="AO288" s="1594"/>
      <c r="AP288" s="1594"/>
      <c r="AQ288" s="1594"/>
      <c r="AR288" s="1594"/>
      <c r="AS288" s="1594"/>
      <c r="AT288" s="1594"/>
      <c r="AU288" s="1594"/>
      <c r="AV288" s="1594"/>
      <c r="AW288" s="1594"/>
      <c r="AX288" s="1594"/>
      <c r="AY288" s="1594"/>
      <c r="AZ288" s="1594"/>
      <c r="BA288" s="1594"/>
      <c r="BB288" s="1594"/>
      <c r="BC288" s="1594"/>
      <c r="BD288" s="1594"/>
      <c r="BE288" s="1594"/>
      <c r="BF288" s="1594"/>
      <c r="BG288" s="1594"/>
      <c r="BH288" s="1594"/>
      <c r="BI288" s="1594"/>
      <c r="BJ288" s="1594"/>
    </row>
    <row r="289" spans="1:62" ht="15.75">
      <c r="A289" s="1594"/>
      <c r="B289" s="1615"/>
      <c r="C289" s="1616" t="s">
        <v>321</v>
      </c>
      <c r="D289" s="1616" t="s">
        <v>1130</v>
      </c>
      <c r="E289" s="1616" t="s">
        <v>47</v>
      </c>
      <c r="F289" s="1623">
        <v>36200</v>
      </c>
      <c r="G289" s="1616" t="s">
        <v>67</v>
      </c>
      <c r="H289" s="1620">
        <v>141494</v>
      </c>
      <c r="I289" s="1616" t="s">
        <v>137</v>
      </c>
      <c r="J289" s="1653">
        <f>F289*H289/1000000</f>
        <v>5122.0828000000001</v>
      </c>
      <c r="K289" s="1655">
        <v>409</v>
      </c>
      <c r="L289" s="1678">
        <v>0.02</v>
      </c>
      <c r="M289" s="1721">
        <v>0</v>
      </c>
      <c r="N289" s="1594"/>
      <c r="O289" s="1607" t="s">
        <v>1199</v>
      </c>
      <c r="P289" s="1608">
        <v>1.1100000000000001</v>
      </c>
      <c r="Q289" s="1594"/>
      <c r="R289" s="1594"/>
      <c r="S289" s="1594"/>
      <c r="T289" s="1594"/>
      <c r="U289" s="1594"/>
      <c r="V289" s="1594"/>
      <c r="W289" s="1594"/>
      <c r="X289" s="1594"/>
      <c r="Y289" s="1594"/>
      <c r="Z289" s="1594"/>
      <c r="AA289" s="1594"/>
      <c r="AB289" s="1594"/>
      <c r="AC289" s="1594"/>
      <c r="AD289" s="1594"/>
      <c r="AE289" s="1594"/>
      <c r="AF289" s="1594"/>
      <c r="AG289" s="1594"/>
      <c r="AH289" s="1594"/>
      <c r="AI289" s="1594"/>
      <c r="AJ289" s="1594"/>
      <c r="AK289" s="1594"/>
      <c r="AL289" s="1594"/>
      <c r="AM289" s="1594"/>
      <c r="AN289" s="1594"/>
      <c r="AO289" s="1594"/>
      <c r="AP289" s="1594"/>
      <c r="AQ289" s="1594"/>
      <c r="AR289" s="1594"/>
      <c r="AS289" s="1594"/>
      <c r="AT289" s="1594"/>
      <c r="AU289" s="1594"/>
      <c r="AV289" s="1594"/>
      <c r="AW289" s="1594"/>
      <c r="AX289" s="1594"/>
      <c r="AY289" s="1594"/>
      <c r="AZ289" s="1594"/>
      <c r="BA289" s="1594"/>
      <c r="BB289" s="1594"/>
      <c r="BC289" s="1594"/>
      <c r="BD289" s="1594"/>
      <c r="BE289" s="1594"/>
      <c r="BF289" s="1594"/>
      <c r="BG289" s="1594"/>
      <c r="BH289" s="1594"/>
      <c r="BI289" s="1594"/>
      <c r="BJ289" s="1594"/>
    </row>
    <row r="290" spans="1:62" ht="16.5" thickBot="1">
      <c r="A290" s="1594"/>
      <c r="B290" s="1615"/>
      <c r="C290" s="1616" t="s">
        <v>322</v>
      </c>
      <c r="D290" s="1616" t="s">
        <v>1147</v>
      </c>
      <c r="E290" s="1616" t="s">
        <v>47</v>
      </c>
      <c r="F290" s="1623">
        <v>43527</v>
      </c>
      <c r="G290" s="1616" t="s">
        <v>67</v>
      </c>
      <c r="H290" s="1620">
        <v>141494</v>
      </c>
      <c r="I290" s="1616" t="s">
        <v>137</v>
      </c>
      <c r="J290" s="1653">
        <f>F290*H290/1000000</f>
        <v>6158.809338</v>
      </c>
      <c r="K290" s="1655">
        <v>492</v>
      </c>
      <c r="L290" s="1678">
        <v>2.4E-2</v>
      </c>
      <c r="M290" s="1721">
        <v>0</v>
      </c>
      <c r="N290" s="1594"/>
      <c r="O290" s="1600" t="s">
        <v>1191</v>
      </c>
      <c r="P290" s="1621" t="s">
        <v>1163</v>
      </c>
      <c r="Q290" s="1594"/>
      <c r="R290" s="1594"/>
      <c r="S290" s="1594"/>
      <c r="T290" s="1594"/>
      <c r="U290" s="1594"/>
      <c r="V290" s="1594"/>
      <c r="W290" s="1594"/>
      <c r="X290" s="1594"/>
      <c r="Y290" s="1594"/>
      <c r="Z290" s="1594"/>
      <c r="AA290" s="1594"/>
      <c r="AB290" s="1594"/>
      <c r="AC290" s="1594"/>
      <c r="AD290" s="1594"/>
      <c r="AE290" s="1594"/>
      <c r="AF290" s="1594"/>
      <c r="AG290" s="1594"/>
      <c r="AH290" s="1594"/>
      <c r="AI290" s="1594"/>
      <c r="AJ290" s="1594"/>
      <c r="AK290" s="1594"/>
      <c r="AL290" s="1594"/>
      <c r="AM290" s="1594"/>
      <c r="AN290" s="1594"/>
      <c r="AO290" s="1594"/>
      <c r="AP290" s="1594"/>
      <c r="AQ290" s="1594"/>
      <c r="AR290" s="1594"/>
      <c r="AS290" s="1594"/>
      <c r="AT290" s="1594"/>
      <c r="AU290" s="1594"/>
      <c r="AV290" s="1594"/>
      <c r="AW290" s="1594"/>
      <c r="AX290" s="1594"/>
      <c r="AY290" s="1594"/>
      <c r="AZ290" s="1594"/>
      <c r="BA290" s="1594"/>
      <c r="BB290" s="1594"/>
      <c r="BC290" s="1594"/>
      <c r="BD290" s="1594"/>
      <c r="BE290" s="1594"/>
      <c r="BF290" s="1594"/>
      <c r="BG290" s="1594"/>
      <c r="BH290" s="1594"/>
      <c r="BI290" s="1594"/>
      <c r="BJ290" s="1594"/>
    </row>
    <row r="291" spans="1:62" ht="12.75">
      <c r="A291" s="1594"/>
      <c r="B291" s="1615"/>
      <c r="C291" s="1616" t="s">
        <v>323</v>
      </c>
      <c r="D291" s="1616" t="s">
        <v>20</v>
      </c>
      <c r="E291" s="1616" t="s">
        <v>47</v>
      </c>
      <c r="F291" s="1623">
        <v>44904</v>
      </c>
      <c r="G291" s="1616" t="s">
        <v>67</v>
      </c>
      <c r="H291" s="1620">
        <v>141494</v>
      </c>
      <c r="I291" s="1616" t="s">
        <v>137</v>
      </c>
      <c r="J291" s="1653">
        <f>F291*H291/1000000</f>
        <v>6353.6465760000001</v>
      </c>
      <c r="K291" s="1655">
        <v>507</v>
      </c>
      <c r="L291" s="1678">
        <v>2.5000000000000001E-2</v>
      </c>
      <c r="M291" s="1721">
        <v>0</v>
      </c>
      <c r="N291" s="1594"/>
      <c r="O291" s="1594"/>
      <c r="P291" s="1594"/>
      <c r="Q291" s="1594"/>
      <c r="R291" s="1594"/>
      <c r="S291" s="1594"/>
      <c r="T291" s="1594"/>
      <c r="U291" s="1594"/>
      <c r="V291" s="1594"/>
      <c r="W291" s="1594"/>
      <c r="X291" s="1594"/>
      <c r="Y291" s="1594"/>
      <c r="Z291" s="1594"/>
      <c r="AA291" s="1594"/>
      <c r="AB291" s="1594"/>
      <c r="AC291" s="1594"/>
      <c r="AD291" s="1594"/>
      <c r="AE291" s="1594"/>
      <c r="AF291" s="1594"/>
      <c r="AG291" s="1594"/>
      <c r="AH291" s="1594"/>
      <c r="AI291" s="1594"/>
      <c r="AJ291" s="1594"/>
      <c r="AK291" s="1594"/>
      <c r="AL291" s="1594"/>
      <c r="AM291" s="1594"/>
      <c r="AN291" s="1594"/>
      <c r="AO291" s="1594"/>
      <c r="AP291" s="1594"/>
      <c r="AQ291" s="1594"/>
      <c r="AR291" s="1594"/>
      <c r="AS291" s="1594"/>
      <c r="AT291" s="1594"/>
      <c r="AU291" s="1594"/>
      <c r="AV291" s="1594"/>
      <c r="AW291" s="1594"/>
      <c r="AX291" s="1594"/>
      <c r="AY291" s="1594"/>
      <c r="AZ291" s="1594"/>
      <c r="BA291" s="1594"/>
      <c r="BB291" s="1594"/>
      <c r="BC291" s="1594"/>
      <c r="BD291" s="1594"/>
      <c r="BE291" s="1594"/>
      <c r="BF291" s="1594"/>
      <c r="BG291" s="1594"/>
      <c r="BH291" s="1594"/>
      <c r="BI291" s="1594"/>
      <c r="BJ291" s="1594"/>
    </row>
    <row r="292" spans="1:62" ht="13.5" thickBot="1">
      <c r="A292" s="1594"/>
      <c r="B292" s="1615"/>
      <c r="C292" s="1616"/>
      <c r="D292" s="1616"/>
      <c r="E292" s="1616"/>
      <c r="F292" s="1616"/>
      <c r="G292" s="1616"/>
      <c r="H292" s="1616"/>
      <c r="I292" s="1616"/>
      <c r="J292" s="1616"/>
      <c r="K292" s="1616"/>
      <c r="L292" s="1616"/>
      <c r="M292" s="1624"/>
      <c r="N292" s="1594"/>
      <c r="O292" s="1622">
        <f>J289*P288*0.0005</f>
        <v>57879.535640000002</v>
      </c>
      <c r="P292" s="1594"/>
      <c r="Q292" s="1594"/>
      <c r="R292" s="1594"/>
      <c r="S292" s="1594"/>
      <c r="T292" s="1594"/>
      <c r="U292" s="1594"/>
      <c r="V292" s="1594"/>
      <c r="W292" s="1594"/>
      <c r="X292" s="1594"/>
      <c r="Y292" s="1594"/>
      <c r="Z292" s="1594"/>
      <c r="AA292" s="1594"/>
      <c r="AB292" s="1594"/>
      <c r="AC292" s="1594"/>
      <c r="AD292" s="1594"/>
      <c r="AE292" s="1594"/>
      <c r="AF292" s="1594"/>
      <c r="AG292" s="1594"/>
      <c r="AH292" s="1594"/>
      <c r="AI292" s="1594"/>
      <c r="AJ292" s="1594"/>
      <c r="AK292" s="1594"/>
      <c r="AL292" s="1594"/>
      <c r="AM292" s="1594"/>
      <c r="AN292" s="1594"/>
      <c r="AO292" s="1594"/>
      <c r="AP292" s="1594"/>
      <c r="AQ292" s="1594"/>
      <c r="AR292" s="1594"/>
      <c r="AS292" s="1594"/>
      <c r="AT292" s="1594"/>
      <c r="AU292" s="1594"/>
      <c r="AV292" s="1594"/>
      <c r="AW292" s="1594"/>
      <c r="AX292" s="1594"/>
      <c r="AY292" s="1594"/>
      <c r="AZ292" s="1594"/>
      <c r="BA292" s="1594"/>
      <c r="BB292" s="1594"/>
      <c r="BC292" s="1594"/>
      <c r="BD292" s="1594"/>
      <c r="BE292" s="1594"/>
      <c r="BF292" s="1594"/>
      <c r="BG292" s="1594"/>
      <c r="BH292" s="1594"/>
      <c r="BI292" s="1594"/>
      <c r="BJ292" s="1594"/>
    </row>
    <row r="293" spans="1:62" ht="12.75">
      <c r="A293" s="1594"/>
      <c r="B293" s="1660"/>
      <c r="C293" s="1613"/>
      <c r="D293" s="1613"/>
      <c r="E293" s="1613"/>
      <c r="F293" s="1613"/>
      <c r="G293" s="1613"/>
      <c r="H293" s="1613"/>
      <c r="I293" s="1613"/>
      <c r="J293" s="1613"/>
      <c r="K293" s="1613"/>
      <c r="L293" s="1613"/>
      <c r="M293" s="1662"/>
      <c r="N293" s="1594"/>
      <c r="O293" s="1594"/>
      <c r="P293" s="1622"/>
      <c r="Q293" s="1594"/>
      <c r="R293" s="1594"/>
      <c r="S293" s="1594"/>
      <c r="T293" s="1594"/>
      <c r="U293" s="1594"/>
      <c r="V293" s="1594"/>
      <c r="W293" s="1594"/>
      <c r="X293" s="1594"/>
      <c r="Y293" s="1594"/>
      <c r="Z293" s="1594"/>
      <c r="AA293" s="1594"/>
      <c r="AB293" s="1594"/>
      <c r="AC293" s="1594"/>
      <c r="AD293" s="1594"/>
      <c r="AE293" s="1594"/>
      <c r="AF293" s="1594"/>
      <c r="AG293" s="1594"/>
      <c r="AH293" s="1594"/>
      <c r="AI293" s="1594"/>
      <c r="AJ293" s="1594"/>
      <c r="AK293" s="1594"/>
      <c r="AL293" s="1594"/>
      <c r="AM293" s="1594"/>
      <c r="AN293" s="1594"/>
      <c r="AO293" s="1594"/>
      <c r="AP293" s="1594"/>
      <c r="AQ293" s="1594"/>
      <c r="AR293" s="1594"/>
      <c r="AS293" s="1594"/>
      <c r="AT293" s="1594"/>
      <c r="AU293" s="1594"/>
      <c r="AV293" s="1594"/>
      <c r="AW293" s="1594"/>
      <c r="AX293" s="1594"/>
      <c r="AY293" s="1594"/>
      <c r="AZ293" s="1594"/>
      <c r="BA293" s="1594"/>
      <c r="BB293" s="1594"/>
      <c r="BC293" s="1594"/>
      <c r="BD293" s="1594"/>
      <c r="BE293" s="1594"/>
      <c r="BF293" s="1594"/>
      <c r="BG293" s="1594"/>
      <c r="BH293" s="1594"/>
      <c r="BI293" s="1594"/>
      <c r="BJ293" s="1594"/>
    </row>
    <row r="294" spans="1:62" ht="12.75">
      <c r="A294" s="1594"/>
      <c r="B294" s="1615"/>
      <c r="C294" s="1616"/>
      <c r="D294" s="1616"/>
      <c r="E294" s="1616"/>
      <c r="F294" s="1616"/>
      <c r="G294" s="1616"/>
      <c r="H294" s="1616"/>
      <c r="I294" s="1616"/>
      <c r="J294" s="1616"/>
      <c r="K294" s="1616"/>
      <c r="L294" s="1616"/>
      <c r="M294" s="1624"/>
      <c r="N294" s="1594"/>
      <c r="O294" s="1728" t="s">
        <v>1207</v>
      </c>
      <c r="P294" s="1594"/>
      <c r="Q294" s="1594"/>
      <c r="R294" s="1594"/>
      <c r="S294" s="1594"/>
      <c r="T294" s="1594"/>
      <c r="U294" s="1594"/>
      <c r="V294" s="1594"/>
      <c r="W294" s="1594"/>
      <c r="X294" s="1594"/>
      <c r="Y294" s="1594"/>
      <c r="Z294" s="1594"/>
      <c r="AA294" s="1594"/>
      <c r="AB294" s="1594"/>
      <c r="AC294" s="1594"/>
      <c r="AD294" s="1594"/>
      <c r="AE294" s="1594"/>
      <c r="AF294" s="1594"/>
      <c r="AG294" s="1594"/>
      <c r="AH294" s="1594"/>
      <c r="AI294" s="1594"/>
      <c r="AJ294" s="1594"/>
      <c r="AK294" s="1594"/>
      <c r="AL294" s="1594"/>
      <c r="AM294" s="1594"/>
      <c r="AN294" s="1594"/>
      <c r="AO294" s="1594"/>
      <c r="AP294" s="1594"/>
      <c r="AQ294" s="1594"/>
      <c r="AR294" s="1594"/>
      <c r="AS294" s="1594"/>
      <c r="AT294" s="1594"/>
      <c r="AU294" s="1594"/>
      <c r="AV294" s="1594"/>
      <c r="AW294" s="1594"/>
      <c r="AX294" s="1594"/>
      <c r="AY294" s="1594"/>
      <c r="AZ294" s="1594"/>
      <c r="BA294" s="1594"/>
      <c r="BB294" s="1594"/>
      <c r="BC294" s="1594"/>
      <c r="BD294" s="1594"/>
      <c r="BE294" s="1594"/>
      <c r="BF294" s="1594"/>
      <c r="BG294" s="1594"/>
      <c r="BH294" s="1594"/>
      <c r="BI294" s="1594"/>
      <c r="BJ294" s="1594"/>
    </row>
    <row r="295" spans="1:62" ht="12.75">
      <c r="A295" s="1594"/>
      <c r="B295" s="1615" t="s">
        <v>324</v>
      </c>
      <c r="C295" s="163" t="s">
        <v>325</v>
      </c>
      <c r="D295" s="1616"/>
      <c r="E295" s="1616"/>
      <c r="F295" s="1616"/>
      <c r="G295" s="1616"/>
      <c r="H295" s="1616"/>
      <c r="I295" s="1616"/>
      <c r="J295" s="1616"/>
      <c r="K295" s="1616"/>
      <c r="L295" s="1616"/>
      <c r="M295" s="1624"/>
      <c r="N295" s="1594"/>
      <c r="O295" s="1594"/>
      <c r="P295" s="1594"/>
      <c r="Q295" s="1594"/>
      <c r="R295" s="1594"/>
      <c r="S295" s="1594"/>
      <c r="T295" s="1594"/>
      <c r="U295" s="1594"/>
      <c r="V295" s="1594"/>
      <c r="W295" s="1594"/>
      <c r="X295" s="1594"/>
      <c r="Y295" s="1594"/>
      <c r="Z295" s="1594"/>
      <c r="AA295" s="1594"/>
      <c r="AB295" s="1594"/>
      <c r="AC295" s="1594"/>
      <c r="AD295" s="1594"/>
      <c r="AE295" s="1594"/>
      <c r="AF295" s="1594"/>
      <c r="AG295" s="1594"/>
      <c r="AH295" s="1594"/>
      <c r="AI295" s="1594"/>
      <c r="AJ295" s="1594"/>
      <c r="AK295" s="1594"/>
      <c r="AL295" s="1594"/>
      <c r="AM295" s="1594"/>
      <c r="AN295" s="1594"/>
      <c r="AO295" s="1594"/>
      <c r="AP295" s="1594"/>
      <c r="AQ295" s="1594"/>
      <c r="AR295" s="1594"/>
      <c r="AS295" s="1594"/>
      <c r="AT295" s="1594"/>
      <c r="AU295" s="1594"/>
      <c r="AV295" s="1594"/>
      <c r="AW295" s="1594"/>
      <c r="AX295" s="1594"/>
      <c r="AY295" s="1594"/>
      <c r="AZ295" s="1594"/>
      <c r="BA295" s="1594"/>
      <c r="BB295" s="1594"/>
      <c r="BC295" s="1594"/>
      <c r="BD295" s="1594"/>
      <c r="BE295" s="1594"/>
      <c r="BF295" s="1594"/>
      <c r="BG295" s="1594"/>
      <c r="BH295" s="1594"/>
      <c r="BI295" s="1594"/>
      <c r="BJ295" s="1594"/>
    </row>
    <row r="296" spans="1:62" ht="15.75">
      <c r="A296" s="1594"/>
      <c r="B296" s="1615"/>
      <c r="C296" s="1616" t="s">
        <v>326</v>
      </c>
      <c r="D296" s="1616" t="s">
        <v>785</v>
      </c>
      <c r="E296" s="1616" t="s">
        <v>47</v>
      </c>
      <c r="F296" s="1705">
        <v>23372</v>
      </c>
      <c r="G296" s="1616" t="s">
        <v>67</v>
      </c>
      <c r="H296" s="1620">
        <v>137030</v>
      </c>
      <c r="I296" s="1616" t="s">
        <v>137</v>
      </c>
      <c r="J296" s="1653">
        <f>F296*H296/1000000</f>
        <v>3202.66516</v>
      </c>
      <c r="K296" s="1727">
        <v>260.59780000000001</v>
      </c>
      <c r="L296" s="1703">
        <v>0</v>
      </c>
      <c r="M296" s="1703">
        <v>0</v>
      </c>
      <c r="N296" s="1594"/>
      <c r="O296" s="1594" t="s">
        <v>1211</v>
      </c>
      <c r="P296" s="1594"/>
      <c r="Q296" s="1594"/>
      <c r="R296" s="1594"/>
      <c r="S296" s="1594"/>
      <c r="T296" s="1594"/>
      <c r="U296" s="1594"/>
      <c r="V296" s="1594"/>
      <c r="W296" s="1594"/>
      <c r="X296" s="1594"/>
      <c r="Y296" s="1594"/>
      <c r="Z296" s="1594"/>
      <c r="AA296" s="1594"/>
      <c r="AB296" s="1594"/>
      <c r="AC296" s="1594"/>
      <c r="AD296" s="1594"/>
      <c r="AE296" s="1594"/>
      <c r="AF296" s="1594"/>
      <c r="AG296" s="1594"/>
      <c r="AH296" s="1594"/>
      <c r="AI296" s="1594"/>
      <c r="AJ296" s="1594"/>
      <c r="AK296" s="1594"/>
      <c r="AL296" s="1594"/>
      <c r="AM296" s="1594"/>
      <c r="AN296" s="1594"/>
      <c r="AO296" s="1594"/>
      <c r="AP296" s="1594"/>
      <c r="AQ296" s="1594"/>
      <c r="AR296" s="1594"/>
      <c r="AS296" s="1594"/>
      <c r="AT296" s="1594"/>
      <c r="AU296" s="1594"/>
      <c r="AV296" s="1594"/>
      <c r="AW296" s="1594"/>
      <c r="AX296" s="1594"/>
      <c r="AY296" s="1594"/>
      <c r="AZ296" s="1594"/>
      <c r="BA296" s="1594"/>
      <c r="BB296" s="1594"/>
      <c r="BC296" s="1594"/>
      <c r="BD296" s="1594"/>
      <c r="BE296" s="1594"/>
      <c r="BF296" s="1594"/>
      <c r="BG296" s="1594"/>
      <c r="BH296" s="1594"/>
      <c r="BI296" s="1594"/>
      <c r="BJ296" s="1594"/>
    </row>
    <row r="297" spans="1:62" ht="15.75">
      <c r="A297" s="1594"/>
      <c r="B297" s="1615"/>
      <c r="C297" s="1616" t="s">
        <v>1203</v>
      </c>
      <c r="D297" s="1616" t="s">
        <v>1204</v>
      </c>
      <c r="E297" s="1616" t="s">
        <v>47</v>
      </c>
      <c r="F297" s="1705">
        <v>11690</v>
      </c>
      <c r="G297" s="1616" t="s">
        <v>67</v>
      </c>
      <c r="H297" s="1620">
        <v>137030</v>
      </c>
      <c r="I297" s="1616" t="s">
        <v>137</v>
      </c>
      <c r="J297" s="1653">
        <f t="shared" ref="J297:J303" si="4">F297*H297/1000000</f>
        <v>1601.8806999999999</v>
      </c>
      <c r="K297" s="1727">
        <v>130.34350000000001</v>
      </c>
      <c r="L297" s="1703">
        <v>0</v>
      </c>
      <c r="M297" s="1703">
        <v>0</v>
      </c>
      <c r="N297" s="1594"/>
      <c r="O297" s="1594" t="s">
        <v>1212</v>
      </c>
      <c r="P297" s="1594"/>
      <c r="Q297" s="1594"/>
      <c r="R297" s="1594"/>
      <c r="S297" s="1594"/>
      <c r="T297" s="1594"/>
      <c r="U297" s="1594"/>
      <c r="V297" s="1594"/>
      <c r="W297" s="1594"/>
      <c r="X297" s="1594"/>
      <c r="Y297" s="1594"/>
      <c r="Z297" s="1594"/>
      <c r="AA297" s="1594"/>
      <c r="AB297" s="1594"/>
      <c r="AC297" s="1594"/>
      <c r="AD297" s="1594"/>
      <c r="AE297" s="1594"/>
      <c r="AF297" s="1594"/>
      <c r="AG297" s="1594"/>
      <c r="AH297" s="1594"/>
      <c r="AI297" s="1594"/>
      <c r="AJ297" s="1594"/>
      <c r="AK297" s="1594"/>
      <c r="AL297" s="1594"/>
      <c r="AM297" s="1594"/>
      <c r="AN297" s="1594"/>
      <c r="AO297" s="1594"/>
      <c r="AP297" s="1594"/>
      <c r="AQ297" s="1594"/>
      <c r="AR297" s="1594"/>
      <c r="AS297" s="1594"/>
      <c r="AT297" s="1594"/>
      <c r="AU297" s="1594"/>
      <c r="AV297" s="1594"/>
      <c r="AW297" s="1594"/>
      <c r="AX297" s="1594"/>
      <c r="AY297" s="1594"/>
      <c r="AZ297" s="1594"/>
      <c r="BA297" s="1594"/>
      <c r="BB297" s="1594"/>
      <c r="BC297" s="1594"/>
      <c r="BD297" s="1594"/>
      <c r="BE297" s="1594"/>
      <c r="BF297" s="1594"/>
      <c r="BG297" s="1594"/>
      <c r="BH297" s="1594"/>
      <c r="BI297" s="1594"/>
      <c r="BJ297" s="1594"/>
    </row>
    <row r="298" spans="1:62" ht="12.75">
      <c r="A298" s="1594"/>
      <c r="B298" s="1615"/>
      <c r="C298" s="1616" t="s">
        <v>329</v>
      </c>
      <c r="D298" s="1616" t="s">
        <v>786</v>
      </c>
      <c r="E298" s="1616" t="s">
        <v>47</v>
      </c>
      <c r="F298" s="1705">
        <v>9816</v>
      </c>
      <c r="G298" s="1616" t="s">
        <v>67</v>
      </c>
      <c r="H298" s="1620">
        <v>137030</v>
      </c>
      <c r="I298" s="1616" t="s">
        <v>137</v>
      </c>
      <c r="J298" s="1653">
        <f t="shared" si="4"/>
        <v>1345.0864799999999</v>
      </c>
      <c r="K298" s="1727">
        <v>110.96963459999999</v>
      </c>
      <c r="L298" s="1703">
        <v>0.01</v>
      </c>
      <c r="M298" s="1703">
        <v>0</v>
      </c>
      <c r="N298" s="1594"/>
      <c r="O298" s="1594"/>
      <c r="P298" s="1594"/>
      <c r="Q298" s="1594"/>
      <c r="R298" s="1594"/>
      <c r="S298" s="1594"/>
      <c r="T298" s="1594"/>
      <c r="U298" s="1594"/>
      <c r="V298" s="1594"/>
      <c r="W298" s="1594"/>
      <c r="X298" s="1594"/>
      <c r="Y298" s="1594"/>
      <c r="Z298" s="1594"/>
      <c r="AA298" s="1594"/>
      <c r="AB298" s="1594"/>
      <c r="AC298" s="1594"/>
      <c r="AD298" s="1594"/>
      <c r="AE298" s="1594"/>
      <c r="AF298" s="1594"/>
      <c r="AG298" s="1594"/>
      <c r="AH298" s="1594"/>
      <c r="AI298" s="1594"/>
      <c r="AJ298" s="1594"/>
      <c r="AK298" s="1594"/>
      <c r="AL298" s="1594"/>
      <c r="AM298" s="1594"/>
      <c r="AN298" s="1594"/>
      <c r="AO298" s="1594"/>
      <c r="AP298" s="1594"/>
      <c r="AQ298" s="1594"/>
      <c r="AR298" s="1594"/>
      <c r="AS298" s="1594"/>
      <c r="AT298" s="1594"/>
      <c r="AU298" s="1594"/>
      <c r="AV298" s="1594"/>
      <c r="AW298" s="1594"/>
      <c r="AX298" s="1594"/>
      <c r="AY298" s="1594"/>
      <c r="AZ298" s="1594"/>
      <c r="BA298" s="1594"/>
      <c r="BB298" s="1594"/>
      <c r="BC298" s="1594"/>
      <c r="BD298" s="1594"/>
      <c r="BE298" s="1594"/>
      <c r="BF298" s="1594"/>
      <c r="BG298" s="1594"/>
      <c r="BH298" s="1594"/>
      <c r="BI298" s="1594"/>
      <c r="BJ298" s="1594"/>
    </row>
    <row r="299" spans="1:62" ht="12.75">
      <c r="A299" s="1594"/>
      <c r="B299" s="1615"/>
      <c r="C299" s="1616" t="s">
        <v>69</v>
      </c>
      <c r="D299" s="1616" t="s">
        <v>787</v>
      </c>
      <c r="E299" s="1616" t="s">
        <v>47</v>
      </c>
      <c r="F299" s="1705">
        <v>9840</v>
      </c>
      <c r="G299" s="1616" t="s">
        <v>67</v>
      </c>
      <c r="H299" s="1620">
        <v>137030</v>
      </c>
      <c r="I299" s="1616" t="s">
        <v>137</v>
      </c>
      <c r="J299" s="1653">
        <f t="shared" si="4"/>
        <v>1348.3751999999999</v>
      </c>
      <c r="K299" s="1727">
        <v>111.240954</v>
      </c>
      <c r="L299" s="1703">
        <v>0.01</v>
      </c>
      <c r="M299" s="1703">
        <v>0</v>
      </c>
      <c r="N299" s="1594"/>
      <c r="O299" s="1594" t="s">
        <v>1208</v>
      </c>
      <c r="P299" s="1594"/>
      <c r="Q299" s="1594"/>
      <c r="R299" s="1594"/>
      <c r="S299" s="1594"/>
      <c r="T299" s="1594"/>
      <c r="U299" s="1594"/>
      <c r="V299" s="1594"/>
      <c r="W299" s="1594"/>
      <c r="X299" s="1594"/>
      <c r="Y299" s="1594"/>
      <c r="Z299" s="1594"/>
      <c r="AA299" s="1594"/>
      <c r="AB299" s="1594"/>
      <c r="AC299" s="1594"/>
      <c r="AD299" s="1594"/>
      <c r="AE299" s="1594"/>
      <c r="AF299" s="1594"/>
      <c r="AG299" s="1594"/>
      <c r="AH299" s="1594"/>
      <c r="AI299" s="1594"/>
      <c r="AJ299" s="1594"/>
      <c r="AK299" s="1594"/>
      <c r="AL299" s="1594"/>
      <c r="AM299" s="1594"/>
      <c r="AN299" s="1594"/>
      <c r="AO299" s="1594"/>
      <c r="AP299" s="1594"/>
      <c r="AQ299" s="1594"/>
      <c r="AR299" s="1594"/>
      <c r="AS299" s="1594"/>
      <c r="AT299" s="1594"/>
      <c r="AU299" s="1594"/>
      <c r="AV299" s="1594"/>
      <c r="AW299" s="1594"/>
      <c r="AX299" s="1594"/>
      <c r="AY299" s="1594"/>
      <c r="AZ299" s="1594"/>
      <c r="BA299" s="1594"/>
      <c r="BB299" s="1594"/>
      <c r="BC299" s="1594"/>
      <c r="BD299" s="1594"/>
      <c r="BE299" s="1594"/>
      <c r="BF299" s="1594"/>
      <c r="BG299" s="1594"/>
      <c r="BH299" s="1594"/>
      <c r="BI299" s="1594"/>
      <c r="BJ299" s="1594"/>
    </row>
    <row r="300" spans="1:62" ht="12.75">
      <c r="A300" s="1594"/>
      <c r="B300" s="1615"/>
      <c r="C300" s="1616" t="s">
        <v>330</v>
      </c>
      <c r="D300" s="1616" t="s">
        <v>788</v>
      </c>
      <c r="E300" s="1616" t="s">
        <v>47</v>
      </c>
      <c r="F300" s="1705">
        <v>16267</v>
      </c>
      <c r="G300" s="1616" t="s">
        <v>67</v>
      </c>
      <c r="H300" s="1620">
        <v>137030</v>
      </c>
      <c r="I300" s="1616" t="s">
        <v>137</v>
      </c>
      <c r="J300" s="1653">
        <f t="shared" si="4"/>
        <v>2229.0670100000002</v>
      </c>
      <c r="K300" s="1727">
        <v>183.89802832500001</v>
      </c>
      <c r="L300" s="1703">
        <v>0.01</v>
      </c>
      <c r="M300" s="1703">
        <v>0</v>
      </c>
      <c r="N300" s="1594"/>
      <c r="O300" s="1594" t="s">
        <v>1209</v>
      </c>
      <c r="P300" s="1594"/>
      <c r="Q300" s="1594"/>
      <c r="R300" s="1594"/>
      <c r="S300" s="1594"/>
      <c r="T300" s="1594"/>
      <c r="U300" s="1594"/>
      <c r="V300" s="1594"/>
      <c r="W300" s="1594"/>
      <c r="X300" s="1594"/>
      <c r="Y300" s="1594"/>
      <c r="Z300" s="1594"/>
      <c r="AA300" s="1594"/>
      <c r="AB300" s="1594"/>
      <c r="AC300" s="1594"/>
      <c r="AD300" s="1594"/>
      <c r="AE300" s="1594"/>
      <c r="AF300" s="1594"/>
      <c r="AG300" s="1594"/>
      <c r="AH300" s="1594"/>
      <c r="AI300" s="1594"/>
      <c r="AJ300" s="1594"/>
      <c r="AK300" s="1594"/>
      <c r="AL300" s="1594"/>
      <c r="AM300" s="1594"/>
      <c r="AN300" s="1594"/>
      <c r="AO300" s="1594"/>
      <c r="AP300" s="1594"/>
      <c r="AQ300" s="1594"/>
      <c r="AR300" s="1594"/>
      <c r="AS300" s="1594"/>
      <c r="AT300" s="1594"/>
      <c r="AU300" s="1594"/>
      <c r="AV300" s="1594"/>
      <c r="AW300" s="1594"/>
      <c r="AX300" s="1594"/>
      <c r="AY300" s="1594"/>
      <c r="AZ300" s="1594"/>
      <c r="BA300" s="1594"/>
      <c r="BB300" s="1594"/>
      <c r="BC300" s="1594"/>
      <c r="BD300" s="1594"/>
      <c r="BE300" s="1594"/>
      <c r="BF300" s="1594"/>
      <c r="BG300" s="1594"/>
      <c r="BH300" s="1594"/>
      <c r="BI300" s="1594"/>
      <c r="BJ300" s="1594"/>
    </row>
    <row r="301" spans="1:62" ht="12.75">
      <c r="A301" s="1594"/>
      <c r="B301" s="1615"/>
      <c r="C301" s="1616" t="s">
        <v>1206</v>
      </c>
      <c r="D301" s="1616" t="s">
        <v>789</v>
      </c>
      <c r="E301" s="1616" t="s">
        <v>47</v>
      </c>
      <c r="F301" s="1705">
        <v>13669</v>
      </c>
      <c r="G301" s="1616" t="s">
        <v>67</v>
      </c>
      <c r="H301" s="1620">
        <v>137030</v>
      </c>
      <c r="I301" s="1616" t="s">
        <v>137</v>
      </c>
      <c r="J301" s="1653">
        <f t="shared" si="4"/>
        <v>1873.0630699999999</v>
      </c>
      <c r="K301" s="1727">
        <v>154.52770327499999</v>
      </c>
      <c r="L301" s="1703">
        <v>0.01</v>
      </c>
      <c r="M301" s="1703">
        <v>0</v>
      </c>
      <c r="N301" s="1594"/>
      <c r="O301" s="1594"/>
      <c r="P301" s="1594"/>
      <c r="Q301" s="1594"/>
      <c r="R301" s="1594"/>
      <c r="S301" s="1594"/>
      <c r="T301" s="1594"/>
      <c r="U301" s="1594"/>
      <c r="V301" s="1594"/>
      <c r="W301" s="1594"/>
      <c r="X301" s="1594"/>
      <c r="Y301" s="1594"/>
      <c r="Z301" s="1594"/>
      <c r="AA301" s="1594"/>
      <c r="AB301" s="1594"/>
      <c r="AC301" s="1594"/>
      <c r="AD301" s="1594"/>
      <c r="AE301" s="1594"/>
      <c r="AF301" s="1594"/>
      <c r="AG301" s="1594"/>
      <c r="AH301" s="1594"/>
      <c r="AI301" s="1594"/>
      <c r="AJ301" s="1594"/>
      <c r="AK301" s="1594"/>
      <c r="AL301" s="1594"/>
      <c r="AM301" s="1594"/>
      <c r="AN301" s="1594"/>
      <c r="AO301" s="1594"/>
      <c r="AP301" s="1594"/>
      <c r="AQ301" s="1594"/>
      <c r="AR301" s="1594"/>
      <c r="AS301" s="1594"/>
      <c r="AT301" s="1594"/>
      <c r="AU301" s="1594"/>
      <c r="AV301" s="1594"/>
      <c r="AW301" s="1594"/>
      <c r="AX301" s="1594"/>
      <c r="AY301" s="1594"/>
      <c r="AZ301" s="1594"/>
      <c r="BA301" s="1594"/>
      <c r="BB301" s="1594"/>
      <c r="BC301" s="1594"/>
      <c r="BD301" s="1594"/>
      <c r="BE301" s="1594"/>
      <c r="BF301" s="1594"/>
      <c r="BG301" s="1594"/>
      <c r="BH301" s="1594"/>
      <c r="BI301" s="1594"/>
      <c r="BJ301" s="1594"/>
    </row>
    <row r="302" spans="1:62" ht="15.75">
      <c r="A302" s="1594"/>
      <c r="B302" s="1615"/>
      <c r="C302" s="1616" t="s">
        <v>1205</v>
      </c>
      <c r="D302" s="1616" t="s">
        <v>790</v>
      </c>
      <c r="E302" s="1616" t="s">
        <v>47</v>
      </c>
      <c r="F302" s="1705">
        <v>436</v>
      </c>
      <c r="G302" s="1616" t="s">
        <v>67</v>
      </c>
      <c r="H302" s="1620">
        <v>137030</v>
      </c>
      <c r="I302" s="1616" t="s">
        <v>137</v>
      </c>
      <c r="J302" s="1653">
        <f t="shared" si="4"/>
        <v>59.745080000000002</v>
      </c>
      <c r="K302" s="1727">
        <v>4.9289691000000007</v>
      </c>
      <c r="L302" s="1703">
        <v>0.01</v>
      </c>
      <c r="M302" s="1703">
        <v>0</v>
      </c>
      <c r="N302" s="1594"/>
      <c r="O302" s="1594" t="s">
        <v>1210</v>
      </c>
      <c r="P302" s="1594"/>
      <c r="Q302" s="1594"/>
      <c r="R302" s="1594"/>
      <c r="S302" s="1594"/>
      <c r="T302" s="1594"/>
      <c r="U302" s="1594"/>
      <c r="V302" s="1594"/>
      <c r="W302" s="1594"/>
      <c r="X302" s="1594"/>
      <c r="Y302" s="1594"/>
      <c r="Z302" s="1594"/>
      <c r="AA302" s="1594"/>
      <c r="AB302" s="1594"/>
      <c r="AC302" s="1594"/>
      <c r="AD302" s="1594"/>
      <c r="AE302" s="1594"/>
      <c r="AF302" s="1594"/>
      <c r="AG302" s="1594"/>
      <c r="AH302" s="1594"/>
      <c r="AI302" s="1594"/>
      <c r="AJ302" s="1594"/>
      <c r="AK302" s="1594"/>
      <c r="AL302" s="1594"/>
      <c r="AM302" s="1594"/>
      <c r="AN302" s="1594"/>
      <c r="AO302" s="1594"/>
      <c r="AP302" s="1594"/>
      <c r="AQ302" s="1594"/>
      <c r="AR302" s="1594"/>
      <c r="AS302" s="1594"/>
      <c r="AT302" s="1594"/>
      <c r="AU302" s="1594"/>
      <c r="AV302" s="1594"/>
      <c r="AW302" s="1594"/>
      <c r="AX302" s="1594"/>
      <c r="AY302" s="1594"/>
      <c r="AZ302" s="1594"/>
      <c r="BA302" s="1594"/>
      <c r="BB302" s="1594"/>
      <c r="BC302" s="1594"/>
      <c r="BD302" s="1594"/>
      <c r="BE302" s="1594"/>
      <c r="BF302" s="1594"/>
      <c r="BG302" s="1594"/>
      <c r="BH302" s="1594"/>
      <c r="BI302" s="1594"/>
      <c r="BJ302" s="1594"/>
    </row>
    <row r="303" spans="1:62" ht="12.75">
      <c r="A303" s="1594"/>
      <c r="B303" s="1615"/>
      <c r="C303" s="1616" t="s">
        <v>331</v>
      </c>
      <c r="D303" s="1616" t="s">
        <v>791</v>
      </c>
      <c r="E303" s="1616" t="s">
        <v>47</v>
      </c>
      <c r="F303" s="1705">
        <v>19260</v>
      </c>
      <c r="G303" s="1616" t="s">
        <v>67</v>
      </c>
      <c r="H303" s="1620">
        <v>137030</v>
      </c>
      <c r="I303" s="1616" t="s">
        <v>137</v>
      </c>
      <c r="J303" s="1653">
        <f t="shared" si="4"/>
        <v>2639.1977999999999</v>
      </c>
      <c r="K303" s="1727">
        <v>217.73381849999998</v>
      </c>
      <c r="L303" s="1703">
        <v>0</v>
      </c>
      <c r="M303" s="1703">
        <v>0</v>
      </c>
      <c r="N303" s="1594"/>
      <c r="O303" s="1594"/>
      <c r="P303" s="1594"/>
      <c r="Q303" s="1594"/>
      <c r="R303" s="1594"/>
      <c r="S303" s="1594"/>
      <c r="T303" s="1594"/>
      <c r="U303" s="1594"/>
      <c r="V303" s="1594"/>
      <c r="W303" s="1594"/>
      <c r="X303" s="1594"/>
      <c r="Y303" s="1594"/>
      <c r="Z303" s="1594"/>
      <c r="AA303" s="1594"/>
      <c r="AB303" s="1594"/>
      <c r="AC303" s="1594"/>
      <c r="AD303" s="1594"/>
      <c r="AE303" s="1594"/>
      <c r="AF303" s="1594"/>
      <c r="AG303" s="1594"/>
      <c r="AH303" s="1594"/>
      <c r="AI303" s="1594"/>
      <c r="AJ303" s="1594"/>
      <c r="AK303" s="1594"/>
      <c r="AL303" s="1594"/>
      <c r="AM303" s="1594"/>
      <c r="AN303" s="1594"/>
      <c r="AO303" s="1594"/>
      <c r="AP303" s="1594"/>
      <c r="AQ303" s="1594"/>
      <c r="AR303" s="1594"/>
      <c r="AS303" s="1594"/>
      <c r="AT303" s="1594"/>
      <c r="AU303" s="1594"/>
      <c r="AV303" s="1594"/>
      <c r="AW303" s="1594"/>
      <c r="AX303" s="1594"/>
      <c r="AY303" s="1594"/>
      <c r="AZ303" s="1594"/>
      <c r="BA303" s="1594"/>
      <c r="BB303" s="1594"/>
      <c r="BC303" s="1594"/>
      <c r="BD303" s="1594"/>
      <c r="BE303" s="1594"/>
      <c r="BF303" s="1594"/>
      <c r="BG303" s="1594"/>
      <c r="BH303" s="1594"/>
      <c r="BI303" s="1594"/>
      <c r="BJ303" s="1594"/>
    </row>
    <row r="304" spans="1:62" ht="13.5" thickBot="1">
      <c r="A304" s="1594"/>
      <c r="B304" s="1615"/>
      <c r="C304" s="1616"/>
      <c r="D304" s="1616"/>
      <c r="E304" s="1616"/>
      <c r="F304" s="1616"/>
      <c r="G304" s="1616"/>
      <c r="H304" s="1616"/>
      <c r="I304" s="1616"/>
      <c r="J304" s="1620"/>
      <c r="K304" s="1616"/>
      <c r="L304" s="1616"/>
      <c r="M304" s="1624"/>
      <c r="N304" s="1594"/>
      <c r="O304" s="1594"/>
      <c r="P304" s="1594"/>
      <c r="Q304" s="1594"/>
      <c r="R304" s="1594"/>
      <c r="S304" s="1594"/>
      <c r="T304" s="1594"/>
      <c r="U304" s="1594"/>
      <c r="V304" s="1594"/>
      <c r="W304" s="1594"/>
      <c r="X304" s="1594"/>
      <c r="Y304" s="1594"/>
      <c r="Z304" s="1594"/>
      <c r="AA304" s="1594"/>
      <c r="AB304" s="1594"/>
      <c r="AC304" s="1594"/>
      <c r="AD304" s="1594"/>
      <c r="AE304" s="1594"/>
      <c r="AF304" s="1594"/>
      <c r="AG304" s="1594"/>
      <c r="AH304" s="1594"/>
      <c r="AI304" s="1594"/>
      <c r="AJ304" s="1594"/>
      <c r="AK304" s="1594"/>
      <c r="AL304" s="1594"/>
      <c r="AM304" s="1594"/>
      <c r="AN304" s="1594"/>
      <c r="AO304" s="1594"/>
      <c r="AP304" s="1594"/>
      <c r="AQ304" s="1594"/>
      <c r="AR304" s="1594"/>
      <c r="AS304" s="1594"/>
      <c r="AT304" s="1594"/>
      <c r="AU304" s="1594"/>
      <c r="AV304" s="1594"/>
      <c r="AW304" s="1594"/>
      <c r="AX304" s="1594"/>
      <c r="AY304" s="1594"/>
      <c r="AZ304" s="1594"/>
      <c r="BA304" s="1594"/>
      <c r="BB304" s="1594"/>
      <c r="BC304" s="1594"/>
      <c r="BD304" s="1594"/>
      <c r="BE304" s="1594"/>
      <c r="BF304" s="1594"/>
      <c r="BG304" s="1594"/>
      <c r="BH304" s="1594"/>
      <c r="BI304" s="1594"/>
      <c r="BJ304" s="1594"/>
    </row>
    <row r="305" spans="1:62" ht="12.75">
      <c r="A305" s="1594"/>
      <c r="B305" s="1660"/>
      <c r="C305" s="1613"/>
      <c r="D305" s="1613"/>
      <c r="E305" s="1613"/>
      <c r="F305" s="1613"/>
      <c r="G305" s="1613"/>
      <c r="H305" s="1613"/>
      <c r="I305" s="1613"/>
      <c r="J305" s="1613"/>
      <c r="K305" s="1613"/>
      <c r="L305" s="1613"/>
      <c r="M305" s="1662"/>
      <c r="N305" s="1594"/>
      <c r="O305" s="1594"/>
      <c r="P305" s="1594"/>
      <c r="Q305" s="1594"/>
      <c r="R305" s="1594"/>
      <c r="S305" s="1594"/>
      <c r="T305" s="1594"/>
      <c r="U305" s="1594"/>
      <c r="V305" s="1594"/>
      <c r="W305" s="1594"/>
      <c r="X305" s="1594"/>
      <c r="Y305" s="1594"/>
      <c r="Z305" s="1594"/>
      <c r="AA305" s="1594"/>
      <c r="AB305" s="1594"/>
      <c r="AC305" s="1594"/>
      <c r="AD305" s="1594"/>
      <c r="AE305" s="1594"/>
      <c r="AF305" s="1594"/>
      <c r="AG305" s="1594"/>
      <c r="AH305" s="1594"/>
      <c r="AI305" s="1594"/>
      <c r="AJ305" s="1594"/>
      <c r="AK305" s="1594"/>
      <c r="AL305" s="1594"/>
      <c r="AM305" s="1594"/>
      <c r="AN305" s="1594"/>
      <c r="AO305" s="1594"/>
      <c r="AP305" s="1594"/>
      <c r="AQ305" s="1594"/>
      <c r="AR305" s="1594"/>
      <c r="AS305" s="1594"/>
      <c r="AT305" s="1594"/>
      <c r="AU305" s="1594"/>
      <c r="AV305" s="1594"/>
      <c r="AW305" s="1594"/>
      <c r="AX305" s="1594"/>
      <c r="AY305" s="1594"/>
      <c r="AZ305" s="1594"/>
      <c r="BA305" s="1594"/>
      <c r="BB305" s="1594"/>
      <c r="BC305" s="1594"/>
      <c r="BD305" s="1594"/>
      <c r="BE305" s="1594"/>
      <c r="BF305" s="1594"/>
      <c r="BG305" s="1594"/>
      <c r="BH305" s="1594"/>
      <c r="BI305" s="1594"/>
      <c r="BJ305" s="1594"/>
    </row>
    <row r="306" spans="1:62" ht="12.75">
      <c r="A306" s="1594"/>
      <c r="B306" s="1615"/>
      <c r="C306" s="1616"/>
      <c r="D306" s="1616"/>
      <c r="E306" s="1616"/>
      <c r="F306" s="1616"/>
      <c r="G306" s="1616"/>
      <c r="H306" s="1616"/>
      <c r="I306" s="1616"/>
      <c r="J306" s="1616"/>
      <c r="K306" s="1616"/>
      <c r="L306" s="1616"/>
      <c r="M306" s="1624"/>
      <c r="N306" s="1594"/>
      <c r="O306" s="1594"/>
      <c r="P306" s="1594"/>
      <c r="Q306" s="1594"/>
      <c r="R306" s="1594"/>
      <c r="S306" s="1594"/>
      <c r="T306" s="1594"/>
      <c r="U306" s="1594"/>
      <c r="V306" s="1594"/>
      <c r="W306" s="1594"/>
      <c r="X306" s="1594"/>
      <c r="Y306" s="1594"/>
      <c r="Z306" s="1594"/>
      <c r="AA306" s="1594"/>
      <c r="AB306" s="1594"/>
      <c r="AC306" s="1594"/>
      <c r="AD306" s="1594"/>
      <c r="AE306" s="1594"/>
      <c r="AF306" s="1594"/>
      <c r="AG306" s="1594"/>
      <c r="AH306" s="1594"/>
      <c r="AI306" s="1594"/>
      <c r="AJ306" s="1594"/>
      <c r="AK306" s="1594"/>
      <c r="AL306" s="1594"/>
      <c r="AM306" s="1594"/>
      <c r="AN306" s="1594"/>
      <c r="AO306" s="1594"/>
      <c r="AP306" s="1594"/>
      <c r="AQ306" s="1594"/>
      <c r="AR306" s="1594"/>
      <c r="AS306" s="1594"/>
      <c r="AT306" s="1594"/>
      <c r="AU306" s="1594"/>
      <c r="AV306" s="1594"/>
      <c r="AW306" s="1594"/>
      <c r="AX306" s="1594"/>
      <c r="AY306" s="1594"/>
      <c r="AZ306" s="1594"/>
      <c r="BA306" s="1594"/>
      <c r="BB306" s="1594"/>
      <c r="BC306" s="1594"/>
      <c r="BD306" s="1594"/>
      <c r="BE306" s="1594"/>
      <c r="BF306" s="1594"/>
      <c r="BG306" s="1594"/>
      <c r="BH306" s="1594"/>
      <c r="BI306" s="1594"/>
      <c r="BJ306" s="1594"/>
    </row>
    <row r="307" spans="1:62" ht="12.75">
      <c r="A307" s="1594"/>
      <c r="B307" s="1615" t="s">
        <v>792</v>
      </c>
      <c r="C307" s="163" t="s">
        <v>793</v>
      </c>
      <c r="D307" s="1616"/>
      <c r="E307" s="1616" t="s">
        <v>794</v>
      </c>
      <c r="F307" s="1620"/>
      <c r="G307" s="1616" t="s">
        <v>67</v>
      </c>
      <c r="H307" s="1620">
        <v>91333</v>
      </c>
      <c r="I307" s="1616" t="s">
        <v>137</v>
      </c>
      <c r="J307" s="1620">
        <f>F307*H307/1000000</f>
        <v>0</v>
      </c>
      <c r="K307" s="1620">
        <v>6.2</v>
      </c>
      <c r="L307" s="1620">
        <v>0</v>
      </c>
      <c r="M307" s="1657">
        <v>0</v>
      </c>
      <c r="N307" s="1594"/>
      <c r="O307" s="1594"/>
      <c r="P307" s="1594"/>
      <c r="Q307" s="1594"/>
      <c r="R307" s="1594"/>
      <c r="S307" s="1594"/>
      <c r="T307" s="1594"/>
      <c r="U307" s="1594"/>
      <c r="V307" s="1594"/>
      <c r="W307" s="1594"/>
      <c r="X307" s="1594"/>
      <c r="Y307" s="1594"/>
      <c r="Z307" s="1594"/>
      <c r="AA307" s="1594"/>
      <c r="AB307" s="1594"/>
      <c r="AC307" s="1594"/>
      <c r="AD307" s="1594"/>
      <c r="AE307" s="1594"/>
      <c r="AF307" s="1594"/>
      <c r="AG307" s="1594"/>
      <c r="AH307" s="1594"/>
      <c r="AI307" s="1594"/>
      <c r="AJ307" s="1594"/>
      <c r="AK307" s="1594"/>
      <c r="AL307" s="1594"/>
      <c r="AM307" s="1594"/>
      <c r="AN307" s="1594"/>
      <c r="AO307" s="1594"/>
      <c r="AP307" s="1594"/>
      <c r="AQ307" s="1594"/>
      <c r="AR307" s="1594"/>
      <c r="AS307" s="1594"/>
      <c r="AT307" s="1594"/>
      <c r="AU307" s="1594"/>
      <c r="AV307" s="1594"/>
      <c r="AW307" s="1594"/>
      <c r="AX307" s="1594"/>
      <c r="AY307" s="1594"/>
      <c r="AZ307" s="1594"/>
      <c r="BA307" s="1594"/>
      <c r="BB307" s="1594"/>
      <c r="BC307" s="1594"/>
      <c r="BD307" s="1594"/>
      <c r="BE307" s="1594"/>
      <c r="BF307" s="1594"/>
      <c r="BG307" s="1594"/>
      <c r="BH307" s="1594"/>
      <c r="BI307" s="1594"/>
      <c r="BJ307" s="1594"/>
    </row>
    <row r="308" spans="1:62" ht="13.5" thickBot="1">
      <c r="A308" s="1594"/>
      <c r="B308" s="1615"/>
      <c r="C308" s="163"/>
      <c r="D308" s="1616"/>
      <c r="E308" s="1616"/>
      <c r="F308" s="1620"/>
      <c r="G308" s="1616"/>
      <c r="H308" s="1620"/>
      <c r="I308" s="1616"/>
      <c r="J308" s="1620"/>
      <c r="K308" s="1620"/>
      <c r="L308" s="1620"/>
      <c r="M308" s="1657"/>
      <c r="N308" s="1594"/>
      <c r="O308" s="1594"/>
      <c r="P308" s="1594"/>
      <c r="Q308" s="1594"/>
      <c r="R308" s="1594"/>
      <c r="S308" s="1594"/>
      <c r="T308" s="1594"/>
      <c r="U308" s="1594"/>
      <c r="V308" s="1594"/>
      <c r="W308" s="1594"/>
      <c r="X308" s="1594"/>
      <c r="Y308" s="1594"/>
      <c r="Z308" s="1594"/>
      <c r="AA308" s="1594"/>
      <c r="AB308" s="1594"/>
      <c r="AC308" s="1594"/>
      <c r="AD308" s="1594"/>
      <c r="AE308" s="1594"/>
      <c r="AF308" s="1594"/>
      <c r="AG308" s="1594"/>
      <c r="AH308" s="1594"/>
      <c r="AI308" s="1594"/>
      <c r="AJ308" s="1594"/>
      <c r="AK308" s="1594"/>
      <c r="AL308" s="1594"/>
      <c r="AM308" s="1594"/>
      <c r="AN308" s="1594"/>
      <c r="AO308" s="1594"/>
      <c r="AP308" s="1594"/>
      <c r="AQ308" s="1594"/>
      <c r="AR308" s="1594"/>
      <c r="AS308" s="1594"/>
      <c r="AT308" s="1594"/>
      <c r="AU308" s="1594"/>
      <c r="AV308" s="1594"/>
      <c r="AW308" s="1594"/>
      <c r="AX308" s="1594"/>
      <c r="AY308" s="1594"/>
      <c r="AZ308" s="1594"/>
      <c r="BA308" s="1594"/>
      <c r="BB308" s="1594"/>
      <c r="BC308" s="1594"/>
      <c r="BD308" s="1594"/>
      <c r="BE308" s="1594"/>
      <c r="BF308" s="1594"/>
      <c r="BG308" s="1594"/>
      <c r="BH308" s="1594"/>
      <c r="BI308" s="1594"/>
      <c r="BJ308" s="1594"/>
    </row>
    <row r="309" spans="1:62" ht="12.75">
      <c r="A309" s="1594"/>
      <c r="B309" s="1660"/>
      <c r="C309" s="1613"/>
      <c r="D309" s="1613"/>
      <c r="E309" s="1613"/>
      <c r="F309" s="1613"/>
      <c r="G309" s="1613"/>
      <c r="H309" s="1613"/>
      <c r="I309" s="1613"/>
      <c r="J309" s="1591"/>
      <c r="K309" s="1591"/>
      <c r="L309" s="1591"/>
      <c r="M309" s="1714"/>
      <c r="N309" s="1594"/>
      <c r="O309" s="1594"/>
      <c r="P309" s="1594"/>
      <c r="Q309" s="1594"/>
      <c r="R309" s="1594"/>
      <c r="S309" s="1594"/>
      <c r="T309" s="1594"/>
      <c r="U309" s="1594"/>
      <c r="V309" s="1594"/>
      <c r="W309" s="1594"/>
      <c r="X309" s="1594"/>
      <c r="Y309" s="1594"/>
      <c r="Z309" s="1594"/>
      <c r="AA309" s="1594"/>
      <c r="AB309" s="1594"/>
      <c r="AC309" s="1594"/>
      <c r="AD309" s="1594"/>
      <c r="AE309" s="1594"/>
      <c r="AF309" s="1594"/>
      <c r="AG309" s="1594"/>
      <c r="AH309" s="1594"/>
      <c r="AI309" s="1594"/>
      <c r="AJ309" s="1594"/>
      <c r="AK309" s="1594"/>
      <c r="AL309" s="1594"/>
      <c r="AM309" s="1594"/>
      <c r="AN309" s="1594"/>
      <c r="AO309" s="1594"/>
      <c r="AP309" s="1594"/>
      <c r="AQ309" s="1594"/>
      <c r="AR309" s="1594"/>
      <c r="AS309" s="1594"/>
      <c r="AT309" s="1594"/>
      <c r="AU309" s="1594"/>
      <c r="AV309" s="1594"/>
      <c r="AW309" s="1594"/>
      <c r="AX309" s="1594"/>
      <c r="AY309" s="1594"/>
      <c r="AZ309" s="1594"/>
      <c r="BA309" s="1594"/>
      <c r="BB309" s="1594"/>
      <c r="BC309" s="1594"/>
      <c r="BD309" s="1594"/>
      <c r="BE309" s="1594"/>
      <c r="BF309" s="1594"/>
      <c r="BG309" s="1594"/>
      <c r="BH309" s="1594"/>
      <c r="BI309" s="1594"/>
      <c r="BJ309" s="1594"/>
    </row>
    <row r="310" spans="1:62" ht="12.75">
      <c r="A310" s="1594"/>
      <c r="B310" s="1615" t="s">
        <v>342</v>
      </c>
      <c r="C310" s="163" t="s">
        <v>1200</v>
      </c>
      <c r="D310" s="1616"/>
      <c r="E310" s="1616"/>
      <c r="F310" s="1616"/>
      <c r="G310" s="1616"/>
      <c r="H310" s="1616"/>
      <c r="I310" s="1616"/>
      <c r="J310" s="1620"/>
      <c r="K310" s="1620"/>
      <c r="L310" s="1620"/>
      <c r="M310" s="1657"/>
      <c r="N310" s="1594"/>
      <c r="O310" s="1594" t="s">
        <v>1188</v>
      </c>
      <c r="P310" s="1594"/>
      <c r="Q310" s="1594"/>
      <c r="R310" s="1594"/>
      <c r="S310" s="1594"/>
      <c r="T310" s="1594"/>
      <c r="U310" s="1594"/>
      <c r="V310" s="1594"/>
      <c r="W310" s="1594"/>
      <c r="X310" s="1594"/>
      <c r="Y310" s="1594"/>
      <c r="Z310" s="1594"/>
      <c r="AA310" s="1594"/>
      <c r="AB310" s="1594"/>
      <c r="AC310" s="1594"/>
      <c r="AD310" s="1594"/>
      <c r="AE310" s="1594"/>
      <c r="AF310" s="1594"/>
      <c r="AG310" s="1594"/>
      <c r="AH310" s="1594"/>
      <c r="AI310" s="1594"/>
      <c r="AJ310" s="1594"/>
      <c r="AK310" s="1594"/>
      <c r="AL310" s="1594"/>
      <c r="AM310" s="1594"/>
      <c r="AN310" s="1594"/>
      <c r="AO310" s="1594"/>
      <c r="AP310" s="1594"/>
      <c r="AQ310" s="1594"/>
      <c r="AR310" s="1594"/>
      <c r="AS310" s="1594"/>
      <c r="AT310" s="1594"/>
      <c r="AU310" s="1594"/>
      <c r="AV310" s="1594"/>
      <c r="AW310" s="1594"/>
      <c r="AX310" s="1594"/>
      <c r="AY310" s="1594"/>
      <c r="AZ310" s="1594"/>
      <c r="BA310" s="1594"/>
      <c r="BB310" s="1594"/>
      <c r="BC310" s="1594"/>
      <c r="BD310" s="1594"/>
      <c r="BE310" s="1594"/>
      <c r="BF310" s="1594"/>
      <c r="BG310" s="1594"/>
      <c r="BH310" s="1594"/>
      <c r="BI310" s="1594"/>
      <c r="BJ310" s="1594"/>
    </row>
    <row r="311" spans="1:62" ht="12.75">
      <c r="A311" s="1594"/>
      <c r="B311" s="1615"/>
      <c r="C311" s="1616" t="s">
        <v>343</v>
      </c>
      <c r="D311" s="1616" t="s">
        <v>795</v>
      </c>
      <c r="E311" s="1616" t="s">
        <v>77</v>
      </c>
      <c r="F311" s="1623">
        <f>211*1000000</f>
        <v>211000000</v>
      </c>
      <c r="G311" s="1616" t="s">
        <v>144</v>
      </c>
      <c r="H311" s="1620">
        <v>1045</v>
      </c>
      <c r="I311" s="1616" t="s">
        <v>748</v>
      </c>
      <c r="J311" s="1626">
        <f>F311*H311/1000000</f>
        <v>220495</v>
      </c>
      <c r="K311" s="1705">
        <v>13102</v>
      </c>
      <c r="L311" s="1712">
        <v>0</v>
      </c>
      <c r="M311" s="1713">
        <v>0</v>
      </c>
      <c r="N311" s="1594"/>
      <c r="O311" s="1594"/>
      <c r="P311" s="1594"/>
      <c r="Q311" s="1594"/>
      <c r="R311" s="1594"/>
      <c r="S311" s="1594"/>
      <c r="T311" s="1594"/>
      <c r="U311" s="1594"/>
      <c r="V311" s="1594"/>
      <c r="W311" s="1594"/>
      <c r="X311" s="1594"/>
      <c r="Y311" s="1594"/>
      <c r="Z311" s="1594"/>
      <c r="AA311" s="1594"/>
      <c r="AB311" s="1594"/>
      <c r="AC311" s="1594"/>
      <c r="AD311" s="1594"/>
      <c r="AE311" s="1594"/>
      <c r="AF311" s="1594"/>
      <c r="AG311" s="1594"/>
      <c r="AH311" s="1594"/>
      <c r="AI311" s="1594"/>
      <c r="AJ311" s="1594"/>
      <c r="AK311" s="1594"/>
      <c r="AL311" s="1594"/>
      <c r="AM311" s="1594"/>
      <c r="AN311" s="1594"/>
      <c r="AO311" s="1594"/>
      <c r="AP311" s="1594"/>
      <c r="AQ311" s="1594"/>
      <c r="AR311" s="1594"/>
      <c r="AS311" s="1594"/>
      <c r="AT311" s="1594"/>
      <c r="AU311" s="1594"/>
      <c r="AV311" s="1594"/>
      <c r="AW311" s="1594"/>
      <c r="AX311" s="1594"/>
      <c r="AY311" s="1594"/>
      <c r="AZ311" s="1594"/>
      <c r="BA311" s="1594"/>
      <c r="BB311" s="1594"/>
      <c r="BC311" s="1594"/>
      <c r="BD311" s="1594"/>
      <c r="BE311" s="1594"/>
      <c r="BF311" s="1594"/>
      <c r="BG311" s="1594"/>
      <c r="BH311" s="1594"/>
      <c r="BI311" s="1594"/>
      <c r="BJ311" s="1594"/>
    </row>
    <row r="312" spans="1:62" ht="13.5" thickBot="1">
      <c r="A312" s="1594"/>
      <c r="B312" s="1658"/>
      <c r="C312" s="1619"/>
      <c r="D312" s="1619"/>
      <c r="E312" s="1619"/>
      <c r="F312" s="1619"/>
      <c r="G312" s="1619"/>
      <c r="H312" s="1619"/>
      <c r="I312" s="1619"/>
      <c r="J312" s="1619"/>
      <c r="K312" s="1619"/>
      <c r="L312" s="1619"/>
      <c r="M312" s="1659"/>
      <c r="N312" s="1594"/>
      <c r="O312" s="1594"/>
      <c r="P312" s="1594"/>
      <c r="Q312" s="1594"/>
      <c r="R312" s="1594"/>
      <c r="S312" s="1594"/>
      <c r="T312" s="1594"/>
      <c r="U312" s="1594"/>
      <c r="V312" s="1594"/>
      <c r="W312" s="1594"/>
      <c r="X312" s="1594"/>
      <c r="Y312" s="1594"/>
      <c r="Z312" s="1594"/>
      <c r="AA312" s="1594"/>
      <c r="AB312" s="1594"/>
      <c r="AC312" s="1594"/>
      <c r="AD312" s="1594"/>
      <c r="AE312" s="1594"/>
      <c r="AF312" s="1594"/>
      <c r="AG312" s="1594"/>
      <c r="AH312" s="1594"/>
      <c r="AI312" s="1594"/>
      <c r="AJ312" s="1594"/>
      <c r="AK312" s="1594"/>
      <c r="AL312" s="1594"/>
      <c r="AM312" s="1594"/>
      <c r="AN312" s="1594"/>
      <c r="AO312" s="1594"/>
      <c r="AP312" s="1594"/>
      <c r="AQ312" s="1594"/>
      <c r="AR312" s="1594"/>
      <c r="AS312" s="1594"/>
      <c r="AT312" s="1594"/>
      <c r="AU312" s="1594"/>
      <c r="AV312" s="1594"/>
      <c r="AW312" s="1594"/>
      <c r="AX312" s="1594"/>
      <c r="AY312" s="1594"/>
      <c r="AZ312" s="1594"/>
      <c r="BA312" s="1594"/>
      <c r="BB312" s="1594"/>
      <c r="BC312" s="1594"/>
      <c r="BD312" s="1594"/>
      <c r="BE312" s="1594"/>
      <c r="BF312" s="1594"/>
      <c r="BG312" s="1594"/>
      <c r="BH312" s="1594"/>
      <c r="BI312" s="1594"/>
      <c r="BJ312" s="1594"/>
    </row>
    <row r="313" spans="1:62" ht="13.5" thickTop="1">
      <c r="A313" s="1594"/>
      <c r="B313" s="1594"/>
      <c r="C313" s="1594"/>
      <c r="D313" s="1594"/>
      <c r="E313" s="1594"/>
      <c r="F313" s="1594"/>
      <c r="G313" s="1594"/>
      <c r="H313" s="1594"/>
      <c r="I313" s="1594"/>
      <c r="J313" s="1594"/>
      <c r="K313" s="1594"/>
      <c r="L313" s="1594"/>
      <c r="M313" s="1594"/>
      <c r="N313" s="1594"/>
      <c r="O313" s="1594"/>
      <c r="P313" s="1594"/>
      <c r="Q313" s="1594"/>
      <c r="R313" s="1594"/>
      <c r="S313" s="1594"/>
      <c r="T313" s="1594"/>
      <c r="U313" s="1594"/>
      <c r="V313" s="1594"/>
      <c r="W313" s="1594"/>
      <c r="X313" s="1594"/>
      <c r="Y313" s="1594"/>
      <c r="Z313" s="1594"/>
      <c r="AA313" s="1594"/>
      <c r="AB313" s="1594"/>
      <c r="AC313" s="1594"/>
      <c r="AD313" s="1594"/>
      <c r="AE313" s="1594"/>
      <c r="AF313" s="1594"/>
      <c r="AG313" s="1594"/>
      <c r="AH313" s="1594"/>
      <c r="AI313" s="1594"/>
      <c r="AJ313" s="1594"/>
      <c r="AK313" s="1594"/>
      <c r="AL313" s="1594"/>
      <c r="AM313" s="1594"/>
      <c r="AN313" s="1594"/>
      <c r="AO313" s="1594"/>
      <c r="AP313" s="1594"/>
      <c r="AQ313" s="1594"/>
      <c r="AR313" s="1594"/>
      <c r="AS313" s="1594"/>
      <c r="AT313" s="1594"/>
      <c r="AU313" s="1594"/>
      <c r="AV313" s="1594"/>
      <c r="AW313" s="1594"/>
      <c r="AX313" s="1594"/>
      <c r="AY313" s="1594"/>
      <c r="AZ313" s="1594"/>
      <c r="BA313" s="1594"/>
      <c r="BB313" s="1594"/>
      <c r="BC313" s="1594"/>
      <c r="BD313" s="1594"/>
      <c r="BE313" s="1594"/>
      <c r="BF313" s="1594"/>
      <c r="BG313" s="1594"/>
      <c r="BH313" s="1594"/>
      <c r="BI313" s="1594"/>
      <c r="BJ313" s="1594"/>
    </row>
    <row r="314" spans="1:62" ht="12.75">
      <c r="A314" s="1594"/>
      <c r="B314" s="1594"/>
      <c r="C314" s="1594"/>
      <c r="D314" s="1594"/>
      <c r="E314" s="1594"/>
      <c r="F314" s="1594"/>
      <c r="G314" s="1594"/>
      <c r="H314" s="1594"/>
      <c r="I314" s="1594"/>
      <c r="J314" s="1594"/>
      <c r="K314" s="1594"/>
      <c r="L314" s="1594"/>
      <c r="M314" s="1594"/>
      <c r="N314" s="1594"/>
      <c r="O314" s="1594"/>
      <c r="P314" s="1594"/>
      <c r="Q314" s="1594"/>
      <c r="R314" s="1594"/>
      <c r="S314" s="1594"/>
      <c r="T314" s="1594"/>
      <c r="U314" s="1594"/>
      <c r="V314" s="1594"/>
      <c r="W314" s="1594"/>
      <c r="X314" s="1594"/>
      <c r="Y314" s="1594"/>
      <c r="Z314" s="1594"/>
      <c r="AA314" s="1594"/>
      <c r="AB314" s="1594"/>
      <c r="AC314" s="1594"/>
      <c r="AD314" s="1594"/>
      <c r="AE314" s="1594"/>
      <c r="AF314" s="1594"/>
      <c r="AG314" s="1594"/>
      <c r="AH314" s="1594"/>
      <c r="AI314" s="1594"/>
      <c r="AJ314" s="1594"/>
      <c r="AK314" s="1594"/>
      <c r="AL314" s="1594"/>
      <c r="AM314" s="1594"/>
      <c r="AN314" s="1594"/>
      <c r="AO314" s="1594"/>
      <c r="AP314" s="1594"/>
      <c r="AQ314" s="1594"/>
      <c r="AR314" s="1594"/>
      <c r="AS314" s="1594"/>
      <c r="AT314" s="1594"/>
      <c r="AU314" s="1594"/>
      <c r="AV314" s="1594"/>
      <c r="AW314" s="1594"/>
      <c r="AX314" s="1594"/>
      <c r="AY314" s="1594"/>
      <c r="AZ314" s="1594"/>
      <c r="BA314" s="1594"/>
      <c r="BB314" s="1594"/>
      <c r="BC314" s="1594"/>
      <c r="BD314" s="1594"/>
      <c r="BE314" s="1594"/>
      <c r="BF314" s="1594"/>
      <c r="BG314" s="1594"/>
      <c r="BH314" s="1594"/>
      <c r="BI314" s="1594"/>
      <c r="BJ314" s="1594"/>
    </row>
    <row r="315" spans="1:62" ht="12.75">
      <c r="A315" s="1594"/>
      <c r="B315" s="1594"/>
      <c r="C315" s="1594"/>
      <c r="D315" s="1594"/>
      <c r="E315" s="1594"/>
      <c r="F315" s="1594"/>
      <c r="G315" s="1594"/>
      <c r="H315" s="1594"/>
      <c r="I315" s="1594"/>
      <c r="J315" s="1594"/>
      <c r="K315" s="1594"/>
      <c r="L315" s="1594"/>
      <c r="M315" s="1594"/>
      <c r="N315" s="1594"/>
      <c r="O315" s="1594"/>
      <c r="P315" s="1594"/>
      <c r="Q315" s="1594"/>
      <c r="R315" s="1594"/>
      <c r="S315" s="1594"/>
      <c r="T315" s="1594"/>
      <c r="U315" s="1594"/>
      <c r="V315" s="1594"/>
      <c r="W315" s="1594"/>
      <c r="X315" s="1594"/>
      <c r="Y315" s="1594"/>
      <c r="Z315" s="1594"/>
      <c r="AA315" s="1594"/>
      <c r="AB315" s="1594"/>
      <c r="AC315" s="1594"/>
      <c r="AD315" s="1594"/>
      <c r="AE315" s="1594"/>
      <c r="AF315" s="1594"/>
      <c r="AG315" s="1594"/>
      <c r="AH315" s="1594"/>
      <c r="AI315" s="1594"/>
      <c r="AJ315" s="1594"/>
      <c r="AK315" s="1594"/>
      <c r="AL315" s="1594"/>
      <c r="AM315" s="1594"/>
      <c r="AN315" s="1594"/>
      <c r="AO315" s="1594"/>
      <c r="AP315" s="1594"/>
      <c r="AQ315" s="1594"/>
      <c r="AR315" s="1594"/>
      <c r="AS315" s="1594"/>
      <c r="AT315" s="1594"/>
      <c r="AU315" s="1594"/>
      <c r="AV315" s="1594"/>
      <c r="AW315" s="1594"/>
      <c r="AX315" s="1594"/>
      <c r="AY315" s="1594"/>
      <c r="AZ315" s="1594"/>
      <c r="BA315" s="1594"/>
      <c r="BB315" s="1594"/>
      <c r="BC315" s="1594"/>
      <c r="BD315" s="1594"/>
      <c r="BE315" s="1594"/>
      <c r="BF315" s="1594"/>
      <c r="BG315" s="1594"/>
      <c r="BH315" s="1594"/>
      <c r="BI315" s="1594"/>
      <c r="BJ315" s="1594"/>
    </row>
    <row r="316" spans="1:62" ht="12.75">
      <c r="A316" s="1594"/>
      <c r="B316" s="1594"/>
      <c r="C316" s="1594"/>
      <c r="D316" s="1594"/>
      <c r="E316" s="1594"/>
      <c r="F316" s="1594"/>
      <c r="G316" s="1594"/>
      <c r="H316" s="1594"/>
      <c r="I316" s="1594"/>
      <c r="J316" s="1594"/>
      <c r="K316" s="1594"/>
      <c r="L316" s="1594"/>
      <c r="M316" s="1594"/>
      <c r="N316" s="1594"/>
      <c r="O316" s="1594"/>
      <c r="P316" s="1594"/>
      <c r="Q316" s="1594"/>
      <c r="R316" s="1594"/>
      <c r="S316" s="1594"/>
      <c r="T316" s="1594"/>
      <c r="U316" s="1594"/>
      <c r="V316" s="1594"/>
      <c r="W316" s="1594"/>
      <c r="X316" s="1594"/>
      <c r="Y316" s="1594"/>
      <c r="Z316" s="1594"/>
      <c r="AA316" s="1594"/>
      <c r="AB316" s="1594"/>
      <c r="AC316" s="1594"/>
      <c r="AD316" s="1594"/>
      <c r="AE316" s="1594"/>
      <c r="AF316" s="1594"/>
      <c r="AG316" s="1594"/>
      <c r="AH316" s="1594"/>
      <c r="AI316" s="1594"/>
      <c r="AJ316" s="1594"/>
      <c r="AK316" s="1594"/>
      <c r="AL316" s="1594"/>
      <c r="AM316" s="1594"/>
      <c r="AN316" s="1594"/>
      <c r="AO316" s="1594"/>
      <c r="AP316" s="1594"/>
      <c r="AQ316" s="1594"/>
      <c r="AR316" s="1594"/>
      <c r="AS316" s="1594"/>
      <c r="AT316" s="1594"/>
      <c r="AU316" s="1594"/>
      <c r="AV316" s="1594"/>
      <c r="AW316" s="1594"/>
      <c r="AX316" s="1594"/>
      <c r="AY316" s="1594"/>
      <c r="AZ316" s="1594"/>
      <c r="BA316" s="1594"/>
      <c r="BB316" s="1594"/>
      <c r="BC316" s="1594"/>
      <c r="BD316" s="1594"/>
      <c r="BE316" s="1594"/>
      <c r="BF316" s="1594"/>
      <c r="BG316" s="1594"/>
      <c r="BH316" s="1594"/>
      <c r="BI316" s="1594"/>
      <c r="BJ316" s="1594"/>
    </row>
    <row r="317" spans="1:62" ht="12.75">
      <c r="A317" s="1594"/>
      <c r="B317" s="1594"/>
      <c r="C317" s="1594"/>
      <c r="D317" s="1594"/>
      <c r="E317" s="1594"/>
      <c r="F317" s="1594"/>
      <c r="G317" s="1594"/>
      <c r="H317" s="1594"/>
      <c r="I317" s="1594"/>
      <c r="J317" s="1594"/>
      <c r="K317" s="1594"/>
      <c r="L317" s="1594"/>
      <c r="M317" s="1594"/>
      <c r="N317" s="1594"/>
      <c r="O317" s="1594"/>
      <c r="P317" s="1594"/>
      <c r="Q317" s="1594"/>
      <c r="R317" s="1594"/>
      <c r="S317" s="1594"/>
      <c r="T317" s="1594"/>
      <c r="U317" s="1594"/>
      <c r="V317" s="1594"/>
      <c r="W317" s="1594"/>
      <c r="X317" s="1594"/>
      <c r="Y317" s="1594"/>
      <c r="Z317" s="1594"/>
      <c r="AA317" s="1594"/>
      <c r="AB317" s="1594"/>
      <c r="AC317" s="1594"/>
      <c r="AD317" s="1594"/>
      <c r="AE317" s="1594"/>
      <c r="AF317" s="1594"/>
      <c r="AG317" s="1594"/>
      <c r="AH317" s="1594"/>
      <c r="AI317" s="1594"/>
      <c r="AJ317" s="1594"/>
      <c r="AK317" s="1594"/>
      <c r="AL317" s="1594"/>
      <c r="AM317" s="1594"/>
      <c r="AN317" s="1594"/>
      <c r="AO317" s="1594"/>
      <c r="AP317" s="1594"/>
      <c r="AQ317" s="1594"/>
      <c r="AR317" s="1594"/>
      <c r="AS317" s="1594"/>
      <c r="AT317" s="1594"/>
      <c r="AU317" s="1594"/>
      <c r="AV317" s="1594"/>
      <c r="AW317" s="1594"/>
      <c r="AX317" s="1594"/>
      <c r="AY317" s="1594"/>
      <c r="AZ317" s="1594"/>
      <c r="BA317" s="1594"/>
      <c r="BB317" s="1594"/>
      <c r="BC317" s="1594"/>
      <c r="BD317" s="1594"/>
      <c r="BE317" s="1594"/>
      <c r="BF317" s="1594"/>
      <c r="BG317" s="1594"/>
      <c r="BH317" s="1594"/>
      <c r="BI317" s="1594"/>
      <c r="BJ317" s="1594"/>
    </row>
    <row r="318" spans="1:62" ht="12.75">
      <c r="A318" s="1594"/>
      <c r="B318" s="1594"/>
      <c r="C318" s="1594"/>
      <c r="D318" s="1594"/>
      <c r="E318" s="1594"/>
      <c r="F318" s="1594"/>
      <c r="G318" s="1594"/>
      <c r="H318" s="1594"/>
      <c r="I318" s="1594"/>
      <c r="J318" s="2746" t="s">
        <v>1373</v>
      </c>
      <c r="K318" s="2745">
        <f>K311+K307+K303+K302+K301+K300+K299+K298+K297+K296+K291+K290+K289+K288+K283+K282+K281+K280+K275+K274+K273+K272+K271+K270+K269+K268+K263+K262+K261+K260+K259+K258+K257+K256+K255+K254+K249+K248+K247+K246+K245+K240+K239+K238+K237+K232+K231+K230+K229+K228+K227+K226+K225+K220+K216+K209+K208+K207+K206+K205+K204+K203+K201+K197+K189+K185+K178+K176+K172+K168+K161+K156+K154+K145+K143+K141+K139+K133+K131+K129+K127+K125+K118+K116+K112+K108+K104+K97+K90+K89+K88+K86+K82+K78+K74+K70+K68+K66+K61+K56+K50+K42+K40+K38+K36+K31+K24++K20+K13+K11+K9</f>
        <v>20961533.4104078</v>
      </c>
      <c r="L318" s="2745">
        <f>L311+L307+L303+L302+L301+L300+L299+L298+L297+L296+L291+L290+L289+L288+L283+L282+L281+L280+L275+L274+L273+L272+L271+L270+L269+L268+L263+L262+L261+L260+L259+L258+L257+L256+L255+L254+L249+L248+L247+L246+L245+L240+L239+L238+L237+L232+L231+L230+L229+L228+L227+L226+L225+L220+L216+L209+L208+L207+L206+L205+L204+L203+L201+L197+L189+L185+L178+L176+L172+L168+L161+L156+L154+L145+L143+L141+L139+L133+L131+L129+L127+L125+L118+L116+L112+L108+L104+L97+L90+L89+L88+L86+L82+L78+L74+L70+L68+L66+L61+L56+L50+L42+L40+L38+L36+L31+L24++L20+L13+L11+L9</f>
        <v>1600.9910638331996</v>
      </c>
      <c r="M318" s="2745">
        <f>M311+M307+M303+M302+M301+M300+M299+M298+M297+M296+M291+M290+M289+M288+M283+M282+M281+M280+M275+M274+M273+M272+M271+M270+M269+M268+M263+M262+M261+M260+M259+M258+M257+M256+M255+M254+M249+M248+M247+M246+M245+M240+M239+M238+M237+M232+M231+M230+M229+M228+M227+M226+M225+M220+M216+M209+M208+M207+M206+M205+M204+M203+M201+M197+M189+M185+M178+M176+M172+M168+M161+M156+M154+M145+M143+M141+M139+M133+M131+M129+M127+M125+M118+M116+M112+M108+M104+M97+M90+M89+M88+M86+M82+M78+M74+M70+M68+M66+M61+M56+M50+M42+M40+M38+M36+M31+M24++M20+M13+M11+M9</f>
        <v>434.91871233431476</v>
      </c>
      <c r="N318" s="1594"/>
      <c r="O318" s="1594"/>
      <c r="P318" s="1594"/>
      <c r="Q318" s="1594"/>
      <c r="R318" s="1594"/>
      <c r="S318" s="1594"/>
      <c r="T318" s="1594"/>
      <c r="U318" s="1594"/>
      <c r="V318" s="1594"/>
      <c r="W318" s="1594"/>
      <c r="X318" s="1594"/>
      <c r="Y318" s="1594"/>
      <c r="Z318" s="1594"/>
      <c r="AA318" s="1594"/>
      <c r="AB318" s="1594"/>
      <c r="AC318" s="1594"/>
      <c r="AD318" s="1594"/>
      <c r="AE318" s="1594"/>
      <c r="AF318" s="1594"/>
      <c r="AG318" s="1594"/>
      <c r="AH318" s="1594"/>
      <c r="AI318" s="1594"/>
      <c r="AJ318" s="1594"/>
      <c r="AK318" s="1594"/>
      <c r="AL318" s="1594"/>
      <c r="AM318" s="1594"/>
      <c r="AN318" s="1594"/>
      <c r="AO318" s="1594"/>
      <c r="AP318" s="1594"/>
      <c r="AQ318" s="1594"/>
      <c r="AR318" s="1594"/>
      <c r="AS318" s="1594"/>
      <c r="AT318" s="1594"/>
      <c r="AU318" s="1594"/>
      <c r="AV318" s="1594"/>
      <c r="AW318" s="1594"/>
      <c r="AX318" s="1594"/>
      <c r="AY318" s="1594"/>
      <c r="AZ318" s="1594"/>
      <c r="BA318" s="1594"/>
      <c r="BB318" s="1594"/>
      <c r="BC318" s="1594"/>
      <c r="BD318" s="1594"/>
      <c r="BE318" s="1594"/>
      <c r="BF318" s="1594"/>
      <c r="BG318" s="1594"/>
      <c r="BH318" s="1594"/>
      <c r="BI318" s="1594"/>
      <c r="BJ318" s="1594"/>
    </row>
    <row r="319" spans="1:62" ht="12.75">
      <c r="A319" s="1594"/>
      <c r="B319" s="1594"/>
      <c r="C319" s="1594"/>
      <c r="D319" s="1594"/>
      <c r="E319" s="1594"/>
      <c r="F319" s="1594"/>
      <c r="G319" s="1594"/>
      <c r="H319" s="1594"/>
      <c r="I319" s="1594"/>
      <c r="J319" s="1594"/>
      <c r="K319" s="1594"/>
      <c r="L319" s="1594"/>
      <c r="M319" s="1594"/>
      <c r="N319" s="1594"/>
      <c r="O319" s="1594"/>
      <c r="P319" s="1594"/>
      <c r="Q319" s="1594"/>
      <c r="R319" s="1594"/>
      <c r="S319" s="1594"/>
      <c r="T319" s="1594"/>
      <c r="U319" s="1594"/>
      <c r="V319" s="1594"/>
      <c r="W319" s="1594"/>
      <c r="X319" s="1594"/>
      <c r="Y319" s="1594"/>
      <c r="Z319" s="1594"/>
      <c r="AA319" s="1594"/>
      <c r="AB319" s="1594"/>
      <c r="AC319" s="1594"/>
      <c r="AD319" s="1594"/>
      <c r="AE319" s="1594"/>
      <c r="AF319" s="1594"/>
      <c r="AG319" s="1594"/>
      <c r="AH319" s="1594"/>
      <c r="AI319" s="1594"/>
      <c r="AJ319" s="1594"/>
      <c r="AK319" s="1594"/>
      <c r="AL319" s="1594"/>
      <c r="AM319" s="1594"/>
      <c r="AN319" s="1594"/>
      <c r="AO319" s="1594"/>
      <c r="AP319" s="1594"/>
      <c r="AQ319" s="1594"/>
      <c r="AR319" s="1594"/>
      <c r="AS319" s="1594"/>
      <c r="AT319" s="1594"/>
      <c r="AU319" s="1594"/>
      <c r="AV319" s="1594"/>
      <c r="AW319" s="1594"/>
      <c r="AX319" s="1594"/>
      <c r="AY319" s="1594"/>
      <c r="AZ319" s="1594"/>
      <c r="BA319" s="1594"/>
      <c r="BB319" s="1594"/>
      <c r="BC319" s="1594"/>
      <c r="BD319" s="1594"/>
      <c r="BE319" s="1594"/>
      <c r="BF319" s="1594"/>
      <c r="BG319" s="1594"/>
      <c r="BH319" s="1594"/>
      <c r="BI319" s="1594"/>
      <c r="BJ319" s="1594"/>
    </row>
    <row r="320" spans="1:62" ht="12.75">
      <c r="A320" s="1594"/>
      <c r="B320" s="1594"/>
      <c r="C320" s="1594"/>
      <c r="D320" s="1594"/>
      <c r="E320" s="1594"/>
      <c r="F320" s="1594"/>
      <c r="G320" s="1594"/>
      <c r="H320" s="1594"/>
      <c r="I320" s="1594"/>
      <c r="J320" s="2746" t="s">
        <v>1374</v>
      </c>
      <c r="K320" s="1622">
        <f>K318*0.907184/1000000</f>
        <v>19.015967725387391</v>
      </c>
      <c r="L320" s="2747">
        <f>L318*0.907184/1000000</f>
        <v>1.4523934772524573E-3</v>
      </c>
      <c r="M320" s="1622">
        <f>M318*0.907184/1000000</f>
        <v>3.9455129713029301E-4</v>
      </c>
      <c r="N320" s="1594"/>
      <c r="O320" s="1594"/>
      <c r="P320" s="1594"/>
      <c r="Q320" s="1594"/>
      <c r="R320" s="1594"/>
      <c r="S320" s="1594"/>
      <c r="T320" s="1594"/>
      <c r="U320" s="1594"/>
      <c r="V320" s="1594"/>
      <c r="W320" s="1594"/>
      <c r="X320" s="1594"/>
      <c r="Y320" s="1594"/>
      <c r="Z320" s="1594"/>
      <c r="AA320" s="1594"/>
      <c r="AB320" s="1594"/>
      <c r="AC320" s="1594"/>
      <c r="AD320" s="1594"/>
      <c r="AE320" s="1594"/>
      <c r="AF320" s="1594"/>
      <c r="AG320" s="1594"/>
      <c r="AH320" s="1594"/>
      <c r="AI320" s="1594"/>
      <c r="AJ320" s="1594"/>
      <c r="AK320" s="1594"/>
      <c r="AL320" s="1594"/>
      <c r="AM320" s="1594"/>
      <c r="AN320" s="1594"/>
      <c r="AO320" s="1594"/>
      <c r="AP320" s="1594"/>
      <c r="AQ320" s="1594"/>
      <c r="AR320" s="1594"/>
      <c r="AS320" s="1594"/>
      <c r="AT320" s="1594"/>
      <c r="AU320" s="1594"/>
      <c r="AV320" s="1594"/>
      <c r="AW320" s="1594"/>
      <c r="AX320" s="1594"/>
      <c r="AY320" s="1594"/>
      <c r="AZ320" s="1594"/>
      <c r="BA320" s="1594"/>
      <c r="BB320" s="1594"/>
      <c r="BC320" s="1594"/>
      <c r="BD320" s="1594"/>
      <c r="BE320" s="1594"/>
      <c r="BF320" s="1594"/>
      <c r="BG320" s="1594"/>
      <c r="BH320" s="1594"/>
      <c r="BI320" s="1594"/>
      <c r="BJ320" s="1594"/>
    </row>
    <row r="321" spans="1:62" ht="12.75">
      <c r="A321" s="1594"/>
      <c r="B321" s="1594"/>
      <c r="C321" s="1594"/>
      <c r="D321" s="1594"/>
      <c r="E321" s="1594"/>
      <c r="F321" s="1594"/>
      <c r="G321" s="1594"/>
      <c r="H321" s="1594"/>
      <c r="I321" s="1594"/>
      <c r="J321" s="1594"/>
      <c r="K321" s="1594"/>
      <c r="L321" s="1594"/>
      <c r="M321" s="1594"/>
      <c r="N321" s="1594"/>
      <c r="O321" s="1594"/>
      <c r="P321" s="1594"/>
      <c r="Q321" s="1594"/>
      <c r="R321" s="1594"/>
      <c r="S321" s="1594"/>
      <c r="T321" s="1594"/>
      <c r="U321" s="1594"/>
      <c r="V321" s="1594"/>
      <c r="W321" s="1594"/>
      <c r="X321" s="1594"/>
      <c r="Y321" s="1594"/>
      <c r="Z321" s="1594"/>
      <c r="AA321" s="1594"/>
      <c r="AB321" s="1594"/>
      <c r="AC321" s="1594"/>
      <c r="AD321" s="1594"/>
      <c r="AE321" s="1594"/>
      <c r="AF321" s="1594"/>
      <c r="AG321" s="1594"/>
      <c r="AH321" s="1594"/>
      <c r="AI321" s="1594"/>
      <c r="AJ321" s="1594"/>
      <c r="AK321" s="1594"/>
      <c r="AL321" s="1594"/>
      <c r="AM321" s="1594"/>
      <c r="AN321" s="1594"/>
      <c r="AO321" s="1594"/>
      <c r="AP321" s="1594"/>
      <c r="AQ321" s="1594"/>
      <c r="AR321" s="1594"/>
      <c r="AS321" s="1594"/>
      <c r="AT321" s="1594"/>
      <c r="AU321" s="1594"/>
      <c r="AV321" s="1594"/>
      <c r="AW321" s="1594"/>
      <c r="AX321" s="1594"/>
      <c r="AY321" s="1594"/>
      <c r="AZ321" s="1594"/>
      <c r="BA321" s="1594"/>
      <c r="BB321" s="1594"/>
      <c r="BC321" s="1594"/>
      <c r="BD321" s="1594"/>
      <c r="BE321" s="1594"/>
      <c r="BF321" s="1594"/>
      <c r="BG321" s="1594"/>
      <c r="BH321" s="1594"/>
      <c r="BI321" s="1594"/>
      <c r="BJ321" s="1594"/>
    </row>
    <row r="322" spans="1:62" ht="12" thickBot="1"/>
    <row r="323" spans="1:62" ht="13.5" thickBot="1">
      <c r="J323" s="2748" t="s">
        <v>1375</v>
      </c>
      <c r="K323" s="2752">
        <f>K320</f>
        <v>19.015967725387391</v>
      </c>
      <c r="L323" s="2753">
        <f>L320*21</f>
        <v>3.0500263022301605E-2</v>
      </c>
      <c r="M323" s="2754">
        <f>M320*310</f>
        <v>0.12231090211039083</v>
      </c>
    </row>
  </sheetData>
  <sheetProtection password="CD58" sheet="1" objects="1" scenarios="1"/>
  <mergeCells count="1">
    <mergeCell ref="O67:Q67"/>
  </mergeCells>
  <phoneticPr fontId="0" type="noConversion"/>
  <printOptions gridLines="1"/>
  <pageMargins left="0.2" right="0.2" top="0.24" bottom="0.23" header="0.24" footer="0.23"/>
  <pageSetup scale="55" orientation="landscape" r:id="rId1"/>
  <headerFooter alignWithMargins="0"/>
  <rowBreaks count="2" manualBreakCount="2">
    <brk id="99" max="13" man="1"/>
    <brk id="162" max="13" man="1"/>
  </rowBreaks>
  <legacyDrawing r:id="rId2"/>
  <picture r:id="rId3"/>
</worksheet>
</file>

<file path=xl/worksheets/sheet4.xml><?xml version="1.0" encoding="utf-8"?>
<worksheet xmlns="http://schemas.openxmlformats.org/spreadsheetml/2006/main" xmlns:r="http://schemas.openxmlformats.org/officeDocument/2006/relationships">
  <sheetPr codeName="Sheet10"/>
  <dimension ref="A1:M75"/>
  <sheetViews>
    <sheetView zoomScaleNormal="100" workbookViewId="0">
      <selection activeCell="H1" sqref="H1"/>
    </sheetView>
  </sheetViews>
  <sheetFormatPr defaultRowHeight="11.25"/>
  <cols>
    <col min="2" max="2" width="11.6640625" customWidth="1"/>
    <col min="3" max="3" width="33.33203125" bestFit="1" customWidth="1"/>
    <col min="4" max="4" width="16.5" customWidth="1"/>
    <col min="5" max="7" width="16.1640625" bestFit="1" customWidth="1"/>
    <col min="8" max="8" width="20.6640625" bestFit="1" customWidth="1"/>
    <col min="9" max="9" width="18" bestFit="1" customWidth="1"/>
    <col min="10" max="10" width="12.1640625" bestFit="1" customWidth="1"/>
    <col min="11" max="11" width="15.6640625" bestFit="1" customWidth="1"/>
  </cols>
  <sheetData>
    <row r="1" spans="1:13" s="2439" customFormat="1" ht="21">
      <c r="A1" s="211" t="s">
        <v>1727</v>
      </c>
    </row>
    <row r="2" spans="1:13" s="2439" customFormat="1" ht="12.75"/>
    <row r="3" spans="1:13" s="2439" customFormat="1" ht="149.25" customHeight="1">
      <c r="B3" s="2438"/>
    </row>
    <row r="4" spans="1:13" ht="15.75" thickBot="1">
      <c r="A4" s="1764"/>
      <c r="B4" s="1764"/>
      <c r="C4" s="1764"/>
      <c r="D4" s="1764"/>
      <c r="E4" s="1764"/>
      <c r="F4" s="1764"/>
      <c r="G4" s="3060" t="s">
        <v>417</v>
      </c>
      <c r="H4" s="3060"/>
      <c r="I4" s="3060"/>
      <c r="J4" s="3060"/>
      <c r="K4" s="1765"/>
      <c r="L4" s="1764"/>
      <c r="M4" s="1764"/>
    </row>
    <row r="5" spans="1:13" ht="18">
      <c r="A5" s="1764"/>
      <c r="B5" s="1764"/>
      <c r="C5" s="3048" t="s">
        <v>1238</v>
      </c>
      <c r="D5" s="1764"/>
      <c r="E5" s="1764"/>
      <c r="F5" s="1766" t="s">
        <v>1226</v>
      </c>
      <c r="G5" s="1767" t="s">
        <v>403</v>
      </c>
      <c r="H5" s="1767" t="s">
        <v>403</v>
      </c>
      <c r="I5" s="1767" t="s">
        <v>403</v>
      </c>
      <c r="J5" s="1767" t="s">
        <v>403</v>
      </c>
      <c r="K5" s="1768" t="s">
        <v>403</v>
      </c>
      <c r="L5" s="1764"/>
      <c r="M5" s="1764"/>
    </row>
    <row r="6" spans="1:13" ht="18">
      <c r="A6" s="1764"/>
      <c r="B6" s="1764"/>
      <c r="C6" s="1769"/>
      <c r="D6" s="1764"/>
      <c r="E6" s="1764"/>
      <c r="F6" s="1770" t="s">
        <v>1227</v>
      </c>
      <c r="G6" s="1771">
        <v>1.0999999999999999E-2</v>
      </c>
      <c r="H6" s="1771">
        <v>3.0000000000000001E-3</v>
      </c>
      <c r="I6" s="1771">
        <v>3.0000000000000001E-3</v>
      </c>
      <c r="J6" s="1771">
        <v>1E-3</v>
      </c>
      <c r="K6" s="1772">
        <v>3.2000000000000001E-2</v>
      </c>
      <c r="L6" s="1764"/>
      <c r="M6" s="1764"/>
    </row>
    <row r="7" spans="1:13" ht="18">
      <c r="A7" s="1764"/>
      <c r="B7" s="1764"/>
      <c r="C7" s="1769"/>
      <c r="D7" s="1764"/>
      <c r="E7" s="1764"/>
      <c r="F7" s="1770" t="s">
        <v>1228</v>
      </c>
      <c r="G7" s="1771">
        <v>1.6000000000000001E-3</v>
      </c>
      <c r="H7" s="1771">
        <v>5.9999999999999995E-4</v>
      </c>
      <c r="I7" s="1771">
        <v>6.0000000000000001E-3</v>
      </c>
      <c r="J7" s="1771">
        <v>1E-3</v>
      </c>
      <c r="K7" s="1773">
        <v>4.1999999999999997E-3</v>
      </c>
      <c r="L7" s="1764"/>
      <c r="M7" s="1764"/>
    </row>
    <row r="8" spans="1:13" ht="15.75" thickBot="1">
      <c r="A8" s="1764"/>
      <c r="B8" s="1764"/>
      <c r="C8" s="1764"/>
      <c r="D8" s="1764"/>
      <c r="E8" s="1764"/>
      <c r="F8" s="1774"/>
      <c r="G8" s="1775" t="s">
        <v>1102</v>
      </c>
      <c r="H8" s="1775" t="s">
        <v>418</v>
      </c>
      <c r="I8" s="1775" t="s">
        <v>419</v>
      </c>
      <c r="J8" s="1775" t="s">
        <v>77</v>
      </c>
      <c r="K8" s="1776" t="s">
        <v>280</v>
      </c>
      <c r="L8" s="1764"/>
      <c r="M8" s="1764"/>
    </row>
    <row r="9" spans="1:13" ht="15">
      <c r="A9" s="1764"/>
      <c r="B9" s="1764"/>
      <c r="C9" s="1764"/>
      <c r="D9" s="1764"/>
      <c r="E9" s="1764"/>
      <c r="F9" s="1764"/>
      <c r="G9" s="1769"/>
      <c r="H9" s="1769"/>
      <c r="I9" s="1769"/>
      <c r="J9" s="1769"/>
      <c r="K9" s="1769"/>
      <c r="L9" s="1764"/>
      <c r="M9" s="1764"/>
    </row>
    <row r="10" spans="1:13" ht="15.75" thickBot="1">
      <c r="A10" s="1764"/>
      <c r="B10" s="1764"/>
      <c r="C10" s="1764"/>
      <c r="D10" s="1764"/>
      <c r="E10" s="1764"/>
      <c r="F10" s="1764"/>
      <c r="G10" s="1764"/>
      <c r="H10" s="1764"/>
      <c r="I10" s="1764"/>
      <c r="J10" s="1764"/>
      <c r="K10" s="1764"/>
      <c r="L10" s="1764"/>
      <c r="M10" s="1764"/>
    </row>
    <row r="11" spans="1:13" ht="15">
      <c r="A11" s="1764"/>
      <c r="B11" s="1777"/>
      <c r="C11" s="1778"/>
      <c r="D11" s="3061">
        <v>2014</v>
      </c>
      <c r="E11" s="3062"/>
      <c r="F11" s="3062"/>
      <c r="G11" s="3063"/>
      <c r="H11" s="3064"/>
      <c r="I11" s="1779" t="s">
        <v>194</v>
      </c>
      <c r="J11" s="1780" t="s">
        <v>420</v>
      </c>
      <c r="K11" s="1781" t="s">
        <v>421</v>
      </c>
      <c r="L11" s="1764"/>
      <c r="M11" s="1764"/>
    </row>
    <row r="12" spans="1:13" ht="15">
      <c r="A12" s="1764"/>
      <c r="B12" s="1782"/>
      <c r="C12" s="1783"/>
      <c r="D12" s="1784" t="s">
        <v>1102</v>
      </c>
      <c r="E12" s="1784" t="s">
        <v>422</v>
      </c>
      <c r="F12" s="1784" t="s">
        <v>423</v>
      </c>
      <c r="G12" s="1785" t="s">
        <v>280</v>
      </c>
      <c r="H12" s="1785" t="s">
        <v>412</v>
      </c>
      <c r="I12" s="1786"/>
      <c r="J12" s="1787"/>
      <c r="K12" s="1788"/>
      <c r="L12" s="1764"/>
      <c r="M12" s="1764"/>
    </row>
    <row r="13" spans="1:13" ht="18" thickBot="1">
      <c r="A13" s="1764"/>
      <c r="B13" s="1789"/>
      <c r="C13" s="1783"/>
      <c r="D13" s="1790" t="s">
        <v>1112</v>
      </c>
      <c r="E13" s="1790" t="s">
        <v>413</v>
      </c>
      <c r="F13" s="1790" t="s">
        <v>413</v>
      </c>
      <c r="G13" s="1791" t="s">
        <v>1112</v>
      </c>
      <c r="H13" s="1791" t="s">
        <v>1229</v>
      </c>
      <c r="I13" s="1790"/>
      <c r="J13" s="1790"/>
      <c r="K13" s="1791"/>
      <c r="L13" s="1764"/>
      <c r="M13" s="1764"/>
    </row>
    <row r="14" spans="1:13" ht="15">
      <c r="A14" s="1764"/>
      <c r="B14" s="1792"/>
      <c r="C14" s="1847" t="s">
        <v>414</v>
      </c>
      <c r="D14" s="1848">
        <v>83992</v>
      </c>
      <c r="E14" s="1900">
        <v>0</v>
      </c>
      <c r="F14" s="1848">
        <f>33800</f>
        <v>33800</v>
      </c>
      <c r="G14" s="1900">
        <v>0</v>
      </c>
      <c r="H14" s="1848">
        <f>147900000</f>
        <v>147900000</v>
      </c>
      <c r="I14" s="1848"/>
      <c r="J14" s="1849"/>
      <c r="K14" s="1850"/>
      <c r="L14" s="1764"/>
      <c r="M14" s="1764"/>
    </row>
    <row r="15" spans="1:13" ht="15">
      <c r="A15" s="1764"/>
      <c r="B15" s="1794"/>
      <c r="C15" s="1793" t="s">
        <v>415</v>
      </c>
      <c r="D15" s="1851">
        <v>11373.97</v>
      </c>
      <c r="E15" s="1851">
        <v>141324</v>
      </c>
      <c r="F15" s="1851">
        <v>139377</v>
      </c>
      <c r="G15" s="1852">
        <v>4643</v>
      </c>
      <c r="H15" s="1851">
        <v>1052.29</v>
      </c>
      <c r="I15" s="1851"/>
      <c r="J15" s="1853"/>
      <c r="K15" s="1854"/>
      <c r="L15" s="1764"/>
      <c r="M15" s="1764"/>
    </row>
    <row r="16" spans="1:13" ht="15.75" thickBot="1">
      <c r="A16" s="1764"/>
      <c r="B16" s="1795"/>
      <c r="C16" s="1796" t="s">
        <v>416</v>
      </c>
      <c r="D16" s="1797">
        <f>+D14*D15*2000/1000000</f>
        <v>1910644.9764799997</v>
      </c>
      <c r="E16" s="1798">
        <f>+E14*E15/1000000</f>
        <v>0</v>
      </c>
      <c r="F16" s="1799">
        <f>+F14*F15/1000000</f>
        <v>4710.9426000000003</v>
      </c>
      <c r="G16" s="1800">
        <f>+G14*G15*2000/1000000</f>
        <v>0</v>
      </c>
      <c r="H16" s="1799">
        <f>+H14*H15/1000000</f>
        <v>155633.69099999999</v>
      </c>
      <c r="I16" s="1799">
        <f>SUM(D16:H16)</f>
        <v>2070989.6100799995</v>
      </c>
      <c r="J16" s="1855"/>
      <c r="K16" s="1801"/>
      <c r="L16" s="1764"/>
      <c r="M16" s="1764"/>
    </row>
    <row r="17" spans="1:13" ht="15.75" thickBot="1">
      <c r="A17" s="1764"/>
      <c r="B17" s="1802"/>
      <c r="C17" s="1803"/>
      <c r="D17" s="1856"/>
      <c r="E17" s="1856"/>
      <c r="F17" s="1856"/>
      <c r="G17" s="1856"/>
      <c r="H17" s="1856"/>
      <c r="I17" s="1856"/>
      <c r="J17" s="1857"/>
      <c r="K17" s="1804"/>
      <c r="L17" s="1764"/>
      <c r="M17" s="1764"/>
    </row>
    <row r="18" spans="1:13" ht="15">
      <c r="A18" s="1764"/>
      <c r="B18" s="1782"/>
      <c r="C18" s="1782"/>
      <c r="D18" s="1858"/>
      <c r="E18" s="1858"/>
      <c r="F18" s="1858"/>
      <c r="G18" s="1860"/>
      <c r="H18" s="1858"/>
      <c r="I18" s="1858"/>
      <c r="J18" s="1858"/>
      <c r="K18" s="1859"/>
      <c r="L18" s="1764"/>
      <c r="M18" s="1764"/>
    </row>
    <row r="19" spans="1:13" ht="18">
      <c r="A19" s="1764"/>
      <c r="B19" s="1782"/>
      <c r="C19" s="1881" t="s">
        <v>1230</v>
      </c>
      <c r="D19" s="1882">
        <f>(+D$16/I$16)*K19</f>
        <v>188351.56559385269</v>
      </c>
      <c r="E19" s="1883">
        <f>(+E$16/I$16)*K19</f>
        <v>0</v>
      </c>
      <c r="F19" s="1884">
        <f>(+F$16/I$16)*K19</f>
        <v>464.40517472140812</v>
      </c>
      <c r="G19" s="1883">
        <f>(+G$16/I$16)*K19</f>
        <v>0</v>
      </c>
      <c r="H19" s="1884">
        <f>(+H$16/I$16)*K19</f>
        <v>15342.384231425922</v>
      </c>
      <c r="I19" s="1885">
        <v>800621</v>
      </c>
      <c r="J19" s="1885">
        <v>0.255</v>
      </c>
      <c r="K19" s="1886">
        <f>I19*J19</f>
        <v>204158.35500000001</v>
      </c>
      <c r="L19" s="1764"/>
      <c r="M19" s="1764"/>
    </row>
    <row r="20" spans="1:13" ht="18">
      <c r="A20" s="1764"/>
      <c r="B20" s="1805" t="s">
        <v>424</v>
      </c>
      <c r="C20" s="1806" t="s">
        <v>1231</v>
      </c>
      <c r="D20" s="1836">
        <f>(+D$16/I$16)*K20</f>
        <v>22.471733248971496</v>
      </c>
      <c r="E20" s="1861">
        <f>(+E$16/I$16)*K20</f>
        <v>0</v>
      </c>
      <c r="F20" s="1862">
        <f>(+F$16/I$16)*K20</f>
        <v>5.5406968202668806E-2</v>
      </c>
      <c r="G20" s="1861">
        <f>(+G$16/I$16)*K20</f>
        <v>0</v>
      </c>
      <c r="H20" s="1862">
        <f>(+H$16/I$16)*K20</f>
        <v>1.8304597828258362</v>
      </c>
      <c r="I20" s="1837">
        <v>95.52</v>
      </c>
      <c r="J20" s="1837">
        <v>0.255</v>
      </c>
      <c r="K20" s="1879">
        <f>I20*J20</f>
        <v>24.357599999999998</v>
      </c>
      <c r="L20" s="1764"/>
      <c r="M20" s="1764"/>
    </row>
    <row r="21" spans="1:13" ht="18.75" thickBot="1">
      <c r="A21" s="1764"/>
      <c r="B21" s="1789"/>
      <c r="C21" s="1807" t="s">
        <v>1232</v>
      </c>
      <c r="D21" s="1838">
        <f>(+D$16/I$16)*K21</f>
        <v>3.265364923531453</v>
      </c>
      <c r="E21" s="1863">
        <f>(+E$16/I$16)*K21</f>
        <v>0</v>
      </c>
      <c r="F21" s="1864">
        <f>(+F$16/I$16)*K21</f>
        <v>8.0511800529003679E-3</v>
      </c>
      <c r="G21" s="1863">
        <f>(+G$16/I$16)*K21</f>
        <v>0</v>
      </c>
      <c r="H21" s="1864">
        <f>(+H$16/I$16)*K21</f>
        <v>0.26598389641564707</v>
      </c>
      <c r="I21" s="1839">
        <v>13.88</v>
      </c>
      <c r="J21" s="1839">
        <v>0.255</v>
      </c>
      <c r="K21" s="1880">
        <f>I21*J21</f>
        <v>3.5394000000000001</v>
      </c>
      <c r="L21" s="1764"/>
      <c r="M21" s="1764"/>
    </row>
    <row r="22" spans="1:13" ht="15">
      <c r="A22" s="1764"/>
      <c r="B22" s="1782"/>
      <c r="C22" s="1843"/>
      <c r="D22" s="1844"/>
      <c r="E22" s="1865"/>
      <c r="F22" s="1866"/>
      <c r="G22" s="1865"/>
      <c r="H22" s="1866"/>
      <c r="I22" s="1844"/>
      <c r="J22" s="1844"/>
      <c r="K22" s="1844"/>
      <c r="L22" s="1764"/>
      <c r="M22" s="1764"/>
    </row>
    <row r="23" spans="1:13" ht="18">
      <c r="A23" s="1764"/>
      <c r="B23" s="1808"/>
      <c r="C23" s="1881" t="s">
        <v>1230</v>
      </c>
      <c r="D23" s="1885">
        <f>(+D$16/I$16)*K23</f>
        <v>543634.32265519828</v>
      </c>
      <c r="E23" s="1883">
        <f>(+E$16/I$16)*K23</f>
        <v>0</v>
      </c>
      <c r="F23" s="1884">
        <f>(+F$16/I$16)*K23</f>
        <v>1340.4008180194367</v>
      </c>
      <c r="G23" s="1883">
        <f>(+G$16/I$16)*K23</f>
        <v>0</v>
      </c>
      <c r="H23" s="1884">
        <f>(+H$16/I$16)*K23</f>
        <v>44282.332526782266</v>
      </c>
      <c r="I23" s="1885">
        <v>800621</v>
      </c>
      <c r="J23" s="1885">
        <v>0.73599999999999999</v>
      </c>
      <c r="K23" s="1885">
        <f>I23*J23</f>
        <v>589257.05599999998</v>
      </c>
      <c r="L23" s="1764"/>
      <c r="M23" s="1764"/>
    </row>
    <row r="24" spans="1:13" ht="18">
      <c r="A24" s="1764"/>
      <c r="B24" s="1805" t="s">
        <v>425</v>
      </c>
      <c r="C24" s="1845" t="s">
        <v>1231</v>
      </c>
      <c r="D24" s="1837">
        <f>(+D$16/I$16)*K24</f>
        <v>64.859590867619687</v>
      </c>
      <c r="E24" s="1861">
        <f>(+E$16/I$16)*K24</f>
        <v>0</v>
      </c>
      <c r="F24" s="1862">
        <f>(+F$16/I$16)*K24</f>
        <v>0.15991971998887936</v>
      </c>
      <c r="G24" s="1861">
        <f>(+G$16/I$16)*K24</f>
        <v>0</v>
      </c>
      <c r="H24" s="1862">
        <f>(+H$16/I$16)*K24</f>
        <v>5.2832094123914333</v>
      </c>
      <c r="I24" s="1837">
        <v>95.52</v>
      </c>
      <c r="J24" s="1837">
        <v>0.73599999999999999</v>
      </c>
      <c r="K24" s="1837">
        <f>I24*J24</f>
        <v>70.302719999999994</v>
      </c>
      <c r="L24" s="1764"/>
      <c r="M24" s="1764"/>
    </row>
    <row r="25" spans="1:13" ht="18.75" thickBot="1">
      <c r="A25" s="1764"/>
      <c r="B25" s="1789"/>
      <c r="C25" s="1846" t="s">
        <v>1233</v>
      </c>
      <c r="D25" s="1839">
        <f>(+D$16/I$16)*K25</f>
        <v>9.4247395439966652</v>
      </c>
      <c r="E25" s="1863">
        <f>(+E$16/I$16)*K25</f>
        <v>0</v>
      </c>
      <c r="F25" s="1864">
        <f>(+F$16/I$16)*K25</f>
        <v>2.3237915760528121E-2</v>
      </c>
      <c r="G25" s="1863">
        <f>(+G$16/I$16)*K25</f>
        <v>0</v>
      </c>
      <c r="H25" s="1864">
        <f>(+H$16/I$16)*K25</f>
        <v>0.76770254024280893</v>
      </c>
      <c r="I25" s="1839">
        <v>13.88</v>
      </c>
      <c r="J25" s="1839">
        <v>0.73599999999999999</v>
      </c>
      <c r="K25" s="1839">
        <f>I25*J25</f>
        <v>10.215680000000001</v>
      </c>
      <c r="L25" s="1764"/>
      <c r="M25" s="1764"/>
    </row>
    <row r="26" spans="1:13" ht="15.75" thickBot="1">
      <c r="A26" s="1764"/>
      <c r="B26" s="1782"/>
      <c r="C26" s="1782"/>
      <c r="D26" s="1840"/>
      <c r="E26" s="1867"/>
      <c r="F26" s="1868"/>
      <c r="G26" s="1867"/>
      <c r="H26" s="1868"/>
      <c r="I26" s="1841"/>
      <c r="J26" s="1841"/>
      <c r="K26" s="1842"/>
      <c r="L26" s="1764"/>
      <c r="M26" s="1764"/>
    </row>
    <row r="27" spans="1:13" ht="18">
      <c r="A27" s="1764"/>
      <c r="B27" s="1777"/>
      <c r="C27" s="1887" t="s">
        <v>1230</v>
      </c>
      <c r="D27" s="1888">
        <f>(+D$16/I$16)*K27</f>
        <v>6647.7023150771529</v>
      </c>
      <c r="E27" s="1889">
        <f>(+E$16/I$16)*K27</f>
        <v>0</v>
      </c>
      <c r="F27" s="1888">
        <f>(+F$16/I$16)*K27</f>
        <v>16.390770872520285</v>
      </c>
      <c r="G27" s="1889">
        <f>(+G$16/I$16)*K27</f>
        <v>0</v>
      </c>
      <c r="H27" s="1888">
        <f>(+H$16/I$16)*K27</f>
        <v>541.49591405032652</v>
      </c>
      <c r="I27" s="1890">
        <v>800621</v>
      </c>
      <c r="J27" s="1890">
        <v>8.9999999999999993E-3</v>
      </c>
      <c r="K27" s="1888">
        <f>I27*J27</f>
        <v>7205.588999999999</v>
      </c>
      <c r="L27" s="1764"/>
      <c r="M27" s="1809"/>
    </row>
    <row r="28" spans="1:13" ht="18">
      <c r="A28" s="1764"/>
      <c r="B28" s="1805" t="s">
        <v>426</v>
      </c>
      <c r="C28" s="1845" t="s">
        <v>1231</v>
      </c>
      <c r="D28" s="1837">
        <f>(+D$16/I$16)*K28</f>
        <v>0.79311999702252334</v>
      </c>
      <c r="E28" s="1861">
        <f>(+E$16/I$16)*K28</f>
        <v>0</v>
      </c>
      <c r="F28" s="1862">
        <f>(+F$16/I$16)*K28</f>
        <v>1.9555400542118398E-3</v>
      </c>
      <c r="G28" s="1861">
        <f>(+G$16/I$16)*K28</f>
        <v>0</v>
      </c>
      <c r="H28" s="1862">
        <f>(+H$16/I$16)*K28</f>
        <v>6.4604462923264813E-2</v>
      </c>
      <c r="I28" s="1837">
        <v>95.52</v>
      </c>
      <c r="J28" s="1837">
        <v>8.9999999999999993E-3</v>
      </c>
      <c r="K28" s="1862">
        <f>I28*J28</f>
        <v>0.85967999999999989</v>
      </c>
      <c r="L28" s="1764"/>
      <c r="M28" s="1764"/>
    </row>
    <row r="29" spans="1:13" ht="18.75" thickBot="1">
      <c r="A29" s="1764"/>
      <c r="B29" s="1789"/>
      <c r="C29" s="1846" t="s">
        <v>1232</v>
      </c>
      <c r="D29" s="1839">
        <f>(+D$16/I$16)*K29</f>
        <v>0.11524817377169834</v>
      </c>
      <c r="E29" s="1863">
        <f>(+E$16/I$16)*K29</f>
        <v>0</v>
      </c>
      <c r="F29" s="1864">
        <f>(+F$16/I$16)*K29</f>
        <v>2.8415929598471886E-4</v>
      </c>
      <c r="G29" s="1863">
        <f>(+G$16/I$16)*K29</f>
        <v>0</v>
      </c>
      <c r="H29" s="1864">
        <f>(+H$16/I$16)*K29</f>
        <v>9.3876669323169556E-3</v>
      </c>
      <c r="I29" s="1839">
        <v>13.88</v>
      </c>
      <c r="J29" s="1839">
        <v>8.9999999999999993E-3</v>
      </c>
      <c r="K29" s="1864">
        <f>I29*J29</f>
        <v>0.12492</v>
      </c>
      <c r="L29" s="1764"/>
      <c r="M29" s="1764"/>
    </row>
    <row r="30" spans="1:13" ht="15.75" thickBot="1">
      <c r="A30" s="1764"/>
      <c r="B30" s="1810"/>
      <c r="C30" s="1811"/>
      <c r="D30" s="1812"/>
      <c r="E30" s="1812"/>
      <c r="F30" s="1812"/>
      <c r="G30" s="1812"/>
      <c r="H30" s="1812"/>
      <c r="I30" s="1812"/>
      <c r="J30" s="1812"/>
      <c r="K30" s="1813"/>
      <c r="L30" s="1764"/>
      <c r="M30" s="1764"/>
    </row>
    <row r="31" spans="1:13" ht="15">
      <c r="A31" s="1764"/>
      <c r="B31" s="1764"/>
      <c r="C31" s="1764"/>
      <c r="D31" s="1764"/>
      <c r="E31" s="1764"/>
      <c r="F31" s="1764"/>
      <c r="G31" s="1764"/>
      <c r="H31" s="1764"/>
      <c r="I31" s="1764"/>
      <c r="J31" s="1764"/>
      <c r="K31" s="1764"/>
      <c r="L31" s="1764"/>
      <c r="M31" s="1764"/>
    </row>
    <row r="32" spans="1:13" ht="15">
      <c r="A32" s="1764"/>
      <c r="B32" s="1764"/>
      <c r="C32" s="1764"/>
      <c r="D32" s="1764"/>
      <c r="E32" s="1764"/>
      <c r="F32" s="1764"/>
      <c r="G32" s="1764"/>
      <c r="H32" s="1764"/>
      <c r="I32" s="1764"/>
      <c r="J32" s="1764"/>
      <c r="K32" s="1764"/>
      <c r="L32" s="1764"/>
      <c r="M32" s="1764"/>
    </row>
    <row r="33" spans="1:13" ht="15.75" thickBot="1">
      <c r="A33" s="1764"/>
      <c r="B33" s="1764"/>
      <c r="C33" s="1764"/>
      <c r="D33" s="1764"/>
      <c r="E33" s="1764"/>
      <c r="F33" s="1764"/>
      <c r="G33" s="1764"/>
      <c r="H33" s="1764"/>
      <c r="I33" s="1764"/>
      <c r="J33" s="1764"/>
      <c r="L33" s="1764"/>
      <c r="M33" s="1764"/>
    </row>
    <row r="34" spans="1:13" ht="18.75" thickTop="1">
      <c r="A34" s="1764"/>
      <c r="B34" s="1764"/>
      <c r="C34" s="1814"/>
      <c r="D34" s="1815" t="s">
        <v>100</v>
      </c>
      <c r="E34" s="1815" t="s">
        <v>1234</v>
      </c>
      <c r="F34" s="1815" t="s">
        <v>1234</v>
      </c>
      <c r="G34" s="1816" t="s">
        <v>1234</v>
      </c>
      <c r="H34" s="1817"/>
      <c r="I34" s="1764"/>
      <c r="J34" s="1764"/>
      <c r="K34" s="1764"/>
      <c r="L34" s="1764"/>
      <c r="M34" s="1764"/>
    </row>
    <row r="35" spans="1:13" ht="18.75" thickBot="1">
      <c r="A35" s="1764"/>
      <c r="B35" s="1764"/>
      <c r="C35" s="1818"/>
      <c r="D35" s="1819"/>
      <c r="E35" s="1819" t="s">
        <v>101</v>
      </c>
      <c r="F35" s="1819" t="s">
        <v>102</v>
      </c>
      <c r="G35" s="1820" t="s">
        <v>1236</v>
      </c>
      <c r="H35" s="1817"/>
      <c r="I35" s="1764"/>
      <c r="J35" s="1764"/>
      <c r="K35" s="1764"/>
      <c r="L35" s="1764"/>
      <c r="M35" s="1764"/>
    </row>
    <row r="36" spans="1:13" ht="15">
      <c r="A36" s="1764"/>
      <c r="B36" s="1764"/>
      <c r="C36" s="1892"/>
      <c r="D36" s="556"/>
      <c r="E36" s="556"/>
      <c r="F36" s="556"/>
      <c r="G36" s="1891"/>
      <c r="H36" s="1817"/>
      <c r="I36" s="1764"/>
      <c r="J36" s="1764"/>
      <c r="K36" s="1764"/>
      <c r="L36" s="1764"/>
      <c r="M36" s="1764"/>
    </row>
    <row r="37" spans="1:13" ht="15">
      <c r="A37" s="1764"/>
      <c r="B37" s="1764"/>
      <c r="C37" s="1821" t="s">
        <v>1102</v>
      </c>
      <c r="D37" s="1869">
        <f>+D16+G16</f>
        <v>1910644.9764799997</v>
      </c>
      <c r="E37" s="1869">
        <f>+D19+G19+D23+G23+D27+G27</f>
        <v>738633.59056412813</v>
      </c>
      <c r="F37" s="1870">
        <f>E37*0.907184</f>
        <v>670076.57522232796</v>
      </c>
      <c r="G37" s="1871">
        <f>F37/1000000</f>
        <v>0.670076575222328</v>
      </c>
      <c r="H37" s="1822"/>
      <c r="I37" s="1764"/>
      <c r="J37" s="1764"/>
      <c r="K37" s="1764"/>
      <c r="L37" s="1764"/>
      <c r="M37" s="1764"/>
    </row>
    <row r="38" spans="1:13" ht="15">
      <c r="A38" s="1764"/>
      <c r="B38" s="1764"/>
      <c r="C38" s="1821"/>
      <c r="D38" s="1872"/>
      <c r="E38" s="1872"/>
      <c r="F38" s="1870"/>
      <c r="G38" s="1871"/>
      <c r="H38" s="1822"/>
      <c r="I38" s="1764"/>
      <c r="J38" s="1764"/>
      <c r="K38" s="1764"/>
      <c r="L38" s="1764"/>
      <c r="M38" s="1764"/>
    </row>
    <row r="39" spans="1:13" ht="15">
      <c r="A39" s="1764"/>
      <c r="B39" s="1764"/>
      <c r="C39" s="1821" t="s">
        <v>1103</v>
      </c>
      <c r="D39" s="1869">
        <f>+E16+F16</f>
        <v>4710.9426000000003</v>
      </c>
      <c r="E39" s="1869">
        <f>+E19+F19+E23+F23+E27+F27</f>
        <v>1821.1967636133652</v>
      </c>
      <c r="F39" s="1870">
        <f>E39*0.907184</f>
        <v>1652.1605648018271</v>
      </c>
      <c r="G39" s="1871">
        <f>F39/1000000</f>
        <v>1.6521605648018272E-3</v>
      </c>
      <c r="H39" s="1822"/>
      <c r="I39" s="1764"/>
      <c r="J39" s="1764"/>
      <c r="K39" s="1764"/>
      <c r="L39" s="1764"/>
      <c r="M39" s="1764"/>
    </row>
    <row r="40" spans="1:13" ht="15">
      <c r="A40" s="1764"/>
      <c r="B40" s="1764"/>
      <c r="C40" s="1821"/>
      <c r="D40" s="1872"/>
      <c r="E40" s="1872"/>
      <c r="F40" s="1870"/>
      <c r="G40" s="1871"/>
      <c r="H40" s="1822"/>
      <c r="I40" s="1764"/>
      <c r="J40" s="1764"/>
      <c r="K40" s="1764"/>
      <c r="L40" s="1764"/>
      <c r="M40" s="1764"/>
    </row>
    <row r="41" spans="1:13" ht="15">
      <c r="A41" s="1764"/>
      <c r="B41" s="1764"/>
      <c r="C41" s="1821" t="s">
        <v>1104</v>
      </c>
      <c r="D41" s="1869">
        <f>+H16</f>
        <v>155633.69099999999</v>
      </c>
      <c r="E41" s="1869">
        <f>+H19+H23+H27</f>
        <v>60166.212672258516</v>
      </c>
      <c r="F41" s="1870">
        <f>E41*0.907184</f>
        <v>54581.825476870166</v>
      </c>
      <c r="G41" s="1871">
        <f>F41/1000000</f>
        <v>5.4581825476870169E-2</v>
      </c>
      <c r="H41" s="1822"/>
      <c r="I41" s="1764"/>
      <c r="J41" s="1764"/>
      <c r="K41" s="1764"/>
      <c r="L41" s="1764"/>
      <c r="M41" s="1764"/>
    </row>
    <row r="42" spans="1:13" ht="15.75" thickBot="1">
      <c r="A42" s="1764"/>
      <c r="B42" s="1764"/>
      <c r="C42" s="1823"/>
      <c r="D42" s="1873"/>
      <c r="E42" s="1873"/>
      <c r="F42" s="1874"/>
      <c r="G42" s="1875"/>
      <c r="H42" s="1824"/>
      <c r="I42" s="1764"/>
      <c r="J42" s="1764"/>
      <c r="K42" s="1764"/>
      <c r="L42" s="1764"/>
      <c r="M42" s="1764"/>
    </row>
    <row r="43" spans="1:13" ht="15.75" thickBot="1">
      <c r="A43" s="1764"/>
      <c r="B43" s="1764"/>
      <c r="C43" s="1825" t="s">
        <v>194</v>
      </c>
      <c r="D43" s="1876">
        <f>SUM(D37:D42)</f>
        <v>2070989.6100799995</v>
      </c>
      <c r="E43" s="1876">
        <f>SUM(E37:E42)</f>
        <v>800621</v>
      </c>
      <c r="F43" s="1877">
        <f>SUM(F37:F42)</f>
        <v>726310.5612639999</v>
      </c>
      <c r="G43" s="1878">
        <f>SUM(G37:G42)</f>
        <v>0.72631056126399995</v>
      </c>
      <c r="H43" s="1826"/>
      <c r="I43" s="1764"/>
      <c r="J43" s="1764"/>
      <c r="K43" s="1764"/>
      <c r="L43" s="1764"/>
      <c r="M43" s="1764"/>
    </row>
    <row r="44" spans="1:13" ht="15.75" thickBot="1">
      <c r="A44" s="1764"/>
      <c r="B44" s="1764"/>
      <c r="C44" s="1827"/>
      <c r="D44" s="1828"/>
      <c r="E44" s="1828"/>
      <c r="F44" s="1828"/>
      <c r="G44" s="1829"/>
      <c r="H44" s="1830"/>
      <c r="I44" s="1764"/>
      <c r="J44" s="1764"/>
      <c r="K44" s="1764"/>
      <c r="L44" s="1764"/>
      <c r="M44" s="1764"/>
    </row>
    <row r="45" spans="1:13" ht="15.75" thickTop="1">
      <c r="A45" s="1764"/>
      <c r="B45" s="1764"/>
      <c r="C45" s="1764"/>
      <c r="D45" s="1764"/>
      <c r="E45" s="1764"/>
      <c r="F45" s="1764"/>
      <c r="G45" s="1831"/>
      <c r="H45" s="1832"/>
      <c r="I45" s="1764"/>
      <c r="J45" s="1764"/>
      <c r="K45" s="1764"/>
      <c r="L45" s="1764"/>
      <c r="M45" s="1764"/>
    </row>
    <row r="46" spans="1:13" ht="15">
      <c r="A46" s="1764"/>
      <c r="B46" s="1764"/>
      <c r="C46" s="1764"/>
      <c r="D46" s="1764"/>
      <c r="E46" s="1764"/>
      <c r="F46" s="1764"/>
      <c r="G46" s="1833"/>
      <c r="H46" s="1832"/>
      <c r="I46" s="1764"/>
      <c r="J46" s="1764"/>
      <c r="K46" s="1764"/>
      <c r="L46" s="1764"/>
      <c r="M46" s="1764"/>
    </row>
    <row r="47" spans="1:13" ht="15.75" thickBot="1">
      <c r="A47" s="1764"/>
      <c r="B47" s="1764"/>
      <c r="C47" s="1764"/>
      <c r="D47" s="1764"/>
      <c r="E47" s="1764"/>
      <c r="F47" s="1764"/>
      <c r="G47" s="1834"/>
      <c r="H47" s="1832"/>
      <c r="I47" s="1764"/>
      <c r="J47" s="1764"/>
      <c r="K47" s="1764"/>
      <c r="L47" s="1764"/>
      <c r="M47" s="1764"/>
    </row>
    <row r="48" spans="1:13" ht="18.75" thickTop="1">
      <c r="A48" s="1764"/>
      <c r="B48" s="1764"/>
      <c r="C48" s="1814"/>
      <c r="D48" s="1815" t="s">
        <v>100</v>
      </c>
      <c r="E48" s="1815" t="s">
        <v>1235</v>
      </c>
      <c r="F48" s="1815" t="s">
        <v>1235</v>
      </c>
      <c r="G48" s="1816" t="s">
        <v>1235</v>
      </c>
      <c r="H48" s="1817"/>
      <c r="I48" s="1764"/>
      <c r="J48" s="1764"/>
      <c r="K48" s="1764"/>
      <c r="L48" s="1764"/>
      <c r="M48" s="1764"/>
    </row>
    <row r="49" spans="1:13" ht="18.75" thickBot="1">
      <c r="A49" s="1764"/>
      <c r="B49" s="1764"/>
      <c r="C49" s="1818"/>
      <c r="D49" s="1819"/>
      <c r="E49" s="1819" t="s">
        <v>101</v>
      </c>
      <c r="F49" s="1819" t="s">
        <v>102</v>
      </c>
      <c r="G49" s="1820" t="s">
        <v>1236</v>
      </c>
      <c r="H49" s="1817"/>
      <c r="I49" s="3065" t="s">
        <v>1162</v>
      </c>
      <c r="J49" s="3065"/>
      <c r="K49" s="3065"/>
      <c r="L49" s="1764"/>
      <c r="M49" s="1764"/>
    </row>
    <row r="50" spans="1:13" ht="15.75">
      <c r="A50" s="1764"/>
      <c r="B50" s="1764"/>
      <c r="C50" s="562"/>
      <c r="D50" s="556"/>
      <c r="E50" s="556"/>
      <c r="F50" s="556"/>
      <c r="G50" s="1891"/>
      <c r="H50" s="1817"/>
      <c r="I50" s="1901" t="s">
        <v>391</v>
      </c>
      <c r="J50">
        <v>1</v>
      </c>
      <c r="K50" s="1728"/>
      <c r="L50" s="1764"/>
      <c r="M50" s="1764"/>
    </row>
    <row r="51" spans="1:13" ht="15.75">
      <c r="A51" s="1764"/>
      <c r="B51" s="1764"/>
      <c r="C51" s="1894" t="s">
        <v>1102</v>
      </c>
      <c r="D51" s="1869">
        <f>+D16+G16</f>
        <v>1910644.9764799997</v>
      </c>
      <c r="E51" s="1872">
        <f>+D20+G20+D24+G24+D28+G28</f>
        <v>88.12444411361372</v>
      </c>
      <c r="F51" s="1872">
        <f>E51*0.907184</f>
        <v>79.945085708764552</v>
      </c>
      <c r="G51" s="1895">
        <f>(+F51*21)/1000000</f>
        <v>1.6788467998840556E-3</v>
      </c>
      <c r="H51" s="1835"/>
      <c r="I51" s="1901" t="s">
        <v>392</v>
      </c>
      <c r="J51">
        <v>21</v>
      </c>
      <c r="K51" s="1728"/>
      <c r="L51" s="1764"/>
      <c r="M51" s="1764"/>
    </row>
    <row r="52" spans="1:13" ht="15.75">
      <c r="A52" s="1764"/>
      <c r="B52" s="1764"/>
      <c r="C52" s="1894"/>
      <c r="D52" s="1872"/>
      <c r="E52" s="1872"/>
      <c r="F52" s="1870"/>
      <c r="G52" s="1895"/>
      <c r="H52" s="1835"/>
      <c r="I52" s="1901" t="s">
        <v>1191</v>
      </c>
      <c r="J52">
        <v>310</v>
      </c>
      <c r="K52" s="1728"/>
      <c r="L52" s="1764"/>
      <c r="M52" s="1764"/>
    </row>
    <row r="53" spans="1:13" ht="15">
      <c r="A53" s="1764"/>
      <c r="B53" s="1764"/>
      <c r="C53" s="1894" t="s">
        <v>1103</v>
      </c>
      <c r="D53" s="1869">
        <f>+E16+F16</f>
        <v>4710.9426000000003</v>
      </c>
      <c r="E53" s="1872">
        <f>+E20+F20+E24+F24+E28+F28</f>
        <v>0.21728222824575999</v>
      </c>
      <c r="F53" s="1872">
        <f>E53*0.907184</f>
        <v>0.19711496094890152</v>
      </c>
      <c r="G53" s="1895">
        <f>(+F53*21)/1000000</f>
        <v>4.1394141799269314E-6</v>
      </c>
      <c r="H53" s="1835"/>
      <c r="I53" s="1728"/>
      <c r="J53" s="1728"/>
      <c r="K53" s="1728"/>
      <c r="L53" s="1764"/>
      <c r="M53" s="1764"/>
    </row>
    <row r="54" spans="1:13" ht="15">
      <c r="A54" s="1764"/>
      <c r="B54" s="1764"/>
      <c r="C54" s="1894"/>
      <c r="D54" s="1872"/>
      <c r="E54" s="1872"/>
      <c r="F54" s="1872"/>
      <c r="G54" s="1895"/>
      <c r="H54" s="1835"/>
      <c r="I54" s="1764"/>
      <c r="J54" s="1764"/>
      <c r="K54" s="1764"/>
      <c r="L54" s="1764"/>
      <c r="M54" s="1764"/>
    </row>
    <row r="55" spans="1:13" ht="15">
      <c r="A55" s="1764"/>
      <c r="B55" s="1764"/>
      <c r="C55" s="1894" t="s">
        <v>1104</v>
      </c>
      <c r="D55" s="1869">
        <f>+H16</f>
        <v>155633.69099999999</v>
      </c>
      <c r="E55" s="1872">
        <f>+H20+H24+H28</f>
        <v>7.1782736581405349</v>
      </c>
      <c r="F55" s="1872">
        <f>E55*0.907184</f>
        <v>6.5120150102865626</v>
      </c>
      <c r="G55" s="1895">
        <f>(+F55*21)/1000000</f>
        <v>1.3675231521601783E-4</v>
      </c>
      <c r="H55" s="1835"/>
      <c r="I55" s="1764"/>
      <c r="J55" s="1764"/>
      <c r="K55" s="1764"/>
      <c r="L55" s="1764"/>
      <c r="M55" s="1764"/>
    </row>
    <row r="56" spans="1:13" ht="15">
      <c r="A56" s="1764"/>
      <c r="B56" s="1764"/>
      <c r="C56" s="1894"/>
      <c r="D56" s="1872"/>
      <c r="E56" s="1872"/>
      <c r="F56" s="1872"/>
      <c r="G56" s="1895"/>
      <c r="H56" s="1824"/>
      <c r="I56" s="1764"/>
      <c r="J56" s="1764"/>
      <c r="K56" s="1764"/>
      <c r="L56" s="1764"/>
      <c r="M56" s="1764"/>
    </row>
    <row r="57" spans="1:13" ht="15">
      <c r="A57" s="1764"/>
      <c r="B57" s="1764"/>
      <c r="C57" s="1893" t="s">
        <v>194</v>
      </c>
      <c r="D57" s="1870">
        <f>SUM(D51:D56)</f>
        <v>2070989.6100799995</v>
      </c>
      <c r="E57" s="1872">
        <f>SUM(E51:E56)</f>
        <v>95.520000000000024</v>
      </c>
      <c r="F57" s="1872">
        <f>SUM(F51:F56)</f>
        <v>86.654215680000007</v>
      </c>
      <c r="G57" s="1895">
        <f>SUM(G51:G56)</f>
        <v>1.8197385292800003E-3</v>
      </c>
      <c r="H57" s="1824"/>
      <c r="I57" s="1764"/>
      <c r="J57" s="1764"/>
      <c r="K57" s="1764"/>
      <c r="L57" s="1764"/>
      <c r="M57" s="1764"/>
    </row>
    <row r="58" spans="1:13" ht="15.75" thickBot="1">
      <c r="A58" s="1764"/>
      <c r="B58" s="1764"/>
      <c r="C58" s="25"/>
      <c r="D58" s="34"/>
      <c r="E58" s="34"/>
      <c r="F58" s="34"/>
      <c r="G58" s="35"/>
      <c r="H58" s="1830"/>
      <c r="I58" s="1764"/>
      <c r="J58" s="1764"/>
      <c r="K58" s="1764"/>
      <c r="L58" s="1764"/>
      <c r="M58" s="1764"/>
    </row>
    <row r="59" spans="1:13" ht="15.75" thickTop="1">
      <c r="A59" s="1764"/>
      <c r="B59" s="1764"/>
      <c r="C59" s="1764"/>
      <c r="D59" s="1764"/>
      <c r="E59" s="1764"/>
      <c r="F59" s="1764"/>
      <c r="G59" s="1831"/>
      <c r="H59" s="1832"/>
      <c r="I59" s="1764"/>
      <c r="J59" s="1764"/>
      <c r="K59" s="1764"/>
      <c r="L59" s="1764"/>
      <c r="M59" s="1764"/>
    </row>
    <row r="60" spans="1:13" ht="15.75" thickBot="1">
      <c r="A60" s="1764"/>
      <c r="B60" s="1764"/>
      <c r="C60" s="1764"/>
      <c r="D60" s="1764"/>
      <c r="E60" s="1764"/>
      <c r="F60" s="1764"/>
      <c r="G60" s="1834"/>
      <c r="H60" s="1832"/>
      <c r="I60" s="1764"/>
      <c r="J60" s="1764"/>
      <c r="K60" s="1764"/>
      <c r="L60" s="1764"/>
      <c r="M60" s="1764"/>
    </row>
    <row r="61" spans="1:13" ht="18.75" thickTop="1">
      <c r="A61" s="1764"/>
      <c r="B61" s="1764"/>
      <c r="C61" s="1814"/>
      <c r="D61" s="1815" t="s">
        <v>100</v>
      </c>
      <c r="E61" s="1815" t="s">
        <v>1237</v>
      </c>
      <c r="F61" s="1815" t="s">
        <v>1237</v>
      </c>
      <c r="G61" s="1816" t="s">
        <v>1237</v>
      </c>
      <c r="H61" s="1817"/>
      <c r="I61" s="1764"/>
      <c r="J61" s="1764"/>
      <c r="K61" s="1764"/>
      <c r="L61" s="1764"/>
      <c r="M61" s="1764"/>
    </row>
    <row r="62" spans="1:13" ht="18.75" thickBot="1">
      <c r="A62" s="1764"/>
      <c r="B62" s="1764"/>
      <c r="C62" s="1818"/>
      <c r="D62" s="1819"/>
      <c r="E62" s="1819" t="s">
        <v>101</v>
      </c>
      <c r="F62" s="1819" t="s">
        <v>102</v>
      </c>
      <c r="G62" s="1820" t="s">
        <v>1236</v>
      </c>
      <c r="H62" s="1817"/>
      <c r="I62" s="1764"/>
      <c r="J62" s="1764"/>
      <c r="K62" s="1764"/>
      <c r="L62" s="1764"/>
      <c r="M62" s="1764"/>
    </row>
    <row r="63" spans="1:13" ht="15">
      <c r="A63" s="1764"/>
      <c r="B63" s="1764"/>
      <c r="C63" s="1892"/>
      <c r="D63" s="556"/>
      <c r="E63" s="556"/>
      <c r="F63" s="556"/>
      <c r="G63" s="1891"/>
      <c r="H63" s="1817"/>
      <c r="I63" s="1764"/>
      <c r="J63" s="1764"/>
      <c r="K63" s="1764"/>
      <c r="L63" s="1764"/>
      <c r="M63" s="1764"/>
    </row>
    <row r="64" spans="1:13" ht="15">
      <c r="A64" s="1764"/>
      <c r="B64" s="1764"/>
      <c r="C64" s="1821" t="s">
        <v>1102</v>
      </c>
      <c r="D64" s="1897">
        <f>+D16+G16</f>
        <v>1910644.9764799997</v>
      </c>
      <c r="E64" s="1898">
        <f>+D21+G21+D25+G25+D29+G29</f>
        <v>12.805352641299818</v>
      </c>
      <c r="F64" s="1898">
        <f>E64*0.907184</f>
        <v>11.616811030544934</v>
      </c>
      <c r="G64" s="1899">
        <f>(+F64*310)/1000000</f>
        <v>3.6012114194689292E-3</v>
      </c>
      <c r="H64" s="1835"/>
      <c r="I64" s="1764"/>
      <c r="J64" s="1764"/>
      <c r="K64" s="1764"/>
      <c r="L64" s="1764"/>
      <c r="M64" s="1764"/>
    </row>
    <row r="65" spans="1:13" ht="15">
      <c r="A65" s="1764"/>
      <c r="B65" s="1764"/>
      <c r="C65" s="1821"/>
      <c r="D65" s="1897"/>
      <c r="E65" s="1898"/>
      <c r="F65" s="1898"/>
      <c r="G65" s="1899"/>
      <c r="H65" s="1835"/>
      <c r="I65" s="1764"/>
      <c r="J65" s="1764"/>
      <c r="K65" s="1764"/>
      <c r="L65" s="1764"/>
      <c r="M65" s="1764"/>
    </row>
    <row r="66" spans="1:13" ht="15">
      <c r="A66" s="1764"/>
      <c r="B66" s="1764"/>
      <c r="C66" s="1821" t="s">
        <v>1103</v>
      </c>
      <c r="D66" s="1897">
        <f>+E16+F16</f>
        <v>4710.9426000000003</v>
      </c>
      <c r="E66" s="1898">
        <f>+E21+F21+E25+F25+E29+F29</f>
        <v>3.1573255109413209E-2</v>
      </c>
      <c r="F66" s="1898">
        <f>E66*0.907184</f>
        <v>2.8642751863177912E-2</v>
      </c>
      <c r="G66" s="1899">
        <f>(+F66*310)/1000000</f>
        <v>8.879253077585153E-6</v>
      </c>
      <c r="H66" s="1835"/>
      <c r="I66" s="1764"/>
      <c r="J66" s="1764"/>
      <c r="K66" s="1764"/>
      <c r="L66" s="1764"/>
      <c r="M66" s="1764"/>
    </row>
    <row r="67" spans="1:13" ht="15">
      <c r="A67" s="1764"/>
      <c r="B67" s="1764"/>
      <c r="C67" s="1821"/>
      <c r="D67" s="1897"/>
      <c r="E67" s="1898"/>
      <c r="F67" s="1898"/>
      <c r="G67" s="1899"/>
      <c r="H67" s="1835"/>
      <c r="I67" s="1764"/>
      <c r="J67" s="1764"/>
      <c r="K67" s="1764"/>
      <c r="L67" s="1764"/>
      <c r="M67" s="1764"/>
    </row>
    <row r="68" spans="1:13" ht="15">
      <c r="A68" s="1764"/>
      <c r="B68" s="1764"/>
      <c r="C68" s="1821" t="s">
        <v>1104</v>
      </c>
      <c r="D68" s="1897">
        <f>+H16</f>
        <v>155633.69099999999</v>
      </c>
      <c r="E68" s="1898">
        <f>+H21+H25+H29</f>
        <v>1.0430741035907729</v>
      </c>
      <c r="F68" s="1898">
        <f>E68*0.907184</f>
        <v>0.94626013759189176</v>
      </c>
      <c r="G68" s="1899">
        <f>(+F68*310)/1000000</f>
        <v>2.9334064265348642E-4</v>
      </c>
      <c r="H68" s="1835"/>
      <c r="I68" s="1764"/>
      <c r="J68" s="1764"/>
      <c r="K68" s="1764"/>
      <c r="L68" s="1764"/>
      <c r="M68" s="1764"/>
    </row>
    <row r="69" spans="1:13" ht="15">
      <c r="A69" s="1764"/>
      <c r="B69" s="1764"/>
      <c r="C69" s="1821"/>
      <c r="D69" s="1897"/>
      <c r="E69" s="1898"/>
      <c r="F69" s="1898"/>
      <c r="G69" s="1899"/>
      <c r="H69" s="1824"/>
      <c r="I69" s="1764"/>
      <c r="J69" s="1764"/>
      <c r="K69" s="1764"/>
      <c r="L69" s="1764"/>
      <c r="M69" s="1764"/>
    </row>
    <row r="70" spans="1:13" ht="15">
      <c r="A70" s="1764"/>
      <c r="B70" s="1764"/>
      <c r="C70" s="1896" t="s">
        <v>194</v>
      </c>
      <c r="D70" s="2190">
        <f>SUM(D64:D69)</f>
        <v>2070989.6100799995</v>
      </c>
      <c r="E70" s="1898">
        <f>SUM(E64:E69)</f>
        <v>13.880000000000003</v>
      </c>
      <c r="F70" s="1898">
        <f>SUM(F64:F69)</f>
        <v>12.591713920000004</v>
      </c>
      <c r="G70" s="1899">
        <f>SUM(G64:G69)</f>
        <v>3.9034313152000008E-3</v>
      </c>
      <c r="H70" s="1824"/>
      <c r="I70" s="1764"/>
      <c r="J70" s="1764"/>
      <c r="K70" s="1764"/>
      <c r="L70" s="1764"/>
      <c r="M70" s="1764"/>
    </row>
    <row r="71" spans="1:13" ht="15.75" thickBot="1">
      <c r="A71" s="1764"/>
      <c r="B71" s="1764"/>
      <c r="C71" s="33"/>
      <c r="D71" s="34"/>
      <c r="E71" s="34"/>
      <c r="F71" s="34"/>
      <c r="G71" s="35"/>
      <c r="H71" s="1830"/>
      <c r="I71" s="1764"/>
      <c r="J71" s="1764"/>
      <c r="K71" s="1764"/>
      <c r="L71" s="1764"/>
      <c r="M71" s="1764"/>
    </row>
    <row r="72" spans="1:13" ht="15.75" thickTop="1">
      <c r="A72" s="1764"/>
      <c r="B72" s="1764"/>
      <c r="C72" s="1764"/>
      <c r="D72" s="1764"/>
      <c r="E72" s="1764"/>
      <c r="F72" s="1764"/>
      <c r="G72" s="1831"/>
      <c r="H72" s="1832"/>
      <c r="I72" s="1764"/>
      <c r="J72" s="1764"/>
      <c r="K72" s="1764"/>
      <c r="L72" s="1764"/>
      <c r="M72" s="1764"/>
    </row>
    <row r="73" spans="1:13" ht="15">
      <c r="A73" s="1764"/>
      <c r="B73" s="1764"/>
      <c r="C73" s="1764"/>
      <c r="D73" s="1764"/>
      <c r="E73" s="1764"/>
      <c r="F73" s="1764"/>
      <c r="G73" s="1833"/>
      <c r="H73" s="1832"/>
      <c r="I73" s="1764"/>
      <c r="J73" s="1764"/>
      <c r="K73" s="1764"/>
      <c r="L73" s="1764"/>
      <c r="M73" s="1764"/>
    </row>
    <row r="74" spans="1:13" ht="15">
      <c r="A74" s="1764"/>
      <c r="B74" s="1764"/>
      <c r="C74" s="1764"/>
      <c r="D74" s="1764"/>
      <c r="E74" s="1764"/>
      <c r="F74" s="1764"/>
      <c r="G74" s="1833"/>
      <c r="H74" s="1832"/>
      <c r="I74" s="1764"/>
      <c r="J74" s="1764"/>
      <c r="K74" s="1764"/>
      <c r="L74" s="1764"/>
      <c r="M74" s="1764"/>
    </row>
    <row r="75" spans="1:13" ht="15">
      <c r="A75" s="1764"/>
      <c r="B75" s="1764"/>
      <c r="C75" s="1764"/>
      <c r="D75" s="1764"/>
      <c r="E75" s="1764"/>
      <c r="F75" s="1764"/>
      <c r="G75" s="1833"/>
      <c r="H75" s="1832"/>
      <c r="I75" s="1764"/>
      <c r="J75" s="1764"/>
      <c r="K75" s="1764"/>
      <c r="L75" s="1764"/>
      <c r="M75" s="1764"/>
    </row>
  </sheetData>
  <sheetProtection password="CD58" sheet="1" objects="1" scenarios="1"/>
  <mergeCells count="3">
    <mergeCell ref="G4:J4"/>
    <mergeCell ref="D11:H11"/>
    <mergeCell ref="I49:K49"/>
  </mergeCells>
  <phoneticPr fontId="0" type="noConversion"/>
  <pageMargins left="0.25" right="0.25" top="0.75" bottom="0.25" header="0.5" footer="0.25"/>
  <pageSetup scale="90" orientation="landscape" r:id="rId1"/>
  <headerFooter alignWithMargins="0"/>
  <drawing r:id="rId2"/>
  <legacyDrawing r:id="rId3"/>
  <picture r:id="rId4"/>
</worksheet>
</file>

<file path=xl/worksheets/sheet5.xml><?xml version="1.0" encoding="utf-8"?>
<worksheet xmlns="http://schemas.openxmlformats.org/spreadsheetml/2006/main" xmlns:r="http://schemas.openxmlformats.org/officeDocument/2006/relationships">
  <sheetPr codeName="Sheet5"/>
  <dimension ref="A1:X136"/>
  <sheetViews>
    <sheetView zoomScale="92" zoomScaleNormal="92" workbookViewId="0">
      <selection activeCell="J2" sqref="J2"/>
    </sheetView>
  </sheetViews>
  <sheetFormatPr defaultRowHeight="11.25"/>
  <cols>
    <col min="1" max="1" width="2.6640625" customWidth="1"/>
    <col min="2" max="2" width="47.1640625" customWidth="1"/>
    <col min="3" max="3" width="17.5" customWidth="1"/>
    <col min="4" max="4" width="17.6640625" customWidth="1"/>
    <col min="5" max="5" width="25.33203125" customWidth="1"/>
    <col min="6" max="6" width="23.33203125" customWidth="1"/>
    <col min="7" max="7" width="18.5" customWidth="1"/>
    <col min="8" max="8" width="15.83203125" bestFit="1" customWidth="1"/>
    <col min="9" max="9" width="14.6640625" customWidth="1"/>
    <col min="10" max="10" width="18.33203125" bestFit="1" customWidth="1"/>
    <col min="11" max="11" width="15" customWidth="1"/>
    <col min="12" max="12" width="15.6640625" customWidth="1"/>
    <col min="13" max="13" width="15.33203125" customWidth="1"/>
    <col min="14" max="14" width="17.6640625" customWidth="1"/>
    <col min="15" max="15" width="16" customWidth="1"/>
    <col min="16" max="16" width="14.6640625" customWidth="1"/>
    <col min="17" max="17" width="21.5" customWidth="1"/>
    <col min="18" max="18" width="14.83203125" customWidth="1"/>
    <col min="19" max="19" width="14.33203125" customWidth="1"/>
    <col min="20" max="20" width="16" customWidth="1"/>
    <col min="21" max="21" width="14.83203125" customWidth="1"/>
    <col min="22" max="23" width="15.33203125" customWidth="1"/>
  </cols>
  <sheetData>
    <row r="1" spans="1:23" s="86" customFormat="1" ht="33">
      <c r="A1" s="550" t="s">
        <v>427</v>
      </c>
      <c r="B1" s="210"/>
      <c r="F1" s="547"/>
    </row>
    <row r="2" spans="1:23" ht="74.25" customHeight="1" thickBot="1"/>
    <row r="3" spans="1:23" ht="13.5" thickBot="1">
      <c r="E3" s="997" t="s">
        <v>157</v>
      </c>
      <c r="F3" s="998"/>
      <c r="G3" s="999"/>
      <c r="H3" s="15"/>
    </row>
    <row r="4" spans="1:23" ht="13.5" thickBot="1">
      <c r="E4" s="43"/>
    </row>
    <row r="5" spans="1:23" ht="12.75">
      <c r="B5" s="94"/>
      <c r="C5" s="191">
        <v>1994</v>
      </c>
      <c r="D5" s="191">
        <v>1995</v>
      </c>
      <c r="E5" s="191">
        <v>1996</v>
      </c>
      <c r="F5" s="191">
        <v>1997</v>
      </c>
      <c r="G5" s="199">
        <v>1998</v>
      </c>
      <c r="H5" s="191">
        <v>1999</v>
      </c>
      <c r="I5" s="191">
        <v>2000</v>
      </c>
      <c r="J5" s="191">
        <v>2001</v>
      </c>
      <c r="K5" s="191">
        <v>2002</v>
      </c>
      <c r="L5" s="191">
        <v>2003</v>
      </c>
      <c r="M5" s="191">
        <v>2004</v>
      </c>
      <c r="N5" s="191">
        <v>2005</v>
      </c>
      <c r="O5" s="191">
        <v>2006</v>
      </c>
      <c r="P5" s="1922">
        <v>2007</v>
      </c>
      <c r="Q5" s="191">
        <v>2008</v>
      </c>
      <c r="R5" s="191">
        <v>2009</v>
      </c>
      <c r="S5" s="192">
        <v>2010</v>
      </c>
      <c r="T5" s="199">
        <v>2011</v>
      </c>
      <c r="U5" s="199">
        <v>2012</v>
      </c>
      <c r="V5" s="199">
        <v>2013</v>
      </c>
      <c r="W5" s="676">
        <v>2014</v>
      </c>
    </row>
    <row r="6" spans="1:23">
      <c r="B6" s="95"/>
      <c r="C6" s="32"/>
      <c r="D6" s="32"/>
      <c r="E6" s="32"/>
      <c r="F6" s="32"/>
      <c r="G6" s="32"/>
      <c r="H6" s="44"/>
      <c r="I6" s="5"/>
      <c r="J6" s="5"/>
      <c r="K6" s="5"/>
      <c r="L6" s="5"/>
      <c r="M6" s="5"/>
      <c r="N6" s="5"/>
      <c r="O6" s="5"/>
      <c r="P6" s="5"/>
      <c r="Q6" s="5"/>
      <c r="R6" s="32"/>
      <c r="S6" s="32"/>
      <c r="T6" s="44"/>
      <c r="U6" s="32"/>
      <c r="V6" s="32"/>
      <c r="W6" s="560"/>
    </row>
    <row r="7" spans="1:23" ht="12.75">
      <c r="B7" s="208" t="s">
        <v>158</v>
      </c>
      <c r="C7" s="193"/>
      <c r="D7" s="193"/>
      <c r="E7" s="193"/>
      <c r="F7" s="193"/>
      <c r="G7" s="193"/>
      <c r="H7" s="194"/>
      <c r="I7" s="45">
        <v>11420038</v>
      </c>
      <c r="J7" s="21">
        <v>11135140</v>
      </c>
      <c r="K7" s="21">
        <v>11364983</v>
      </c>
      <c r="L7" s="21">
        <v>11852129</v>
      </c>
      <c r="M7" s="21">
        <v>11608446</v>
      </c>
      <c r="N7" s="21">
        <v>11745248.199999999</v>
      </c>
      <c r="O7" s="21">
        <v>11687602.6</v>
      </c>
      <c r="P7" s="21">
        <v>11937518</v>
      </c>
      <c r="Q7" s="21">
        <v>11098391</v>
      </c>
      <c r="R7" s="1925">
        <v>9846698</v>
      </c>
      <c r="S7" s="1925">
        <v>9885858</v>
      </c>
      <c r="T7" s="1923">
        <v>9003261</v>
      </c>
      <c r="U7" s="1926">
        <v>6981310</v>
      </c>
      <c r="V7" s="1926">
        <v>6815969</v>
      </c>
      <c r="W7" s="2837">
        <v>7450504</v>
      </c>
    </row>
    <row r="8" spans="1:23" ht="12.75">
      <c r="B8" s="208" t="s">
        <v>159</v>
      </c>
      <c r="C8" s="193"/>
      <c r="D8" s="193"/>
      <c r="E8" s="193"/>
      <c r="F8" s="193"/>
      <c r="G8" s="193"/>
      <c r="H8" s="194"/>
      <c r="I8" s="45">
        <v>4143417</v>
      </c>
      <c r="J8" s="21">
        <v>5514960</v>
      </c>
      <c r="K8" s="21">
        <v>4108104</v>
      </c>
      <c r="L8" s="21">
        <v>6164252</v>
      </c>
      <c r="M8" s="21">
        <v>5672819.25</v>
      </c>
      <c r="N8" s="21">
        <v>6574936.7400000002</v>
      </c>
      <c r="O8" s="21">
        <v>1050222.03</v>
      </c>
      <c r="P8" s="21">
        <v>1790746</v>
      </c>
      <c r="Q8" s="21">
        <v>791418</v>
      </c>
      <c r="R8" s="1925">
        <v>624050</v>
      </c>
      <c r="S8" s="1925">
        <v>658767</v>
      </c>
      <c r="T8" s="1923">
        <v>438683</v>
      </c>
      <c r="U8" s="1926">
        <v>408743</v>
      </c>
      <c r="V8" s="1926">
        <v>544171</v>
      </c>
      <c r="W8" s="2837">
        <v>1104782</v>
      </c>
    </row>
    <row r="9" spans="1:23" ht="12.75">
      <c r="B9" s="208" t="s">
        <v>160</v>
      </c>
      <c r="C9" s="193"/>
      <c r="D9" s="193"/>
      <c r="E9" s="193"/>
      <c r="F9" s="193"/>
      <c r="G9" s="193"/>
      <c r="H9" s="194"/>
      <c r="I9" s="45">
        <v>29023288</v>
      </c>
      <c r="J9" s="21">
        <v>17985486</v>
      </c>
      <c r="K9" s="21">
        <v>22627073</v>
      </c>
      <c r="L9" s="21">
        <v>11162538</v>
      </c>
      <c r="M9" s="21">
        <v>9994238.0399999991</v>
      </c>
      <c r="N9" s="21">
        <v>18619350</v>
      </c>
      <c r="O9" s="21">
        <v>16620796.5</v>
      </c>
      <c r="P9" s="21">
        <v>21481869</v>
      </c>
      <c r="Q9" s="21">
        <v>17563616</v>
      </c>
      <c r="R9" s="1925">
        <v>15742992</v>
      </c>
      <c r="S9" s="1925">
        <v>28629884</v>
      </c>
      <c r="T9" s="1923">
        <v>21840074</v>
      </c>
      <c r="U9" s="1926">
        <v>51188571</v>
      </c>
      <c r="V9" s="1926">
        <v>27549022</v>
      </c>
      <c r="W9" s="2837">
        <v>24337768</v>
      </c>
    </row>
    <row r="10" spans="1:23" ht="13.5" thickBot="1">
      <c r="B10" s="209" t="s">
        <v>161</v>
      </c>
      <c r="C10" s="195"/>
      <c r="D10" s="195"/>
      <c r="E10" s="195"/>
      <c r="F10" s="195"/>
      <c r="G10" s="195"/>
      <c r="H10" s="196"/>
      <c r="I10" s="197">
        <v>758</v>
      </c>
      <c r="J10" s="198">
        <v>7537</v>
      </c>
      <c r="K10" s="198">
        <v>9278</v>
      </c>
      <c r="L10" s="198">
        <v>6717</v>
      </c>
      <c r="M10" s="198">
        <v>5127.03</v>
      </c>
      <c r="N10" s="198">
        <v>4266.24</v>
      </c>
      <c r="O10" s="198">
        <v>4141.3100000000004</v>
      </c>
      <c r="P10" s="198">
        <v>4703.42</v>
      </c>
      <c r="Q10" s="198">
        <v>4194.0200000000004</v>
      </c>
      <c r="R10" s="1927">
        <v>3340</v>
      </c>
      <c r="S10" s="1927">
        <v>2663</v>
      </c>
      <c r="T10" s="1928">
        <v>1921</v>
      </c>
      <c r="U10" s="1928">
        <v>1395</v>
      </c>
      <c r="V10" s="2682">
        <v>0</v>
      </c>
      <c r="W10" s="1929"/>
    </row>
    <row r="11" spans="1:23" ht="12.75">
      <c r="E11" s="43"/>
    </row>
    <row r="13" spans="1:23" ht="12" thickBot="1"/>
    <row r="14" spans="1:23" ht="13.5" thickBot="1">
      <c r="C14" s="1000"/>
      <c r="D14" s="1001"/>
      <c r="E14" s="997" t="s">
        <v>386</v>
      </c>
      <c r="F14" s="1002"/>
      <c r="G14" s="1001"/>
      <c r="H14" s="47"/>
      <c r="I14" s="47"/>
    </row>
    <row r="15" spans="1:23" ht="13.5" thickBot="1">
      <c r="C15" s="46"/>
      <c r="D15" s="47"/>
      <c r="E15" s="47"/>
      <c r="F15" s="47"/>
      <c r="G15" s="47"/>
      <c r="H15" s="47"/>
      <c r="I15" s="47"/>
    </row>
    <row r="16" spans="1:23" ht="12.75">
      <c r="B16" s="94"/>
      <c r="C16" s="191">
        <v>1994</v>
      </c>
      <c r="D16" s="191">
        <v>1995</v>
      </c>
      <c r="E16" s="191">
        <v>1996</v>
      </c>
      <c r="F16" s="191">
        <v>1997</v>
      </c>
      <c r="G16" s="199">
        <v>1998</v>
      </c>
      <c r="H16" s="191">
        <v>1999</v>
      </c>
      <c r="I16" s="191">
        <v>2000</v>
      </c>
      <c r="J16" s="191">
        <v>2001</v>
      </c>
      <c r="K16" s="191">
        <v>2002</v>
      </c>
      <c r="L16" s="191">
        <v>2003</v>
      </c>
      <c r="M16" s="191">
        <v>2004</v>
      </c>
      <c r="N16" s="191">
        <v>2005</v>
      </c>
      <c r="O16" s="191">
        <v>2006</v>
      </c>
      <c r="P16" s="200">
        <v>2007</v>
      </c>
      <c r="Q16" s="191">
        <v>2008</v>
      </c>
      <c r="R16" s="191">
        <v>2009</v>
      </c>
      <c r="S16" s="192">
        <v>2010</v>
      </c>
      <c r="T16" s="199">
        <v>2011</v>
      </c>
      <c r="U16" s="199">
        <v>2012</v>
      </c>
      <c r="V16" s="199">
        <v>2013</v>
      </c>
      <c r="W16" s="676">
        <v>2014</v>
      </c>
    </row>
    <row r="17" spans="2:23" ht="12.75">
      <c r="B17" s="95" t="s">
        <v>1102</v>
      </c>
      <c r="C17" s="201">
        <v>25624758</v>
      </c>
      <c r="D17" s="201">
        <v>27595256</v>
      </c>
      <c r="E17" s="201">
        <v>27992005</v>
      </c>
      <c r="F17" s="201">
        <v>27620925</v>
      </c>
      <c r="G17" s="201">
        <v>29294727</v>
      </c>
      <c r="H17" s="201">
        <v>29687655</v>
      </c>
      <c r="I17" s="201">
        <v>29451065</v>
      </c>
      <c r="J17" s="201">
        <v>28379409</v>
      </c>
      <c r="K17" s="201">
        <v>28712053</v>
      </c>
      <c r="L17" s="201">
        <v>29939086</v>
      </c>
      <c r="M17" s="201">
        <v>29195458</v>
      </c>
      <c r="N17" s="201">
        <v>29302792</v>
      </c>
      <c r="O17" s="201">
        <v>29408022</v>
      </c>
      <c r="P17" s="201">
        <v>29699186</v>
      </c>
      <c r="Q17" s="201">
        <v>27218239</v>
      </c>
      <c r="R17" s="38">
        <v>24162345</v>
      </c>
      <c r="S17" s="30">
        <v>23668204</v>
      </c>
      <c r="T17" s="30">
        <v>21186919</v>
      </c>
      <c r="U17" s="30">
        <v>16184773</v>
      </c>
      <c r="V17" s="30">
        <v>15538469</v>
      </c>
      <c r="W17" s="2838">
        <v>17603291</v>
      </c>
    </row>
    <row r="18" spans="2:23" ht="12.75">
      <c r="B18" s="95" t="s">
        <v>1103</v>
      </c>
      <c r="C18" s="201">
        <v>4275226</v>
      </c>
      <c r="D18" s="201">
        <v>1479469</v>
      </c>
      <c r="E18" s="201">
        <v>1472027</v>
      </c>
      <c r="F18" s="201">
        <v>1565010</v>
      </c>
      <c r="G18" s="201">
        <v>3454350</v>
      </c>
      <c r="H18" s="201">
        <v>4290788</v>
      </c>
      <c r="I18" s="201">
        <v>2388595</v>
      </c>
      <c r="J18" s="201">
        <v>3021639</v>
      </c>
      <c r="K18" s="201">
        <v>2282432</v>
      </c>
      <c r="L18" s="201">
        <v>3572183</v>
      </c>
      <c r="M18" s="201">
        <v>3296842</v>
      </c>
      <c r="N18" s="201">
        <v>3805569</v>
      </c>
      <c r="O18" s="201">
        <v>580726</v>
      </c>
      <c r="P18" s="201">
        <v>984831</v>
      </c>
      <c r="Q18" s="201">
        <v>405840</v>
      </c>
      <c r="R18" s="38">
        <v>329901</v>
      </c>
      <c r="S18" s="30">
        <v>322438</v>
      </c>
      <c r="T18" s="30">
        <v>219804</v>
      </c>
      <c r="U18" s="30">
        <v>137305</v>
      </c>
      <c r="V18" s="30">
        <v>189553</v>
      </c>
      <c r="W18" s="2838">
        <v>463456</v>
      </c>
    </row>
    <row r="19" spans="2:23" ht="12.75">
      <c r="B19" s="95" t="s">
        <v>1104</v>
      </c>
      <c r="C19" s="201">
        <v>1172042</v>
      </c>
      <c r="D19" s="201">
        <v>1548884</v>
      </c>
      <c r="E19" s="201">
        <v>987627</v>
      </c>
      <c r="F19" s="201">
        <v>1412585</v>
      </c>
      <c r="G19" s="201">
        <v>1990596</v>
      </c>
      <c r="H19" s="201">
        <v>2125193</v>
      </c>
      <c r="I19" s="201">
        <v>2852876</v>
      </c>
      <c r="J19" s="201">
        <v>1760812</v>
      </c>
      <c r="K19" s="201">
        <v>2214431</v>
      </c>
      <c r="L19" s="201">
        <v>1195642</v>
      </c>
      <c r="M19" s="201">
        <v>1183301</v>
      </c>
      <c r="N19" s="201">
        <v>1886986</v>
      </c>
      <c r="O19" s="201">
        <v>1770206</v>
      </c>
      <c r="P19" s="201">
        <v>2240927</v>
      </c>
      <c r="Q19" s="201">
        <v>1848147</v>
      </c>
      <c r="R19" s="38">
        <v>1767844</v>
      </c>
      <c r="S19" s="30">
        <v>2896978</v>
      </c>
      <c r="T19" s="30">
        <v>2236976</v>
      </c>
      <c r="U19" s="30">
        <v>4944895</v>
      </c>
      <c r="V19" s="30">
        <v>2887589</v>
      </c>
      <c r="W19" s="2838">
        <v>2505890</v>
      </c>
    </row>
    <row r="20" spans="2:23" ht="12.75">
      <c r="B20" s="95" t="s">
        <v>162</v>
      </c>
      <c r="C20" s="201">
        <v>501762</v>
      </c>
      <c r="D20" s="201">
        <v>685721</v>
      </c>
      <c r="E20" s="201">
        <v>539335</v>
      </c>
      <c r="F20" s="201">
        <v>564036</v>
      </c>
      <c r="G20" s="201">
        <v>82316</v>
      </c>
      <c r="H20" s="201">
        <v>59891</v>
      </c>
      <c r="I20" s="201">
        <v>74572</v>
      </c>
      <c r="J20" s="201">
        <v>439980</v>
      </c>
      <c r="K20" s="201">
        <v>504513</v>
      </c>
      <c r="L20" s="201">
        <v>325355</v>
      </c>
      <c r="M20" s="201">
        <v>411565</v>
      </c>
      <c r="N20" s="201">
        <v>342466</v>
      </c>
      <c r="O20" s="201">
        <v>332444</v>
      </c>
      <c r="P20" s="201">
        <v>377560</v>
      </c>
      <c r="Q20" s="201">
        <v>337823</v>
      </c>
      <c r="R20" s="38">
        <v>269182</v>
      </c>
      <c r="S20" s="30">
        <v>214727</v>
      </c>
      <c r="T20" s="30">
        <v>154641</v>
      </c>
      <c r="U20" s="30">
        <v>112314</v>
      </c>
      <c r="V20" s="30">
        <v>0</v>
      </c>
      <c r="W20" s="2838">
        <v>0</v>
      </c>
    </row>
    <row r="21" spans="2:23" ht="12.75">
      <c r="B21" s="95" t="s">
        <v>163</v>
      </c>
      <c r="C21" s="201">
        <v>11235408</v>
      </c>
      <c r="D21" s="201">
        <v>12937971</v>
      </c>
      <c r="E21" s="201">
        <v>12092768</v>
      </c>
      <c r="F21" s="201">
        <v>13212967</v>
      </c>
      <c r="G21" s="201">
        <v>13330598</v>
      </c>
      <c r="H21" s="201">
        <v>13312335</v>
      </c>
      <c r="I21" s="201">
        <v>13827243</v>
      </c>
      <c r="J21" s="201">
        <v>13656267</v>
      </c>
      <c r="K21" s="201">
        <v>12128005</v>
      </c>
      <c r="L21" s="201">
        <v>13690713</v>
      </c>
      <c r="M21" s="201">
        <v>14580260</v>
      </c>
      <c r="N21" s="201">
        <v>14703221</v>
      </c>
      <c r="O21" s="201">
        <v>13830411</v>
      </c>
      <c r="P21" s="201">
        <v>14353192</v>
      </c>
      <c r="Q21" s="201">
        <v>14678695</v>
      </c>
      <c r="R21" s="38">
        <v>14550119</v>
      </c>
      <c r="S21" s="30">
        <v>13993948</v>
      </c>
      <c r="T21" s="30">
        <v>14397437</v>
      </c>
      <c r="U21" s="30">
        <v>13579266</v>
      </c>
      <c r="V21" s="30">
        <v>14264305</v>
      </c>
      <c r="W21" s="2838">
        <v>14343334</v>
      </c>
    </row>
    <row r="22" spans="2:23" ht="12.75">
      <c r="B22" s="95" t="s">
        <v>164</v>
      </c>
      <c r="C22" s="201">
        <v>2009536</v>
      </c>
      <c r="D22" s="201">
        <v>1442006</v>
      </c>
      <c r="E22" s="201">
        <v>2457463</v>
      </c>
      <c r="F22" s="201">
        <v>1588375</v>
      </c>
      <c r="G22" s="201">
        <v>1739737</v>
      </c>
      <c r="H22" s="201">
        <v>1424197</v>
      </c>
      <c r="I22" s="201">
        <v>1732619</v>
      </c>
      <c r="J22" s="201">
        <v>1183518</v>
      </c>
      <c r="K22" s="201">
        <v>1660989</v>
      </c>
      <c r="L22" s="201">
        <v>2646984</v>
      </c>
      <c r="M22" s="201">
        <v>2507521</v>
      </c>
      <c r="N22" s="201">
        <v>1703639</v>
      </c>
      <c r="O22" s="201">
        <v>2104275</v>
      </c>
      <c r="P22" s="201">
        <v>1652216</v>
      </c>
      <c r="Q22" s="201">
        <v>1974078</v>
      </c>
      <c r="R22" s="38">
        <v>1888769</v>
      </c>
      <c r="S22" s="30">
        <v>1667397</v>
      </c>
      <c r="T22" s="30">
        <v>2540908</v>
      </c>
      <c r="U22" s="30">
        <v>1656539</v>
      </c>
      <c r="V22" s="30">
        <v>1727020</v>
      </c>
      <c r="W22" s="2838">
        <v>1615523</v>
      </c>
    </row>
    <row r="23" spans="2:23" ht="12.75">
      <c r="B23" s="95" t="s">
        <v>179</v>
      </c>
      <c r="C23" s="201"/>
      <c r="D23" s="201"/>
      <c r="E23" s="201"/>
      <c r="F23" s="201"/>
      <c r="G23" s="201"/>
      <c r="H23" s="201"/>
      <c r="I23" s="201"/>
      <c r="J23" s="201"/>
      <c r="K23" s="201"/>
      <c r="L23" s="201"/>
      <c r="M23" s="201"/>
      <c r="N23" s="201"/>
      <c r="O23" s="201"/>
      <c r="P23" s="201"/>
      <c r="Q23" s="201"/>
      <c r="R23" s="38"/>
      <c r="S23" s="30">
        <v>1494</v>
      </c>
      <c r="T23" s="30">
        <v>319254</v>
      </c>
      <c r="U23" s="30">
        <v>321687</v>
      </c>
      <c r="V23" s="30">
        <v>321670</v>
      </c>
      <c r="W23" s="2838">
        <v>323612</v>
      </c>
    </row>
    <row r="24" spans="2:23" ht="12.75">
      <c r="B24" s="95" t="s">
        <v>172</v>
      </c>
      <c r="C24" s="201"/>
      <c r="D24" s="201"/>
      <c r="E24" s="201"/>
      <c r="F24" s="201"/>
      <c r="G24" s="201"/>
      <c r="H24" s="201"/>
      <c r="I24" s="201"/>
      <c r="J24" s="201"/>
      <c r="K24" s="201"/>
      <c r="L24" s="201"/>
      <c r="M24" s="201"/>
      <c r="N24" s="201"/>
      <c r="O24" s="201"/>
      <c r="P24" s="201"/>
      <c r="Q24" s="201"/>
      <c r="R24" s="38"/>
      <c r="S24" s="30">
        <v>80</v>
      </c>
      <c r="T24" s="30">
        <v>2070</v>
      </c>
      <c r="U24" s="30">
        <v>22473</v>
      </c>
      <c r="V24" s="30">
        <v>63485</v>
      </c>
      <c r="W24" s="2838">
        <v>98118</v>
      </c>
    </row>
    <row r="25" spans="2:23" ht="12.75">
      <c r="B25" s="95" t="s">
        <v>165</v>
      </c>
      <c r="C25" s="201">
        <v>168822</v>
      </c>
      <c r="D25" s="201">
        <v>175144</v>
      </c>
      <c r="E25" s="201">
        <v>167554</v>
      </c>
      <c r="F25" s="201">
        <v>155906</v>
      </c>
      <c r="G25" s="201">
        <v>155647</v>
      </c>
      <c r="H25" s="201">
        <v>171088</v>
      </c>
      <c r="I25" s="201">
        <v>179580</v>
      </c>
      <c r="J25" s="201">
        <v>11939</v>
      </c>
      <c r="K25" s="201">
        <v>182904</v>
      </c>
      <c r="L25" s="201">
        <v>225240</v>
      </c>
      <c r="M25" s="201">
        <v>192384</v>
      </c>
      <c r="N25" s="201">
        <v>205985</v>
      </c>
      <c r="O25" s="201">
        <v>218066</v>
      </c>
      <c r="P25" s="201">
        <v>203097</v>
      </c>
      <c r="Q25" s="201">
        <v>197704</v>
      </c>
      <c r="R25" s="38">
        <v>175058</v>
      </c>
      <c r="S25" s="30">
        <v>164688</v>
      </c>
      <c r="T25" s="30">
        <v>167437</v>
      </c>
      <c r="U25" s="30">
        <v>158953</v>
      </c>
      <c r="V25" s="30">
        <v>142789</v>
      </c>
      <c r="W25" s="2838">
        <v>150426</v>
      </c>
    </row>
    <row r="26" spans="2:23" ht="12.75">
      <c r="B26" s="95" t="s">
        <v>166</v>
      </c>
      <c r="C26" s="201">
        <v>352064</v>
      </c>
      <c r="D26" s="201">
        <v>501192</v>
      </c>
      <c r="E26" s="201">
        <v>565838</v>
      </c>
      <c r="F26" s="201">
        <v>587592</v>
      </c>
      <c r="G26" s="201">
        <v>605046</v>
      </c>
      <c r="H26" s="201">
        <v>614474</v>
      </c>
      <c r="I26" s="201">
        <v>638830</v>
      </c>
      <c r="J26" s="201">
        <v>361076</v>
      </c>
      <c r="K26" s="201">
        <v>338727</v>
      </c>
      <c r="L26" s="201">
        <v>370811</v>
      </c>
      <c r="M26" s="201">
        <v>396824</v>
      </c>
      <c r="N26" s="201">
        <v>417380</v>
      </c>
      <c r="O26" s="201">
        <v>408095</v>
      </c>
      <c r="P26" s="201">
        <v>400364</v>
      </c>
      <c r="Q26" s="201">
        <v>414781</v>
      </c>
      <c r="R26" s="38">
        <v>375721</v>
      </c>
      <c r="S26" s="30">
        <v>407402</v>
      </c>
      <c r="T26" s="30">
        <v>420114</v>
      </c>
      <c r="U26" s="30">
        <v>395039</v>
      </c>
      <c r="V26" s="30">
        <v>413220</v>
      </c>
      <c r="W26" s="2838">
        <v>416719</v>
      </c>
    </row>
    <row r="27" spans="2:23" ht="13.5" thickBot="1">
      <c r="B27" s="202" t="s">
        <v>187</v>
      </c>
      <c r="C27" s="203"/>
      <c r="D27" s="203"/>
      <c r="E27" s="203"/>
      <c r="F27" s="203"/>
      <c r="G27" s="203"/>
      <c r="H27" s="203"/>
      <c r="I27" s="203"/>
      <c r="J27" s="204">
        <v>247700</v>
      </c>
      <c r="K27" s="204">
        <v>255034</v>
      </c>
      <c r="L27" s="204">
        <v>278224</v>
      </c>
      <c r="M27" s="204">
        <v>288616</v>
      </c>
      <c r="N27" s="204">
        <v>293561</v>
      </c>
      <c r="O27" s="204">
        <v>304635</v>
      </c>
      <c r="P27" s="204">
        <v>286550</v>
      </c>
      <c r="Q27" s="1918">
        <v>285645</v>
      </c>
      <c r="R27" s="1919">
        <v>255893</v>
      </c>
      <c r="S27" s="1920">
        <v>269907</v>
      </c>
      <c r="T27" s="1920">
        <v>267727</v>
      </c>
      <c r="U27" s="1920">
        <v>296499</v>
      </c>
      <c r="V27" s="1920">
        <v>302712</v>
      </c>
      <c r="W27" s="2839">
        <v>313284</v>
      </c>
    </row>
    <row r="28" spans="2:23" ht="13.5" thickBot="1">
      <c r="B28" s="205" t="s">
        <v>194</v>
      </c>
      <c r="C28" s="206">
        <v>45339618</v>
      </c>
      <c r="D28" s="206">
        <v>46365643</v>
      </c>
      <c r="E28" s="206">
        <v>46274617</v>
      </c>
      <c r="F28" s="207">
        <v>46707396</v>
      </c>
      <c r="G28" s="206">
        <v>50653017</v>
      </c>
      <c r="H28" s="206">
        <v>51685621</v>
      </c>
      <c r="I28" s="206">
        <v>51145380</v>
      </c>
      <c r="J28" s="206">
        <v>49062340</v>
      </c>
      <c r="K28" s="206">
        <v>48279088</v>
      </c>
      <c r="L28" s="206">
        <v>52244237</v>
      </c>
      <c r="M28" s="206">
        <v>52052770</v>
      </c>
      <c r="N28" s="206">
        <v>52661600</v>
      </c>
      <c r="O28" s="206">
        <v>48956880</v>
      </c>
      <c r="P28" s="206">
        <v>50197924</v>
      </c>
      <c r="Q28" s="206">
        <v>47360953</v>
      </c>
      <c r="R28" s="1917">
        <f>SUM(R17:R27)</f>
        <v>43774832</v>
      </c>
      <c r="S28" s="1917">
        <v>43607266</v>
      </c>
      <c r="T28" s="1921">
        <f>SUM(T17:T27)</f>
        <v>41913287</v>
      </c>
      <c r="U28" s="2683">
        <f>SUM(U17:U27)</f>
        <v>37809743</v>
      </c>
      <c r="V28" s="2683">
        <f>SUM(V17:V27)</f>
        <v>35850812</v>
      </c>
      <c r="W28" s="2840">
        <f>SUM(W17:W27)</f>
        <v>37833653</v>
      </c>
    </row>
    <row r="29" spans="2:23" ht="12" thickBot="1"/>
    <row r="30" spans="2:23" ht="13.5" thickBot="1">
      <c r="C30" s="997" t="s">
        <v>491</v>
      </c>
      <c r="D30" s="1003"/>
      <c r="E30" s="1003"/>
      <c r="F30" s="1003"/>
      <c r="G30" s="1004"/>
      <c r="H30" s="50"/>
      <c r="I30" s="50"/>
      <c r="V30" s="675"/>
    </row>
    <row r="31" spans="2:23" ht="13.5" thickBot="1">
      <c r="C31" s="49"/>
      <c r="D31" s="50"/>
      <c r="E31" s="50"/>
      <c r="F31" s="50"/>
      <c r="G31" s="50"/>
      <c r="H31" s="50"/>
      <c r="I31" s="50"/>
    </row>
    <row r="32" spans="2:23" ht="12.75">
      <c r="B32" s="94"/>
      <c r="C32" s="191">
        <v>1994</v>
      </c>
      <c r="D32" s="191">
        <v>1995</v>
      </c>
      <c r="E32" s="191">
        <v>1996</v>
      </c>
      <c r="F32" s="191">
        <v>1997</v>
      </c>
      <c r="G32" s="199">
        <v>1998</v>
      </c>
      <c r="H32" s="191">
        <v>1999</v>
      </c>
      <c r="I32" s="191">
        <v>2000</v>
      </c>
      <c r="J32" s="191">
        <v>2001</v>
      </c>
      <c r="K32" s="191">
        <v>2002</v>
      </c>
      <c r="L32" s="191">
        <v>2003</v>
      </c>
      <c r="M32" s="191">
        <v>2004</v>
      </c>
      <c r="N32" s="191">
        <v>2005</v>
      </c>
      <c r="O32" s="191">
        <v>2006</v>
      </c>
      <c r="P32" s="191">
        <v>2007</v>
      </c>
      <c r="Q32" s="191">
        <v>2008</v>
      </c>
      <c r="R32" s="191">
        <v>2009</v>
      </c>
      <c r="S32" s="199">
        <v>2010</v>
      </c>
      <c r="T32" s="199">
        <v>2011</v>
      </c>
      <c r="U32" s="199">
        <v>2012</v>
      </c>
      <c r="V32" s="199">
        <v>2013</v>
      </c>
      <c r="W32" s="676">
        <v>2014</v>
      </c>
    </row>
    <row r="33" spans="2:23" ht="12" thickBot="1">
      <c r="B33" s="1552" t="s">
        <v>167</v>
      </c>
      <c r="C33" s="1913">
        <f t="shared" ref="C33:S33" si="0">C28*6.25%</f>
        <v>2833726.125</v>
      </c>
      <c r="D33" s="1913">
        <f t="shared" si="0"/>
        <v>2897852.6875</v>
      </c>
      <c r="E33" s="1913">
        <f t="shared" si="0"/>
        <v>2892163.5625</v>
      </c>
      <c r="F33" s="1913">
        <f t="shared" si="0"/>
        <v>2919212.25</v>
      </c>
      <c r="G33" s="1913">
        <f t="shared" si="0"/>
        <v>3165813.5625</v>
      </c>
      <c r="H33" s="1913">
        <f t="shared" si="0"/>
        <v>3230351.3125</v>
      </c>
      <c r="I33" s="1913">
        <f t="shared" si="0"/>
        <v>3196586.25</v>
      </c>
      <c r="J33" s="1913">
        <f t="shared" si="0"/>
        <v>3066396.25</v>
      </c>
      <c r="K33" s="1913">
        <f t="shared" si="0"/>
        <v>3017443</v>
      </c>
      <c r="L33" s="1913">
        <f t="shared" si="0"/>
        <v>3265264.8125</v>
      </c>
      <c r="M33" s="1913">
        <f t="shared" si="0"/>
        <v>3253298.125</v>
      </c>
      <c r="N33" s="1913">
        <f t="shared" si="0"/>
        <v>3291350</v>
      </c>
      <c r="O33" s="1913">
        <f t="shared" si="0"/>
        <v>3059805</v>
      </c>
      <c r="P33" s="1913">
        <f t="shared" si="0"/>
        <v>3137370.25</v>
      </c>
      <c r="Q33" s="1913">
        <f t="shared" si="0"/>
        <v>2960059.5625</v>
      </c>
      <c r="R33" s="1913">
        <f t="shared" si="0"/>
        <v>2735927</v>
      </c>
      <c r="S33" s="1913">
        <f t="shared" si="0"/>
        <v>2725454.125</v>
      </c>
      <c r="T33" s="1913">
        <f>T28*6.25%</f>
        <v>2619580.4375</v>
      </c>
      <c r="U33" s="1913">
        <f>U28*6.25%</f>
        <v>2363108.9375</v>
      </c>
      <c r="V33" s="1913">
        <f>V28*6.25%</f>
        <v>2240675.75</v>
      </c>
      <c r="W33" s="1913">
        <f>W28*6.25%</f>
        <v>2364603.3125</v>
      </c>
    </row>
    <row r="34" spans="2:23" ht="12.75">
      <c r="C34" s="49"/>
      <c r="D34" s="50"/>
      <c r="E34" s="50"/>
      <c r="F34" s="50"/>
      <c r="G34" s="50"/>
      <c r="H34" s="50"/>
      <c r="I34" s="50"/>
    </row>
    <row r="35" spans="2:23" ht="12" thickBot="1"/>
    <row r="36" spans="2:23" ht="13.5" thickBot="1">
      <c r="C36" s="1005" t="s">
        <v>389</v>
      </c>
      <c r="D36" s="1007"/>
      <c r="E36" s="1007"/>
      <c r="F36" s="1007"/>
      <c r="G36" s="1007"/>
      <c r="H36" s="1008"/>
      <c r="I36" s="188"/>
      <c r="J36" s="188"/>
      <c r="K36" s="188"/>
    </row>
    <row r="37" spans="2:23" ht="12.75">
      <c r="C37" s="189"/>
      <c r="D37" s="188"/>
      <c r="E37" s="188"/>
      <c r="F37" s="188"/>
      <c r="G37" s="188"/>
      <c r="H37" s="188"/>
      <c r="I37" s="188"/>
      <c r="J37" s="188"/>
      <c r="K37" s="188"/>
    </row>
    <row r="38" spans="2:23" ht="12" thickBot="1"/>
    <row r="39" spans="2:23" ht="12.75">
      <c r="B39" s="94"/>
      <c r="C39" s="191">
        <v>1994</v>
      </c>
      <c r="D39" s="191">
        <v>1995</v>
      </c>
      <c r="E39" s="191">
        <v>1996</v>
      </c>
      <c r="F39" s="191">
        <v>1997</v>
      </c>
      <c r="G39" s="199">
        <v>1998</v>
      </c>
      <c r="H39" s="191">
        <v>1999</v>
      </c>
      <c r="I39" s="191">
        <v>2000</v>
      </c>
      <c r="J39" s="191">
        <v>2001</v>
      </c>
      <c r="K39" s="191">
        <v>2002</v>
      </c>
      <c r="L39" s="191">
        <v>2003</v>
      </c>
      <c r="M39" s="191">
        <v>2004</v>
      </c>
      <c r="N39" s="191">
        <v>2005</v>
      </c>
      <c r="O39" s="191">
        <v>2006</v>
      </c>
      <c r="P39" s="191">
        <v>2007</v>
      </c>
      <c r="Q39" s="191">
        <v>2008</v>
      </c>
      <c r="R39" s="191">
        <v>2009</v>
      </c>
      <c r="S39" s="199">
        <v>2010</v>
      </c>
      <c r="T39" s="199">
        <v>2011</v>
      </c>
      <c r="U39" s="199">
        <v>2012</v>
      </c>
      <c r="V39" s="199">
        <v>2013</v>
      </c>
      <c r="W39" s="676">
        <v>2014</v>
      </c>
    </row>
    <row r="40" spans="2:23" ht="12" thickBot="1">
      <c r="B40" s="1552" t="s">
        <v>168</v>
      </c>
      <c r="C40" s="1913">
        <f t="shared" ref="C40:S40" si="1">C28-C33</f>
        <v>42505891.875</v>
      </c>
      <c r="D40" s="1913">
        <f t="shared" si="1"/>
        <v>43467790.3125</v>
      </c>
      <c r="E40" s="1913">
        <f t="shared" si="1"/>
        <v>43382453.4375</v>
      </c>
      <c r="F40" s="1913">
        <f t="shared" si="1"/>
        <v>43788183.75</v>
      </c>
      <c r="G40" s="1913">
        <f t="shared" si="1"/>
        <v>47487203.4375</v>
      </c>
      <c r="H40" s="1913">
        <f t="shared" si="1"/>
        <v>48455269.6875</v>
      </c>
      <c r="I40" s="1913">
        <f t="shared" si="1"/>
        <v>47948793.75</v>
      </c>
      <c r="J40" s="1913">
        <f t="shared" si="1"/>
        <v>45995943.75</v>
      </c>
      <c r="K40" s="1913">
        <f t="shared" si="1"/>
        <v>45261645</v>
      </c>
      <c r="L40" s="1913">
        <f t="shared" si="1"/>
        <v>48978972.1875</v>
      </c>
      <c r="M40" s="1913">
        <f t="shared" si="1"/>
        <v>48799471.875</v>
      </c>
      <c r="N40" s="1913">
        <f t="shared" si="1"/>
        <v>49370250</v>
      </c>
      <c r="O40" s="1913">
        <f t="shared" si="1"/>
        <v>45897075</v>
      </c>
      <c r="P40" s="1913">
        <f t="shared" si="1"/>
        <v>47060553.75</v>
      </c>
      <c r="Q40" s="1913">
        <f t="shared" si="1"/>
        <v>44400893.4375</v>
      </c>
      <c r="R40" s="1913">
        <f t="shared" si="1"/>
        <v>41038905</v>
      </c>
      <c r="S40" s="1913">
        <f t="shared" si="1"/>
        <v>40881811.875</v>
      </c>
      <c r="T40" s="1913">
        <f>T28-T33</f>
        <v>39293706.5625</v>
      </c>
      <c r="U40" s="1913">
        <f>U28-U33</f>
        <v>35446634.0625</v>
      </c>
      <c r="V40" s="1913">
        <f>V28-V33</f>
        <v>33610136.25</v>
      </c>
      <c r="W40" s="1913">
        <f>W28-W33</f>
        <v>35469049.6875</v>
      </c>
    </row>
    <row r="42" spans="2:23" ht="12" thickBot="1">
      <c r="C42" s="13"/>
    </row>
    <row r="43" spans="2:23" ht="13.5" thickBot="1">
      <c r="C43" s="1009" t="s">
        <v>169</v>
      </c>
      <c r="D43" s="1010"/>
      <c r="E43" s="1011"/>
      <c r="F43" s="51"/>
      <c r="G43" s="51"/>
      <c r="H43" s="51"/>
      <c r="I43" s="51"/>
    </row>
    <row r="44" spans="2:23" ht="12" thickBot="1"/>
    <row r="45" spans="2:23" ht="12.75">
      <c r="B45" s="94"/>
      <c r="C45" s="191">
        <v>1994</v>
      </c>
      <c r="D45" s="191">
        <v>1995</v>
      </c>
      <c r="E45" s="191">
        <v>1996</v>
      </c>
      <c r="F45" s="191">
        <v>1997</v>
      </c>
      <c r="G45" s="199">
        <v>1998</v>
      </c>
      <c r="H45" s="191">
        <v>1999</v>
      </c>
      <c r="I45" s="191">
        <v>2000</v>
      </c>
      <c r="J45" s="191">
        <v>2001</v>
      </c>
      <c r="K45" s="191">
        <v>2002</v>
      </c>
      <c r="L45" s="191">
        <v>2003</v>
      </c>
      <c r="M45" s="191">
        <v>2004</v>
      </c>
      <c r="N45" s="191">
        <v>2005</v>
      </c>
      <c r="O45" s="191">
        <v>2006</v>
      </c>
      <c r="P45" s="200">
        <v>2007</v>
      </c>
      <c r="Q45" s="191">
        <v>2008</v>
      </c>
      <c r="R45" s="191">
        <v>2009</v>
      </c>
      <c r="S45" s="192">
        <v>2010</v>
      </c>
      <c r="T45" s="192">
        <v>2011</v>
      </c>
      <c r="U45" s="564">
        <v>2012</v>
      </c>
      <c r="V45" s="564">
        <v>2013</v>
      </c>
      <c r="W45" s="1916">
        <v>2014</v>
      </c>
    </row>
    <row r="46" spans="2:23">
      <c r="B46" s="1915" t="s">
        <v>1101</v>
      </c>
      <c r="C46" s="2684">
        <v>21666119</v>
      </c>
      <c r="D46" s="2685">
        <v>22233807</v>
      </c>
      <c r="E46" s="2684">
        <v>22985772</v>
      </c>
      <c r="F46" s="2685">
        <v>21936662</v>
      </c>
      <c r="G46" s="2684">
        <v>22406855</v>
      </c>
      <c r="H46" s="2685">
        <v>23342423</v>
      </c>
      <c r="I46" s="559">
        <v>24294096</v>
      </c>
      <c r="J46" s="559">
        <v>25489053</v>
      </c>
      <c r="K46" s="559">
        <v>26671274</v>
      </c>
      <c r="L46" s="559">
        <v>27951978</v>
      </c>
      <c r="M46" s="559">
        <v>28439645</v>
      </c>
      <c r="N46" s="559">
        <v>26905386</v>
      </c>
      <c r="O46" s="559">
        <v>28194802</v>
      </c>
      <c r="P46" s="559">
        <v>27144255</v>
      </c>
      <c r="Q46" s="681">
        <v>26839241</v>
      </c>
      <c r="R46" s="2686">
        <v>26944566</v>
      </c>
      <c r="S46" s="2686">
        <v>28934074</v>
      </c>
      <c r="T46" s="681">
        <v>27295675</v>
      </c>
      <c r="U46" s="559">
        <v>26678158</v>
      </c>
      <c r="V46" s="559">
        <v>27448367</v>
      </c>
      <c r="W46" s="2837">
        <v>27487633</v>
      </c>
    </row>
    <row r="47" spans="2:23">
      <c r="B47" s="95" t="s">
        <v>1105</v>
      </c>
      <c r="C47" s="2684">
        <v>13253588</v>
      </c>
      <c r="D47" s="2684">
        <v>23096405</v>
      </c>
      <c r="E47" s="2684">
        <v>23126094</v>
      </c>
      <c r="F47" s="2684">
        <v>23418552</v>
      </c>
      <c r="G47" s="2684">
        <v>24284167</v>
      </c>
      <c r="H47" s="2684">
        <v>24988489</v>
      </c>
      <c r="I47" s="559">
        <v>26243614</v>
      </c>
      <c r="J47" s="559">
        <v>21044289</v>
      </c>
      <c r="K47" s="559">
        <v>16950347</v>
      </c>
      <c r="L47" s="559">
        <v>17264135</v>
      </c>
      <c r="M47" s="559">
        <v>17931771</v>
      </c>
      <c r="N47" s="559">
        <v>29729030</v>
      </c>
      <c r="O47" s="559">
        <v>30691159</v>
      </c>
      <c r="P47" s="559">
        <v>30002993</v>
      </c>
      <c r="Q47" s="681">
        <v>29755144</v>
      </c>
      <c r="R47" s="2686">
        <v>29806001</v>
      </c>
      <c r="S47" s="2686">
        <v>30771317</v>
      </c>
      <c r="T47" s="681">
        <v>30749605</v>
      </c>
      <c r="U47" s="559">
        <v>30107526</v>
      </c>
      <c r="V47" s="559">
        <v>29966199</v>
      </c>
      <c r="W47" s="2837">
        <v>29804342</v>
      </c>
    </row>
    <row r="48" spans="2:23">
      <c r="B48" s="95" t="s">
        <v>1106</v>
      </c>
      <c r="C48" s="2684">
        <v>19037490</v>
      </c>
      <c r="D48" s="2684">
        <v>10057219</v>
      </c>
      <c r="E48" s="2684">
        <v>10098447</v>
      </c>
      <c r="F48" s="2684">
        <v>10127852</v>
      </c>
      <c r="G48" s="2684">
        <v>10343675</v>
      </c>
      <c r="H48" s="2684">
        <v>9936115</v>
      </c>
      <c r="I48" s="559">
        <v>10176724</v>
      </c>
      <c r="J48" s="559">
        <v>20874507</v>
      </c>
      <c r="K48" s="559">
        <v>27175526</v>
      </c>
      <c r="L48" s="559">
        <v>21194572</v>
      </c>
      <c r="M48" s="559">
        <v>21516638</v>
      </c>
      <c r="N48" s="559">
        <v>6057030</v>
      </c>
      <c r="O48" s="559">
        <v>5980358</v>
      </c>
      <c r="P48" s="559">
        <v>5649943</v>
      </c>
      <c r="Q48" s="681">
        <v>5255976</v>
      </c>
      <c r="R48" s="2686">
        <v>5285833</v>
      </c>
      <c r="S48" s="2686">
        <v>5083115</v>
      </c>
      <c r="T48" s="681">
        <v>5007386</v>
      </c>
      <c r="U48" s="559">
        <v>4499827</v>
      </c>
      <c r="V48" s="559">
        <v>3943942</v>
      </c>
      <c r="W48" s="2837">
        <v>3847954</v>
      </c>
    </row>
    <row r="49" spans="2:24">
      <c r="B49" s="95" t="s">
        <v>183</v>
      </c>
      <c r="C49" s="2684">
        <v>0</v>
      </c>
      <c r="D49" s="2684">
        <v>0</v>
      </c>
      <c r="E49" s="2684">
        <v>0</v>
      </c>
      <c r="F49" s="2684">
        <v>0</v>
      </c>
      <c r="G49" s="2684">
        <v>0</v>
      </c>
      <c r="H49" s="2684">
        <v>0</v>
      </c>
      <c r="I49" s="559">
        <v>0</v>
      </c>
      <c r="J49" s="559">
        <v>0</v>
      </c>
      <c r="K49" s="559">
        <v>461436</v>
      </c>
      <c r="L49" s="559">
        <v>481015</v>
      </c>
      <c r="M49" s="559">
        <v>477331</v>
      </c>
      <c r="N49" s="559">
        <v>481697</v>
      </c>
      <c r="O49" s="559">
        <v>524341</v>
      </c>
      <c r="P49" s="559">
        <v>528586</v>
      </c>
      <c r="Q49" s="681">
        <v>552743</v>
      </c>
      <c r="R49" s="2686">
        <v>552743</v>
      </c>
      <c r="S49" s="2686">
        <v>546992</v>
      </c>
      <c r="T49" s="681">
        <v>547045</v>
      </c>
      <c r="U49" s="559">
        <v>528041</v>
      </c>
      <c r="V49" s="559">
        <v>540970</v>
      </c>
      <c r="W49" s="2837">
        <v>543940</v>
      </c>
    </row>
    <row r="50" spans="2:24">
      <c r="B50" s="95" t="s">
        <v>170</v>
      </c>
      <c r="C50" s="2684">
        <v>794428</v>
      </c>
      <c r="D50" s="2684">
        <v>770615</v>
      </c>
      <c r="E50" s="2684">
        <v>787207</v>
      </c>
      <c r="F50" s="2684">
        <v>781420</v>
      </c>
      <c r="G50" s="2684">
        <v>798935</v>
      </c>
      <c r="H50" s="2684">
        <v>819198</v>
      </c>
      <c r="I50" s="559">
        <v>925586</v>
      </c>
      <c r="J50" s="559">
        <v>972057</v>
      </c>
      <c r="K50" s="559">
        <v>0</v>
      </c>
      <c r="L50" s="559">
        <v>0</v>
      </c>
      <c r="M50" s="559">
        <v>0</v>
      </c>
      <c r="N50" s="559">
        <v>0</v>
      </c>
      <c r="O50" s="559">
        <v>0</v>
      </c>
      <c r="P50" s="559">
        <v>0</v>
      </c>
      <c r="Q50" s="681">
        <v>0</v>
      </c>
      <c r="R50" s="2686">
        <v>0</v>
      </c>
      <c r="S50" s="2686">
        <v>0</v>
      </c>
      <c r="T50" s="681">
        <v>0</v>
      </c>
      <c r="U50" s="559">
        <v>0</v>
      </c>
      <c r="V50" s="559">
        <v>0</v>
      </c>
      <c r="W50" s="2837">
        <v>0</v>
      </c>
    </row>
    <row r="51" spans="2:24">
      <c r="B51" s="1915" t="s">
        <v>387</v>
      </c>
      <c r="C51" s="2687">
        <v>54751623</v>
      </c>
      <c r="D51" s="2687">
        <v>56158046</v>
      </c>
      <c r="E51" s="2687">
        <v>56997520</v>
      </c>
      <c r="F51" s="2687">
        <v>56264486</v>
      </c>
      <c r="G51" s="2687">
        <v>57833638</v>
      </c>
      <c r="H51" s="2687">
        <v>59086225</v>
      </c>
      <c r="I51" s="2687">
        <v>60677801</v>
      </c>
      <c r="J51" s="2687">
        <v>61640020</v>
      </c>
      <c r="K51" s="2687">
        <v>68379906</v>
      </c>
      <c r="L51" s="2687">
        <v>71258583</v>
      </c>
      <c r="M51" s="2687">
        <v>66891700</v>
      </c>
      <c r="N51" s="2687">
        <v>68365385</v>
      </c>
      <c r="O51" s="2687">
        <v>63173143</v>
      </c>
      <c r="P51" s="2687">
        <v>65390660</v>
      </c>
      <c r="Q51" s="2687">
        <v>63325777</v>
      </c>
      <c r="R51" s="2687">
        <f>SUM(R46:R50)</f>
        <v>62589143</v>
      </c>
      <c r="S51" s="2687">
        <f>SUM(S46:S50)</f>
        <v>65335498</v>
      </c>
      <c r="T51" s="2687">
        <v>63599711</v>
      </c>
      <c r="U51" s="2687">
        <v>61813552</v>
      </c>
      <c r="V51" s="2687">
        <v>61899478</v>
      </c>
      <c r="W51" s="2841">
        <v>61683869</v>
      </c>
      <c r="X51" s="52"/>
    </row>
    <row r="52" spans="2:24" ht="12" thickBot="1">
      <c r="B52" s="1552" t="s">
        <v>388</v>
      </c>
      <c r="C52" s="2688">
        <f t="shared" ref="C52:S52" si="2">C51*1.0625</f>
        <v>58173599.4375</v>
      </c>
      <c r="D52" s="2688">
        <f t="shared" si="2"/>
        <v>59667923.875</v>
      </c>
      <c r="E52" s="2688">
        <f t="shared" si="2"/>
        <v>60559865</v>
      </c>
      <c r="F52" s="2688">
        <f t="shared" si="2"/>
        <v>59781016.375</v>
      </c>
      <c r="G52" s="2688">
        <f t="shared" si="2"/>
        <v>61448240.375</v>
      </c>
      <c r="H52" s="2688">
        <f t="shared" si="2"/>
        <v>62779114.0625</v>
      </c>
      <c r="I52" s="2688">
        <f t="shared" si="2"/>
        <v>64470163.5625</v>
      </c>
      <c r="J52" s="2688">
        <f t="shared" si="2"/>
        <v>65492521.25</v>
      </c>
      <c r="K52" s="2688">
        <f t="shared" si="2"/>
        <v>72653650.125</v>
      </c>
      <c r="L52" s="2688">
        <f t="shared" si="2"/>
        <v>75712244.4375</v>
      </c>
      <c r="M52" s="2688">
        <f t="shared" si="2"/>
        <v>71072431.25</v>
      </c>
      <c r="N52" s="2688">
        <f t="shared" si="2"/>
        <v>72638221.5625</v>
      </c>
      <c r="O52" s="2688">
        <f t="shared" si="2"/>
        <v>67121464.4375</v>
      </c>
      <c r="P52" s="2688">
        <f t="shared" si="2"/>
        <v>69477576.25</v>
      </c>
      <c r="Q52" s="2688">
        <f t="shared" si="2"/>
        <v>67283638.0625</v>
      </c>
      <c r="R52" s="2688">
        <f t="shared" si="2"/>
        <v>66500964.4375</v>
      </c>
      <c r="S52" s="2688">
        <f t="shared" si="2"/>
        <v>69418966.625</v>
      </c>
      <c r="T52" s="2688">
        <f>T51*1.0625</f>
        <v>67574692.9375</v>
      </c>
      <c r="U52" s="2688">
        <f>U51*1.0625</f>
        <v>65676899</v>
      </c>
      <c r="V52" s="2688">
        <f>V51*1.0625</f>
        <v>65768195.375</v>
      </c>
      <c r="W52" s="2842">
        <f>W51*1.0625</f>
        <v>65539110.8125</v>
      </c>
    </row>
    <row r="55" spans="2:24" ht="12" thickBot="1"/>
    <row r="56" spans="2:24" ht="13.5" thickBot="1">
      <c r="C56" s="1005" t="s">
        <v>390</v>
      </c>
      <c r="D56" s="1007"/>
      <c r="E56" s="1007"/>
      <c r="F56" s="1008"/>
      <c r="G56" s="1006"/>
      <c r="H56" s="1012"/>
    </row>
    <row r="57" spans="2:24" ht="12" thickBot="1"/>
    <row r="58" spans="2:24" ht="12.75">
      <c r="B58" s="94"/>
      <c r="C58" s="191">
        <v>1994</v>
      </c>
      <c r="D58" s="191">
        <v>1995</v>
      </c>
      <c r="E58" s="191">
        <v>1996</v>
      </c>
      <c r="F58" s="191">
        <v>1997</v>
      </c>
      <c r="G58" s="199">
        <v>1998</v>
      </c>
      <c r="H58" s="191">
        <v>1999</v>
      </c>
      <c r="I58" s="191">
        <v>2000</v>
      </c>
      <c r="J58" s="191">
        <v>2001</v>
      </c>
      <c r="K58" s="191">
        <v>2002</v>
      </c>
      <c r="L58" s="191">
        <v>2003</v>
      </c>
      <c r="M58" s="191">
        <v>2004</v>
      </c>
      <c r="N58" s="191">
        <v>2005</v>
      </c>
      <c r="O58" s="191">
        <v>2006</v>
      </c>
      <c r="P58" s="191">
        <v>2007</v>
      </c>
      <c r="Q58" s="191">
        <v>2008</v>
      </c>
      <c r="R58" s="191">
        <v>2009</v>
      </c>
      <c r="S58" s="199">
        <v>2010</v>
      </c>
      <c r="T58" s="199">
        <v>2011</v>
      </c>
      <c r="U58" s="199">
        <v>2012</v>
      </c>
      <c r="V58" s="199">
        <v>2013</v>
      </c>
      <c r="W58" s="676">
        <v>2014</v>
      </c>
    </row>
    <row r="59" spans="2:24" ht="12" thickBot="1">
      <c r="B59" s="728" t="s">
        <v>264</v>
      </c>
      <c r="C59" s="1912">
        <f t="shared" ref="C59:W59" si="3">C52-C28</f>
        <v>12833981.4375</v>
      </c>
      <c r="D59" s="1913">
        <f t="shared" si="3"/>
        <v>13302280.875</v>
      </c>
      <c r="E59" s="1913">
        <f t="shared" si="3"/>
        <v>14285248</v>
      </c>
      <c r="F59" s="1913">
        <f t="shared" si="3"/>
        <v>13073620.375</v>
      </c>
      <c r="G59" s="1913">
        <f t="shared" si="3"/>
        <v>10795223.375</v>
      </c>
      <c r="H59" s="1913">
        <f t="shared" si="3"/>
        <v>11093493.0625</v>
      </c>
      <c r="I59" s="1913">
        <f t="shared" si="3"/>
        <v>13324783.5625</v>
      </c>
      <c r="J59" s="1913">
        <f t="shared" si="3"/>
        <v>16430181.25</v>
      </c>
      <c r="K59" s="1913">
        <f t="shared" si="3"/>
        <v>24374562.125</v>
      </c>
      <c r="L59" s="1913">
        <f t="shared" si="3"/>
        <v>23468007.4375</v>
      </c>
      <c r="M59" s="1913">
        <f t="shared" si="3"/>
        <v>19019661.25</v>
      </c>
      <c r="N59" s="1913">
        <f t="shared" si="3"/>
        <v>19976621.5625</v>
      </c>
      <c r="O59" s="1913">
        <f t="shared" si="3"/>
        <v>18164584.4375</v>
      </c>
      <c r="P59" s="1913">
        <f t="shared" si="3"/>
        <v>19279652.25</v>
      </c>
      <c r="Q59" s="1913">
        <f t="shared" si="3"/>
        <v>19922685.0625</v>
      </c>
      <c r="R59" s="1913">
        <f t="shared" si="3"/>
        <v>22726132.4375</v>
      </c>
      <c r="S59" s="1913">
        <f t="shared" si="3"/>
        <v>25811700.625</v>
      </c>
      <c r="T59" s="1913">
        <f t="shared" si="3"/>
        <v>25661405.9375</v>
      </c>
      <c r="U59" s="1913">
        <f t="shared" si="3"/>
        <v>27867156</v>
      </c>
      <c r="V59" s="1913">
        <f>V52-V28</f>
        <v>29917383.375</v>
      </c>
      <c r="W59" s="1914">
        <f t="shared" si="3"/>
        <v>27705457.8125</v>
      </c>
    </row>
    <row r="61" spans="2:24" ht="12" thickBot="1">
      <c r="C61" s="52"/>
    </row>
    <row r="62" spans="2:24" ht="15" thickBot="1">
      <c r="E62" s="1930" t="s">
        <v>173</v>
      </c>
      <c r="F62" s="1931"/>
      <c r="G62" s="1932"/>
      <c r="I62" t="s">
        <v>174</v>
      </c>
      <c r="X62" s="2843">
        <f>W59/W52</f>
        <v>0.42273167073874696</v>
      </c>
    </row>
    <row r="63" spans="2:24" ht="12.75">
      <c r="E63" s="43"/>
      <c r="I63" t="s">
        <v>101</v>
      </c>
    </row>
    <row r="64" spans="2:24" ht="14.25">
      <c r="B64" s="43" t="s">
        <v>175</v>
      </c>
      <c r="E64" s="43"/>
      <c r="I64" s="52">
        <f>(B66*W59)/2000</f>
        <v>15344113.700296877</v>
      </c>
    </row>
    <row r="65" spans="2:14" ht="14.25">
      <c r="B65" t="s">
        <v>176</v>
      </c>
      <c r="E65" s="43"/>
    </row>
    <row r="66" spans="2:14" ht="12.75">
      <c r="B66" s="12">
        <v>1107.6600000000001</v>
      </c>
      <c r="E66" s="43"/>
    </row>
    <row r="67" spans="2:14" ht="12" thickBot="1"/>
    <row r="68" spans="2:14" ht="13.5">
      <c r="B68" s="686" t="s">
        <v>1110</v>
      </c>
      <c r="C68" s="683" t="s">
        <v>1102</v>
      </c>
      <c r="D68" s="683" t="s">
        <v>163</v>
      </c>
      <c r="E68" s="683" t="s">
        <v>1104</v>
      </c>
      <c r="F68" s="683" t="s">
        <v>188</v>
      </c>
      <c r="G68" s="683" t="s">
        <v>177</v>
      </c>
      <c r="H68" s="683" t="s">
        <v>178</v>
      </c>
      <c r="I68" s="683" t="s">
        <v>179</v>
      </c>
      <c r="J68" s="684" t="s">
        <v>1096</v>
      </c>
      <c r="K68" s="685" t="s">
        <v>280</v>
      </c>
      <c r="L68" s="685" t="s">
        <v>1097</v>
      </c>
      <c r="M68" s="685" t="s">
        <v>186</v>
      </c>
      <c r="N68" s="2689" t="s">
        <v>1248</v>
      </c>
    </row>
    <row r="69" spans="2:14">
      <c r="B69" s="95"/>
      <c r="C69" s="32"/>
      <c r="D69" s="32"/>
      <c r="E69" s="32"/>
      <c r="F69" s="32"/>
      <c r="G69" s="32"/>
      <c r="H69" s="32"/>
      <c r="I69" s="32"/>
      <c r="J69" s="44"/>
      <c r="K69" s="32"/>
      <c r="L69" s="32"/>
      <c r="M69" s="32"/>
      <c r="N69" s="560"/>
    </row>
    <row r="70" spans="2:14" ht="12.75">
      <c r="B70" s="1013" t="s">
        <v>1247</v>
      </c>
      <c r="C70" s="692">
        <v>43.491799999999998</v>
      </c>
      <c r="D70" s="692">
        <v>34.716200000000001</v>
      </c>
      <c r="E70" s="692">
        <v>17.5059</v>
      </c>
      <c r="F70" s="692">
        <v>0.25280000000000002</v>
      </c>
      <c r="G70" s="692">
        <v>0.95079999999999998</v>
      </c>
      <c r="H70" s="692">
        <v>0.53169999999999995</v>
      </c>
      <c r="I70" s="692">
        <v>1.9456</v>
      </c>
      <c r="J70" s="693">
        <v>0.30099999999999999</v>
      </c>
      <c r="K70" s="694">
        <v>1E-4</v>
      </c>
      <c r="L70" s="694">
        <v>5.0500000000000003E-2</v>
      </c>
      <c r="M70" s="694">
        <v>0.22570000000000001</v>
      </c>
      <c r="N70" s="2690">
        <f>SUM(C70:M70)</f>
        <v>99.972099999999998</v>
      </c>
    </row>
    <row r="71" spans="2:14">
      <c r="B71" s="95"/>
      <c r="C71" s="32"/>
      <c r="D71" s="32"/>
      <c r="E71" s="32"/>
      <c r="F71" s="32"/>
      <c r="G71" s="32"/>
      <c r="H71" s="32"/>
      <c r="I71" s="32"/>
      <c r="J71" s="44"/>
      <c r="K71" s="93"/>
      <c r="L71" s="93"/>
      <c r="M71" s="93"/>
      <c r="N71" s="2691"/>
    </row>
    <row r="72" spans="2:14">
      <c r="B72" s="95" t="s">
        <v>1098</v>
      </c>
      <c r="C72" s="48">
        <f t="shared" ref="C72:N72" si="4">(C70/100)*$W$59</f>
        <v>12049602.300896874</v>
      </c>
      <c r="D72" s="48">
        <f t="shared" si="4"/>
        <v>9618282.1451031249</v>
      </c>
      <c r="E72" s="48">
        <f t="shared" si="4"/>
        <v>4850089.739198437</v>
      </c>
      <c r="F72" s="48">
        <f t="shared" si="4"/>
        <v>70039.397350000014</v>
      </c>
      <c r="G72" s="48">
        <f t="shared" si="4"/>
        <v>263423.49288124999</v>
      </c>
      <c r="H72" s="48">
        <f t="shared" si="4"/>
        <v>147309.91918906249</v>
      </c>
      <c r="I72" s="48">
        <f t="shared" si="4"/>
        <v>539037.3872</v>
      </c>
      <c r="J72" s="48">
        <f t="shared" si="4"/>
        <v>83393.428015625002</v>
      </c>
      <c r="K72" s="48">
        <f t="shared" si="4"/>
        <v>27.705457812499997</v>
      </c>
      <c r="L72" s="48">
        <f t="shared" si="4"/>
        <v>13991.2561953125</v>
      </c>
      <c r="M72" s="48">
        <f t="shared" si="4"/>
        <v>62531.218282812508</v>
      </c>
      <c r="N72" s="2692">
        <f t="shared" si="4"/>
        <v>27697727.989770312</v>
      </c>
    </row>
    <row r="73" spans="2:14">
      <c r="B73" s="95"/>
      <c r="C73" s="32"/>
      <c r="D73" s="32"/>
      <c r="E73" s="32"/>
      <c r="F73" s="32"/>
      <c r="G73" s="32"/>
      <c r="H73" s="32"/>
      <c r="I73" s="32"/>
      <c r="J73" s="44"/>
      <c r="K73" s="93"/>
      <c r="L73" s="93"/>
      <c r="M73" s="93"/>
      <c r="N73" s="560"/>
    </row>
    <row r="74" spans="2:14" ht="14.25">
      <c r="B74" s="95" t="s">
        <v>180</v>
      </c>
      <c r="C74" s="688">
        <v>0.95</v>
      </c>
      <c r="D74" s="678"/>
      <c r="E74" s="689">
        <v>0.43</v>
      </c>
      <c r="F74" s="689">
        <v>1.18</v>
      </c>
      <c r="G74" s="678"/>
      <c r="H74" s="690">
        <v>1.52</v>
      </c>
      <c r="I74" s="678"/>
      <c r="J74" s="691">
        <v>0.11</v>
      </c>
      <c r="K74" s="687"/>
      <c r="L74" s="687"/>
      <c r="M74" s="687"/>
      <c r="N74" s="560"/>
    </row>
    <row r="75" spans="2:14">
      <c r="B75" s="95"/>
      <c r="C75" s="32"/>
      <c r="D75" s="32"/>
      <c r="E75" s="32"/>
      <c r="F75" s="32"/>
      <c r="G75" s="32"/>
      <c r="H75" s="32"/>
      <c r="I75" s="32"/>
      <c r="J75" s="44"/>
      <c r="K75" s="93"/>
      <c r="L75" s="93"/>
      <c r="M75" s="93"/>
      <c r="N75" s="560"/>
    </row>
    <row r="76" spans="2:14" ht="14.25">
      <c r="B76" s="95" t="s">
        <v>181</v>
      </c>
      <c r="C76" s="48">
        <f>C72*C74</f>
        <v>11447122.18585203</v>
      </c>
      <c r="D76" s="678"/>
      <c r="E76" s="559">
        <f>E72*E74</f>
        <v>2085538.5878553279</v>
      </c>
      <c r="F76" s="559">
        <f>F72*F74</f>
        <v>82646.488873000009</v>
      </c>
      <c r="G76" s="678"/>
      <c r="H76" s="559">
        <f>H72*H74</f>
        <v>223911.07716737498</v>
      </c>
      <c r="I76" s="678"/>
      <c r="J76" s="681">
        <f>J72*J74</f>
        <v>9173.2770817187502</v>
      </c>
      <c r="K76" s="687"/>
      <c r="L76" s="687"/>
      <c r="M76" s="687"/>
      <c r="N76" s="2693">
        <f>SUM(C76:M76)</f>
        <v>13848391.616829451</v>
      </c>
    </row>
    <row r="77" spans="2:14">
      <c r="B77" s="95"/>
      <c r="C77" s="32"/>
      <c r="D77" s="32"/>
      <c r="E77" s="32"/>
      <c r="F77" s="32"/>
      <c r="G77" s="32"/>
      <c r="H77" s="32"/>
      <c r="I77" s="32"/>
      <c r="J77" s="44"/>
      <c r="K77" s="93"/>
      <c r="L77" s="93"/>
      <c r="M77" s="93"/>
      <c r="N77" s="560"/>
    </row>
    <row r="78" spans="2:14" ht="14.25">
      <c r="B78" s="202" t="s">
        <v>182</v>
      </c>
      <c r="C78" s="679">
        <f>C76/1000000</f>
        <v>11.447122185852031</v>
      </c>
      <c r="D78" s="680"/>
      <c r="E78" s="679">
        <f>E76/1000000</f>
        <v>2.0855385878553281</v>
      </c>
      <c r="F78" s="679">
        <f>F76/1000000</f>
        <v>8.264648887300001E-2</v>
      </c>
      <c r="G78" s="680"/>
      <c r="H78" s="679">
        <f>H76/1000000</f>
        <v>0.22391107716737499</v>
      </c>
      <c r="I78" s="680"/>
      <c r="J78" s="682">
        <f>J76/1000000</f>
        <v>9.1732770817187503E-3</v>
      </c>
      <c r="K78" s="687"/>
      <c r="L78" s="687"/>
      <c r="M78" s="687"/>
      <c r="N78" s="2694">
        <f>SUM(C78:M78)</f>
        <v>13.848391616829453</v>
      </c>
    </row>
    <row r="79" spans="2:14" ht="12" thickBot="1">
      <c r="B79" s="7"/>
      <c r="C79" s="8"/>
      <c r="D79" s="8"/>
      <c r="E79" s="8"/>
      <c r="F79" s="8"/>
      <c r="G79" s="8"/>
      <c r="H79" s="8"/>
      <c r="I79" s="8"/>
      <c r="J79" s="8"/>
      <c r="K79" s="563"/>
      <c r="L79" s="563"/>
      <c r="M79" s="563"/>
      <c r="N79" s="2695"/>
    </row>
    <row r="83" spans="2:23" ht="14.25">
      <c r="E83" s="3066" t="s">
        <v>274</v>
      </c>
      <c r="F83" s="3067"/>
      <c r="G83" s="3067"/>
      <c r="H83" s="3067"/>
      <c r="I83" s="3067"/>
      <c r="J83" s="3067"/>
    </row>
    <row r="84" spans="2:23" ht="12" thickBot="1"/>
    <row r="85" spans="2:23" ht="12.75">
      <c r="B85" s="94"/>
      <c r="C85" s="191">
        <v>1994</v>
      </c>
      <c r="D85" s="191">
        <v>1995</v>
      </c>
      <c r="E85" s="191">
        <v>1996</v>
      </c>
      <c r="F85" s="191">
        <v>1997</v>
      </c>
      <c r="G85" s="199">
        <v>1998</v>
      </c>
      <c r="H85" s="191">
        <v>1999</v>
      </c>
      <c r="I85" s="191">
        <v>2000</v>
      </c>
      <c r="J85" s="191">
        <v>2001</v>
      </c>
      <c r="K85" s="191">
        <v>2002</v>
      </c>
      <c r="L85" s="191">
        <v>2003</v>
      </c>
      <c r="M85" s="191">
        <v>2004</v>
      </c>
      <c r="N85" s="191">
        <v>2005</v>
      </c>
      <c r="O85" s="191">
        <v>2006</v>
      </c>
      <c r="P85" s="191">
        <v>2007</v>
      </c>
      <c r="Q85" s="191">
        <v>2008</v>
      </c>
      <c r="R85" s="191">
        <v>2009</v>
      </c>
      <c r="S85" s="199">
        <v>2010</v>
      </c>
      <c r="T85" s="199">
        <v>2011</v>
      </c>
      <c r="U85" s="199">
        <v>2012</v>
      </c>
      <c r="V85" s="199">
        <v>2013</v>
      </c>
      <c r="W85" s="676">
        <v>2014</v>
      </c>
    </row>
    <row r="86" spans="2:23" ht="12" thickBot="1">
      <c r="B86" s="1552" t="s">
        <v>264</v>
      </c>
      <c r="C86" s="1924">
        <f t="shared" ref="C86:S86" si="5">(C59*$B$66/2204.62)/1000000</f>
        <v>6.4481352246923516</v>
      </c>
      <c r="D86" s="1924">
        <f t="shared" si="5"/>
        <v>6.6834213760205845</v>
      </c>
      <c r="E86" s="1924">
        <f t="shared" si="5"/>
        <v>7.1772903265324643</v>
      </c>
      <c r="F86" s="1924">
        <f>(F59*$B$66/2204.62)/1000000</f>
        <v>6.5685362305397303</v>
      </c>
      <c r="G86" s="1924">
        <f t="shared" si="5"/>
        <v>5.4238086942659063</v>
      </c>
      <c r="H86" s="1924">
        <f t="shared" si="5"/>
        <v>5.573667355648027</v>
      </c>
      <c r="I86" s="1924">
        <f t="shared" si="5"/>
        <v>6.6947273275388737</v>
      </c>
      <c r="J86" s="1924">
        <f t="shared" si="5"/>
        <v>8.2549621083792228</v>
      </c>
      <c r="K86" s="1924">
        <f t="shared" si="5"/>
        <v>12.246431350245169</v>
      </c>
      <c r="L86" s="1924">
        <f t="shared" si="5"/>
        <v>11.790954050231447</v>
      </c>
      <c r="M86" s="1924">
        <f t="shared" si="5"/>
        <v>9.5559860566333441</v>
      </c>
      <c r="N86" s="1924">
        <f t="shared" si="5"/>
        <v>10.036788489589476</v>
      </c>
      <c r="O86" s="1924">
        <f t="shared" si="5"/>
        <v>9.1263726166147698</v>
      </c>
      <c r="P86" s="1924">
        <f t="shared" si="5"/>
        <v>9.6866124825298687</v>
      </c>
      <c r="Q86" s="1924">
        <f t="shared" si="5"/>
        <v>10.009689350694792</v>
      </c>
      <c r="R86" s="1924">
        <f t="shared" si="5"/>
        <v>11.418216225799119</v>
      </c>
      <c r="S86" s="1924">
        <f t="shared" si="5"/>
        <v>12.968488135954271</v>
      </c>
      <c r="T86" s="1924">
        <f>(T59*$B$66/2204.62)/1000000</f>
        <v>12.892976068769789</v>
      </c>
      <c r="U86" s="1924">
        <f>(U59*$B$66/2204.62)/1000000</f>
        <v>14.001203842367394</v>
      </c>
      <c r="V86" s="1924">
        <f>(V59*$B$66/2204.62)/1000000</f>
        <v>15.031292861877558</v>
      </c>
      <c r="W86" s="1924">
        <f>(W59*$B$66/2204.62)/1000000</f>
        <v>13.919962352057841</v>
      </c>
    </row>
    <row r="87" spans="2:23">
      <c r="R87" s="447">
        <f>N78</f>
        <v>13.848391616829453</v>
      </c>
    </row>
    <row r="134" spans="2:2">
      <c r="B134" s="2191" t="s">
        <v>1369</v>
      </c>
    </row>
    <row r="136" spans="2:2">
      <c r="B136" s="2760" t="s">
        <v>1377</v>
      </c>
    </row>
  </sheetData>
  <sheetProtection password="CD58" sheet="1" objects="1" scenarios="1"/>
  <mergeCells count="1">
    <mergeCell ref="E83:J83"/>
  </mergeCells>
  <phoneticPr fontId="0" type="noConversion"/>
  <pageMargins left="0.75" right="0.75" top="1" bottom="1" header="0.5" footer="0.5"/>
  <pageSetup orientation="portrait" r:id="rId1"/>
  <headerFooter alignWithMargins="0"/>
  <drawing r:id="rId2"/>
  <legacyDrawing r:id="rId3"/>
  <picture r:id="rId4"/>
</worksheet>
</file>

<file path=xl/worksheets/sheet6.xml><?xml version="1.0" encoding="utf-8"?>
<worksheet xmlns="http://schemas.openxmlformats.org/spreadsheetml/2006/main" xmlns:r="http://schemas.openxmlformats.org/officeDocument/2006/relationships">
  <sheetPr codeName="Sheet11"/>
  <dimension ref="A1:AH59"/>
  <sheetViews>
    <sheetView zoomScaleNormal="100" workbookViewId="0">
      <selection activeCell="H1" sqref="H1"/>
    </sheetView>
  </sheetViews>
  <sheetFormatPr defaultRowHeight="11.25"/>
  <cols>
    <col min="1" max="1" width="4.33203125" customWidth="1"/>
    <col min="2" max="2" width="27.6640625" customWidth="1"/>
    <col min="3" max="3" width="17.6640625" customWidth="1"/>
    <col min="4" max="4" width="14.6640625" customWidth="1"/>
    <col min="5" max="5" width="21.5" customWidth="1"/>
    <col min="6" max="6" width="13.6640625" customWidth="1"/>
    <col min="7" max="7" width="17.83203125" customWidth="1"/>
    <col min="8" max="8" width="21.1640625" customWidth="1"/>
    <col min="9" max="9" width="13.83203125" customWidth="1"/>
    <col min="10" max="10" width="18.5" customWidth="1"/>
    <col min="11" max="11" width="18.6640625" customWidth="1"/>
    <col min="12" max="12" width="15.1640625" bestFit="1" customWidth="1"/>
    <col min="13" max="13" width="15.33203125" customWidth="1"/>
    <col min="14" max="14" width="15.5" customWidth="1"/>
    <col min="15" max="15" width="13.5" customWidth="1"/>
    <col min="16" max="16" width="13" customWidth="1"/>
    <col min="17" max="17" width="10.33203125" customWidth="1"/>
    <col min="18" max="18" width="12.1640625" customWidth="1"/>
    <col min="19" max="19" width="11" customWidth="1"/>
    <col min="20" max="20" width="15.6640625" customWidth="1"/>
    <col min="21" max="21" width="3.1640625" customWidth="1"/>
    <col min="23" max="23" width="2.5" customWidth="1"/>
    <col min="24" max="24" width="11.1640625" customWidth="1"/>
    <col min="25" max="25" width="2.33203125" customWidth="1"/>
    <col min="26" max="26" width="10.5" customWidth="1"/>
    <col min="27" max="27" width="13.83203125" customWidth="1"/>
    <col min="28" max="28" width="2.6640625" customWidth="1"/>
    <col min="30" max="30" width="1.5" customWidth="1"/>
    <col min="32" max="32" width="3.1640625" customWidth="1"/>
  </cols>
  <sheetData>
    <row r="1" spans="1:14" s="86" customFormat="1" ht="33" customHeight="1">
      <c r="A1" s="211" t="s">
        <v>1725</v>
      </c>
      <c r="B1" s="212"/>
      <c r="E1" s="547"/>
    </row>
    <row r="2" spans="1:14" s="86" customFormat="1" ht="81" customHeight="1">
      <c r="A2" s="3075"/>
      <c r="B2" s="3075"/>
      <c r="C2" s="3075"/>
      <c r="D2" s="3075"/>
      <c r="E2" s="3075"/>
      <c r="F2" s="3075"/>
      <c r="G2" s="3075"/>
      <c r="H2" s="3075"/>
      <c r="I2" s="3075"/>
      <c r="J2" s="3075"/>
      <c r="K2" s="3075"/>
    </row>
    <row r="3" spans="1:14" ht="12" thickBot="1"/>
    <row r="4" spans="1:14" ht="21.75" thickTop="1">
      <c r="B4" s="3068" t="s">
        <v>1379</v>
      </c>
      <c r="C4" s="3069"/>
      <c r="D4" s="3069"/>
      <c r="E4" s="3069"/>
      <c r="F4" s="3069"/>
      <c r="G4" s="3069"/>
      <c r="H4" s="3070"/>
      <c r="J4" s="3073" t="s">
        <v>1392</v>
      </c>
      <c r="K4" s="3074"/>
      <c r="L4" s="3074"/>
      <c r="M4" s="3074"/>
      <c r="N4" s="3067"/>
    </row>
    <row r="5" spans="1:14" ht="21.75" thickBot="1">
      <c r="B5" s="2988"/>
      <c r="C5" s="2989"/>
      <c r="D5" s="2989"/>
      <c r="E5" s="2989"/>
      <c r="F5" s="2989"/>
      <c r="G5" s="2989"/>
      <c r="H5" s="2990"/>
    </row>
    <row r="6" spans="1:14" ht="18">
      <c r="B6" s="2991"/>
      <c r="C6" s="3071" t="s">
        <v>1391</v>
      </c>
      <c r="D6" s="3072"/>
      <c r="E6" s="3072"/>
      <c r="F6" s="3072"/>
      <c r="G6" s="3072"/>
      <c r="H6" s="2992" t="s">
        <v>1402</v>
      </c>
      <c r="J6" s="2844" t="s">
        <v>954</v>
      </c>
      <c r="K6" s="2845" t="s">
        <v>217</v>
      </c>
      <c r="L6" s="2845" t="s">
        <v>219</v>
      </c>
      <c r="M6" s="2846" t="s">
        <v>194</v>
      </c>
    </row>
    <row r="7" spans="1:14" ht="15">
      <c r="B7" s="2993" t="s">
        <v>954</v>
      </c>
      <c r="C7" s="2989" t="s">
        <v>217</v>
      </c>
      <c r="D7" s="2989" t="s">
        <v>219</v>
      </c>
      <c r="E7" s="2989" t="s">
        <v>1380</v>
      </c>
      <c r="F7" s="2989" t="s">
        <v>1381</v>
      </c>
      <c r="G7" s="2989" t="s">
        <v>1382</v>
      </c>
      <c r="H7" s="2994" t="s">
        <v>1383</v>
      </c>
      <c r="J7" s="95">
        <v>24001</v>
      </c>
      <c r="K7" s="32">
        <v>4280036154280.2969</v>
      </c>
      <c r="L7" s="32">
        <v>1223659148582</v>
      </c>
      <c r="M7" s="560">
        <v>5503695302862.2969</v>
      </c>
    </row>
    <row r="8" spans="1:14">
      <c r="B8" s="2995" t="s">
        <v>974</v>
      </c>
      <c r="C8" s="2996">
        <v>311158338116.10889</v>
      </c>
      <c r="D8" s="2996">
        <v>90845838546</v>
      </c>
      <c r="E8" s="2996">
        <v>283539509</v>
      </c>
      <c r="F8" s="2996">
        <v>444882798</v>
      </c>
      <c r="G8" s="2996">
        <v>402732598969.10889</v>
      </c>
      <c r="H8" s="2997">
        <f>+G8/(10)^12</f>
        <v>0.4027325989691089</v>
      </c>
      <c r="I8" s="2974"/>
      <c r="J8" s="95">
        <v>24003</v>
      </c>
      <c r="K8" s="32">
        <v>32566053060578</v>
      </c>
      <c r="L8" s="32">
        <v>8094351775894</v>
      </c>
      <c r="M8" s="560">
        <v>40660404836472</v>
      </c>
    </row>
    <row r="9" spans="1:14">
      <c r="B9" s="2995" t="s">
        <v>977</v>
      </c>
      <c r="C9" s="2996">
        <v>2365529455741</v>
      </c>
      <c r="D9" s="2996">
        <v>600077902143</v>
      </c>
      <c r="E9" s="2996">
        <v>531376386</v>
      </c>
      <c r="F9" s="2996">
        <v>3671487068</v>
      </c>
      <c r="G9" s="2996">
        <v>2969810221338</v>
      </c>
      <c r="H9" s="2997">
        <f t="shared" ref="H9:H32" si="0">+G9/(10)^12</f>
        <v>2.9698102213380002</v>
      </c>
      <c r="J9" s="95">
        <v>24005</v>
      </c>
      <c r="K9" s="32">
        <v>45141903077150</v>
      </c>
      <c r="L9" s="32">
        <v>12853426450302</v>
      </c>
      <c r="M9" s="560">
        <v>57995329527452</v>
      </c>
    </row>
    <row r="10" spans="1:14">
      <c r="B10" s="2995" t="s">
        <v>1384</v>
      </c>
      <c r="C10" s="2996">
        <v>3276659290704.5068</v>
      </c>
      <c r="D10" s="2996">
        <v>952965485988</v>
      </c>
      <c r="E10" s="2996">
        <v>407928554</v>
      </c>
      <c r="F10" s="2996">
        <v>4948139584</v>
      </c>
      <c r="G10" s="2996">
        <v>4234980844830.5068</v>
      </c>
      <c r="H10" s="2997">
        <f t="shared" si="0"/>
        <v>4.2349808448305071</v>
      </c>
      <c r="J10" s="95">
        <v>24009</v>
      </c>
      <c r="K10" s="32">
        <v>4055695040695.4961</v>
      </c>
      <c r="L10" s="32">
        <v>827579089436</v>
      </c>
      <c r="M10" s="560">
        <v>4883274130131.4961</v>
      </c>
    </row>
    <row r="11" spans="1:14">
      <c r="B11" s="2995" t="s">
        <v>989</v>
      </c>
      <c r="C11" s="2996">
        <v>295472617140.92529</v>
      </c>
      <c r="D11" s="2996">
        <v>61345976601.394531</v>
      </c>
      <c r="E11" s="2996">
        <v>90578467.296875</v>
      </c>
      <c r="F11" s="2996">
        <v>456884344</v>
      </c>
      <c r="G11" s="2996">
        <v>357366056553.6167</v>
      </c>
      <c r="H11" s="2997">
        <f t="shared" si="0"/>
        <v>0.3573660565536167</v>
      </c>
      <c r="J11" s="95">
        <v>24011</v>
      </c>
      <c r="K11" s="32">
        <v>2104537816172.7891</v>
      </c>
      <c r="L11" s="32">
        <v>564019772211</v>
      </c>
      <c r="M11" s="560">
        <v>2668557588383.7891</v>
      </c>
    </row>
    <row r="12" spans="1:14">
      <c r="B12" s="2995" t="s">
        <v>1385</v>
      </c>
      <c r="C12" s="2996">
        <v>153140656015.75119</v>
      </c>
      <c r="D12" s="2996">
        <v>41801909956.086937</v>
      </c>
      <c r="E12" s="2996">
        <v>13162147.4799805</v>
      </c>
      <c r="F12" s="2996">
        <v>221991283.2109375</v>
      </c>
      <c r="G12" s="2996">
        <v>195177719402.52905</v>
      </c>
      <c r="H12" s="2997">
        <f t="shared" si="0"/>
        <v>0.19517771940252907</v>
      </c>
      <c r="J12" s="95">
        <v>24013</v>
      </c>
      <c r="K12" s="32">
        <v>7146787470855.793</v>
      </c>
      <c r="L12" s="32">
        <v>1717022127162</v>
      </c>
      <c r="M12" s="560">
        <v>8863809598017.793</v>
      </c>
    </row>
    <row r="13" spans="1:14">
      <c r="B13" s="2995" t="s">
        <v>992</v>
      </c>
      <c r="C13" s="2996">
        <v>520984298085.80029</v>
      </c>
      <c r="D13" s="2996">
        <v>127287190411</v>
      </c>
      <c r="E13" s="2996">
        <v>133850213</v>
      </c>
      <c r="F13" s="2996">
        <v>853832083</v>
      </c>
      <c r="G13" s="2996">
        <v>649259170792.80029</v>
      </c>
      <c r="H13" s="2997">
        <f t="shared" si="0"/>
        <v>0.64925917079280027</v>
      </c>
      <c r="J13" s="95">
        <v>24015</v>
      </c>
      <c r="K13" s="32">
        <v>6744283919475.8125</v>
      </c>
      <c r="L13" s="32">
        <v>3453969890637</v>
      </c>
      <c r="M13" s="560">
        <v>10198253810112.812</v>
      </c>
    </row>
    <row r="14" spans="1:14">
      <c r="B14" s="2995" t="s">
        <v>995</v>
      </c>
      <c r="C14" s="2996">
        <v>489701556463.78174</v>
      </c>
      <c r="D14" s="2996">
        <v>256311744535.82031</v>
      </c>
      <c r="E14" s="2996">
        <v>366471063.99218804</v>
      </c>
      <c r="F14" s="2996">
        <v>719052109</v>
      </c>
      <c r="G14" s="2996">
        <v>747098824172.59424</v>
      </c>
      <c r="H14" s="2997">
        <f t="shared" si="0"/>
        <v>0.74709882417259421</v>
      </c>
      <c r="J14" s="95">
        <v>24017</v>
      </c>
      <c r="K14" s="32">
        <v>6832377929265.0977</v>
      </c>
      <c r="L14" s="32">
        <v>1545990157594</v>
      </c>
      <c r="M14" s="560">
        <v>8378368086859.0977</v>
      </c>
    </row>
    <row r="15" spans="1:14">
      <c r="B15" s="2995" t="s">
        <v>997</v>
      </c>
      <c r="C15" s="2996">
        <v>497408956007.38965</v>
      </c>
      <c r="D15" s="2996">
        <v>114597323057</v>
      </c>
      <c r="E15" s="2996">
        <v>79709145</v>
      </c>
      <c r="F15" s="2996">
        <v>735361765</v>
      </c>
      <c r="G15" s="2996">
        <v>612821349974.38965</v>
      </c>
      <c r="H15" s="2997">
        <f t="shared" si="0"/>
        <v>0.61282134997438964</v>
      </c>
      <c r="J15" s="95">
        <v>24019</v>
      </c>
      <c r="K15" s="32">
        <v>1914274819820.8857</v>
      </c>
      <c r="L15" s="32">
        <v>471894013032</v>
      </c>
      <c r="M15" s="560">
        <v>2386168832852.8857</v>
      </c>
    </row>
    <row r="16" spans="1:14">
      <c r="B16" s="2995" t="s">
        <v>1386</v>
      </c>
      <c r="C16" s="2996">
        <v>139300530147.3728</v>
      </c>
      <c r="D16" s="2996">
        <v>34974947135.703125</v>
      </c>
      <c r="E16" s="2996">
        <v>142619728</v>
      </c>
      <c r="F16" s="2996">
        <v>197214469.8984375</v>
      </c>
      <c r="G16" s="2996">
        <v>174615311480.97437</v>
      </c>
      <c r="H16" s="2997">
        <f t="shared" si="0"/>
        <v>0.17461531148097437</v>
      </c>
      <c r="J16" s="95">
        <v>24021</v>
      </c>
      <c r="K16" s="32">
        <v>16209390999801</v>
      </c>
      <c r="L16" s="32">
        <v>4395922045126</v>
      </c>
      <c r="M16" s="560">
        <v>20605313044927</v>
      </c>
    </row>
    <row r="17" spans="2:13">
      <c r="B17" s="2995" t="s">
        <v>1003</v>
      </c>
      <c r="C17" s="2996">
        <v>1175978632181.4961</v>
      </c>
      <c r="D17" s="2996">
        <v>325976488000.09766</v>
      </c>
      <c r="E17" s="2996">
        <v>520331163</v>
      </c>
      <c r="F17" s="2996">
        <v>1786501489</v>
      </c>
      <c r="G17" s="2996">
        <v>1504261952833.5937</v>
      </c>
      <c r="H17" s="2997">
        <f t="shared" si="0"/>
        <v>1.5042619528335937</v>
      </c>
      <c r="J17" s="95">
        <v>24023</v>
      </c>
      <c r="K17" s="32">
        <v>2661314367743.3428</v>
      </c>
      <c r="L17" s="32">
        <v>1042577016284.8203</v>
      </c>
      <c r="M17" s="560">
        <v>3703891384028.1631</v>
      </c>
    </row>
    <row r="18" spans="2:13">
      <c r="B18" s="2995" t="s">
        <v>1005</v>
      </c>
      <c r="C18" s="2996">
        <v>193193457061.10022</v>
      </c>
      <c r="D18" s="2996">
        <v>77477027629.850098</v>
      </c>
      <c r="E18" s="2996">
        <v>190378646.59375101</v>
      </c>
      <c r="F18" s="2996">
        <v>296891159.78076196</v>
      </c>
      <c r="G18" s="2996">
        <v>271157754497.32483</v>
      </c>
      <c r="H18" s="2997">
        <f t="shared" si="0"/>
        <v>0.27115775449732482</v>
      </c>
      <c r="J18" s="95">
        <v>24025</v>
      </c>
      <c r="K18" s="32">
        <v>13306072038543</v>
      </c>
      <c r="L18" s="32">
        <v>3644254227608</v>
      </c>
      <c r="M18" s="560">
        <v>16950326266151</v>
      </c>
    </row>
    <row r="19" spans="2:13">
      <c r="B19" s="2995" t="s">
        <v>1008</v>
      </c>
      <c r="C19" s="2996">
        <v>966893111021.90723</v>
      </c>
      <c r="D19" s="2996">
        <v>270179139437.70312</v>
      </c>
      <c r="E19" s="2996">
        <v>392879720</v>
      </c>
      <c r="F19" s="2996">
        <v>1515715503</v>
      </c>
      <c r="G19" s="2996">
        <v>1238980845682.6104</v>
      </c>
      <c r="H19" s="2997">
        <f t="shared" si="0"/>
        <v>1.2389808456826104</v>
      </c>
      <c r="J19" s="95">
        <v>24027</v>
      </c>
      <c r="K19" s="32">
        <v>21658030135189</v>
      </c>
      <c r="L19" s="32">
        <v>6098079785610</v>
      </c>
      <c r="M19" s="560">
        <v>27756109920799</v>
      </c>
    </row>
    <row r="20" spans="2:13">
      <c r="B20" s="2995" t="s">
        <v>1010</v>
      </c>
      <c r="C20" s="2996">
        <v>1569661510972.4941</v>
      </c>
      <c r="D20" s="2996">
        <v>452251373345</v>
      </c>
      <c r="E20" s="2996">
        <v>440710917</v>
      </c>
      <c r="F20" s="2996">
        <v>2364707337</v>
      </c>
      <c r="G20" s="2996">
        <v>2024718302571.4941</v>
      </c>
      <c r="H20" s="2997">
        <f t="shared" si="0"/>
        <v>2.0247183025714941</v>
      </c>
      <c r="J20" s="95">
        <v>24029</v>
      </c>
      <c r="K20" s="32">
        <v>1098745547980.1846</v>
      </c>
      <c r="L20" s="32">
        <v>418364776103</v>
      </c>
      <c r="M20" s="560">
        <v>1517110324083.1846</v>
      </c>
    </row>
    <row r="21" spans="2:13">
      <c r="B21" s="2995" t="s">
        <v>1012</v>
      </c>
      <c r="C21" s="2996">
        <v>80097649525.063599</v>
      </c>
      <c r="D21" s="2996">
        <v>31007291705.520512</v>
      </c>
      <c r="E21" s="2996">
        <v>35683672.350097805</v>
      </c>
      <c r="F21" s="2996">
        <v>109985837.796875</v>
      </c>
      <c r="G21" s="2996">
        <v>111250610740.73108</v>
      </c>
      <c r="H21" s="2997">
        <f t="shared" si="0"/>
        <v>0.11125061074073107</v>
      </c>
      <c r="J21" s="95">
        <v>24031</v>
      </c>
      <c r="K21" s="32">
        <v>41837935299884</v>
      </c>
      <c r="L21" s="32">
        <v>10041056043112</v>
      </c>
      <c r="M21" s="560">
        <v>51878991342996</v>
      </c>
    </row>
    <row r="22" spans="2:13">
      <c r="B22" s="2995" t="s">
        <v>399</v>
      </c>
      <c r="C22" s="2996">
        <v>3043825910422.7949</v>
      </c>
      <c r="D22" s="2996">
        <v>744326561467</v>
      </c>
      <c r="E22" s="2996">
        <v>1995437420</v>
      </c>
      <c r="F22" s="2996">
        <v>4240754957</v>
      </c>
      <c r="G22" s="2996">
        <v>3794388664266.7949</v>
      </c>
      <c r="H22" s="2997">
        <f t="shared" si="0"/>
        <v>3.794388664266795</v>
      </c>
      <c r="J22" s="95">
        <v>24033</v>
      </c>
      <c r="K22" s="32">
        <v>48684618396250</v>
      </c>
      <c r="L22" s="32">
        <v>11957352187320</v>
      </c>
      <c r="M22" s="560">
        <v>60641970583570</v>
      </c>
    </row>
    <row r="23" spans="2:13">
      <c r="B23" s="2995" t="s">
        <v>1387</v>
      </c>
      <c r="C23" s="2996">
        <v>3532404229283.9141</v>
      </c>
      <c r="D23" s="2996">
        <v>886232713477</v>
      </c>
      <c r="E23" s="2996">
        <v>1106136360</v>
      </c>
      <c r="F23" s="2996">
        <v>4937597605</v>
      </c>
      <c r="G23" s="2996">
        <v>4424680676725.9141</v>
      </c>
      <c r="H23" s="2997">
        <f t="shared" si="0"/>
        <v>4.4246806767259139</v>
      </c>
      <c r="J23" s="95">
        <v>24035</v>
      </c>
      <c r="K23" s="32">
        <v>4842335679807.5879</v>
      </c>
      <c r="L23" s="32">
        <v>1947980742079</v>
      </c>
      <c r="M23" s="560">
        <v>6790316421886.5879</v>
      </c>
    </row>
    <row r="24" spans="2:13">
      <c r="B24" s="2995" t="s">
        <v>1388</v>
      </c>
      <c r="C24" s="2996">
        <v>351037321315.25854</v>
      </c>
      <c r="D24" s="2996">
        <v>144374730988.08984</v>
      </c>
      <c r="E24" s="2996">
        <v>192247486.80078101</v>
      </c>
      <c r="F24" s="2996">
        <v>521251494</v>
      </c>
      <c r="G24" s="2996">
        <v>496125551284.14917</v>
      </c>
      <c r="H24" s="2997">
        <f t="shared" si="0"/>
        <v>0.49612555128414915</v>
      </c>
      <c r="J24" s="95">
        <v>24037</v>
      </c>
      <c r="K24" s="32">
        <v>4844881923314.9023</v>
      </c>
      <c r="L24" s="32">
        <v>1163963776586</v>
      </c>
      <c r="M24" s="560">
        <v>6008845699900.9023</v>
      </c>
    </row>
    <row r="25" spans="2:13">
      <c r="B25" s="2995" t="s">
        <v>1389</v>
      </c>
      <c r="C25" s="2996">
        <v>353804373747.85242</v>
      </c>
      <c r="D25" s="2996">
        <v>86275601218.982422</v>
      </c>
      <c r="E25" s="2996">
        <v>139997248.4921875</v>
      </c>
      <c r="F25" s="2996">
        <v>505091717.60937512</v>
      </c>
      <c r="G25" s="2996">
        <v>440725063932.9364</v>
      </c>
      <c r="H25" s="2997">
        <f t="shared" si="0"/>
        <v>0.44072506393293642</v>
      </c>
      <c r="J25" s="95">
        <v>24039</v>
      </c>
      <c r="K25" s="32">
        <v>1414316815647.792</v>
      </c>
      <c r="L25" s="32">
        <v>345799782607</v>
      </c>
      <c r="M25" s="560">
        <v>1760116598254.792</v>
      </c>
    </row>
    <row r="26" spans="2:13">
      <c r="B26" s="2995" t="s">
        <v>1019</v>
      </c>
      <c r="C26" s="2996">
        <v>102746605144.2157</v>
      </c>
      <c r="D26" s="2996">
        <v>25627672906.572266</v>
      </c>
      <c r="E26" s="2996">
        <v>106455427.29687509</v>
      </c>
      <c r="F26" s="2996">
        <v>147918339.40625</v>
      </c>
      <c r="G26" s="2996">
        <v>128628651817.49109</v>
      </c>
      <c r="H26" s="2997">
        <f t="shared" si="0"/>
        <v>0.12862865181749109</v>
      </c>
      <c r="J26" s="95">
        <v>24041</v>
      </c>
      <c r="K26" s="32">
        <v>3202745880474.3418</v>
      </c>
      <c r="L26" s="32">
        <v>784749617080</v>
      </c>
      <c r="M26" s="560">
        <v>3987495497554.3418</v>
      </c>
    </row>
    <row r="27" spans="2:13">
      <c r="B27" s="2995" t="s">
        <v>1022</v>
      </c>
      <c r="C27" s="2996">
        <v>232559900069.27731</v>
      </c>
      <c r="D27" s="2996">
        <v>58160181786.804687</v>
      </c>
      <c r="E27" s="2996">
        <v>38560041.479980499</v>
      </c>
      <c r="F27" s="2996">
        <v>332638328.203125</v>
      </c>
      <c r="G27" s="2996">
        <v>291091280225.76514</v>
      </c>
      <c r="H27" s="2997">
        <f t="shared" si="0"/>
        <v>0.29109128022576514</v>
      </c>
      <c r="J27" s="95">
        <v>24043</v>
      </c>
      <c r="K27" s="32">
        <v>10142365767389.207</v>
      </c>
      <c r="L27" s="32">
        <v>6150986147688</v>
      </c>
      <c r="M27" s="560">
        <v>16293351915077.207</v>
      </c>
    </row>
    <row r="28" spans="2:13">
      <c r="B28" s="2995" t="s">
        <v>1024</v>
      </c>
      <c r="C28" s="2996">
        <v>737010985308.54248</v>
      </c>
      <c r="D28" s="2996">
        <v>456693523464</v>
      </c>
      <c r="E28" s="2996">
        <v>412215943.80468607</v>
      </c>
      <c r="F28" s="2996">
        <v>984260398</v>
      </c>
      <c r="G28" s="2996">
        <v>1195100985114.3472</v>
      </c>
      <c r="H28" s="2997">
        <f t="shared" si="0"/>
        <v>1.1951009851143473</v>
      </c>
      <c r="J28" s="95">
        <v>24045</v>
      </c>
      <c r="K28" s="32">
        <v>5372604195512.3965</v>
      </c>
      <c r="L28" s="32">
        <v>1144670919232</v>
      </c>
      <c r="M28" s="560">
        <v>6517275114744.3965</v>
      </c>
    </row>
    <row r="29" spans="2:13">
      <c r="B29" s="2995" t="s">
        <v>1027</v>
      </c>
      <c r="C29" s="2996">
        <v>391006434369.70215</v>
      </c>
      <c r="D29" s="2996">
        <v>84839208331</v>
      </c>
      <c r="E29" s="2996">
        <v>294447804</v>
      </c>
      <c r="F29" s="2996">
        <v>562250442</v>
      </c>
      <c r="G29" s="2996">
        <v>476702340946.70215</v>
      </c>
      <c r="H29" s="2997">
        <f t="shared" si="0"/>
        <v>0.47670234094670216</v>
      </c>
      <c r="J29" s="95">
        <v>24047</v>
      </c>
      <c r="K29" s="32">
        <v>3940291013796.1074</v>
      </c>
      <c r="L29" s="32">
        <v>910584256710</v>
      </c>
      <c r="M29" s="560">
        <v>4850875270506.1074</v>
      </c>
    </row>
    <row r="30" spans="2:13">
      <c r="B30" s="2995" t="s">
        <v>1029</v>
      </c>
      <c r="C30" s="2996">
        <v>286400499874.11792</v>
      </c>
      <c r="D30" s="2996">
        <v>67487678886.500008</v>
      </c>
      <c r="E30" s="2996">
        <v>425463189</v>
      </c>
      <c r="F30" s="2996">
        <v>416132007</v>
      </c>
      <c r="G30" s="2996">
        <v>354729773956.61792</v>
      </c>
      <c r="H30" s="2997">
        <f t="shared" si="0"/>
        <v>0.35472977395661792</v>
      </c>
      <c r="J30" s="95">
        <v>24510</v>
      </c>
      <c r="K30" s="32">
        <v>18905227025695</v>
      </c>
      <c r="L30" s="32">
        <v>4979440752818</v>
      </c>
      <c r="M30" s="560">
        <v>23884667778513</v>
      </c>
    </row>
    <row r="31" spans="2:13">
      <c r="B31" s="2995" t="s">
        <v>986</v>
      </c>
      <c r="C31" s="2996">
        <v>1373150909096.0996</v>
      </c>
      <c r="D31" s="2996">
        <v>369096805785</v>
      </c>
      <c r="E31" s="2996">
        <v>1607696558</v>
      </c>
      <c r="F31" s="2996">
        <v>1941484308</v>
      </c>
      <c r="G31" s="2996">
        <v>1745796895747.0996</v>
      </c>
      <c r="H31" s="2997">
        <f t="shared" si="0"/>
        <v>1.7457968957470995</v>
      </c>
      <c r="J31" s="2847" t="s">
        <v>194</v>
      </c>
      <c r="K31" s="558">
        <v>308906824375322.06</v>
      </c>
      <c r="L31" s="558">
        <v>85777694500813.812</v>
      </c>
      <c r="M31" s="699">
        <v>394684518876135.75</v>
      </c>
    </row>
    <row r="32" spans="2:13" ht="15">
      <c r="B32" s="2998" t="s">
        <v>1390</v>
      </c>
      <c r="C32" s="2999">
        <v>22439127227816.469</v>
      </c>
      <c r="D32" s="2999">
        <v>6360214316803.125</v>
      </c>
      <c r="E32" s="2999">
        <v>9947876811.5874023</v>
      </c>
      <c r="F32" s="2999">
        <v>32912026426.905762</v>
      </c>
      <c r="G32" s="2999">
        <v>28842201447858.094</v>
      </c>
      <c r="H32" s="3000">
        <f t="shared" si="0"/>
        <v>28.842201447858095</v>
      </c>
      <c r="J32" s="95" t="s">
        <v>1393</v>
      </c>
      <c r="K32" s="559">
        <v>2839</v>
      </c>
      <c r="L32" s="559">
        <v>3167</v>
      </c>
      <c r="M32" s="2848" t="s">
        <v>1394</v>
      </c>
    </row>
    <row r="33" spans="2:34">
      <c r="B33" s="3001"/>
      <c r="C33" s="3002"/>
      <c r="D33" s="3002"/>
      <c r="E33" s="3002"/>
      <c r="F33" s="3002"/>
      <c r="G33" s="3002"/>
      <c r="H33" s="3003"/>
      <c r="J33" s="95" t="s">
        <v>1395</v>
      </c>
      <c r="K33" s="32">
        <v>41.762</v>
      </c>
      <c r="L33" s="32">
        <v>43.716999999999999</v>
      </c>
      <c r="M33" s="2848" t="s">
        <v>1396</v>
      </c>
    </row>
    <row r="34" spans="2:34" ht="12" thickBot="1">
      <c r="B34" s="3004" t="s">
        <v>1674</v>
      </c>
      <c r="C34" s="3005">
        <f>C32/1000000000000</f>
        <v>22.439127227816467</v>
      </c>
      <c r="D34" s="3005">
        <f>D32/1000000000000</f>
        <v>6.3602143168031251</v>
      </c>
      <c r="E34" s="3005">
        <f>E32/1000000000000</f>
        <v>9.9478768115874028E-3</v>
      </c>
      <c r="F34" s="3005">
        <f>F32/1000000000000</f>
        <v>3.2912026426905765E-2</v>
      </c>
      <c r="G34" s="3005">
        <f>G32/1000000000000</f>
        <v>28.842201447858095</v>
      </c>
      <c r="H34" s="3006"/>
      <c r="J34" s="202"/>
      <c r="K34" s="203"/>
      <c r="L34" s="203"/>
      <c r="M34" s="665"/>
    </row>
    <row r="35" spans="2:34" ht="15.75" thickBot="1">
      <c r="B35" s="3007"/>
      <c r="C35" s="91"/>
      <c r="D35" s="91"/>
      <c r="E35" s="91"/>
      <c r="F35" s="91"/>
      <c r="G35" s="91"/>
      <c r="H35" s="3008"/>
      <c r="J35" s="2885" t="s">
        <v>1397</v>
      </c>
      <c r="K35" s="2886">
        <f>+K31/(K32*K33)</f>
        <v>2605438469.7111106</v>
      </c>
      <c r="L35" s="2886">
        <f>+L31/(L32*L33)</f>
        <v>619549419.31653035</v>
      </c>
      <c r="M35" s="2887" t="s">
        <v>1398</v>
      </c>
    </row>
    <row r="36" spans="2:34" ht="15.75" thickTop="1">
      <c r="J36" s="2882"/>
      <c r="K36" s="2883">
        <f>+K35/1000</f>
        <v>2605438.4697111105</v>
      </c>
      <c r="L36" s="2883">
        <f>+L35/1000</f>
        <v>619549.41931653034</v>
      </c>
      <c r="M36" s="2884" t="s">
        <v>1399</v>
      </c>
    </row>
    <row r="39" spans="2:34" ht="15">
      <c r="B39" s="2849" t="s">
        <v>129</v>
      </c>
      <c r="C39" s="444"/>
      <c r="D39" s="444"/>
    </row>
    <row r="40" spans="2:34" ht="15">
      <c r="B40" s="2850" t="s">
        <v>217</v>
      </c>
      <c r="C40" s="2851">
        <v>124238</v>
      </c>
      <c r="D40" s="1872" t="s">
        <v>130</v>
      </c>
      <c r="E40" s="444"/>
    </row>
    <row r="41" spans="2:34" ht="15">
      <c r="B41" s="2850" t="s">
        <v>219</v>
      </c>
      <c r="C41" s="2851">
        <v>138690</v>
      </c>
      <c r="D41" s="1872" t="s">
        <v>130</v>
      </c>
      <c r="E41" s="444"/>
    </row>
    <row r="46" spans="2:34" ht="12" thickBot="1"/>
    <row r="47" spans="2:34" ht="21.75" thickTop="1">
      <c r="B47" s="958" t="s">
        <v>939</v>
      </c>
      <c r="C47" s="969"/>
      <c r="D47" s="970"/>
      <c r="E47" s="971"/>
      <c r="F47" s="970"/>
      <c r="G47" s="972"/>
      <c r="H47" s="973"/>
      <c r="I47" s="974"/>
      <c r="J47" s="973"/>
      <c r="K47" s="975"/>
      <c r="L47" s="976"/>
      <c r="M47" s="975"/>
      <c r="N47" s="876"/>
      <c r="O47" s="876"/>
      <c r="P47" s="2874"/>
      <c r="Q47" s="876"/>
      <c r="R47" s="876"/>
      <c r="S47" s="877"/>
      <c r="T47" s="3"/>
      <c r="U47" s="3"/>
      <c r="V47" s="3"/>
      <c r="W47" s="3"/>
      <c r="X47" s="3"/>
      <c r="Y47" s="6"/>
      <c r="Z47" s="3"/>
      <c r="AA47" s="3"/>
      <c r="AB47" s="3"/>
      <c r="AC47" s="3"/>
      <c r="AD47" s="3"/>
      <c r="AE47" s="3"/>
      <c r="AF47" s="6"/>
      <c r="AG47" s="6"/>
      <c r="AH47" s="3"/>
    </row>
    <row r="48" spans="2:34">
      <c r="B48" s="895"/>
      <c r="C48" s="3"/>
      <c r="D48" s="3"/>
      <c r="E48" s="3"/>
      <c r="F48" s="3"/>
      <c r="G48" s="3"/>
      <c r="H48" s="3"/>
      <c r="I48" s="3"/>
      <c r="J48" s="3"/>
      <c r="K48" s="3"/>
      <c r="L48" s="3"/>
      <c r="M48" s="3"/>
      <c r="N48" s="3"/>
      <c r="O48" s="3"/>
      <c r="P48" s="6"/>
      <c r="Q48" s="3"/>
      <c r="R48" s="3"/>
      <c r="S48" s="954"/>
      <c r="T48" s="3"/>
      <c r="U48" s="3"/>
      <c r="V48" s="3"/>
      <c r="W48" s="3"/>
      <c r="X48" s="3"/>
      <c r="Y48" s="6"/>
      <c r="Z48" s="3"/>
      <c r="AA48" s="3"/>
      <c r="AB48" s="3"/>
      <c r="AC48" s="3"/>
      <c r="AD48" s="3"/>
      <c r="AE48" s="3"/>
      <c r="AF48" s="6"/>
      <c r="AG48" s="6"/>
      <c r="AH48" s="3"/>
    </row>
    <row r="49" spans="2:34" ht="21">
      <c r="B49" s="961" t="s">
        <v>1344</v>
      </c>
      <c r="C49" s="962"/>
      <c r="D49" s="963"/>
      <c r="E49" s="963"/>
      <c r="F49" s="962"/>
      <c r="G49" s="962"/>
      <c r="H49" s="962"/>
      <c r="I49" s="962"/>
      <c r="J49" s="962"/>
      <c r="K49" s="962"/>
      <c r="L49" s="218"/>
      <c r="M49" s="218"/>
      <c r="N49" s="218"/>
      <c r="O49" s="218"/>
      <c r="P49" s="467"/>
      <c r="Q49" s="218"/>
      <c r="R49" s="218"/>
      <c r="S49" s="522"/>
      <c r="T49" s="3"/>
      <c r="U49" s="3"/>
      <c r="V49" s="3"/>
      <c r="W49" s="3"/>
      <c r="X49" s="3"/>
      <c r="Y49" s="6"/>
      <c r="Z49" s="3"/>
      <c r="AA49" s="3"/>
      <c r="AB49" s="3"/>
      <c r="AC49" s="3"/>
      <c r="AD49" s="3"/>
      <c r="AE49" s="3"/>
      <c r="AF49" s="6"/>
      <c r="AG49" s="6"/>
      <c r="AH49" s="3"/>
    </row>
    <row r="50" spans="2:34">
      <c r="B50" s="895"/>
      <c r="C50" s="3"/>
      <c r="D50" s="3"/>
      <c r="E50" s="3"/>
      <c r="F50" s="3"/>
      <c r="G50" s="3"/>
      <c r="H50" s="3"/>
      <c r="I50" s="3"/>
      <c r="J50" s="3"/>
      <c r="K50" s="3"/>
      <c r="L50" s="3"/>
      <c r="M50" s="3"/>
      <c r="N50" s="3"/>
      <c r="O50" s="3"/>
      <c r="P50" s="6"/>
      <c r="Q50" s="3"/>
      <c r="R50" s="3"/>
      <c r="S50" s="954"/>
      <c r="T50" s="3"/>
      <c r="U50" s="3"/>
      <c r="V50" s="3"/>
      <c r="W50" s="3"/>
      <c r="X50" s="3"/>
      <c r="Y50" s="6"/>
      <c r="Z50" s="3"/>
      <c r="AA50" s="3"/>
      <c r="AB50" s="3"/>
      <c r="AC50" s="3"/>
      <c r="AD50" s="3"/>
      <c r="AE50" s="3"/>
      <c r="AF50" s="6"/>
      <c r="AG50" s="6"/>
      <c r="AH50" s="3"/>
    </row>
    <row r="51" spans="2:34">
      <c r="B51" s="895"/>
      <c r="C51" s="3"/>
      <c r="D51" s="3"/>
      <c r="E51" s="3"/>
      <c r="F51" s="3"/>
      <c r="G51" s="3"/>
      <c r="H51" s="3"/>
      <c r="I51" s="3"/>
      <c r="J51" s="3"/>
      <c r="K51" s="3"/>
      <c r="L51" s="3"/>
      <c r="M51" s="3"/>
      <c r="N51" s="3"/>
      <c r="O51" s="3"/>
      <c r="P51" s="6"/>
      <c r="Q51" s="3"/>
      <c r="R51" s="3"/>
      <c r="S51" s="954"/>
      <c r="T51" s="3"/>
      <c r="U51" s="3"/>
      <c r="V51" s="3"/>
      <c r="W51" s="3"/>
      <c r="X51" s="3"/>
      <c r="Y51" s="6"/>
      <c r="Z51" s="3"/>
      <c r="AA51" s="3"/>
      <c r="AB51" s="3"/>
      <c r="AC51" s="3"/>
      <c r="AD51" s="3"/>
      <c r="AE51" s="3"/>
      <c r="AF51" s="6"/>
      <c r="AG51" s="6"/>
      <c r="AH51" s="3"/>
    </row>
    <row r="52" spans="2:34" ht="13.5" thickBot="1">
      <c r="B52" s="964"/>
      <c r="C52" s="3"/>
      <c r="D52" s="3"/>
      <c r="E52" s="965"/>
      <c r="F52" s="966"/>
      <c r="G52" s="966"/>
      <c r="H52" s="965"/>
      <c r="I52" s="965"/>
      <c r="J52" s="965"/>
      <c r="K52" s="965"/>
      <c r="L52" s="965"/>
      <c r="M52" s="2857"/>
      <c r="N52" s="965"/>
      <c r="O52" s="965"/>
      <c r="P52" s="965"/>
      <c r="S52" s="954"/>
      <c r="T52" s="3"/>
      <c r="U52" s="3"/>
      <c r="V52" s="3"/>
      <c r="W52" s="3"/>
      <c r="X52" s="3"/>
      <c r="Y52" s="6"/>
      <c r="Z52" s="3"/>
      <c r="AA52" s="3"/>
      <c r="AB52" s="3"/>
      <c r="AC52" s="3"/>
      <c r="AD52" s="3"/>
      <c r="AE52" s="3"/>
      <c r="AF52" s="6"/>
      <c r="AG52" s="2879"/>
      <c r="AH52" s="3"/>
    </row>
    <row r="53" spans="2:34" ht="14.25" thickTop="1" thickBot="1">
      <c r="B53" s="2418"/>
      <c r="C53" s="935" t="s">
        <v>104</v>
      </c>
      <c r="D53" s="2427"/>
      <c r="E53" s="2428"/>
      <c r="F53" s="2428"/>
      <c r="G53" s="2429" t="s">
        <v>937</v>
      </c>
      <c r="H53" s="2430"/>
      <c r="I53" s="2430"/>
      <c r="J53" s="2430"/>
      <c r="K53" s="2431"/>
      <c r="L53" s="6"/>
      <c r="M53" s="2432"/>
      <c r="N53" s="2433" t="s">
        <v>938</v>
      </c>
      <c r="O53" s="2434"/>
      <c r="P53" s="2434"/>
      <c r="Q53" s="2434"/>
      <c r="R53" s="2435"/>
      <c r="S53" s="954"/>
      <c r="T53" s="3"/>
      <c r="U53" s="3"/>
      <c r="V53" s="3"/>
      <c r="W53" s="3"/>
      <c r="X53" s="3"/>
      <c r="Y53" s="6"/>
      <c r="Z53" s="3"/>
      <c r="AA53" s="3"/>
      <c r="AB53" s="3"/>
      <c r="AC53" s="3"/>
      <c r="AD53" s="3"/>
      <c r="AE53" s="3"/>
      <c r="AF53" s="467"/>
      <c r="AG53" s="2879"/>
      <c r="AH53" s="218"/>
    </row>
    <row r="54" spans="2:34" ht="25.5" customHeight="1" thickTop="1" thickBot="1">
      <c r="B54" s="2419" t="s">
        <v>1110</v>
      </c>
      <c r="C54" s="2420" t="s">
        <v>131</v>
      </c>
      <c r="D54" s="2861"/>
      <c r="E54" s="2864" t="s">
        <v>684</v>
      </c>
      <c r="F54" s="2864" t="s">
        <v>685</v>
      </c>
      <c r="G54" s="2864" t="s">
        <v>940</v>
      </c>
      <c r="H54" s="2865"/>
      <c r="I54" s="2864" t="s">
        <v>687</v>
      </c>
      <c r="J54" s="2865"/>
      <c r="K54" s="2866" t="s">
        <v>1400</v>
      </c>
      <c r="L54" s="2976"/>
      <c r="M54" s="2876" t="s">
        <v>688</v>
      </c>
      <c r="N54" s="2877" t="s">
        <v>689</v>
      </c>
      <c r="O54" s="2422"/>
      <c r="P54" s="2877" t="s">
        <v>1671</v>
      </c>
      <c r="Q54" s="2422"/>
      <c r="R54" s="2878" t="s">
        <v>1401</v>
      </c>
      <c r="S54" s="954"/>
      <c r="T54" s="3"/>
      <c r="U54" s="3"/>
      <c r="V54" s="3"/>
      <c r="W54" s="3"/>
      <c r="X54" s="3"/>
      <c r="Y54" s="6"/>
      <c r="Z54" s="3"/>
      <c r="AA54" s="3"/>
      <c r="AB54" s="3"/>
      <c r="AC54" s="3"/>
      <c r="AD54" s="3"/>
      <c r="AE54" s="3"/>
      <c r="AF54" s="467"/>
      <c r="AG54" s="2880"/>
      <c r="AH54" s="218"/>
    </row>
    <row r="55" spans="2:34" ht="31.5" customHeight="1" thickTop="1">
      <c r="B55" s="2421" t="s">
        <v>935</v>
      </c>
      <c r="C55" s="2858">
        <f>L35</f>
        <v>619549419.31653035</v>
      </c>
      <c r="D55" s="490"/>
      <c r="E55" s="2867">
        <v>3.1920000000000002</v>
      </c>
      <c r="F55" s="2868">
        <v>4.0000000000000002E-4</v>
      </c>
      <c r="G55" s="2869">
        <f>C55*E55*F55/1000000000</f>
        <v>7.9104069858334603E-4</v>
      </c>
      <c r="H55" s="2870" t="s">
        <v>951</v>
      </c>
      <c r="I55" s="2871">
        <f>G55*310*12/44*1000</f>
        <v>66.878895425682884</v>
      </c>
      <c r="J55" s="2870" t="s">
        <v>951</v>
      </c>
      <c r="K55" s="2872">
        <f>(I55*310)/1000000</f>
        <v>2.0732457581961693E-2</v>
      </c>
      <c r="L55" s="2880"/>
      <c r="M55" s="499">
        <v>2.3E-3</v>
      </c>
      <c r="N55" s="2855">
        <f>C55*E55*M55/1000000000</f>
        <v>4.5484840168542396E-3</v>
      </c>
      <c r="O55" s="2856" t="s">
        <v>951</v>
      </c>
      <c r="P55" s="2415">
        <f>N55*1000</f>
        <v>4.54848401685424</v>
      </c>
      <c r="Q55" s="2856" t="s">
        <v>951</v>
      </c>
      <c r="R55" s="2854">
        <f>(P55*21)/1000000</f>
        <v>9.5518164353939044E-5</v>
      </c>
      <c r="S55" s="954"/>
      <c r="T55" s="3"/>
      <c r="U55" s="3"/>
      <c r="V55" s="3"/>
      <c r="W55" s="3"/>
      <c r="X55" s="3"/>
      <c r="Y55" s="6"/>
      <c r="Z55" s="3"/>
      <c r="AA55" s="3"/>
      <c r="AB55" s="3"/>
      <c r="AC55" s="3"/>
      <c r="AD55" s="3"/>
      <c r="AE55" s="3"/>
      <c r="AF55" s="467"/>
      <c r="AG55" s="2881"/>
      <c r="AH55" s="218"/>
    </row>
    <row r="56" spans="2:34" ht="12.75">
      <c r="B56" s="2423" t="s">
        <v>934</v>
      </c>
      <c r="C56" s="2859">
        <f>K35</f>
        <v>2605438469.7111106</v>
      </c>
      <c r="D56" s="489"/>
      <c r="E56" s="2873">
        <v>2.8008999999999999</v>
      </c>
      <c r="F56" s="2868">
        <v>4.0000000000000002E-4</v>
      </c>
      <c r="G56" s="2869">
        <f>C56*E56*F56/1000000000</f>
        <v>2.9190290439255399E-3</v>
      </c>
      <c r="H56" s="2870" t="s">
        <v>951</v>
      </c>
      <c r="I56" s="2871">
        <f>G56*310*(12/44)*1000</f>
        <v>246.79063735006835</v>
      </c>
      <c r="J56" s="2870" t="s">
        <v>951</v>
      </c>
      <c r="K56" s="2872">
        <f>(I56*310)/1000000</f>
        <v>7.6505097578521197E-2</v>
      </c>
      <c r="L56" s="467"/>
      <c r="M56" s="499">
        <v>4.4999999999999998E-2</v>
      </c>
      <c r="N56" s="2855">
        <f>C56*E56*M56/1000000000</f>
        <v>0.32839076744162321</v>
      </c>
      <c r="O56" s="2856" t="s">
        <v>951</v>
      </c>
      <c r="P56" s="2415">
        <f>N56*1000</f>
        <v>328.39076744162321</v>
      </c>
      <c r="Q56" s="2856" t="s">
        <v>951</v>
      </c>
      <c r="R56" s="2854">
        <f>(P56*21)/1000000</f>
        <v>6.8962061162740878E-3</v>
      </c>
      <c r="S56" s="954"/>
      <c r="T56" s="3"/>
      <c r="U56" s="3"/>
      <c r="V56" s="3"/>
      <c r="W56" s="3"/>
      <c r="X56" s="3"/>
      <c r="Y56" s="6"/>
      <c r="Z56" s="3"/>
      <c r="AA56" s="3"/>
      <c r="AB56" s="3"/>
      <c r="AC56" s="3"/>
      <c r="AD56" s="3"/>
      <c r="AE56" s="3"/>
      <c r="AF56" s="467"/>
      <c r="AG56" s="2881"/>
      <c r="AH56" s="218"/>
    </row>
    <row r="57" spans="2:34" ht="23.25" thickBot="1">
      <c r="B57" s="2423"/>
      <c r="C57" s="2860"/>
      <c r="D57" s="487"/>
      <c r="E57" s="2852"/>
      <c r="F57" s="2852"/>
      <c r="G57" s="2862" t="s">
        <v>1400</v>
      </c>
      <c r="H57" s="478"/>
      <c r="I57" s="497"/>
      <c r="J57" s="478"/>
      <c r="K57" s="2863">
        <f>(K55+K56)/1000000</f>
        <v>9.72375551604829E-8</v>
      </c>
      <c r="L57" s="467"/>
      <c r="M57" s="2853"/>
      <c r="N57" s="2977"/>
      <c r="O57" s="478"/>
      <c r="P57" s="500"/>
      <c r="Q57" s="478"/>
      <c r="R57" s="2875">
        <f>SUM(R55:R56)</f>
        <v>6.9917242806280273E-3</v>
      </c>
      <c r="S57" s="954"/>
      <c r="T57" s="3"/>
      <c r="U57" s="3"/>
      <c r="V57" s="3"/>
      <c r="W57" s="3"/>
      <c r="X57" s="3"/>
      <c r="Y57" s="6"/>
      <c r="Z57" s="3"/>
      <c r="AA57" s="3"/>
      <c r="AB57" s="3"/>
      <c r="AC57" s="3"/>
      <c r="AD57" s="3"/>
      <c r="AE57" s="3"/>
      <c r="AF57" s="467"/>
      <c r="AG57" s="2881"/>
      <c r="AH57" s="218"/>
    </row>
    <row r="58" spans="2:34" ht="12.75" customHeight="1" thickTop="1" thickBot="1">
      <c r="B58" s="883"/>
      <c r="C58" s="603"/>
      <c r="D58" s="510"/>
      <c r="E58" s="511"/>
      <c r="F58" s="511"/>
      <c r="G58" s="512"/>
      <c r="H58" s="512"/>
      <c r="I58" s="512"/>
      <c r="J58" s="512"/>
      <c r="K58" s="513"/>
      <c r="L58" s="467"/>
      <c r="M58" s="514"/>
      <c r="N58" s="512"/>
      <c r="O58" s="512"/>
      <c r="P58" s="512"/>
      <c r="Q58" s="512"/>
      <c r="R58" s="513"/>
      <c r="S58" s="884"/>
      <c r="T58" s="3"/>
      <c r="U58" s="3"/>
      <c r="V58" s="3"/>
      <c r="W58" s="3"/>
      <c r="X58" s="3"/>
      <c r="Y58" s="6"/>
      <c r="Z58" s="3"/>
      <c r="AA58" s="3"/>
      <c r="AB58" s="3"/>
      <c r="AC58" s="3"/>
      <c r="AD58" s="3"/>
      <c r="AE58" s="3"/>
      <c r="AF58" s="6"/>
      <c r="AG58" s="6"/>
      <c r="AH58" s="3"/>
    </row>
    <row r="59" spans="2:34" ht="12" thickTop="1"/>
  </sheetData>
  <sheetProtection password="CD58" sheet="1" objects="1" scenarios="1"/>
  <mergeCells count="4">
    <mergeCell ref="B4:H4"/>
    <mergeCell ref="C6:G6"/>
    <mergeCell ref="J4:N4"/>
    <mergeCell ref="A2:K2"/>
  </mergeCells>
  <pageMargins left="0.26" right="0.16" top="0.75" bottom="0.75" header="0.3" footer="0.3"/>
  <pageSetup scale="89" orientation="landscape" r:id="rId1"/>
  <rowBreaks count="1" manualBreakCount="1">
    <brk id="36" max="16383" man="1"/>
  </rowBreaks>
  <colBreaks count="1" manualBreakCount="1">
    <brk id="9" max="1048575" man="1"/>
  </colBreaks>
  <drawing r:id="rId2"/>
  <picture r:id="rId3"/>
</worksheet>
</file>

<file path=xl/worksheets/sheet7.xml><?xml version="1.0" encoding="utf-8"?>
<worksheet xmlns="http://schemas.openxmlformats.org/spreadsheetml/2006/main" xmlns:r="http://schemas.openxmlformats.org/officeDocument/2006/relationships">
  <sheetPr codeName="Sheet12"/>
  <dimension ref="A1:K15250"/>
  <sheetViews>
    <sheetView workbookViewId="0">
      <selection activeCell="H9704" sqref="H9704"/>
    </sheetView>
  </sheetViews>
  <sheetFormatPr defaultRowHeight="11.25" outlineLevelRow="2"/>
  <cols>
    <col min="1" max="1" width="3.1640625" customWidth="1"/>
    <col min="2" max="2" width="26.1640625" style="188" bestFit="1" customWidth="1"/>
    <col min="3" max="3" width="14.6640625" style="188" bestFit="1" customWidth="1"/>
    <col min="4" max="4" width="29.1640625" style="188" bestFit="1" customWidth="1"/>
    <col min="5" max="5" width="40.1640625" style="188" bestFit="1" customWidth="1"/>
    <col min="6" max="7" width="14.83203125" style="188" customWidth="1"/>
    <col min="11" max="11" width="27.6640625" customWidth="1"/>
    <col min="12" max="12" width="14.6640625" customWidth="1"/>
    <col min="13" max="13" width="14.33203125" customWidth="1"/>
    <col min="14" max="14" width="11.33203125" customWidth="1"/>
    <col min="15" max="15" width="13" customWidth="1"/>
  </cols>
  <sheetData>
    <row r="1" spans="1:11" s="86" customFormat="1" ht="33" customHeight="1">
      <c r="A1" s="211" t="s">
        <v>1724</v>
      </c>
      <c r="B1" s="212"/>
      <c r="E1" s="547"/>
    </row>
    <row r="2" spans="1:11" s="86" customFormat="1" ht="81" customHeight="1">
      <c r="A2" s="3075"/>
      <c r="B2" s="3075"/>
      <c r="C2" s="3075"/>
      <c r="D2" s="3075"/>
      <c r="E2" s="3075"/>
      <c r="F2" s="3075"/>
      <c r="G2" s="3075"/>
      <c r="H2" s="3075"/>
      <c r="I2" s="3075"/>
      <c r="J2" s="3075"/>
      <c r="K2" s="3075"/>
    </row>
    <row r="3" spans="1:11" ht="12" thickBot="1"/>
    <row r="4" spans="1:11" ht="12" thickBot="1">
      <c r="B4" s="3076" t="s">
        <v>1663</v>
      </c>
      <c r="C4" s="3077"/>
      <c r="D4" s="3077"/>
      <c r="E4" s="3077"/>
      <c r="F4" s="3078"/>
      <c r="G4"/>
    </row>
    <row r="5" spans="1:11">
      <c r="B5" s="94"/>
      <c r="C5" s="556"/>
      <c r="D5" s="556"/>
      <c r="E5" s="556"/>
      <c r="F5" s="557"/>
      <c r="G5"/>
    </row>
    <row r="6" spans="1:11">
      <c r="B6" s="95"/>
      <c r="C6" s="465" t="s">
        <v>1661</v>
      </c>
      <c r="D6" s="465" t="s">
        <v>1662</v>
      </c>
      <c r="E6" s="465" t="s">
        <v>1661</v>
      </c>
      <c r="F6" s="2893" t="s">
        <v>1662</v>
      </c>
      <c r="G6"/>
    </row>
    <row r="7" spans="1:11">
      <c r="B7" s="95"/>
      <c r="C7" s="694" t="s">
        <v>1660</v>
      </c>
      <c r="D7" s="694" t="s">
        <v>1660</v>
      </c>
      <c r="E7" s="694" t="s">
        <v>1664</v>
      </c>
      <c r="F7" s="2898" t="s">
        <v>1664</v>
      </c>
      <c r="G7"/>
    </row>
    <row r="8" spans="1:11">
      <c r="B8" s="1237" t="s">
        <v>1657</v>
      </c>
      <c r="C8" s="670">
        <f>F329</f>
        <v>213.28249540396209</v>
      </c>
      <c r="D8" s="670">
        <f>G329</f>
        <v>16642.246187701403</v>
      </c>
      <c r="E8" s="711">
        <f>C8*21*0.907184/1000000</f>
        <v>4.0632158135215065E-3</v>
      </c>
      <c r="F8" s="2895">
        <f>D8*0.907184/1000000</f>
        <v>1.5097579465543709E-2</v>
      </c>
      <c r="G8"/>
    </row>
    <row r="9" spans="1:11">
      <c r="B9" s="1237" t="s">
        <v>1654</v>
      </c>
      <c r="C9" s="670">
        <f>F2798</f>
        <v>1218.0977114867603</v>
      </c>
      <c r="D9" s="670">
        <f>G2798</f>
        <v>1194330.697541289</v>
      </c>
      <c r="E9" s="711">
        <f>C9*21*0.907184/1000000</f>
        <v>2.3205813840245507E-2</v>
      </c>
      <c r="F9" s="2895">
        <f>D9*0.907184/1000000</f>
        <v>1.0834776995182966</v>
      </c>
      <c r="G9"/>
    </row>
    <row r="10" spans="1:11">
      <c r="B10" s="1237" t="s">
        <v>1658</v>
      </c>
      <c r="C10" s="670">
        <f>F3567</f>
        <v>28.073934767737196</v>
      </c>
      <c r="D10" s="670">
        <f>G3567</f>
        <v>182467.48142821679</v>
      </c>
      <c r="E10" s="711">
        <f>C10*21*0.907184/1000000</f>
        <v>5.3483271320503285E-4</v>
      </c>
      <c r="F10" s="2895">
        <f>D10*0.907184/1000000</f>
        <v>0.16553157967197543</v>
      </c>
      <c r="G10"/>
    </row>
    <row r="11" spans="1:11">
      <c r="B11" s="1237" t="s">
        <v>1612</v>
      </c>
      <c r="C11" s="670">
        <f>F3616</f>
        <v>0.1420740085064153</v>
      </c>
      <c r="D11" s="670">
        <f>G3616</f>
        <v>88359.709537281567</v>
      </c>
      <c r="E11" s="711">
        <f>C11*21*0.907184/1000000</f>
        <v>2.7066326139905611E-6</v>
      </c>
      <c r="F11" s="2895">
        <f>D11*0.907184/1000000</f>
        <v>8.0158514736869246E-2</v>
      </c>
      <c r="G11"/>
    </row>
    <row r="12" spans="1:11">
      <c r="B12" s="1237" t="s">
        <v>1659</v>
      </c>
      <c r="C12" s="670">
        <f>F5081</f>
        <v>6.6763646010321196</v>
      </c>
      <c r="D12" s="670">
        <f>G5081</f>
        <v>2109619.4317848776</v>
      </c>
      <c r="E12" s="711">
        <f>C12*21*0.907184/1000000</f>
        <v>1.2719051402867716E-4</v>
      </c>
      <c r="F12" s="2895">
        <f>D12*0.907184/1000000</f>
        <v>1.9138129946043323</v>
      </c>
      <c r="G12"/>
    </row>
    <row r="13" spans="1:11" ht="12" thickBot="1">
      <c r="B13" s="1552"/>
      <c r="C13" s="2894">
        <f>SUM(C8:C12)</f>
        <v>1466.2725802679981</v>
      </c>
      <c r="D13" s="2894">
        <f>SUM(D8:D12)</f>
        <v>3591419.5664793663</v>
      </c>
      <c r="E13" s="2896">
        <f>SUM(E8:E12)</f>
        <v>2.7933759513614712E-2</v>
      </c>
      <c r="F13" s="2897">
        <f>SUM(F8:F12)</f>
        <v>3.2580783679970171</v>
      </c>
      <c r="G13"/>
    </row>
    <row r="15" spans="1:11" ht="15">
      <c r="B15" s="3046" t="s">
        <v>1685</v>
      </c>
    </row>
    <row r="16" spans="1:11" ht="18">
      <c r="B16" s="2888" t="s">
        <v>1403</v>
      </c>
      <c r="C16" s="2888" t="s">
        <v>1404</v>
      </c>
      <c r="D16" s="2888" t="s">
        <v>1405</v>
      </c>
      <c r="E16" s="2888" t="s">
        <v>1406</v>
      </c>
      <c r="F16" s="2888" t="s">
        <v>1655</v>
      </c>
      <c r="G16" s="2888" t="s">
        <v>1656</v>
      </c>
    </row>
    <row r="17" spans="2:7" ht="15" hidden="1" outlineLevel="2">
      <c r="B17" s="2889" t="s">
        <v>1407</v>
      </c>
      <c r="C17" s="2889" t="s">
        <v>1505</v>
      </c>
      <c r="D17" s="2889" t="s">
        <v>1054</v>
      </c>
      <c r="E17" s="2889" t="s">
        <v>1423</v>
      </c>
      <c r="F17" s="2890">
        <v>1.536882996822734E-3</v>
      </c>
      <c r="G17" s="2890">
        <v>3.8034520024112894E-2</v>
      </c>
    </row>
    <row r="18" spans="2:7" ht="15" hidden="1" outlineLevel="2">
      <c r="B18" s="2889" t="s">
        <v>1631</v>
      </c>
      <c r="C18" s="2889" t="s">
        <v>1505</v>
      </c>
      <c r="D18" s="2889" t="s">
        <v>1054</v>
      </c>
      <c r="E18" s="2889" t="s">
        <v>1423</v>
      </c>
      <c r="F18" s="2890">
        <v>2.5504325386466391E-2</v>
      </c>
      <c r="G18" s="2890">
        <v>0.63117670345983867</v>
      </c>
    </row>
    <row r="19" spans="2:7" ht="15" hidden="1" outlineLevel="2">
      <c r="B19" s="2889" t="s">
        <v>1632</v>
      </c>
      <c r="C19" s="2889" t="s">
        <v>1505</v>
      </c>
      <c r="D19" s="2889" t="s">
        <v>1054</v>
      </c>
      <c r="E19" s="2889" t="s">
        <v>1423</v>
      </c>
      <c r="F19" s="2890">
        <v>5.9076043619418366E-2</v>
      </c>
      <c r="G19" s="2890">
        <v>1.4620046933460145</v>
      </c>
    </row>
    <row r="20" spans="2:7" ht="15" hidden="1" outlineLevel="2">
      <c r="B20" s="2889" t="s">
        <v>1633</v>
      </c>
      <c r="C20" s="2889" t="s">
        <v>1505</v>
      </c>
      <c r="D20" s="2889" t="s">
        <v>1054</v>
      </c>
      <c r="E20" s="2889" t="s">
        <v>1423</v>
      </c>
      <c r="F20" s="2890">
        <v>4.7941488509969368E-3</v>
      </c>
      <c r="G20" s="2890">
        <v>0.11864478474667108</v>
      </c>
    </row>
    <row r="21" spans="2:7" ht="15" hidden="1" outlineLevel="2">
      <c r="B21" s="2889" t="s">
        <v>1634</v>
      </c>
      <c r="C21" s="2889" t="s">
        <v>1505</v>
      </c>
      <c r="D21" s="2889" t="s">
        <v>1054</v>
      </c>
      <c r="E21" s="2889" t="s">
        <v>1423</v>
      </c>
      <c r="F21" s="2890">
        <v>8.8858136616269104E-4</v>
      </c>
      <c r="G21" s="2890">
        <v>2.1990466408568322E-2</v>
      </c>
    </row>
    <row r="22" spans="2:7" ht="15" hidden="1" outlineLevel="2">
      <c r="B22" s="2889" t="s">
        <v>1635</v>
      </c>
      <c r="C22" s="2889" t="s">
        <v>1505</v>
      </c>
      <c r="D22" s="2889" t="s">
        <v>1054</v>
      </c>
      <c r="E22" s="2889" t="s">
        <v>1423</v>
      </c>
      <c r="F22" s="2890">
        <v>7.4949082658301138E-3</v>
      </c>
      <c r="G22" s="2890">
        <v>0.18548264520015595</v>
      </c>
    </row>
    <row r="23" spans="2:7" ht="15" hidden="1" outlineLevel="2">
      <c r="B23" s="2889" t="s">
        <v>1636</v>
      </c>
      <c r="C23" s="2889" t="s">
        <v>1505</v>
      </c>
      <c r="D23" s="2889" t="s">
        <v>1054</v>
      </c>
      <c r="E23" s="2889" t="s">
        <v>1423</v>
      </c>
      <c r="F23" s="2890">
        <v>6.5793774874574424E-3</v>
      </c>
      <c r="G23" s="2890">
        <v>0.1628252796547337</v>
      </c>
    </row>
    <row r="24" spans="2:7" ht="15" hidden="1" outlineLevel="2">
      <c r="B24" s="2889" t="s">
        <v>1637</v>
      </c>
      <c r="C24" s="2889" t="s">
        <v>1505</v>
      </c>
      <c r="D24" s="2889" t="s">
        <v>1054</v>
      </c>
      <c r="E24" s="2889" t="s">
        <v>1423</v>
      </c>
      <c r="F24" s="2890">
        <v>1.0926796589862158E-2</v>
      </c>
      <c r="G24" s="2890">
        <v>0.27041438970995041</v>
      </c>
    </row>
    <row r="25" spans="2:7" ht="15" hidden="1" outlineLevel="2">
      <c r="B25" s="2889" t="s">
        <v>1638</v>
      </c>
      <c r="C25" s="2889" t="s">
        <v>1505</v>
      </c>
      <c r="D25" s="2889" t="s">
        <v>1054</v>
      </c>
      <c r="E25" s="2889" t="s">
        <v>1423</v>
      </c>
      <c r="F25" s="2890">
        <v>1.4262689421798693E-3</v>
      </c>
      <c r="G25" s="2890">
        <v>3.52970905472434E-2</v>
      </c>
    </row>
    <row r="26" spans="2:7" ht="15" hidden="1" outlineLevel="2">
      <c r="B26" s="2889" t="s">
        <v>1639</v>
      </c>
      <c r="C26" s="2889" t="s">
        <v>1505</v>
      </c>
      <c r="D26" s="2889" t="s">
        <v>1054</v>
      </c>
      <c r="E26" s="2889" t="s">
        <v>1423</v>
      </c>
      <c r="F26" s="2890">
        <v>1.3113157268405772E-2</v>
      </c>
      <c r="G26" s="2890">
        <v>0.32452230721329678</v>
      </c>
    </row>
    <row r="27" spans="2:7" ht="15" hidden="1" outlineLevel="2">
      <c r="B27" s="2889" t="s">
        <v>1640</v>
      </c>
      <c r="C27" s="2889" t="s">
        <v>1505</v>
      </c>
      <c r="D27" s="2889" t="s">
        <v>1054</v>
      </c>
      <c r="E27" s="2889" t="s">
        <v>1423</v>
      </c>
      <c r="F27" s="2890">
        <v>3.0830178309566867E-3</v>
      </c>
      <c r="G27" s="2890">
        <v>7.6298037165207291E-2</v>
      </c>
    </row>
    <row r="28" spans="2:7" ht="15" hidden="1" outlineLevel="2">
      <c r="B28" s="2889" t="s">
        <v>1641</v>
      </c>
      <c r="C28" s="2889" t="s">
        <v>1505</v>
      </c>
      <c r="D28" s="2889" t="s">
        <v>1054</v>
      </c>
      <c r="E28" s="2889" t="s">
        <v>1423</v>
      </c>
      <c r="F28" s="2890">
        <v>1.5792349637501455E-2</v>
      </c>
      <c r="G28" s="2890">
        <v>0.39082648490303912</v>
      </c>
    </row>
    <row r="29" spans="2:7" ht="15" hidden="1" outlineLevel="2">
      <c r="B29" s="2889" t="s">
        <v>1642</v>
      </c>
      <c r="C29" s="2889" t="s">
        <v>1505</v>
      </c>
      <c r="D29" s="2889" t="s">
        <v>1054</v>
      </c>
      <c r="E29" s="2889" t="s">
        <v>1423</v>
      </c>
      <c r="F29" s="2890">
        <v>1.1335508399852772E-2</v>
      </c>
      <c r="G29" s="2890">
        <v>0.28052916827264052</v>
      </c>
    </row>
    <row r="30" spans="2:7" ht="15" hidden="1" outlineLevel="2">
      <c r="B30" s="2889" t="s">
        <v>1643</v>
      </c>
      <c r="C30" s="2889" t="s">
        <v>1505</v>
      </c>
      <c r="D30" s="2889" t="s">
        <v>1054</v>
      </c>
      <c r="E30" s="2889" t="s">
        <v>1423</v>
      </c>
      <c r="F30" s="2890">
        <v>1.6759397143499147E-3</v>
      </c>
      <c r="G30" s="2890">
        <v>4.1475881852695101E-2</v>
      </c>
    </row>
    <row r="31" spans="2:7" ht="15" hidden="1" outlineLevel="2">
      <c r="B31" s="2889" t="s">
        <v>1644</v>
      </c>
      <c r="C31" s="2889" t="s">
        <v>1505</v>
      </c>
      <c r="D31" s="2889" t="s">
        <v>1054</v>
      </c>
      <c r="E31" s="2889" t="s">
        <v>1423</v>
      </c>
      <c r="F31" s="2890">
        <v>3.6898614004771145E-2</v>
      </c>
      <c r="G31" s="2890">
        <v>0.91315991552201425</v>
      </c>
    </row>
    <row r="32" spans="2:7" ht="15" hidden="1" outlineLevel="2">
      <c r="B32" s="2889" t="s">
        <v>1645</v>
      </c>
      <c r="C32" s="2889" t="s">
        <v>1505</v>
      </c>
      <c r="D32" s="2889" t="s">
        <v>1054</v>
      </c>
      <c r="E32" s="2889" t="s">
        <v>1423</v>
      </c>
      <c r="F32" s="3039">
        <v>4.2139372298977934E-2</v>
      </c>
      <c r="G32" s="2890">
        <v>1.0428584449083387</v>
      </c>
    </row>
    <row r="33" spans="2:7" ht="15" hidden="1" outlineLevel="2">
      <c r="B33" s="2889" t="s">
        <v>1646</v>
      </c>
      <c r="C33" s="2889" t="s">
        <v>1505</v>
      </c>
      <c r="D33" s="2889" t="s">
        <v>1054</v>
      </c>
      <c r="E33" s="2889" t="s">
        <v>1423</v>
      </c>
      <c r="F33" s="3039">
        <v>2.4642046781924443E-3</v>
      </c>
      <c r="G33" s="2890">
        <v>6.0983751720908128E-2</v>
      </c>
    </row>
    <row r="34" spans="2:7" ht="15" hidden="1" outlineLevel="2">
      <c r="B34" s="2889" t="s">
        <v>1647</v>
      </c>
      <c r="C34" s="2889" t="s">
        <v>1505</v>
      </c>
      <c r="D34" s="2889" t="s">
        <v>1054</v>
      </c>
      <c r="E34" s="2889" t="s">
        <v>1423</v>
      </c>
      <c r="F34" s="3039">
        <v>6.1511459337759223E-3</v>
      </c>
      <c r="G34" s="2890">
        <v>0.15222757326723971</v>
      </c>
    </row>
    <row r="35" spans="2:7" ht="15" hidden="1" outlineLevel="2">
      <c r="B35" s="2889" t="s">
        <v>1648</v>
      </c>
      <c r="C35" s="2889" t="s">
        <v>1505</v>
      </c>
      <c r="D35" s="2889" t="s">
        <v>1054</v>
      </c>
      <c r="E35" s="2889" t="s">
        <v>1423</v>
      </c>
      <c r="F35" s="3039">
        <v>6.8961494940410185E-4</v>
      </c>
      <c r="G35" s="2890">
        <v>1.7066500942458269E-2</v>
      </c>
    </row>
    <row r="36" spans="2:7" ht="15" hidden="1" outlineLevel="2">
      <c r="B36" s="2889" t="s">
        <v>1649</v>
      </c>
      <c r="C36" s="2889" t="s">
        <v>1505</v>
      </c>
      <c r="D36" s="2889" t="s">
        <v>1054</v>
      </c>
      <c r="E36" s="2889" t="s">
        <v>1423</v>
      </c>
      <c r="F36" s="3039">
        <v>3.2710550834010154E-3</v>
      </c>
      <c r="G36" s="2890">
        <v>8.0951514053075588E-2</v>
      </c>
    </row>
    <row r="37" spans="2:7" ht="15" hidden="1" outlineLevel="2">
      <c r="B37" s="2889" t="s">
        <v>1650</v>
      </c>
      <c r="C37" s="2889" t="s">
        <v>1505</v>
      </c>
      <c r="D37" s="2889" t="s">
        <v>1054</v>
      </c>
      <c r="E37" s="2889" t="s">
        <v>1423</v>
      </c>
      <c r="F37" s="3039">
        <v>8.1728673325834403E-3</v>
      </c>
      <c r="G37" s="2890">
        <v>0.20226076880445151</v>
      </c>
    </row>
    <row r="38" spans="2:7" ht="15" hidden="1" outlineLevel="2">
      <c r="B38" s="2889" t="s">
        <v>1651</v>
      </c>
      <c r="C38" s="2889" t="s">
        <v>1505</v>
      </c>
      <c r="D38" s="2889" t="s">
        <v>1054</v>
      </c>
      <c r="E38" s="2889" t="s">
        <v>1423</v>
      </c>
      <c r="F38" s="3039">
        <v>4.4716165448079933E-3</v>
      </c>
      <c r="G38" s="2890">
        <v>0.11066290061093272</v>
      </c>
    </row>
    <row r="39" spans="2:7" ht="15" hidden="1" outlineLevel="2">
      <c r="B39" s="2889" t="s">
        <v>1652</v>
      </c>
      <c r="C39" s="2889" t="s">
        <v>1505</v>
      </c>
      <c r="D39" s="2889" t="s">
        <v>1054</v>
      </c>
      <c r="E39" s="2889" t="s">
        <v>1423</v>
      </c>
      <c r="F39" s="3039">
        <v>4.9102281469096121E-3</v>
      </c>
      <c r="G39" s="2890">
        <v>0.1215174373328049</v>
      </c>
    </row>
    <row r="40" spans="2:7" ht="15" hidden="1" outlineLevel="2">
      <c r="B40" s="2889" t="s">
        <v>1653</v>
      </c>
      <c r="C40" s="2889" t="s">
        <v>1505</v>
      </c>
      <c r="D40" s="2889" t="s">
        <v>1054</v>
      </c>
      <c r="E40" s="2889" t="s">
        <v>1423</v>
      </c>
      <c r="F40" s="3039">
        <v>2.1032574139291268E-33</v>
      </c>
      <c r="G40" s="2890">
        <v>5.2051066912620041E-32</v>
      </c>
    </row>
    <row r="41" spans="2:7" ht="15" hidden="1" outlineLevel="2">
      <c r="B41" s="2889" t="s">
        <v>1407</v>
      </c>
      <c r="C41" s="2889" t="s">
        <v>1546</v>
      </c>
      <c r="D41" s="2889" t="s">
        <v>1106</v>
      </c>
      <c r="E41" s="2889" t="s">
        <v>1423</v>
      </c>
      <c r="F41" s="3039">
        <v>2.532990367871486</v>
      </c>
      <c r="G41" s="2890">
        <v>213.16564248675621</v>
      </c>
    </row>
    <row r="42" spans="2:7" ht="15" hidden="1" outlineLevel="2">
      <c r="B42" s="2889" t="s">
        <v>1631</v>
      </c>
      <c r="C42" s="2889" t="s">
        <v>1546</v>
      </c>
      <c r="D42" s="2889" t="s">
        <v>1106</v>
      </c>
      <c r="E42" s="2889" t="s">
        <v>1423</v>
      </c>
      <c r="F42" s="2890">
        <v>10.732806975830586</v>
      </c>
      <c r="G42" s="2890">
        <v>903.22582637940388</v>
      </c>
    </row>
    <row r="43" spans="2:7" ht="15" hidden="1" outlineLevel="2">
      <c r="B43" s="2889" t="s">
        <v>1632</v>
      </c>
      <c r="C43" s="2889" t="s">
        <v>1546</v>
      </c>
      <c r="D43" s="2889" t="s">
        <v>1106</v>
      </c>
      <c r="E43" s="2889" t="s">
        <v>1423</v>
      </c>
      <c r="F43" s="2890">
        <v>19.641874886445571</v>
      </c>
      <c r="G43" s="2890">
        <v>1652.9765598251404</v>
      </c>
    </row>
    <row r="44" spans="2:7" ht="15" hidden="1" outlineLevel="2">
      <c r="B44" s="2889" t="s">
        <v>1633</v>
      </c>
      <c r="C44" s="2889" t="s">
        <v>1546</v>
      </c>
      <c r="D44" s="2889" t="s">
        <v>1106</v>
      </c>
      <c r="E44" s="2889" t="s">
        <v>1423</v>
      </c>
      <c r="F44" s="3039">
        <v>0.525583808714988</v>
      </c>
      <c r="G44" s="2890">
        <v>44.230936721427845</v>
      </c>
    </row>
    <row r="45" spans="2:7" ht="15" hidden="1" outlineLevel="2">
      <c r="B45" s="2889" t="s">
        <v>1634</v>
      </c>
      <c r="C45" s="2889" t="s">
        <v>1546</v>
      </c>
      <c r="D45" s="2889" t="s">
        <v>1106</v>
      </c>
      <c r="E45" s="2889" t="s">
        <v>1423</v>
      </c>
      <c r="F45" s="2890">
        <v>1.2734412747806414</v>
      </c>
      <c r="G45" s="2890">
        <v>107.16731443866195</v>
      </c>
    </row>
    <row r="46" spans="2:7" ht="15" hidden="1" outlineLevel="2">
      <c r="B46" s="2889" t="s">
        <v>1635</v>
      </c>
      <c r="C46" s="2889" t="s">
        <v>1546</v>
      </c>
      <c r="D46" s="2889" t="s">
        <v>1106</v>
      </c>
      <c r="E46" s="2889" t="s">
        <v>1423</v>
      </c>
      <c r="F46" s="2890">
        <v>2.7375127664937215</v>
      </c>
      <c r="G46" s="2890">
        <v>230.37752409074113</v>
      </c>
    </row>
    <row r="47" spans="2:7" ht="15" hidden="1" outlineLevel="2">
      <c r="B47" s="2889" t="s">
        <v>1636</v>
      </c>
      <c r="C47" s="2889" t="s">
        <v>1546</v>
      </c>
      <c r="D47" s="2889" t="s">
        <v>1106</v>
      </c>
      <c r="E47" s="2889" t="s">
        <v>1423</v>
      </c>
      <c r="F47" s="2890">
        <v>2.4967155539909465</v>
      </c>
      <c r="G47" s="2890">
        <v>210.11312856061414</v>
      </c>
    </row>
    <row r="48" spans="2:7" ht="15" hidden="1" outlineLevel="2">
      <c r="B48" s="2889" t="s">
        <v>1637</v>
      </c>
      <c r="C48" s="2889" t="s">
        <v>1546</v>
      </c>
      <c r="D48" s="2889" t="s">
        <v>1106</v>
      </c>
      <c r="E48" s="2889" t="s">
        <v>1423</v>
      </c>
      <c r="F48" s="2890">
        <v>0.86786982752524555</v>
      </c>
      <c r="G48" s="2890">
        <v>73.036230513804767</v>
      </c>
    </row>
    <row r="49" spans="2:7" ht="15" hidden="1" outlineLevel="2">
      <c r="B49" s="2889" t="s">
        <v>1638</v>
      </c>
      <c r="C49" s="2889" t="s">
        <v>1546</v>
      </c>
      <c r="D49" s="2889" t="s">
        <v>1106</v>
      </c>
      <c r="E49" s="2889" t="s">
        <v>1423</v>
      </c>
      <c r="F49" s="2890">
        <v>1.7793456327241908</v>
      </c>
      <c r="G49" s="2890">
        <v>149.7420988733648</v>
      </c>
    </row>
    <row r="50" spans="2:7" ht="15" hidden="1" outlineLevel="2">
      <c r="B50" s="2889" t="s">
        <v>1639</v>
      </c>
      <c r="C50" s="2889" t="s">
        <v>1546</v>
      </c>
      <c r="D50" s="2889" t="s">
        <v>1106</v>
      </c>
      <c r="E50" s="2889" t="s">
        <v>1423</v>
      </c>
      <c r="F50" s="2890">
        <v>6.6242104081908568</v>
      </c>
      <c r="G50" s="2890">
        <v>557.46516693808098</v>
      </c>
    </row>
    <row r="51" spans="2:7" ht="15" hidden="1" outlineLevel="2">
      <c r="B51" s="2889" t="s">
        <v>1640</v>
      </c>
      <c r="C51" s="2889" t="s">
        <v>1546</v>
      </c>
      <c r="D51" s="2889" t="s">
        <v>1106</v>
      </c>
      <c r="E51" s="2889" t="s">
        <v>1423</v>
      </c>
      <c r="F51" s="2890">
        <v>0.65099898777861498</v>
      </c>
      <c r="G51" s="2890">
        <v>54.785345111895403</v>
      </c>
    </row>
    <row r="52" spans="2:7" ht="15" hidden="1" outlineLevel="2">
      <c r="B52" s="2889" t="s">
        <v>1641</v>
      </c>
      <c r="C52" s="2889" t="s">
        <v>1546</v>
      </c>
      <c r="D52" s="2889" t="s">
        <v>1106</v>
      </c>
      <c r="E52" s="2889" t="s">
        <v>1423</v>
      </c>
      <c r="F52" s="2890">
        <v>4.4207684572623789</v>
      </c>
      <c r="G52" s="2890">
        <v>372.0332355345929</v>
      </c>
    </row>
    <row r="53" spans="2:7" ht="15" hidden="1" outlineLevel="2">
      <c r="B53" s="2889" t="s">
        <v>1642</v>
      </c>
      <c r="C53" s="2889" t="s">
        <v>1546</v>
      </c>
      <c r="D53" s="2889" t="s">
        <v>1106</v>
      </c>
      <c r="E53" s="2889" t="s">
        <v>1423</v>
      </c>
      <c r="F53" s="2890">
        <v>6.0040862373129302</v>
      </c>
      <c r="G53" s="2890">
        <v>505.27881869753662</v>
      </c>
    </row>
    <row r="54" spans="2:7" ht="15" hidden="1" outlineLevel="2">
      <c r="B54" s="2889" t="s">
        <v>1643</v>
      </c>
      <c r="C54" s="2889" t="s">
        <v>1546</v>
      </c>
      <c r="D54" s="2889" t="s">
        <v>1106</v>
      </c>
      <c r="E54" s="2889" t="s">
        <v>1423</v>
      </c>
      <c r="F54" s="2890">
        <v>0.80789155494634468</v>
      </c>
      <c r="G54" s="2890">
        <v>67.988785012324257</v>
      </c>
    </row>
    <row r="55" spans="2:7" ht="15" hidden="1" outlineLevel="2">
      <c r="B55" s="2889" t="s">
        <v>1644</v>
      </c>
      <c r="C55" s="2889" t="s">
        <v>1546</v>
      </c>
      <c r="D55" s="2889" t="s">
        <v>1106</v>
      </c>
      <c r="E55" s="2889" t="s">
        <v>1423</v>
      </c>
      <c r="F55" s="2890">
        <v>11.113288835372778</v>
      </c>
      <c r="G55" s="2890">
        <v>935.24610107167052</v>
      </c>
    </row>
    <row r="56" spans="2:7" ht="15" hidden="1" outlineLevel="2">
      <c r="B56" s="2889" t="s">
        <v>1645</v>
      </c>
      <c r="C56" s="2889" t="s">
        <v>1546</v>
      </c>
      <c r="D56" s="2889" t="s">
        <v>1106</v>
      </c>
      <c r="E56" s="2889" t="s">
        <v>1423</v>
      </c>
      <c r="F56" s="2890">
        <v>8.1596736414453552</v>
      </c>
      <c r="G56" s="2890">
        <v>686.68232802853174</v>
      </c>
    </row>
    <row r="57" spans="2:7" ht="15" hidden="1" outlineLevel="2">
      <c r="B57" s="2889" t="s">
        <v>1646</v>
      </c>
      <c r="C57" s="2889" t="s">
        <v>1546</v>
      </c>
      <c r="D57" s="2889" t="s">
        <v>1106</v>
      </c>
      <c r="E57" s="2889" t="s">
        <v>1423</v>
      </c>
      <c r="F57" s="2890">
        <v>0.66836366761285226</v>
      </c>
      <c r="G57" s="2890">
        <v>56.24675521920031</v>
      </c>
    </row>
    <row r="58" spans="2:7" ht="15" hidden="1" outlineLevel="2">
      <c r="B58" s="2889" t="s">
        <v>1647</v>
      </c>
      <c r="C58" s="2889" t="s">
        <v>1546</v>
      </c>
      <c r="D58" s="2889" t="s">
        <v>1106</v>
      </c>
      <c r="E58" s="2889" t="s">
        <v>1423</v>
      </c>
      <c r="F58" s="2890">
        <v>0.36003682338414156</v>
      </c>
      <c r="G58" s="2890">
        <v>30.29914592608592</v>
      </c>
    </row>
    <row r="59" spans="2:7" ht="15" hidden="1" outlineLevel="2">
      <c r="B59" s="2889" t="s">
        <v>1648</v>
      </c>
      <c r="C59" s="2889" t="s">
        <v>1546</v>
      </c>
      <c r="D59" s="2889" t="s">
        <v>1106</v>
      </c>
      <c r="E59" s="2889" t="s">
        <v>1423</v>
      </c>
      <c r="F59" s="2890">
        <v>0.24504086625589908</v>
      </c>
      <c r="G59" s="2890">
        <v>20.621605133530398</v>
      </c>
    </row>
    <row r="60" spans="2:7" ht="15" hidden="1" outlineLevel="2">
      <c r="B60" s="2889" t="s">
        <v>1649</v>
      </c>
      <c r="C60" s="2889" t="s">
        <v>1546</v>
      </c>
      <c r="D60" s="2889" t="s">
        <v>1106</v>
      </c>
      <c r="E60" s="2889" t="s">
        <v>1423</v>
      </c>
      <c r="F60" s="2890">
        <v>1.72184696053828</v>
      </c>
      <c r="G60" s="2890">
        <v>144.90328782563807</v>
      </c>
    </row>
    <row r="61" spans="2:7" ht="15" hidden="1" outlineLevel="2">
      <c r="B61" s="2889" t="s">
        <v>1650</v>
      </c>
      <c r="C61" s="2889" t="s">
        <v>1546</v>
      </c>
      <c r="D61" s="2889" t="s">
        <v>1106</v>
      </c>
      <c r="E61" s="2889" t="s">
        <v>1423</v>
      </c>
      <c r="F61" s="2890">
        <v>6.1819795050413093</v>
      </c>
      <c r="G61" s="2890">
        <v>520.24949159158075</v>
      </c>
    </row>
    <row r="62" spans="2:7" ht="15" hidden="1" outlineLevel="2">
      <c r="B62" s="2889" t="s">
        <v>1651</v>
      </c>
      <c r="C62" s="2889" t="s">
        <v>1546</v>
      </c>
      <c r="D62" s="2889" t="s">
        <v>1106</v>
      </c>
      <c r="E62" s="2889" t="s">
        <v>1423</v>
      </c>
      <c r="F62" s="2890">
        <v>3.1241759318926765</v>
      </c>
      <c r="G62" s="2890">
        <v>262.91739579379703</v>
      </c>
    </row>
    <row r="63" spans="2:7" ht="15" hidden="1" outlineLevel="2">
      <c r="B63" s="2889" t="s">
        <v>1652</v>
      </c>
      <c r="C63" s="2889" t="s">
        <v>1546</v>
      </c>
      <c r="D63" s="2889" t="s">
        <v>1106</v>
      </c>
      <c r="E63" s="2889" t="s">
        <v>1423</v>
      </c>
      <c r="F63" s="2890">
        <v>0.81731815818166542</v>
      </c>
      <c r="G63" s="2890">
        <v>68.781991958313071</v>
      </c>
    </row>
    <row r="64" spans="2:7" ht="15" hidden="1" outlineLevel="2">
      <c r="B64" s="2889" t="s">
        <v>1653</v>
      </c>
      <c r="C64" s="2889" t="s">
        <v>1546</v>
      </c>
      <c r="D64" s="2889" t="s">
        <v>1106</v>
      </c>
      <c r="E64" s="2889" t="s">
        <v>1423</v>
      </c>
      <c r="F64" s="2890">
        <v>14.902749160859653</v>
      </c>
      <c r="G64" s="2890">
        <v>1254.1506084976045</v>
      </c>
    </row>
    <row r="65" spans="2:7" ht="15" hidden="1" outlineLevel="2">
      <c r="B65" s="2889" t="s">
        <v>1407</v>
      </c>
      <c r="C65" s="2889" t="s">
        <v>1547</v>
      </c>
      <c r="D65" s="2889" t="s">
        <v>1106</v>
      </c>
      <c r="E65" s="2889" t="s">
        <v>1423</v>
      </c>
      <c r="F65" s="3039">
        <v>2.7666735069338424E-3</v>
      </c>
      <c r="G65" s="2890">
        <v>0.24227060685691709</v>
      </c>
    </row>
    <row r="66" spans="2:7" ht="15" hidden="1" outlineLevel="2">
      <c r="B66" s="2889" t="s">
        <v>1631</v>
      </c>
      <c r="C66" s="2889" t="s">
        <v>1547</v>
      </c>
      <c r="D66" s="2889" t="s">
        <v>1106</v>
      </c>
      <c r="E66" s="2889" t="s">
        <v>1423</v>
      </c>
      <c r="F66" s="3039">
        <v>1.1722952699144907E-2</v>
      </c>
      <c r="G66" s="2890">
        <v>1.0265490824245398</v>
      </c>
    </row>
    <row r="67" spans="2:7" ht="15" hidden="1" outlineLevel="2">
      <c r="B67" s="2889" t="s">
        <v>1632</v>
      </c>
      <c r="C67" s="2889" t="s">
        <v>1547</v>
      </c>
      <c r="D67" s="2889" t="s">
        <v>1106</v>
      </c>
      <c r="E67" s="2889" t="s">
        <v>1423</v>
      </c>
      <c r="F67" s="3039">
        <v>2.1453937397864074E-2</v>
      </c>
      <c r="G67" s="2890">
        <v>1.8786678090232631</v>
      </c>
    </row>
    <row r="68" spans="2:7" ht="15" hidden="1" outlineLevel="2">
      <c r="B68" s="2889" t="s">
        <v>1633</v>
      </c>
      <c r="C68" s="2889" t="s">
        <v>1547</v>
      </c>
      <c r="D68" s="2889" t="s">
        <v>1106</v>
      </c>
      <c r="E68" s="2889" t="s">
        <v>1423</v>
      </c>
      <c r="F68" s="3039">
        <v>5.7407213601065523E-4</v>
      </c>
      <c r="G68" s="2890">
        <v>5.0269935933692576E-2</v>
      </c>
    </row>
    <row r="69" spans="2:7" ht="15" hidden="1" outlineLevel="2">
      <c r="B69" s="2889" t="s">
        <v>1634</v>
      </c>
      <c r="C69" s="2889" t="s">
        <v>1547</v>
      </c>
      <c r="D69" s="2889" t="s">
        <v>1106</v>
      </c>
      <c r="E69" s="2889" t="s">
        <v>1423</v>
      </c>
      <c r="F69" s="3039">
        <v>1.3909233292681907E-3</v>
      </c>
      <c r="G69" s="2890">
        <v>0.12179963547139701</v>
      </c>
    </row>
    <row r="70" spans="2:7" ht="15" hidden="1" outlineLevel="2">
      <c r="B70" s="2889" t="s">
        <v>1635</v>
      </c>
      <c r="C70" s="2889" t="s">
        <v>1547</v>
      </c>
      <c r="D70" s="2889" t="s">
        <v>1106</v>
      </c>
      <c r="E70" s="2889" t="s">
        <v>1423</v>
      </c>
      <c r="F70" s="3039">
        <v>2.990063603252126E-3</v>
      </c>
      <c r="G70" s="2890">
        <v>0.2618322461845638</v>
      </c>
    </row>
    <row r="71" spans="2:7" ht="15" hidden="1" outlineLevel="2">
      <c r="B71" s="2889" t="s">
        <v>1636</v>
      </c>
      <c r="C71" s="2889" t="s">
        <v>1547</v>
      </c>
      <c r="D71" s="2889" t="s">
        <v>1106</v>
      </c>
      <c r="E71" s="2889" t="s">
        <v>1423</v>
      </c>
      <c r="F71" s="2890">
        <v>2.7270519409397747E-3</v>
      </c>
      <c r="G71" s="2890">
        <v>0.23880126946794777</v>
      </c>
    </row>
    <row r="72" spans="2:7" ht="15" hidden="1" outlineLevel="2">
      <c r="B72" s="2889" t="s">
        <v>1637</v>
      </c>
      <c r="C72" s="2889" t="s">
        <v>1547</v>
      </c>
      <c r="D72" s="2889" t="s">
        <v>1106</v>
      </c>
      <c r="E72" s="2889" t="s">
        <v>1423</v>
      </c>
      <c r="F72" s="2890">
        <v>9.4793575132498488E-4</v>
      </c>
      <c r="G72" s="2890">
        <v>8.3008300618627268E-2</v>
      </c>
    </row>
    <row r="73" spans="2:7" ht="15" hidden="1" outlineLevel="2">
      <c r="B73" s="2889" t="s">
        <v>1638</v>
      </c>
      <c r="C73" s="2889" t="s">
        <v>1547</v>
      </c>
      <c r="D73" s="2889" t="s">
        <v>1106</v>
      </c>
      <c r="E73" s="2889" t="s">
        <v>1423</v>
      </c>
      <c r="F73" s="2890">
        <v>1.9434997358692458E-3</v>
      </c>
      <c r="G73" s="2890">
        <v>0.1701873180705688</v>
      </c>
    </row>
    <row r="74" spans="2:7" ht="15" hidden="1" outlineLevel="2">
      <c r="B74" s="2889" t="s">
        <v>1639</v>
      </c>
      <c r="C74" s="2889" t="s">
        <v>1547</v>
      </c>
      <c r="D74" s="2889" t="s">
        <v>1106</v>
      </c>
      <c r="E74" s="2889" t="s">
        <v>1423</v>
      </c>
      <c r="F74" s="2890">
        <v>7.2353318277866771E-3</v>
      </c>
      <c r="G74" s="2890">
        <v>0.6335799022069778</v>
      </c>
    </row>
    <row r="75" spans="2:7" ht="15" hidden="1" outlineLevel="2">
      <c r="B75" s="2889" t="s">
        <v>1640</v>
      </c>
      <c r="C75" s="2889" t="s">
        <v>1547</v>
      </c>
      <c r="D75" s="2889" t="s">
        <v>1106</v>
      </c>
      <c r="E75" s="2889" t="s">
        <v>1423</v>
      </c>
      <c r="F75" s="2890">
        <v>7.110573162100941E-4</v>
      </c>
      <c r="G75" s="2890">
        <v>6.2265501264602507E-2</v>
      </c>
    </row>
    <row r="76" spans="2:7" ht="15" hidden="1" outlineLevel="2">
      <c r="B76" s="2889" t="s">
        <v>1641</v>
      </c>
      <c r="C76" s="2889" t="s">
        <v>1547</v>
      </c>
      <c r="D76" s="2889" t="s">
        <v>1106</v>
      </c>
      <c r="E76" s="2889" t="s">
        <v>1423</v>
      </c>
      <c r="F76" s="2890">
        <v>4.8286152461180206E-3</v>
      </c>
      <c r="G76" s="2890">
        <v>0.42282894972852297</v>
      </c>
    </row>
    <row r="77" spans="2:7" ht="15" hidden="1" outlineLevel="2">
      <c r="B77" s="2889" t="s">
        <v>1642</v>
      </c>
      <c r="C77" s="2889" t="s">
        <v>1547</v>
      </c>
      <c r="D77" s="2889" t="s">
        <v>1106</v>
      </c>
      <c r="E77" s="2889" t="s">
        <v>1423</v>
      </c>
      <c r="F77" s="2890">
        <v>6.5579953774822933E-3</v>
      </c>
      <c r="G77" s="2890">
        <v>0.57426694973909664</v>
      </c>
    </row>
    <row r="78" spans="2:7" ht="15" hidden="1" outlineLevel="2">
      <c r="B78" s="2889" t="s">
        <v>1643</v>
      </c>
      <c r="C78" s="2889" t="s">
        <v>1547</v>
      </c>
      <c r="D78" s="2889" t="s">
        <v>1106</v>
      </c>
      <c r="E78" s="2889" t="s">
        <v>1423</v>
      </c>
      <c r="F78" s="2890">
        <v>8.8242405231895552E-4</v>
      </c>
      <c r="G78" s="2890">
        <v>7.7271634760810351E-2</v>
      </c>
    </row>
    <row r="79" spans="2:7" ht="15" hidden="1" outlineLevel="2">
      <c r="B79" s="2889" t="s">
        <v>1644</v>
      </c>
      <c r="C79" s="2889" t="s">
        <v>1547</v>
      </c>
      <c r="D79" s="2889" t="s">
        <v>1106</v>
      </c>
      <c r="E79" s="2889" t="s">
        <v>1423</v>
      </c>
      <c r="F79" s="2890">
        <v>1.2138550695201257E-2</v>
      </c>
      <c r="G79" s="2890">
        <v>1.0629416503572149</v>
      </c>
    </row>
    <row r="80" spans="2:7" ht="15" hidden="1" outlineLevel="2">
      <c r="B80" s="2889" t="s">
        <v>1645</v>
      </c>
      <c r="C80" s="2889" t="s">
        <v>1547</v>
      </c>
      <c r="D80" s="2889" t="s">
        <v>1106</v>
      </c>
      <c r="E80" s="2889" t="s">
        <v>1423</v>
      </c>
      <c r="F80" s="2890">
        <v>8.9124537392952959E-3</v>
      </c>
      <c r="G80" s="2890">
        <v>0.78044015430036018</v>
      </c>
    </row>
    <row r="81" spans="2:7" ht="15" hidden="1" outlineLevel="2">
      <c r="B81" s="2889" t="s">
        <v>1646</v>
      </c>
      <c r="C81" s="2889" t="s">
        <v>1547</v>
      </c>
      <c r="D81" s="2889" t="s">
        <v>1106</v>
      </c>
      <c r="E81" s="2889" t="s">
        <v>1423</v>
      </c>
      <c r="F81" s="2890">
        <v>7.3002420176954683E-4</v>
      </c>
      <c r="G81" s="2890">
        <v>6.3926292161045492E-2</v>
      </c>
    </row>
    <row r="82" spans="2:7" ht="15" hidden="1" outlineLevel="2">
      <c r="B82" s="2889" t="s">
        <v>1647</v>
      </c>
      <c r="C82" s="2889" t="s">
        <v>1547</v>
      </c>
      <c r="D82" s="2889" t="s">
        <v>1106</v>
      </c>
      <c r="E82" s="2889" t="s">
        <v>1423</v>
      </c>
      <c r="F82" s="2890">
        <v>3.9325242028912655E-4</v>
      </c>
      <c r="G82" s="2890">
        <v>3.4436081857840216E-2</v>
      </c>
    </row>
    <row r="83" spans="2:7" ht="15" hidden="1" outlineLevel="2">
      <c r="B83" s="2889" t="s">
        <v>1648</v>
      </c>
      <c r="C83" s="2889" t="s">
        <v>1547</v>
      </c>
      <c r="D83" s="2889" t="s">
        <v>1106</v>
      </c>
      <c r="E83" s="2889" t="s">
        <v>1423</v>
      </c>
      <c r="F83" s="2890">
        <v>2.6764760889826138E-4</v>
      </c>
      <c r="G83" s="2890">
        <v>2.3437193144993505E-2</v>
      </c>
    </row>
    <row r="84" spans="2:7" ht="15" hidden="1" outlineLevel="2">
      <c r="B84" s="2889" t="s">
        <v>1649</v>
      </c>
      <c r="C84" s="2889" t="s">
        <v>1547</v>
      </c>
      <c r="D84" s="2889" t="s">
        <v>1106</v>
      </c>
      <c r="E84" s="2889" t="s">
        <v>1423</v>
      </c>
      <c r="F84" s="2890">
        <v>1.8806967848898841E-3</v>
      </c>
      <c r="G84" s="2890">
        <v>0.1646878637051129</v>
      </c>
    </row>
    <row r="85" spans="2:7" ht="15" hidden="1" outlineLevel="2">
      <c r="B85" s="2889" t="s">
        <v>1650</v>
      </c>
      <c r="C85" s="2889" t="s">
        <v>1547</v>
      </c>
      <c r="D85" s="2889" t="s">
        <v>1106</v>
      </c>
      <c r="E85" s="2889" t="s">
        <v>1423</v>
      </c>
      <c r="F85" s="2890">
        <v>6.75230648301653E-3</v>
      </c>
      <c r="G85" s="2890">
        <v>0.59128248366660552</v>
      </c>
    </row>
    <row r="86" spans="2:7" ht="15" hidden="1" outlineLevel="2">
      <c r="B86" s="2889" t="s">
        <v>1651</v>
      </c>
      <c r="C86" s="2889" t="s">
        <v>1547</v>
      </c>
      <c r="D86" s="2889" t="s">
        <v>1106</v>
      </c>
      <c r="E86" s="2889" t="s">
        <v>1423</v>
      </c>
      <c r="F86" s="2890">
        <v>3.4124007360450651E-3</v>
      </c>
      <c r="G86" s="2890">
        <v>0.29881513783050406</v>
      </c>
    </row>
    <row r="87" spans="2:7" ht="15" hidden="1" outlineLevel="2">
      <c r="B87" s="2889" t="s">
        <v>1652</v>
      </c>
      <c r="C87" s="2889" t="s">
        <v>1547</v>
      </c>
      <c r="D87" s="2889" t="s">
        <v>1106</v>
      </c>
      <c r="E87" s="2889" t="s">
        <v>1423</v>
      </c>
      <c r="F87" s="2890">
        <v>8.927201693249918E-4</v>
      </c>
      <c r="G87" s="2890">
        <v>7.8173266005564096E-2</v>
      </c>
    </row>
    <row r="88" spans="2:7" ht="15" hidden="1" outlineLevel="2">
      <c r="B88" s="2889" t="s">
        <v>1653</v>
      </c>
      <c r="C88" s="2889" t="s">
        <v>1547</v>
      </c>
      <c r="D88" s="2889" t="s">
        <v>1106</v>
      </c>
      <c r="E88" s="2889" t="s">
        <v>1423</v>
      </c>
      <c r="F88" s="2890">
        <v>1.6277587764989873E-2</v>
      </c>
      <c r="G88" s="2890">
        <v>1.4253882186188991</v>
      </c>
    </row>
    <row r="89" spans="2:7" ht="15" hidden="1" outlineLevel="2">
      <c r="B89" s="2889" t="s">
        <v>1407</v>
      </c>
      <c r="C89" s="2889" t="s">
        <v>1548</v>
      </c>
      <c r="D89" s="2889" t="s">
        <v>1106</v>
      </c>
      <c r="E89" s="2889" t="s">
        <v>1423</v>
      </c>
      <c r="F89" s="2890">
        <v>1.290928290094334E-3</v>
      </c>
      <c r="G89" s="2890">
        <v>0.13230678034539711</v>
      </c>
    </row>
    <row r="90" spans="2:7" ht="15" hidden="1" outlineLevel="2">
      <c r="B90" s="2889" t="s">
        <v>1631</v>
      </c>
      <c r="C90" s="2889" t="s">
        <v>1548</v>
      </c>
      <c r="D90" s="2889" t="s">
        <v>1106</v>
      </c>
      <c r="E90" s="2889" t="s">
        <v>1423</v>
      </c>
      <c r="F90" s="2890">
        <v>5.469924400568496E-3</v>
      </c>
      <c r="G90" s="2890">
        <v>0.56060988564558822</v>
      </c>
    </row>
    <row r="91" spans="2:7" ht="15" hidden="1" outlineLevel="2">
      <c r="B91" s="2889" t="s">
        <v>1632</v>
      </c>
      <c r="C91" s="2889" t="s">
        <v>1548</v>
      </c>
      <c r="D91" s="2889" t="s">
        <v>1106</v>
      </c>
      <c r="E91" s="2889" t="s">
        <v>1423</v>
      </c>
      <c r="F91" s="2890">
        <v>1.0010396266193492E-2</v>
      </c>
      <c r="G91" s="2890">
        <v>1.0259622047491872</v>
      </c>
    </row>
    <row r="92" spans="2:7" ht="15" hidden="1" outlineLevel="2">
      <c r="B92" s="2889" t="s">
        <v>1633</v>
      </c>
      <c r="C92" s="2889" t="s">
        <v>1548</v>
      </c>
      <c r="D92" s="2889" t="s">
        <v>1106</v>
      </c>
      <c r="E92" s="2889" t="s">
        <v>1423</v>
      </c>
      <c r="F92" s="2890">
        <v>2.6786183078260454E-4</v>
      </c>
      <c r="G92" s="2890">
        <v>2.7453049176611254E-2</v>
      </c>
    </row>
    <row r="93" spans="2:7" ht="15" hidden="1" outlineLevel="2">
      <c r="B93" s="2889" t="s">
        <v>1634</v>
      </c>
      <c r="C93" s="2889" t="s">
        <v>1548</v>
      </c>
      <c r="D93" s="2889" t="s">
        <v>1106</v>
      </c>
      <c r="E93" s="2889" t="s">
        <v>1423</v>
      </c>
      <c r="F93" s="2890">
        <v>6.4900407666723811E-4</v>
      </c>
      <c r="G93" s="2890">
        <v>6.6516154090592819E-2</v>
      </c>
    </row>
    <row r="94" spans="2:7" ht="15" hidden="1" outlineLevel="2">
      <c r="B94" s="2889" t="s">
        <v>1635</v>
      </c>
      <c r="C94" s="2889" t="s">
        <v>1548</v>
      </c>
      <c r="D94" s="2889" t="s">
        <v>1106</v>
      </c>
      <c r="E94" s="2889" t="s">
        <v>1423</v>
      </c>
      <c r="F94" s="2890">
        <v>1.3951619912421932E-3</v>
      </c>
      <c r="G94" s="2890">
        <v>0.14298973941631732</v>
      </c>
    </row>
    <row r="95" spans="2:7" ht="15" hidden="1" outlineLevel="2">
      <c r="B95" s="2889" t="s">
        <v>1636</v>
      </c>
      <c r="C95" s="2889" t="s">
        <v>1548</v>
      </c>
      <c r="D95" s="2889" t="s">
        <v>1106</v>
      </c>
      <c r="E95" s="2889" t="s">
        <v>1423</v>
      </c>
      <c r="F95" s="2890">
        <v>1.2724412749742899E-3</v>
      </c>
      <c r="G95" s="2890">
        <v>0.1304121831264648</v>
      </c>
    </row>
    <row r="96" spans="2:7" ht="15" hidden="1" outlineLevel="2">
      <c r="B96" s="2889" t="s">
        <v>1637</v>
      </c>
      <c r="C96" s="2889" t="s">
        <v>1548</v>
      </c>
      <c r="D96" s="2889" t="s">
        <v>1106</v>
      </c>
      <c r="E96" s="2889" t="s">
        <v>1423</v>
      </c>
      <c r="F96" s="2890">
        <v>4.4230605894177188E-4</v>
      </c>
      <c r="G96" s="2890">
        <v>4.5331826882669485E-2</v>
      </c>
    </row>
    <row r="97" spans="2:7" ht="15" hidden="1" outlineLevel="2">
      <c r="B97" s="2889" t="s">
        <v>1638</v>
      </c>
      <c r="C97" s="2889" t="s">
        <v>1548</v>
      </c>
      <c r="D97" s="2889" t="s">
        <v>1106</v>
      </c>
      <c r="E97" s="2889" t="s">
        <v>1423</v>
      </c>
      <c r="F97" s="2890">
        <v>9.0683578067557295E-4</v>
      </c>
      <c r="G97" s="2890">
        <v>9.2941240945229986E-2</v>
      </c>
    </row>
    <row r="98" spans="2:7" ht="15" hidden="1" outlineLevel="2">
      <c r="B98" s="2889" t="s">
        <v>1639</v>
      </c>
      <c r="C98" s="2889" t="s">
        <v>1548</v>
      </c>
      <c r="D98" s="2889" t="s">
        <v>1106</v>
      </c>
      <c r="E98" s="2889" t="s">
        <v>1423</v>
      </c>
      <c r="F98" s="2890">
        <v>3.3759997027468227E-3</v>
      </c>
      <c r="G98" s="2890">
        <v>0.34600521616470009</v>
      </c>
    </row>
    <row r="99" spans="2:7" ht="15" hidden="1" outlineLevel="2">
      <c r="B99" s="2889" t="s">
        <v>1640</v>
      </c>
      <c r="C99" s="2889" t="s">
        <v>1548</v>
      </c>
      <c r="D99" s="2889" t="s">
        <v>1106</v>
      </c>
      <c r="E99" s="2889" t="s">
        <v>1423</v>
      </c>
      <c r="F99" s="2890">
        <v>3.3177862541556262E-4</v>
      </c>
      <c r="G99" s="2890">
        <v>3.4003886235259705E-2</v>
      </c>
    </row>
    <row r="100" spans="2:7" ht="15" hidden="1" outlineLevel="2">
      <c r="B100" s="2889" t="s">
        <v>1641</v>
      </c>
      <c r="C100" s="2889" t="s">
        <v>1548</v>
      </c>
      <c r="D100" s="2889" t="s">
        <v>1106</v>
      </c>
      <c r="E100" s="2889" t="s">
        <v>1423</v>
      </c>
      <c r="F100" s="2890">
        <v>2.2530262438766172E-3</v>
      </c>
      <c r="G100" s="2890">
        <v>0.23091195476091103</v>
      </c>
    </row>
    <row r="101" spans="2:7" ht="15" hidden="1" outlineLevel="2">
      <c r="B101" s="2889" t="s">
        <v>1642</v>
      </c>
      <c r="C101" s="2889" t="s">
        <v>1548</v>
      </c>
      <c r="D101" s="2889" t="s">
        <v>1106</v>
      </c>
      <c r="E101" s="2889" t="s">
        <v>1423</v>
      </c>
      <c r="F101" s="2890">
        <v>3.0599553165375549E-3</v>
      </c>
      <c r="G101" s="2890">
        <v>0.31361378943299734</v>
      </c>
    </row>
    <row r="102" spans="2:7" ht="15" hidden="1" outlineLevel="2">
      <c r="B102" s="2889" t="s">
        <v>1643</v>
      </c>
      <c r="C102" s="2889" t="s">
        <v>1548</v>
      </c>
      <c r="D102" s="2889" t="s">
        <v>1106</v>
      </c>
      <c r="E102" s="2889" t="s">
        <v>1423</v>
      </c>
      <c r="F102" s="2890">
        <v>4.1173847479322902E-4</v>
      </c>
      <c r="G102" s="2890">
        <v>4.2198933099643982E-2</v>
      </c>
    </row>
    <row r="103" spans="2:7" ht="15" hidden="1" outlineLevel="2">
      <c r="B103" s="2889" t="s">
        <v>1644</v>
      </c>
      <c r="C103" s="2889" t="s">
        <v>1548</v>
      </c>
      <c r="D103" s="2889" t="s">
        <v>1106</v>
      </c>
      <c r="E103" s="2889" t="s">
        <v>1423</v>
      </c>
      <c r="F103" s="2890">
        <v>5.6638350063655625E-3</v>
      </c>
      <c r="G103" s="2890">
        <v>0.58048437271119324</v>
      </c>
    </row>
    <row r="104" spans="2:7" ht="15" hidden="1" outlineLevel="2">
      <c r="B104" s="2889" t="s">
        <v>1645</v>
      </c>
      <c r="C104" s="2889" t="s">
        <v>1548</v>
      </c>
      <c r="D104" s="2889" t="s">
        <v>1106</v>
      </c>
      <c r="E104" s="2889" t="s">
        <v>1423</v>
      </c>
      <c r="F104" s="2890">
        <v>4.1585450109260253E-3</v>
      </c>
      <c r="G104" s="2890">
        <v>0.42620699644563298</v>
      </c>
    </row>
    <row r="105" spans="2:7" ht="15" hidden="1" outlineLevel="2">
      <c r="B105" s="2889" t="s">
        <v>1646</v>
      </c>
      <c r="C105" s="2889" t="s">
        <v>1548</v>
      </c>
      <c r="D105" s="2889" t="s">
        <v>1106</v>
      </c>
      <c r="E105" s="2889" t="s">
        <v>1423</v>
      </c>
      <c r="F105" s="2890">
        <v>3.4062882605200891E-4</v>
      </c>
      <c r="G105" s="2890">
        <v>3.4910921467933669E-2</v>
      </c>
    </row>
    <row r="106" spans="2:7" ht="15" hidden="1" outlineLevel="2">
      <c r="B106" s="2889" t="s">
        <v>1647</v>
      </c>
      <c r="C106" s="2889" t="s">
        <v>1548</v>
      </c>
      <c r="D106" s="2889" t="s">
        <v>1106</v>
      </c>
      <c r="E106" s="2889" t="s">
        <v>1423</v>
      </c>
      <c r="F106" s="2890">
        <v>1.834910913367069E-4</v>
      </c>
      <c r="G106" s="2890">
        <v>1.8805951418760652E-2</v>
      </c>
    </row>
    <row r="107" spans="2:7" ht="15" hidden="1" outlineLevel="2">
      <c r="B107" s="2889" t="s">
        <v>1648</v>
      </c>
      <c r="C107" s="2889" t="s">
        <v>1548</v>
      </c>
      <c r="D107" s="2889" t="s">
        <v>1106</v>
      </c>
      <c r="E107" s="2889" t="s">
        <v>1423</v>
      </c>
      <c r="F107" s="2890">
        <v>1.2488417288310729E-4</v>
      </c>
      <c r="G107" s="2890">
        <v>1.279932916372006E-2</v>
      </c>
    </row>
    <row r="108" spans="2:7" ht="15" hidden="1" outlineLevel="2">
      <c r="B108" s="2889" t="s">
        <v>1649</v>
      </c>
      <c r="C108" s="2889" t="s">
        <v>1548</v>
      </c>
      <c r="D108" s="2889" t="s">
        <v>1106</v>
      </c>
      <c r="E108" s="2889" t="s">
        <v>1423</v>
      </c>
      <c r="F108" s="2890">
        <v>8.7753213898184251E-4</v>
      </c>
      <c r="G108" s="2890">
        <v>8.9937998181764581E-2</v>
      </c>
    </row>
    <row r="109" spans="2:7" ht="15" hidden="1" outlineLevel="2">
      <c r="B109" s="2889" t="s">
        <v>1650</v>
      </c>
      <c r="C109" s="2889" t="s">
        <v>1548</v>
      </c>
      <c r="D109" s="2889" t="s">
        <v>1106</v>
      </c>
      <c r="E109" s="2889" t="s">
        <v>1423</v>
      </c>
      <c r="F109" s="2890">
        <v>3.1506203201479149E-3</v>
      </c>
      <c r="G109" s="2890">
        <v>0.32290601891570331</v>
      </c>
    </row>
    <row r="110" spans="2:7" ht="15" hidden="1" outlineLevel="2">
      <c r="B110" s="2889" t="s">
        <v>1651</v>
      </c>
      <c r="C110" s="2889" t="s">
        <v>1548</v>
      </c>
      <c r="D110" s="2889" t="s">
        <v>1106</v>
      </c>
      <c r="E110" s="2889" t="s">
        <v>1423</v>
      </c>
      <c r="F110" s="2890">
        <v>1.5922238874414682E-3</v>
      </c>
      <c r="G110" s="2890">
        <v>0.16318646859922473</v>
      </c>
    </row>
    <row r="111" spans="2:7" ht="15" hidden="1" outlineLevel="2">
      <c r="B111" s="2889" t="s">
        <v>1652</v>
      </c>
      <c r="C111" s="2889" t="s">
        <v>1548</v>
      </c>
      <c r="D111" s="2889" t="s">
        <v>1106</v>
      </c>
      <c r="E111" s="2889" t="s">
        <v>1423</v>
      </c>
      <c r="F111" s="3039">
        <v>4.1654248530158928E-4</v>
      </c>
      <c r="G111" s="2890">
        <v>4.2691287401743709E-2</v>
      </c>
    </row>
    <row r="112" spans="2:7" ht="15" hidden="1" outlineLevel="2">
      <c r="B112" s="2889" t="s">
        <v>1653</v>
      </c>
      <c r="C112" s="2889" t="s">
        <v>1548</v>
      </c>
      <c r="D112" s="2889" t="s">
        <v>1106</v>
      </c>
      <c r="E112" s="2889" t="s">
        <v>1423</v>
      </c>
      <c r="F112" s="3039">
        <v>7.5951166385988299E-3</v>
      </c>
      <c r="G112" s="2890">
        <v>0.77842047012836568</v>
      </c>
    </row>
    <row r="113" spans="2:7" ht="15" hidden="1" outlineLevel="2">
      <c r="B113" s="2889" t="s">
        <v>1407</v>
      </c>
      <c r="C113" s="2889" t="s">
        <v>1549</v>
      </c>
      <c r="D113" s="2889" t="s">
        <v>1106</v>
      </c>
      <c r="E113" s="2889" t="s">
        <v>1423</v>
      </c>
      <c r="F113" s="3039">
        <v>4.8520215838762787E-3</v>
      </c>
      <c r="G113" s="2890">
        <v>0.47779736696586422</v>
      </c>
    </row>
    <row r="114" spans="2:7" ht="15" hidden="1" outlineLevel="2">
      <c r="B114" s="2889" t="s">
        <v>1631</v>
      </c>
      <c r="C114" s="2889" t="s">
        <v>1549</v>
      </c>
      <c r="D114" s="2889" t="s">
        <v>1106</v>
      </c>
      <c r="E114" s="2889" t="s">
        <v>1423</v>
      </c>
      <c r="F114" s="3039">
        <v>3.2920788349754197E-2</v>
      </c>
      <c r="G114" s="2890">
        <v>3.2418401485929378</v>
      </c>
    </row>
    <row r="115" spans="2:7" ht="15" hidden="1" outlineLevel="2">
      <c r="B115" s="2889" t="s">
        <v>1632</v>
      </c>
      <c r="C115" s="2889" t="s">
        <v>1549</v>
      </c>
      <c r="D115" s="2889" t="s">
        <v>1106</v>
      </c>
      <c r="E115" s="2889" t="s">
        <v>1423</v>
      </c>
      <c r="F115" s="3039">
        <v>5.0397591695737681E-2</v>
      </c>
      <c r="G115" s="2890">
        <v>4.9628529483172565</v>
      </c>
    </row>
    <row r="116" spans="2:7" ht="15" hidden="1" outlineLevel="2">
      <c r="B116" s="2889" t="s">
        <v>1633</v>
      </c>
      <c r="C116" s="2889" t="s">
        <v>1549</v>
      </c>
      <c r="D116" s="2889" t="s">
        <v>1106</v>
      </c>
      <c r="E116" s="2889" t="s">
        <v>1423</v>
      </c>
      <c r="F116" s="3039">
        <v>5.3048338438391636E-3</v>
      </c>
      <c r="G116" s="2890">
        <v>0.52238820230307681</v>
      </c>
    </row>
    <row r="117" spans="2:7" ht="15" hidden="1" outlineLevel="2">
      <c r="B117" s="2889" t="s">
        <v>1634</v>
      </c>
      <c r="C117" s="2889" t="s">
        <v>1549</v>
      </c>
      <c r="D117" s="2889" t="s">
        <v>1106</v>
      </c>
      <c r="E117" s="2889" t="s">
        <v>1423</v>
      </c>
      <c r="F117" s="3039">
        <v>1.9898136166521564E-3</v>
      </c>
      <c r="G117" s="2890">
        <v>0.1959448653117149</v>
      </c>
    </row>
    <row r="118" spans="2:7" ht="15" hidden="1" outlineLevel="2">
      <c r="B118" s="2889" t="s">
        <v>1635</v>
      </c>
      <c r="C118" s="2889" t="s">
        <v>1549</v>
      </c>
      <c r="D118" s="2889" t="s">
        <v>1106</v>
      </c>
      <c r="E118" s="2889" t="s">
        <v>1423</v>
      </c>
      <c r="F118" s="3039">
        <v>1.0446601190335827E-2</v>
      </c>
      <c r="G118" s="2890">
        <v>1.0287179392047801</v>
      </c>
    </row>
    <row r="119" spans="2:7" ht="15" hidden="1" outlineLevel="2">
      <c r="B119" s="2889" t="s">
        <v>1636</v>
      </c>
      <c r="C119" s="2889" t="s">
        <v>1549</v>
      </c>
      <c r="D119" s="2889" t="s">
        <v>1106</v>
      </c>
      <c r="E119" s="2889" t="s">
        <v>1423</v>
      </c>
      <c r="F119" s="3039">
        <v>5.9251794879892931E-3</v>
      </c>
      <c r="G119" s="2890">
        <v>0.5834760916552274</v>
      </c>
    </row>
    <row r="120" spans="2:7" ht="15" hidden="1" outlineLevel="2">
      <c r="B120" s="2889" t="s">
        <v>1637</v>
      </c>
      <c r="C120" s="2889" t="s">
        <v>1549</v>
      </c>
      <c r="D120" s="2889" t="s">
        <v>1106</v>
      </c>
      <c r="E120" s="2889" t="s">
        <v>1423</v>
      </c>
      <c r="F120" s="3039">
        <v>8.4068897585988442E-3</v>
      </c>
      <c r="G120" s="2890">
        <v>0.82786003444082434</v>
      </c>
    </row>
    <row r="121" spans="2:7" ht="15" hidden="1" outlineLevel="2">
      <c r="B121" s="2889" t="s">
        <v>1638</v>
      </c>
      <c r="C121" s="2889" t="s">
        <v>1549</v>
      </c>
      <c r="D121" s="2889" t="s">
        <v>1106</v>
      </c>
      <c r="E121" s="2889" t="s">
        <v>1423</v>
      </c>
      <c r="F121" s="3039">
        <v>1.9994510529634402E-3</v>
      </c>
      <c r="G121" s="2890">
        <v>0.19689411026007353</v>
      </c>
    </row>
    <row r="122" spans="2:7" ht="15" hidden="1" outlineLevel="2">
      <c r="B122" s="2889" t="s">
        <v>1639</v>
      </c>
      <c r="C122" s="2889" t="s">
        <v>1549</v>
      </c>
      <c r="D122" s="2889" t="s">
        <v>1106</v>
      </c>
      <c r="E122" s="2889" t="s">
        <v>1423</v>
      </c>
      <c r="F122" s="3039">
        <v>1.37106111878736E-2</v>
      </c>
      <c r="G122" s="2890">
        <v>1.350138312110257</v>
      </c>
    </row>
    <row r="123" spans="2:7" ht="15" hidden="1" outlineLevel="2">
      <c r="B123" s="2889" t="s">
        <v>1640</v>
      </c>
      <c r="C123" s="2889" t="s">
        <v>1549</v>
      </c>
      <c r="D123" s="2889" t="s">
        <v>1106</v>
      </c>
      <c r="E123" s="2889" t="s">
        <v>1423</v>
      </c>
      <c r="F123" s="3039">
        <v>1.9614883757351816E-3</v>
      </c>
      <c r="G123" s="2890">
        <v>0.19315559212488764</v>
      </c>
    </row>
    <row r="124" spans="2:7" ht="15" hidden="1" outlineLevel="2">
      <c r="B124" s="2889" t="s">
        <v>1641</v>
      </c>
      <c r="C124" s="2889" t="s">
        <v>1549</v>
      </c>
      <c r="D124" s="2889" t="s">
        <v>1106</v>
      </c>
      <c r="E124" s="2889" t="s">
        <v>1423</v>
      </c>
      <c r="F124" s="3039">
        <v>1.4907752687707899E-2</v>
      </c>
      <c r="G124" s="2890">
        <v>1.4680272332954276</v>
      </c>
    </row>
    <row r="125" spans="2:7" ht="15" hidden="1" outlineLevel="2">
      <c r="B125" s="2889" t="s">
        <v>1642</v>
      </c>
      <c r="C125" s="2889" t="s">
        <v>1549</v>
      </c>
      <c r="D125" s="2889" t="s">
        <v>1106</v>
      </c>
      <c r="E125" s="2889" t="s">
        <v>1423</v>
      </c>
      <c r="F125" s="3039">
        <v>1.7041358695305989E-2</v>
      </c>
      <c r="G125" s="2890">
        <v>1.6781308158979993</v>
      </c>
    </row>
    <row r="126" spans="2:7" ht="15" hidden="1" outlineLevel="2">
      <c r="B126" s="2889" t="s">
        <v>1643</v>
      </c>
      <c r="C126" s="2889" t="s">
        <v>1549</v>
      </c>
      <c r="D126" s="2889" t="s">
        <v>1106</v>
      </c>
      <c r="E126" s="2889" t="s">
        <v>1423</v>
      </c>
      <c r="F126" s="3039">
        <v>1.7411838852450991E-3</v>
      </c>
      <c r="G126" s="2890">
        <v>0.171461141410821</v>
      </c>
    </row>
    <row r="127" spans="2:7" ht="15" hidden="1" outlineLevel="2">
      <c r="B127" s="2889" t="s">
        <v>1644</v>
      </c>
      <c r="C127" s="2889" t="s">
        <v>1549</v>
      </c>
      <c r="D127" s="2889" t="s">
        <v>1106</v>
      </c>
      <c r="E127" s="2889" t="s">
        <v>1423</v>
      </c>
      <c r="F127" s="3039">
        <v>5.9404895362686887E-2</v>
      </c>
      <c r="G127" s="2890">
        <v>5.8498384358372366</v>
      </c>
    </row>
    <row r="128" spans="2:7" ht="15" hidden="1" outlineLevel="2">
      <c r="B128" s="2889" t="s">
        <v>1645</v>
      </c>
      <c r="C128" s="2889" t="s">
        <v>1549</v>
      </c>
      <c r="D128" s="2889" t="s">
        <v>1106</v>
      </c>
      <c r="E128" s="2889" t="s">
        <v>1423</v>
      </c>
      <c r="F128" s="3039">
        <v>5.4271433616563024E-2</v>
      </c>
      <c r="G128" s="2890">
        <v>5.3443289568528032</v>
      </c>
    </row>
    <row r="129" spans="2:7" ht="15" hidden="1" outlineLevel="2">
      <c r="B129" s="2889" t="s">
        <v>1646</v>
      </c>
      <c r="C129" s="2889" t="s">
        <v>1549</v>
      </c>
      <c r="D129" s="2889" t="s">
        <v>1106</v>
      </c>
      <c r="E129" s="2889" t="s">
        <v>1423</v>
      </c>
      <c r="F129" s="3039">
        <v>2.8113244292540559E-3</v>
      </c>
      <c r="G129" s="2890">
        <v>0.27684210169633239</v>
      </c>
    </row>
    <row r="130" spans="2:7" ht="15" hidden="1" outlineLevel="2">
      <c r="B130" s="2889" t="s">
        <v>1647</v>
      </c>
      <c r="C130" s="2889" t="s">
        <v>1549</v>
      </c>
      <c r="D130" s="2889" t="s">
        <v>1106</v>
      </c>
      <c r="E130" s="2889" t="s">
        <v>1423</v>
      </c>
      <c r="F130" s="3039">
        <v>5.8979655580925563E-3</v>
      </c>
      <c r="G130" s="2890">
        <v>0.58079662083387151</v>
      </c>
    </row>
    <row r="131" spans="2:7" ht="15" hidden="1" outlineLevel="2">
      <c r="B131" s="2889" t="s">
        <v>1648</v>
      </c>
      <c r="C131" s="2889" t="s">
        <v>1549</v>
      </c>
      <c r="D131" s="2889" t="s">
        <v>1106</v>
      </c>
      <c r="E131" s="2889" t="s">
        <v>1423</v>
      </c>
      <c r="F131" s="3039">
        <v>1.6697065503527451E-3</v>
      </c>
      <c r="G131" s="2890">
        <v>0.16442261115456147</v>
      </c>
    </row>
    <row r="132" spans="2:7" ht="15" hidden="1" outlineLevel="2">
      <c r="B132" s="2889" t="s">
        <v>1649</v>
      </c>
      <c r="C132" s="2889" t="s">
        <v>1549</v>
      </c>
      <c r="D132" s="2889" t="s">
        <v>1106</v>
      </c>
      <c r="E132" s="2889" t="s">
        <v>1423</v>
      </c>
      <c r="F132" s="3039">
        <v>2.2533987461412514E-3</v>
      </c>
      <c r="G132" s="2890">
        <v>0.22190133431064488</v>
      </c>
    </row>
    <row r="133" spans="2:7" ht="15" hidden="1" outlineLevel="2">
      <c r="B133" s="2889" t="s">
        <v>1650</v>
      </c>
      <c r="C133" s="2889" t="s">
        <v>1549</v>
      </c>
      <c r="D133" s="2889" t="s">
        <v>1106</v>
      </c>
      <c r="E133" s="2889" t="s">
        <v>1423</v>
      </c>
      <c r="F133" s="3039">
        <v>8.8378041809940855E-3</v>
      </c>
      <c r="G133" s="2890">
        <v>0.87029509507414582</v>
      </c>
    </row>
    <row r="134" spans="2:7" ht="15" hidden="1" outlineLevel="2">
      <c r="B134" s="2889" t="s">
        <v>1651</v>
      </c>
      <c r="C134" s="2889" t="s">
        <v>1549</v>
      </c>
      <c r="D134" s="2889" t="s">
        <v>1106</v>
      </c>
      <c r="E134" s="2889" t="s">
        <v>1423</v>
      </c>
      <c r="F134" s="3039">
        <v>5.6495257359917041E-3</v>
      </c>
      <c r="G134" s="2890">
        <v>0.55633182059210673</v>
      </c>
    </row>
    <row r="135" spans="2:7" ht="15" hidden="1" outlineLevel="2">
      <c r="B135" s="2889" t="s">
        <v>1652</v>
      </c>
      <c r="C135" s="2889" t="s">
        <v>1549</v>
      </c>
      <c r="D135" s="2889" t="s">
        <v>1106</v>
      </c>
      <c r="E135" s="2889" t="s">
        <v>1423</v>
      </c>
      <c r="F135" s="3039">
        <v>3.1488719114527134E-3</v>
      </c>
      <c r="G135" s="2890">
        <v>0.31008192109175148</v>
      </c>
    </row>
    <row r="136" spans="2:7" ht="15" hidden="1" outlineLevel="2">
      <c r="B136" s="2889" t="s">
        <v>1653</v>
      </c>
      <c r="C136" s="2889" t="s">
        <v>1549</v>
      </c>
      <c r="D136" s="2889" t="s">
        <v>1106</v>
      </c>
      <c r="E136" s="2889" t="s">
        <v>1423</v>
      </c>
      <c r="F136" s="2890">
        <v>4.1710911083980409E-2</v>
      </c>
      <c r="G136" s="2890">
        <v>4.1074430464458604</v>
      </c>
    </row>
    <row r="137" spans="2:7" ht="15" hidden="1" outlineLevel="2">
      <c r="B137" s="2889" t="s">
        <v>1407</v>
      </c>
      <c r="C137" s="2889" t="s">
        <v>1550</v>
      </c>
      <c r="D137" s="2889" t="s">
        <v>1106</v>
      </c>
      <c r="E137" s="2889" t="s">
        <v>1423</v>
      </c>
      <c r="F137" s="2890">
        <v>4.3961793005563221E-3</v>
      </c>
      <c r="G137" s="2890">
        <v>0.98860506487890709</v>
      </c>
    </row>
    <row r="138" spans="2:7" ht="15" hidden="1" outlineLevel="2">
      <c r="B138" s="2889" t="s">
        <v>1631</v>
      </c>
      <c r="C138" s="2889" t="s">
        <v>1550</v>
      </c>
      <c r="D138" s="2889" t="s">
        <v>1106</v>
      </c>
      <c r="E138" s="2889" t="s">
        <v>1423</v>
      </c>
      <c r="F138" s="2890">
        <v>1.8627499771432986E-2</v>
      </c>
      <c r="G138" s="2890">
        <v>4.1889197883083629</v>
      </c>
    </row>
    <row r="139" spans="2:7" ht="15" hidden="1" outlineLevel="2">
      <c r="B139" s="2889" t="s">
        <v>1632</v>
      </c>
      <c r="C139" s="2889" t="s">
        <v>1550</v>
      </c>
      <c r="D139" s="2889" t="s">
        <v>1106</v>
      </c>
      <c r="E139" s="2889" t="s">
        <v>1423</v>
      </c>
      <c r="F139" s="2890">
        <v>3.4089813644482242E-2</v>
      </c>
      <c r="G139" s="2890">
        <v>7.6660520537387367</v>
      </c>
    </row>
    <row r="140" spans="2:7" ht="15" hidden="1" outlineLevel="2">
      <c r="B140" s="2889" t="s">
        <v>1633</v>
      </c>
      <c r="C140" s="2889" t="s">
        <v>1550</v>
      </c>
      <c r="D140" s="2889" t="s">
        <v>1106</v>
      </c>
      <c r="E140" s="2889" t="s">
        <v>1423</v>
      </c>
      <c r="F140" s="2890">
        <v>9.1218728997981302E-4</v>
      </c>
      <c r="G140" s="2890">
        <v>0.20513106103028927</v>
      </c>
    </row>
    <row r="141" spans="2:7" ht="15" hidden="1" outlineLevel="2">
      <c r="B141" s="2889" t="s">
        <v>1634</v>
      </c>
      <c r="C141" s="2889" t="s">
        <v>1550</v>
      </c>
      <c r="D141" s="2889" t="s">
        <v>1106</v>
      </c>
      <c r="E141" s="2889" t="s">
        <v>1423</v>
      </c>
      <c r="F141" s="2890">
        <v>2.2101454607684349E-3</v>
      </c>
      <c r="G141" s="2890">
        <v>0.49701358835291365</v>
      </c>
    </row>
    <row r="142" spans="2:7" ht="15" hidden="1" outlineLevel="2">
      <c r="B142" s="2889" t="s">
        <v>1635</v>
      </c>
      <c r="C142" s="2889" t="s">
        <v>1550</v>
      </c>
      <c r="D142" s="2889" t="s">
        <v>1106</v>
      </c>
      <c r="E142" s="2889" t="s">
        <v>1423</v>
      </c>
      <c r="F142" s="2890">
        <v>4.7511417125668427E-3</v>
      </c>
      <c r="G142" s="2890">
        <v>1.0684285217783731</v>
      </c>
    </row>
    <row r="143" spans="2:7" ht="15" hidden="1" outlineLevel="2">
      <c r="B143" s="2889" t="s">
        <v>1636</v>
      </c>
      <c r="C143" s="2889" t="s">
        <v>1550</v>
      </c>
      <c r="D143" s="2889" t="s">
        <v>1106</v>
      </c>
      <c r="E143" s="2889" t="s">
        <v>1423</v>
      </c>
      <c r="F143" s="2890">
        <v>4.3332199909993461E-3</v>
      </c>
      <c r="G143" s="2890">
        <v>0.97444687523748119</v>
      </c>
    </row>
    <row r="144" spans="2:7" ht="15" hidden="1" outlineLevel="2">
      <c r="B144" s="2889" t="s">
        <v>1637</v>
      </c>
      <c r="C144" s="2889" t="s">
        <v>1550</v>
      </c>
      <c r="D144" s="2889" t="s">
        <v>1106</v>
      </c>
      <c r="E144" s="2889" t="s">
        <v>1423</v>
      </c>
      <c r="F144" s="2890">
        <v>1.5062470471717943E-3</v>
      </c>
      <c r="G144" s="2890">
        <v>0.33872230738413489</v>
      </c>
    </row>
    <row r="145" spans="2:7" ht="15" hidden="1" outlineLevel="2">
      <c r="B145" s="2889" t="s">
        <v>1638</v>
      </c>
      <c r="C145" s="2889" t="s">
        <v>1550</v>
      </c>
      <c r="D145" s="2889" t="s">
        <v>1106</v>
      </c>
      <c r="E145" s="2889" t="s">
        <v>1423</v>
      </c>
      <c r="F145" s="2890">
        <v>3.0881733472456993E-3</v>
      </c>
      <c r="G145" s="2890">
        <v>0.69446336971687661</v>
      </c>
    </row>
    <row r="146" spans="2:7" ht="15" hidden="1" outlineLevel="2">
      <c r="B146" s="2889" t="s">
        <v>1639</v>
      </c>
      <c r="C146" s="2889" t="s">
        <v>1550</v>
      </c>
      <c r="D146" s="2889" t="s">
        <v>1106</v>
      </c>
      <c r="E146" s="2889" t="s">
        <v>1423</v>
      </c>
      <c r="F146" s="2890">
        <v>1.1496760275128923E-2</v>
      </c>
      <c r="G146" s="2890">
        <v>2.5853714809949087</v>
      </c>
    </row>
    <row r="147" spans="2:7" ht="15" hidden="1" outlineLevel="2">
      <c r="B147" s="2889" t="s">
        <v>1640</v>
      </c>
      <c r="C147" s="2889" t="s">
        <v>1550</v>
      </c>
      <c r="D147" s="2889" t="s">
        <v>1106</v>
      </c>
      <c r="E147" s="2889" t="s">
        <v>1423</v>
      </c>
      <c r="F147" s="2890">
        <v>1.1298534715402395E-3</v>
      </c>
      <c r="G147" s="2890">
        <v>0.25407949195764584</v>
      </c>
    </row>
    <row r="148" spans="2:7" ht="15" hidden="1" outlineLevel="2">
      <c r="B148" s="2889" t="s">
        <v>1641</v>
      </c>
      <c r="C148" s="2889" t="s">
        <v>1550</v>
      </c>
      <c r="D148" s="2889" t="s">
        <v>1106</v>
      </c>
      <c r="E148" s="2889" t="s">
        <v>1423</v>
      </c>
      <c r="F148" s="2890">
        <v>7.6725515794938727E-3</v>
      </c>
      <c r="G148" s="2890">
        <v>1.7253894890159618</v>
      </c>
    </row>
    <row r="149" spans="2:7" ht="15" hidden="1" outlineLevel="2">
      <c r="B149" s="2889" t="s">
        <v>1642</v>
      </c>
      <c r="C149" s="2889" t="s">
        <v>1550</v>
      </c>
      <c r="D149" s="2889" t="s">
        <v>1106</v>
      </c>
      <c r="E149" s="2889" t="s">
        <v>1423</v>
      </c>
      <c r="F149" s="2890">
        <v>1.0420498150320831E-2</v>
      </c>
      <c r="G149" s="2890">
        <v>2.3433433444127614</v>
      </c>
    </row>
    <row r="150" spans="2:7" ht="15" hidden="1" outlineLevel="2">
      <c r="B150" s="2889" t="s">
        <v>1643</v>
      </c>
      <c r="C150" s="2889" t="s">
        <v>1550</v>
      </c>
      <c r="D150" s="2889" t="s">
        <v>1106</v>
      </c>
      <c r="E150" s="2889" t="s">
        <v>1423</v>
      </c>
      <c r="F150" s="2890">
        <v>1.4021513275295136E-3</v>
      </c>
      <c r="G150" s="2890">
        <v>0.3153132179011241</v>
      </c>
    </row>
    <row r="151" spans="2:7" ht="15" hidden="1" outlineLevel="2">
      <c r="B151" s="2889" t="s">
        <v>1644</v>
      </c>
      <c r="C151" s="2889" t="s">
        <v>1550</v>
      </c>
      <c r="D151" s="2889" t="s">
        <v>1106</v>
      </c>
      <c r="E151" s="2889" t="s">
        <v>1423</v>
      </c>
      <c r="F151" s="2890">
        <v>1.9287872620061427E-2</v>
      </c>
      <c r="G151" s="2890">
        <v>4.3374215486181953</v>
      </c>
    </row>
    <row r="152" spans="2:7" ht="15" hidden="1" outlineLevel="2">
      <c r="B152" s="2889" t="s">
        <v>1645</v>
      </c>
      <c r="C152" s="2889" t="s">
        <v>1550</v>
      </c>
      <c r="D152" s="2889" t="s">
        <v>1106</v>
      </c>
      <c r="E152" s="2889" t="s">
        <v>1423</v>
      </c>
      <c r="F152" s="2890">
        <v>1.4161659329402389E-2</v>
      </c>
      <c r="G152" s="2890">
        <v>3.1846512598461714</v>
      </c>
    </row>
    <row r="153" spans="2:7" ht="15" hidden="1" outlineLevel="2">
      <c r="B153" s="2889" t="s">
        <v>1646</v>
      </c>
      <c r="C153" s="2889" t="s">
        <v>1550</v>
      </c>
      <c r="D153" s="2889" t="s">
        <v>1106</v>
      </c>
      <c r="E153" s="2889" t="s">
        <v>1423</v>
      </c>
      <c r="F153" s="2890">
        <v>1.1599918887828015E-3</v>
      </c>
      <c r="G153" s="2890">
        <v>0.26085683132209403</v>
      </c>
    </row>
    <row r="154" spans="2:7" ht="15" hidden="1" outlineLevel="2">
      <c r="B154" s="2889" t="s">
        <v>1647</v>
      </c>
      <c r="C154" s="2889" t="s">
        <v>1550</v>
      </c>
      <c r="D154" s="2889" t="s">
        <v>1106</v>
      </c>
      <c r="E154" s="2889" t="s">
        <v>1423</v>
      </c>
      <c r="F154" s="2890">
        <v>6.2486825847824932E-4</v>
      </c>
      <c r="G154" s="2890">
        <v>0.14051943488253016</v>
      </c>
    </row>
    <row r="155" spans="2:7" ht="15" hidden="1" outlineLevel="2">
      <c r="B155" s="2889" t="s">
        <v>1648</v>
      </c>
      <c r="C155" s="2889" t="s">
        <v>1550</v>
      </c>
      <c r="D155" s="2889" t="s">
        <v>1106</v>
      </c>
      <c r="E155" s="2889" t="s">
        <v>1423</v>
      </c>
      <c r="F155" s="2890">
        <v>4.2528531127553992E-4</v>
      </c>
      <c r="G155" s="2890">
        <v>9.5637407154123388E-2</v>
      </c>
    </row>
    <row r="156" spans="2:7" ht="15" hidden="1" outlineLevel="2">
      <c r="B156" s="2889" t="s">
        <v>1649</v>
      </c>
      <c r="C156" s="2889" t="s">
        <v>1550</v>
      </c>
      <c r="D156" s="2889" t="s">
        <v>1106</v>
      </c>
      <c r="E156" s="2889" t="s">
        <v>1423</v>
      </c>
      <c r="F156" s="3039">
        <v>2.9883838937917869E-3</v>
      </c>
      <c r="G156" s="2890">
        <v>0.67202237579671587</v>
      </c>
    </row>
    <row r="157" spans="2:7" ht="15" hidden="1" outlineLevel="2">
      <c r="B157" s="2889" t="s">
        <v>1650</v>
      </c>
      <c r="C157" s="2889" t="s">
        <v>1550</v>
      </c>
      <c r="D157" s="2889" t="s">
        <v>1106</v>
      </c>
      <c r="E157" s="2889" t="s">
        <v>1423</v>
      </c>
      <c r="F157" s="3039">
        <v>1.0729249828688158E-2</v>
      </c>
      <c r="G157" s="2890">
        <v>2.4127739414839184</v>
      </c>
    </row>
    <row r="158" spans="2:7" ht="15" hidden="1" outlineLevel="2">
      <c r="B158" s="2889" t="s">
        <v>1651</v>
      </c>
      <c r="C158" s="2889" t="s">
        <v>1550</v>
      </c>
      <c r="D158" s="2889" t="s">
        <v>1106</v>
      </c>
      <c r="E158" s="2889" t="s">
        <v>1423</v>
      </c>
      <c r="F158" s="3039">
        <v>5.4222234021296493E-3</v>
      </c>
      <c r="G158" s="2890">
        <v>1.2193389800143624</v>
      </c>
    </row>
    <row r="159" spans="2:7" ht="15" hidden="1" outlineLevel="2">
      <c r="B159" s="2889" t="s">
        <v>1652</v>
      </c>
      <c r="C159" s="2889" t="s">
        <v>1550</v>
      </c>
      <c r="D159" s="2889" t="s">
        <v>1106</v>
      </c>
      <c r="E159" s="2889" t="s">
        <v>1423</v>
      </c>
      <c r="F159" s="3039">
        <v>1.4185125764654308E-3</v>
      </c>
      <c r="G159" s="2890">
        <v>0.31899215764213895</v>
      </c>
    </row>
    <row r="160" spans="2:7" ht="15" hidden="1" outlineLevel="2">
      <c r="B160" s="2889" t="s">
        <v>1653</v>
      </c>
      <c r="C160" s="2889" t="s">
        <v>1550</v>
      </c>
      <c r="D160" s="2889" t="s">
        <v>1106</v>
      </c>
      <c r="E160" s="2889" t="s">
        <v>1423</v>
      </c>
      <c r="F160" s="3039">
        <v>2.5864722077660659E-2</v>
      </c>
      <c r="G160" s="2890">
        <v>5.8164117203327166</v>
      </c>
    </row>
    <row r="161" spans="2:7" ht="15" hidden="1" outlineLevel="2">
      <c r="B161" s="2889" t="s">
        <v>1407</v>
      </c>
      <c r="C161" s="2889" t="s">
        <v>1422</v>
      </c>
      <c r="D161" s="2889" t="s">
        <v>197</v>
      </c>
      <c r="E161" s="2889" t="s">
        <v>1423</v>
      </c>
      <c r="F161" s="3039">
        <v>4.3147287449559672E-4</v>
      </c>
      <c r="G161" s="2890">
        <v>4.5241801433031853E-3</v>
      </c>
    </row>
    <row r="162" spans="2:7" ht="15" hidden="1" outlineLevel="2">
      <c r="B162" s="2889" t="s">
        <v>1631</v>
      </c>
      <c r="C162" s="2889" t="s">
        <v>1422</v>
      </c>
      <c r="D162" s="2889" t="s">
        <v>197</v>
      </c>
      <c r="E162" s="2889" t="s">
        <v>1423</v>
      </c>
      <c r="F162" s="3039">
        <v>8.0203678606623956E-4</v>
      </c>
      <c r="G162" s="2890">
        <v>8.4096959418351637E-3</v>
      </c>
    </row>
    <row r="163" spans="2:7" ht="15" hidden="1" outlineLevel="2">
      <c r="B163" s="2889" t="s">
        <v>1632</v>
      </c>
      <c r="C163" s="2889" t="s">
        <v>1422</v>
      </c>
      <c r="D163" s="2889" t="s">
        <v>197</v>
      </c>
      <c r="E163" s="2889" t="s">
        <v>1423</v>
      </c>
      <c r="F163" s="2890">
        <v>1.6407709416962728E-3</v>
      </c>
      <c r="G163" s="2890">
        <v>1.7204203193938922E-2</v>
      </c>
    </row>
    <row r="164" spans="2:7" ht="15" hidden="1" outlineLevel="2">
      <c r="B164" s="2889" t="s">
        <v>1633</v>
      </c>
      <c r="C164" s="2889" t="s">
        <v>1422</v>
      </c>
      <c r="D164" s="2889" t="s">
        <v>197</v>
      </c>
      <c r="E164" s="2889" t="s">
        <v>1423</v>
      </c>
      <c r="F164" s="2890">
        <v>5.7737119690176022E-4</v>
      </c>
      <c r="G164" s="2890">
        <v>6.053981427425986E-3</v>
      </c>
    </row>
    <row r="165" spans="2:7" ht="15" hidden="1" outlineLevel="2">
      <c r="B165" s="2889" t="s">
        <v>1634</v>
      </c>
      <c r="C165" s="2889" t="s">
        <v>1422</v>
      </c>
      <c r="D165" s="2889" t="s">
        <v>197</v>
      </c>
      <c r="E165" s="2889" t="s">
        <v>1423</v>
      </c>
      <c r="F165" s="2890">
        <v>3.7582376872225902E-3</v>
      </c>
      <c r="G165" s="2890">
        <v>3.9406791329006916E-2</v>
      </c>
    </row>
    <row r="166" spans="2:7" ht="15" hidden="1" outlineLevel="2">
      <c r="B166" s="2889" t="s">
        <v>1635</v>
      </c>
      <c r="C166" s="2889" t="s">
        <v>1422</v>
      </c>
      <c r="D166" s="2889" t="s">
        <v>197</v>
      </c>
      <c r="E166" s="2889" t="s">
        <v>1423</v>
      </c>
      <c r="F166" s="2890">
        <v>4.2533460494318213E-3</v>
      </c>
      <c r="G166" s="2890">
        <v>4.4598149027652925E-2</v>
      </c>
    </row>
    <row r="167" spans="2:7" ht="15" hidden="1" outlineLevel="2">
      <c r="B167" s="2889" t="s">
        <v>1636</v>
      </c>
      <c r="C167" s="2889" t="s">
        <v>1422</v>
      </c>
      <c r="D167" s="2889" t="s">
        <v>197</v>
      </c>
      <c r="E167" s="2889" t="s">
        <v>1423</v>
      </c>
      <c r="F167" s="2890">
        <v>2.0682796276645086E-3</v>
      </c>
      <c r="G167" s="2890">
        <v>2.1686815434195272E-2</v>
      </c>
    </row>
    <row r="168" spans="2:7" ht="15" hidden="1" outlineLevel="2">
      <c r="B168" s="2889" t="s">
        <v>1637</v>
      </c>
      <c r="C168" s="2889" t="s">
        <v>1422</v>
      </c>
      <c r="D168" s="2889" t="s">
        <v>197</v>
      </c>
      <c r="E168" s="2889" t="s">
        <v>1423</v>
      </c>
      <c r="F168" s="2890">
        <v>9.7222965737891152E-4</v>
      </c>
      <c r="G168" s="2890">
        <v>1.0194253944075232E-2</v>
      </c>
    </row>
    <row r="169" spans="2:7" ht="15" hidden="1" outlineLevel="2">
      <c r="B169" s="2889" t="s">
        <v>1638</v>
      </c>
      <c r="C169" s="2889" t="s">
        <v>1422</v>
      </c>
      <c r="D169" s="2889" t="s">
        <v>197</v>
      </c>
      <c r="E169" s="2889" t="s">
        <v>1423</v>
      </c>
      <c r="F169" s="2890">
        <v>3.391552308856796E-3</v>
      </c>
      <c r="G169" s="2890">
        <v>3.5561874275231255E-2</v>
      </c>
    </row>
    <row r="170" spans="2:7" ht="15" hidden="1" outlineLevel="2">
      <c r="B170" s="2889" t="s">
        <v>1639</v>
      </c>
      <c r="C170" s="2889" t="s">
        <v>1422</v>
      </c>
      <c r="D170" s="2889" t="s">
        <v>197</v>
      </c>
      <c r="E170" s="2889" t="s">
        <v>1423</v>
      </c>
      <c r="F170" s="2890">
        <v>5.1748950403822198E-3</v>
      </c>
      <c r="G170" s="2890">
        <v>5.4261097359322816E-2</v>
      </c>
    </row>
    <row r="171" spans="2:7" ht="15" hidden="1" outlineLevel="2">
      <c r="B171" s="2889" t="s">
        <v>1640</v>
      </c>
      <c r="C171" s="2889" t="s">
        <v>1422</v>
      </c>
      <c r="D171" s="2889" t="s">
        <v>197</v>
      </c>
      <c r="E171" s="2889" t="s">
        <v>1423</v>
      </c>
      <c r="F171" s="2890">
        <v>1.5828463196395886E-3</v>
      </c>
      <c r="G171" s="2890">
        <v>1.6596837648040048E-2</v>
      </c>
    </row>
    <row r="172" spans="2:7" ht="15" hidden="1" outlineLevel="2">
      <c r="B172" s="2889" t="s">
        <v>1641</v>
      </c>
      <c r="C172" s="2889" t="s">
        <v>1422</v>
      </c>
      <c r="D172" s="2889" t="s">
        <v>197</v>
      </c>
      <c r="E172" s="2889" t="s">
        <v>1423</v>
      </c>
      <c r="F172" s="2890">
        <v>1.9375120688498867E-3</v>
      </c>
      <c r="G172" s="2890">
        <v>2.0315657061078053E-2</v>
      </c>
    </row>
    <row r="173" spans="2:7" ht="15" hidden="1" outlineLevel="2">
      <c r="B173" s="2889" t="s">
        <v>1642</v>
      </c>
      <c r="C173" s="2889" t="s">
        <v>1422</v>
      </c>
      <c r="D173" s="2889" t="s">
        <v>197</v>
      </c>
      <c r="E173" s="2889" t="s">
        <v>1423</v>
      </c>
      <c r="F173" s="2890">
        <v>8.78927474647749E-4</v>
      </c>
      <c r="G173" s="2890">
        <v>9.2159480498441235E-3</v>
      </c>
    </row>
    <row r="174" spans="2:7" ht="15" hidden="1" outlineLevel="2">
      <c r="B174" s="2889" t="s">
        <v>1643</v>
      </c>
      <c r="C174" s="2889" t="s">
        <v>1422</v>
      </c>
      <c r="D174" s="2889" t="s">
        <v>197</v>
      </c>
      <c r="E174" s="2889" t="s">
        <v>1423</v>
      </c>
      <c r="F174" s="2890">
        <v>4.29329223625233E-3</v>
      </c>
      <c r="G174" s="2890">
        <v>4.5016969795523533E-2</v>
      </c>
    </row>
    <row r="175" spans="2:7" ht="15" hidden="1" outlineLevel="2">
      <c r="B175" s="2889" t="s">
        <v>1644</v>
      </c>
      <c r="C175" s="2889" t="s">
        <v>1422</v>
      </c>
      <c r="D175" s="2889" t="s">
        <v>197</v>
      </c>
      <c r="E175" s="2889" t="s">
        <v>1423</v>
      </c>
      <c r="F175" s="2890">
        <v>1.8822735087613647E-3</v>
      </c>
      <c r="G175" s="2890">
        <v>1.9736453541678158E-2</v>
      </c>
    </row>
    <row r="176" spans="2:7" ht="15" hidden="1" outlineLevel="2">
      <c r="B176" s="2889" t="s">
        <v>1645</v>
      </c>
      <c r="C176" s="2889" t="s">
        <v>1422</v>
      </c>
      <c r="D176" s="2889" t="s">
        <v>197</v>
      </c>
      <c r="E176" s="2889" t="s">
        <v>1423</v>
      </c>
      <c r="F176" s="2890">
        <v>7.3592815236315904E-4</v>
      </c>
      <c r="G176" s="2890">
        <v>7.7165293315870015E-3</v>
      </c>
    </row>
    <row r="177" spans="2:7" ht="15" hidden="1" outlineLevel="2">
      <c r="B177" s="2889" t="s">
        <v>1646</v>
      </c>
      <c r="C177" s="2889" t="s">
        <v>1422</v>
      </c>
      <c r="D177" s="2889" t="s">
        <v>197</v>
      </c>
      <c r="E177" s="2889" t="s">
        <v>1423</v>
      </c>
      <c r="F177" s="2890">
        <v>5.3050709967671899E-3</v>
      </c>
      <c r="G177" s="2890">
        <v>5.5625941880867565E-2</v>
      </c>
    </row>
    <row r="178" spans="2:7" ht="15" hidden="1" outlineLevel="2">
      <c r="B178" s="2889" t="s">
        <v>1647</v>
      </c>
      <c r="C178" s="2889" t="s">
        <v>1422</v>
      </c>
      <c r="D178" s="2889" t="s">
        <v>197</v>
      </c>
      <c r="E178" s="2889" t="s">
        <v>1423</v>
      </c>
      <c r="F178" s="2890">
        <v>1.4548921803044272E-3</v>
      </c>
      <c r="G178" s="2890">
        <v>1.5255175063975276E-2</v>
      </c>
    </row>
    <row r="179" spans="2:7" ht="15" hidden="1" outlineLevel="2">
      <c r="B179" s="2889" t="s">
        <v>1648</v>
      </c>
      <c r="C179" s="2889" t="s">
        <v>1422</v>
      </c>
      <c r="D179" s="2889" t="s">
        <v>197</v>
      </c>
      <c r="E179" s="2889" t="s">
        <v>1423</v>
      </c>
      <c r="F179" s="2890">
        <v>1.3113418607978474E-3</v>
      </c>
      <c r="G179" s="2890">
        <v>1.3749991193070452E-2</v>
      </c>
    </row>
    <row r="180" spans="2:7" ht="15" hidden="1" outlineLevel="2">
      <c r="B180" s="2889" t="s">
        <v>1649</v>
      </c>
      <c r="C180" s="2889" t="s">
        <v>1422</v>
      </c>
      <c r="D180" s="2889" t="s">
        <v>197</v>
      </c>
      <c r="E180" s="2889" t="s">
        <v>1423</v>
      </c>
      <c r="F180" s="2890">
        <v>3.4191745537725774E-3</v>
      </c>
      <c r="G180" s="2890">
        <v>3.5851449410055768E-2</v>
      </c>
    </row>
    <row r="181" spans="2:7" ht="15" hidden="1" outlineLevel="2">
      <c r="B181" s="2889" t="s">
        <v>1650</v>
      </c>
      <c r="C181" s="2889" t="s">
        <v>1422</v>
      </c>
      <c r="D181" s="2889" t="s">
        <v>197</v>
      </c>
      <c r="E181" s="2889" t="s">
        <v>1423</v>
      </c>
      <c r="F181" s="2890">
        <v>3.124689634286176E-3</v>
      </c>
      <c r="G181" s="2890">
        <v>3.276373852340473E-2</v>
      </c>
    </row>
    <row r="182" spans="2:7" ht="15" hidden="1" outlineLevel="2">
      <c r="B182" s="2889" t="s">
        <v>1651</v>
      </c>
      <c r="C182" s="2889" t="s">
        <v>1422</v>
      </c>
      <c r="D182" s="2889" t="s">
        <v>197</v>
      </c>
      <c r="E182" s="2889" t="s">
        <v>1423</v>
      </c>
      <c r="F182" s="2890">
        <v>2.4001418362239058E-3</v>
      </c>
      <c r="G182" s="2890">
        <v>2.5166540181020464E-2</v>
      </c>
    </row>
    <row r="183" spans="2:7" ht="15" hidden="1" outlineLevel="2">
      <c r="B183" s="2889" t="s">
        <v>1652</v>
      </c>
      <c r="C183" s="2889" t="s">
        <v>1422</v>
      </c>
      <c r="D183" s="2889" t="s">
        <v>197</v>
      </c>
      <c r="E183" s="2889" t="s">
        <v>1423</v>
      </c>
      <c r="F183" s="2890">
        <v>3.6489075330967988E-3</v>
      </c>
      <c r="G183" s="2890">
        <v>3.8260359086493709E-2</v>
      </c>
    </row>
    <row r="184" spans="2:7" ht="15" hidden="1" outlineLevel="2">
      <c r="B184" s="2889" t="s">
        <v>1653</v>
      </c>
      <c r="C184" s="2889" t="s">
        <v>1422</v>
      </c>
      <c r="D184" s="2889" t="s">
        <v>197</v>
      </c>
      <c r="E184" s="2889" t="s">
        <v>1423</v>
      </c>
      <c r="F184" s="2890">
        <v>4.200799385365748E-34</v>
      </c>
      <c r="G184" s="2890">
        <v>4.4047226276265358E-33</v>
      </c>
    </row>
    <row r="185" spans="2:7" ht="15" hidden="1" outlineLevel="2">
      <c r="B185" s="2889" t="s">
        <v>1407</v>
      </c>
      <c r="C185" s="2889" t="s">
        <v>1424</v>
      </c>
      <c r="D185" s="2889" t="s">
        <v>197</v>
      </c>
      <c r="E185" s="2889" t="s">
        <v>1423</v>
      </c>
      <c r="F185" s="2890">
        <v>1.369523116886923E-4</v>
      </c>
      <c r="G185" s="2890">
        <v>1.4355735687638863E-3</v>
      </c>
    </row>
    <row r="186" spans="2:7" ht="15" hidden="1" outlineLevel="2">
      <c r="B186" s="2889" t="s">
        <v>1631</v>
      </c>
      <c r="C186" s="2889" t="s">
        <v>1424</v>
      </c>
      <c r="D186" s="2889" t="s">
        <v>197</v>
      </c>
      <c r="E186" s="2889" t="s">
        <v>1423</v>
      </c>
      <c r="F186" s="2890">
        <v>2.5457200493700523E-4</v>
      </c>
      <c r="G186" s="2890">
        <v>2.6684954758890646E-3</v>
      </c>
    </row>
    <row r="187" spans="2:7" ht="15" hidden="1" outlineLevel="2">
      <c r="B187" s="2889" t="s">
        <v>1632</v>
      </c>
      <c r="C187" s="2889" t="s">
        <v>1424</v>
      </c>
      <c r="D187" s="2889" t="s">
        <v>197</v>
      </c>
      <c r="E187" s="2889" t="s">
        <v>1423</v>
      </c>
      <c r="F187" s="2890">
        <v>5.2079235839338513E-4</v>
      </c>
      <c r="G187" s="2890">
        <v>5.4590912505382647E-3</v>
      </c>
    </row>
    <row r="188" spans="2:7" ht="15" hidden="1" outlineLevel="2">
      <c r="B188" s="2889" t="s">
        <v>1633</v>
      </c>
      <c r="C188" s="2889" t="s">
        <v>1424</v>
      </c>
      <c r="D188" s="2889" t="s">
        <v>197</v>
      </c>
      <c r="E188" s="2889" t="s">
        <v>1423</v>
      </c>
      <c r="F188" s="2890">
        <v>1.8326147044912667E-4</v>
      </c>
      <c r="G188" s="2890">
        <v>1.9209996296307914E-3</v>
      </c>
    </row>
    <row r="189" spans="2:7" ht="15" hidden="1" outlineLevel="2">
      <c r="B189" s="2889" t="s">
        <v>1634</v>
      </c>
      <c r="C189" s="2889" t="s">
        <v>1424</v>
      </c>
      <c r="D189" s="2889" t="s">
        <v>197</v>
      </c>
      <c r="E189" s="2889" t="s">
        <v>1423</v>
      </c>
      <c r="F189" s="2890">
        <v>1.1928905128021508E-3</v>
      </c>
      <c r="G189" s="2890">
        <v>1.2504225608388613E-2</v>
      </c>
    </row>
    <row r="190" spans="2:7" ht="15" hidden="1" outlineLevel="2">
      <c r="B190" s="2889" t="s">
        <v>1635</v>
      </c>
      <c r="C190" s="2889" t="s">
        <v>1424</v>
      </c>
      <c r="D190" s="2889" t="s">
        <v>197</v>
      </c>
      <c r="E190" s="2889" t="s">
        <v>1423</v>
      </c>
      <c r="F190" s="2890">
        <v>1.3500417245570933E-3</v>
      </c>
      <c r="G190" s="2890">
        <v>1.4151521909207126E-2</v>
      </c>
    </row>
    <row r="191" spans="2:7" ht="15" hidden="1" outlineLevel="2">
      <c r="B191" s="2889" t="s">
        <v>1636</v>
      </c>
      <c r="C191" s="2889" t="s">
        <v>1424</v>
      </c>
      <c r="D191" s="2889" t="s">
        <v>197</v>
      </c>
      <c r="E191" s="2889" t="s">
        <v>1423</v>
      </c>
      <c r="F191" s="2890">
        <v>6.5648644225652769E-4</v>
      </c>
      <c r="G191" s="2890">
        <v>6.8814713045801685E-3</v>
      </c>
    </row>
    <row r="192" spans="2:7" ht="15" hidden="1" outlineLevel="2">
      <c r="B192" s="2889" t="s">
        <v>1637</v>
      </c>
      <c r="C192" s="2889" t="s">
        <v>1424</v>
      </c>
      <c r="D192" s="2889" t="s">
        <v>197</v>
      </c>
      <c r="E192" s="2889" t="s">
        <v>1423</v>
      </c>
      <c r="F192" s="2890">
        <v>3.085925658816548E-4</v>
      </c>
      <c r="G192" s="2890">
        <v>3.2347549403924977E-3</v>
      </c>
    </row>
    <row r="193" spans="2:7" ht="15" hidden="1" outlineLevel="2">
      <c r="B193" s="2889" t="s">
        <v>1638</v>
      </c>
      <c r="C193" s="2889" t="s">
        <v>1424</v>
      </c>
      <c r="D193" s="2889" t="s">
        <v>197</v>
      </c>
      <c r="E193" s="2889" t="s">
        <v>1423</v>
      </c>
      <c r="F193" s="2890">
        <v>1.076502278820164E-3</v>
      </c>
      <c r="G193" s="2890">
        <v>1.128420282450621E-2</v>
      </c>
    </row>
    <row r="194" spans="2:7" ht="15" hidden="1" outlineLevel="2">
      <c r="B194" s="2889" t="s">
        <v>1639</v>
      </c>
      <c r="C194" s="2889" t="s">
        <v>1424</v>
      </c>
      <c r="D194" s="2889" t="s">
        <v>197</v>
      </c>
      <c r="E194" s="2889" t="s">
        <v>1423</v>
      </c>
      <c r="F194" s="2890">
        <v>1.6425478012366643E-3</v>
      </c>
      <c r="G194" s="2890">
        <v>1.7217656209220562E-2</v>
      </c>
    </row>
    <row r="195" spans="2:7" ht="15" hidden="1" outlineLevel="2">
      <c r="B195" s="2889" t="s">
        <v>1640</v>
      </c>
      <c r="C195" s="2889" t="s">
        <v>1424</v>
      </c>
      <c r="D195" s="2889" t="s">
        <v>197</v>
      </c>
      <c r="E195" s="2889" t="s">
        <v>1423</v>
      </c>
      <c r="F195" s="3039">
        <v>5.0240652197165985E-4</v>
      </c>
      <c r="G195" s="2890">
        <v>5.2663669447277871E-3</v>
      </c>
    </row>
    <row r="196" spans="2:7" ht="15" hidden="1" outlineLevel="2">
      <c r="B196" s="2889" t="s">
        <v>1641</v>
      </c>
      <c r="C196" s="2889" t="s">
        <v>1424</v>
      </c>
      <c r="D196" s="2889" t="s">
        <v>197</v>
      </c>
      <c r="E196" s="2889" t="s">
        <v>1423</v>
      </c>
      <c r="F196" s="3039">
        <v>6.149799093528519E-4</v>
      </c>
      <c r="G196" s="2890">
        <v>6.4463958634388314E-3</v>
      </c>
    </row>
    <row r="197" spans="2:7" ht="15" hidden="1" outlineLevel="2">
      <c r="B197" s="2889" t="s">
        <v>1642</v>
      </c>
      <c r="C197" s="2889" t="s">
        <v>1424</v>
      </c>
      <c r="D197" s="2889" t="s">
        <v>197</v>
      </c>
      <c r="E197" s="2889" t="s">
        <v>1423</v>
      </c>
      <c r="F197" s="3039">
        <v>2.7897788547375608E-4</v>
      </c>
      <c r="G197" s="2890">
        <v>2.9243257256889184E-3</v>
      </c>
    </row>
    <row r="198" spans="2:7" ht="15" hidden="1" outlineLevel="2">
      <c r="B198" s="2889" t="s">
        <v>1643</v>
      </c>
      <c r="C198" s="2889" t="s">
        <v>1424</v>
      </c>
      <c r="D198" s="2889" t="s">
        <v>197</v>
      </c>
      <c r="E198" s="2889" t="s">
        <v>1423</v>
      </c>
      <c r="F198" s="3039">
        <v>1.362720595555842E-3</v>
      </c>
      <c r="G198" s="2890">
        <v>1.4284437682007142E-2</v>
      </c>
    </row>
    <row r="199" spans="2:7" ht="15" hidden="1" outlineLevel="2">
      <c r="B199" s="2889" t="s">
        <v>1644</v>
      </c>
      <c r="C199" s="2889" t="s">
        <v>1424</v>
      </c>
      <c r="D199" s="2889" t="s">
        <v>197</v>
      </c>
      <c r="E199" s="2889" t="s">
        <v>1423</v>
      </c>
      <c r="F199" s="3039">
        <v>5.974461337778761E-4</v>
      </c>
      <c r="G199" s="2890">
        <v>6.2626053433086377E-3</v>
      </c>
    </row>
    <row r="200" spans="2:7" ht="15" hidden="1" outlineLevel="2">
      <c r="B200" s="2889" t="s">
        <v>1645</v>
      </c>
      <c r="C200" s="2889" t="s">
        <v>1424</v>
      </c>
      <c r="D200" s="2889" t="s">
        <v>197</v>
      </c>
      <c r="E200" s="2889" t="s">
        <v>1423</v>
      </c>
      <c r="F200" s="3039">
        <v>2.3358868129536717E-4</v>
      </c>
      <c r="G200" s="2890">
        <v>2.448542456148312E-3</v>
      </c>
    </row>
    <row r="201" spans="2:7" ht="15" hidden="1" outlineLevel="2">
      <c r="B201" s="2889" t="s">
        <v>1646</v>
      </c>
      <c r="C201" s="2889" t="s">
        <v>1424</v>
      </c>
      <c r="D201" s="2889" t="s">
        <v>197</v>
      </c>
      <c r="E201" s="2889" t="s">
        <v>1423</v>
      </c>
      <c r="F201" s="3039">
        <v>1.6838655096871808E-3</v>
      </c>
      <c r="G201" s="2890">
        <v>1.7650753244989902E-2</v>
      </c>
    </row>
    <row r="202" spans="2:7" ht="15" hidden="1" outlineLevel="2">
      <c r="B202" s="2889" t="s">
        <v>1647</v>
      </c>
      <c r="C202" s="2889" t="s">
        <v>1424</v>
      </c>
      <c r="D202" s="2889" t="s">
        <v>197</v>
      </c>
      <c r="E202" s="2889" t="s">
        <v>1423</v>
      </c>
      <c r="F202" s="2890">
        <v>4.6179308262847318E-4</v>
      </c>
      <c r="G202" s="2890">
        <v>4.8406461299982098E-3</v>
      </c>
    </row>
    <row r="203" spans="2:7" ht="15" hidden="1" outlineLevel="2">
      <c r="B203" s="2889" t="s">
        <v>1648</v>
      </c>
      <c r="C203" s="2889" t="s">
        <v>1424</v>
      </c>
      <c r="D203" s="2889" t="s">
        <v>197</v>
      </c>
      <c r="E203" s="2889" t="s">
        <v>1423</v>
      </c>
      <c r="F203" s="2890">
        <v>4.1622898023167804E-4</v>
      </c>
      <c r="G203" s="2890">
        <v>4.3630306474377878E-3</v>
      </c>
    </row>
    <row r="204" spans="2:7" ht="15" hidden="1" outlineLevel="2">
      <c r="B204" s="2889" t="s">
        <v>1649</v>
      </c>
      <c r="C204" s="2889" t="s">
        <v>1424</v>
      </c>
      <c r="D204" s="2889" t="s">
        <v>197</v>
      </c>
      <c r="E204" s="2889" t="s">
        <v>1423</v>
      </c>
      <c r="F204" s="2890">
        <v>1.0852692042733196E-3</v>
      </c>
      <c r="G204" s="2890">
        <v>1.1376103977405802E-2</v>
      </c>
    </row>
    <row r="205" spans="2:7" ht="15" hidden="1" outlineLevel="2">
      <c r="B205" s="2889" t="s">
        <v>1650</v>
      </c>
      <c r="C205" s="2889" t="s">
        <v>1424</v>
      </c>
      <c r="D205" s="2889" t="s">
        <v>197</v>
      </c>
      <c r="E205" s="2889" t="s">
        <v>1423</v>
      </c>
      <c r="F205" s="3039">
        <v>9.9179742514262292E-4</v>
      </c>
      <c r="G205" s="2890">
        <v>1.039631237114472E-2</v>
      </c>
    </row>
    <row r="206" spans="2:7" ht="15" hidden="1" outlineLevel="2">
      <c r="B206" s="2889" t="s">
        <v>1651</v>
      </c>
      <c r="C206" s="2889" t="s">
        <v>1424</v>
      </c>
      <c r="D206" s="2889" t="s">
        <v>197</v>
      </c>
      <c r="E206" s="2889" t="s">
        <v>1423</v>
      </c>
      <c r="F206" s="2890">
        <v>7.6182226558378576E-4</v>
      </c>
      <c r="G206" s="2890">
        <v>7.9856339589474065E-3</v>
      </c>
    </row>
    <row r="207" spans="2:7" ht="15" hidden="1" outlineLevel="2">
      <c r="B207" s="2889" t="s">
        <v>1652</v>
      </c>
      <c r="C207" s="2889" t="s">
        <v>1424</v>
      </c>
      <c r="D207" s="2889" t="s">
        <v>197</v>
      </c>
      <c r="E207" s="2889" t="s">
        <v>1423</v>
      </c>
      <c r="F207" s="2890">
        <v>1.1581897293172774E-3</v>
      </c>
      <c r="G207" s="2890">
        <v>1.2140467766144313E-2</v>
      </c>
    </row>
    <row r="208" spans="2:7" ht="15" hidden="1" outlineLevel="2">
      <c r="B208" s="2889" t="s">
        <v>1653</v>
      </c>
      <c r="C208" s="2889" t="s">
        <v>1424</v>
      </c>
      <c r="D208" s="2889" t="s">
        <v>197</v>
      </c>
      <c r="E208" s="2889" t="s">
        <v>1423</v>
      </c>
      <c r="F208" s="3039">
        <v>2.6369596790981116E-35</v>
      </c>
      <c r="G208" s="2890">
        <v>2.7641370213079294E-34</v>
      </c>
    </row>
    <row r="209" spans="2:7" ht="15" hidden="1" outlineLevel="2">
      <c r="B209" s="2889" t="s">
        <v>1407</v>
      </c>
      <c r="C209" s="2889" t="s">
        <v>1456</v>
      </c>
      <c r="D209" s="2889" t="s">
        <v>1105</v>
      </c>
      <c r="E209" s="2889" t="s">
        <v>1423</v>
      </c>
      <c r="F209" s="2890">
        <v>0.80389029621148067</v>
      </c>
      <c r="G209" s="2890">
        <v>22.323202308482106</v>
      </c>
    </row>
    <row r="210" spans="2:7" ht="15" hidden="1" outlineLevel="2">
      <c r="B210" s="2889" t="s">
        <v>1631</v>
      </c>
      <c r="C210" s="2889" t="s">
        <v>1456</v>
      </c>
      <c r="D210" s="2889" t="s">
        <v>1105</v>
      </c>
      <c r="E210" s="2889" t="s">
        <v>1423</v>
      </c>
      <c r="F210" s="2890">
        <v>8.1502164299902571</v>
      </c>
      <c r="G210" s="2890">
        <v>226.32283468358179</v>
      </c>
    </row>
    <row r="211" spans="2:7" ht="15" hidden="1" outlineLevel="2">
      <c r="B211" s="2889" t="s">
        <v>1632</v>
      </c>
      <c r="C211" s="2889" t="s">
        <v>1456</v>
      </c>
      <c r="D211" s="2889" t="s">
        <v>1105</v>
      </c>
      <c r="E211" s="2889" t="s">
        <v>1423</v>
      </c>
      <c r="F211" s="2890">
        <v>12.466476998302486</v>
      </c>
      <c r="G211" s="2890">
        <v>340.74661593145191</v>
      </c>
    </row>
    <row r="212" spans="2:7" ht="15" hidden="1" outlineLevel="2">
      <c r="B212" s="2889" t="s">
        <v>1633</v>
      </c>
      <c r="C212" s="2889" t="s">
        <v>1456</v>
      </c>
      <c r="D212" s="2889" t="s">
        <v>1105</v>
      </c>
      <c r="E212" s="2889" t="s">
        <v>1423</v>
      </c>
      <c r="F212" s="3039">
        <v>0.45759936476541224</v>
      </c>
      <c r="G212" s="2890">
        <v>12.707056676741562</v>
      </c>
    </row>
    <row r="213" spans="2:7" ht="15" hidden="1" outlineLevel="2">
      <c r="B213" s="2889" t="s">
        <v>1634</v>
      </c>
      <c r="C213" s="2889" t="s">
        <v>1456</v>
      </c>
      <c r="D213" s="2889" t="s">
        <v>1105</v>
      </c>
      <c r="E213" s="2889" t="s">
        <v>1423</v>
      </c>
      <c r="F213" s="3039">
        <v>0.32155618159207844</v>
      </c>
      <c r="G213" s="2890">
        <v>8.9292837239369938</v>
      </c>
    </row>
    <row r="214" spans="2:7" ht="15" hidden="1" outlineLevel="2">
      <c r="B214" s="2889" t="s">
        <v>1635</v>
      </c>
      <c r="C214" s="2889" t="s">
        <v>1456</v>
      </c>
      <c r="D214" s="2889" t="s">
        <v>1105</v>
      </c>
      <c r="E214" s="2889" t="s">
        <v>1423</v>
      </c>
      <c r="F214" s="3039">
        <v>2.0530121720126187</v>
      </c>
      <c r="G214" s="2890">
        <v>57.010031357646497</v>
      </c>
    </row>
    <row r="215" spans="2:7" ht="15" hidden="1" outlineLevel="2">
      <c r="B215" s="2889" t="s">
        <v>1636</v>
      </c>
      <c r="C215" s="2889" t="s">
        <v>1456</v>
      </c>
      <c r="D215" s="2889" t="s">
        <v>1105</v>
      </c>
      <c r="E215" s="2889" t="s">
        <v>1423</v>
      </c>
      <c r="F215" s="2890">
        <v>0.79152314227951082</v>
      </c>
      <c r="G215" s="2890">
        <v>21.979777353708155</v>
      </c>
    </row>
    <row r="216" spans="2:7" ht="15" hidden="1" outlineLevel="2">
      <c r="B216" s="2889" t="s">
        <v>1637</v>
      </c>
      <c r="C216" s="2889" t="s">
        <v>1456</v>
      </c>
      <c r="D216" s="2889" t="s">
        <v>1105</v>
      </c>
      <c r="E216" s="2889" t="s">
        <v>1423</v>
      </c>
      <c r="F216" s="2890">
        <v>0.93993347307302555</v>
      </c>
      <c r="G216" s="2890">
        <v>26.100982031370055</v>
      </c>
    </row>
    <row r="217" spans="2:7" ht="15" hidden="1" outlineLevel="2">
      <c r="B217" s="2889" t="s">
        <v>1638</v>
      </c>
      <c r="C217" s="2889" t="s">
        <v>1456</v>
      </c>
      <c r="D217" s="2889" t="s">
        <v>1105</v>
      </c>
      <c r="E217" s="2889" t="s">
        <v>1423</v>
      </c>
      <c r="F217" s="2890">
        <v>0.58127444167930864</v>
      </c>
      <c r="G217" s="2890">
        <v>16.141390455217483</v>
      </c>
    </row>
    <row r="218" spans="2:7" ht="15" hidden="1" outlineLevel="2">
      <c r="B218" s="2889" t="s">
        <v>1639</v>
      </c>
      <c r="C218" s="2889" t="s">
        <v>1456</v>
      </c>
      <c r="D218" s="2889" t="s">
        <v>1105</v>
      </c>
      <c r="E218" s="2889" t="s">
        <v>1423</v>
      </c>
      <c r="F218" s="2890">
        <v>2.8940065278472278</v>
      </c>
      <c r="G218" s="2890">
        <v>80.363539269096719</v>
      </c>
    </row>
    <row r="219" spans="2:7" ht="15" hidden="1" outlineLevel="2">
      <c r="B219" s="2889" t="s">
        <v>1640</v>
      </c>
      <c r="C219" s="2889" t="s">
        <v>1456</v>
      </c>
      <c r="D219" s="2889" t="s">
        <v>1105</v>
      </c>
      <c r="E219" s="2889" t="s">
        <v>1423</v>
      </c>
      <c r="F219" s="2890">
        <v>0.43286396927672166</v>
      </c>
      <c r="G219" s="2890">
        <v>12.020187405879009</v>
      </c>
    </row>
    <row r="220" spans="2:7" ht="15" hidden="1" outlineLevel="2">
      <c r="B220" s="2889" t="s">
        <v>1641</v>
      </c>
      <c r="C220" s="2889" t="s">
        <v>1456</v>
      </c>
      <c r="D220" s="2889" t="s">
        <v>1105</v>
      </c>
      <c r="E220" s="2889" t="s">
        <v>1423</v>
      </c>
      <c r="F220" s="2890">
        <v>2.7826968199379243</v>
      </c>
      <c r="G220" s="2890">
        <v>77.272648231711429</v>
      </c>
    </row>
    <row r="221" spans="2:7" ht="15" hidden="1" outlineLevel="2">
      <c r="B221" s="2889" t="s">
        <v>1642</v>
      </c>
      <c r="C221" s="2889" t="s">
        <v>1456</v>
      </c>
      <c r="D221" s="2889" t="s">
        <v>1105</v>
      </c>
      <c r="E221" s="2889" t="s">
        <v>1423</v>
      </c>
      <c r="F221" s="2890">
        <v>7.3957932096994758</v>
      </c>
      <c r="G221" s="2890">
        <v>205.37351360308639</v>
      </c>
    </row>
    <row r="222" spans="2:7" ht="15" hidden="1" outlineLevel="2">
      <c r="B222" s="2889" t="s">
        <v>1643</v>
      </c>
      <c r="C222" s="2889" t="s">
        <v>1456</v>
      </c>
      <c r="D222" s="2889" t="s">
        <v>1105</v>
      </c>
      <c r="E222" s="2889" t="s">
        <v>1423</v>
      </c>
      <c r="F222" s="2890">
        <v>0.45787966256603563</v>
      </c>
      <c r="G222" s="2890">
        <v>12.714840924623184</v>
      </c>
    </row>
    <row r="223" spans="2:7" ht="15" hidden="1" outlineLevel="2">
      <c r="B223" s="2889" t="s">
        <v>1644</v>
      </c>
      <c r="C223" s="2889" t="s">
        <v>1456</v>
      </c>
      <c r="D223" s="2889" t="s">
        <v>1105</v>
      </c>
      <c r="E223" s="2889" t="s">
        <v>1423</v>
      </c>
      <c r="F223" s="2890">
        <v>10.895809456793888</v>
      </c>
      <c r="G223" s="2890">
        <v>302.56525324110635</v>
      </c>
    </row>
    <row r="224" spans="2:7" ht="15" hidden="1" outlineLevel="2">
      <c r="B224" s="2889" t="s">
        <v>1645</v>
      </c>
      <c r="C224" s="2889" t="s">
        <v>1456</v>
      </c>
      <c r="D224" s="2889" t="s">
        <v>1105</v>
      </c>
      <c r="E224" s="2889" t="s">
        <v>1423</v>
      </c>
      <c r="F224" s="2890">
        <v>8.3233571286583228</v>
      </c>
      <c r="G224" s="2890">
        <v>231.13105238481612</v>
      </c>
    </row>
    <row r="225" spans="2:7" ht="15" hidden="1" outlineLevel="2">
      <c r="B225" s="2889" t="s">
        <v>1646</v>
      </c>
      <c r="C225" s="2889" t="s">
        <v>1456</v>
      </c>
      <c r="D225" s="2889" t="s">
        <v>1105</v>
      </c>
      <c r="E225" s="2889" t="s">
        <v>1423</v>
      </c>
      <c r="F225" s="2890">
        <v>0.97703593809878764</v>
      </c>
      <c r="G225" s="2890">
        <v>27.131288254133135</v>
      </c>
    </row>
    <row r="226" spans="2:7" ht="15" hidden="1" outlineLevel="2">
      <c r="B226" s="2889" t="s">
        <v>1647</v>
      </c>
      <c r="C226" s="2889" t="s">
        <v>1456</v>
      </c>
      <c r="D226" s="2889" t="s">
        <v>1105</v>
      </c>
      <c r="E226" s="2889" t="s">
        <v>1423</v>
      </c>
      <c r="F226" s="3039">
        <v>0.44523152539822219</v>
      </c>
      <c r="G226" s="2890">
        <v>12.363623190069534</v>
      </c>
    </row>
    <row r="227" spans="2:7" ht="15" hidden="1" outlineLevel="2">
      <c r="B227" s="2889" t="s">
        <v>1648</v>
      </c>
      <c r="C227" s="2889" t="s">
        <v>1456</v>
      </c>
      <c r="D227" s="2889" t="s">
        <v>1105</v>
      </c>
      <c r="E227" s="2889" t="s">
        <v>1423</v>
      </c>
      <c r="F227" s="3039">
        <v>0.18551328676898304</v>
      </c>
      <c r="G227" s="2890">
        <v>5.1515106412369462</v>
      </c>
    </row>
    <row r="228" spans="2:7" ht="15" hidden="1" outlineLevel="2">
      <c r="B228" s="2889" t="s">
        <v>1649</v>
      </c>
      <c r="C228" s="2889" t="s">
        <v>1456</v>
      </c>
      <c r="D228" s="2889" t="s">
        <v>1105</v>
      </c>
      <c r="E228" s="2889" t="s">
        <v>1423</v>
      </c>
      <c r="F228" s="2890">
        <v>0.8286253371338661</v>
      </c>
      <c r="G228" s="2890">
        <v>23.010059382546729</v>
      </c>
    </row>
    <row r="229" spans="2:7" ht="15" hidden="1" outlineLevel="2">
      <c r="B229" s="2889" t="s">
        <v>1650</v>
      </c>
      <c r="C229" s="2889" t="s">
        <v>1456</v>
      </c>
      <c r="D229" s="2889" t="s">
        <v>1105</v>
      </c>
      <c r="E229" s="2889" t="s">
        <v>1423</v>
      </c>
      <c r="F229" s="2890">
        <v>1.8674995986614304</v>
      </c>
      <c r="G229" s="2890">
        <v>51.858542427595189</v>
      </c>
    </row>
    <row r="230" spans="2:7" ht="15" hidden="1" outlineLevel="2">
      <c r="B230" s="2889" t="s">
        <v>1651</v>
      </c>
      <c r="C230" s="2889" t="s">
        <v>1456</v>
      </c>
      <c r="D230" s="2889" t="s">
        <v>1105</v>
      </c>
      <c r="E230" s="2889" t="s">
        <v>1423</v>
      </c>
      <c r="F230" s="2890">
        <v>1.6201484591108302</v>
      </c>
      <c r="G230" s="2890">
        <v>44.989842843554328</v>
      </c>
    </row>
    <row r="231" spans="2:7" ht="15" hidden="1" outlineLevel="2">
      <c r="B231" s="2889" t="s">
        <v>1652</v>
      </c>
      <c r="C231" s="2889" t="s">
        <v>1456</v>
      </c>
      <c r="D231" s="2889" t="s">
        <v>1105</v>
      </c>
      <c r="E231" s="2889" t="s">
        <v>1423</v>
      </c>
      <c r="F231" s="2890">
        <v>1.0141385558556011</v>
      </c>
      <c r="G231" s="2890">
        <v>28.161586421188282</v>
      </c>
    </row>
    <row r="232" spans="2:7" ht="15" hidden="1" outlineLevel="2">
      <c r="B232" s="2889" t="s">
        <v>1653</v>
      </c>
      <c r="C232" s="2889" t="s">
        <v>1456</v>
      </c>
      <c r="D232" s="2889" t="s">
        <v>1105</v>
      </c>
      <c r="E232" s="2889" t="s">
        <v>1423</v>
      </c>
      <c r="F232" s="2890">
        <v>7.8657579870359395</v>
      </c>
      <c r="G232" s="2890">
        <v>218.42403159830533</v>
      </c>
    </row>
    <row r="233" spans="2:7" ht="15" hidden="1" outlineLevel="2">
      <c r="B233" s="2889" t="s">
        <v>1407</v>
      </c>
      <c r="C233" s="2889" t="s">
        <v>1457</v>
      </c>
      <c r="D233" s="2889" t="s">
        <v>1105</v>
      </c>
      <c r="E233" s="2889" t="s">
        <v>1423</v>
      </c>
      <c r="F233" s="2890">
        <v>3.0820012848344892E-2</v>
      </c>
      <c r="G233" s="2890">
        <v>1.1203546486198888</v>
      </c>
    </row>
    <row r="234" spans="2:7" ht="15" hidden="1" outlineLevel="2">
      <c r="B234" s="2889" t="s">
        <v>1631</v>
      </c>
      <c r="C234" s="2889" t="s">
        <v>1457</v>
      </c>
      <c r="D234" s="2889" t="s">
        <v>1105</v>
      </c>
      <c r="E234" s="2889" t="s">
        <v>1423</v>
      </c>
      <c r="F234" s="2890">
        <v>0.31246768022732224</v>
      </c>
      <c r="G234" s="2890">
        <v>11.358677462985122</v>
      </c>
    </row>
    <row r="235" spans="2:7" ht="15" hidden="1" outlineLevel="2">
      <c r="B235" s="2889" t="s">
        <v>1632</v>
      </c>
      <c r="C235" s="2889" t="s">
        <v>1457</v>
      </c>
      <c r="D235" s="2889" t="s">
        <v>1105</v>
      </c>
      <c r="E235" s="2889" t="s">
        <v>1423</v>
      </c>
      <c r="F235" s="2890">
        <v>0.47044393202359197</v>
      </c>
      <c r="G235" s="2890">
        <v>17.37411697467277</v>
      </c>
    </row>
    <row r="236" spans="2:7" ht="15" hidden="1" outlineLevel="2">
      <c r="B236" s="2889" t="s">
        <v>1633</v>
      </c>
      <c r="C236" s="2889" t="s">
        <v>1457</v>
      </c>
      <c r="D236" s="2889" t="s">
        <v>1105</v>
      </c>
      <c r="E236" s="2889" t="s">
        <v>1423</v>
      </c>
      <c r="F236" s="2890">
        <v>1.7543707988243121E-2</v>
      </c>
      <c r="G236" s="2890">
        <v>0.63774025382771027</v>
      </c>
    </row>
    <row r="237" spans="2:7" ht="15" hidden="1" outlineLevel="2">
      <c r="B237" s="2889" t="s">
        <v>1634</v>
      </c>
      <c r="C237" s="2889" t="s">
        <v>1457</v>
      </c>
      <c r="D237" s="2889" t="s">
        <v>1105</v>
      </c>
      <c r="E237" s="2889" t="s">
        <v>1423</v>
      </c>
      <c r="F237" s="2890">
        <v>1.2328011684503582E-2</v>
      </c>
      <c r="G237" s="2890">
        <v>0.44814172465763152</v>
      </c>
    </row>
    <row r="238" spans="2:7" ht="15" hidden="1" outlineLevel="2">
      <c r="B238" s="2889" t="s">
        <v>1635</v>
      </c>
      <c r="C238" s="2889" t="s">
        <v>1457</v>
      </c>
      <c r="D238" s="2889" t="s">
        <v>1105</v>
      </c>
      <c r="E238" s="2889" t="s">
        <v>1423</v>
      </c>
      <c r="F238" s="2890">
        <v>7.8709602870745632E-2</v>
      </c>
      <c r="G238" s="2890">
        <v>2.8612134238946356</v>
      </c>
    </row>
    <row r="239" spans="2:7" ht="15" hidden="1" outlineLevel="2">
      <c r="B239" s="2889" t="s">
        <v>1636</v>
      </c>
      <c r="C239" s="2889" t="s">
        <v>1457</v>
      </c>
      <c r="D239" s="2889" t="s">
        <v>1105</v>
      </c>
      <c r="E239" s="2889" t="s">
        <v>1423</v>
      </c>
      <c r="F239" s="2890">
        <v>3.0345865254220984E-2</v>
      </c>
      <c r="G239" s="2890">
        <v>1.1031182470573777</v>
      </c>
    </row>
    <row r="240" spans="2:7" ht="15" hidden="1" outlineLevel="2">
      <c r="B240" s="2889" t="s">
        <v>1637</v>
      </c>
      <c r="C240" s="2889" t="s">
        <v>1457</v>
      </c>
      <c r="D240" s="2889" t="s">
        <v>1105</v>
      </c>
      <c r="E240" s="2889" t="s">
        <v>1423</v>
      </c>
      <c r="F240" s="2890">
        <v>3.6035731103460943E-2</v>
      </c>
      <c r="G240" s="2890">
        <v>1.3099533293498919</v>
      </c>
    </row>
    <row r="241" spans="2:7" ht="15" hidden="1" outlineLevel="2">
      <c r="B241" s="2889" t="s">
        <v>1638</v>
      </c>
      <c r="C241" s="2889" t="s">
        <v>1457</v>
      </c>
      <c r="D241" s="2889" t="s">
        <v>1105</v>
      </c>
      <c r="E241" s="2889" t="s">
        <v>1423</v>
      </c>
      <c r="F241" s="2890">
        <v>2.2285249245554545E-2</v>
      </c>
      <c r="G241" s="2890">
        <v>0.81010283897226931</v>
      </c>
    </row>
    <row r="242" spans="2:7" ht="15" hidden="1" outlineLevel="2">
      <c r="B242" s="2889" t="s">
        <v>1639</v>
      </c>
      <c r="C242" s="2889" t="s">
        <v>1457</v>
      </c>
      <c r="D242" s="2889" t="s">
        <v>1105</v>
      </c>
      <c r="E242" s="2889" t="s">
        <v>1423</v>
      </c>
      <c r="F242" s="2890">
        <v>0.11095210001795748</v>
      </c>
      <c r="G242" s="2890">
        <v>4.0332771965903778</v>
      </c>
    </row>
    <row r="243" spans="2:7" ht="15" hidden="1" outlineLevel="2">
      <c r="B243" s="2889" t="s">
        <v>1640</v>
      </c>
      <c r="C243" s="2889" t="s">
        <v>1457</v>
      </c>
      <c r="D243" s="2889" t="s">
        <v>1105</v>
      </c>
      <c r="E243" s="2889" t="s">
        <v>1423</v>
      </c>
      <c r="F243" s="2890">
        <v>1.65953890168536E-2</v>
      </c>
      <c r="G243" s="2890">
        <v>0.60326811648002643</v>
      </c>
    </row>
    <row r="244" spans="2:7" ht="15" hidden="1" outlineLevel="2">
      <c r="B244" s="2889" t="s">
        <v>1641</v>
      </c>
      <c r="C244" s="2889" t="s">
        <v>1457</v>
      </c>
      <c r="D244" s="2889" t="s">
        <v>1105</v>
      </c>
      <c r="E244" s="2889" t="s">
        <v>1423</v>
      </c>
      <c r="F244" s="2890">
        <v>0.10668472970592245</v>
      </c>
      <c r="G244" s="2890">
        <v>3.8781524742745832</v>
      </c>
    </row>
    <row r="245" spans="2:7" ht="15" hidden="1" outlineLevel="2">
      <c r="B245" s="2889" t="s">
        <v>1642</v>
      </c>
      <c r="C245" s="2889" t="s">
        <v>1457</v>
      </c>
      <c r="D245" s="2889" t="s">
        <v>1105</v>
      </c>
      <c r="E245" s="2889" t="s">
        <v>1423</v>
      </c>
      <c r="F245" s="2890">
        <v>0.28354423042470622</v>
      </c>
      <c r="G245" s="2890">
        <v>10.307266369421551</v>
      </c>
    </row>
    <row r="246" spans="2:7" ht="15" hidden="1" outlineLevel="2">
      <c r="B246" s="2889" t="s">
        <v>1643</v>
      </c>
      <c r="C246" s="2889" t="s">
        <v>1457</v>
      </c>
      <c r="D246" s="2889" t="s">
        <v>1105</v>
      </c>
      <c r="E246" s="2889" t="s">
        <v>1423</v>
      </c>
      <c r="F246" s="2890">
        <v>1.7554447475995934E-2</v>
      </c>
      <c r="G246" s="2890">
        <v>0.63813102666113275</v>
      </c>
    </row>
    <row r="247" spans="2:7" ht="15" hidden="1" outlineLevel="2">
      <c r="B247" s="2889" t="s">
        <v>1644</v>
      </c>
      <c r="C247" s="2889" t="s">
        <v>1457</v>
      </c>
      <c r="D247" s="2889" t="s">
        <v>1105</v>
      </c>
      <c r="E247" s="2889" t="s">
        <v>1423</v>
      </c>
      <c r="F247" s="2890">
        <v>0.41772985581005884</v>
      </c>
      <c r="G247" s="2890">
        <v>15.185114246318433</v>
      </c>
    </row>
    <row r="248" spans="2:7" ht="15" hidden="1" outlineLevel="2">
      <c r="B248" s="2889" t="s">
        <v>1645</v>
      </c>
      <c r="C248" s="2889" t="s">
        <v>1457</v>
      </c>
      <c r="D248" s="2889" t="s">
        <v>1105</v>
      </c>
      <c r="E248" s="2889" t="s">
        <v>1423</v>
      </c>
      <c r="F248" s="2890">
        <v>0.31910583205520271</v>
      </c>
      <c r="G248" s="2890">
        <v>11.5999817643679</v>
      </c>
    </row>
    <row r="249" spans="2:7" ht="15" hidden="1" outlineLevel="2">
      <c r="B249" s="2889" t="s">
        <v>1646</v>
      </c>
      <c r="C249" s="2889" t="s">
        <v>1457</v>
      </c>
      <c r="D249" s="2889" t="s">
        <v>1105</v>
      </c>
      <c r="E249" s="2889" t="s">
        <v>1423</v>
      </c>
      <c r="F249" s="2890">
        <v>3.7458184472513867E-2</v>
      </c>
      <c r="G249" s="2890">
        <v>1.3616620042505496</v>
      </c>
    </row>
    <row r="250" spans="2:7" ht="15" hidden="1" outlineLevel="2">
      <c r="B250" s="2889" t="s">
        <v>1647</v>
      </c>
      <c r="C250" s="2889" t="s">
        <v>1457</v>
      </c>
      <c r="D250" s="2889" t="s">
        <v>1105</v>
      </c>
      <c r="E250" s="2889" t="s">
        <v>1423</v>
      </c>
      <c r="F250" s="2890">
        <v>1.7069548546124459E-2</v>
      </c>
      <c r="G250" s="2890">
        <v>0.62050435499914391</v>
      </c>
    </row>
    <row r="251" spans="2:7" ht="15" hidden="1" outlineLevel="2">
      <c r="B251" s="2889" t="s">
        <v>1648</v>
      </c>
      <c r="C251" s="2889" t="s">
        <v>1457</v>
      </c>
      <c r="D251" s="2889" t="s">
        <v>1105</v>
      </c>
      <c r="E251" s="2889" t="s">
        <v>1423</v>
      </c>
      <c r="F251" s="2890">
        <v>7.1123124991880138E-3</v>
      </c>
      <c r="G251" s="2890">
        <v>0.25854331046833284</v>
      </c>
    </row>
    <row r="252" spans="2:7" ht="15" hidden="1" outlineLevel="2">
      <c r="B252" s="2889" t="s">
        <v>1649</v>
      </c>
      <c r="C252" s="2889" t="s">
        <v>1457</v>
      </c>
      <c r="D252" s="2889" t="s">
        <v>1105</v>
      </c>
      <c r="E252" s="2889" t="s">
        <v>1423</v>
      </c>
      <c r="F252" s="2890">
        <v>3.1768328983932448E-2</v>
      </c>
      <c r="G252" s="2890">
        <v>1.1548271877610636</v>
      </c>
    </row>
    <row r="253" spans="2:7" ht="15" hidden="1" outlineLevel="2">
      <c r="B253" s="2889" t="s">
        <v>1650</v>
      </c>
      <c r="C253" s="2889" t="s">
        <v>1457</v>
      </c>
      <c r="D253" s="2889" t="s">
        <v>1105</v>
      </c>
      <c r="E253" s="2889" t="s">
        <v>1423</v>
      </c>
      <c r="F253" s="2890">
        <v>7.1597260727998824E-2</v>
      </c>
      <c r="G253" s="2890">
        <v>2.6026707618678606</v>
      </c>
    </row>
    <row r="254" spans="2:7" ht="15" hidden="1" outlineLevel="2">
      <c r="B254" s="2889" t="s">
        <v>1651</v>
      </c>
      <c r="C254" s="2889" t="s">
        <v>1457</v>
      </c>
      <c r="D254" s="2889" t="s">
        <v>1105</v>
      </c>
      <c r="E254" s="2889" t="s">
        <v>1423</v>
      </c>
      <c r="F254" s="2890">
        <v>6.2114199145451354E-2</v>
      </c>
      <c r="G254" s="2890">
        <v>2.2579461629686737</v>
      </c>
    </row>
    <row r="255" spans="2:7" ht="15" hidden="1" outlineLevel="2">
      <c r="B255" s="2889" t="s">
        <v>1652</v>
      </c>
      <c r="C255" s="2889" t="s">
        <v>1457</v>
      </c>
      <c r="D255" s="2889" t="s">
        <v>1105</v>
      </c>
      <c r="E255" s="2889" t="s">
        <v>1423</v>
      </c>
      <c r="F255" s="2890">
        <v>3.8880617557343837E-2</v>
      </c>
      <c r="G255" s="2890">
        <v>1.4133705507282956</v>
      </c>
    </row>
    <row r="256" spans="2:7" ht="15" hidden="1" outlineLevel="2">
      <c r="B256" s="2889" t="s">
        <v>1653</v>
      </c>
      <c r="C256" s="2889" t="s">
        <v>1457</v>
      </c>
      <c r="D256" s="2889" t="s">
        <v>1105</v>
      </c>
      <c r="E256" s="2889" t="s">
        <v>1423</v>
      </c>
      <c r="F256" s="2890">
        <v>0.30156209923680644</v>
      </c>
      <c r="G256" s="2890">
        <v>10.96223943213959</v>
      </c>
    </row>
    <row r="257" spans="2:7" ht="15" hidden="1" outlineLevel="2">
      <c r="B257" s="2889" t="s">
        <v>1407</v>
      </c>
      <c r="C257" s="2889" t="s">
        <v>1458</v>
      </c>
      <c r="D257" s="2889" t="s">
        <v>1105</v>
      </c>
      <c r="E257" s="2889" t="s">
        <v>1423</v>
      </c>
      <c r="F257" s="2890">
        <v>2.2126505603820529E-2</v>
      </c>
      <c r="G257" s="2890">
        <v>1.5518808101577897</v>
      </c>
    </row>
    <row r="258" spans="2:7" ht="15" hidden="1" outlineLevel="2">
      <c r="B258" s="2889" t="s">
        <v>1631</v>
      </c>
      <c r="C258" s="2889" t="s">
        <v>1458</v>
      </c>
      <c r="D258" s="2889" t="s">
        <v>1105</v>
      </c>
      <c r="E258" s="2889" t="s">
        <v>1423</v>
      </c>
      <c r="F258" s="2890">
        <v>0.22432880827507179</v>
      </c>
      <c r="G258" s="2890">
        <v>15.733691800152682</v>
      </c>
    </row>
    <row r="259" spans="2:7" ht="15" hidden="1" outlineLevel="2">
      <c r="B259" s="2889" t="s">
        <v>1632</v>
      </c>
      <c r="C259" s="2889" t="s">
        <v>1458</v>
      </c>
      <c r="D259" s="2889" t="s">
        <v>1105</v>
      </c>
      <c r="E259" s="2889" t="s">
        <v>1423</v>
      </c>
      <c r="F259" s="2890">
        <v>0.34313093907309017</v>
      </c>
      <c r="G259" s="2890">
        <v>24.066112630568846</v>
      </c>
    </row>
    <row r="260" spans="2:7" ht="15" hidden="1" outlineLevel="2">
      <c r="B260" s="2889" t="s">
        <v>1633</v>
      </c>
      <c r="C260" s="2889" t="s">
        <v>1458</v>
      </c>
      <c r="D260" s="2889" t="s">
        <v>1105</v>
      </c>
      <c r="E260" s="2889" t="s">
        <v>1423</v>
      </c>
      <c r="F260" s="2890">
        <v>1.2595095281793192E-2</v>
      </c>
      <c r="G260" s="2890">
        <v>0.88337908455013547</v>
      </c>
    </row>
    <row r="261" spans="2:7" ht="15" hidden="1" outlineLevel="2">
      <c r="B261" s="2889" t="s">
        <v>1634</v>
      </c>
      <c r="C261" s="2889" t="s">
        <v>1458</v>
      </c>
      <c r="D261" s="2889" t="s">
        <v>1105</v>
      </c>
      <c r="E261" s="2889" t="s">
        <v>1423</v>
      </c>
      <c r="F261" s="2890">
        <v>8.8506123491543607E-3</v>
      </c>
      <c r="G261" s="2890">
        <v>0.62075257486488022</v>
      </c>
    </row>
    <row r="262" spans="2:7" ht="15" hidden="1" outlineLevel="2">
      <c r="B262" s="2889" t="s">
        <v>1635</v>
      </c>
      <c r="C262" s="2889" t="s">
        <v>1458</v>
      </c>
      <c r="D262" s="2889" t="s">
        <v>1105</v>
      </c>
      <c r="E262" s="2889" t="s">
        <v>1423</v>
      </c>
      <c r="F262" s="2890">
        <v>5.6507694617332536E-2</v>
      </c>
      <c r="G262" s="2890">
        <v>3.9632664729696248</v>
      </c>
    </row>
    <row r="263" spans="2:7" ht="15" hidden="1" outlineLevel="2">
      <c r="B263" s="2889" t="s">
        <v>1636</v>
      </c>
      <c r="C263" s="2889" t="s">
        <v>1458</v>
      </c>
      <c r="D263" s="2889" t="s">
        <v>1105</v>
      </c>
      <c r="E263" s="2889" t="s">
        <v>1423</v>
      </c>
      <c r="F263" s="2890">
        <v>2.1786092390987586E-2</v>
      </c>
      <c r="G263" s="2890">
        <v>1.5280055082165012</v>
      </c>
    </row>
    <row r="264" spans="2:7" ht="15" hidden="1" outlineLevel="2">
      <c r="B264" s="2889" t="s">
        <v>1637</v>
      </c>
      <c r="C264" s="2889" t="s">
        <v>1458</v>
      </c>
      <c r="D264" s="2889" t="s">
        <v>1105</v>
      </c>
      <c r="E264" s="2889" t="s">
        <v>1423</v>
      </c>
      <c r="F264" s="2890">
        <v>2.5870986359397209E-2</v>
      </c>
      <c r="G264" s="2890">
        <v>1.8145070878291276</v>
      </c>
    </row>
    <row r="265" spans="2:7" ht="15" hidden="1" outlineLevel="2">
      <c r="B265" s="2889" t="s">
        <v>1638</v>
      </c>
      <c r="C265" s="2889" t="s">
        <v>1458</v>
      </c>
      <c r="D265" s="2889" t="s">
        <v>1105</v>
      </c>
      <c r="E265" s="2889" t="s">
        <v>1423</v>
      </c>
      <c r="F265" s="2890">
        <v>1.5999167104088559E-2</v>
      </c>
      <c r="G265" s="2890">
        <v>1.1221293777027717</v>
      </c>
    </row>
    <row r="266" spans="2:7" ht="15" hidden="1" outlineLevel="2">
      <c r="B266" s="2889" t="s">
        <v>1639</v>
      </c>
      <c r="C266" s="2889" t="s">
        <v>1458</v>
      </c>
      <c r="D266" s="2889" t="s">
        <v>1105</v>
      </c>
      <c r="E266" s="2889" t="s">
        <v>1423</v>
      </c>
      <c r="F266" s="2890">
        <v>7.9655401992502456E-2</v>
      </c>
      <c r="G266" s="2890">
        <v>5.5867712213196885</v>
      </c>
    </row>
    <row r="267" spans="2:7" ht="15" hidden="1" outlineLevel="2">
      <c r="B267" s="2889" t="s">
        <v>1640</v>
      </c>
      <c r="C267" s="2889" t="s">
        <v>1458</v>
      </c>
      <c r="D267" s="2889" t="s">
        <v>1105</v>
      </c>
      <c r="E267" s="2889" t="s">
        <v>1423</v>
      </c>
      <c r="F267" s="2890">
        <v>1.1914278289997571E-2</v>
      </c>
      <c r="G267" s="2890">
        <v>0.83562722800012534</v>
      </c>
    </row>
    <row r="268" spans="2:7" ht="15" hidden="1" outlineLevel="2">
      <c r="B268" s="2889" t="s">
        <v>1641</v>
      </c>
      <c r="C268" s="2889" t="s">
        <v>1458</v>
      </c>
      <c r="D268" s="2889" t="s">
        <v>1105</v>
      </c>
      <c r="E268" s="2889" t="s">
        <v>1423</v>
      </c>
      <c r="F268" s="2890">
        <v>7.6591716168153481E-2</v>
      </c>
      <c r="G268" s="2890">
        <v>5.3718982900224015</v>
      </c>
    </row>
    <row r="269" spans="2:7" ht="15" hidden="1" outlineLevel="2">
      <c r="B269" s="2889" t="s">
        <v>1642</v>
      </c>
      <c r="C269" s="2889" t="s">
        <v>1458</v>
      </c>
      <c r="D269" s="2889" t="s">
        <v>1105</v>
      </c>
      <c r="E269" s="2889" t="s">
        <v>1423</v>
      </c>
      <c r="F269" s="2890">
        <v>0.2035638211704178</v>
      </c>
      <c r="G269" s="2890">
        <v>14.277294563293603</v>
      </c>
    </row>
    <row r="270" spans="2:7" ht="15" hidden="1" outlineLevel="2">
      <c r="B270" s="2889" t="s">
        <v>1643</v>
      </c>
      <c r="C270" s="2889" t="s">
        <v>1458</v>
      </c>
      <c r="D270" s="2889" t="s">
        <v>1105</v>
      </c>
      <c r="E270" s="2889" t="s">
        <v>1423</v>
      </c>
      <c r="F270" s="2890">
        <v>1.2602822046007678E-2</v>
      </c>
      <c r="G270" s="2890">
        <v>0.88391979965758738</v>
      </c>
    </row>
    <row r="271" spans="2:7" ht="15" hidden="1" outlineLevel="2">
      <c r="B271" s="2889" t="s">
        <v>1644</v>
      </c>
      <c r="C271" s="2889" t="s">
        <v>1458</v>
      </c>
      <c r="D271" s="2889" t="s">
        <v>1105</v>
      </c>
      <c r="E271" s="2889" t="s">
        <v>1423</v>
      </c>
      <c r="F271" s="2890">
        <v>0.29989947010126278</v>
      </c>
      <c r="G271" s="2890">
        <v>21.033963650974869</v>
      </c>
    </row>
    <row r="272" spans="2:7" ht="15" hidden="1" outlineLevel="2">
      <c r="B272" s="2889" t="s">
        <v>1645</v>
      </c>
      <c r="C272" s="2889" t="s">
        <v>1458</v>
      </c>
      <c r="D272" s="2889" t="s">
        <v>1105</v>
      </c>
      <c r="E272" s="2889" t="s">
        <v>1423</v>
      </c>
      <c r="F272" s="2890">
        <v>0.22909449030175949</v>
      </c>
      <c r="G272" s="2890">
        <v>16.067940127399936</v>
      </c>
    </row>
    <row r="273" spans="2:7" ht="15" hidden="1" outlineLevel="2">
      <c r="B273" s="2889" t="s">
        <v>1646</v>
      </c>
      <c r="C273" s="2889" t="s">
        <v>1458</v>
      </c>
      <c r="D273" s="2889" t="s">
        <v>1105</v>
      </c>
      <c r="E273" s="2889" t="s">
        <v>1423</v>
      </c>
      <c r="F273" s="2890">
        <v>2.6892229931785205E-2</v>
      </c>
      <c r="G273" s="2890">
        <v>1.8861312120538736</v>
      </c>
    </row>
    <row r="274" spans="2:7" ht="15" hidden="1" outlineLevel="2">
      <c r="B274" s="2889" t="s">
        <v>1647</v>
      </c>
      <c r="C274" s="2889" t="s">
        <v>1458</v>
      </c>
      <c r="D274" s="2889" t="s">
        <v>1105</v>
      </c>
      <c r="E274" s="2889" t="s">
        <v>1423</v>
      </c>
      <c r="F274" s="2890">
        <v>1.2254690431152205E-2</v>
      </c>
      <c r="G274" s="2890">
        <v>0.85950329113721513</v>
      </c>
    </row>
    <row r="275" spans="2:7" ht="15" hidden="1" outlineLevel="2">
      <c r="B275" s="2889" t="s">
        <v>1648</v>
      </c>
      <c r="C275" s="2889" t="s">
        <v>1458</v>
      </c>
      <c r="D275" s="2889" t="s">
        <v>1105</v>
      </c>
      <c r="E275" s="2889" t="s">
        <v>1423</v>
      </c>
      <c r="F275" s="2890">
        <v>5.1061178969264345E-3</v>
      </c>
      <c r="G275" s="2890">
        <v>0.35812635250793856</v>
      </c>
    </row>
    <row r="276" spans="2:7" ht="15" hidden="1" outlineLevel="2">
      <c r="B276" s="2889" t="s">
        <v>1649</v>
      </c>
      <c r="C276" s="2889" t="s">
        <v>1458</v>
      </c>
      <c r="D276" s="2889" t="s">
        <v>1105</v>
      </c>
      <c r="E276" s="2889" t="s">
        <v>1423</v>
      </c>
      <c r="F276" s="2890">
        <v>2.2807327588897228E-2</v>
      </c>
      <c r="G276" s="2890">
        <v>1.5996316381951805</v>
      </c>
    </row>
    <row r="277" spans="2:7" ht="15" hidden="1" outlineLevel="2">
      <c r="B277" s="2889" t="s">
        <v>1650</v>
      </c>
      <c r="C277" s="2889" t="s">
        <v>1458</v>
      </c>
      <c r="D277" s="2889" t="s">
        <v>1105</v>
      </c>
      <c r="E277" s="2889" t="s">
        <v>1423</v>
      </c>
      <c r="F277" s="2890">
        <v>5.1401582455882416E-2</v>
      </c>
      <c r="G277" s="2890">
        <v>3.6051392396005935</v>
      </c>
    </row>
    <row r="278" spans="2:7" ht="15" hidden="1" outlineLevel="2">
      <c r="B278" s="2889" t="s">
        <v>1651</v>
      </c>
      <c r="C278" s="2889" t="s">
        <v>1458</v>
      </c>
      <c r="D278" s="2889" t="s">
        <v>1105</v>
      </c>
      <c r="E278" s="2889" t="s">
        <v>1423</v>
      </c>
      <c r="F278" s="2890">
        <v>4.4593407557090681E-2</v>
      </c>
      <c r="G278" s="2890">
        <v>3.1276383486012045</v>
      </c>
    </row>
    <row r="279" spans="2:7" ht="15" hidden="1" outlineLevel="2">
      <c r="B279" s="2889" t="s">
        <v>1652</v>
      </c>
      <c r="C279" s="2889" t="s">
        <v>1458</v>
      </c>
      <c r="D279" s="2889" t="s">
        <v>1105</v>
      </c>
      <c r="E279" s="2889" t="s">
        <v>1423</v>
      </c>
      <c r="F279" s="2890">
        <v>2.7913444141903009E-2</v>
      </c>
      <c r="G279" s="2890">
        <v>1.9577563776975262</v>
      </c>
    </row>
    <row r="280" spans="2:7" ht="15" hidden="1" outlineLevel="2">
      <c r="B280" s="2889" t="s">
        <v>1653</v>
      </c>
      <c r="C280" s="2889" t="s">
        <v>1458</v>
      </c>
      <c r="D280" s="2889" t="s">
        <v>1105</v>
      </c>
      <c r="E280" s="2889" t="s">
        <v>1423</v>
      </c>
      <c r="F280" s="2890">
        <v>0.21649947585021689</v>
      </c>
      <c r="G280" s="2890">
        <v>15.184567052122661</v>
      </c>
    </row>
    <row r="281" spans="2:7" ht="15" hidden="1" outlineLevel="2">
      <c r="B281" s="2889" t="s">
        <v>1407</v>
      </c>
      <c r="C281" s="2889" t="s">
        <v>1459</v>
      </c>
      <c r="D281" s="2889" t="s">
        <v>1105</v>
      </c>
      <c r="E281" s="2889" t="s">
        <v>1423</v>
      </c>
      <c r="F281" s="2890">
        <v>0.26247878185096873</v>
      </c>
      <c r="G281" s="2890">
        <v>54.927756521867629</v>
      </c>
    </row>
    <row r="282" spans="2:7" ht="15" hidden="1" outlineLevel="2">
      <c r="B282" s="2889" t="s">
        <v>1631</v>
      </c>
      <c r="C282" s="2889" t="s">
        <v>1459</v>
      </c>
      <c r="D282" s="2889" t="s">
        <v>1105</v>
      </c>
      <c r="E282" s="2889" t="s">
        <v>1423</v>
      </c>
      <c r="F282" s="2890">
        <v>2.6281236090389046</v>
      </c>
      <c r="G282" s="2890">
        <v>549.97583847754686</v>
      </c>
    </row>
    <row r="283" spans="2:7" ht="15" hidden="1" outlineLevel="2">
      <c r="B283" s="2889" t="s">
        <v>1632</v>
      </c>
      <c r="C283" s="2889" t="s">
        <v>1459</v>
      </c>
      <c r="D283" s="2889" t="s">
        <v>1105</v>
      </c>
      <c r="E283" s="2889" t="s">
        <v>1423</v>
      </c>
      <c r="F283" s="2890">
        <v>4.0199516030353193</v>
      </c>
      <c r="G283" s="2890">
        <v>841.23768857037055</v>
      </c>
    </row>
    <row r="284" spans="2:7" ht="15" hidden="1" outlineLevel="2">
      <c r="B284" s="2889" t="s">
        <v>1633</v>
      </c>
      <c r="C284" s="2889" t="s">
        <v>1459</v>
      </c>
      <c r="D284" s="2889" t="s">
        <v>1105</v>
      </c>
      <c r="E284" s="2889" t="s">
        <v>1423</v>
      </c>
      <c r="F284" s="2890">
        <v>0.14755787278165058</v>
      </c>
      <c r="G284" s="2890">
        <v>30.878775200898904</v>
      </c>
    </row>
    <row r="285" spans="2:7" ht="15" hidden="1" outlineLevel="2">
      <c r="B285" s="2889" t="s">
        <v>1634</v>
      </c>
      <c r="C285" s="2889" t="s">
        <v>1459</v>
      </c>
      <c r="D285" s="2889" t="s">
        <v>1105</v>
      </c>
      <c r="E285" s="2889" t="s">
        <v>1423</v>
      </c>
      <c r="F285" s="2890">
        <v>0.1036892906838866</v>
      </c>
      <c r="G285" s="2890">
        <v>21.698588080993254</v>
      </c>
    </row>
    <row r="286" spans="2:7" ht="15" hidden="1" outlineLevel="2">
      <c r="B286" s="2889" t="s">
        <v>1635</v>
      </c>
      <c r="C286" s="2889" t="s">
        <v>1459</v>
      </c>
      <c r="D286" s="2889" t="s">
        <v>1105</v>
      </c>
      <c r="E286" s="2889" t="s">
        <v>1423</v>
      </c>
      <c r="F286" s="2890">
        <v>0.66201618483337998</v>
      </c>
      <c r="G286" s="2890">
        <v>138.53727196872038</v>
      </c>
    </row>
    <row r="287" spans="2:7" ht="15" hidden="1" outlineLevel="2">
      <c r="B287" s="2889" t="s">
        <v>1636</v>
      </c>
      <c r="C287" s="2889" t="s">
        <v>1459</v>
      </c>
      <c r="D287" s="2889" t="s">
        <v>1105</v>
      </c>
      <c r="E287" s="2889" t="s">
        <v>1423</v>
      </c>
      <c r="F287" s="2890">
        <v>0.25523512839652945</v>
      </c>
      <c r="G287" s="2890">
        <v>53.411924720210095</v>
      </c>
    </row>
    <row r="288" spans="2:7" ht="15" hidden="1" outlineLevel="2">
      <c r="B288" s="2889" t="s">
        <v>1637</v>
      </c>
      <c r="C288" s="2889" t="s">
        <v>1459</v>
      </c>
      <c r="D288" s="2889" t="s">
        <v>1105</v>
      </c>
      <c r="E288" s="2889" t="s">
        <v>1423</v>
      </c>
      <c r="F288" s="2890">
        <v>0.30309192013613762</v>
      </c>
      <c r="G288" s="2890">
        <v>63.42664529103574</v>
      </c>
    </row>
    <row r="289" spans="2:7" ht="15" hidden="1" outlineLevel="2">
      <c r="B289" s="2889" t="s">
        <v>1638</v>
      </c>
      <c r="C289" s="2889" t="s">
        <v>1459</v>
      </c>
      <c r="D289" s="2889" t="s">
        <v>1105</v>
      </c>
      <c r="E289" s="2889" t="s">
        <v>1423</v>
      </c>
      <c r="F289" s="2890">
        <v>0.18743832256555615</v>
      </c>
      <c r="G289" s="2890">
        <v>39.22438184348573</v>
      </c>
    </row>
    <row r="290" spans="2:7" ht="15" hidden="1" outlineLevel="2">
      <c r="B290" s="2889" t="s">
        <v>1639</v>
      </c>
      <c r="C290" s="2889" t="s">
        <v>1459</v>
      </c>
      <c r="D290" s="2889" t="s">
        <v>1105</v>
      </c>
      <c r="E290" s="2889" t="s">
        <v>1423</v>
      </c>
      <c r="F290" s="2890">
        <v>0.93320323895943269</v>
      </c>
      <c r="G290" s="2890">
        <v>195.28737619111058</v>
      </c>
    </row>
    <row r="291" spans="2:7" ht="15" hidden="1" outlineLevel="2">
      <c r="B291" s="2889" t="s">
        <v>1640</v>
      </c>
      <c r="C291" s="2889" t="s">
        <v>1459</v>
      </c>
      <c r="D291" s="2889" t="s">
        <v>1105</v>
      </c>
      <c r="E291" s="2889" t="s">
        <v>1423</v>
      </c>
      <c r="F291" s="2890">
        <v>0.13958170785634988</v>
      </c>
      <c r="G291" s="2890">
        <v>29.209630368554183</v>
      </c>
    </row>
    <row r="292" spans="2:7" ht="15" hidden="1" outlineLevel="2">
      <c r="B292" s="2889" t="s">
        <v>1641</v>
      </c>
      <c r="C292" s="2889" t="s">
        <v>1459</v>
      </c>
      <c r="D292" s="2889" t="s">
        <v>1105</v>
      </c>
      <c r="E292" s="2889" t="s">
        <v>1423</v>
      </c>
      <c r="F292" s="2890">
        <v>0.89731112300669391</v>
      </c>
      <c r="G292" s="2890">
        <v>187.77625373243035</v>
      </c>
    </row>
    <row r="293" spans="2:7" ht="15" hidden="1" outlineLevel="2">
      <c r="B293" s="2889" t="s">
        <v>1642</v>
      </c>
      <c r="C293" s="2889" t="s">
        <v>1459</v>
      </c>
      <c r="D293" s="2889" t="s">
        <v>1105</v>
      </c>
      <c r="E293" s="2889" t="s">
        <v>1423</v>
      </c>
      <c r="F293" s="2890">
        <v>2.3848521572137651</v>
      </c>
      <c r="G293" s="2890">
        <v>499.06767720562118</v>
      </c>
    </row>
    <row r="294" spans="2:7" ht="15" hidden="1" outlineLevel="2">
      <c r="B294" s="2889" t="s">
        <v>1643</v>
      </c>
      <c r="C294" s="2889" t="s">
        <v>1459</v>
      </c>
      <c r="D294" s="2889" t="s">
        <v>1105</v>
      </c>
      <c r="E294" s="2889" t="s">
        <v>1423</v>
      </c>
      <c r="F294" s="2890">
        <v>0.14764831004826631</v>
      </c>
      <c r="G294" s="2890">
        <v>30.897689713160869</v>
      </c>
    </row>
    <row r="295" spans="2:7" ht="15" hidden="1" outlineLevel="2">
      <c r="B295" s="2889" t="s">
        <v>1644</v>
      </c>
      <c r="C295" s="2889" t="s">
        <v>1459</v>
      </c>
      <c r="D295" s="2889" t="s">
        <v>1105</v>
      </c>
      <c r="E295" s="2889" t="s">
        <v>1423</v>
      </c>
      <c r="F295" s="2890">
        <v>3.513470422790975</v>
      </c>
      <c r="G295" s="2890">
        <v>735.24816769713982</v>
      </c>
    </row>
    <row r="296" spans="2:7" ht="15" hidden="1" outlineLevel="2">
      <c r="B296" s="2889" t="s">
        <v>1645</v>
      </c>
      <c r="C296" s="2889" t="s">
        <v>1459</v>
      </c>
      <c r="D296" s="2889" t="s">
        <v>1105</v>
      </c>
      <c r="E296" s="2889" t="s">
        <v>1423</v>
      </c>
      <c r="F296" s="2890">
        <v>2.683956332832051</v>
      </c>
      <c r="G296" s="2890">
        <v>561.6596612133518</v>
      </c>
    </row>
    <row r="297" spans="2:7" ht="15" hidden="1" outlineLevel="2">
      <c r="B297" s="2889" t="s">
        <v>1646</v>
      </c>
      <c r="C297" s="2889" t="s">
        <v>1459</v>
      </c>
      <c r="D297" s="2889" t="s">
        <v>1105</v>
      </c>
      <c r="E297" s="2889" t="s">
        <v>1423</v>
      </c>
      <c r="F297" s="2890">
        <v>0.31505591050933679</v>
      </c>
      <c r="G297" s="2890">
        <v>65.93032710244583</v>
      </c>
    </row>
    <row r="298" spans="2:7" ht="15" hidden="1" outlineLevel="2">
      <c r="B298" s="2889" t="s">
        <v>1647</v>
      </c>
      <c r="C298" s="2889" t="s">
        <v>1459</v>
      </c>
      <c r="D298" s="2889" t="s">
        <v>1105</v>
      </c>
      <c r="E298" s="2889" t="s">
        <v>1423</v>
      </c>
      <c r="F298" s="2890">
        <v>0.14356985771390601</v>
      </c>
      <c r="G298" s="2890">
        <v>30.044210736543562</v>
      </c>
    </row>
    <row r="299" spans="2:7" ht="15" hidden="1" outlineLevel="2">
      <c r="B299" s="2889" t="s">
        <v>1648</v>
      </c>
      <c r="C299" s="2889" t="s">
        <v>1459</v>
      </c>
      <c r="D299" s="2889" t="s">
        <v>1105</v>
      </c>
      <c r="E299" s="2889" t="s">
        <v>1423</v>
      </c>
      <c r="F299" s="2890">
        <v>5.9820733071715031E-2</v>
      </c>
      <c r="G299" s="2890">
        <v>12.518425573434866</v>
      </c>
    </row>
    <row r="300" spans="2:7" ht="15" hidden="1" outlineLevel="2">
      <c r="B300" s="2889" t="s">
        <v>1649</v>
      </c>
      <c r="C300" s="2889" t="s">
        <v>1459</v>
      </c>
      <c r="D300" s="2889" t="s">
        <v>1105</v>
      </c>
      <c r="E300" s="2889" t="s">
        <v>1423</v>
      </c>
      <c r="F300" s="2890">
        <v>0.26719934941387496</v>
      </c>
      <c r="G300" s="2890">
        <v>55.915601097845638</v>
      </c>
    </row>
    <row r="301" spans="2:7" ht="15" hidden="1" outlineLevel="2">
      <c r="B301" s="2889" t="s">
        <v>1650</v>
      </c>
      <c r="C301" s="2889" t="s">
        <v>1459</v>
      </c>
      <c r="D301" s="2889" t="s">
        <v>1105</v>
      </c>
      <c r="E301" s="2889" t="s">
        <v>1423</v>
      </c>
      <c r="F301" s="2890">
        <v>0.60219551463713816</v>
      </c>
      <c r="G301" s="2890">
        <v>126.01866617678417</v>
      </c>
    </row>
    <row r="302" spans="2:7" ht="15" hidden="1" outlineLevel="2">
      <c r="B302" s="2889" t="s">
        <v>1651</v>
      </c>
      <c r="C302" s="2889" t="s">
        <v>1459</v>
      </c>
      <c r="D302" s="2889" t="s">
        <v>1105</v>
      </c>
      <c r="E302" s="2889" t="s">
        <v>1423</v>
      </c>
      <c r="F302" s="2890">
        <v>0.52243437838819229</v>
      </c>
      <c r="G302" s="2890">
        <v>109.32740132390965</v>
      </c>
    </row>
    <row r="303" spans="2:7" ht="15" hidden="1" outlineLevel="2">
      <c r="B303" s="2889" t="s">
        <v>1652</v>
      </c>
      <c r="C303" s="2889" t="s">
        <v>1459</v>
      </c>
      <c r="D303" s="2889" t="s">
        <v>1105</v>
      </c>
      <c r="E303" s="2889" t="s">
        <v>1423</v>
      </c>
      <c r="F303" s="2890">
        <v>0.32701980654527202</v>
      </c>
      <c r="G303" s="2890">
        <v>68.434006398427684</v>
      </c>
    </row>
    <row r="304" spans="2:7" ht="15" hidden="1" outlineLevel="2">
      <c r="B304" s="2889" t="s">
        <v>1653</v>
      </c>
      <c r="C304" s="2889" t="s">
        <v>1459</v>
      </c>
      <c r="D304" s="2889" t="s">
        <v>1105</v>
      </c>
      <c r="E304" s="2889" t="s">
        <v>1423</v>
      </c>
      <c r="F304" s="2890">
        <v>2.5364016897199861</v>
      </c>
      <c r="G304" s="2890">
        <v>530.78105237226794</v>
      </c>
    </row>
    <row r="305" spans="2:7" ht="15" hidden="1" outlineLevel="2">
      <c r="B305" s="2889" t="s">
        <v>1407</v>
      </c>
      <c r="C305" s="2889" t="s">
        <v>1605</v>
      </c>
      <c r="D305" s="2889" t="s">
        <v>1604</v>
      </c>
      <c r="E305" s="2889" t="s">
        <v>1423</v>
      </c>
      <c r="F305" s="2890">
        <v>3.136151520901011E-33</v>
      </c>
      <c r="G305" s="2890">
        <v>7.3601632656396319E-31</v>
      </c>
    </row>
    <row r="306" spans="2:7" ht="15" hidden="1" outlineLevel="2">
      <c r="B306" s="2889" t="s">
        <v>1631</v>
      </c>
      <c r="C306" s="2889" t="s">
        <v>1605</v>
      </c>
      <c r="D306" s="2889" t="s">
        <v>1604</v>
      </c>
      <c r="E306" s="2889" t="s">
        <v>1423</v>
      </c>
      <c r="F306" s="2890">
        <v>3.136151520901011E-33</v>
      </c>
      <c r="G306" s="2890">
        <v>7.3601632656396319E-31</v>
      </c>
    </row>
    <row r="307" spans="2:7" ht="15" hidden="1" outlineLevel="2">
      <c r="B307" s="2889" t="s">
        <v>1632</v>
      </c>
      <c r="C307" s="2889" t="s">
        <v>1605</v>
      </c>
      <c r="D307" s="2889" t="s">
        <v>1604</v>
      </c>
      <c r="E307" s="2889" t="s">
        <v>1423</v>
      </c>
      <c r="F307" s="2890">
        <v>5.968856006320887E-2</v>
      </c>
      <c r="G307" s="2890">
        <v>13.648946798389323</v>
      </c>
    </row>
    <row r="308" spans="2:7" ht="15" hidden="1" outlineLevel="2">
      <c r="B308" s="2889" t="s">
        <v>1633</v>
      </c>
      <c r="C308" s="2889" t="s">
        <v>1605</v>
      </c>
      <c r="D308" s="2889" t="s">
        <v>1604</v>
      </c>
      <c r="E308" s="2889" t="s">
        <v>1423</v>
      </c>
      <c r="F308" s="2890">
        <v>3.136151520901011E-33</v>
      </c>
      <c r="G308" s="2890">
        <v>7.3601632656396319E-31</v>
      </c>
    </row>
    <row r="309" spans="2:7" ht="15" hidden="1" outlineLevel="2">
      <c r="B309" s="2889" t="s">
        <v>1634</v>
      </c>
      <c r="C309" s="2889" t="s">
        <v>1605</v>
      </c>
      <c r="D309" s="2889" t="s">
        <v>1604</v>
      </c>
      <c r="E309" s="2889" t="s">
        <v>1423</v>
      </c>
      <c r="F309" s="2890">
        <v>3.136151520901011E-33</v>
      </c>
      <c r="G309" s="2890">
        <v>7.3601632656396319E-31</v>
      </c>
    </row>
    <row r="310" spans="2:7" ht="15" hidden="1" outlineLevel="2">
      <c r="B310" s="2889" t="s">
        <v>1635</v>
      </c>
      <c r="C310" s="2889" t="s">
        <v>1605</v>
      </c>
      <c r="D310" s="2889" t="s">
        <v>1604</v>
      </c>
      <c r="E310" s="2889" t="s">
        <v>1423</v>
      </c>
      <c r="F310" s="2890">
        <v>5.968856006320887E-2</v>
      </c>
      <c r="G310" s="2890">
        <v>13.648946798389323</v>
      </c>
    </row>
    <row r="311" spans="2:7" ht="15" hidden="1" outlineLevel="2">
      <c r="B311" s="2889" t="s">
        <v>1636</v>
      </c>
      <c r="C311" s="2889" t="s">
        <v>1605</v>
      </c>
      <c r="D311" s="2889" t="s">
        <v>1604</v>
      </c>
      <c r="E311" s="2889" t="s">
        <v>1423</v>
      </c>
      <c r="F311" s="2890">
        <v>3.136151520901011E-33</v>
      </c>
      <c r="G311" s="2890">
        <v>7.3601632656396319E-31</v>
      </c>
    </row>
    <row r="312" spans="2:7" ht="15" hidden="1" outlineLevel="2">
      <c r="B312" s="2889" t="s">
        <v>1637</v>
      </c>
      <c r="C312" s="2889" t="s">
        <v>1605</v>
      </c>
      <c r="D312" s="2889" t="s">
        <v>1604</v>
      </c>
      <c r="E312" s="2889" t="s">
        <v>1423</v>
      </c>
      <c r="F312" s="2890">
        <v>3.136151520901011E-33</v>
      </c>
      <c r="G312" s="2890">
        <v>7.3601632656396319E-31</v>
      </c>
    </row>
    <row r="313" spans="2:7" ht="15" hidden="1" outlineLevel="2">
      <c r="B313" s="2889" t="s">
        <v>1638</v>
      </c>
      <c r="C313" s="2889" t="s">
        <v>1605</v>
      </c>
      <c r="D313" s="2889" t="s">
        <v>1604</v>
      </c>
      <c r="E313" s="2889" t="s">
        <v>1423</v>
      </c>
      <c r="F313" s="2890">
        <v>3.136151520901011E-33</v>
      </c>
      <c r="G313" s="2890">
        <v>7.3601632656396319E-31</v>
      </c>
    </row>
    <row r="314" spans="2:7" ht="15" hidden="1" outlineLevel="2">
      <c r="B314" s="2889" t="s">
        <v>1639</v>
      </c>
      <c r="C314" s="2889" t="s">
        <v>1605</v>
      </c>
      <c r="D314" s="2889" t="s">
        <v>1604</v>
      </c>
      <c r="E314" s="2889" t="s">
        <v>1423</v>
      </c>
      <c r="F314" s="2890">
        <v>3.136151520901011E-33</v>
      </c>
      <c r="G314" s="2890">
        <v>7.3601632656396319E-31</v>
      </c>
    </row>
    <row r="315" spans="2:7" ht="15" hidden="1" outlineLevel="2">
      <c r="B315" s="2889" t="s">
        <v>1640</v>
      </c>
      <c r="C315" s="2889" t="s">
        <v>1605</v>
      </c>
      <c r="D315" s="2889" t="s">
        <v>1604</v>
      </c>
      <c r="E315" s="2889" t="s">
        <v>1423</v>
      </c>
      <c r="F315" s="2890">
        <v>3.136151520901011E-33</v>
      </c>
      <c r="G315" s="2890">
        <v>7.3601632656396319E-31</v>
      </c>
    </row>
    <row r="316" spans="2:7" ht="15" hidden="1" outlineLevel="2">
      <c r="B316" s="2889" t="s">
        <v>1641</v>
      </c>
      <c r="C316" s="2889" t="s">
        <v>1605</v>
      </c>
      <c r="D316" s="2889" t="s">
        <v>1604</v>
      </c>
      <c r="E316" s="2889" t="s">
        <v>1423</v>
      </c>
      <c r="F316" s="2890">
        <v>2.7131161235763937E-2</v>
      </c>
      <c r="G316" s="2890">
        <v>6.204061191161367</v>
      </c>
    </row>
    <row r="317" spans="2:7" ht="15" hidden="1" outlineLevel="2">
      <c r="B317" s="2889" t="s">
        <v>1642</v>
      </c>
      <c r="C317" s="2889" t="s">
        <v>1605</v>
      </c>
      <c r="D317" s="2889" t="s">
        <v>1604</v>
      </c>
      <c r="E317" s="2889" t="s">
        <v>1423</v>
      </c>
      <c r="F317" s="2890">
        <v>2.1704919503229895E-2</v>
      </c>
      <c r="G317" s="2890">
        <v>4.963250424254591</v>
      </c>
    </row>
    <row r="318" spans="2:7" ht="15" hidden="1" outlineLevel="2">
      <c r="B318" s="2889" t="s">
        <v>1643</v>
      </c>
      <c r="C318" s="2889" t="s">
        <v>1605</v>
      </c>
      <c r="D318" s="2889" t="s">
        <v>1604</v>
      </c>
      <c r="E318" s="2889" t="s">
        <v>1423</v>
      </c>
      <c r="F318" s="2890">
        <v>8.0555630568600212E-2</v>
      </c>
      <c r="G318" s="2890">
        <v>18.420607807258381</v>
      </c>
    </row>
    <row r="319" spans="2:7" ht="15" hidden="1" outlineLevel="2">
      <c r="B319" s="2889" t="s">
        <v>1644</v>
      </c>
      <c r="C319" s="2889" t="s">
        <v>1605</v>
      </c>
      <c r="D319" s="2889" t="s">
        <v>1604</v>
      </c>
      <c r="E319" s="2889" t="s">
        <v>1423</v>
      </c>
      <c r="F319" s="2890">
        <v>3.136151520901011E-33</v>
      </c>
      <c r="G319" s="2890">
        <v>7.3601632656396319E-31</v>
      </c>
    </row>
    <row r="320" spans="2:7" ht="15" hidden="1" outlineLevel="2">
      <c r="B320" s="2889" t="s">
        <v>1645</v>
      </c>
      <c r="C320" s="2889" t="s">
        <v>1605</v>
      </c>
      <c r="D320" s="2889" t="s">
        <v>1604</v>
      </c>
      <c r="E320" s="2889" t="s">
        <v>1423</v>
      </c>
      <c r="F320" s="2890">
        <v>3.1359396728E-33</v>
      </c>
      <c r="G320" s="2890">
        <v>7.3524077000000003E-31</v>
      </c>
    </row>
    <row r="321" spans="2:7" ht="15" hidden="1" outlineLevel="2">
      <c r="B321" s="2889" t="s">
        <v>1646</v>
      </c>
      <c r="C321" s="2889" t="s">
        <v>1605</v>
      </c>
      <c r="D321" s="2889" t="s">
        <v>1604</v>
      </c>
      <c r="E321" s="2889" t="s">
        <v>1423</v>
      </c>
      <c r="F321" s="2890">
        <v>3.1361515209010083E-33</v>
      </c>
      <c r="G321" s="2890">
        <v>7.3601632656396091E-31</v>
      </c>
    </row>
    <row r="322" spans="2:7" ht="15" hidden="1" outlineLevel="2">
      <c r="B322" s="2889" t="s">
        <v>1647</v>
      </c>
      <c r="C322" s="2889" t="s">
        <v>1605</v>
      </c>
      <c r="D322" s="2889" t="s">
        <v>1604</v>
      </c>
      <c r="E322" s="2889" t="s">
        <v>1423</v>
      </c>
      <c r="F322" s="2890">
        <v>3.136151520901011E-33</v>
      </c>
      <c r="G322" s="2890">
        <v>7.3601632656396319E-31</v>
      </c>
    </row>
    <row r="323" spans="2:7" ht="15" hidden="1" outlineLevel="2">
      <c r="B323" s="2889" t="s">
        <v>1648</v>
      </c>
      <c r="C323" s="2889" t="s">
        <v>1605</v>
      </c>
      <c r="D323" s="2889" t="s">
        <v>1604</v>
      </c>
      <c r="E323" s="2889" t="s">
        <v>1423</v>
      </c>
      <c r="F323" s="2890">
        <v>3.136151520901011E-33</v>
      </c>
      <c r="G323" s="2890">
        <v>7.3601632656396319E-31</v>
      </c>
    </row>
    <row r="324" spans="2:7" ht="15" hidden="1" outlineLevel="2">
      <c r="B324" s="2889" t="s">
        <v>1649</v>
      </c>
      <c r="C324" s="2889" t="s">
        <v>1605</v>
      </c>
      <c r="D324" s="2889" t="s">
        <v>1604</v>
      </c>
      <c r="E324" s="2889" t="s">
        <v>1423</v>
      </c>
      <c r="F324" s="2890">
        <v>3.136151520901011E-33</v>
      </c>
      <c r="G324" s="2890">
        <v>7.3601632656396319E-31</v>
      </c>
    </row>
    <row r="325" spans="2:7" ht="15" hidden="1" outlineLevel="2">
      <c r="B325" s="2889" t="s">
        <v>1650</v>
      </c>
      <c r="C325" s="2889" t="s">
        <v>1605</v>
      </c>
      <c r="D325" s="2889" t="s">
        <v>1604</v>
      </c>
      <c r="E325" s="2889" t="s">
        <v>1423</v>
      </c>
      <c r="F325" s="2890">
        <v>2.1704919503229895E-2</v>
      </c>
      <c r="G325" s="2890">
        <v>4.963250424254591</v>
      </c>
    </row>
    <row r="326" spans="2:7" ht="15" hidden="1" outlineLevel="2">
      <c r="B326" s="2889" t="s">
        <v>1651</v>
      </c>
      <c r="C326" s="2889" t="s">
        <v>1605</v>
      </c>
      <c r="D326" s="2889" t="s">
        <v>1604</v>
      </c>
      <c r="E326" s="2889" t="s">
        <v>1423</v>
      </c>
      <c r="F326" s="2890">
        <v>3.1359396728E-33</v>
      </c>
      <c r="G326" s="2890">
        <v>7.3524077000000003E-31</v>
      </c>
    </row>
    <row r="327" spans="2:7" ht="15" hidden="1" outlineLevel="2">
      <c r="B327" s="2889" t="s">
        <v>1652</v>
      </c>
      <c r="C327" s="2889" t="s">
        <v>1605</v>
      </c>
      <c r="D327" s="2889" t="s">
        <v>1604</v>
      </c>
      <c r="E327" s="2889" t="s">
        <v>1423</v>
      </c>
      <c r="F327" s="2890">
        <v>3.1359396728E-33</v>
      </c>
      <c r="G327" s="2890">
        <v>7.3524077000000003E-31</v>
      </c>
    </row>
    <row r="328" spans="2:7" ht="15" hidden="1" outlineLevel="2">
      <c r="B328" s="2889" t="s">
        <v>1653</v>
      </c>
      <c r="C328" s="2889" t="s">
        <v>1605</v>
      </c>
      <c r="D328" s="2889" t="s">
        <v>1604</v>
      </c>
      <c r="E328" s="2889" t="s">
        <v>1423</v>
      </c>
      <c r="F328" s="2890">
        <v>5.968856006320887E-2</v>
      </c>
      <c r="G328" s="2890">
        <v>13.648946798389323</v>
      </c>
    </row>
    <row r="329" spans="2:7" ht="15" outlineLevel="1" collapsed="1">
      <c r="B329" s="2889"/>
      <c r="C329" s="2889"/>
      <c r="D329" s="2889"/>
      <c r="E329" s="3041" t="s">
        <v>1681</v>
      </c>
      <c r="F329" s="2890">
        <f>SUBTOTAL(9,F17:F328)</f>
        <v>213.28249540396209</v>
      </c>
      <c r="G329" s="2890">
        <f>SUBTOTAL(9,G17:G328)</f>
        <v>16642.246187701403</v>
      </c>
    </row>
    <row r="330" spans="2:7" ht="15" hidden="1" outlineLevel="2">
      <c r="B330" s="2889" t="s">
        <v>1407</v>
      </c>
      <c r="C330" s="2889" t="s">
        <v>1618</v>
      </c>
      <c r="D330" s="2889" t="s">
        <v>1619</v>
      </c>
      <c r="E330" s="2889" t="s">
        <v>217</v>
      </c>
      <c r="F330" s="2890">
        <v>1.3477423744660915</v>
      </c>
      <c r="G330" s="2890">
        <v>341.6860885079401</v>
      </c>
    </row>
    <row r="331" spans="2:7" ht="15" hidden="1" outlineLevel="2">
      <c r="B331" s="2889" t="s">
        <v>1631</v>
      </c>
      <c r="C331" s="2889" t="s">
        <v>1618</v>
      </c>
      <c r="D331" s="2889" t="s">
        <v>1619</v>
      </c>
      <c r="E331" s="2889" t="s">
        <v>217</v>
      </c>
      <c r="F331" s="2890">
        <v>2.8270450232675479</v>
      </c>
      <c r="G331" s="2890">
        <v>715.67271940801993</v>
      </c>
    </row>
    <row r="332" spans="2:7" ht="15" hidden="1" outlineLevel="2">
      <c r="B332" s="2889" t="s">
        <v>1632</v>
      </c>
      <c r="C332" s="2889" t="s">
        <v>1618</v>
      </c>
      <c r="D332" s="2889" t="s">
        <v>1619</v>
      </c>
      <c r="E332" s="2889" t="s">
        <v>217</v>
      </c>
      <c r="F332" s="2890">
        <v>1.4115162662922598</v>
      </c>
      <c r="G332" s="2890">
        <v>357.83638726176002</v>
      </c>
    </row>
    <row r="333" spans="2:7" ht="15" hidden="1" outlineLevel="2">
      <c r="B333" s="2889" t="s">
        <v>1634</v>
      </c>
      <c r="C333" s="2889" t="s">
        <v>1618</v>
      </c>
      <c r="D333" s="2889" t="s">
        <v>1619</v>
      </c>
      <c r="E333" s="2889" t="s">
        <v>217</v>
      </c>
      <c r="F333" s="2890">
        <v>1.411431061829955</v>
      </c>
      <c r="G333" s="2890">
        <v>357.83638726176002</v>
      </c>
    </row>
    <row r="334" spans="2:7" ht="15" hidden="1" outlineLevel="2">
      <c r="B334" s="2889" t="s">
        <v>1635</v>
      </c>
      <c r="C334" s="2889" t="s">
        <v>1618</v>
      </c>
      <c r="D334" s="2889" t="s">
        <v>1619</v>
      </c>
      <c r="E334" s="2889" t="s">
        <v>217</v>
      </c>
      <c r="F334" s="2890">
        <v>1.4115162662922598</v>
      </c>
      <c r="G334" s="2890">
        <v>357.83638726176002</v>
      </c>
    </row>
    <row r="335" spans="2:7" ht="15" hidden="1" outlineLevel="2">
      <c r="B335" s="2889" t="s">
        <v>1636</v>
      </c>
      <c r="C335" s="2889" t="s">
        <v>1618</v>
      </c>
      <c r="D335" s="2889" t="s">
        <v>1619</v>
      </c>
      <c r="E335" s="2889" t="s">
        <v>217</v>
      </c>
      <c r="F335" s="2890">
        <v>3.7640427742339102</v>
      </c>
      <c r="G335" s="2890">
        <v>954.23028225580015</v>
      </c>
    </row>
    <row r="336" spans="2:7" ht="15" hidden="1" outlineLevel="2">
      <c r="B336" s="2889" t="s">
        <v>1637</v>
      </c>
      <c r="C336" s="2889" t="s">
        <v>1618</v>
      </c>
      <c r="D336" s="2889" t="s">
        <v>1619</v>
      </c>
      <c r="E336" s="2889" t="s">
        <v>217</v>
      </c>
      <c r="F336" s="2890">
        <v>1.4115162662922598</v>
      </c>
      <c r="G336" s="2890">
        <v>357.83638726176002</v>
      </c>
    </row>
    <row r="337" spans="2:7" ht="15" hidden="1" outlineLevel="2">
      <c r="B337" s="2889" t="s">
        <v>1638</v>
      </c>
      <c r="C337" s="2889" t="s">
        <v>1618</v>
      </c>
      <c r="D337" s="2889" t="s">
        <v>1619</v>
      </c>
      <c r="E337" s="2889" t="s">
        <v>217</v>
      </c>
      <c r="F337" s="2890">
        <v>0.47047698372110658</v>
      </c>
      <c r="G337" s="2890">
        <v>119.27879467744539</v>
      </c>
    </row>
    <row r="338" spans="2:7" ht="15" hidden="1" outlineLevel="2">
      <c r="B338" s="2889" t="s">
        <v>1639</v>
      </c>
      <c r="C338" s="2889" t="s">
        <v>1618</v>
      </c>
      <c r="D338" s="2889" t="s">
        <v>1619</v>
      </c>
      <c r="E338" s="2889" t="s">
        <v>217</v>
      </c>
      <c r="F338" s="2890">
        <v>1.4115162662922598</v>
      </c>
      <c r="G338" s="2890">
        <v>357.83638726176002</v>
      </c>
    </row>
    <row r="339" spans="2:7" ht="15" hidden="1" outlineLevel="2">
      <c r="B339" s="2889" t="s">
        <v>1640</v>
      </c>
      <c r="C339" s="2889" t="s">
        <v>1618</v>
      </c>
      <c r="D339" s="2889" t="s">
        <v>1619</v>
      </c>
      <c r="E339" s="2889" t="s">
        <v>217</v>
      </c>
      <c r="F339" s="2890">
        <v>1.411431061829955</v>
      </c>
      <c r="G339" s="2890">
        <v>357.83638726176002</v>
      </c>
    </row>
    <row r="340" spans="2:7" ht="15" hidden="1" outlineLevel="2">
      <c r="B340" s="2889" t="s">
        <v>1641</v>
      </c>
      <c r="C340" s="2889" t="s">
        <v>1618</v>
      </c>
      <c r="D340" s="2889" t="s">
        <v>1619</v>
      </c>
      <c r="E340" s="2889" t="s">
        <v>217</v>
      </c>
      <c r="F340" s="2890">
        <v>2.3525272841134837</v>
      </c>
      <c r="G340" s="2890">
        <v>596.39401624814002</v>
      </c>
    </row>
    <row r="341" spans="2:7" ht="15" hidden="1" outlineLevel="2">
      <c r="B341" s="2889" t="s">
        <v>1642</v>
      </c>
      <c r="C341" s="2889" t="s">
        <v>1618</v>
      </c>
      <c r="D341" s="2889" t="s">
        <v>1619</v>
      </c>
      <c r="E341" s="2889" t="s">
        <v>217</v>
      </c>
      <c r="F341" s="2890">
        <v>0.47050534946622041</v>
      </c>
      <c r="G341" s="2890">
        <v>119.27879467744539</v>
      </c>
    </row>
    <row r="342" spans="2:7" ht="15" hidden="1" outlineLevel="2">
      <c r="B342" s="2889" t="s">
        <v>1643</v>
      </c>
      <c r="C342" s="2889" t="s">
        <v>1618</v>
      </c>
      <c r="D342" s="2889" t="s">
        <v>1619</v>
      </c>
      <c r="E342" s="2889" t="s">
        <v>217</v>
      </c>
      <c r="F342" s="2890">
        <v>2.1661625763248415</v>
      </c>
      <c r="G342" s="2890">
        <v>549.17044737302001</v>
      </c>
    </row>
    <row r="343" spans="2:7" ht="15" hidden="1" outlineLevel="2">
      <c r="B343" s="2889" t="s">
        <v>1644</v>
      </c>
      <c r="C343" s="2889" t="s">
        <v>1618</v>
      </c>
      <c r="D343" s="2889" t="s">
        <v>1619</v>
      </c>
      <c r="E343" s="2889" t="s">
        <v>217</v>
      </c>
      <c r="F343" s="2890">
        <v>2.8230314851747247</v>
      </c>
      <c r="G343" s="2890">
        <v>715.67271940801993</v>
      </c>
    </row>
    <row r="344" spans="2:7" ht="15" hidden="1" outlineLevel="2">
      <c r="B344" s="2889" t="s">
        <v>1645</v>
      </c>
      <c r="C344" s="2889" t="s">
        <v>1618</v>
      </c>
      <c r="D344" s="2889" t="s">
        <v>1619</v>
      </c>
      <c r="E344" s="2889" t="s">
        <v>217</v>
      </c>
      <c r="F344" s="2890">
        <v>1.4115162663082719</v>
      </c>
      <c r="G344" s="2890">
        <v>357.83638726176002</v>
      </c>
    </row>
    <row r="345" spans="2:7" ht="15" hidden="1" outlineLevel="2">
      <c r="B345" s="2889" t="s">
        <v>1646</v>
      </c>
      <c r="C345" s="2889" t="s">
        <v>1618</v>
      </c>
      <c r="D345" s="2889" t="s">
        <v>1619</v>
      </c>
      <c r="E345" s="2889" t="s">
        <v>217</v>
      </c>
      <c r="F345" s="2890">
        <v>0.94101062915501865</v>
      </c>
      <c r="G345" s="2890">
        <v>238.55749708809904</v>
      </c>
    </row>
    <row r="346" spans="2:7" ht="15" hidden="1" outlineLevel="2">
      <c r="B346" s="2889" t="s">
        <v>1647</v>
      </c>
      <c r="C346" s="2889" t="s">
        <v>1618</v>
      </c>
      <c r="D346" s="2889" t="s">
        <v>1619</v>
      </c>
      <c r="E346" s="2889" t="s">
        <v>217</v>
      </c>
      <c r="F346" s="2890">
        <v>0.94095400949200236</v>
      </c>
      <c r="G346" s="2890">
        <v>238.55749708809904</v>
      </c>
    </row>
    <row r="347" spans="2:7" ht="15" hidden="1" outlineLevel="2">
      <c r="B347" s="2889" t="s">
        <v>1650</v>
      </c>
      <c r="C347" s="2889" t="s">
        <v>1618</v>
      </c>
      <c r="D347" s="2889" t="s">
        <v>1619</v>
      </c>
      <c r="E347" s="2889" t="s">
        <v>217</v>
      </c>
      <c r="F347" s="2890">
        <v>1.411431061829955</v>
      </c>
      <c r="G347" s="2890">
        <v>357.83638726176002</v>
      </c>
    </row>
    <row r="348" spans="2:7" ht="15" hidden="1" outlineLevel="2">
      <c r="B348" s="2889" t="s">
        <v>1651</v>
      </c>
      <c r="C348" s="2889" t="s">
        <v>1618</v>
      </c>
      <c r="D348" s="2889" t="s">
        <v>1619</v>
      </c>
      <c r="E348" s="2889" t="s">
        <v>217</v>
      </c>
      <c r="F348" s="2890">
        <v>1.4114310618249204</v>
      </c>
      <c r="G348" s="2890">
        <v>357.83638726176002</v>
      </c>
    </row>
    <row r="349" spans="2:7" ht="15" hidden="1" outlineLevel="2">
      <c r="B349" s="2889" t="s">
        <v>1652</v>
      </c>
      <c r="C349" s="2889" t="s">
        <v>1618</v>
      </c>
      <c r="D349" s="2889" t="s">
        <v>1619</v>
      </c>
      <c r="E349" s="2889" t="s">
        <v>217</v>
      </c>
      <c r="F349" s="2890">
        <v>1.8819082221943775</v>
      </c>
      <c r="G349" s="2890">
        <v>477.11495593981999</v>
      </c>
    </row>
    <row r="350" spans="2:7" ht="15" hidden="1" outlineLevel="2">
      <c r="B350" s="2889" t="s">
        <v>1407</v>
      </c>
      <c r="C350" s="2889" t="s">
        <v>1620</v>
      </c>
      <c r="D350" s="2889" t="s">
        <v>1619</v>
      </c>
      <c r="E350" s="2889" t="s">
        <v>217</v>
      </c>
      <c r="F350" s="2890">
        <v>1.2217467237388766E-33</v>
      </c>
      <c r="G350" s="2890">
        <v>1.4883506685854614E-30</v>
      </c>
    </row>
    <row r="351" spans="2:7" ht="15" hidden="1" outlineLevel="2">
      <c r="B351" s="2889" t="s">
        <v>1631</v>
      </c>
      <c r="C351" s="2889" t="s">
        <v>1620</v>
      </c>
      <c r="D351" s="2889" t="s">
        <v>1619</v>
      </c>
      <c r="E351" s="2889" t="s">
        <v>217</v>
      </c>
      <c r="F351" s="2890">
        <v>4.2915814961880154E-35</v>
      </c>
      <c r="G351" s="2890">
        <v>5.2178122498499936E-32</v>
      </c>
    </row>
    <row r="352" spans="2:7" ht="15" hidden="1" outlineLevel="2">
      <c r="B352" s="2889" t="s">
        <v>1632</v>
      </c>
      <c r="C352" s="2889" t="s">
        <v>1620</v>
      </c>
      <c r="D352" s="2889" t="s">
        <v>1619</v>
      </c>
      <c r="E352" s="2889" t="s">
        <v>217</v>
      </c>
      <c r="F352" s="2890">
        <v>1.220677049326443E-33</v>
      </c>
      <c r="G352" s="2890">
        <v>1.4883506685854614E-30</v>
      </c>
    </row>
    <row r="353" spans="2:7" ht="15" hidden="1" outlineLevel="2">
      <c r="B353" s="2889" t="s">
        <v>1633</v>
      </c>
      <c r="C353" s="2889" t="s">
        <v>1620</v>
      </c>
      <c r="D353" s="2889" t="s">
        <v>1619</v>
      </c>
      <c r="E353" s="2889" t="s">
        <v>217</v>
      </c>
      <c r="F353" s="2890">
        <v>3.4382141394124677E-35</v>
      </c>
      <c r="G353" s="2890">
        <v>4.1921589853032535E-32</v>
      </c>
    </row>
    <row r="354" spans="2:7" ht="15" hidden="1" outlineLevel="2">
      <c r="B354" s="2889" t="s">
        <v>1634</v>
      </c>
      <c r="C354" s="2889" t="s">
        <v>1620</v>
      </c>
      <c r="D354" s="2889" t="s">
        <v>1619</v>
      </c>
      <c r="E354" s="2889" t="s">
        <v>217</v>
      </c>
      <c r="F354" s="2890">
        <v>1.2217467237388766E-33</v>
      </c>
      <c r="G354" s="2890">
        <v>1.4883506685854614E-30</v>
      </c>
    </row>
    <row r="355" spans="2:7" ht="15" hidden="1" outlineLevel="2">
      <c r="B355" s="2889" t="s">
        <v>1635</v>
      </c>
      <c r="C355" s="2889" t="s">
        <v>1620</v>
      </c>
      <c r="D355" s="2889" t="s">
        <v>1619</v>
      </c>
      <c r="E355" s="2889" t="s">
        <v>217</v>
      </c>
      <c r="F355" s="2890">
        <v>1.220677049326443E-33</v>
      </c>
      <c r="G355" s="2890">
        <v>1.4883506685854614E-30</v>
      </c>
    </row>
    <row r="356" spans="2:7" ht="15" hidden="1" outlineLevel="2">
      <c r="B356" s="2889" t="s">
        <v>1636</v>
      </c>
      <c r="C356" s="2889" t="s">
        <v>1620</v>
      </c>
      <c r="D356" s="2889" t="s">
        <v>1619</v>
      </c>
      <c r="E356" s="2889" t="s">
        <v>217</v>
      </c>
      <c r="F356" s="2890">
        <v>2.2012928122670537E-34</v>
      </c>
      <c r="G356" s="2890">
        <v>2.6839964376933469E-31</v>
      </c>
    </row>
    <row r="357" spans="2:7" ht="15" hidden="1" outlineLevel="2">
      <c r="B357" s="2889" t="s">
        <v>1637</v>
      </c>
      <c r="C357" s="2889" t="s">
        <v>1620</v>
      </c>
      <c r="D357" s="2889" t="s">
        <v>1619</v>
      </c>
      <c r="E357" s="2889" t="s">
        <v>217</v>
      </c>
      <c r="F357" s="2890">
        <v>1.220677049326443E-33</v>
      </c>
      <c r="G357" s="2890">
        <v>1.4883506685854614E-30</v>
      </c>
    </row>
    <row r="358" spans="2:7" ht="15" hidden="1" outlineLevel="2">
      <c r="B358" s="2889" t="s">
        <v>1638</v>
      </c>
      <c r="C358" s="2889" t="s">
        <v>1620</v>
      </c>
      <c r="D358" s="2889" t="s">
        <v>1619</v>
      </c>
      <c r="E358" s="2889" t="s">
        <v>217</v>
      </c>
      <c r="F358" s="2890">
        <v>1.3055530020460593E-33</v>
      </c>
      <c r="G358" s="2890">
        <v>1.5904447834644856E-30</v>
      </c>
    </row>
    <row r="359" spans="2:7" ht="15" hidden="1" outlineLevel="2">
      <c r="B359" s="2889" t="s">
        <v>1639</v>
      </c>
      <c r="C359" s="2889" t="s">
        <v>1620</v>
      </c>
      <c r="D359" s="2889" t="s">
        <v>1619</v>
      </c>
      <c r="E359" s="2889" t="s">
        <v>217</v>
      </c>
      <c r="F359" s="2890">
        <v>1.220677049326443E-33</v>
      </c>
      <c r="G359" s="2890">
        <v>1.4883506685854614E-30</v>
      </c>
    </row>
    <row r="360" spans="2:7" ht="15" hidden="1" outlineLevel="2">
      <c r="B360" s="2889" t="s">
        <v>1640</v>
      </c>
      <c r="C360" s="2889" t="s">
        <v>1620</v>
      </c>
      <c r="D360" s="2889" t="s">
        <v>1619</v>
      </c>
      <c r="E360" s="2889" t="s">
        <v>217</v>
      </c>
      <c r="F360" s="2890">
        <v>0.71736616966103828</v>
      </c>
      <c r="G360" s="2890">
        <v>873.90651490484379</v>
      </c>
    </row>
    <row r="361" spans="2:7" ht="15" hidden="1" outlineLevel="2">
      <c r="B361" s="2889" t="s">
        <v>1641</v>
      </c>
      <c r="C361" s="2889" t="s">
        <v>1620</v>
      </c>
      <c r="D361" s="2889" t="s">
        <v>1619</v>
      </c>
      <c r="E361" s="2889" t="s">
        <v>217</v>
      </c>
      <c r="F361" s="2890">
        <v>1.1430547029828198E-33</v>
      </c>
      <c r="G361" s="2890">
        <v>1.3937069903059726E-30</v>
      </c>
    </row>
    <row r="362" spans="2:7" ht="15" hidden="1" outlineLevel="2">
      <c r="B362" s="2889" t="s">
        <v>1642</v>
      </c>
      <c r="C362" s="2889" t="s">
        <v>1620</v>
      </c>
      <c r="D362" s="2889" t="s">
        <v>1619</v>
      </c>
      <c r="E362" s="2889" t="s">
        <v>217</v>
      </c>
      <c r="F362" s="2890">
        <v>1.3044101874851183E-33</v>
      </c>
      <c r="G362" s="2890">
        <v>1.5904447834644856E-30</v>
      </c>
    </row>
    <row r="363" spans="2:7" ht="15" hidden="1" outlineLevel="2">
      <c r="B363" s="2889" t="s">
        <v>1643</v>
      </c>
      <c r="C363" s="2889" t="s">
        <v>1620</v>
      </c>
      <c r="D363" s="2889" t="s">
        <v>1619</v>
      </c>
      <c r="E363" s="2889" t="s">
        <v>217</v>
      </c>
      <c r="F363" s="2890">
        <v>2.1174128959979998E-33</v>
      </c>
      <c r="G363" s="2890">
        <v>2.5816114851933079E-30</v>
      </c>
    </row>
    <row r="364" spans="2:7" ht="15" hidden="1" outlineLevel="2">
      <c r="B364" s="2889" t="s">
        <v>1644</v>
      </c>
      <c r="C364" s="2889" t="s">
        <v>1620</v>
      </c>
      <c r="D364" s="2889" t="s">
        <v>1619</v>
      </c>
      <c r="E364" s="2889" t="s">
        <v>217</v>
      </c>
      <c r="F364" s="2890">
        <v>4.2794073780183934E-35</v>
      </c>
      <c r="G364" s="2890">
        <v>5.2178122498499936E-32</v>
      </c>
    </row>
    <row r="365" spans="2:7" ht="15" hidden="1" outlineLevel="2">
      <c r="B365" s="2889" t="s">
        <v>1645</v>
      </c>
      <c r="C365" s="2889" t="s">
        <v>1620</v>
      </c>
      <c r="D365" s="2889" t="s">
        <v>1619</v>
      </c>
      <c r="E365" s="2889" t="s">
        <v>217</v>
      </c>
      <c r="F365" s="2890">
        <v>1.2211720872999998E-33</v>
      </c>
      <c r="G365" s="2890">
        <v>1.4909845060000002E-30</v>
      </c>
    </row>
    <row r="366" spans="2:7" ht="15" hidden="1" outlineLevel="2">
      <c r="B366" s="2889" t="s">
        <v>1646</v>
      </c>
      <c r="C366" s="2889" t="s">
        <v>1620</v>
      </c>
      <c r="D366" s="2889" t="s">
        <v>1619</v>
      </c>
      <c r="E366" s="2889" t="s">
        <v>217</v>
      </c>
      <c r="F366" s="2890">
        <v>1.6991312156860277E-33</v>
      </c>
      <c r="G366" s="2890">
        <v>2.0717209505030632E-30</v>
      </c>
    </row>
    <row r="367" spans="2:7" ht="15" hidden="1" outlineLevel="2">
      <c r="B367" s="2889" t="s">
        <v>1647</v>
      </c>
      <c r="C367" s="2889" t="s">
        <v>1620</v>
      </c>
      <c r="D367" s="2889" t="s">
        <v>1619</v>
      </c>
      <c r="E367" s="2889" t="s">
        <v>217</v>
      </c>
      <c r="F367" s="2890">
        <v>1.7006194569637756E-33</v>
      </c>
      <c r="G367" s="2890">
        <v>2.0717209505030705E-30</v>
      </c>
    </row>
    <row r="368" spans="2:7" ht="15" hidden="1" outlineLevel="2">
      <c r="B368" s="2889" t="s">
        <v>1648</v>
      </c>
      <c r="C368" s="2889" t="s">
        <v>1620</v>
      </c>
      <c r="D368" s="2889" t="s">
        <v>1619</v>
      </c>
      <c r="E368" s="2889" t="s">
        <v>217</v>
      </c>
      <c r="F368" s="2890">
        <v>3.4412263012536057E-35</v>
      </c>
      <c r="G368" s="2890">
        <v>4.1921589853032535E-32</v>
      </c>
    </row>
    <row r="369" spans="2:7" ht="15" hidden="1" outlineLevel="2">
      <c r="B369" s="2889" t="s">
        <v>1649</v>
      </c>
      <c r="C369" s="2889" t="s">
        <v>1620</v>
      </c>
      <c r="D369" s="2889" t="s">
        <v>1619</v>
      </c>
      <c r="E369" s="2889" t="s">
        <v>217</v>
      </c>
      <c r="F369" s="2890">
        <v>3.4412263012536057E-35</v>
      </c>
      <c r="G369" s="2890">
        <v>4.1921589853032535E-32</v>
      </c>
    </row>
    <row r="370" spans="2:7" ht="15" hidden="1" outlineLevel="2">
      <c r="B370" s="2889" t="s">
        <v>1650</v>
      </c>
      <c r="C370" s="2889" t="s">
        <v>1620</v>
      </c>
      <c r="D370" s="2889" t="s">
        <v>1619</v>
      </c>
      <c r="E370" s="2889" t="s">
        <v>217</v>
      </c>
      <c r="F370" s="2890">
        <v>1.2217467237388766E-33</v>
      </c>
      <c r="G370" s="2890">
        <v>1.4883506685854614E-30</v>
      </c>
    </row>
    <row r="371" spans="2:7" ht="15" hidden="1" outlineLevel="2">
      <c r="B371" s="2889" t="s">
        <v>1651</v>
      </c>
      <c r="C371" s="2889" t="s">
        <v>1620</v>
      </c>
      <c r="D371" s="2889" t="s">
        <v>1619</v>
      </c>
      <c r="E371" s="2889" t="s">
        <v>217</v>
      </c>
      <c r="F371" s="2890">
        <v>1.2209185559999999E-33</v>
      </c>
      <c r="G371" s="2890">
        <v>1.4909845060000002E-30</v>
      </c>
    </row>
    <row r="372" spans="2:7" ht="15" hidden="1" outlineLevel="2">
      <c r="B372" s="2889" t="s">
        <v>1652</v>
      </c>
      <c r="C372" s="2889" t="s">
        <v>1620</v>
      </c>
      <c r="D372" s="2889" t="s">
        <v>1619</v>
      </c>
      <c r="E372" s="2889" t="s">
        <v>217</v>
      </c>
      <c r="F372" s="2890">
        <v>2.0888774499999998E-33</v>
      </c>
      <c r="G372" s="2890">
        <v>2.5436905559999998E-30</v>
      </c>
    </row>
    <row r="373" spans="2:7" ht="15" hidden="1" outlineLevel="2">
      <c r="B373" s="2889" t="s">
        <v>1653</v>
      </c>
      <c r="C373" s="2889" t="s">
        <v>1620</v>
      </c>
      <c r="D373" s="2889" t="s">
        <v>1619</v>
      </c>
      <c r="E373" s="2889" t="s">
        <v>217</v>
      </c>
      <c r="F373" s="2890">
        <v>3.4382141394124677E-35</v>
      </c>
      <c r="G373" s="2890">
        <v>4.1921589853032535E-32</v>
      </c>
    </row>
    <row r="374" spans="2:7" ht="15" hidden="1" outlineLevel="2">
      <c r="B374" s="2889" t="s">
        <v>1407</v>
      </c>
      <c r="C374" s="2889" t="s">
        <v>1621</v>
      </c>
      <c r="D374" s="2889" t="s">
        <v>1619</v>
      </c>
      <c r="E374" s="2889" t="s">
        <v>217</v>
      </c>
      <c r="F374" s="2890">
        <v>1.5118312018812359</v>
      </c>
      <c r="G374" s="2890">
        <v>413.18481786908904</v>
      </c>
    </row>
    <row r="375" spans="2:7" ht="15" hidden="1" outlineLevel="2">
      <c r="B375" s="2889" t="s">
        <v>1631</v>
      </c>
      <c r="C375" s="2889" t="s">
        <v>1621</v>
      </c>
      <c r="D375" s="2889" t="s">
        <v>1619</v>
      </c>
      <c r="E375" s="2889" t="s">
        <v>217</v>
      </c>
      <c r="F375" s="2890">
        <v>3.0281428506067716</v>
      </c>
      <c r="G375" s="2890">
        <v>826.36984331692997</v>
      </c>
    </row>
    <row r="376" spans="2:7" ht="15" hidden="1" outlineLevel="2">
      <c r="B376" s="2889" t="s">
        <v>1632</v>
      </c>
      <c r="C376" s="2889" t="s">
        <v>1621</v>
      </c>
      <c r="D376" s="2889" t="s">
        <v>1619</v>
      </c>
      <c r="E376" s="2889" t="s">
        <v>217</v>
      </c>
      <c r="F376" s="2890">
        <v>1.5119219198278302</v>
      </c>
      <c r="G376" s="2890">
        <v>413.18481786908904</v>
      </c>
    </row>
    <row r="377" spans="2:7" ht="15" hidden="1" outlineLevel="2">
      <c r="B377" s="2889" t="s">
        <v>1633</v>
      </c>
      <c r="C377" s="2889" t="s">
        <v>1621</v>
      </c>
      <c r="D377" s="2889" t="s">
        <v>1619</v>
      </c>
      <c r="E377" s="2889" t="s">
        <v>217</v>
      </c>
      <c r="F377" s="2890">
        <v>2.5727498841494662E-34</v>
      </c>
      <c r="G377" s="2890">
        <v>7.0309237561352104E-32</v>
      </c>
    </row>
    <row r="378" spans="2:7" ht="15" hidden="1" outlineLevel="2">
      <c r="B378" s="2889" t="s">
        <v>1634</v>
      </c>
      <c r="C378" s="2889" t="s">
        <v>1621</v>
      </c>
      <c r="D378" s="2889" t="s">
        <v>1619</v>
      </c>
      <c r="E378" s="2889" t="s">
        <v>217</v>
      </c>
      <c r="F378" s="2890">
        <v>1.5118312018812359</v>
      </c>
      <c r="G378" s="2890">
        <v>413.18481786908904</v>
      </c>
    </row>
    <row r="379" spans="2:7" ht="15" hidden="1" outlineLevel="2">
      <c r="B379" s="2889" t="s">
        <v>1635</v>
      </c>
      <c r="C379" s="2889" t="s">
        <v>1621</v>
      </c>
      <c r="D379" s="2889" t="s">
        <v>1619</v>
      </c>
      <c r="E379" s="2889" t="s">
        <v>217</v>
      </c>
      <c r="F379" s="2890">
        <v>1.5119219198278302</v>
      </c>
      <c r="G379" s="2890">
        <v>413.18481786908904</v>
      </c>
    </row>
    <row r="380" spans="2:7" ht="15" hidden="1" outlineLevel="2">
      <c r="B380" s="2889" t="s">
        <v>1636</v>
      </c>
      <c r="C380" s="2889" t="s">
        <v>1621</v>
      </c>
      <c r="D380" s="2889" t="s">
        <v>1619</v>
      </c>
      <c r="E380" s="2889" t="s">
        <v>217</v>
      </c>
      <c r="F380" s="2890">
        <v>4.0317920525453079</v>
      </c>
      <c r="G380" s="2890">
        <v>1101.8254873556698</v>
      </c>
    </row>
    <row r="381" spans="2:7" ht="15" hidden="1" outlineLevel="2">
      <c r="B381" s="2889" t="s">
        <v>1637</v>
      </c>
      <c r="C381" s="2889" t="s">
        <v>1621</v>
      </c>
      <c r="D381" s="2889" t="s">
        <v>1619</v>
      </c>
      <c r="E381" s="2889" t="s">
        <v>217</v>
      </c>
      <c r="F381" s="2890">
        <v>1.5119219198278302</v>
      </c>
      <c r="G381" s="2890">
        <v>413.18481786908904</v>
      </c>
    </row>
    <row r="382" spans="2:7" ht="15" hidden="1" outlineLevel="2">
      <c r="B382" s="2889" t="s">
        <v>1638</v>
      </c>
      <c r="C382" s="2889" t="s">
        <v>1621</v>
      </c>
      <c r="D382" s="2889" t="s">
        <v>1619</v>
      </c>
      <c r="E382" s="2889" t="s">
        <v>217</v>
      </c>
      <c r="F382" s="2890">
        <v>0.50394366596309903</v>
      </c>
      <c r="G382" s="2890">
        <v>137.72835295817683</v>
      </c>
    </row>
    <row r="383" spans="2:7" ht="15" hidden="1" outlineLevel="2">
      <c r="B383" s="2889" t="s">
        <v>1639</v>
      </c>
      <c r="C383" s="2889" t="s">
        <v>1621</v>
      </c>
      <c r="D383" s="2889" t="s">
        <v>1619</v>
      </c>
      <c r="E383" s="2889" t="s">
        <v>217</v>
      </c>
      <c r="F383" s="2890">
        <v>1.5119219198278302</v>
      </c>
      <c r="G383" s="2890">
        <v>413.18481786908904</v>
      </c>
    </row>
    <row r="384" spans="2:7" ht="15" hidden="1" outlineLevel="2">
      <c r="B384" s="2889" t="s">
        <v>1640</v>
      </c>
      <c r="C384" s="2889" t="s">
        <v>1621</v>
      </c>
      <c r="D384" s="2889" t="s">
        <v>1619</v>
      </c>
      <c r="E384" s="2889" t="s">
        <v>217</v>
      </c>
      <c r="F384" s="2890">
        <v>1.5118312018812359</v>
      </c>
      <c r="G384" s="2890">
        <v>413.18481786908904</v>
      </c>
    </row>
    <row r="385" spans="2:7" ht="15" hidden="1" outlineLevel="2">
      <c r="B385" s="2889" t="s">
        <v>1641</v>
      </c>
      <c r="C385" s="2889" t="s">
        <v>1621</v>
      </c>
      <c r="D385" s="2889" t="s">
        <v>1619</v>
      </c>
      <c r="E385" s="2889" t="s">
        <v>217</v>
      </c>
      <c r="F385" s="2890">
        <v>2.51986940727451</v>
      </c>
      <c r="G385" s="2890">
        <v>688.64149439337996</v>
      </c>
    </row>
    <row r="386" spans="2:7" ht="15" hidden="1" outlineLevel="2">
      <c r="B386" s="2889" t="s">
        <v>1642</v>
      </c>
      <c r="C386" s="2889" t="s">
        <v>1621</v>
      </c>
      <c r="D386" s="2889" t="s">
        <v>1619</v>
      </c>
      <c r="E386" s="2889" t="s">
        <v>217</v>
      </c>
      <c r="F386" s="2890">
        <v>0.5039738901659363</v>
      </c>
      <c r="G386" s="2890">
        <v>137.72835295817683</v>
      </c>
    </row>
    <row r="387" spans="2:7" ht="15" hidden="1" outlineLevel="2">
      <c r="B387" s="2889" t="s">
        <v>1643</v>
      </c>
      <c r="C387" s="2889" t="s">
        <v>1621</v>
      </c>
      <c r="D387" s="2889" t="s">
        <v>1619</v>
      </c>
      <c r="E387" s="2889" t="s">
        <v>217</v>
      </c>
      <c r="F387" s="2890">
        <v>2.320248947582443</v>
      </c>
      <c r="G387" s="2890">
        <v>634.11361969864902</v>
      </c>
    </row>
    <row r="388" spans="2:7" ht="15" hidden="1" outlineLevel="2">
      <c r="B388" s="2889" t="s">
        <v>1644</v>
      </c>
      <c r="C388" s="2889" t="s">
        <v>1621</v>
      </c>
      <c r="D388" s="2889" t="s">
        <v>1619</v>
      </c>
      <c r="E388" s="2889" t="s">
        <v>217</v>
      </c>
      <c r="F388" s="2890">
        <v>3.0238444471910184</v>
      </c>
      <c r="G388" s="2890">
        <v>826.36984331692997</v>
      </c>
    </row>
    <row r="389" spans="2:7" ht="15" hidden="1" outlineLevel="2">
      <c r="B389" s="2889" t="s">
        <v>1645</v>
      </c>
      <c r="C389" s="2889" t="s">
        <v>1621</v>
      </c>
      <c r="D389" s="2889" t="s">
        <v>1619</v>
      </c>
      <c r="E389" s="2889" t="s">
        <v>217</v>
      </c>
      <c r="F389" s="2890">
        <v>1.5119219198637137</v>
      </c>
      <c r="G389" s="2890">
        <v>413.18481786782138</v>
      </c>
    </row>
    <row r="390" spans="2:7" ht="15" hidden="1" outlineLevel="2">
      <c r="B390" s="2889" t="s">
        <v>1646</v>
      </c>
      <c r="C390" s="2889" t="s">
        <v>1621</v>
      </c>
      <c r="D390" s="2889" t="s">
        <v>1619</v>
      </c>
      <c r="E390" s="2889" t="s">
        <v>217</v>
      </c>
      <c r="F390" s="2890">
        <v>1.0079476137810657</v>
      </c>
      <c r="G390" s="2890">
        <v>275.45650629490206</v>
      </c>
    </row>
    <row r="391" spans="2:7" ht="15" hidden="1" outlineLevel="2">
      <c r="B391" s="2889" t="s">
        <v>1647</v>
      </c>
      <c r="C391" s="2889" t="s">
        <v>1621</v>
      </c>
      <c r="D391" s="2889" t="s">
        <v>1619</v>
      </c>
      <c r="E391" s="2889" t="s">
        <v>217</v>
      </c>
      <c r="F391" s="2890">
        <v>1.0078872714417808</v>
      </c>
      <c r="G391" s="2890">
        <v>275.45650629490206</v>
      </c>
    </row>
    <row r="392" spans="2:7" ht="15" hidden="1" outlineLevel="2">
      <c r="B392" s="2889" t="s">
        <v>1648</v>
      </c>
      <c r="C392" s="2889" t="s">
        <v>1621</v>
      </c>
      <c r="D392" s="2889" t="s">
        <v>1619</v>
      </c>
      <c r="E392" s="2889" t="s">
        <v>217</v>
      </c>
      <c r="F392" s="2890">
        <v>2.5725958477969523E-34</v>
      </c>
      <c r="G392" s="2890">
        <v>7.0309237561352104E-32</v>
      </c>
    </row>
    <row r="393" spans="2:7" ht="15" hidden="1" outlineLevel="2">
      <c r="B393" s="2889" t="s">
        <v>1649</v>
      </c>
      <c r="C393" s="2889" t="s">
        <v>1621</v>
      </c>
      <c r="D393" s="2889" t="s">
        <v>1619</v>
      </c>
      <c r="E393" s="2889" t="s">
        <v>217</v>
      </c>
      <c r="F393" s="2890">
        <v>2.5725958477969523E-34</v>
      </c>
      <c r="G393" s="2890">
        <v>7.0309237561352104E-32</v>
      </c>
    </row>
    <row r="394" spans="2:7" ht="15" hidden="1" outlineLevel="2">
      <c r="B394" s="2889" t="s">
        <v>1650</v>
      </c>
      <c r="C394" s="2889" t="s">
        <v>1621</v>
      </c>
      <c r="D394" s="2889" t="s">
        <v>1619</v>
      </c>
      <c r="E394" s="2889" t="s">
        <v>217</v>
      </c>
      <c r="F394" s="2890">
        <v>1.5118312018812359</v>
      </c>
      <c r="G394" s="2890">
        <v>413.18481786908904</v>
      </c>
    </row>
    <row r="395" spans="2:7" ht="15" hidden="1" outlineLevel="2">
      <c r="B395" s="2889" t="s">
        <v>1651</v>
      </c>
      <c r="C395" s="2889" t="s">
        <v>1621</v>
      </c>
      <c r="D395" s="2889" t="s">
        <v>1619</v>
      </c>
      <c r="E395" s="2889" t="s">
        <v>217</v>
      </c>
      <c r="F395" s="2890">
        <v>1.5118312018958091</v>
      </c>
      <c r="G395" s="2890">
        <v>413.18481786782138</v>
      </c>
    </row>
    <row r="396" spans="2:7" ht="15" hidden="1" outlineLevel="2">
      <c r="B396" s="2889" t="s">
        <v>1652</v>
      </c>
      <c r="C396" s="2889" t="s">
        <v>1621</v>
      </c>
      <c r="D396" s="2889" t="s">
        <v>1619</v>
      </c>
      <c r="E396" s="2889" t="s">
        <v>217</v>
      </c>
      <c r="F396" s="2890">
        <v>2.0157752595077456</v>
      </c>
      <c r="G396" s="2890">
        <v>550.91278721908009</v>
      </c>
    </row>
    <row r="397" spans="2:7" ht="15" hidden="1" outlineLevel="2">
      <c r="B397" s="2889" t="s">
        <v>1653</v>
      </c>
      <c r="C397" s="2889" t="s">
        <v>1621</v>
      </c>
      <c r="D397" s="2889" t="s">
        <v>1619</v>
      </c>
      <c r="E397" s="2889" t="s">
        <v>217</v>
      </c>
      <c r="F397" s="2890">
        <v>2.5727498841494662E-34</v>
      </c>
      <c r="G397" s="2890">
        <v>7.0309237561352104E-32</v>
      </c>
    </row>
    <row r="398" spans="2:7" ht="15" hidden="1" outlineLevel="2">
      <c r="B398" s="2889" t="s">
        <v>1407</v>
      </c>
      <c r="C398" s="2889" t="s">
        <v>1622</v>
      </c>
      <c r="D398" s="2889" t="s">
        <v>1619</v>
      </c>
      <c r="E398" s="2889" t="s">
        <v>217</v>
      </c>
      <c r="F398" s="2890">
        <v>9.6810498399260481E-2</v>
      </c>
      <c r="G398" s="2890">
        <v>106.22956157076491</v>
      </c>
    </row>
    <row r="399" spans="2:7" ht="15" hidden="1" outlineLevel="2">
      <c r="B399" s="2889" t="s">
        <v>1631</v>
      </c>
      <c r="C399" s="2889" t="s">
        <v>1622</v>
      </c>
      <c r="D399" s="2889" t="s">
        <v>1619</v>
      </c>
      <c r="E399" s="2889" t="s">
        <v>217</v>
      </c>
      <c r="F399" s="2890">
        <v>0.19390782594176903</v>
      </c>
      <c r="G399" s="2890">
        <v>212.45914634475341</v>
      </c>
    </row>
    <row r="400" spans="2:7" ht="15" hidden="1" outlineLevel="2">
      <c r="B400" s="2889" t="s">
        <v>1632</v>
      </c>
      <c r="C400" s="2889" t="s">
        <v>1622</v>
      </c>
      <c r="D400" s="2889" t="s">
        <v>1619</v>
      </c>
      <c r="E400" s="2889" t="s">
        <v>217</v>
      </c>
      <c r="F400" s="2890">
        <v>9.6816320427786207E-2</v>
      </c>
      <c r="G400" s="2890">
        <v>106.22956157076491</v>
      </c>
    </row>
    <row r="401" spans="2:7" ht="15" hidden="1" outlineLevel="2">
      <c r="B401" s="2889" t="s">
        <v>1633</v>
      </c>
      <c r="C401" s="2889" t="s">
        <v>1622</v>
      </c>
      <c r="D401" s="2889" t="s">
        <v>1619</v>
      </c>
      <c r="E401" s="2889" t="s">
        <v>217</v>
      </c>
      <c r="F401" s="2890">
        <v>1.0335191748071537E-33</v>
      </c>
      <c r="G401" s="2890">
        <v>1.1418625961266794E-30</v>
      </c>
    </row>
    <row r="402" spans="2:7" ht="15" hidden="1" outlineLevel="2">
      <c r="B402" s="2889" t="s">
        <v>1634</v>
      </c>
      <c r="C402" s="2889" t="s">
        <v>1622</v>
      </c>
      <c r="D402" s="2889" t="s">
        <v>1619</v>
      </c>
      <c r="E402" s="2889" t="s">
        <v>217</v>
      </c>
      <c r="F402" s="2890">
        <v>9.6810498399260481E-2</v>
      </c>
      <c r="G402" s="2890">
        <v>106.22956157076491</v>
      </c>
    </row>
    <row r="403" spans="2:7" ht="15" hidden="1" outlineLevel="2">
      <c r="B403" s="2889" t="s">
        <v>1635</v>
      </c>
      <c r="C403" s="2889" t="s">
        <v>1622</v>
      </c>
      <c r="D403" s="2889" t="s">
        <v>1619</v>
      </c>
      <c r="E403" s="2889" t="s">
        <v>217</v>
      </c>
      <c r="F403" s="2890">
        <v>9.6816320427786207E-2</v>
      </c>
      <c r="G403" s="2890">
        <v>106.22956157076491</v>
      </c>
    </row>
    <row r="404" spans="2:7" ht="15" hidden="1" outlineLevel="2">
      <c r="B404" s="2889" t="s">
        <v>1636</v>
      </c>
      <c r="C404" s="2889" t="s">
        <v>1622</v>
      </c>
      <c r="D404" s="2889" t="s">
        <v>1619</v>
      </c>
      <c r="E404" s="2889" t="s">
        <v>217</v>
      </c>
      <c r="F404" s="2890">
        <v>0.25817679020102169</v>
      </c>
      <c r="G404" s="2890">
        <v>283.27889607704628</v>
      </c>
    </row>
    <row r="405" spans="2:7" ht="15" hidden="1" outlineLevel="2">
      <c r="B405" s="2889" t="s">
        <v>1637</v>
      </c>
      <c r="C405" s="2889" t="s">
        <v>1622</v>
      </c>
      <c r="D405" s="2889" t="s">
        <v>1619</v>
      </c>
      <c r="E405" s="2889" t="s">
        <v>217</v>
      </c>
      <c r="F405" s="2890">
        <v>9.6816320427786207E-2</v>
      </c>
      <c r="G405" s="2890">
        <v>106.22956157076491</v>
      </c>
    </row>
    <row r="406" spans="2:7" ht="15" hidden="1" outlineLevel="2">
      <c r="B406" s="2889" t="s">
        <v>1638</v>
      </c>
      <c r="C406" s="2889" t="s">
        <v>1622</v>
      </c>
      <c r="D406" s="2889" t="s">
        <v>1619</v>
      </c>
      <c r="E406" s="2889" t="s">
        <v>217</v>
      </c>
      <c r="F406" s="2890">
        <v>3.2270168844169445E-2</v>
      </c>
      <c r="G406" s="2890">
        <v>35.409863596027456</v>
      </c>
    </row>
    <row r="407" spans="2:7" ht="15" hidden="1" outlineLevel="2">
      <c r="B407" s="2889" t="s">
        <v>1639</v>
      </c>
      <c r="C407" s="2889" t="s">
        <v>1622</v>
      </c>
      <c r="D407" s="2889" t="s">
        <v>1619</v>
      </c>
      <c r="E407" s="2889" t="s">
        <v>217</v>
      </c>
      <c r="F407" s="2890">
        <v>9.6816320427786207E-2</v>
      </c>
      <c r="G407" s="2890">
        <v>106.22956157076491</v>
      </c>
    </row>
    <row r="408" spans="2:7" ht="15" hidden="1" outlineLevel="2">
      <c r="B408" s="2889" t="s">
        <v>1640</v>
      </c>
      <c r="C408" s="2889" t="s">
        <v>1622</v>
      </c>
      <c r="D408" s="2889" t="s">
        <v>1619</v>
      </c>
      <c r="E408" s="2889" t="s">
        <v>217</v>
      </c>
      <c r="F408" s="2890">
        <v>9.6810498399260481E-2</v>
      </c>
      <c r="G408" s="2890">
        <v>106.22956157076491</v>
      </c>
    </row>
    <row r="409" spans="2:7" ht="15" hidden="1" outlineLevel="2">
      <c r="B409" s="2889" t="s">
        <v>1641</v>
      </c>
      <c r="C409" s="2889" t="s">
        <v>1622</v>
      </c>
      <c r="D409" s="2889" t="s">
        <v>1619</v>
      </c>
      <c r="E409" s="2889" t="s">
        <v>217</v>
      </c>
      <c r="F409" s="2890">
        <v>0.16136052086180849</v>
      </c>
      <c r="G409" s="2890">
        <v>177.049330128191</v>
      </c>
    </row>
    <row r="410" spans="2:7" ht="15" hidden="1" outlineLevel="2">
      <c r="B410" s="2889" t="s">
        <v>1642</v>
      </c>
      <c r="C410" s="2889" t="s">
        <v>1622</v>
      </c>
      <c r="D410" s="2889" t="s">
        <v>1619</v>
      </c>
      <c r="E410" s="2889" t="s">
        <v>217</v>
      </c>
      <c r="F410" s="2890">
        <v>3.2272107233087044E-2</v>
      </c>
      <c r="G410" s="2890">
        <v>35.409863596027456</v>
      </c>
    </row>
    <row r="411" spans="2:7" ht="15" hidden="1" outlineLevel="2">
      <c r="B411" s="2889" t="s">
        <v>1643</v>
      </c>
      <c r="C411" s="2889" t="s">
        <v>1622</v>
      </c>
      <c r="D411" s="2889" t="s">
        <v>1619</v>
      </c>
      <c r="E411" s="2889" t="s">
        <v>217</v>
      </c>
      <c r="F411" s="2890">
        <v>0.1485777577174219</v>
      </c>
      <c r="G411" s="2890">
        <v>163.03018305966535</v>
      </c>
    </row>
    <row r="412" spans="2:7" ht="15" hidden="1" outlineLevel="2">
      <c r="B412" s="2889" t="s">
        <v>1644</v>
      </c>
      <c r="C412" s="2889" t="s">
        <v>1622</v>
      </c>
      <c r="D412" s="2889" t="s">
        <v>1619</v>
      </c>
      <c r="E412" s="2889" t="s">
        <v>217</v>
      </c>
      <c r="F412" s="2890">
        <v>0.19363265633184704</v>
      </c>
      <c r="G412" s="2890">
        <v>212.45914634475341</v>
      </c>
    </row>
    <row r="413" spans="2:7" ht="15" hidden="1" outlineLevel="2">
      <c r="B413" s="2889" t="s">
        <v>1645</v>
      </c>
      <c r="C413" s="2889" t="s">
        <v>1622</v>
      </c>
      <c r="D413" s="2889" t="s">
        <v>1619</v>
      </c>
      <c r="E413" s="2889" t="s">
        <v>217</v>
      </c>
      <c r="F413" s="2890">
        <v>9.681632042604961E-2</v>
      </c>
      <c r="G413" s="2890">
        <v>106.22956157090668</v>
      </c>
    </row>
    <row r="414" spans="2:7" ht="15" hidden="1" outlineLevel="2">
      <c r="B414" s="2889" t="s">
        <v>1646</v>
      </c>
      <c r="C414" s="2889" t="s">
        <v>1622</v>
      </c>
      <c r="D414" s="2889" t="s">
        <v>1619</v>
      </c>
      <c r="E414" s="2889" t="s">
        <v>217</v>
      </c>
      <c r="F414" s="2890">
        <v>6.4544225624817819E-2</v>
      </c>
      <c r="G414" s="2890">
        <v>70.81972060486072</v>
      </c>
    </row>
    <row r="415" spans="2:7" ht="15" hidden="1" outlineLevel="2">
      <c r="B415" s="2889" t="s">
        <v>1647</v>
      </c>
      <c r="C415" s="2889" t="s">
        <v>1622</v>
      </c>
      <c r="D415" s="2889" t="s">
        <v>1619</v>
      </c>
      <c r="E415" s="2889" t="s">
        <v>217</v>
      </c>
      <c r="F415" s="2890">
        <v>6.4540336974387241E-2</v>
      </c>
      <c r="G415" s="2890">
        <v>70.819720604860905</v>
      </c>
    </row>
    <row r="416" spans="2:7" ht="15" hidden="1" outlineLevel="2">
      <c r="B416" s="2889" t="s">
        <v>1648</v>
      </c>
      <c r="C416" s="2889" t="s">
        <v>1622</v>
      </c>
      <c r="D416" s="2889" t="s">
        <v>1619</v>
      </c>
      <c r="E416" s="2889" t="s">
        <v>217</v>
      </c>
      <c r="F416" s="2890">
        <v>1.0334569929962253E-33</v>
      </c>
      <c r="G416" s="2890">
        <v>1.1418625961266794E-30</v>
      </c>
    </row>
    <row r="417" spans="2:7" ht="15" hidden="1" outlineLevel="2">
      <c r="B417" s="2889" t="s">
        <v>1649</v>
      </c>
      <c r="C417" s="2889" t="s">
        <v>1622</v>
      </c>
      <c r="D417" s="2889" t="s">
        <v>1619</v>
      </c>
      <c r="E417" s="2889" t="s">
        <v>217</v>
      </c>
      <c r="F417" s="2890">
        <v>1.0334569929962253E-33</v>
      </c>
      <c r="G417" s="2890">
        <v>1.1418625961266794E-30</v>
      </c>
    </row>
    <row r="418" spans="2:7" ht="15" hidden="1" outlineLevel="2">
      <c r="B418" s="2889" t="s">
        <v>1650</v>
      </c>
      <c r="C418" s="2889" t="s">
        <v>1622</v>
      </c>
      <c r="D418" s="2889" t="s">
        <v>1619</v>
      </c>
      <c r="E418" s="2889" t="s">
        <v>217</v>
      </c>
      <c r="F418" s="2890">
        <v>9.6810498399260481E-2</v>
      </c>
      <c r="G418" s="2890">
        <v>106.22956157076491</v>
      </c>
    </row>
    <row r="419" spans="2:7" ht="15" hidden="1" outlineLevel="2">
      <c r="B419" s="2889" t="s">
        <v>1651</v>
      </c>
      <c r="C419" s="2889" t="s">
        <v>1622</v>
      </c>
      <c r="D419" s="2889" t="s">
        <v>1619</v>
      </c>
      <c r="E419" s="2889" t="s">
        <v>217</v>
      </c>
      <c r="F419" s="2890">
        <v>9.6810498400065392E-2</v>
      </c>
      <c r="G419" s="2890">
        <v>106.22956157090668</v>
      </c>
    </row>
    <row r="420" spans="2:7" ht="15" hidden="1" outlineLevel="2">
      <c r="B420" s="2889" t="s">
        <v>1652</v>
      </c>
      <c r="C420" s="2889" t="s">
        <v>1622</v>
      </c>
      <c r="D420" s="2889" t="s">
        <v>1619</v>
      </c>
      <c r="E420" s="2889" t="s">
        <v>217</v>
      </c>
      <c r="F420" s="2890">
        <v>0.12908065053309148</v>
      </c>
      <c r="G420" s="2890">
        <v>141.6394103892313</v>
      </c>
    </row>
    <row r="421" spans="2:7" ht="15" hidden="1" outlineLevel="2">
      <c r="B421" s="2889" t="s">
        <v>1653</v>
      </c>
      <c r="C421" s="2889" t="s">
        <v>1622</v>
      </c>
      <c r="D421" s="2889" t="s">
        <v>1619</v>
      </c>
      <c r="E421" s="2889" t="s">
        <v>217</v>
      </c>
      <c r="F421" s="2890">
        <v>1.0335191748071537E-33</v>
      </c>
      <c r="G421" s="2890">
        <v>1.1418625961266794E-30</v>
      </c>
    </row>
    <row r="422" spans="2:7" ht="15" hidden="1" outlineLevel="2">
      <c r="B422" s="2889" t="s">
        <v>1407</v>
      </c>
      <c r="C422" s="2889" t="s">
        <v>1466</v>
      </c>
      <c r="D422" s="2889" t="s">
        <v>1054</v>
      </c>
      <c r="E422" s="2889" t="s">
        <v>217</v>
      </c>
      <c r="F422" s="2890">
        <v>6.6142066426953796E-3</v>
      </c>
      <c r="G422" s="2890">
        <v>4.0781214534397945</v>
      </c>
    </row>
    <row r="423" spans="2:7" ht="15" hidden="1" outlineLevel="2">
      <c r="B423" s="2889" t="s">
        <v>1631</v>
      </c>
      <c r="C423" s="2889" t="s">
        <v>1466</v>
      </c>
      <c r="D423" s="2889" t="s">
        <v>1054</v>
      </c>
      <c r="E423" s="2889" t="s">
        <v>217</v>
      </c>
      <c r="F423" s="2890">
        <v>0.10993362970885104</v>
      </c>
      <c r="G423" s="2890">
        <v>67.675765490648899</v>
      </c>
    </row>
    <row r="424" spans="2:7" ht="15" hidden="1" outlineLevel="2">
      <c r="B424" s="2889" t="s">
        <v>1632</v>
      </c>
      <c r="C424" s="2889" t="s">
        <v>1466</v>
      </c>
      <c r="D424" s="2889" t="s">
        <v>1054</v>
      </c>
      <c r="E424" s="2889" t="s">
        <v>217</v>
      </c>
      <c r="F424" s="2890">
        <v>0.25423180037772825</v>
      </c>
      <c r="G424" s="2890">
        <v>156.75842373389</v>
      </c>
    </row>
    <row r="425" spans="2:7" ht="15" hidden="1" outlineLevel="2">
      <c r="B425" s="2889" t="s">
        <v>1633</v>
      </c>
      <c r="C425" s="2889" t="s">
        <v>1466</v>
      </c>
      <c r="D425" s="2889" t="s">
        <v>1054</v>
      </c>
      <c r="E425" s="2889" t="s">
        <v>217</v>
      </c>
      <c r="F425" s="2890">
        <v>2.0631445284043697E-2</v>
      </c>
      <c r="G425" s="2890">
        <v>12.721273690325667</v>
      </c>
    </row>
    <row r="426" spans="2:7" ht="15" hidden="1" outlineLevel="2">
      <c r="B426" s="2889" t="s">
        <v>1634</v>
      </c>
      <c r="C426" s="2889" t="s">
        <v>1466</v>
      </c>
      <c r="D426" s="2889" t="s">
        <v>1054</v>
      </c>
      <c r="E426" s="2889" t="s">
        <v>217</v>
      </c>
      <c r="F426" s="2890">
        <v>3.8241466601556108E-3</v>
      </c>
      <c r="G426" s="2890">
        <v>2.35785193736552</v>
      </c>
    </row>
    <row r="427" spans="2:7" ht="15" hidden="1" outlineLevel="2">
      <c r="B427" s="2889" t="s">
        <v>1635</v>
      </c>
      <c r="C427" s="2889" t="s">
        <v>1466</v>
      </c>
      <c r="D427" s="2889" t="s">
        <v>1054</v>
      </c>
      <c r="E427" s="2889" t="s">
        <v>217</v>
      </c>
      <c r="F427" s="2890">
        <v>3.2254060077489016E-2</v>
      </c>
      <c r="G427" s="2890">
        <v>19.887731334232267</v>
      </c>
    </row>
    <row r="428" spans="2:7" ht="15" hidden="1" outlineLevel="2">
      <c r="B428" s="2889" t="s">
        <v>1636</v>
      </c>
      <c r="C428" s="2889" t="s">
        <v>1466</v>
      </c>
      <c r="D428" s="2889" t="s">
        <v>1054</v>
      </c>
      <c r="E428" s="2889" t="s">
        <v>217</v>
      </c>
      <c r="F428" s="2890">
        <v>2.831409721607598E-2</v>
      </c>
      <c r="G428" s="2890">
        <v>17.458386212742795</v>
      </c>
    </row>
    <row r="429" spans="2:7" ht="15" hidden="1" outlineLevel="2">
      <c r="B429" s="2889" t="s">
        <v>1637</v>
      </c>
      <c r="C429" s="2889" t="s">
        <v>1466</v>
      </c>
      <c r="D429" s="2889" t="s">
        <v>1054</v>
      </c>
      <c r="E429" s="2889" t="s">
        <v>217</v>
      </c>
      <c r="F429" s="2890">
        <v>4.7023004921730199E-2</v>
      </c>
      <c r="G429" s="2890">
        <v>28.994252933285665</v>
      </c>
    </row>
    <row r="430" spans="2:7" ht="15" hidden="1" outlineLevel="2">
      <c r="B430" s="2889" t="s">
        <v>1638</v>
      </c>
      <c r="C430" s="2889" t="s">
        <v>1466</v>
      </c>
      <c r="D430" s="2889" t="s">
        <v>1054</v>
      </c>
      <c r="E430" s="2889" t="s">
        <v>217</v>
      </c>
      <c r="F430" s="2890">
        <v>6.1381652320116314E-3</v>
      </c>
      <c r="G430" s="2890">
        <v>3.7846042591765872</v>
      </c>
    </row>
    <row r="431" spans="2:7" ht="15" hidden="1" outlineLevel="2">
      <c r="B431" s="2889" t="s">
        <v>1639</v>
      </c>
      <c r="C431" s="2889" t="s">
        <v>1466</v>
      </c>
      <c r="D431" s="2889" t="s">
        <v>1054</v>
      </c>
      <c r="E431" s="2889" t="s">
        <v>217</v>
      </c>
      <c r="F431" s="2890">
        <v>5.6432016791064001E-2</v>
      </c>
      <c r="G431" s="2890">
        <v>34.79579389867969</v>
      </c>
    </row>
    <row r="432" spans="2:7" ht="15" hidden="1" outlineLevel="2">
      <c r="B432" s="2889" t="s">
        <v>1640</v>
      </c>
      <c r="C432" s="2889" t="s">
        <v>1466</v>
      </c>
      <c r="D432" s="2889" t="s">
        <v>1054</v>
      </c>
      <c r="E432" s="2889" t="s">
        <v>217</v>
      </c>
      <c r="F432" s="2890">
        <v>1.32682386388562E-2</v>
      </c>
      <c r="G432" s="2890">
        <v>8.1807958750023744</v>
      </c>
    </row>
    <row r="433" spans="2:7" ht="15" hidden="1" outlineLevel="2">
      <c r="B433" s="2889" t="s">
        <v>1641</v>
      </c>
      <c r="C433" s="2889" t="s">
        <v>1466</v>
      </c>
      <c r="D433" s="2889" t="s">
        <v>1054</v>
      </c>
      <c r="E433" s="2889" t="s">
        <v>217</v>
      </c>
      <c r="F433" s="2890">
        <v>6.7961842942288839E-2</v>
      </c>
      <c r="G433" s="2890">
        <v>41.904982176211163</v>
      </c>
    </row>
    <row r="434" spans="2:7" ht="15" hidden="1" outlineLevel="2">
      <c r="B434" s="2889" t="s">
        <v>1642</v>
      </c>
      <c r="C434" s="2889" t="s">
        <v>1466</v>
      </c>
      <c r="D434" s="2889" t="s">
        <v>1054</v>
      </c>
      <c r="E434" s="2889" t="s">
        <v>217</v>
      </c>
      <c r="F434" s="2890">
        <v>4.9618769245660173E-2</v>
      </c>
      <c r="G434" s="2890">
        <v>30.59442219638921</v>
      </c>
    </row>
    <row r="435" spans="2:7" ht="15" hidden="1" outlineLevel="2">
      <c r="B435" s="2889" t="s">
        <v>1643</v>
      </c>
      <c r="C435" s="2889" t="s">
        <v>1466</v>
      </c>
      <c r="D435" s="2889" t="s">
        <v>1054</v>
      </c>
      <c r="E435" s="2889" t="s">
        <v>217</v>
      </c>
      <c r="F435" s="2890">
        <v>7.2120705077942469E-3</v>
      </c>
      <c r="G435" s="2890">
        <v>4.4471078879485164</v>
      </c>
    </row>
    <row r="436" spans="2:7" ht="15" hidden="1" outlineLevel="2">
      <c r="B436" s="2889" t="s">
        <v>1644</v>
      </c>
      <c r="C436" s="2889" t="s">
        <v>1466</v>
      </c>
      <c r="D436" s="2889" t="s">
        <v>1054</v>
      </c>
      <c r="E436" s="2889" t="s">
        <v>217</v>
      </c>
      <c r="F436" s="2890">
        <v>0.15879187237622408</v>
      </c>
      <c r="G436" s="2890">
        <v>97.91055057553001</v>
      </c>
    </row>
    <row r="437" spans="2:7" ht="15" hidden="1" outlineLevel="2">
      <c r="B437" s="2889" t="s">
        <v>1645</v>
      </c>
      <c r="C437" s="2889" t="s">
        <v>1466</v>
      </c>
      <c r="D437" s="2889" t="s">
        <v>1054</v>
      </c>
      <c r="E437" s="2889" t="s">
        <v>217</v>
      </c>
      <c r="F437" s="2890">
        <v>0.18134529092924773</v>
      </c>
      <c r="G437" s="2890">
        <v>111.81691434088999</v>
      </c>
    </row>
    <row r="438" spans="2:7" ht="15" hidden="1" outlineLevel="2">
      <c r="B438" s="2889" t="s">
        <v>1646</v>
      </c>
      <c r="C438" s="2889" t="s">
        <v>1466</v>
      </c>
      <c r="D438" s="2889" t="s">
        <v>1054</v>
      </c>
      <c r="E438" s="2889" t="s">
        <v>217</v>
      </c>
      <c r="F438" s="2890">
        <v>1.0604619274059066E-2</v>
      </c>
      <c r="G438" s="2890">
        <v>6.5387739529594233</v>
      </c>
    </row>
    <row r="439" spans="2:7" ht="15" hidden="1" outlineLevel="2">
      <c r="B439" s="2889" t="s">
        <v>1647</v>
      </c>
      <c r="C439" s="2889" t="s">
        <v>1466</v>
      </c>
      <c r="D439" s="2889" t="s">
        <v>1054</v>
      </c>
      <c r="E439" s="2889" t="s">
        <v>217</v>
      </c>
      <c r="F439" s="2890">
        <v>2.6472402191234014E-2</v>
      </c>
      <c r="G439" s="2890">
        <v>16.322078259626778</v>
      </c>
    </row>
    <row r="440" spans="2:7" ht="15" hidden="1" outlineLevel="2">
      <c r="B440" s="2889" t="s">
        <v>1648</v>
      </c>
      <c r="C440" s="2889" t="s">
        <v>1466</v>
      </c>
      <c r="D440" s="2889" t="s">
        <v>1054</v>
      </c>
      <c r="E440" s="2889" t="s">
        <v>217</v>
      </c>
      <c r="F440" s="2890">
        <v>2.9678647239818096E-3</v>
      </c>
      <c r="G440" s="2890">
        <v>1.8298959194922924</v>
      </c>
    </row>
    <row r="441" spans="2:7" ht="15" hidden="1" outlineLevel="2">
      <c r="B441" s="2889" t="s">
        <v>1649</v>
      </c>
      <c r="C441" s="2889" t="s">
        <v>1466</v>
      </c>
      <c r="D441" s="2889" t="s">
        <v>1054</v>
      </c>
      <c r="E441" s="2889" t="s">
        <v>217</v>
      </c>
      <c r="F441" s="2890">
        <v>1.407748781196686E-2</v>
      </c>
      <c r="G441" s="2890">
        <v>8.6797465434181333</v>
      </c>
    </row>
    <row r="442" spans="2:7" ht="15" hidden="1" outlineLevel="2">
      <c r="B442" s="2889" t="s">
        <v>1650</v>
      </c>
      <c r="C442" s="2889" t="s">
        <v>1466</v>
      </c>
      <c r="D442" s="2889" t="s">
        <v>1054</v>
      </c>
      <c r="E442" s="2889" t="s">
        <v>217</v>
      </c>
      <c r="F442" s="2890">
        <v>3.517318137833534E-2</v>
      </c>
      <c r="G442" s="2890">
        <v>21.686718417543439</v>
      </c>
    </row>
    <row r="443" spans="2:7" ht="15" hidden="1" outlineLevel="2">
      <c r="B443" s="2889" t="s">
        <v>1651</v>
      </c>
      <c r="C443" s="2889" t="s">
        <v>1466</v>
      </c>
      <c r="D443" s="2889" t="s">
        <v>1054</v>
      </c>
      <c r="E443" s="2889" t="s">
        <v>217</v>
      </c>
      <c r="F443" s="2890">
        <v>1.9244278157094008E-2</v>
      </c>
      <c r="G443" s="2890">
        <v>11.865440688714433</v>
      </c>
    </row>
    <row r="444" spans="2:7" ht="15" hidden="1" outlineLevel="2">
      <c r="B444" s="2889" t="s">
        <v>1652</v>
      </c>
      <c r="C444" s="2889" t="s">
        <v>1466</v>
      </c>
      <c r="D444" s="2889" t="s">
        <v>1054</v>
      </c>
      <c r="E444" s="2889" t="s">
        <v>217</v>
      </c>
      <c r="F444" s="2890">
        <v>2.1131908312469021E-2</v>
      </c>
      <c r="G444" s="2890">
        <v>13.029291131872442</v>
      </c>
    </row>
    <row r="445" spans="2:7" ht="15" hidden="1" outlineLevel="2">
      <c r="B445" s="2889" t="s">
        <v>1653</v>
      </c>
      <c r="C445" s="2889" t="s">
        <v>1466</v>
      </c>
      <c r="D445" s="2889" t="s">
        <v>1054</v>
      </c>
      <c r="E445" s="2889" t="s">
        <v>217</v>
      </c>
      <c r="F445" s="2890">
        <v>3.5412565478112333E-32</v>
      </c>
      <c r="G445" s="2890">
        <v>2.1835275101326463E-29</v>
      </c>
    </row>
    <row r="446" spans="2:7" ht="15" hidden="1" outlineLevel="2">
      <c r="B446" s="2889" t="s">
        <v>1407</v>
      </c>
      <c r="C446" s="2889" t="s">
        <v>1467</v>
      </c>
      <c r="D446" s="2889" t="s">
        <v>1054</v>
      </c>
      <c r="E446" s="2889" t="s">
        <v>217</v>
      </c>
      <c r="F446" s="2890">
        <v>5.4662198972995637E-4</v>
      </c>
      <c r="G446" s="2890">
        <v>0.26449728365327957</v>
      </c>
    </row>
    <row r="447" spans="2:7" ht="15" hidden="1" outlineLevel="2">
      <c r="B447" s="2889" t="s">
        <v>1631</v>
      </c>
      <c r="C447" s="2889" t="s">
        <v>1467</v>
      </c>
      <c r="D447" s="2889" t="s">
        <v>1054</v>
      </c>
      <c r="E447" s="2889" t="s">
        <v>217</v>
      </c>
      <c r="F447" s="2890">
        <v>9.0853139453660504E-3</v>
      </c>
      <c r="G447" s="2890">
        <v>4.3892895127946501</v>
      </c>
    </row>
    <row r="448" spans="2:7" ht="15" hidden="1" outlineLevel="2">
      <c r="B448" s="2889" t="s">
        <v>1632</v>
      </c>
      <c r="C448" s="2889" t="s">
        <v>1467</v>
      </c>
      <c r="D448" s="2889" t="s">
        <v>1054</v>
      </c>
      <c r="E448" s="2889" t="s">
        <v>217</v>
      </c>
      <c r="F448" s="2890">
        <v>2.101064081655047E-2</v>
      </c>
      <c r="G448" s="2890">
        <v>10.166973271129594</v>
      </c>
    </row>
    <row r="449" spans="2:7" ht="15" hidden="1" outlineLevel="2">
      <c r="B449" s="2889" t="s">
        <v>1633</v>
      </c>
      <c r="C449" s="2889" t="s">
        <v>1467</v>
      </c>
      <c r="D449" s="2889" t="s">
        <v>1054</v>
      </c>
      <c r="E449" s="2889" t="s">
        <v>217</v>
      </c>
      <c r="F449" s="2890">
        <v>1.7050567190388078E-3</v>
      </c>
      <c r="G449" s="2890">
        <v>0.82507144090894846</v>
      </c>
    </row>
    <row r="450" spans="2:7" ht="15" hidden="1" outlineLevel="2">
      <c r="B450" s="2889" t="s">
        <v>1634</v>
      </c>
      <c r="C450" s="2889" t="s">
        <v>1467</v>
      </c>
      <c r="D450" s="2889" t="s">
        <v>1054</v>
      </c>
      <c r="E450" s="2889" t="s">
        <v>217</v>
      </c>
      <c r="F450" s="2890">
        <v>3.1604112825400006E-4</v>
      </c>
      <c r="G450" s="2890">
        <v>0.15292472094797713</v>
      </c>
    </row>
    <row r="451" spans="2:7" ht="15" hidden="1" outlineLevel="2">
      <c r="B451" s="2889" t="s">
        <v>1635</v>
      </c>
      <c r="C451" s="2889" t="s">
        <v>1467</v>
      </c>
      <c r="D451" s="2889" t="s">
        <v>1054</v>
      </c>
      <c r="E451" s="2889" t="s">
        <v>217</v>
      </c>
      <c r="F451" s="2890">
        <v>2.6655918382907213E-3</v>
      </c>
      <c r="G451" s="2890">
        <v>1.2898718591712275</v>
      </c>
    </row>
    <row r="452" spans="2:7" ht="15" hidden="1" outlineLevel="2">
      <c r="B452" s="2889" t="s">
        <v>1636</v>
      </c>
      <c r="C452" s="2889" t="s">
        <v>1467</v>
      </c>
      <c r="D452" s="2889" t="s">
        <v>1054</v>
      </c>
      <c r="E452" s="2889" t="s">
        <v>217</v>
      </c>
      <c r="F452" s="2890">
        <v>2.3399820483735166E-3</v>
      </c>
      <c r="G452" s="2890">
        <v>1.1323096956475525</v>
      </c>
    </row>
    <row r="453" spans="2:7" ht="15" hidden="1" outlineLevel="2">
      <c r="B453" s="2889" t="s">
        <v>1637</v>
      </c>
      <c r="C453" s="2889" t="s">
        <v>1467</v>
      </c>
      <c r="D453" s="2889" t="s">
        <v>1054</v>
      </c>
      <c r="E453" s="2889" t="s">
        <v>217</v>
      </c>
      <c r="F453" s="2890">
        <v>3.8861550060538558E-3</v>
      </c>
      <c r="G453" s="2890">
        <v>1.8804986909237289</v>
      </c>
    </row>
    <row r="454" spans="2:7" ht="15" hidden="1" outlineLevel="2">
      <c r="B454" s="2889" t="s">
        <v>1638</v>
      </c>
      <c r="C454" s="2889" t="s">
        <v>1467</v>
      </c>
      <c r="D454" s="2889" t="s">
        <v>1054</v>
      </c>
      <c r="E454" s="2889" t="s">
        <v>217</v>
      </c>
      <c r="F454" s="2890">
        <v>5.0728000224050187E-4</v>
      </c>
      <c r="G454" s="2890">
        <v>0.24546074132132004</v>
      </c>
    </row>
    <row r="455" spans="2:7" ht="15" hidden="1" outlineLevel="2">
      <c r="B455" s="2889" t="s">
        <v>1639</v>
      </c>
      <c r="C455" s="2889" t="s">
        <v>1467</v>
      </c>
      <c r="D455" s="2889" t="s">
        <v>1054</v>
      </c>
      <c r="E455" s="2889" t="s">
        <v>217</v>
      </c>
      <c r="F455" s="3039">
        <v>4.6637487505090044E-3</v>
      </c>
      <c r="G455" s="2890">
        <v>2.2567726403499706</v>
      </c>
    </row>
    <row r="456" spans="2:7" ht="15" hidden="1" outlineLevel="2">
      <c r="B456" s="2889" t="s">
        <v>1640</v>
      </c>
      <c r="C456" s="2889" t="s">
        <v>1467</v>
      </c>
      <c r="D456" s="2889" t="s">
        <v>1054</v>
      </c>
      <c r="E456" s="2889" t="s">
        <v>217</v>
      </c>
      <c r="F456" s="3039">
        <v>1.0965351104998881E-3</v>
      </c>
      <c r="G456" s="2890">
        <v>0.5305870703047566</v>
      </c>
    </row>
    <row r="457" spans="2:7" ht="15" hidden="1" outlineLevel="2">
      <c r="B457" s="2889" t="s">
        <v>1641</v>
      </c>
      <c r="C457" s="2889" t="s">
        <v>1467</v>
      </c>
      <c r="D457" s="2889" t="s">
        <v>1054</v>
      </c>
      <c r="E457" s="2889" t="s">
        <v>217</v>
      </c>
      <c r="F457" s="3039">
        <v>5.6166115686636583E-3</v>
      </c>
      <c r="G457" s="2890">
        <v>2.7178603956773437</v>
      </c>
    </row>
    <row r="458" spans="2:7" ht="15" hidden="1" outlineLevel="2">
      <c r="B458" s="2889" t="s">
        <v>1642</v>
      </c>
      <c r="C458" s="2889" t="s">
        <v>1467</v>
      </c>
      <c r="D458" s="2889" t="s">
        <v>1054</v>
      </c>
      <c r="E458" s="2889" t="s">
        <v>217</v>
      </c>
      <c r="F458" s="3039">
        <v>4.100675207601834E-3</v>
      </c>
      <c r="G458" s="2890">
        <v>1.950838716154796</v>
      </c>
    </row>
    <row r="459" spans="2:7" ht="15" hidden="1" outlineLevel="2">
      <c r="B459" s="2889" t="s">
        <v>1643</v>
      </c>
      <c r="C459" s="2889" t="s">
        <v>1467</v>
      </c>
      <c r="D459" s="2889" t="s">
        <v>1054</v>
      </c>
      <c r="E459" s="2889" t="s">
        <v>217</v>
      </c>
      <c r="F459" s="3039">
        <v>5.960318728065638E-4</v>
      </c>
      <c r="G459" s="2890">
        <v>0.28842900913736824</v>
      </c>
    </row>
    <row r="460" spans="2:7" ht="15" hidden="1" outlineLevel="2">
      <c r="B460" s="2889" t="s">
        <v>1644</v>
      </c>
      <c r="C460" s="2889" t="s">
        <v>1467</v>
      </c>
      <c r="D460" s="2889" t="s">
        <v>1054</v>
      </c>
      <c r="E460" s="2889" t="s">
        <v>217</v>
      </c>
      <c r="F460" s="3039">
        <v>1.3123134057555816E-2</v>
      </c>
      <c r="G460" s="2890">
        <v>6.3502453908605618</v>
      </c>
    </row>
    <row r="461" spans="2:7" ht="15" hidden="1" outlineLevel="2">
      <c r="B461" s="2889" t="s">
        <v>1645</v>
      </c>
      <c r="C461" s="2889" t="s">
        <v>1467</v>
      </c>
      <c r="D461" s="2889" t="s">
        <v>1054</v>
      </c>
      <c r="E461" s="2889" t="s">
        <v>217</v>
      </c>
      <c r="F461" s="3039">
        <v>1.4987029963989262E-2</v>
      </c>
      <c r="G461" s="2890">
        <v>7.2521749093737817</v>
      </c>
    </row>
    <row r="462" spans="2:7" ht="15" hidden="1" outlineLevel="2">
      <c r="B462" s="2889" t="s">
        <v>1646</v>
      </c>
      <c r="C462" s="2889" t="s">
        <v>1467</v>
      </c>
      <c r="D462" s="2889" t="s">
        <v>1054</v>
      </c>
      <c r="E462" s="2889" t="s">
        <v>217</v>
      </c>
      <c r="F462" s="3039">
        <v>8.7640416714515081E-4</v>
      </c>
      <c r="G462" s="2890">
        <v>0.42408910148486262</v>
      </c>
    </row>
    <row r="463" spans="2:7" ht="15" hidden="1" outlineLevel="2">
      <c r="B463" s="2889" t="s">
        <v>1647</v>
      </c>
      <c r="C463" s="2889" t="s">
        <v>1467</v>
      </c>
      <c r="D463" s="2889" t="s">
        <v>1054</v>
      </c>
      <c r="E463" s="2889" t="s">
        <v>217</v>
      </c>
      <c r="F463" s="3039">
        <v>2.1877739589571546E-3</v>
      </c>
      <c r="G463" s="2890">
        <v>1.0586112153629859</v>
      </c>
    </row>
    <row r="464" spans="2:7" ht="15" hidden="1" outlineLevel="2">
      <c r="B464" s="2889" t="s">
        <v>1648</v>
      </c>
      <c r="C464" s="2889" t="s">
        <v>1467</v>
      </c>
      <c r="D464" s="2889" t="s">
        <v>1054</v>
      </c>
      <c r="E464" s="2889" t="s">
        <v>217</v>
      </c>
      <c r="F464" s="3039">
        <v>2.4527519442586764E-4</v>
      </c>
      <c r="G464" s="2890">
        <v>0.11868275617538034</v>
      </c>
    </row>
    <row r="465" spans="2:7" ht="15" hidden="1" outlineLevel="2">
      <c r="B465" s="2889" t="s">
        <v>1649</v>
      </c>
      <c r="C465" s="2889" t="s">
        <v>1467</v>
      </c>
      <c r="D465" s="2889" t="s">
        <v>1054</v>
      </c>
      <c r="E465" s="2889" t="s">
        <v>217</v>
      </c>
      <c r="F465" s="2890">
        <v>1.163414060314573E-3</v>
      </c>
      <c r="G465" s="2890">
        <v>0.56294819605911628</v>
      </c>
    </row>
    <row r="466" spans="2:7" ht="15" hidden="1" outlineLevel="2">
      <c r="B466" s="2889" t="s">
        <v>1650</v>
      </c>
      <c r="C466" s="2889" t="s">
        <v>1467</v>
      </c>
      <c r="D466" s="2889" t="s">
        <v>1054</v>
      </c>
      <c r="E466" s="2889" t="s">
        <v>217</v>
      </c>
      <c r="F466" s="2890">
        <v>2.9068378987493751E-3</v>
      </c>
      <c r="G466" s="2890">
        <v>1.4065487171092856</v>
      </c>
    </row>
    <row r="467" spans="2:7" ht="15" hidden="1" outlineLevel="2">
      <c r="B467" s="2889" t="s">
        <v>1651</v>
      </c>
      <c r="C467" s="2889" t="s">
        <v>1467</v>
      </c>
      <c r="D467" s="2889" t="s">
        <v>1054</v>
      </c>
      <c r="E467" s="2889" t="s">
        <v>217</v>
      </c>
      <c r="F467" s="3039">
        <v>1.5904162180314235E-3</v>
      </c>
      <c r="G467" s="2890">
        <v>0.76956439274527377</v>
      </c>
    </row>
    <row r="468" spans="2:7" ht="15" hidden="1" outlineLevel="2">
      <c r="B468" s="2889" t="s">
        <v>1652</v>
      </c>
      <c r="C468" s="2889" t="s">
        <v>1467</v>
      </c>
      <c r="D468" s="2889" t="s">
        <v>1054</v>
      </c>
      <c r="E468" s="2889" t="s">
        <v>217</v>
      </c>
      <c r="F468" s="2890">
        <v>1.7464174400634005E-3</v>
      </c>
      <c r="G468" s="2890">
        <v>0.84504895157953897</v>
      </c>
    </row>
    <row r="469" spans="2:7" ht="15" hidden="1" outlineLevel="2">
      <c r="B469" s="2889" t="s">
        <v>1653</v>
      </c>
      <c r="C469" s="2889" t="s">
        <v>1467</v>
      </c>
      <c r="D469" s="2889" t="s">
        <v>1054</v>
      </c>
      <c r="E469" s="2889" t="s">
        <v>217</v>
      </c>
      <c r="F469" s="2890">
        <v>2.8902979356398801E-36</v>
      </c>
      <c r="G469" s="2890">
        <v>1.3986064880122206E-33</v>
      </c>
    </row>
    <row r="470" spans="2:7" ht="15" hidden="1" outlineLevel="2">
      <c r="B470" s="2889" t="s">
        <v>1407</v>
      </c>
      <c r="C470" s="2889" t="s">
        <v>1468</v>
      </c>
      <c r="D470" s="2889" t="s">
        <v>1054</v>
      </c>
      <c r="E470" s="2889" t="s">
        <v>217</v>
      </c>
      <c r="F470" s="2890">
        <v>6.6197567832325984E-4</v>
      </c>
      <c r="G470" s="2890">
        <v>0.31619112362015922</v>
      </c>
    </row>
    <row r="471" spans="2:7" ht="15" hidden="1" outlineLevel="2">
      <c r="B471" s="2889" t="s">
        <v>1631</v>
      </c>
      <c r="C471" s="2889" t="s">
        <v>1468</v>
      </c>
      <c r="D471" s="2889" t="s">
        <v>1054</v>
      </c>
      <c r="E471" s="2889" t="s">
        <v>217</v>
      </c>
      <c r="F471" s="2890">
        <v>1.1002583213390581E-2</v>
      </c>
      <c r="G471" s="2890">
        <v>5.247141629432253</v>
      </c>
    </row>
    <row r="472" spans="2:7" ht="15" hidden="1" outlineLevel="2">
      <c r="B472" s="2889" t="s">
        <v>1632</v>
      </c>
      <c r="C472" s="2889" t="s">
        <v>1468</v>
      </c>
      <c r="D472" s="2889" t="s">
        <v>1054</v>
      </c>
      <c r="E472" s="2889" t="s">
        <v>217</v>
      </c>
      <c r="F472" s="2890">
        <v>2.5444486903657672E-2</v>
      </c>
      <c r="G472" s="2890">
        <v>12.154028362756007</v>
      </c>
    </row>
    <row r="473" spans="2:7" ht="15" hidden="1" outlineLevel="2">
      <c r="B473" s="2889" t="s">
        <v>1633</v>
      </c>
      <c r="C473" s="2889" t="s">
        <v>1468</v>
      </c>
      <c r="D473" s="2889" t="s">
        <v>1054</v>
      </c>
      <c r="E473" s="2889" t="s">
        <v>217</v>
      </c>
      <c r="F473" s="2890">
        <v>2.0648751630465232E-3</v>
      </c>
      <c r="G473" s="2890">
        <v>0.98632557143672683</v>
      </c>
    </row>
    <row r="474" spans="2:7" ht="15" hidden="1" outlineLevel="2">
      <c r="B474" s="2889" t="s">
        <v>1634</v>
      </c>
      <c r="C474" s="2889" t="s">
        <v>1468</v>
      </c>
      <c r="D474" s="2889" t="s">
        <v>1054</v>
      </c>
      <c r="E474" s="2889" t="s">
        <v>217</v>
      </c>
      <c r="F474" s="2890">
        <v>3.8273525970081477E-4</v>
      </c>
      <c r="G474" s="2890">
        <v>0.18281261623010847</v>
      </c>
    </row>
    <row r="475" spans="2:7" ht="15" hidden="1" outlineLevel="2">
      <c r="B475" s="2889" t="s">
        <v>1635</v>
      </c>
      <c r="C475" s="2889" t="s">
        <v>1468</v>
      </c>
      <c r="D475" s="2889" t="s">
        <v>1054</v>
      </c>
      <c r="E475" s="2889" t="s">
        <v>217</v>
      </c>
      <c r="F475" s="2890">
        <v>3.2281092787773548E-3</v>
      </c>
      <c r="G475" s="2890">
        <v>1.541965957314734</v>
      </c>
    </row>
    <row r="476" spans="2:7" ht="15" hidden="1" outlineLevel="2">
      <c r="B476" s="2889" t="s">
        <v>1636</v>
      </c>
      <c r="C476" s="2889" t="s">
        <v>1468</v>
      </c>
      <c r="D476" s="2889" t="s">
        <v>1054</v>
      </c>
      <c r="E476" s="2889" t="s">
        <v>217</v>
      </c>
      <c r="F476" s="2890">
        <v>2.8337853370237467E-3</v>
      </c>
      <c r="G476" s="2890">
        <v>1.3536104730910752</v>
      </c>
    </row>
    <row r="477" spans="2:7" ht="15" hidden="1" outlineLevel="2">
      <c r="B477" s="2889" t="s">
        <v>1637</v>
      </c>
      <c r="C477" s="2889" t="s">
        <v>1468</v>
      </c>
      <c r="D477" s="2889" t="s">
        <v>1054</v>
      </c>
      <c r="E477" s="2889" t="s">
        <v>217</v>
      </c>
      <c r="F477" s="2890">
        <v>4.7062498248481438E-3</v>
      </c>
      <c r="G477" s="2890">
        <v>2.2480263058801304</v>
      </c>
    </row>
    <row r="478" spans="2:7" ht="15" hidden="1" outlineLevel="2">
      <c r="B478" s="2889" t="s">
        <v>1638</v>
      </c>
      <c r="C478" s="2889" t="s">
        <v>1468</v>
      </c>
      <c r="D478" s="2889" t="s">
        <v>1054</v>
      </c>
      <c r="E478" s="2889" t="s">
        <v>217</v>
      </c>
      <c r="F478" s="2890">
        <v>6.143311872427806E-4</v>
      </c>
      <c r="G478" s="2890">
        <v>0.29343393742941043</v>
      </c>
    </row>
    <row r="479" spans="2:7" ht="15" hidden="1" outlineLevel="2">
      <c r="B479" s="2889" t="s">
        <v>1639</v>
      </c>
      <c r="C479" s="2889" t="s">
        <v>1468</v>
      </c>
      <c r="D479" s="2889" t="s">
        <v>1054</v>
      </c>
      <c r="E479" s="2889" t="s">
        <v>217</v>
      </c>
      <c r="F479" s="2890">
        <v>5.6479332725819118E-3</v>
      </c>
      <c r="G479" s="2890">
        <v>2.6978405243683277</v>
      </c>
    </row>
    <row r="480" spans="2:7" ht="15" hidden="1" outlineLevel="2">
      <c r="B480" s="2889" t="s">
        <v>1640</v>
      </c>
      <c r="C480" s="2889" t="s">
        <v>1468</v>
      </c>
      <c r="D480" s="2889" t="s">
        <v>1054</v>
      </c>
      <c r="E480" s="2889" t="s">
        <v>217</v>
      </c>
      <c r="F480" s="2890">
        <v>1.3279353571128522E-3</v>
      </c>
      <c r="G480" s="2890">
        <v>0.63428543019629435</v>
      </c>
    </row>
    <row r="481" spans="2:7" ht="15" hidden="1" outlineLevel="2">
      <c r="B481" s="2889" t="s">
        <v>1641</v>
      </c>
      <c r="C481" s="2889" t="s">
        <v>1468</v>
      </c>
      <c r="D481" s="2889" t="s">
        <v>1054</v>
      </c>
      <c r="E481" s="2889" t="s">
        <v>217</v>
      </c>
      <c r="F481" s="2890">
        <v>6.8018803120296276E-3</v>
      </c>
      <c r="G481" s="2890">
        <v>3.2490445916957351</v>
      </c>
    </row>
    <row r="482" spans="2:7" ht="15" hidden="1" outlineLevel="2">
      <c r="B482" s="2889" t="s">
        <v>1642</v>
      </c>
      <c r="C482" s="2889" t="s">
        <v>1468</v>
      </c>
      <c r="D482" s="2889" t="s">
        <v>1054</v>
      </c>
      <c r="E482" s="2889" t="s">
        <v>217</v>
      </c>
      <c r="F482" s="2890">
        <v>4.8822887855141878E-3</v>
      </c>
      <c r="G482" s="2890">
        <v>2.3321135738375212</v>
      </c>
    </row>
    <row r="483" spans="2:7" ht="15" hidden="1" outlineLevel="2">
      <c r="B483" s="2889" t="s">
        <v>1643</v>
      </c>
      <c r="C483" s="2889" t="s">
        <v>1468</v>
      </c>
      <c r="D483" s="2889" t="s">
        <v>1054</v>
      </c>
      <c r="E483" s="2889" t="s">
        <v>217</v>
      </c>
      <c r="F483" s="2890">
        <v>7.2181178896538699E-4</v>
      </c>
      <c r="G483" s="2890">
        <v>0.34480002932806286</v>
      </c>
    </row>
    <row r="484" spans="2:7" ht="15" hidden="1" outlineLevel="2">
      <c r="B484" s="2889" t="s">
        <v>1644</v>
      </c>
      <c r="C484" s="2889" t="s">
        <v>1468</v>
      </c>
      <c r="D484" s="2889" t="s">
        <v>1054</v>
      </c>
      <c r="E484" s="2889" t="s">
        <v>217</v>
      </c>
      <c r="F484" s="2890">
        <v>1.5892489644145653E-2</v>
      </c>
      <c r="G484" s="2890">
        <v>7.5913514638175048</v>
      </c>
    </row>
    <row r="485" spans="2:7" ht="15" hidden="1" outlineLevel="2">
      <c r="B485" s="2889" t="s">
        <v>1645</v>
      </c>
      <c r="C485" s="2889" t="s">
        <v>1468</v>
      </c>
      <c r="D485" s="2889" t="s">
        <v>1054</v>
      </c>
      <c r="E485" s="2889" t="s">
        <v>217</v>
      </c>
      <c r="F485" s="2890">
        <v>1.8149742295306144E-2</v>
      </c>
      <c r="G485" s="2890">
        <v>8.6695588916122048</v>
      </c>
    </row>
    <row r="486" spans="2:7" ht="15" hidden="1" outlineLevel="2">
      <c r="B486" s="2889" t="s">
        <v>1646</v>
      </c>
      <c r="C486" s="2889" t="s">
        <v>1468</v>
      </c>
      <c r="D486" s="2889" t="s">
        <v>1054</v>
      </c>
      <c r="E486" s="2889" t="s">
        <v>217</v>
      </c>
      <c r="F486" s="2890">
        <v>1.0613511505053344E-3</v>
      </c>
      <c r="G486" s="2890">
        <v>0.50697402839239536</v>
      </c>
    </row>
    <row r="487" spans="2:7" ht="15" hidden="1" outlineLevel="2">
      <c r="B487" s="2889" t="s">
        <v>1647</v>
      </c>
      <c r="C487" s="2889" t="s">
        <v>1468</v>
      </c>
      <c r="D487" s="2889" t="s">
        <v>1054</v>
      </c>
      <c r="E487" s="2889" t="s">
        <v>217</v>
      </c>
      <c r="F487" s="2890">
        <v>2.6494584373682752E-3</v>
      </c>
      <c r="G487" s="2890">
        <v>1.2655084996041481</v>
      </c>
    </row>
    <row r="488" spans="2:7" ht="15" hidden="1" outlineLevel="2">
      <c r="B488" s="2889" t="s">
        <v>1648</v>
      </c>
      <c r="C488" s="2889" t="s">
        <v>1468</v>
      </c>
      <c r="D488" s="2889" t="s">
        <v>1054</v>
      </c>
      <c r="E488" s="2889" t="s">
        <v>217</v>
      </c>
      <c r="F488" s="3039">
        <v>2.9703540670810504E-4</v>
      </c>
      <c r="G488" s="2890">
        <v>0.14187828630458424</v>
      </c>
    </row>
    <row r="489" spans="2:7" ht="15" hidden="1" outlineLevel="2">
      <c r="B489" s="2889" t="s">
        <v>1649</v>
      </c>
      <c r="C489" s="2889" t="s">
        <v>1468</v>
      </c>
      <c r="D489" s="2889" t="s">
        <v>1054</v>
      </c>
      <c r="E489" s="2889" t="s">
        <v>217</v>
      </c>
      <c r="F489" s="3039">
        <v>1.4089290509412425E-3</v>
      </c>
      <c r="G489" s="2890">
        <v>0.67297192237005377</v>
      </c>
    </row>
    <row r="490" spans="2:7" ht="15" hidden="1" outlineLevel="2">
      <c r="B490" s="2889" t="s">
        <v>1650</v>
      </c>
      <c r="C490" s="2889" t="s">
        <v>1468</v>
      </c>
      <c r="D490" s="2889" t="s">
        <v>1054</v>
      </c>
      <c r="E490" s="2889" t="s">
        <v>217</v>
      </c>
      <c r="F490" s="3039">
        <v>3.5202661179795044E-3</v>
      </c>
      <c r="G490" s="2890">
        <v>1.6814466360981202</v>
      </c>
    </row>
    <row r="491" spans="2:7" ht="15" hidden="1" outlineLevel="2">
      <c r="B491" s="2889" t="s">
        <v>1651</v>
      </c>
      <c r="C491" s="2889" t="s">
        <v>1468</v>
      </c>
      <c r="D491" s="2889" t="s">
        <v>1054</v>
      </c>
      <c r="E491" s="2889" t="s">
        <v>217</v>
      </c>
      <c r="F491" s="3039">
        <v>1.9260422297550503E-3</v>
      </c>
      <c r="G491" s="2890">
        <v>0.91996928261994704</v>
      </c>
    </row>
    <row r="492" spans="2:7" ht="15" hidden="1" outlineLevel="2">
      <c r="B492" s="2889" t="s">
        <v>1652</v>
      </c>
      <c r="C492" s="2889" t="s">
        <v>1468</v>
      </c>
      <c r="D492" s="2889" t="s">
        <v>1054</v>
      </c>
      <c r="E492" s="2889" t="s">
        <v>217</v>
      </c>
      <c r="F492" s="3039">
        <v>2.1149624201932541E-3</v>
      </c>
      <c r="G492" s="2890">
        <v>1.0102068298667202</v>
      </c>
    </row>
    <row r="493" spans="2:7" ht="15" hidden="1" outlineLevel="2">
      <c r="B493" s="2889" t="s">
        <v>1653</v>
      </c>
      <c r="C493" s="2889" t="s">
        <v>1468</v>
      </c>
      <c r="D493" s="2889" t="s">
        <v>1054</v>
      </c>
      <c r="E493" s="2889" t="s">
        <v>217</v>
      </c>
      <c r="F493" s="3039">
        <v>1.3519278733937264E-38</v>
      </c>
      <c r="G493" s="2890">
        <v>6.4577358924786549E-36</v>
      </c>
    </row>
    <row r="494" spans="2:7" ht="15" hidden="1" outlineLevel="2">
      <c r="B494" s="2889" t="s">
        <v>1407</v>
      </c>
      <c r="C494" s="2889" t="s">
        <v>1469</v>
      </c>
      <c r="D494" s="2889" t="s">
        <v>1054</v>
      </c>
      <c r="E494" s="2889" t="s">
        <v>217</v>
      </c>
      <c r="F494" s="2890">
        <v>5.2823638013481499E-6</v>
      </c>
      <c r="G494" s="2890">
        <v>2.3678055738047899E-3</v>
      </c>
    </row>
    <row r="495" spans="2:7" ht="15" hidden="1" outlineLevel="2">
      <c r="B495" s="2889" t="s">
        <v>1631</v>
      </c>
      <c r="C495" s="2889" t="s">
        <v>1469</v>
      </c>
      <c r="D495" s="2889" t="s">
        <v>1054</v>
      </c>
      <c r="E495" s="2889" t="s">
        <v>217</v>
      </c>
      <c r="F495" s="2890">
        <v>8.7797244029837665E-5</v>
      </c>
      <c r="G495" s="2890">
        <v>3.9293332053138043E-2</v>
      </c>
    </row>
    <row r="496" spans="2:7" ht="15" hidden="1" outlineLevel="2">
      <c r="B496" s="2889" t="s">
        <v>1632</v>
      </c>
      <c r="C496" s="2889" t="s">
        <v>1469</v>
      </c>
      <c r="D496" s="2889" t="s">
        <v>1054</v>
      </c>
      <c r="E496" s="2889" t="s">
        <v>217</v>
      </c>
      <c r="F496" s="2890">
        <v>2.0303928770964839E-4</v>
      </c>
      <c r="G496" s="2890">
        <v>9.1015814963650923E-2</v>
      </c>
    </row>
    <row r="497" spans="2:7" ht="15" hidden="1" outlineLevel="2">
      <c r="B497" s="2889" t="s">
        <v>1633</v>
      </c>
      <c r="C497" s="2889" t="s">
        <v>1469</v>
      </c>
      <c r="D497" s="2889" t="s">
        <v>1054</v>
      </c>
      <c r="E497" s="2889" t="s">
        <v>217</v>
      </c>
      <c r="F497" s="2890">
        <v>1.6477079170293763E-5</v>
      </c>
      <c r="G497" s="2890">
        <v>7.386129578566482E-3</v>
      </c>
    </row>
    <row r="498" spans="2:7" ht="15" hidden="1" outlineLevel="2">
      <c r="B498" s="2889" t="s">
        <v>1634</v>
      </c>
      <c r="C498" s="2889" t="s">
        <v>1469</v>
      </c>
      <c r="D498" s="2889" t="s">
        <v>1054</v>
      </c>
      <c r="E498" s="2889" t="s">
        <v>217</v>
      </c>
      <c r="F498" s="2890">
        <v>3.0541113355160695E-6</v>
      </c>
      <c r="G498" s="2890">
        <v>1.3689968930802891E-3</v>
      </c>
    </row>
    <row r="499" spans="2:7" ht="15" hidden="1" outlineLevel="2">
      <c r="B499" s="2889" t="s">
        <v>1635</v>
      </c>
      <c r="C499" s="2889" t="s">
        <v>1469</v>
      </c>
      <c r="D499" s="2889" t="s">
        <v>1054</v>
      </c>
      <c r="E499" s="2889" t="s">
        <v>217</v>
      </c>
      <c r="F499" s="2890">
        <v>2.5759343432986885E-5</v>
      </c>
      <c r="G499" s="2890">
        <v>1.1547057780689584E-2</v>
      </c>
    </row>
    <row r="500" spans="2:7" ht="15" hidden="1" outlineLevel="2">
      <c r="B500" s="2889" t="s">
        <v>1636</v>
      </c>
      <c r="C500" s="2889" t="s">
        <v>1469</v>
      </c>
      <c r="D500" s="2889" t="s">
        <v>1054</v>
      </c>
      <c r="E500" s="2889" t="s">
        <v>217</v>
      </c>
      <c r="F500" s="2890">
        <v>2.2612755307283487E-5</v>
      </c>
      <c r="G500" s="2890">
        <v>1.0136550015673464E-2</v>
      </c>
    </row>
    <row r="501" spans="2:7" ht="15" hidden="1" outlineLevel="2">
      <c r="B501" s="2889" t="s">
        <v>1637</v>
      </c>
      <c r="C501" s="2889" t="s">
        <v>1469</v>
      </c>
      <c r="D501" s="2889" t="s">
        <v>1054</v>
      </c>
      <c r="E501" s="2889" t="s">
        <v>217</v>
      </c>
      <c r="F501" s="2890">
        <v>3.7554461960430758E-5</v>
      </c>
      <c r="G501" s="2890">
        <v>1.6834409662155065E-2</v>
      </c>
    </row>
    <row r="502" spans="2:7" ht="15" hidden="1" outlineLevel="2">
      <c r="B502" s="2889" t="s">
        <v>1638</v>
      </c>
      <c r="C502" s="2889" t="s">
        <v>1469</v>
      </c>
      <c r="D502" s="2889" t="s">
        <v>1054</v>
      </c>
      <c r="E502" s="2889" t="s">
        <v>217</v>
      </c>
      <c r="F502" s="2890">
        <v>4.9021773039386317E-6</v>
      </c>
      <c r="G502" s="2890">
        <v>2.1973888000769012E-3</v>
      </c>
    </row>
    <row r="503" spans="2:7" ht="15" hidden="1" outlineLevel="2">
      <c r="B503" s="2889" t="s">
        <v>1639</v>
      </c>
      <c r="C503" s="2889" t="s">
        <v>1469</v>
      </c>
      <c r="D503" s="2889" t="s">
        <v>1054</v>
      </c>
      <c r="E503" s="2889" t="s">
        <v>217</v>
      </c>
      <c r="F503" s="2890">
        <v>4.5068812018824153E-5</v>
      </c>
      <c r="G503" s="2890">
        <v>2.0202845517011805E-2</v>
      </c>
    </row>
    <row r="504" spans="2:7" ht="15" hidden="1" outlineLevel="2">
      <c r="B504" s="2889" t="s">
        <v>1640</v>
      </c>
      <c r="C504" s="2889" t="s">
        <v>1469</v>
      </c>
      <c r="D504" s="2889" t="s">
        <v>1054</v>
      </c>
      <c r="E504" s="2889" t="s">
        <v>217</v>
      </c>
      <c r="F504" s="2890">
        <v>1.0596524500070237E-5</v>
      </c>
      <c r="G504" s="2890">
        <v>4.7498633042904817E-3</v>
      </c>
    </row>
    <row r="505" spans="2:7" ht="15" hidden="1" outlineLevel="2">
      <c r="B505" s="2889" t="s">
        <v>1641</v>
      </c>
      <c r="C505" s="2889" t="s">
        <v>1469</v>
      </c>
      <c r="D505" s="2889" t="s">
        <v>1054</v>
      </c>
      <c r="E505" s="2889" t="s">
        <v>217</v>
      </c>
      <c r="F505" s="2890">
        <v>5.4276949246530487E-5</v>
      </c>
      <c r="G505" s="2890">
        <v>2.4330548023878712E-2</v>
      </c>
    </row>
    <row r="506" spans="2:7" ht="15" hidden="1" outlineLevel="2">
      <c r="B506" s="2889" t="s">
        <v>1642</v>
      </c>
      <c r="C506" s="2889" t="s">
        <v>1469</v>
      </c>
      <c r="D506" s="2889" t="s">
        <v>1054</v>
      </c>
      <c r="E506" s="2889" t="s">
        <v>217</v>
      </c>
      <c r="F506" s="2890">
        <v>3.8959156024615297E-5</v>
      </c>
      <c r="G506" s="2890">
        <v>1.7464107267778705E-2</v>
      </c>
    </row>
    <row r="507" spans="2:7" ht="15" hidden="1" outlineLevel="2">
      <c r="B507" s="2889" t="s">
        <v>1643</v>
      </c>
      <c r="C507" s="2889" t="s">
        <v>1469</v>
      </c>
      <c r="D507" s="2889" t="s">
        <v>1054</v>
      </c>
      <c r="E507" s="2889" t="s">
        <v>217</v>
      </c>
      <c r="F507" s="2890">
        <v>5.7598393832130302E-6</v>
      </c>
      <c r="G507" s="2890">
        <v>2.5820429252102809E-3</v>
      </c>
    </row>
    <row r="508" spans="2:7" ht="15" hidden="1" outlineLevel="2">
      <c r="B508" s="2889" t="s">
        <v>1644</v>
      </c>
      <c r="C508" s="2889" t="s">
        <v>1469</v>
      </c>
      <c r="D508" s="2889" t="s">
        <v>1054</v>
      </c>
      <c r="E508" s="2889" t="s">
        <v>217</v>
      </c>
      <c r="F508" s="2890">
        <v>1.2681738039832451E-4</v>
      </c>
      <c r="G508" s="2890">
        <v>5.6847973062101542E-2</v>
      </c>
    </row>
    <row r="509" spans="2:7" ht="15" hidden="1" outlineLevel="2">
      <c r="B509" s="2889" t="s">
        <v>1645</v>
      </c>
      <c r="C509" s="2889" t="s">
        <v>1469</v>
      </c>
      <c r="D509" s="2889" t="s">
        <v>1054</v>
      </c>
      <c r="E509" s="2889" t="s">
        <v>217</v>
      </c>
      <c r="F509" s="2890">
        <v>1.4482940935460384E-4</v>
      </c>
      <c r="G509" s="2890">
        <v>6.4922215028536318E-2</v>
      </c>
    </row>
    <row r="510" spans="2:7" ht="15" hidden="1" outlineLevel="2">
      <c r="B510" s="2889" t="s">
        <v>1646</v>
      </c>
      <c r="C510" s="2889" t="s">
        <v>1469</v>
      </c>
      <c r="D510" s="2889" t="s">
        <v>1054</v>
      </c>
      <c r="E510" s="2889" t="s">
        <v>217</v>
      </c>
      <c r="F510" s="2890">
        <v>8.4692604743269945E-6</v>
      </c>
      <c r="G510" s="2890">
        <v>3.7964862597865139E-3</v>
      </c>
    </row>
    <row r="511" spans="2:7" ht="15" hidden="1" outlineLevel="2">
      <c r="B511" s="2889" t="s">
        <v>1647</v>
      </c>
      <c r="C511" s="2889" t="s">
        <v>1469</v>
      </c>
      <c r="D511" s="2889" t="s">
        <v>1054</v>
      </c>
      <c r="E511" s="2889" t="s">
        <v>217</v>
      </c>
      <c r="F511" s="2890">
        <v>2.1141876574597999E-5</v>
      </c>
      <c r="G511" s="2890">
        <v>9.476786163041543E-3</v>
      </c>
    </row>
    <row r="512" spans="2:7" ht="15" hidden="1" outlineLevel="2">
      <c r="B512" s="2889" t="s">
        <v>1648</v>
      </c>
      <c r="C512" s="2889" t="s">
        <v>1469</v>
      </c>
      <c r="D512" s="2889" t="s">
        <v>1054</v>
      </c>
      <c r="E512" s="2889" t="s">
        <v>217</v>
      </c>
      <c r="F512" s="2890">
        <v>2.3702511156833826E-6</v>
      </c>
      <c r="G512" s="2890">
        <v>1.0624594333494101E-3</v>
      </c>
    </row>
    <row r="513" spans="2:7" ht="15" hidden="1" outlineLevel="2">
      <c r="B513" s="2889" t="s">
        <v>1649</v>
      </c>
      <c r="C513" s="2889" t="s">
        <v>1469</v>
      </c>
      <c r="D513" s="2889" t="s">
        <v>1054</v>
      </c>
      <c r="E513" s="2889" t="s">
        <v>217</v>
      </c>
      <c r="F513" s="2890">
        <v>1.124281993332198E-5</v>
      </c>
      <c r="G513" s="2890">
        <v>5.039561500320474E-3</v>
      </c>
    </row>
    <row r="514" spans="2:7" ht="15" hidden="1" outlineLevel="2">
      <c r="B514" s="2889" t="s">
        <v>1650</v>
      </c>
      <c r="C514" s="2889" t="s">
        <v>1469</v>
      </c>
      <c r="D514" s="2889" t="s">
        <v>1054</v>
      </c>
      <c r="E514" s="2889" t="s">
        <v>217</v>
      </c>
      <c r="F514" s="2890">
        <v>2.8090659541956758E-5</v>
      </c>
      <c r="G514" s="2890">
        <v>1.2591560683655075E-2</v>
      </c>
    </row>
    <row r="515" spans="2:7" ht="15" hidden="1" outlineLevel="2">
      <c r="B515" s="2889" t="s">
        <v>1651</v>
      </c>
      <c r="C515" s="2889" t="s">
        <v>1469</v>
      </c>
      <c r="D515" s="2889" t="s">
        <v>1054</v>
      </c>
      <c r="E515" s="2889" t="s">
        <v>217</v>
      </c>
      <c r="F515" s="2890">
        <v>1.536921992822546E-5</v>
      </c>
      <c r="G515" s="2890">
        <v>6.8892145663255596E-3</v>
      </c>
    </row>
    <row r="516" spans="2:7" ht="15" hidden="1" outlineLevel="2">
      <c r="B516" s="2889" t="s">
        <v>1652</v>
      </c>
      <c r="C516" s="2889" t="s">
        <v>1469</v>
      </c>
      <c r="D516" s="2889" t="s">
        <v>1054</v>
      </c>
      <c r="E516" s="2889" t="s">
        <v>217</v>
      </c>
      <c r="F516" s="2890">
        <v>1.6876749520896543E-5</v>
      </c>
      <c r="G516" s="2890">
        <v>7.5649618578151161E-3</v>
      </c>
    </row>
    <row r="517" spans="2:7" ht="15" hidden="1" outlineLevel="2">
      <c r="B517" s="2889" t="s">
        <v>1653</v>
      </c>
      <c r="C517" s="2889" t="s">
        <v>1469</v>
      </c>
      <c r="D517" s="2889" t="s">
        <v>1054</v>
      </c>
      <c r="E517" s="2889" t="s">
        <v>217</v>
      </c>
      <c r="F517" s="2890">
        <v>1.807527104592972E-36</v>
      </c>
      <c r="G517" s="2890">
        <v>8.1025401359672294E-34</v>
      </c>
    </row>
    <row r="518" spans="2:7" ht="15" hidden="1" outlineLevel="2">
      <c r="B518" s="2889" t="s">
        <v>1407</v>
      </c>
      <c r="C518" s="2889" t="s">
        <v>1470</v>
      </c>
      <c r="D518" s="2889" t="s">
        <v>1054</v>
      </c>
      <c r="E518" s="2889" t="s">
        <v>217</v>
      </c>
      <c r="F518" s="2890">
        <v>1.8843622714206962E-2</v>
      </c>
      <c r="G518" s="2890">
        <v>10.538505200237928</v>
      </c>
    </row>
    <row r="519" spans="2:7" ht="15" hidden="1" outlineLevel="2">
      <c r="B519" s="2889" t="s">
        <v>1631</v>
      </c>
      <c r="C519" s="2889" t="s">
        <v>1470</v>
      </c>
      <c r="D519" s="2889" t="s">
        <v>1054</v>
      </c>
      <c r="E519" s="2889" t="s">
        <v>217</v>
      </c>
      <c r="F519" s="2890">
        <v>0.31319683181140168</v>
      </c>
      <c r="G519" s="2890">
        <v>174.88467945201646</v>
      </c>
    </row>
    <row r="520" spans="2:7" ht="15" hidden="1" outlineLevel="2">
      <c r="B520" s="2889" t="s">
        <v>1632</v>
      </c>
      <c r="C520" s="2889" t="s">
        <v>1470</v>
      </c>
      <c r="D520" s="2889" t="s">
        <v>1054</v>
      </c>
      <c r="E520" s="2889" t="s">
        <v>217</v>
      </c>
      <c r="F520" s="2890">
        <v>0.72429711775782701</v>
      </c>
      <c r="G520" s="2890">
        <v>405.08812607583735</v>
      </c>
    </row>
    <row r="521" spans="2:7" ht="15" hidden="1" outlineLevel="2">
      <c r="B521" s="2889" t="s">
        <v>1633</v>
      </c>
      <c r="C521" s="2889" t="s">
        <v>1470</v>
      </c>
      <c r="D521" s="2889" t="s">
        <v>1054</v>
      </c>
      <c r="E521" s="2889" t="s">
        <v>217</v>
      </c>
      <c r="F521" s="2890">
        <v>5.8778191649508336E-2</v>
      </c>
      <c r="G521" s="2890">
        <v>32.873764281443755</v>
      </c>
    </row>
    <row r="522" spans="2:7" ht="15" hidden="1" outlineLevel="2">
      <c r="B522" s="2889" t="s">
        <v>1634</v>
      </c>
      <c r="C522" s="2889" t="s">
        <v>1470</v>
      </c>
      <c r="D522" s="2889" t="s">
        <v>1054</v>
      </c>
      <c r="E522" s="2889" t="s">
        <v>217</v>
      </c>
      <c r="F522" s="2890">
        <v>1.0894842185035626E-2</v>
      </c>
      <c r="G522" s="2890">
        <v>6.0930579480231835</v>
      </c>
    </row>
    <row r="523" spans="2:7" ht="15" hidden="1" outlineLevel="2">
      <c r="B523" s="2889" t="s">
        <v>1635</v>
      </c>
      <c r="C523" s="2889" t="s">
        <v>1470</v>
      </c>
      <c r="D523" s="2889" t="s">
        <v>1054</v>
      </c>
      <c r="E523" s="2889" t="s">
        <v>217</v>
      </c>
      <c r="F523" s="2890">
        <v>9.1890597761710449E-2</v>
      </c>
      <c r="G523" s="2890">
        <v>51.393004923586346</v>
      </c>
    </row>
    <row r="524" spans="2:7" ht="15" hidden="1" outlineLevel="2">
      <c r="B524" s="2889" t="s">
        <v>1636</v>
      </c>
      <c r="C524" s="2889" t="s">
        <v>1470</v>
      </c>
      <c r="D524" s="2889" t="s">
        <v>1054</v>
      </c>
      <c r="E524" s="2889" t="s">
        <v>217</v>
      </c>
      <c r="F524" s="2890">
        <v>8.066580320296686E-2</v>
      </c>
      <c r="G524" s="2890">
        <v>45.115137225894983</v>
      </c>
    </row>
    <row r="525" spans="2:7" ht="15" hidden="1" outlineLevel="2">
      <c r="B525" s="2889" t="s">
        <v>1637</v>
      </c>
      <c r="C525" s="2889" t="s">
        <v>1470</v>
      </c>
      <c r="D525" s="2889" t="s">
        <v>1054</v>
      </c>
      <c r="E525" s="2889" t="s">
        <v>217</v>
      </c>
      <c r="F525" s="2890">
        <v>0.13396697354560769</v>
      </c>
      <c r="G525" s="2890">
        <v>74.925622808191093</v>
      </c>
    </row>
    <row r="526" spans="2:7" ht="15" hidden="1" outlineLevel="2">
      <c r="B526" s="2889" t="s">
        <v>1638</v>
      </c>
      <c r="C526" s="2889" t="s">
        <v>1470</v>
      </c>
      <c r="D526" s="2889" t="s">
        <v>1054</v>
      </c>
      <c r="E526" s="2889" t="s">
        <v>217</v>
      </c>
      <c r="F526" s="2890">
        <v>1.74874059340288E-2</v>
      </c>
      <c r="G526" s="2890">
        <v>9.7800182991624212</v>
      </c>
    </row>
    <row r="527" spans="2:7" ht="15" hidden="1" outlineLevel="2">
      <c r="B527" s="2889" t="s">
        <v>1639</v>
      </c>
      <c r="C527" s="2889" t="s">
        <v>1470</v>
      </c>
      <c r="D527" s="2889" t="s">
        <v>1054</v>
      </c>
      <c r="E527" s="2889" t="s">
        <v>217</v>
      </c>
      <c r="F527" s="2890">
        <v>0.16077267047925806</v>
      </c>
      <c r="G527" s="2890">
        <v>89.917736403567531</v>
      </c>
    </row>
    <row r="528" spans="2:7" ht="15" hidden="1" outlineLevel="2">
      <c r="B528" s="2889" t="s">
        <v>1640</v>
      </c>
      <c r="C528" s="2889" t="s">
        <v>1470</v>
      </c>
      <c r="D528" s="2889" t="s">
        <v>1054</v>
      </c>
      <c r="E528" s="2889" t="s">
        <v>217</v>
      </c>
      <c r="F528" s="2890">
        <v>3.7800699208375324E-2</v>
      </c>
      <c r="G528" s="2890">
        <v>21.140434039674268</v>
      </c>
    </row>
    <row r="529" spans="2:7" ht="15" hidden="1" outlineLevel="2">
      <c r="B529" s="2889" t="s">
        <v>1641</v>
      </c>
      <c r="C529" s="2889" t="s">
        <v>1470</v>
      </c>
      <c r="D529" s="2889" t="s">
        <v>1054</v>
      </c>
      <c r="E529" s="2889" t="s">
        <v>217</v>
      </c>
      <c r="F529" s="2890">
        <v>0.19362058970817891</v>
      </c>
      <c r="G529" s="2890">
        <v>108.2890947054308</v>
      </c>
    </row>
    <row r="530" spans="2:7" ht="15" hidden="1" outlineLevel="2">
      <c r="B530" s="2889" t="s">
        <v>1642</v>
      </c>
      <c r="C530" s="2889" t="s">
        <v>1470</v>
      </c>
      <c r="D530" s="2889" t="s">
        <v>1054</v>
      </c>
      <c r="E530" s="2889" t="s">
        <v>217</v>
      </c>
      <c r="F530" s="2890">
        <v>0.13897785165893886</v>
      </c>
      <c r="G530" s="2890">
        <v>76.395791630971502</v>
      </c>
    </row>
    <row r="531" spans="2:7" ht="15" hidden="1" outlineLevel="2">
      <c r="B531" s="2889" t="s">
        <v>1643</v>
      </c>
      <c r="C531" s="2889" t="s">
        <v>1470</v>
      </c>
      <c r="D531" s="2889" t="s">
        <v>1054</v>
      </c>
      <c r="E531" s="2889" t="s">
        <v>217</v>
      </c>
      <c r="F531" s="2890">
        <v>2.054692727127962E-2</v>
      </c>
      <c r="G531" s="2890">
        <v>11.492014963649687</v>
      </c>
    </row>
    <row r="532" spans="2:7" ht="15" hidden="1" outlineLevel="2">
      <c r="B532" s="2889" t="s">
        <v>1644</v>
      </c>
      <c r="C532" s="2889" t="s">
        <v>1470</v>
      </c>
      <c r="D532" s="2889" t="s">
        <v>1054</v>
      </c>
      <c r="E532" s="2889" t="s">
        <v>217</v>
      </c>
      <c r="F532" s="2890">
        <v>0.45239204881241518</v>
      </c>
      <c r="G532" s="2890">
        <v>253.01595849859208</v>
      </c>
    </row>
    <row r="533" spans="2:7" ht="15" hidden="1" outlineLevel="2">
      <c r="B533" s="2889" t="s">
        <v>1645</v>
      </c>
      <c r="C533" s="2889" t="s">
        <v>1470</v>
      </c>
      <c r="D533" s="2889" t="s">
        <v>1054</v>
      </c>
      <c r="E533" s="2889" t="s">
        <v>217</v>
      </c>
      <c r="F533" s="2890">
        <v>0.51664672378625776</v>
      </c>
      <c r="G533" s="2890">
        <v>288.9521880981851</v>
      </c>
    </row>
    <row r="534" spans="2:7" ht="15" hidden="1" outlineLevel="2">
      <c r="B534" s="2889" t="s">
        <v>1646</v>
      </c>
      <c r="C534" s="2889" t="s">
        <v>1470</v>
      </c>
      <c r="D534" s="2889" t="s">
        <v>1054</v>
      </c>
      <c r="E534" s="2889" t="s">
        <v>217</v>
      </c>
      <c r="F534" s="3039">
        <v>3.0212162275097796E-2</v>
      </c>
      <c r="G534" s="2890">
        <v>16.89719814415351</v>
      </c>
    </row>
    <row r="535" spans="2:7" ht="15" hidden="1" outlineLevel="2">
      <c r="B535" s="2889" t="s">
        <v>1647</v>
      </c>
      <c r="C535" s="2889" t="s">
        <v>1470</v>
      </c>
      <c r="D535" s="2889" t="s">
        <v>1054</v>
      </c>
      <c r="E535" s="2889" t="s">
        <v>217</v>
      </c>
      <c r="F535" s="3039">
        <v>7.5418824574261911E-2</v>
      </c>
      <c r="G535" s="2890">
        <v>42.178739371371776</v>
      </c>
    </row>
    <row r="536" spans="2:7" ht="15" hidden="1" outlineLevel="2">
      <c r="B536" s="2889" t="s">
        <v>1648</v>
      </c>
      <c r="C536" s="2889" t="s">
        <v>1470</v>
      </c>
      <c r="D536" s="2889" t="s">
        <v>1054</v>
      </c>
      <c r="E536" s="2889" t="s">
        <v>217</v>
      </c>
      <c r="F536" s="3039">
        <v>8.4553384330125908E-3</v>
      </c>
      <c r="G536" s="2890">
        <v>4.7287341152621121</v>
      </c>
    </row>
    <row r="537" spans="2:7" ht="15" hidden="1" outlineLevel="2">
      <c r="B537" s="2889" t="s">
        <v>1649</v>
      </c>
      <c r="C537" s="2889" t="s">
        <v>1470</v>
      </c>
      <c r="D537" s="2889" t="s">
        <v>1054</v>
      </c>
      <c r="E537" s="2889" t="s">
        <v>217</v>
      </c>
      <c r="F537" s="3039">
        <v>4.0106211622939827E-2</v>
      </c>
      <c r="G537" s="2890">
        <v>22.429817391236504</v>
      </c>
    </row>
    <row r="538" spans="2:7" ht="15" hidden="1" outlineLevel="2">
      <c r="B538" s="2889" t="s">
        <v>1650</v>
      </c>
      <c r="C538" s="2889" t="s">
        <v>1470</v>
      </c>
      <c r="D538" s="2889" t="s">
        <v>1054</v>
      </c>
      <c r="E538" s="2889" t="s">
        <v>217</v>
      </c>
      <c r="F538" s="3039">
        <v>0.10020706409306775</v>
      </c>
      <c r="G538" s="2890">
        <v>56.041895741493562</v>
      </c>
    </row>
    <row r="539" spans="2:7" ht="15" hidden="1" outlineLevel="2">
      <c r="B539" s="2889" t="s">
        <v>1651</v>
      </c>
      <c r="C539" s="2889" t="s">
        <v>1470</v>
      </c>
      <c r="D539" s="2889" t="s">
        <v>1054</v>
      </c>
      <c r="E539" s="2889" t="s">
        <v>217</v>
      </c>
      <c r="F539" s="3039">
        <v>5.4826217168742225E-2</v>
      </c>
      <c r="G539" s="2890">
        <v>30.662143801298612</v>
      </c>
    </row>
    <row r="540" spans="2:7" ht="15" hidden="1" outlineLevel="2">
      <c r="B540" s="2889" t="s">
        <v>1652</v>
      </c>
      <c r="C540" s="2889" t="s">
        <v>1470</v>
      </c>
      <c r="D540" s="2889" t="s">
        <v>1054</v>
      </c>
      <c r="E540" s="2889" t="s">
        <v>217</v>
      </c>
      <c r="F540" s="3039">
        <v>6.0203965290455554E-2</v>
      </c>
      <c r="G540" s="2890">
        <v>33.669715061985542</v>
      </c>
    </row>
    <row r="541" spans="2:7" ht="15" hidden="1" outlineLevel="2">
      <c r="B541" s="2889" t="s">
        <v>1653</v>
      </c>
      <c r="C541" s="2889" t="s">
        <v>1470</v>
      </c>
      <c r="D541" s="2889" t="s">
        <v>1054</v>
      </c>
      <c r="E541" s="2889" t="s">
        <v>217</v>
      </c>
      <c r="F541" s="3039">
        <v>3.5833641940293277E-34</v>
      </c>
      <c r="G541" s="2890">
        <v>2.0536241178263922E-31</v>
      </c>
    </row>
    <row r="542" spans="2:7" ht="15" hidden="1" outlineLevel="2">
      <c r="B542" s="2889" t="s">
        <v>1407</v>
      </c>
      <c r="C542" s="2889" t="s">
        <v>1471</v>
      </c>
      <c r="D542" s="2889" t="s">
        <v>1054</v>
      </c>
      <c r="E542" s="2889" t="s">
        <v>217</v>
      </c>
      <c r="F542" s="3039">
        <v>1.3754850342295732E-4</v>
      </c>
      <c r="G542" s="2890">
        <v>6.1655689731861071E-2</v>
      </c>
    </row>
    <row r="543" spans="2:7" ht="15" hidden="1" outlineLevel="2">
      <c r="B543" s="2889" t="s">
        <v>1631</v>
      </c>
      <c r="C543" s="2889" t="s">
        <v>1471</v>
      </c>
      <c r="D543" s="2889" t="s">
        <v>1054</v>
      </c>
      <c r="E543" s="2889" t="s">
        <v>217</v>
      </c>
      <c r="F543" s="3039">
        <v>2.2861693825184217E-3</v>
      </c>
      <c r="G543" s="2890">
        <v>1.0231666970461255</v>
      </c>
    </row>
    <row r="544" spans="2:7" ht="15" hidden="1" outlineLevel="2">
      <c r="B544" s="2889" t="s">
        <v>1632</v>
      </c>
      <c r="C544" s="2889" t="s">
        <v>1471</v>
      </c>
      <c r="D544" s="2889" t="s">
        <v>1054</v>
      </c>
      <c r="E544" s="2889" t="s">
        <v>217</v>
      </c>
      <c r="F544" s="3039">
        <v>5.2869790966788279E-3</v>
      </c>
      <c r="G544" s="2890">
        <v>2.3699778691193072</v>
      </c>
    </row>
    <row r="545" spans="2:7" ht="15" hidden="1" outlineLevel="2">
      <c r="B545" s="2889" t="s">
        <v>1633</v>
      </c>
      <c r="C545" s="2889" t="s">
        <v>1471</v>
      </c>
      <c r="D545" s="2889" t="s">
        <v>1054</v>
      </c>
      <c r="E545" s="2889" t="s">
        <v>217</v>
      </c>
      <c r="F545" s="3039">
        <v>4.290497002058444E-4</v>
      </c>
      <c r="G545" s="2890">
        <v>0.19232866243240013</v>
      </c>
    </row>
    <row r="546" spans="2:7" ht="15" hidden="1" outlineLevel="2">
      <c r="B546" s="2889" t="s">
        <v>1634</v>
      </c>
      <c r="C546" s="2889" t="s">
        <v>1471</v>
      </c>
      <c r="D546" s="2889" t="s">
        <v>1054</v>
      </c>
      <c r="E546" s="2889" t="s">
        <v>217</v>
      </c>
      <c r="F546" s="3039">
        <v>7.9526566101178789E-5</v>
      </c>
      <c r="G546" s="2890">
        <v>3.5647572769999331E-2</v>
      </c>
    </row>
    <row r="547" spans="2:7" ht="15" hidden="1" outlineLevel="2">
      <c r="B547" s="2889" t="s">
        <v>1635</v>
      </c>
      <c r="C547" s="2889" t="s">
        <v>1471</v>
      </c>
      <c r="D547" s="2889" t="s">
        <v>1054</v>
      </c>
      <c r="E547" s="2889" t="s">
        <v>217</v>
      </c>
      <c r="F547" s="3039">
        <v>6.7075190948721083E-4</v>
      </c>
      <c r="G547" s="2890">
        <v>0.30067610514757537</v>
      </c>
    </row>
    <row r="548" spans="2:7" ht="15" hidden="1" outlineLevel="2">
      <c r="B548" s="2889" t="s">
        <v>1636</v>
      </c>
      <c r="C548" s="2889" t="s">
        <v>1471</v>
      </c>
      <c r="D548" s="2889" t="s">
        <v>1054</v>
      </c>
      <c r="E548" s="2889" t="s">
        <v>217</v>
      </c>
      <c r="F548" s="3039">
        <v>5.8881742340065758E-4</v>
      </c>
      <c r="G548" s="2890">
        <v>0.26394743551868527</v>
      </c>
    </row>
    <row r="549" spans="2:7" ht="15" hidden="1" outlineLevel="2">
      <c r="B549" s="2889" t="s">
        <v>1637</v>
      </c>
      <c r="C549" s="2889" t="s">
        <v>1471</v>
      </c>
      <c r="D549" s="2889" t="s">
        <v>1054</v>
      </c>
      <c r="E549" s="2889" t="s">
        <v>217</v>
      </c>
      <c r="F549" s="3039">
        <v>9.7788770933805226E-4</v>
      </c>
      <c r="G549" s="2890">
        <v>0.43835476858019207</v>
      </c>
    </row>
    <row r="550" spans="2:7" ht="15" hidden="1" outlineLevel="2">
      <c r="B550" s="2889" t="s">
        <v>1638</v>
      </c>
      <c r="C550" s="2889" t="s">
        <v>1471</v>
      </c>
      <c r="D550" s="2889" t="s">
        <v>1054</v>
      </c>
      <c r="E550" s="2889" t="s">
        <v>217</v>
      </c>
      <c r="F550" s="3039">
        <v>1.2764873835052315E-4</v>
      </c>
      <c r="G550" s="2890">
        <v>5.7218228240652383E-2</v>
      </c>
    </row>
    <row r="551" spans="2:7" ht="15" hidden="1" outlineLevel="2">
      <c r="B551" s="2889" t="s">
        <v>1639</v>
      </c>
      <c r="C551" s="2889" t="s">
        <v>1471</v>
      </c>
      <c r="D551" s="2889" t="s">
        <v>1054</v>
      </c>
      <c r="E551" s="2889" t="s">
        <v>217</v>
      </c>
      <c r="F551" s="3039">
        <v>1.1735549565864952E-3</v>
      </c>
      <c r="G551" s="2890">
        <v>0.52606513456475912</v>
      </c>
    </row>
    <row r="552" spans="2:7" ht="15" hidden="1" outlineLevel="2">
      <c r="B552" s="2889" t="s">
        <v>1640</v>
      </c>
      <c r="C552" s="2889" t="s">
        <v>1471</v>
      </c>
      <c r="D552" s="2889" t="s">
        <v>1054</v>
      </c>
      <c r="E552" s="2889" t="s">
        <v>217</v>
      </c>
      <c r="F552" s="3039">
        <v>2.75924848458388E-4</v>
      </c>
      <c r="G552" s="2890">
        <v>0.12368264548977599</v>
      </c>
    </row>
    <row r="553" spans="2:7" ht="15" hidden="1" outlineLevel="2">
      <c r="B553" s="2889" t="s">
        <v>1641</v>
      </c>
      <c r="C553" s="2889" t="s">
        <v>1471</v>
      </c>
      <c r="D553" s="2889" t="s">
        <v>1054</v>
      </c>
      <c r="E553" s="2889" t="s">
        <v>217</v>
      </c>
      <c r="F553" s="3039">
        <v>1.4133277522784698E-3</v>
      </c>
      <c r="G553" s="2890">
        <v>0.63354736748174578</v>
      </c>
    </row>
    <row r="554" spans="2:7" ht="15" hidden="1" outlineLevel="2">
      <c r="B554" s="2889" t="s">
        <v>1642</v>
      </c>
      <c r="C554" s="2889" t="s">
        <v>1471</v>
      </c>
      <c r="D554" s="2889" t="s">
        <v>1054</v>
      </c>
      <c r="E554" s="2889" t="s">
        <v>217</v>
      </c>
      <c r="F554" s="3039">
        <v>9.970630249448722E-4</v>
      </c>
      <c r="G554" s="2890">
        <v>0.44695539398671513</v>
      </c>
    </row>
    <row r="555" spans="2:7" ht="15" hidden="1" outlineLevel="2">
      <c r="B555" s="2889" t="s">
        <v>1643</v>
      </c>
      <c r="C555" s="2889" t="s">
        <v>1471</v>
      </c>
      <c r="D555" s="2889" t="s">
        <v>1054</v>
      </c>
      <c r="E555" s="2889" t="s">
        <v>217</v>
      </c>
      <c r="F555" s="3039">
        <v>1.4998162782357439E-4</v>
      </c>
      <c r="G555" s="2890">
        <v>6.7234357786042545E-2</v>
      </c>
    </row>
    <row r="556" spans="2:7" ht="15" hidden="1" outlineLevel="2">
      <c r="B556" s="2889" t="s">
        <v>1644</v>
      </c>
      <c r="C556" s="2889" t="s">
        <v>1471</v>
      </c>
      <c r="D556" s="2889" t="s">
        <v>1054</v>
      </c>
      <c r="E556" s="2889" t="s">
        <v>217</v>
      </c>
      <c r="F556" s="3039">
        <v>3.3022212557755979E-3</v>
      </c>
      <c r="G556" s="2890">
        <v>1.4802761356888992</v>
      </c>
    </row>
    <row r="557" spans="2:7" ht="15" hidden="1" outlineLevel="2">
      <c r="B557" s="2889" t="s">
        <v>1645</v>
      </c>
      <c r="C557" s="2889" t="s">
        <v>1471</v>
      </c>
      <c r="D557" s="2889" t="s">
        <v>1054</v>
      </c>
      <c r="E557" s="2889" t="s">
        <v>217</v>
      </c>
      <c r="F557" s="3039">
        <v>3.7712407010094982E-3</v>
      </c>
      <c r="G557" s="2890">
        <v>1.6905223059936356</v>
      </c>
    </row>
    <row r="558" spans="2:7" ht="15" hidden="1" outlineLevel="2">
      <c r="B558" s="2889" t="s">
        <v>1646</v>
      </c>
      <c r="C558" s="2889" t="s">
        <v>1471</v>
      </c>
      <c r="D558" s="2889" t="s">
        <v>1054</v>
      </c>
      <c r="E558" s="2889" t="s">
        <v>217</v>
      </c>
      <c r="F558" s="3039">
        <v>2.2053276006338173E-4</v>
      </c>
      <c r="G558" s="2890">
        <v>9.8857518859681429E-2</v>
      </c>
    </row>
    <row r="559" spans="2:7" ht="15" hidden="1" outlineLevel="2">
      <c r="B559" s="2889" t="s">
        <v>1647</v>
      </c>
      <c r="C559" s="2889" t="s">
        <v>1471</v>
      </c>
      <c r="D559" s="2889" t="s">
        <v>1054</v>
      </c>
      <c r="E559" s="2889" t="s">
        <v>217</v>
      </c>
      <c r="F559" s="2890">
        <v>5.5051760495545502E-4</v>
      </c>
      <c r="G559" s="2890">
        <v>0.24676799376164682</v>
      </c>
    </row>
    <row r="560" spans="2:7" ht="15" hidden="1" outlineLevel="2">
      <c r="B560" s="2889" t="s">
        <v>1648</v>
      </c>
      <c r="C560" s="2889" t="s">
        <v>1471</v>
      </c>
      <c r="D560" s="2889" t="s">
        <v>1054</v>
      </c>
      <c r="E560" s="2889" t="s">
        <v>217</v>
      </c>
      <c r="F560" s="2890">
        <v>6.1719463356204598E-5</v>
      </c>
      <c r="G560" s="2890">
        <v>2.7665582793281924E-2</v>
      </c>
    </row>
    <row r="561" spans="2:7" ht="15" hidden="1" outlineLevel="2">
      <c r="B561" s="2889" t="s">
        <v>1649</v>
      </c>
      <c r="C561" s="2889" t="s">
        <v>1471</v>
      </c>
      <c r="D561" s="2889" t="s">
        <v>1054</v>
      </c>
      <c r="E561" s="2889" t="s">
        <v>217</v>
      </c>
      <c r="F561" s="2890">
        <v>2.9275416914162345E-4</v>
      </c>
      <c r="G561" s="2890">
        <v>0.13122619612968106</v>
      </c>
    </row>
    <row r="562" spans="2:7" ht="15" hidden="1" outlineLevel="2">
      <c r="B562" s="2889" t="s">
        <v>1650</v>
      </c>
      <c r="C562" s="2889" t="s">
        <v>1471</v>
      </c>
      <c r="D562" s="2889" t="s">
        <v>1054</v>
      </c>
      <c r="E562" s="2889" t="s">
        <v>217</v>
      </c>
      <c r="F562" s="2890">
        <v>7.3145839689421946E-4</v>
      </c>
      <c r="G562" s="2890">
        <v>0.32787411308497344</v>
      </c>
    </row>
    <row r="563" spans="2:7" ht="15" hidden="1" outlineLevel="2">
      <c r="B563" s="2889" t="s">
        <v>1651</v>
      </c>
      <c r="C563" s="2889" t="s">
        <v>1471</v>
      </c>
      <c r="D563" s="2889" t="s">
        <v>1054</v>
      </c>
      <c r="E563" s="2889" t="s">
        <v>217</v>
      </c>
      <c r="F563" s="2890">
        <v>4.0020221830596565E-4</v>
      </c>
      <c r="G563" s="2890">
        <v>0.17938958369728566</v>
      </c>
    </row>
    <row r="564" spans="2:7" ht="15" hidden="1" outlineLevel="2">
      <c r="B564" s="2889" t="s">
        <v>1652</v>
      </c>
      <c r="C564" s="2889" t="s">
        <v>1471</v>
      </c>
      <c r="D564" s="2889" t="s">
        <v>1054</v>
      </c>
      <c r="E564" s="2889" t="s">
        <v>217</v>
      </c>
      <c r="F564" s="2890">
        <v>4.3945703173802278E-4</v>
      </c>
      <c r="G564" s="2890">
        <v>0.19698545847072607</v>
      </c>
    </row>
    <row r="565" spans="2:7" ht="15" hidden="1" outlineLevel="2">
      <c r="B565" s="2889" t="s">
        <v>1653</v>
      </c>
      <c r="C565" s="2889" t="s">
        <v>1471</v>
      </c>
      <c r="D565" s="2889" t="s">
        <v>1054</v>
      </c>
      <c r="E565" s="2889" t="s">
        <v>217</v>
      </c>
      <c r="F565" s="2890">
        <v>4.4947573044558784E-38</v>
      </c>
      <c r="G565" s="2890">
        <v>2.0148500704412117E-35</v>
      </c>
    </row>
    <row r="566" spans="2:7" ht="15" hidden="1" outlineLevel="2">
      <c r="B566" s="2889" t="s">
        <v>1407</v>
      </c>
      <c r="C566" s="2889" t="s">
        <v>1531</v>
      </c>
      <c r="D566" s="2889" t="s">
        <v>1106</v>
      </c>
      <c r="E566" s="2889" t="s">
        <v>217</v>
      </c>
      <c r="F566" s="2890">
        <v>2.9567878804087519E-4</v>
      </c>
      <c r="G566" s="2890">
        <v>0.13254097279533403</v>
      </c>
    </row>
    <row r="567" spans="2:7" ht="15" hidden="1" outlineLevel="2">
      <c r="B567" s="2889" t="s">
        <v>1631</v>
      </c>
      <c r="C567" s="2889" t="s">
        <v>1531</v>
      </c>
      <c r="D567" s="2889" t="s">
        <v>1106</v>
      </c>
      <c r="E567" s="2889" t="s">
        <v>217</v>
      </c>
      <c r="F567" s="2890">
        <v>1.2548497752644526E-3</v>
      </c>
      <c r="G567" s="2890">
        <v>0.56160357303741903</v>
      </c>
    </row>
    <row r="568" spans="2:7" ht="15" hidden="1" outlineLevel="2">
      <c r="B568" s="2889" t="s">
        <v>1632</v>
      </c>
      <c r="C568" s="2889" t="s">
        <v>1531</v>
      </c>
      <c r="D568" s="2889" t="s">
        <v>1106</v>
      </c>
      <c r="E568" s="2889" t="s">
        <v>217</v>
      </c>
      <c r="F568" s="2890">
        <v>2.2926257519966125E-3</v>
      </c>
      <c r="G568" s="2890">
        <v>1.0277793808908262</v>
      </c>
    </row>
    <row r="569" spans="2:7" ht="15" hidden="1" outlineLevel="2">
      <c r="B569" s="2889" t="s">
        <v>1633</v>
      </c>
      <c r="C569" s="2889" t="s">
        <v>1531</v>
      </c>
      <c r="D569" s="2889" t="s">
        <v>1106</v>
      </c>
      <c r="E569" s="2889" t="s">
        <v>217</v>
      </c>
      <c r="F569" s="2890">
        <v>6.1346850047686556E-5</v>
      </c>
      <c r="G569" s="2890">
        <v>2.7501673323810746E-2</v>
      </c>
    </row>
    <row r="570" spans="2:7" ht="15" hidden="1" outlineLevel="2">
      <c r="B570" s="2889" t="s">
        <v>1634</v>
      </c>
      <c r="C570" s="2889" t="s">
        <v>1531</v>
      </c>
      <c r="D570" s="2889" t="s">
        <v>1106</v>
      </c>
      <c r="E570" s="2889" t="s">
        <v>217</v>
      </c>
      <c r="F570" s="2890">
        <v>1.4865024286129597E-4</v>
      </c>
      <c r="G570" s="2890">
        <v>6.6634131361934579E-2</v>
      </c>
    </row>
    <row r="571" spans="2:7" ht="15" hidden="1" outlineLevel="2">
      <c r="B571" s="2889" t="s">
        <v>1635</v>
      </c>
      <c r="C571" s="2889" t="s">
        <v>1531</v>
      </c>
      <c r="D571" s="2889" t="s">
        <v>1106</v>
      </c>
      <c r="E571" s="2889" t="s">
        <v>217</v>
      </c>
      <c r="F571" s="2890">
        <v>3.1952613788030325E-4</v>
      </c>
      <c r="G571" s="2890">
        <v>0.14324283840768842</v>
      </c>
    </row>
    <row r="572" spans="2:7" ht="15" hidden="1" outlineLevel="2">
      <c r="B572" s="2889" t="s">
        <v>1636</v>
      </c>
      <c r="C572" s="2889" t="s">
        <v>1531</v>
      </c>
      <c r="D572" s="2889" t="s">
        <v>1106</v>
      </c>
      <c r="E572" s="2889" t="s">
        <v>217</v>
      </c>
      <c r="F572" s="2890">
        <v>2.9141993244393322E-4</v>
      </c>
      <c r="G572" s="2890">
        <v>0.13064309690123208</v>
      </c>
    </row>
    <row r="573" spans="2:7" ht="15" hidden="1" outlineLevel="2">
      <c r="B573" s="2889" t="s">
        <v>1637</v>
      </c>
      <c r="C573" s="2889" t="s">
        <v>1531</v>
      </c>
      <c r="D573" s="2889" t="s">
        <v>1106</v>
      </c>
      <c r="E573" s="2889" t="s">
        <v>217</v>
      </c>
      <c r="F573" s="2890">
        <v>1.0129882113497628E-4</v>
      </c>
      <c r="G573" s="2890">
        <v>4.5412127678293696E-2</v>
      </c>
    </row>
    <row r="574" spans="2:7" ht="15" hidden="1" outlineLevel="2">
      <c r="B574" s="2889" t="s">
        <v>1638</v>
      </c>
      <c r="C574" s="2889" t="s">
        <v>1531</v>
      </c>
      <c r="D574" s="2889" t="s">
        <v>1106</v>
      </c>
      <c r="E574" s="2889" t="s">
        <v>217</v>
      </c>
      <c r="F574" s="2890">
        <v>2.1039844666956932E-4</v>
      </c>
      <c r="G574" s="2890">
        <v>9.4314264080385332E-2</v>
      </c>
    </row>
    <row r="575" spans="2:7" ht="15" hidden="1" outlineLevel="2">
      <c r="B575" s="2889" t="s">
        <v>1639</v>
      </c>
      <c r="C575" s="2889" t="s">
        <v>1531</v>
      </c>
      <c r="D575" s="2889" t="s">
        <v>1106</v>
      </c>
      <c r="E575" s="2889" t="s">
        <v>217</v>
      </c>
      <c r="F575" s="2890">
        <v>7.7318718026721852E-4</v>
      </c>
      <c r="G575" s="2890">
        <v>0.34661795878326984</v>
      </c>
    </row>
    <row r="576" spans="2:7" ht="15" hidden="1" outlineLevel="2">
      <c r="B576" s="2889" t="s">
        <v>1640</v>
      </c>
      <c r="C576" s="2889" t="s">
        <v>1531</v>
      </c>
      <c r="D576" s="2889" t="s">
        <v>1106</v>
      </c>
      <c r="E576" s="2889" t="s">
        <v>217</v>
      </c>
      <c r="F576" s="2890">
        <v>7.5991805414344333E-5</v>
      </c>
      <c r="G576" s="2890">
        <v>3.4064119873605872E-2</v>
      </c>
    </row>
    <row r="577" spans="2:7" ht="15" hidden="1" outlineLevel="2">
      <c r="B577" s="2889" t="s">
        <v>1641</v>
      </c>
      <c r="C577" s="2889" t="s">
        <v>1531</v>
      </c>
      <c r="D577" s="2889" t="s">
        <v>1106</v>
      </c>
      <c r="E577" s="2889" t="s">
        <v>217</v>
      </c>
      <c r="F577" s="2890">
        <v>5.1599826808181363E-4</v>
      </c>
      <c r="G577" s="2890">
        <v>0.23132099884656371</v>
      </c>
    </row>
    <row r="578" spans="2:7" ht="15" hidden="1" outlineLevel="2">
      <c r="B578" s="2889" t="s">
        <v>1642</v>
      </c>
      <c r="C578" s="2889" t="s">
        <v>1531</v>
      </c>
      <c r="D578" s="2889" t="s">
        <v>1106</v>
      </c>
      <c r="E578" s="2889" t="s">
        <v>217</v>
      </c>
      <c r="F578" s="2890">
        <v>7.008046113384823E-4</v>
      </c>
      <c r="G578" s="2890">
        <v>0.31416926062522321</v>
      </c>
    </row>
    <row r="579" spans="2:7" ht="15" hidden="1" outlineLevel="2">
      <c r="B579" s="2889" t="s">
        <v>1643</v>
      </c>
      <c r="C579" s="2889" t="s">
        <v>1531</v>
      </c>
      <c r="D579" s="2889" t="s">
        <v>1106</v>
      </c>
      <c r="E579" s="2889" t="s">
        <v>217</v>
      </c>
      <c r="F579" s="3039">
        <v>9.4294813407152955E-5</v>
      </c>
      <c r="G579" s="2890">
        <v>4.2273672547016625E-2</v>
      </c>
    </row>
    <row r="580" spans="2:7" ht="15" hidden="1" outlineLevel="2">
      <c r="B580" s="2889" t="s">
        <v>1644</v>
      </c>
      <c r="C580" s="2889" t="s">
        <v>1531</v>
      </c>
      <c r="D580" s="2889" t="s">
        <v>1106</v>
      </c>
      <c r="E580" s="2889" t="s">
        <v>217</v>
      </c>
      <c r="F580" s="3039">
        <v>1.2971569028998905E-3</v>
      </c>
      <c r="G580" s="2890">
        <v>0.58151257957200941</v>
      </c>
    </row>
    <row r="581" spans="2:7" ht="15" hidden="1" outlineLevel="2">
      <c r="B581" s="2889" t="s">
        <v>1645</v>
      </c>
      <c r="C581" s="2889" t="s">
        <v>1531</v>
      </c>
      <c r="D581" s="2889" t="s">
        <v>1106</v>
      </c>
      <c r="E581" s="2889" t="s">
        <v>217</v>
      </c>
      <c r="F581" s="3039">
        <v>9.5240740220013784E-4</v>
      </c>
      <c r="G581" s="2890">
        <v>0.42696200896341263</v>
      </c>
    </row>
    <row r="582" spans="2:7" ht="15" hidden="1" outlineLevel="2">
      <c r="B582" s="2889" t="s">
        <v>1646</v>
      </c>
      <c r="C582" s="2889" t="s">
        <v>1531</v>
      </c>
      <c r="D582" s="2889" t="s">
        <v>1106</v>
      </c>
      <c r="E582" s="2889" t="s">
        <v>217</v>
      </c>
      <c r="F582" s="3039">
        <v>7.8012321424761737E-5</v>
      </c>
      <c r="G582" s="2890">
        <v>3.4972755859109285E-2</v>
      </c>
    </row>
    <row r="583" spans="2:7" ht="15" hidden="1" outlineLevel="2">
      <c r="B583" s="2889" t="s">
        <v>1647</v>
      </c>
      <c r="C583" s="2889" t="s">
        <v>1531</v>
      </c>
      <c r="D583" s="2889" t="s">
        <v>1106</v>
      </c>
      <c r="E583" s="2889" t="s">
        <v>217</v>
      </c>
      <c r="F583" s="3039">
        <v>4.202745823716649E-5</v>
      </c>
      <c r="G583" s="2890">
        <v>1.8839266483879787E-2</v>
      </c>
    </row>
    <row r="584" spans="2:7" ht="15" hidden="1" outlineLevel="2">
      <c r="B584" s="2889" t="s">
        <v>1648</v>
      </c>
      <c r="C584" s="2889" t="s">
        <v>1531</v>
      </c>
      <c r="D584" s="2889" t="s">
        <v>1106</v>
      </c>
      <c r="E584" s="2889" t="s">
        <v>217</v>
      </c>
      <c r="F584" s="3039">
        <v>2.8603902772108954E-5</v>
      </c>
      <c r="G584" s="2890">
        <v>1.282199683588911E-2</v>
      </c>
    </row>
    <row r="585" spans="2:7" ht="15" hidden="1" outlineLevel="2">
      <c r="B585" s="2889" t="s">
        <v>1649</v>
      </c>
      <c r="C585" s="2889" t="s">
        <v>1531</v>
      </c>
      <c r="D585" s="2889" t="s">
        <v>1106</v>
      </c>
      <c r="E585" s="2889" t="s">
        <v>217</v>
      </c>
      <c r="F585" s="3039">
        <v>2.009930927633888E-4</v>
      </c>
      <c r="G585" s="2890">
        <v>9.0097208850078284E-2</v>
      </c>
    </row>
    <row r="586" spans="2:7" ht="15" hidden="1" outlineLevel="2">
      <c r="B586" s="2889" t="s">
        <v>1650</v>
      </c>
      <c r="C586" s="2889" t="s">
        <v>1531</v>
      </c>
      <c r="D586" s="2889" t="s">
        <v>1106</v>
      </c>
      <c r="E586" s="2889" t="s">
        <v>217</v>
      </c>
      <c r="F586" s="2890">
        <v>7.2162953190603809E-4</v>
      </c>
      <c r="G586" s="2890">
        <v>0.32347773525774393</v>
      </c>
    </row>
    <row r="587" spans="2:7" ht="15" hidden="1" outlineLevel="2">
      <c r="B587" s="2889" t="s">
        <v>1651</v>
      </c>
      <c r="C587" s="2889" t="s">
        <v>1531</v>
      </c>
      <c r="D587" s="2889" t="s">
        <v>1106</v>
      </c>
      <c r="E587" s="2889" t="s">
        <v>217</v>
      </c>
      <c r="F587" s="2890">
        <v>3.6468844974520359E-4</v>
      </c>
      <c r="G587" s="2890">
        <v>0.16347537255280076</v>
      </c>
    </row>
    <row r="588" spans="2:7" ht="15" hidden="1" outlineLevel="2">
      <c r="B588" s="2889" t="s">
        <v>1652</v>
      </c>
      <c r="C588" s="2889" t="s">
        <v>1531</v>
      </c>
      <c r="D588" s="2889" t="s">
        <v>1106</v>
      </c>
      <c r="E588" s="2889" t="s">
        <v>217</v>
      </c>
      <c r="F588" s="2890">
        <v>9.5406267830208154E-5</v>
      </c>
      <c r="G588" s="2890">
        <v>4.2766881657676108E-2</v>
      </c>
    </row>
    <row r="589" spans="2:7" ht="15" hidden="1" outlineLevel="2">
      <c r="B589" s="2889" t="s">
        <v>1653</v>
      </c>
      <c r="C589" s="2889" t="s">
        <v>1531</v>
      </c>
      <c r="D589" s="2889" t="s">
        <v>1106</v>
      </c>
      <c r="E589" s="2889" t="s">
        <v>217</v>
      </c>
      <c r="F589" s="2890">
        <v>1.7394672191487757E-3</v>
      </c>
      <c r="G589" s="2890">
        <v>0.7797989467711457</v>
      </c>
    </row>
    <row r="590" spans="2:7" ht="15" hidden="1" outlineLevel="2">
      <c r="B590" s="2889" t="s">
        <v>1407</v>
      </c>
      <c r="C590" s="2889" t="s">
        <v>1532</v>
      </c>
      <c r="D590" s="2889" t="s">
        <v>1106</v>
      </c>
      <c r="E590" s="2889" t="s">
        <v>217</v>
      </c>
      <c r="F590" s="2890">
        <v>2.328732541675699E-5</v>
      </c>
      <c r="G590" s="2890">
        <v>1.0438782064317333E-2</v>
      </c>
    </row>
    <row r="591" spans="2:7" ht="15" hidden="1" outlineLevel="2">
      <c r="B591" s="2889" t="s">
        <v>1631</v>
      </c>
      <c r="C591" s="2889" t="s">
        <v>1532</v>
      </c>
      <c r="D591" s="2889" t="s">
        <v>1106</v>
      </c>
      <c r="E591" s="2889" t="s">
        <v>217</v>
      </c>
      <c r="F591" s="2890">
        <v>9.8830367406113658E-5</v>
      </c>
      <c r="G591" s="2890">
        <v>4.4231227617380207E-2</v>
      </c>
    </row>
    <row r="592" spans="2:7" ht="15" hidden="1" outlineLevel="2">
      <c r="B592" s="2889" t="s">
        <v>1632</v>
      </c>
      <c r="C592" s="2889" t="s">
        <v>1532</v>
      </c>
      <c r="D592" s="2889" t="s">
        <v>1106</v>
      </c>
      <c r="E592" s="2889" t="s">
        <v>217</v>
      </c>
      <c r="F592" s="2890">
        <v>1.805645031727217E-4</v>
      </c>
      <c r="G592" s="2890">
        <v>8.0946620552983115E-2</v>
      </c>
    </row>
    <row r="593" spans="2:7" ht="15" hidden="1" outlineLevel="2">
      <c r="B593" s="2889" t="s">
        <v>1633</v>
      </c>
      <c r="C593" s="2889" t="s">
        <v>1532</v>
      </c>
      <c r="D593" s="2889" t="s">
        <v>1106</v>
      </c>
      <c r="E593" s="2889" t="s">
        <v>217</v>
      </c>
      <c r="F593" s="2890">
        <v>4.8316047927810178E-6</v>
      </c>
      <c r="G593" s="2890">
        <v>2.1660002942862949E-3</v>
      </c>
    </row>
    <row r="594" spans="2:7" ht="15" hidden="1" outlineLevel="2">
      <c r="B594" s="2889" t="s">
        <v>1634</v>
      </c>
      <c r="C594" s="2889" t="s">
        <v>1532</v>
      </c>
      <c r="D594" s="2889" t="s">
        <v>1106</v>
      </c>
      <c r="E594" s="2889" t="s">
        <v>217</v>
      </c>
      <c r="F594" s="2890">
        <v>1.1707517905293312E-5</v>
      </c>
      <c r="G594" s="2890">
        <v>5.2480201418053747E-3</v>
      </c>
    </row>
    <row r="595" spans="2:7" ht="15" hidden="1" outlineLevel="2">
      <c r="B595" s="2889" t="s">
        <v>1635</v>
      </c>
      <c r="C595" s="2889" t="s">
        <v>1532</v>
      </c>
      <c r="D595" s="2889" t="s">
        <v>1106</v>
      </c>
      <c r="E595" s="2889" t="s">
        <v>217</v>
      </c>
      <c r="F595" s="2890">
        <v>2.516550530658934E-5</v>
      </c>
      <c r="G595" s="2890">
        <v>1.1281659688983885E-2</v>
      </c>
    </row>
    <row r="596" spans="2:7" ht="15" hidden="1" outlineLevel="2">
      <c r="B596" s="2889" t="s">
        <v>1636</v>
      </c>
      <c r="C596" s="2889" t="s">
        <v>1532</v>
      </c>
      <c r="D596" s="2889" t="s">
        <v>1106</v>
      </c>
      <c r="E596" s="2889" t="s">
        <v>217</v>
      </c>
      <c r="F596" s="2890">
        <v>2.295190420456418E-5</v>
      </c>
      <c r="G596" s="2890">
        <v>1.0289286452678259E-2</v>
      </c>
    </row>
    <row r="597" spans="2:7" ht="15" hidden="1" outlineLevel="2">
      <c r="B597" s="2889" t="s">
        <v>1637</v>
      </c>
      <c r="C597" s="2889" t="s">
        <v>1532</v>
      </c>
      <c r="D597" s="2889" t="s">
        <v>1106</v>
      </c>
      <c r="E597" s="2889" t="s">
        <v>217</v>
      </c>
      <c r="F597" s="2890">
        <v>7.9781764293924906E-6</v>
      </c>
      <c r="G597" s="2890">
        <v>3.5766031174506111E-3</v>
      </c>
    </row>
    <row r="598" spans="2:7" ht="15" hidden="1" outlineLevel="2">
      <c r="B598" s="2889" t="s">
        <v>1638</v>
      </c>
      <c r="C598" s="2889" t="s">
        <v>1532</v>
      </c>
      <c r="D598" s="2889" t="s">
        <v>1106</v>
      </c>
      <c r="E598" s="2889" t="s">
        <v>217</v>
      </c>
      <c r="F598" s="2890">
        <v>1.6570740832769542E-5</v>
      </c>
      <c r="G598" s="2890">
        <v>7.4280665505126421E-3</v>
      </c>
    </row>
    <row r="599" spans="2:7" ht="15" hidden="1" outlineLevel="2">
      <c r="B599" s="2889" t="s">
        <v>1639</v>
      </c>
      <c r="C599" s="2889" t="s">
        <v>1532</v>
      </c>
      <c r="D599" s="2889" t="s">
        <v>1106</v>
      </c>
      <c r="E599" s="2889" t="s">
        <v>217</v>
      </c>
      <c r="F599" s="2890">
        <v>6.0895253519162761E-5</v>
      </c>
      <c r="G599" s="2890">
        <v>2.7299226367133687E-2</v>
      </c>
    </row>
    <row r="600" spans="2:7" ht="15" hidden="1" outlineLevel="2">
      <c r="B600" s="2889" t="s">
        <v>1640</v>
      </c>
      <c r="C600" s="2889" t="s">
        <v>1532</v>
      </c>
      <c r="D600" s="2889" t="s">
        <v>1106</v>
      </c>
      <c r="E600" s="2889" t="s">
        <v>217</v>
      </c>
      <c r="F600" s="2890">
        <v>5.9850298343740954E-6</v>
      </c>
      <c r="G600" s="2890">
        <v>2.6828521999823812E-3</v>
      </c>
    </row>
    <row r="601" spans="2:7" ht="15" hidden="1" outlineLevel="2">
      <c r="B601" s="2889" t="s">
        <v>1641</v>
      </c>
      <c r="C601" s="2889" t="s">
        <v>1532</v>
      </c>
      <c r="D601" s="2889" t="s">
        <v>1106</v>
      </c>
      <c r="E601" s="2889" t="s">
        <v>217</v>
      </c>
      <c r="F601" s="2890">
        <v>4.0639423225723539E-5</v>
      </c>
      <c r="G601" s="2890">
        <v>1.8218558563448183E-2</v>
      </c>
    </row>
    <row r="602" spans="2:7" ht="15" hidden="1" outlineLevel="2">
      <c r="B602" s="2889" t="s">
        <v>1642</v>
      </c>
      <c r="C602" s="2889" t="s">
        <v>1532</v>
      </c>
      <c r="D602" s="2889" t="s">
        <v>1106</v>
      </c>
      <c r="E602" s="2889" t="s">
        <v>217</v>
      </c>
      <c r="F602" s="2890">
        <v>5.5194558954797426E-5</v>
      </c>
      <c r="G602" s="2890">
        <v>2.4743603882306793E-2</v>
      </c>
    </row>
    <row r="603" spans="2:7" ht="15" hidden="1" outlineLevel="2">
      <c r="B603" s="2889" t="s">
        <v>1643</v>
      </c>
      <c r="C603" s="2889" t="s">
        <v>1532</v>
      </c>
      <c r="D603" s="2889" t="s">
        <v>1106</v>
      </c>
      <c r="E603" s="2889" t="s">
        <v>217</v>
      </c>
      <c r="F603" s="2890">
        <v>7.4265512427321364E-6</v>
      </c>
      <c r="G603" s="2890">
        <v>3.3294268505499333E-3</v>
      </c>
    </row>
    <row r="604" spans="2:7" ht="15" hidden="1" outlineLevel="2">
      <c r="B604" s="2889" t="s">
        <v>1644</v>
      </c>
      <c r="C604" s="2889" t="s">
        <v>1532</v>
      </c>
      <c r="D604" s="2889" t="s">
        <v>1106</v>
      </c>
      <c r="E604" s="2889" t="s">
        <v>217</v>
      </c>
      <c r="F604" s="2890">
        <v>1.0216266790839285E-4</v>
      </c>
      <c r="G604" s="2890">
        <v>4.5799177590048368E-2</v>
      </c>
    </row>
    <row r="605" spans="2:7" ht="15" hidden="1" outlineLevel="2">
      <c r="B605" s="2889" t="s">
        <v>1645</v>
      </c>
      <c r="C605" s="2889" t="s">
        <v>1532</v>
      </c>
      <c r="D605" s="2889" t="s">
        <v>1106</v>
      </c>
      <c r="E605" s="2889" t="s">
        <v>217</v>
      </c>
      <c r="F605" s="2890">
        <v>7.501047641007647E-5</v>
      </c>
      <c r="G605" s="2890">
        <v>3.3627050195433543E-2</v>
      </c>
    </row>
    <row r="606" spans="2:7" ht="15" hidden="1" outlineLevel="2">
      <c r="B606" s="2889" t="s">
        <v>1646</v>
      </c>
      <c r="C606" s="2889" t="s">
        <v>1532</v>
      </c>
      <c r="D606" s="2889" t="s">
        <v>1106</v>
      </c>
      <c r="E606" s="2889" t="s">
        <v>217</v>
      </c>
      <c r="F606" s="2890">
        <v>6.1441517122064699E-6</v>
      </c>
      <c r="G606" s="2890">
        <v>2.7544153879955108E-3</v>
      </c>
    </row>
    <row r="607" spans="2:7" ht="15" hidden="1" outlineLevel="2">
      <c r="B607" s="2889" t="s">
        <v>1647</v>
      </c>
      <c r="C607" s="2889" t="s">
        <v>1532</v>
      </c>
      <c r="D607" s="2889" t="s">
        <v>1106</v>
      </c>
      <c r="E607" s="2889" t="s">
        <v>217</v>
      </c>
      <c r="F607" s="2890">
        <v>3.3100339477851717E-6</v>
      </c>
      <c r="G607" s="2890">
        <v>1.483757495083494E-3</v>
      </c>
    </row>
    <row r="608" spans="2:7" ht="15" hidden="1" outlineLevel="2">
      <c r="B608" s="2889" t="s">
        <v>1648</v>
      </c>
      <c r="C608" s="2889" t="s">
        <v>1532</v>
      </c>
      <c r="D608" s="2889" t="s">
        <v>1106</v>
      </c>
      <c r="E608" s="2889" t="s">
        <v>217</v>
      </c>
      <c r="F608" s="2890">
        <v>2.2528096334564419E-6</v>
      </c>
      <c r="G608" s="2890">
        <v>1.0098462376720661E-3</v>
      </c>
    </row>
    <row r="609" spans="2:7" ht="15" hidden="1" outlineLevel="2">
      <c r="B609" s="2889" t="s">
        <v>1649</v>
      </c>
      <c r="C609" s="2889" t="s">
        <v>1532</v>
      </c>
      <c r="D609" s="2889" t="s">
        <v>1106</v>
      </c>
      <c r="E609" s="2889" t="s">
        <v>217</v>
      </c>
      <c r="F609" s="2890">
        <v>1.5829984617546432E-5</v>
      </c>
      <c r="G609" s="2890">
        <v>7.0959546991590265E-3</v>
      </c>
    </row>
    <row r="610" spans="2:7" ht="15" hidden="1" outlineLevel="2">
      <c r="B610" s="2889" t="s">
        <v>1650</v>
      </c>
      <c r="C610" s="2889" t="s">
        <v>1532</v>
      </c>
      <c r="D610" s="2889" t="s">
        <v>1106</v>
      </c>
      <c r="E610" s="2889" t="s">
        <v>217</v>
      </c>
      <c r="F610" s="2890">
        <v>5.6834660149819471E-5</v>
      </c>
      <c r="G610" s="2890">
        <v>2.5476726787329859E-2</v>
      </c>
    </row>
    <row r="611" spans="2:7" ht="15" hidden="1" outlineLevel="2">
      <c r="B611" s="2889" t="s">
        <v>1651</v>
      </c>
      <c r="C611" s="2889" t="s">
        <v>1532</v>
      </c>
      <c r="D611" s="2889" t="s">
        <v>1106</v>
      </c>
      <c r="E611" s="2889" t="s">
        <v>217</v>
      </c>
      <c r="F611" s="2890">
        <v>2.8722448153366881E-5</v>
      </c>
      <c r="G611" s="2890">
        <v>1.2875125628862255E-2</v>
      </c>
    </row>
    <row r="612" spans="2:7" ht="15" hidden="1" outlineLevel="2">
      <c r="B612" s="2889" t="s">
        <v>1652</v>
      </c>
      <c r="C612" s="2889" t="s">
        <v>1532</v>
      </c>
      <c r="D612" s="2889" t="s">
        <v>1106</v>
      </c>
      <c r="E612" s="2889" t="s">
        <v>217</v>
      </c>
      <c r="F612" s="2890">
        <v>7.5140986644624995E-6</v>
      </c>
      <c r="G612" s="2890">
        <v>3.3682723072808152E-3</v>
      </c>
    </row>
    <row r="613" spans="2:7" ht="15" hidden="1" outlineLevel="2">
      <c r="B613" s="2889" t="s">
        <v>1653</v>
      </c>
      <c r="C613" s="2889" t="s">
        <v>1532</v>
      </c>
      <c r="D613" s="2889" t="s">
        <v>1106</v>
      </c>
      <c r="E613" s="2889" t="s">
        <v>217</v>
      </c>
      <c r="F613" s="2890">
        <v>1.3699847396112964E-4</v>
      </c>
      <c r="G613" s="2890">
        <v>6.1416036487596908E-2</v>
      </c>
    </row>
    <row r="614" spans="2:7" ht="15" hidden="1" outlineLevel="2">
      <c r="B614" s="2889" t="s">
        <v>1407</v>
      </c>
      <c r="C614" s="2889" t="s">
        <v>1558</v>
      </c>
      <c r="D614" s="2889" t="s">
        <v>1559</v>
      </c>
      <c r="E614" s="2889" t="s">
        <v>217</v>
      </c>
      <c r="F614" s="2890">
        <v>6.0088696429767266E-3</v>
      </c>
      <c r="G614" s="2890">
        <v>3.2911559318039401</v>
      </c>
    </row>
    <row r="615" spans="2:7" ht="15" hidden="1" outlineLevel="2">
      <c r="B615" s="2889" t="s">
        <v>1631</v>
      </c>
      <c r="C615" s="2889" t="s">
        <v>1558</v>
      </c>
      <c r="D615" s="2889" t="s">
        <v>1559</v>
      </c>
      <c r="E615" s="2889" t="s">
        <v>217</v>
      </c>
      <c r="F615" s="2890">
        <v>3.5456564283758381E-2</v>
      </c>
      <c r="G615" s="2890">
        <v>19.391720429346382</v>
      </c>
    </row>
    <row r="616" spans="2:7" ht="15" hidden="1" outlineLevel="2">
      <c r="B616" s="2889" t="s">
        <v>1632</v>
      </c>
      <c r="C616" s="2889" t="s">
        <v>1558</v>
      </c>
      <c r="D616" s="2889" t="s">
        <v>1559</v>
      </c>
      <c r="E616" s="2889" t="s">
        <v>217</v>
      </c>
      <c r="F616" s="2890">
        <v>5.8668646980978123E-2</v>
      </c>
      <c r="G616" s="2890">
        <v>32.130000750932687</v>
      </c>
    </row>
    <row r="617" spans="2:7" ht="15" hidden="1" outlineLevel="2">
      <c r="B617" s="2889" t="s">
        <v>1633</v>
      </c>
      <c r="C617" s="2889" t="s">
        <v>1558</v>
      </c>
      <c r="D617" s="2889" t="s">
        <v>1559</v>
      </c>
      <c r="E617" s="2889" t="s">
        <v>217</v>
      </c>
      <c r="F617" s="2890">
        <v>5.4150640348428463E-3</v>
      </c>
      <c r="G617" s="2890">
        <v>2.9655682503632166</v>
      </c>
    </row>
    <row r="618" spans="2:7" ht="15" hidden="1" outlineLevel="2">
      <c r="B618" s="2889" t="s">
        <v>1634</v>
      </c>
      <c r="C618" s="2889" t="s">
        <v>1558</v>
      </c>
      <c r="D618" s="2889" t="s">
        <v>1559</v>
      </c>
      <c r="E618" s="2889" t="s">
        <v>217</v>
      </c>
      <c r="F618" s="3039">
        <v>2.2567290366958905E-3</v>
      </c>
      <c r="G618" s="2890">
        <v>1.2360479283794858</v>
      </c>
    </row>
    <row r="619" spans="2:7" ht="15" hidden="1" outlineLevel="2">
      <c r="B619" s="2889" t="s">
        <v>1635</v>
      </c>
      <c r="C619" s="2889" t="s">
        <v>1558</v>
      </c>
      <c r="D619" s="2889" t="s">
        <v>1559</v>
      </c>
      <c r="E619" s="2889" t="s">
        <v>217</v>
      </c>
      <c r="F619" s="3039">
        <v>1.0461197538878367E-2</v>
      </c>
      <c r="G619" s="2890">
        <v>5.7290887584085777</v>
      </c>
    </row>
    <row r="620" spans="2:7" ht="15" hidden="1" outlineLevel="2">
      <c r="B620" s="2889" t="s">
        <v>1636</v>
      </c>
      <c r="C620" s="2889" t="s">
        <v>1558</v>
      </c>
      <c r="D620" s="2889" t="s">
        <v>1559</v>
      </c>
      <c r="E620" s="2889" t="s">
        <v>217</v>
      </c>
      <c r="F620" s="3039">
        <v>6.6375895025229965E-3</v>
      </c>
      <c r="G620" s="2890">
        <v>3.6350869764318228</v>
      </c>
    </row>
    <row r="621" spans="2:7" ht="15" hidden="1" outlineLevel="2">
      <c r="B621" s="2889" t="s">
        <v>1637</v>
      </c>
      <c r="C621" s="2889" t="s">
        <v>1558</v>
      </c>
      <c r="D621" s="2889" t="s">
        <v>1559</v>
      </c>
      <c r="E621" s="2889" t="s">
        <v>217</v>
      </c>
      <c r="F621" s="3039">
        <v>8.5768072969746294E-3</v>
      </c>
      <c r="G621" s="2890">
        <v>4.6971017599245304</v>
      </c>
    </row>
    <row r="622" spans="2:7" ht="15" hidden="1" outlineLevel="2">
      <c r="B622" s="2889" t="s">
        <v>1638</v>
      </c>
      <c r="C622" s="2889" t="s">
        <v>1558</v>
      </c>
      <c r="D622" s="2889" t="s">
        <v>1559</v>
      </c>
      <c r="E622" s="2889" t="s">
        <v>217</v>
      </c>
      <c r="F622" s="3039">
        <v>2.7119016322127614E-3</v>
      </c>
      <c r="G622" s="2890">
        <v>1.4853531006150751</v>
      </c>
    </row>
    <row r="623" spans="2:7" ht="15" hidden="1" outlineLevel="2">
      <c r="B623" s="2889" t="s">
        <v>1639</v>
      </c>
      <c r="C623" s="2889" t="s">
        <v>1558</v>
      </c>
      <c r="D623" s="2889" t="s">
        <v>1559</v>
      </c>
      <c r="E623" s="2889" t="s">
        <v>217</v>
      </c>
      <c r="F623" s="3039">
        <v>1.4336148526013288E-2</v>
      </c>
      <c r="G623" s="2890">
        <v>7.8512138076507441</v>
      </c>
    </row>
    <row r="624" spans="2:7" ht="15" hidden="1" outlineLevel="2">
      <c r="B624" s="2889" t="s">
        <v>1640</v>
      </c>
      <c r="C624" s="2889" t="s">
        <v>1558</v>
      </c>
      <c r="D624" s="2889" t="s">
        <v>1559</v>
      </c>
      <c r="E624" s="2889" t="s">
        <v>217</v>
      </c>
      <c r="F624" s="3039">
        <v>3.1499634864433552E-3</v>
      </c>
      <c r="G624" s="2890">
        <v>1.7252874328141172</v>
      </c>
    </row>
    <row r="625" spans="2:7" ht="15" hidden="1" outlineLevel="2">
      <c r="B625" s="2889" t="s">
        <v>1641</v>
      </c>
      <c r="C625" s="2889" t="s">
        <v>1558</v>
      </c>
      <c r="D625" s="2889" t="s">
        <v>1559</v>
      </c>
      <c r="E625" s="2889" t="s">
        <v>217</v>
      </c>
      <c r="F625" s="2890">
        <v>1.5952622606024133E-2</v>
      </c>
      <c r="G625" s="2890">
        <v>8.7364784624170646</v>
      </c>
    </row>
    <row r="626" spans="2:7" ht="15" hidden="1" outlineLevel="2">
      <c r="B626" s="2889" t="s">
        <v>1642</v>
      </c>
      <c r="C626" s="2889" t="s">
        <v>1558</v>
      </c>
      <c r="D626" s="2889" t="s">
        <v>1559</v>
      </c>
      <c r="E626" s="2889" t="s">
        <v>217</v>
      </c>
      <c r="F626" s="2890">
        <v>1.7781257262262956E-2</v>
      </c>
      <c r="G626" s="2890">
        <v>9.7379299973697879</v>
      </c>
    </row>
    <row r="627" spans="2:7" ht="15" hidden="1" outlineLevel="2">
      <c r="B627" s="2889" t="s">
        <v>1643</v>
      </c>
      <c r="C627" s="2889" t="s">
        <v>1558</v>
      </c>
      <c r="D627" s="2889" t="s">
        <v>1559</v>
      </c>
      <c r="E627" s="2889" t="s">
        <v>217</v>
      </c>
      <c r="F627" s="2890">
        <v>2.827961264527775E-3</v>
      </c>
      <c r="G627" s="2890">
        <v>1.5487841462509917</v>
      </c>
    </row>
    <row r="628" spans="2:7" ht="15" hidden="1" outlineLevel="2">
      <c r="B628" s="2889" t="s">
        <v>1644</v>
      </c>
      <c r="C628" s="2889" t="s">
        <v>1558</v>
      </c>
      <c r="D628" s="2889" t="s">
        <v>1559</v>
      </c>
      <c r="E628" s="2889" t="s">
        <v>217</v>
      </c>
      <c r="F628" s="3039">
        <v>6.3500289116457387E-2</v>
      </c>
      <c r="G628" s="2890">
        <v>34.776028469762615</v>
      </c>
    </row>
    <row r="629" spans="2:7" ht="15" hidden="1" outlineLevel="2">
      <c r="B629" s="2889" t="s">
        <v>1645</v>
      </c>
      <c r="C629" s="2889" t="s">
        <v>1558</v>
      </c>
      <c r="D629" s="2889" t="s">
        <v>1559</v>
      </c>
      <c r="E629" s="2889" t="s">
        <v>217</v>
      </c>
      <c r="F629" s="2890">
        <v>5.6844270044687534E-2</v>
      </c>
      <c r="G629" s="2890">
        <v>31.130852625913001</v>
      </c>
    </row>
    <row r="630" spans="2:7" ht="15" hidden="1" outlineLevel="2">
      <c r="B630" s="2889" t="s">
        <v>1646</v>
      </c>
      <c r="C630" s="2889" t="s">
        <v>1558</v>
      </c>
      <c r="D630" s="2889" t="s">
        <v>1559</v>
      </c>
      <c r="E630" s="2889" t="s">
        <v>217</v>
      </c>
      <c r="F630" s="2890">
        <v>3.2279893987211877E-3</v>
      </c>
      <c r="G630" s="2890">
        <v>1.7678116442371403</v>
      </c>
    </row>
    <row r="631" spans="2:7" ht="15" hidden="1" outlineLevel="2">
      <c r="B631" s="2889" t="s">
        <v>1647</v>
      </c>
      <c r="C631" s="2889" t="s">
        <v>1558</v>
      </c>
      <c r="D631" s="2889" t="s">
        <v>1559</v>
      </c>
      <c r="E631" s="2889" t="s">
        <v>217</v>
      </c>
      <c r="F631" s="3039">
        <v>6.5939301665821938E-3</v>
      </c>
      <c r="G631" s="2890">
        <v>3.6116065970859323</v>
      </c>
    </row>
    <row r="632" spans="2:7" ht="15" hidden="1" outlineLevel="2">
      <c r="B632" s="2889" t="s">
        <v>1648</v>
      </c>
      <c r="C632" s="2889" t="s">
        <v>1558</v>
      </c>
      <c r="D632" s="2889" t="s">
        <v>1559</v>
      </c>
      <c r="E632" s="2889" t="s">
        <v>217</v>
      </c>
      <c r="F632" s="2890">
        <v>1.8499438600123425E-3</v>
      </c>
      <c r="G632" s="2890">
        <v>1.0132441052801653</v>
      </c>
    </row>
    <row r="633" spans="2:7" ht="15" hidden="1" outlineLevel="2">
      <c r="B633" s="2889" t="s">
        <v>1649</v>
      </c>
      <c r="C633" s="2889" t="s">
        <v>1558</v>
      </c>
      <c r="D633" s="2889" t="s">
        <v>1559</v>
      </c>
      <c r="E633" s="2889" t="s">
        <v>217</v>
      </c>
      <c r="F633" s="2890">
        <v>3.1418683042425729E-3</v>
      </c>
      <c r="G633" s="2890">
        <v>1.7208536809031674</v>
      </c>
    </row>
    <row r="634" spans="2:7" ht="15" hidden="1" outlineLevel="2">
      <c r="B634" s="2889" t="s">
        <v>1650</v>
      </c>
      <c r="C634" s="2889" t="s">
        <v>1558</v>
      </c>
      <c r="D634" s="2889" t="s">
        <v>1559</v>
      </c>
      <c r="E634" s="2889" t="s">
        <v>217</v>
      </c>
      <c r="F634" s="2890">
        <v>9.9836221055874183E-3</v>
      </c>
      <c r="G634" s="2890">
        <v>5.4681965961827981</v>
      </c>
    </row>
    <row r="635" spans="2:7" ht="15" hidden="1" outlineLevel="2">
      <c r="B635" s="2889" t="s">
        <v>1651</v>
      </c>
      <c r="C635" s="2889" t="s">
        <v>1558</v>
      </c>
      <c r="D635" s="2889" t="s">
        <v>1559</v>
      </c>
      <c r="E635" s="2889" t="s">
        <v>217</v>
      </c>
      <c r="F635" s="3039">
        <v>6.5519837354494348E-3</v>
      </c>
      <c r="G635" s="2890">
        <v>3.5886286845693411</v>
      </c>
    </row>
    <row r="636" spans="2:7" ht="15" hidden="1" outlineLevel="2">
      <c r="B636" s="2889" t="s">
        <v>1652</v>
      </c>
      <c r="C636" s="2889" t="s">
        <v>1558</v>
      </c>
      <c r="D636" s="2889" t="s">
        <v>1559</v>
      </c>
      <c r="E636" s="2889" t="s">
        <v>217</v>
      </c>
      <c r="F636" s="3039">
        <v>8.8582073866051419E-3</v>
      </c>
      <c r="G636" s="2890">
        <v>4.8517806282116549</v>
      </c>
    </row>
    <row r="637" spans="2:7" ht="15" hidden="1" outlineLevel="2">
      <c r="B637" s="2889" t="s">
        <v>1653</v>
      </c>
      <c r="C637" s="2889" t="s">
        <v>1558</v>
      </c>
      <c r="D637" s="2889" t="s">
        <v>1559</v>
      </c>
      <c r="E637" s="2889" t="s">
        <v>217</v>
      </c>
      <c r="F637" s="3039">
        <v>5.4514246717802285E-2</v>
      </c>
      <c r="G637" s="2890">
        <v>29.85478901724743</v>
      </c>
    </row>
    <row r="638" spans="2:7" ht="15" hidden="1" outlineLevel="2">
      <c r="B638" s="2889" t="s">
        <v>1407</v>
      </c>
      <c r="C638" s="2889" t="s">
        <v>1560</v>
      </c>
      <c r="D638" s="2889" t="s">
        <v>1559</v>
      </c>
      <c r="E638" s="2889" t="s">
        <v>217</v>
      </c>
      <c r="F638" s="2890">
        <v>6.0660905659068141E-3</v>
      </c>
      <c r="G638" s="2890">
        <v>3.2740856396465974</v>
      </c>
    </row>
    <row r="639" spans="2:7" ht="15" hidden="1" outlineLevel="2">
      <c r="B639" s="2889" t="s">
        <v>1631</v>
      </c>
      <c r="C639" s="2889" t="s">
        <v>1560</v>
      </c>
      <c r="D639" s="2889" t="s">
        <v>1559</v>
      </c>
      <c r="E639" s="2889" t="s">
        <v>217</v>
      </c>
      <c r="F639" s="2890">
        <v>0.29111278070711355</v>
      </c>
      <c r="G639" s="2890">
        <v>156.89428795720096</v>
      </c>
    </row>
    <row r="640" spans="2:7" ht="15" hidden="1" outlineLevel="2">
      <c r="B640" s="2889" t="s">
        <v>1632</v>
      </c>
      <c r="C640" s="2889" t="s">
        <v>1560</v>
      </c>
      <c r="D640" s="2889" t="s">
        <v>1559</v>
      </c>
      <c r="E640" s="2889" t="s">
        <v>217</v>
      </c>
      <c r="F640" s="2890">
        <v>0.34944850716245723</v>
      </c>
      <c r="G640" s="2890">
        <v>188.58753859034374</v>
      </c>
    </row>
    <row r="641" spans="2:7" ht="15" hidden="1" outlineLevel="2">
      <c r="B641" s="2889" t="s">
        <v>1633</v>
      </c>
      <c r="C641" s="2889" t="s">
        <v>1560</v>
      </c>
      <c r="D641" s="2889" t="s">
        <v>1559</v>
      </c>
      <c r="E641" s="2889" t="s">
        <v>217</v>
      </c>
      <c r="F641" s="2890">
        <v>2.0869841206686841E-2</v>
      </c>
      <c r="G641" s="2890">
        <v>11.262867523767431</v>
      </c>
    </row>
    <row r="642" spans="2:7" ht="15" hidden="1" outlineLevel="2">
      <c r="B642" s="2889" t="s">
        <v>1634</v>
      </c>
      <c r="C642" s="2889" t="s">
        <v>1560</v>
      </c>
      <c r="D642" s="2889" t="s">
        <v>1559</v>
      </c>
      <c r="E642" s="2889" t="s">
        <v>217</v>
      </c>
      <c r="F642" s="2890">
        <v>6.5513757629603953E-3</v>
      </c>
      <c r="G642" s="2890">
        <v>3.5360153260021652</v>
      </c>
    </row>
    <row r="643" spans="2:7" ht="15" hidden="1" outlineLevel="2">
      <c r="B643" s="2889" t="s">
        <v>1635</v>
      </c>
      <c r="C643" s="2889" t="s">
        <v>1560</v>
      </c>
      <c r="D643" s="2889" t="s">
        <v>1559</v>
      </c>
      <c r="E643" s="2889" t="s">
        <v>217</v>
      </c>
      <c r="F643" s="2890">
        <v>0.11017335627559582</v>
      </c>
      <c r="G643" s="2890">
        <v>59.457486549339926</v>
      </c>
    </row>
    <row r="644" spans="2:7" ht="15" hidden="1" outlineLevel="2">
      <c r="B644" s="2889" t="s">
        <v>1636</v>
      </c>
      <c r="C644" s="2889" t="s">
        <v>1560</v>
      </c>
      <c r="D644" s="2889" t="s">
        <v>1559</v>
      </c>
      <c r="E644" s="2889" t="s">
        <v>217</v>
      </c>
      <c r="F644" s="2890">
        <v>1.4317684308860086E-2</v>
      </c>
      <c r="G644" s="2890">
        <v>7.726850166205379</v>
      </c>
    </row>
    <row r="645" spans="2:7" ht="15" hidden="1" outlineLevel="2">
      <c r="B645" s="2889" t="s">
        <v>1637</v>
      </c>
      <c r="C645" s="2889" t="s">
        <v>1560</v>
      </c>
      <c r="D645" s="2889" t="s">
        <v>1559</v>
      </c>
      <c r="E645" s="2889" t="s">
        <v>217</v>
      </c>
      <c r="F645" s="2890">
        <v>3.0091403410875243E-2</v>
      </c>
      <c r="G645" s="2890">
        <v>16.239480319252213</v>
      </c>
    </row>
    <row r="646" spans="2:7" ht="15" hidden="1" outlineLevel="2">
      <c r="B646" s="2889" t="s">
        <v>1638</v>
      </c>
      <c r="C646" s="2889" t="s">
        <v>1560</v>
      </c>
      <c r="D646" s="2889" t="s">
        <v>1559</v>
      </c>
      <c r="E646" s="2889" t="s">
        <v>217</v>
      </c>
      <c r="F646" s="2890">
        <v>3.8822982438088259E-2</v>
      </c>
      <c r="G646" s="2890">
        <v>20.954179891075828</v>
      </c>
    </row>
    <row r="647" spans="2:7" ht="15" hidden="1" outlineLevel="2">
      <c r="B647" s="2889" t="s">
        <v>1639</v>
      </c>
      <c r="C647" s="2889" t="s">
        <v>1560</v>
      </c>
      <c r="D647" s="2889" t="s">
        <v>1559</v>
      </c>
      <c r="E647" s="2889" t="s">
        <v>217</v>
      </c>
      <c r="F647" s="2890">
        <v>0.18297514716162203</v>
      </c>
      <c r="G647" s="2890">
        <v>98.74655625194616</v>
      </c>
    </row>
    <row r="648" spans="2:7" ht="15" hidden="1" outlineLevel="2">
      <c r="B648" s="2889" t="s">
        <v>1640</v>
      </c>
      <c r="C648" s="2889" t="s">
        <v>1560</v>
      </c>
      <c r="D648" s="2889" t="s">
        <v>1559</v>
      </c>
      <c r="E648" s="2889" t="s">
        <v>217</v>
      </c>
      <c r="F648" s="2890">
        <v>3.9065624016866592E-2</v>
      </c>
      <c r="G648" s="2890">
        <v>21.085133820802639</v>
      </c>
    </row>
    <row r="649" spans="2:7" ht="15" hidden="1" outlineLevel="2">
      <c r="B649" s="2889" t="s">
        <v>1641</v>
      </c>
      <c r="C649" s="2889" t="s">
        <v>1560</v>
      </c>
      <c r="D649" s="2889" t="s">
        <v>1559</v>
      </c>
      <c r="E649" s="2889" t="s">
        <v>217</v>
      </c>
      <c r="F649" s="3039">
        <v>8.0324625755776063E-2</v>
      </c>
      <c r="G649" s="2890">
        <v>43.348956699352343</v>
      </c>
    </row>
    <row r="650" spans="2:7" ht="15" hidden="1" outlineLevel="2">
      <c r="B650" s="2889" t="s">
        <v>1642</v>
      </c>
      <c r="C650" s="2889" t="s">
        <v>1560</v>
      </c>
      <c r="D650" s="2889" t="s">
        <v>1559</v>
      </c>
      <c r="E650" s="2889" t="s">
        <v>217</v>
      </c>
      <c r="F650" s="3039">
        <v>0.23636317353932682</v>
      </c>
      <c r="G650" s="2890">
        <v>127.55849315348381</v>
      </c>
    </row>
    <row r="651" spans="2:7" ht="15" hidden="1" outlineLevel="2">
      <c r="B651" s="2889" t="s">
        <v>1643</v>
      </c>
      <c r="C651" s="2889" t="s">
        <v>1560</v>
      </c>
      <c r="D651" s="2889" t="s">
        <v>1559</v>
      </c>
      <c r="E651" s="2889" t="s">
        <v>217</v>
      </c>
      <c r="F651" s="2890">
        <v>2.3006389362558739E-2</v>
      </c>
      <c r="G651" s="2890">
        <v>12.416295022836326</v>
      </c>
    </row>
    <row r="652" spans="2:7" ht="15" hidden="1" outlineLevel="2">
      <c r="B652" s="2889" t="s">
        <v>1644</v>
      </c>
      <c r="C652" s="2889" t="s">
        <v>1560</v>
      </c>
      <c r="D652" s="2889" t="s">
        <v>1559</v>
      </c>
      <c r="E652" s="2889" t="s">
        <v>217</v>
      </c>
      <c r="F652" s="2890">
        <v>0.72267897403535108</v>
      </c>
      <c r="G652" s="2890">
        <v>390.00944570253438</v>
      </c>
    </row>
    <row r="653" spans="2:7" ht="15" hidden="1" outlineLevel="2">
      <c r="B653" s="2889" t="s">
        <v>1645</v>
      </c>
      <c r="C653" s="2889" t="s">
        <v>1560</v>
      </c>
      <c r="D653" s="2889" t="s">
        <v>1559</v>
      </c>
      <c r="E653" s="2889" t="s">
        <v>217</v>
      </c>
      <c r="F653" s="2890">
        <v>0.35308885871357498</v>
      </c>
      <c r="G653" s="2890">
        <v>190.55201093279871</v>
      </c>
    </row>
    <row r="654" spans="2:7" ht="15" hidden="1" outlineLevel="2">
      <c r="B654" s="2889" t="s">
        <v>1646</v>
      </c>
      <c r="C654" s="2889" t="s">
        <v>1560</v>
      </c>
      <c r="D654" s="2889" t="s">
        <v>1559</v>
      </c>
      <c r="E654" s="2889" t="s">
        <v>217</v>
      </c>
      <c r="F654" s="2890">
        <v>2.305389681475517E-2</v>
      </c>
      <c r="G654" s="2890">
        <v>12.441540323518446</v>
      </c>
    </row>
    <row r="655" spans="2:7" ht="15" hidden="1" outlineLevel="2">
      <c r="B655" s="2889" t="s">
        <v>1647</v>
      </c>
      <c r="C655" s="2889" t="s">
        <v>1560</v>
      </c>
      <c r="D655" s="2889" t="s">
        <v>1559</v>
      </c>
      <c r="E655" s="2889" t="s">
        <v>217</v>
      </c>
      <c r="F655" s="2890">
        <v>1.771298384376898E-2</v>
      </c>
      <c r="G655" s="2890">
        <v>9.5603385635727829</v>
      </c>
    </row>
    <row r="656" spans="2:7" ht="15" hidden="1" outlineLevel="2">
      <c r="B656" s="2889" t="s">
        <v>1648</v>
      </c>
      <c r="C656" s="2889" t="s">
        <v>1560</v>
      </c>
      <c r="D656" s="2889" t="s">
        <v>1559</v>
      </c>
      <c r="E656" s="2889" t="s">
        <v>217</v>
      </c>
      <c r="F656" s="2890">
        <v>3.9065624016866592E-2</v>
      </c>
      <c r="G656" s="2890">
        <v>21.085133820802639</v>
      </c>
    </row>
    <row r="657" spans="2:7" ht="15" hidden="1" outlineLevel="2">
      <c r="B657" s="2889" t="s">
        <v>1649</v>
      </c>
      <c r="C657" s="2889" t="s">
        <v>1560</v>
      </c>
      <c r="D657" s="2889" t="s">
        <v>1559</v>
      </c>
      <c r="E657" s="2889" t="s">
        <v>217</v>
      </c>
      <c r="F657" s="2890">
        <v>3.8337672535551461E-2</v>
      </c>
      <c r="G657" s="2890">
        <v>20.692238393943601</v>
      </c>
    </row>
    <row r="658" spans="2:7" ht="15" hidden="1" outlineLevel="2">
      <c r="B658" s="2889" t="s">
        <v>1650</v>
      </c>
      <c r="C658" s="2889" t="s">
        <v>1560</v>
      </c>
      <c r="D658" s="2889" t="s">
        <v>1559</v>
      </c>
      <c r="E658" s="2889" t="s">
        <v>217</v>
      </c>
      <c r="F658" s="2890">
        <v>5.4837456705275608E-2</v>
      </c>
      <c r="G658" s="2890">
        <v>29.5977667880905</v>
      </c>
    </row>
    <row r="659" spans="2:7" ht="15" hidden="1" outlineLevel="2">
      <c r="B659" s="2889" t="s">
        <v>1651</v>
      </c>
      <c r="C659" s="2889" t="s">
        <v>1560</v>
      </c>
      <c r="D659" s="2889" t="s">
        <v>1559</v>
      </c>
      <c r="E659" s="2889" t="s">
        <v>217</v>
      </c>
      <c r="F659" s="2890">
        <v>2.4749640163307916E-2</v>
      </c>
      <c r="G659" s="2890">
        <v>13.358280765501567</v>
      </c>
    </row>
    <row r="660" spans="2:7" ht="15" hidden="1" outlineLevel="2">
      <c r="B660" s="2889" t="s">
        <v>1652</v>
      </c>
      <c r="C660" s="2889" t="s">
        <v>1560</v>
      </c>
      <c r="D660" s="2889" t="s">
        <v>1559</v>
      </c>
      <c r="E660" s="2889" t="s">
        <v>217</v>
      </c>
      <c r="F660" s="2890">
        <v>3.9065624018477463E-2</v>
      </c>
      <c r="G660" s="2890">
        <v>21.085133820712965</v>
      </c>
    </row>
    <row r="661" spans="2:7" ht="15" hidden="1" outlineLevel="2">
      <c r="B661" s="2889" t="s">
        <v>1653</v>
      </c>
      <c r="C661" s="2889" t="s">
        <v>1560</v>
      </c>
      <c r="D661" s="2889" t="s">
        <v>1559</v>
      </c>
      <c r="E661" s="2889" t="s">
        <v>217</v>
      </c>
      <c r="F661" s="2890">
        <v>4.3923747815527894E-2</v>
      </c>
      <c r="G661" s="2890">
        <v>23.704400752645409</v>
      </c>
    </row>
    <row r="662" spans="2:7" ht="15" hidden="1" outlineLevel="2">
      <c r="B662" s="2889" t="s">
        <v>1407</v>
      </c>
      <c r="C662" s="2889" t="s">
        <v>1561</v>
      </c>
      <c r="D662" s="2889" t="s">
        <v>1559</v>
      </c>
      <c r="E662" s="2889" t="s">
        <v>217</v>
      </c>
      <c r="F662" s="2890">
        <v>8.6232075369762212E-2</v>
      </c>
      <c r="G662" s="2890">
        <v>44.95990295533214</v>
      </c>
    </row>
    <row r="663" spans="2:7" ht="15" hidden="1" outlineLevel="2">
      <c r="B663" s="2889" t="s">
        <v>1631</v>
      </c>
      <c r="C663" s="2889" t="s">
        <v>1561</v>
      </c>
      <c r="D663" s="2889" t="s">
        <v>1559</v>
      </c>
      <c r="E663" s="2889" t="s">
        <v>217</v>
      </c>
      <c r="F663" s="2890">
        <v>0.50889545808077941</v>
      </c>
      <c r="G663" s="2890">
        <v>264.90708518681004</v>
      </c>
    </row>
    <row r="664" spans="2:7" ht="15" hidden="1" outlineLevel="2">
      <c r="B664" s="2889" t="s">
        <v>1632</v>
      </c>
      <c r="C664" s="2889" t="s">
        <v>1561</v>
      </c>
      <c r="D664" s="2889" t="s">
        <v>1559</v>
      </c>
      <c r="E664" s="2889" t="s">
        <v>217</v>
      </c>
      <c r="F664" s="2890">
        <v>0.84176923743124532</v>
      </c>
      <c r="G664" s="2890">
        <v>438.9223020432799</v>
      </c>
    </row>
    <row r="665" spans="2:7" ht="15" hidden="1" outlineLevel="2">
      <c r="B665" s="2889" t="s">
        <v>1633</v>
      </c>
      <c r="C665" s="2889" t="s">
        <v>1561</v>
      </c>
      <c r="D665" s="2889" t="s">
        <v>1559</v>
      </c>
      <c r="E665" s="2889" t="s">
        <v>217</v>
      </c>
      <c r="F665" s="2890">
        <v>7.7694422066920982E-2</v>
      </c>
      <c r="G665" s="2890">
        <v>40.512062783689387</v>
      </c>
    </row>
    <row r="666" spans="2:7" ht="15" hidden="1" outlineLevel="2">
      <c r="B666" s="2889" t="s">
        <v>1634</v>
      </c>
      <c r="C666" s="2889" t="s">
        <v>1561</v>
      </c>
      <c r="D666" s="2889" t="s">
        <v>1559</v>
      </c>
      <c r="E666" s="2889" t="s">
        <v>217</v>
      </c>
      <c r="F666" s="3039">
        <v>3.2385867959789198E-2</v>
      </c>
      <c r="G666" s="2890">
        <v>16.885429518341432</v>
      </c>
    </row>
    <row r="667" spans="2:7" ht="15" hidden="1" outlineLevel="2">
      <c r="B667" s="2889" t="s">
        <v>1635</v>
      </c>
      <c r="C667" s="2889" t="s">
        <v>1561</v>
      </c>
      <c r="D667" s="2889" t="s">
        <v>1559</v>
      </c>
      <c r="E667" s="2889" t="s">
        <v>217</v>
      </c>
      <c r="F667" s="3039">
        <v>0.1500956340912184</v>
      </c>
      <c r="G667" s="2890">
        <v>78.264140033826919</v>
      </c>
    </row>
    <row r="668" spans="2:7" ht="15" hidden="1" outlineLevel="2">
      <c r="B668" s="2889" t="s">
        <v>1636</v>
      </c>
      <c r="C668" s="2889" t="s">
        <v>1561</v>
      </c>
      <c r="D668" s="2889" t="s">
        <v>1559</v>
      </c>
      <c r="E668" s="2889" t="s">
        <v>217</v>
      </c>
      <c r="F668" s="3039">
        <v>9.5235074282028181E-2</v>
      </c>
      <c r="G668" s="2890">
        <v>49.658225856263527</v>
      </c>
    </row>
    <row r="669" spans="2:7" ht="15" hidden="1" outlineLevel="2">
      <c r="B669" s="2889" t="s">
        <v>1637</v>
      </c>
      <c r="C669" s="2889" t="s">
        <v>1561</v>
      </c>
      <c r="D669" s="2889" t="s">
        <v>1559</v>
      </c>
      <c r="E669" s="2889" t="s">
        <v>217</v>
      </c>
      <c r="F669" s="3039">
        <v>0.12305875093065141</v>
      </c>
      <c r="G669" s="2890">
        <v>64.166326787783504</v>
      </c>
    </row>
    <row r="670" spans="2:7" ht="15" hidden="1" outlineLevel="2">
      <c r="B670" s="2889" t="s">
        <v>1638</v>
      </c>
      <c r="C670" s="2889" t="s">
        <v>1561</v>
      </c>
      <c r="D670" s="2889" t="s">
        <v>1559</v>
      </c>
      <c r="E670" s="2889" t="s">
        <v>217</v>
      </c>
      <c r="F670" s="3039">
        <v>3.8917971321611615E-2</v>
      </c>
      <c r="G670" s="2890">
        <v>20.291149644466142</v>
      </c>
    </row>
    <row r="671" spans="2:7" ht="15" hidden="1" outlineLevel="2">
      <c r="B671" s="2889" t="s">
        <v>1639</v>
      </c>
      <c r="C671" s="2889" t="s">
        <v>1561</v>
      </c>
      <c r="D671" s="2889" t="s">
        <v>1559</v>
      </c>
      <c r="E671" s="2889" t="s">
        <v>217</v>
      </c>
      <c r="F671" s="3039">
        <v>0.20569284316595038</v>
      </c>
      <c r="G671" s="2890">
        <v>107.25392952876894</v>
      </c>
    </row>
    <row r="672" spans="2:7" ht="15" hidden="1" outlineLevel="2">
      <c r="B672" s="2889" t="s">
        <v>1640</v>
      </c>
      <c r="C672" s="2889" t="s">
        <v>1561</v>
      </c>
      <c r="D672" s="2889" t="s">
        <v>1559</v>
      </c>
      <c r="E672" s="2889" t="s">
        <v>217</v>
      </c>
      <c r="F672" s="3039">
        <v>4.5204497572062102E-2</v>
      </c>
      <c r="G672" s="2890">
        <v>23.568847667500346</v>
      </c>
    </row>
    <row r="673" spans="2:7" ht="15" hidden="1" outlineLevel="2">
      <c r="B673" s="2889" t="s">
        <v>1641</v>
      </c>
      <c r="C673" s="2889" t="s">
        <v>1561</v>
      </c>
      <c r="D673" s="2889" t="s">
        <v>1559</v>
      </c>
      <c r="E673" s="2889" t="s">
        <v>217</v>
      </c>
      <c r="F673" s="3039">
        <v>0.22888577791907611</v>
      </c>
      <c r="G673" s="2890">
        <v>119.3475241537588</v>
      </c>
    </row>
    <row r="674" spans="2:7" ht="15" hidden="1" outlineLevel="2">
      <c r="B674" s="2889" t="s">
        <v>1642</v>
      </c>
      <c r="C674" s="2889" t="s">
        <v>1561</v>
      </c>
      <c r="D674" s="2889" t="s">
        <v>1559</v>
      </c>
      <c r="E674" s="2889" t="s">
        <v>217</v>
      </c>
      <c r="F674" s="3039">
        <v>0.25512273141818348</v>
      </c>
      <c r="G674" s="2890">
        <v>133.02818602394538</v>
      </c>
    </row>
    <row r="675" spans="2:7" ht="15" hidden="1" outlineLevel="2">
      <c r="B675" s="2889" t="s">
        <v>1643</v>
      </c>
      <c r="C675" s="2889" t="s">
        <v>1561</v>
      </c>
      <c r="D675" s="2889" t="s">
        <v>1559</v>
      </c>
      <c r="E675" s="2889" t="s">
        <v>217</v>
      </c>
      <c r="F675" s="3039">
        <v>4.2248244679823382E-2</v>
      </c>
      <c r="G675" s="2890">
        <v>22.030155550163485</v>
      </c>
    </row>
    <row r="676" spans="2:7" ht="15" hidden="1" outlineLevel="2">
      <c r="B676" s="2889" t="s">
        <v>1644</v>
      </c>
      <c r="C676" s="2889" t="s">
        <v>1561</v>
      </c>
      <c r="D676" s="2889" t="s">
        <v>1559</v>
      </c>
      <c r="E676" s="2889" t="s">
        <v>217</v>
      </c>
      <c r="F676" s="2890">
        <v>0.91109170347466861</v>
      </c>
      <c r="G676" s="2890">
        <v>475.06938273817013</v>
      </c>
    </row>
    <row r="677" spans="2:7" ht="15" hidden="1" outlineLevel="2">
      <c r="B677" s="2889" t="s">
        <v>1645</v>
      </c>
      <c r="C677" s="2889" t="s">
        <v>1561</v>
      </c>
      <c r="D677" s="2889" t="s">
        <v>1559</v>
      </c>
      <c r="E677" s="2889" t="s">
        <v>217</v>
      </c>
      <c r="F677" s="2890">
        <v>0.815592931436667</v>
      </c>
      <c r="G677" s="2890">
        <v>425.27313916790996</v>
      </c>
    </row>
    <row r="678" spans="2:7" ht="15" hidden="1" outlineLevel="2">
      <c r="B678" s="2889" t="s">
        <v>1646</v>
      </c>
      <c r="C678" s="2889" t="s">
        <v>1561</v>
      </c>
      <c r="D678" s="2889" t="s">
        <v>1559</v>
      </c>
      <c r="E678" s="2889" t="s">
        <v>217</v>
      </c>
      <c r="F678" s="3039">
        <v>4.6314686102606487E-2</v>
      </c>
      <c r="G678" s="2890">
        <v>24.14978190262805</v>
      </c>
    </row>
    <row r="679" spans="2:7" ht="15" hidden="1" outlineLevel="2">
      <c r="B679" s="2889" t="s">
        <v>1647</v>
      </c>
      <c r="C679" s="2889" t="s">
        <v>1561</v>
      </c>
      <c r="D679" s="2889" t="s">
        <v>1559</v>
      </c>
      <c r="E679" s="2889" t="s">
        <v>217</v>
      </c>
      <c r="F679" s="2890">
        <v>9.4628220963536736E-2</v>
      </c>
      <c r="G679" s="2890">
        <v>49.337484952298126</v>
      </c>
    </row>
    <row r="680" spans="2:7" ht="15" hidden="1" outlineLevel="2">
      <c r="B680" s="2889" t="s">
        <v>1648</v>
      </c>
      <c r="C680" s="2889" t="s">
        <v>1561</v>
      </c>
      <c r="D680" s="2889" t="s">
        <v>1559</v>
      </c>
      <c r="E680" s="2889" t="s">
        <v>217</v>
      </c>
      <c r="F680" s="2890">
        <v>2.6548172637157197E-2</v>
      </c>
      <c r="G680" s="2890">
        <v>13.841763766213282</v>
      </c>
    </row>
    <row r="681" spans="2:7" ht="15" hidden="1" outlineLevel="2">
      <c r="B681" s="2889" t="s">
        <v>1649</v>
      </c>
      <c r="C681" s="2889" t="s">
        <v>1561</v>
      </c>
      <c r="D681" s="2889" t="s">
        <v>1559</v>
      </c>
      <c r="E681" s="2889" t="s">
        <v>217</v>
      </c>
      <c r="F681" s="2890">
        <v>4.5088320204112034E-2</v>
      </c>
      <c r="G681" s="2890">
        <v>23.508285122011895</v>
      </c>
    </row>
    <row r="682" spans="2:7" ht="15" hidden="1" outlineLevel="2">
      <c r="B682" s="2889" t="s">
        <v>1650</v>
      </c>
      <c r="C682" s="2889" t="s">
        <v>1561</v>
      </c>
      <c r="D682" s="2889" t="s">
        <v>1559</v>
      </c>
      <c r="E682" s="2889" t="s">
        <v>217</v>
      </c>
      <c r="F682" s="2890">
        <v>0.14327301532974249</v>
      </c>
      <c r="G682" s="2890">
        <v>74.700099253373494</v>
      </c>
    </row>
    <row r="683" spans="2:7" ht="15" hidden="1" outlineLevel="2">
      <c r="B683" s="2889" t="s">
        <v>1651</v>
      </c>
      <c r="C683" s="2889" t="s">
        <v>1561</v>
      </c>
      <c r="D683" s="2889" t="s">
        <v>1559</v>
      </c>
      <c r="E683" s="2889" t="s">
        <v>217</v>
      </c>
      <c r="F683" s="2890">
        <v>9.402617313322785E-2</v>
      </c>
      <c r="G683" s="2890">
        <v>49.023612044238035</v>
      </c>
    </row>
    <row r="684" spans="2:7" ht="15" hidden="1" outlineLevel="2">
      <c r="B684" s="2889" t="s">
        <v>1652</v>
      </c>
      <c r="C684" s="2889" t="s">
        <v>1561</v>
      </c>
      <c r="D684" s="2889" t="s">
        <v>1559</v>
      </c>
      <c r="E684" s="2889" t="s">
        <v>217</v>
      </c>
      <c r="F684" s="2890">
        <v>0.12712232765276865</v>
      </c>
      <c r="G684" s="2890">
        <v>66.279265620808289</v>
      </c>
    </row>
    <row r="685" spans="2:7" ht="15" hidden="1" outlineLevel="2">
      <c r="B685" s="2889" t="s">
        <v>1653</v>
      </c>
      <c r="C685" s="2889" t="s">
        <v>1561</v>
      </c>
      <c r="D685" s="2889" t="s">
        <v>1559</v>
      </c>
      <c r="E685" s="2889" t="s">
        <v>217</v>
      </c>
      <c r="F685" s="2890">
        <v>0.78216170953669961</v>
      </c>
      <c r="G685" s="2890">
        <v>407.84088805570002</v>
      </c>
    </row>
    <row r="686" spans="2:7" ht="15" hidden="1" outlineLevel="2">
      <c r="B686" s="2889" t="s">
        <v>1407</v>
      </c>
      <c r="C686" s="2889" t="s">
        <v>1562</v>
      </c>
      <c r="D686" s="2889" t="s">
        <v>1559</v>
      </c>
      <c r="E686" s="2889" t="s">
        <v>217</v>
      </c>
      <c r="F686" s="2890">
        <v>6.6457514559632488E-2</v>
      </c>
      <c r="G686" s="2890">
        <v>36.437103385874593</v>
      </c>
    </row>
    <row r="687" spans="2:7" ht="15" hidden="1" outlineLevel="2">
      <c r="B687" s="2889" t="s">
        <v>1631</v>
      </c>
      <c r="C687" s="2889" t="s">
        <v>1562</v>
      </c>
      <c r="D687" s="2889" t="s">
        <v>1559</v>
      </c>
      <c r="E687" s="2889" t="s">
        <v>217</v>
      </c>
      <c r="F687" s="2890">
        <v>3.1897214516403496</v>
      </c>
      <c r="G687" s="2890">
        <v>1746.0658743220004</v>
      </c>
    </row>
    <row r="688" spans="2:7" ht="15" hidden="1" outlineLevel="2">
      <c r="B688" s="2889" t="s">
        <v>1632</v>
      </c>
      <c r="C688" s="2889" t="s">
        <v>1562</v>
      </c>
      <c r="D688" s="2889" t="s">
        <v>1559</v>
      </c>
      <c r="E688" s="2889" t="s">
        <v>217</v>
      </c>
      <c r="F688" s="2890">
        <v>3.8276304941663843</v>
      </c>
      <c r="G688" s="2890">
        <v>2098.7766237009005</v>
      </c>
    </row>
    <row r="689" spans="2:7" ht="15" hidden="1" outlineLevel="2">
      <c r="B689" s="2889" t="s">
        <v>1633</v>
      </c>
      <c r="C689" s="2889" t="s">
        <v>1562</v>
      </c>
      <c r="D689" s="2889" t="s">
        <v>1559</v>
      </c>
      <c r="E689" s="2889" t="s">
        <v>217</v>
      </c>
      <c r="F689" s="2890">
        <v>0.22859461796973785</v>
      </c>
      <c r="G689" s="2890">
        <v>125.34361848842487</v>
      </c>
    </row>
    <row r="690" spans="2:7" ht="15" hidden="1" outlineLevel="2">
      <c r="B690" s="2889" t="s">
        <v>1634</v>
      </c>
      <c r="C690" s="2889" t="s">
        <v>1562</v>
      </c>
      <c r="D690" s="2889" t="s">
        <v>1559</v>
      </c>
      <c r="E690" s="2889" t="s">
        <v>217</v>
      </c>
      <c r="F690" s="2890">
        <v>7.1774075762806186E-2</v>
      </c>
      <c r="G690" s="2890">
        <v>39.352057452812801</v>
      </c>
    </row>
    <row r="691" spans="2:7" ht="15" hidden="1" outlineLevel="2">
      <c r="B691" s="2889" t="s">
        <v>1635</v>
      </c>
      <c r="C691" s="2889" t="s">
        <v>1562</v>
      </c>
      <c r="D691" s="2889" t="s">
        <v>1559</v>
      </c>
      <c r="E691" s="2889" t="s">
        <v>217</v>
      </c>
      <c r="F691" s="2890">
        <v>1.2067675493790309</v>
      </c>
      <c r="G691" s="2890">
        <v>661.69721803280481</v>
      </c>
    </row>
    <row r="692" spans="2:7" ht="15" hidden="1" outlineLevel="2">
      <c r="B692" s="2889" t="s">
        <v>1636</v>
      </c>
      <c r="C692" s="2889" t="s">
        <v>1562</v>
      </c>
      <c r="D692" s="2889" t="s">
        <v>1559</v>
      </c>
      <c r="E692" s="2889" t="s">
        <v>217</v>
      </c>
      <c r="F692" s="2890">
        <v>0.15682649136068019</v>
      </c>
      <c r="G692" s="2890">
        <v>85.991571458846579</v>
      </c>
    </row>
    <row r="693" spans="2:7" ht="15" hidden="1" outlineLevel="2">
      <c r="B693" s="2889" t="s">
        <v>1637</v>
      </c>
      <c r="C693" s="2889" t="s">
        <v>1562</v>
      </c>
      <c r="D693" s="2889" t="s">
        <v>1559</v>
      </c>
      <c r="E693" s="2889" t="s">
        <v>217</v>
      </c>
      <c r="F693" s="2890">
        <v>0.3296014808337831</v>
      </c>
      <c r="G693" s="2890">
        <v>180.7281132546882</v>
      </c>
    </row>
    <row r="694" spans="2:7" ht="15" hidden="1" outlineLevel="2">
      <c r="B694" s="2889" t="s">
        <v>1638</v>
      </c>
      <c r="C694" s="2889" t="s">
        <v>1562</v>
      </c>
      <c r="D694" s="2889" t="s">
        <v>1559</v>
      </c>
      <c r="E694" s="2889" t="s">
        <v>217</v>
      </c>
      <c r="F694" s="2890">
        <v>0.42532804486223497</v>
      </c>
      <c r="G694" s="2890">
        <v>233.19761041169184</v>
      </c>
    </row>
    <row r="695" spans="2:7" ht="15" hidden="1" outlineLevel="2">
      <c r="B695" s="2889" t="s">
        <v>1639</v>
      </c>
      <c r="C695" s="2889" t="s">
        <v>1562</v>
      </c>
      <c r="D695" s="2889" t="s">
        <v>1559</v>
      </c>
      <c r="E695" s="2889" t="s">
        <v>217</v>
      </c>
      <c r="F695" s="2890">
        <v>2.0041899857860717</v>
      </c>
      <c r="G695" s="2890">
        <v>1098.9435032258195</v>
      </c>
    </row>
    <row r="696" spans="2:7" ht="15" hidden="1" outlineLevel="2">
      <c r="B696" s="2889" t="s">
        <v>1640</v>
      </c>
      <c r="C696" s="2889" t="s">
        <v>1562</v>
      </c>
      <c r="D696" s="2889" t="s">
        <v>1559</v>
      </c>
      <c r="E696" s="2889" t="s">
        <v>217</v>
      </c>
      <c r="F696" s="2890">
        <v>0.42798640112190539</v>
      </c>
      <c r="G696" s="2890">
        <v>234.65493805739698</v>
      </c>
    </row>
    <row r="697" spans="2:7" ht="15" hidden="1" outlineLevel="2">
      <c r="B697" s="2889" t="s">
        <v>1641</v>
      </c>
      <c r="C697" s="2889" t="s">
        <v>1562</v>
      </c>
      <c r="D697" s="2889" t="s">
        <v>1559</v>
      </c>
      <c r="E697" s="2889" t="s">
        <v>217</v>
      </c>
      <c r="F697" s="2890">
        <v>0.87982313677781809</v>
      </c>
      <c r="G697" s="2890">
        <v>482.42756643922843</v>
      </c>
    </row>
    <row r="698" spans="2:7" ht="15" hidden="1" outlineLevel="2">
      <c r="B698" s="2889" t="s">
        <v>1642</v>
      </c>
      <c r="C698" s="2889" t="s">
        <v>1562</v>
      </c>
      <c r="D698" s="2889" t="s">
        <v>1559</v>
      </c>
      <c r="E698" s="2889" t="s">
        <v>217</v>
      </c>
      <c r="F698" s="2890">
        <v>2.5889672557559034</v>
      </c>
      <c r="G698" s="2890">
        <v>1419.589265394183</v>
      </c>
    </row>
    <row r="699" spans="2:7" ht="15" hidden="1" outlineLevel="2">
      <c r="B699" s="2889" t="s">
        <v>1643</v>
      </c>
      <c r="C699" s="2889" t="s">
        <v>1562</v>
      </c>
      <c r="D699" s="2889" t="s">
        <v>1559</v>
      </c>
      <c r="E699" s="2889" t="s">
        <v>217</v>
      </c>
      <c r="F699" s="3039">
        <v>0.2609189811742722</v>
      </c>
      <c r="G699" s="2890">
        <v>143.07296852625987</v>
      </c>
    </row>
    <row r="700" spans="2:7" ht="15" hidden="1" outlineLevel="2">
      <c r="B700" s="2889" t="s">
        <v>1644</v>
      </c>
      <c r="C700" s="2889" t="s">
        <v>1562</v>
      </c>
      <c r="D700" s="2889" t="s">
        <v>1559</v>
      </c>
      <c r="E700" s="2889" t="s">
        <v>217</v>
      </c>
      <c r="F700" s="3039">
        <v>7.9157510985661741</v>
      </c>
      <c r="G700" s="2890">
        <v>4340.3865681003299</v>
      </c>
    </row>
    <row r="701" spans="2:7" ht="15" hidden="1" outlineLevel="2">
      <c r="B701" s="2889" t="s">
        <v>1645</v>
      </c>
      <c r="C701" s="2889" t="s">
        <v>1562</v>
      </c>
      <c r="D701" s="2889" t="s">
        <v>1559</v>
      </c>
      <c r="E701" s="2889" t="s">
        <v>217</v>
      </c>
      <c r="F701" s="3039">
        <v>3.8675014829247756</v>
      </c>
      <c r="G701" s="2890">
        <v>2120.64049170611</v>
      </c>
    </row>
    <row r="702" spans="2:7" ht="15" hidden="1" outlineLevel="2">
      <c r="B702" s="2889" t="s">
        <v>1646</v>
      </c>
      <c r="C702" s="2889" t="s">
        <v>1562</v>
      </c>
      <c r="D702" s="2889" t="s">
        <v>1559</v>
      </c>
      <c r="E702" s="2889" t="s">
        <v>217</v>
      </c>
      <c r="F702" s="3039">
        <v>0.25251729605477263</v>
      </c>
      <c r="G702" s="2890">
        <v>138.46100559364416</v>
      </c>
    </row>
    <row r="703" spans="2:7" ht="15" hidden="1" outlineLevel="2">
      <c r="B703" s="2889" t="s">
        <v>1647</v>
      </c>
      <c r="C703" s="2889" t="s">
        <v>1562</v>
      </c>
      <c r="D703" s="2889" t="s">
        <v>1559</v>
      </c>
      <c r="E703" s="2889" t="s">
        <v>217</v>
      </c>
      <c r="F703" s="3039">
        <v>0.19405580253836735</v>
      </c>
      <c r="G703" s="2890">
        <v>106.39638049355761</v>
      </c>
    </row>
    <row r="704" spans="2:7" ht="15" hidden="1" outlineLevel="2">
      <c r="B704" s="2889" t="s">
        <v>1648</v>
      </c>
      <c r="C704" s="2889" t="s">
        <v>1562</v>
      </c>
      <c r="D704" s="2889" t="s">
        <v>1559</v>
      </c>
      <c r="E704" s="2889" t="s">
        <v>217</v>
      </c>
      <c r="F704" s="3039">
        <v>0.42798640112190539</v>
      </c>
      <c r="G704" s="2890">
        <v>234.65493805739698</v>
      </c>
    </row>
    <row r="705" spans="2:7" ht="15" hidden="1" outlineLevel="2">
      <c r="B705" s="2889" t="s">
        <v>1649</v>
      </c>
      <c r="C705" s="2889" t="s">
        <v>1562</v>
      </c>
      <c r="D705" s="2889" t="s">
        <v>1559</v>
      </c>
      <c r="E705" s="2889" t="s">
        <v>217</v>
      </c>
      <c r="F705" s="2890">
        <v>0.42001157135810202</v>
      </c>
      <c r="G705" s="2890">
        <v>230.282575774935</v>
      </c>
    </row>
    <row r="706" spans="2:7" ht="15" hidden="1" outlineLevel="2">
      <c r="B706" s="2889" t="s">
        <v>1650</v>
      </c>
      <c r="C706" s="2889" t="s">
        <v>1562</v>
      </c>
      <c r="D706" s="2889" t="s">
        <v>1559</v>
      </c>
      <c r="E706" s="2889" t="s">
        <v>217</v>
      </c>
      <c r="F706" s="2890">
        <v>0.60077613051794565</v>
      </c>
      <c r="G706" s="2890">
        <v>329.39162501691618</v>
      </c>
    </row>
    <row r="707" spans="2:7" ht="15" hidden="1" outlineLevel="2">
      <c r="B707" s="2889" t="s">
        <v>1651</v>
      </c>
      <c r="C707" s="2889" t="s">
        <v>1562</v>
      </c>
      <c r="D707" s="2889" t="s">
        <v>1559</v>
      </c>
      <c r="E707" s="2889" t="s">
        <v>217</v>
      </c>
      <c r="F707" s="2890">
        <v>0.27114672933561607</v>
      </c>
      <c r="G707" s="2890">
        <v>148.66350700146478</v>
      </c>
    </row>
    <row r="708" spans="2:7" ht="15" hidden="1" outlineLevel="2">
      <c r="B708" s="2889" t="s">
        <v>1652</v>
      </c>
      <c r="C708" s="2889" t="s">
        <v>1562</v>
      </c>
      <c r="D708" s="2889" t="s">
        <v>1559</v>
      </c>
      <c r="E708" s="2889" t="s">
        <v>217</v>
      </c>
      <c r="F708" s="2890">
        <v>0.42798640113034081</v>
      </c>
      <c r="G708" s="2890">
        <v>234.65493805465331</v>
      </c>
    </row>
    <row r="709" spans="2:7" ht="15" hidden="1" outlineLevel="2">
      <c r="B709" s="2889" t="s">
        <v>1653</v>
      </c>
      <c r="C709" s="2889" t="s">
        <v>1562</v>
      </c>
      <c r="D709" s="2889" t="s">
        <v>1559</v>
      </c>
      <c r="E709" s="2889" t="s">
        <v>217</v>
      </c>
      <c r="F709" s="2890">
        <v>0.48111144622480817</v>
      </c>
      <c r="G709" s="2890">
        <v>263.80452078356552</v>
      </c>
    </row>
    <row r="710" spans="2:7" ht="15" hidden="1" outlineLevel="2">
      <c r="B710" s="2889" t="s">
        <v>1407</v>
      </c>
      <c r="C710" s="2889" t="s">
        <v>1563</v>
      </c>
      <c r="D710" s="2889" t="s">
        <v>1559</v>
      </c>
      <c r="E710" s="2889" t="s">
        <v>217</v>
      </c>
      <c r="F710" s="2890">
        <v>0.10630655876500736</v>
      </c>
      <c r="G710" s="2890">
        <v>62.653801976408573</v>
      </c>
    </row>
    <row r="711" spans="2:7" ht="15" hidden="1" outlineLevel="2">
      <c r="B711" s="2889" t="s">
        <v>1631</v>
      </c>
      <c r="C711" s="2889" t="s">
        <v>1563</v>
      </c>
      <c r="D711" s="2889" t="s">
        <v>1559</v>
      </c>
      <c r="E711" s="2889" t="s">
        <v>217</v>
      </c>
      <c r="F711" s="2890">
        <v>0.62728309348157096</v>
      </c>
      <c r="G711" s="2890">
        <v>369.1606211990607</v>
      </c>
    </row>
    <row r="712" spans="2:7" ht="15" hidden="1" outlineLevel="2">
      <c r="B712" s="2889" t="s">
        <v>1632</v>
      </c>
      <c r="C712" s="2889" t="s">
        <v>1563</v>
      </c>
      <c r="D712" s="2889" t="s">
        <v>1559</v>
      </c>
      <c r="E712" s="2889" t="s">
        <v>217</v>
      </c>
      <c r="F712" s="2890">
        <v>1.0379425401120674</v>
      </c>
      <c r="G712" s="2890">
        <v>611.65941814167695</v>
      </c>
    </row>
    <row r="713" spans="2:7" ht="15" hidden="1" outlineLevel="2">
      <c r="B713" s="2889" t="s">
        <v>1633</v>
      </c>
      <c r="C713" s="2889" t="s">
        <v>1563</v>
      </c>
      <c r="D713" s="2889" t="s">
        <v>1559</v>
      </c>
      <c r="E713" s="2889" t="s">
        <v>217</v>
      </c>
      <c r="F713" s="2890">
        <v>9.5801137191246222E-2</v>
      </c>
      <c r="G713" s="2890">
        <v>56.455595058927429</v>
      </c>
    </row>
    <row r="714" spans="2:7" ht="15" hidden="1" outlineLevel="2">
      <c r="B714" s="2889" t="s">
        <v>1634</v>
      </c>
      <c r="C714" s="2889" t="s">
        <v>1563</v>
      </c>
      <c r="D714" s="2889" t="s">
        <v>1559</v>
      </c>
      <c r="E714" s="2889" t="s">
        <v>217</v>
      </c>
      <c r="F714" s="2890">
        <v>3.9925159733289195E-2</v>
      </c>
      <c r="G714" s="2890">
        <v>23.530666017882723</v>
      </c>
    </row>
    <row r="715" spans="2:7" ht="15" hidden="1" outlineLevel="2">
      <c r="B715" s="2889" t="s">
        <v>1635</v>
      </c>
      <c r="C715" s="2889" t="s">
        <v>1563</v>
      </c>
      <c r="D715" s="2889" t="s">
        <v>1559</v>
      </c>
      <c r="E715" s="2889" t="s">
        <v>217</v>
      </c>
      <c r="F715" s="2890">
        <v>0.18507533175085367</v>
      </c>
      <c r="G715" s="2890">
        <v>109.06484100013508</v>
      </c>
    </row>
    <row r="716" spans="2:7" ht="15" hidden="1" outlineLevel="2">
      <c r="B716" s="2889" t="s">
        <v>1636</v>
      </c>
      <c r="C716" s="2889" t="s">
        <v>1563</v>
      </c>
      <c r="D716" s="2889" t="s">
        <v>1559</v>
      </c>
      <c r="E716" s="2889" t="s">
        <v>217</v>
      </c>
      <c r="F716" s="2890">
        <v>0.11742960526167431</v>
      </c>
      <c r="G716" s="2890">
        <v>69.201194745933918</v>
      </c>
    </row>
    <row r="717" spans="2:7" ht="15" hidden="1" outlineLevel="2">
      <c r="B717" s="2889" t="s">
        <v>1637</v>
      </c>
      <c r="C717" s="2889" t="s">
        <v>1563</v>
      </c>
      <c r="D717" s="2889" t="s">
        <v>1559</v>
      </c>
      <c r="E717" s="2889" t="s">
        <v>217</v>
      </c>
      <c r="F717" s="2890">
        <v>0.15173744014584001</v>
      </c>
      <c r="G717" s="2890">
        <v>89.418835406650558</v>
      </c>
    </row>
    <row r="718" spans="2:7" ht="15" hidden="1" outlineLevel="2">
      <c r="B718" s="2889" t="s">
        <v>1638</v>
      </c>
      <c r="C718" s="2889" t="s">
        <v>1563</v>
      </c>
      <c r="D718" s="2889" t="s">
        <v>1559</v>
      </c>
      <c r="E718" s="2889" t="s">
        <v>217</v>
      </c>
      <c r="F718" s="2890">
        <v>4.7977879290904801E-2</v>
      </c>
      <c r="G718" s="2890">
        <v>28.276715208600169</v>
      </c>
    </row>
    <row r="719" spans="2:7" ht="15" hidden="1" outlineLevel="2">
      <c r="B719" s="2889" t="s">
        <v>1639</v>
      </c>
      <c r="C719" s="2889" t="s">
        <v>1563</v>
      </c>
      <c r="D719" s="2889" t="s">
        <v>1559</v>
      </c>
      <c r="E719" s="2889" t="s">
        <v>217</v>
      </c>
      <c r="F719" s="2890">
        <v>0.25362937591336115</v>
      </c>
      <c r="G719" s="2890">
        <v>149.46369545743215</v>
      </c>
    </row>
    <row r="720" spans="2:7" ht="15" hidden="1" outlineLevel="2">
      <c r="B720" s="2889" t="s">
        <v>1640</v>
      </c>
      <c r="C720" s="2889" t="s">
        <v>1563</v>
      </c>
      <c r="D720" s="2889" t="s">
        <v>1559</v>
      </c>
      <c r="E720" s="2889" t="s">
        <v>217</v>
      </c>
      <c r="F720" s="2890">
        <v>5.5727905760071986E-2</v>
      </c>
      <c r="G720" s="2890">
        <v>32.844324334965805</v>
      </c>
    </row>
    <row r="721" spans="2:7" ht="15" hidden="1" outlineLevel="2">
      <c r="B721" s="2889" t="s">
        <v>1641</v>
      </c>
      <c r="C721" s="2889" t="s">
        <v>1563</v>
      </c>
      <c r="D721" s="2889" t="s">
        <v>1559</v>
      </c>
      <c r="E721" s="2889" t="s">
        <v>217</v>
      </c>
      <c r="F721" s="2890">
        <v>0.28222735063658472</v>
      </c>
      <c r="G721" s="2890">
        <v>166.31656606306547</v>
      </c>
    </row>
    <row r="722" spans="2:7" ht="15" hidden="1" outlineLevel="2">
      <c r="B722" s="2889" t="s">
        <v>1642</v>
      </c>
      <c r="C722" s="2889" t="s">
        <v>1563</v>
      </c>
      <c r="D722" s="2889" t="s">
        <v>1559</v>
      </c>
      <c r="E722" s="2889" t="s">
        <v>217</v>
      </c>
      <c r="F722" s="2890">
        <v>0.3145789983116401</v>
      </c>
      <c r="G722" s="2890">
        <v>185.38119166082183</v>
      </c>
    </row>
    <row r="723" spans="2:7" ht="15" hidden="1" outlineLevel="2">
      <c r="B723" s="2889" t="s">
        <v>1643</v>
      </c>
      <c r="C723" s="2889" t="s">
        <v>1563</v>
      </c>
      <c r="D723" s="2889" t="s">
        <v>1559</v>
      </c>
      <c r="E723" s="2889" t="s">
        <v>217</v>
      </c>
      <c r="F723" s="2890">
        <v>5.0031172895165704E-2</v>
      </c>
      <c r="G723" s="2890">
        <v>29.484234203459732</v>
      </c>
    </row>
    <row r="724" spans="2:7" ht="15" hidden="1" outlineLevel="2">
      <c r="B724" s="2889" t="s">
        <v>1644</v>
      </c>
      <c r="C724" s="2889" t="s">
        <v>1563</v>
      </c>
      <c r="D724" s="2889" t="s">
        <v>1559</v>
      </c>
      <c r="E724" s="2889" t="s">
        <v>217</v>
      </c>
      <c r="F724" s="2890">
        <v>1.1234208844732974</v>
      </c>
      <c r="G724" s="2890">
        <v>662.03188349107904</v>
      </c>
    </row>
    <row r="725" spans="2:7" ht="15" hidden="1" outlineLevel="2">
      <c r="B725" s="2889" t="s">
        <v>1645</v>
      </c>
      <c r="C725" s="2889" t="s">
        <v>1563</v>
      </c>
      <c r="D725" s="2889" t="s">
        <v>1559</v>
      </c>
      <c r="E725" s="2889" t="s">
        <v>217</v>
      </c>
      <c r="F725" s="2890">
        <v>1.0056662383109296</v>
      </c>
      <c r="G725" s="2890">
        <v>592.63869303085403</v>
      </c>
    </row>
    <row r="726" spans="2:7" ht="15" hidden="1" outlineLevel="2">
      <c r="B726" s="2889" t="s">
        <v>1646</v>
      </c>
      <c r="C726" s="2889" t="s">
        <v>1563</v>
      </c>
      <c r="D726" s="2889" t="s">
        <v>1559</v>
      </c>
      <c r="E726" s="2889" t="s">
        <v>217</v>
      </c>
      <c r="F726" s="2890">
        <v>5.7108290397329495E-2</v>
      </c>
      <c r="G726" s="2890">
        <v>33.653883732180873</v>
      </c>
    </row>
    <row r="727" spans="2:7" ht="15" hidden="1" outlineLevel="2">
      <c r="B727" s="2889" t="s">
        <v>1647</v>
      </c>
      <c r="C727" s="2889" t="s">
        <v>1563</v>
      </c>
      <c r="D727" s="2889" t="s">
        <v>1559</v>
      </c>
      <c r="E727" s="2889" t="s">
        <v>217</v>
      </c>
      <c r="F727" s="2890">
        <v>0.1166572458994487</v>
      </c>
      <c r="G727" s="2890">
        <v>68.754231890228894</v>
      </c>
    </row>
    <row r="728" spans="2:7" ht="15" hidden="1" outlineLevel="2">
      <c r="B728" s="2889" t="s">
        <v>1648</v>
      </c>
      <c r="C728" s="2889" t="s">
        <v>1563</v>
      </c>
      <c r="D728" s="2889" t="s">
        <v>1559</v>
      </c>
      <c r="E728" s="2889" t="s">
        <v>217</v>
      </c>
      <c r="F728" s="2890">
        <v>3.2728462406434643E-2</v>
      </c>
      <c r="G728" s="2890">
        <v>19.289164748837958</v>
      </c>
    </row>
    <row r="729" spans="2:7" ht="15" hidden="1" outlineLevel="2">
      <c r="B729" s="2889" t="s">
        <v>1649</v>
      </c>
      <c r="C729" s="2889" t="s">
        <v>1563</v>
      </c>
      <c r="D729" s="2889" t="s">
        <v>1559</v>
      </c>
      <c r="E729" s="2889" t="s">
        <v>217</v>
      </c>
      <c r="F729" s="2890">
        <v>5.5584699544110529E-2</v>
      </c>
      <c r="G729" s="2890">
        <v>32.759928500607607</v>
      </c>
    </row>
    <row r="730" spans="2:7" ht="15" hidden="1" outlineLevel="2">
      <c r="B730" s="2889" t="s">
        <v>1650</v>
      </c>
      <c r="C730" s="2889" t="s">
        <v>1563</v>
      </c>
      <c r="D730" s="2889" t="s">
        <v>1559</v>
      </c>
      <c r="E730" s="2889" t="s">
        <v>217</v>
      </c>
      <c r="F730" s="2890">
        <v>0.17662631431873171</v>
      </c>
      <c r="G730" s="2890">
        <v>104.09813107282822</v>
      </c>
    </row>
    <row r="731" spans="2:7" ht="15" hidden="1" outlineLevel="2">
      <c r="B731" s="2889" t="s">
        <v>1651</v>
      </c>
      <c r="C731" s="2889" t="s">
        <v>1563</v>
      </c>
      <c r="D731" s="2889" t="s">
        <v>1559</v>
      </c>
      <c r="E731" s="2889" t="s">
        <v>217</v>
      </c>
      <c r="F731" s="2890">
        <v>0.11591506774051616</v>
      </c>
      <c r="G731" s="2890">
        <v>68.31685410302228</v>
      </c>
    </row>
    <row r="732" spans="2:7" ht="15" hidden="1" outlineLevel="2">
      <c r="B732" s="2889" t="s">
        <v>1652</v>
      </c>
      <c r="C732" s="2889" t="s">
        <v>1563</v>
      </c>
      <c r="D732" s="2889" t="s">
        <v>1559</v>
      </c>
      <c r="E732" s="2889" t="s">
        <v>217</v>
      </c>
      <c r="F732" s="2890">
        <v>0.15671578781813225</v>
      </c>
      <c r="G732" s="2890">
        <v>92.363595287757789</v>
      </c>
    </row>
    <row r="733" spans="2:7" ht="15" hidden="1" outlineLevel="2">
      <c r="B733" s="2889" t="s">
        <v>1653</v>
      </c>
      <c r="C733" s="2889" t="s">
        <v>1563</v>
      </c>
      <c r="D733" s="2889" t="s">
        <v>1559</v>
      </c>
      <c r="E733" s="2889" t="s">
        <v>217</v>
      </c>
      <c r="F733" s="2890">
        <v>0.96444406037473485</v>
      </c>
      <c r="G733" s="2890">
        <v>568.34634115836855</v>
      </c>
    </row>
    <row r="734" spans="2:7" ht="15" hidden="1" outlineLevel="2">
      <c r="B734" s="2889" t="s">
        <v>1407</v>
      </c>
      <c r="C734" s="2889" t="s">
        <v>1564</v>
      </c>
      <c r="D734" s="2889" t="s">
        <v>1559</v>
      </c>
      <c r="E734" s="2889" t="s">
        <v>217</v>
      </c>
      <c r="F734" s="2890">
        <v>6.274423415274169E-2</v>
      </c>
      <c r="G734" s="2890">
        <v>31.772529458901229</v>
      </c>
    </row>
    <row r="735" spans="2:7" ht="15" hidden="1" outlineLevel="2">
      <c r="B735" s="2889" t="s">
        <v>1631</v>
      </c>
      <c r="C735" s="2889" t="s">
        <v>1564</v>
      </c>
      <c r="D735" s="2889" t="s">
        <v>1559</v>
      </c>
      <c r="E735" s="2889" t="s">
        <v>217</v>
      </c>
      <c r="F735" s="2890">
        <v>3.011111626906247</v>
      </c>
      <c r="G735" s="2890">
        <v>1522.5390313362384</v>
      </c>
    </row>
    <row r="736" spans="2:7" ht="15" hidden="1" outlineLevel="2">
      <c r="B736" s="2889" t="s">
        <v>1632</v>
      </c>
      <c r="C736" s="2889" t="s">
        <v>1564</v>
      </c>
      <c r="D736" s="2889" t="s">
        <v>1559</v>
      </c>
      <c r="E736" s="2889" t="s">
        <v>217</v>
      </c>
      <c r="F736" s="2890">
        <v>3.6145035107630936</v>
      </c>
      <c r="G736" s="2890">
        <v>1830.09783824186</v>
      </c>
    </row>
    <row r="737" spans="2:7" ht="15" hidden="1" outlineLevel="2">
      <c r="B737" s="2889" t="s">
        <v>1633</v>
      </c>
      <c r="C737" s="2889" t="s">
        <v>1564</v>
      </c>
      <c r="D737" s="2889" t="s">
        <v>1559</v>
      </c>
      <c r="E737" s="2889" t="s">
        <v>217</v>
      </c>
      <c r="F737" s="2890">
        <v>0.21586615002739545</v>
      </c>
      <c r="G737" s="2890">
        <v>109.29753235882926</v>
      </c>
    </row>
    <row r="738" spans="2:7" ht="15" hidden="1" outlineLevel="2">
      <c r="B738" s="2889" t="s">
        <v>1634</v>
      </c>
      <c r="C738" s="2889" t="s">
        <v>1564</v>
      </c>
      <c r="D738" s="2889" t="s">
        <v>1559</v>
      </c>
      <c r="E738" s="2889" t="s">
        <v>217</v>
      </c>
      <c r="F738" s="2890">
        <v>6.7763832229460905E-2</v>
      </c>
      <c r="G738" s="2890">
        <v>34.314335067492415</v>
      </c>
    </row>
    <row r="739" spans="2:7" ht="15" hidden="1" outlineLevel="2">
      <c r="B739" s="2889" t="s">
        <v>1635</v>
      </c>
      <c r="C739" s="2889" t="s">
        <v>1564</v>
      </c>
      <c r="D739" s="2889" t="s">
        <v>1559</v>
      </c>
      <c r="E739" s="2889" t="s">
        <v>217</v>
      </c>
      <c r="F739" s="2890">
        <v>1.1395727971343332</v>
      </c>
      <c r="G739" s="2890">
        <v>576.98861548392199</v>
      </c>
    </row>
    <row r="740" spans="2:7" ht="15" hidden="1" outlineLevel="2">
      <c r="B740" s="2889" t="s">
        <v>1636</v>
      </c>
      <c r="C740" s="2889" t="s">
        <v>1564</v>
      </c>
      <c r="D740" s="2889" t="s">
        <v>1559</v>
      </c>
      <c r="E740" s="2889" t="s">
        <v>217</v>
      </c>
      <c r="F740" s="2890">
        <v>0.14809426589085195</v>
      </c>
      <c r="G740" s="2890">
        <v>74.983179006339142</v>
      </c>
    </row>
    <row r="741" spans="2:7" ht="15" hidden="1" outlineLevel="2">
      <c r="B741" s="2889" t="s">
        <v>1637</v>
      </c>
      <c r="C741" s="2889" t="s">
        <v>1564</v>
      </c>
      <c r="D741" s="2889" t="s">
        <v>1559</v>
      </c>
      <c r="E741" s="2889" t="s">
        <v>217</v>
      </c>
      <c r="F741" s="2890">
        <v>0.3112488984792432</v>
      </c>
      <c r="G741" s="2890">
        <v>157.59169837484561</v>
      </c>
    </row>
    <row r="742" spans="2:7" ht="15" hidden="1" outlineLevel="2">
      <c r="B742" s="2889" t="s">
        <v>1638</v>
      </c>
      <c r="C742" s="2889" t="s">
        <v>1564</v>
      </c>
      <c r="D742" s="2889" t="s">
        <v>1559</v>
      </c>
      <c r="E742" s="2889" t="s">
        <v>217</v>
      </c>
      <c r="F742" s="2890">
        <v>0.40156348182353258</v>
      </c>
      <c r="G742" s="2890">
        <v>203.3441980538646</v>
      </c>
    </row>
    <row r="743" spans="2:7" ht="15" hidden="1" outlineLevel="2">
      <c r="B743" s="2889" t="s">
        <v>1639</v>
      </c>
      <c r="C743" s="2889" t="s">
        <v>1564</v>
      </c>
      <c r="D743" s="2889" t="s">
        <v>1559</v>
      </c>
      <c r="E743" s="2889" t="s">
        <v>217</v>
      </c>
      <c r="F743" s="2890">
        <v>1.8925941612634065</v>
      </c>
      <c r="G743" s="2890">
        <v>958.25978614907149</v>
      </c>
    </row>
    <row r="744" spans="2:7" ht="15" hidden="1" outlineLevel="2">
      <c r="B744" s="2889" t="s">
        <v>1640</v>
      </c>
      <c r="C744" s="2889" t="s">
        <v>1564</v>
      </c>
      <c r="D744" s="2889" t="s">
        <v>1559</v>
      </c>
      <c r="E744" s="2889" t="s">
        <v>217</v>
      </c>
      <c r="F744" s="2890">
        <v>0.40407305556923873</v>
      </c>
      <c r="G744" s="2890">
        <v>204.61511726444061</v>
      </c>
    </row>
    <row r="745" spans="2:7" ht="15" hidden="1" outlineLevel="2">
      <c r="B745" s="2889" t="s">
        <v>1641</v>
      </c>
      <c r="C745" s="2889" t="s">
        <v>1564</v>
      </c>
      <c r="D745" s="2889" t="s">
        <v>1559</v>
      </c>
      <c r="E745" s="2889" t="s">
        <v>217</v>
      </c>
      <c r="F745" s="3039">
        <v>0.83083387869847658</v>
      </c>
      <c r="G745" s="2890">
        <v>420.66841930600651</v>
      </c>
    </row>
    <row r="746" spans="2:7" ht="15" hidden="1" outlineLevel="2">
      <c r="B746" s="2889" t="s">
        <v>1642</v>
      </c>
      <c r="C746" s="2889" t="s">
        <v>1564</v>
      </c>
      <c r="D746" s="2889" t="s">
        <v>1559</v>
      </c>
      <c r="E746" s="2889" t="s">
        <v>217</v>
      </c>
      <c r="F746" s="3039">
        <v>2.4448097687127293</v>
      </c>
      <c r="G746" s="2890">
        <v>1237.8578582483194</v>
      </c>
    </row>
    <row r="747" spans="2:7" ht="15" hidden="1" outlineLevel="2">
      <c r="B747" s="2889" t="s">
        <v>1643</v>
      </c>
      <c r="C747" s="2889" t="s">
        <v>1564</v>
      </c>
      <c r="D747" s="2889" t="s">
        <v>1559</v>
      </c>
      <c r="E747" s="2889" t="s">
        <v>217</v>
      </c>
      <c r="F747" s="3039">
        <v>0.23796546170722918</v>
      </c>
      <c r="G747" s="2890">
        <v>120.49065504300292</v>
      </c>
    </row>
    <row r="748" spans="2:7" ht="15" hidden="1" outlineLevel="2">
      <c r="B748" s="2889" t="s">
        <v>1644</v>
      </c>
      <c r="C748" s="2889" t="s">
        <v>1564</v>
      </c>
      <c r="D748" s="2889" t="s">
        <v>1559</v>
      </c>
      <c r="E748" s="2889" t="s">
        <v>217</v>
      </c>
      <c r="F748" s="3039">
        <v>7.4749929779883839</v>
      </c>
      <c r="G748" s="2890">
        <v>3784.7428901301801</v>
      </c>
    </row>
    <row r="749" spans="2:7" ht="15" hidden="1" outlineLevel="2">
      <c r="B749" s="2889" t="s">
        <v>1645</v>
      </c>
      <c r="C749" s="2889" t="s">
        <v>1564</v>
      </c>
      <c r="D749" s="2889" t="s">
        <v>1559</v>
      </c>
      <c r="E749" s="2889" t="s">
        <v>217</v>
      </c>
      <c r="F749" s="3039">
        <v>3.6521520129274716</v>
      </c>
      <c r="G749" s="2890">
        <v>1849.1615913088087</v>
      </c>
    </row>
    <row r="750" spans="2:7" ht="15" hidden="1" outlineLevel="2">
      <c r="B750" s="2889" t="s">
        <v>1646</v>
      </c>
      <c r="C750" s="2889" t="s">
        <v>1564</v>
      </c>
      <c r="D750" s="2889" t="s">
        <v>1559</v>
      </c>
      <c r="E750" s="2889" t="s">
        <v>217</v>
      </c>
      <c r="F750" s="3039">
        <v>0.23845677528658513</v>
      </c>
      <c r="G750" s="2890">
        <v>120.73558897304059</v>
      </c>
    </row>
    <row r="751" spans="2:7" ht="15" hidden="1" outlineLevel="2">
      <c r="B751" s="2889" t="s">
        <v>1647</v>
      </c>
      <c r="C751" s="2889" t="s">
        <v>1564</v>
      </c>
      <c r="D751" s="2889" t="s">
        <v>1559</v>
      </c>
      <c r="E751" s="2889" t="s">
        <v>217</v>
      </c>
      <c r="F751" s="3039">
        <v>0.18321330200027308</v>
      </c>
      <c r="G751" s="2890">
        <v>92.775815335775306</v>
      </c>
    </row>
    <row r="752" spans="2:7" ht="15" hidden="1" outlineLevel="2">
      <c r="B752" s="2889" t="s">
        <v>1648</v>
      </c>
      <c r="C752" s="2889" t="s">
        <v>1564</v>
      </c>
      <c r="D752" s="2889" t="s">
        <v>1559</v>
      </c>
      <c r="E752" s="2889" t="s">
        <v>217</v>
      </c>
      <c r="F752" s="3039">
        <v>0.40407305556923873</v>
      </c>
      <c r="G752" s="2890">
        <v>204.61511726444061</v>
      </c>
    </row>
    <row r="753" spans="2:7" ht="15" hidden="1" outlineLevel="2">
      <c r="B753" s="2889" t="s">
        <v>1649</v>
      </c>
      <c r="C753" s="2889" t="s">
        <v>1564</v>
      </c>
      <c r="D753" s="2889" t="s">
        <v>1559</v>
      </c>
      <c r="E753" s="2889" t="s">
        <v>217</v>
      </c>
      <c r="F753" s="3039">
        <v>0.39654386215713749</v>
      </c>
      <c r="G753" s="2890">
        <v>200.80243002769316</v>
      </c>
    </row>
    <row r="754" spans="2:7" ht="15" hidden="1" outlineLevel="2">
      <c r="B754" s="2889" t="s">
        <v>1650</v>
      </c>
      <c r="C754" s="2889" t="s">
        <v>1564</v>
      </c>
      <c r="D754" s="2889" t="s">
        <v>1559</v>
      </c>
      <c r="E754" s="2889" t="s">
        <v>217</v>
      </c>
      <c r="F754" s="3039">
        <v>0.56720814482890192</v>
      </c>
      <c r="G754" s="2890">
        <v>287.22356114839448</v>
      </c>
    </row>
    <row r="755" spans="2:7" ht="15" hidden="1" outlineLevel="2">
      <c r="B755" s="2889" t="s">
        <v>1651</v>
      </c>
      <c r="C755" s="2889" t="s">
        <v>1564</v>
      </c>
      <c r="D755" s="2889" t="s">
        <v>1559</v>
      </c>
      <c r="E755" s="2889" t="s">
        <v>217</v>
      </c>
      <c r="F755" s="3039">
        <v>0.25599655754754702</v>
      </c>
      <c r="G755" s="2890">
        <v>129.63190358786494</v>
      </c>
    </row>
    <row r="756" spans="2:7" ht="15" hidden="1" outlineLevel="2">
      <c r="B756" s="2889" t="s">
        <v>1652</v>
      </c>
      <c r="C756" s="2889" t="s">
        <v>1564</v>
      </c>
      <c r="D756" s="2889" t="s">
        <v>1559</v>
      </c>
      <c r="E756" s="2889" t="s">
        <v>217</v>
      </c>
      <c r="F756" s="3039">
        <v>0.40407305555667256</v>
      </c>
      <c r="G756" s="2890">
        <v>204.61511726666242</v>
      </c>
    </row>
    <row r="757" spans="2:7" ht="15" hidden="1" outlineLevel="2">
      <c r="B757" s="2889" t="s">
        <v>1653</v>
      </c>
      <c r="C757" s="2889" t="s">
        <v>1564</v>
      </c>
      <c r="D757" s="2889" t="s">
        <v>1559</v>
      </c>
      <c r="E757" s="2889" t="s">
        <v>217</v>
      </c>
      <c r="F757" s="3039">
        <v>0.45432280485815424</v>
      </c>
      <c r="G757" s="2890">
        <v>230.03310488764376</v>
      </c>
    </row>
    <row r="758" spans="2:7" ht="15" hidden="1" outlineLevel="2">
      <c r="B758" s="2889" t="s">
        <v>1407</v>
      </c>
      <c r="C758" s="2889" t="s">
        <v>1565</v>
      </c>
      <c r="D758" s="2889" t="s">
        <v>1559</v>
      </c>
      <c r="E758" s="2889" t="s">
        <v>217</v>
      </c>
      <c r="F758" s="3039">
        <v>7.4931532246820309E-2</v>
      </c>
      <c r="G758" s="2890">
        <v>40.323839803129083</v>
      </c>
    </row>
    <row r="759" spans="2:7" ht="15" hidden="1" outlineLevel="2">
      <c r="B759" s="2889" t="s">
        <v>1631</v>
      </c>
      <c r="C759" s="2889" t="s">
        <v>1565</v>
      </c>
      <c r="D759" s="2889" t="s">
        <v>1559</v>
      </c>
      <c r="E759" s="2889" t="s">
        <v>217</v>
      </c>
      <c r="F759" s="3039">
        <v>0.44214824707057743</v>
      </c>
      <c r="G759" s="2890">
        <v>237.59108192634793</v>
      </c>
    </row>
    <row r="760" spans="2:7" ht="15" hidden="1" outlineLevel="2">
      <c r="B760" s="2889" t="s">
        <v>1632</v>
      </c>
      <c r="C760" s="2889" t="s">
        <v>1565</v>
      </c>
      <c r="D760" s="2889" t="s">
        <v>1559</v>
      </c>
      <c r="E760" s="2889" t="s">
        <v>217</v>
      </c>
      <c r="F760" s="3039">
        <v>0.73160744738203065</v>
      </c>
      <c r="G760" s="2890">
        <v>393.66259090017599</v>
      </c>
    </row>
    <row r="761" spans="2:7" ht="15" hidden="1" outlineLevel="2">
      <c r="B761" s="2889" t="s">
        <v>1633</v>
      </c>
      <c r="C761" s="2889" t="s">
        <v>1565</v>
      </c>
      <c r="D761" s="2889" t="s">
        <v>1559</v>
      </c>
      <c r="E761" s="2889" t="s">
        <v>217</v>
      </c>
      <c r="F761" s="3039">
        <v>6.7526689351383867E-2</v>
      </c>
      <c r="G761" s="2890">
        <v>36.334687950946616</v>
      </c>
    </row>
    <row r="762" spans="2:7" ht="15" hidden="1" outlineLevel="2">
      <c r="B762" s="2889" t="s">
        <v>1634</v>
      </c>
      <c r="C762" s="2889" t="s">
        <v>1565</v>
      </c>
      <c r="D762" s="2889" t="s">
        <v>1559</v>
      </c>
      <c r="E762" s="2889" t="s">
        <v>217</v>
      </c>
      <c r="F762" s="3039">
        <v>2.8141755968393453E-2</v>
      </c>
      <c r="G762" s="2890">
        <v>15.144293798613969</v>
      </c>
    </row>
    <row r="763" spans="2:7" ht="15" hidden="1" outlineLevel="2">
      <c r="B763" s="2889" t="s">
        <v>1635</v>
      </c>
      <c r="C763" s="2889" t="s">
        <v>1565</v>
      </c>
      <c r="D763" s="2889" t="s">
        <v>1559</v>
      </c>
      <c r="E763" s="2889" t="s">
        <v>217</v>
      </c>
      <c r="F763" s="3039">
        <v>0.1304527567900986</v>
      </c>
      <c r="G763" s="2890">
        <v>70.193870966780977</v>
      </c>
    </row>
    <row r="764" spans="2:7" ht="15" hidden="1" outlineLevel="2">
      <c r="B764" s="2889" t="s">
        <v>1636</v>
      </c>
      <c r="C764" s="2889" t="s">
        <v>1565</v>
      </c>
      <c r="D764" s="2889" t="s">
        <v>1559</v>
      </c>
      <c r="E764" s="2889" t="s">
        <v>217</v>
      </c>
      <c r="F764" s="3039">
        <v>8.2771768823201822E-2</v>
      </c>
      <c r="G764" s="2890">
        <v>44.537775668977609</v>
      </c>
    </row>
    <row r="765" spans="2:7" ht="15" hidden="1" outlineLevel="2">
      <c r="B765" s="2889" t="s">
        <v>1637</v>
      </c>
      <c r="C765" s="2889" t="s">
        <v>1565</v>
      </c>
      <c r="D765" s="2889" t="s">
        <v>1559</v>
      </c>
      <c r="E765" s="2889" t="s">
        <v>217</v>
      </c>
      <c r="F765" s="3039">
        <v>0.1069541625967861</v>
      </c>
      <c r="G765" s="2890">
        <v>57.549801655713274</v>
      </c>
    </row>
    <row r="766" spans="2:7" ht="15" hidden="1" outlineLevel="2">
      <c r="B766" s="2889" t="s">
        <v>1638</v>
      </c>
      <c r="C766" s="2889" t="s">
        <v>1565</v>
      </c>
      <c r="D766" s="2889" t="s">
        <v>1559</v>
      </c>
      <c r="E766" s="2889" t="s">
        <v>217</v>
      </c>
      <c r="F766" s="3039">
        <v>3.3817845280865538E-2</v>
      </c>
      <c r="G766" s="2890">
        <v>18.198832612451138</v>
      </c>
    </row>
    <row r="767" spans="2:7" ht="15" hidden="1" outlineLevel="2">
      <c r="B767" s="2889" t="s">
        <v>1639</v>
      </c>
      <c r="C767" s="2889" t="s">
        <v>1565</v>
      </c>
      <c r="D767" s="2889" t="s">
        <v>1559</v>
      </c>
      <c r="E767" s="2889" t="s">
        <v>217</v>
      </c>
      <c r="F767" s="3039">
        <v>0.17877393350564746</v>
      </c>
      <c r="G767" s="2890">
        <v>96.194494516443513</v>
      </c>
    </row>
    <row r="768" spans="2:7" ht="15" hidden="1" outlineLevel="2">
      <c r="B768" s="2889" t="s">
        <v>1640</v>
      </c>
      <c r="C768" s="2889" t="s">
        <v>1565</v>
      </c>
      <c r="D768" s="2889" t="s">
        <v>1559</v>
      </c>
      <c r="E768" s="2889" t="s">
        <v>217</v>
      </c>
      <c r="F768" s="3039">
        <v>3.9280523714084803E-2</v>
      </c>
      <c r="G768" s="2890">
        <v>21.13854605479051</v>
      </c>
    </row>
    <row r="769" spans="2:7" ht="15" hidden="1" outlineLevel="2">
      <c r="B769" s="2889" t="s">
        <v>1641</v>
      </c>
      <c r="C769" s="2889" t="s">
        <v>1565</v>
      </c>
      <c r="D769" s="2889" t="s">
        <v>1559</v>
      </c>
      <c r="E769" s="2889" t="s">
        <v>217</v>
      </c>
      <c r="F769" s="3039">
        <v>0.19893173516141682</v>
      </c>
      <c r="G769" s="2890">
        <v>107.04097688539052</v>
      </c>
    </row>
    <row r="770" spans="2:7" ht="15" hidden="1" outlineLevel="2">
      <c r="B770" s="2889" t="s">
        <v>1642</v>
      </c>
      <c r="C770" s="2889" t="s">
        <v>1565</v>
      </c>
      <c r="D770" s="2889" t="s">
        <v>1559</v>
      </c>
      <c r="E770" s="2889" t="s">
        <v>217</v>
      </c>
      <c r="F770" s="2890">
        <v>0.22173499323588475</v>
      </c>
      <c r="G770" s="2890">
        <v>119.31100899286926</v>
      </c>
    </row>
    <row r="771" spans="2:7" ht="15" hidden="1" outlineLevel="2">
      <c r="B771" s="2889" t="s">
        <v>1643</v>
      </c>
      <c r="C771" s="2889" t="s">
        <v>1565</v>
      </c>
      <c r="D771" s="2889" t="s">
        <v>1559</v>
      </c>
      <c r="E771" s="2889" t="s">
        <v>217</v>
      </c>
      <c r="F771" s="2890">
        <v>3.5265107981360788E-2</v>
      </c>
      <c r="G771" s="2890">
        <v>18.97599368187446</v>
      </c>
    </row>
    <row r="772" spans="2:7" ht="15" hidden="1" outlineLevel="2">
      <c r="B772" s="2889" t="s">
        <v>1644</v>
      </c>
      <c r="C772" s="2889" t="s">
        <v>1565</v>
      </c>
      <c r="D772" s="2889" t="s">
        <v>1559</v>
      </c>
      <c r="E772" s="2889" t="s">
        <v>217</v>
      </c>
      <c r="F772" s="2890">
        <v>0.79185771868745247</v>
      </c>
      <c r="G772" s="2890">
        <v>426.08232660224161</v>
      </c>
    </row>
    <row r="773" spans="2:7" ht="15" hidden="1" outlineLevel="2">
      <c r="B773" s="2889" t="s">
        <v>1645</v>
      </c>
      <c r="C773" s="2889" t="s">
        <v>1565</v>
      </c>
      <c r="D773" s="2889" t="s">
        <v>1559</v>
      </c>
      <c r="E773" s="2889" t="s">
        <v>217</v>
      </c>
      <c r="F773" s="2890">
        <v>0.70885670416222013</v>
      </c>
      <c r="G773" s="2890">
        <v>381.42120793259079</v>
      </c>
    </row>
    <row r="774" spans="2:7" ht="15" hidden="1" outlineLevel="2">
      <c r="B774" s="2889" t="s">
        <v>1646</v>
      </c>
      <c r="C774" s="2889" t="s">
        <v>1565</v>
      </c>
      <c r="D774" s="2889" t="s">
        <v>1559</v>
      </c>
      <c r="E774" s="2889" t="s">
        <v>217</v>
      </c>
      <c r="F774" s="2890">
        <v>4.025349446983028E-2</v>
      </c>
      <c r="G774" s="2890">
        <v>21.659575923813698</v>
      </c>
    </row>
    <row r="775" spans="2:7" ht="15" hidden="1" outlineLevel="2">
      <c r="B775" s="2889" t="s">
        <v>1647</v>
      </c>
      <c r="C775" s="2889" t="s">
        <v>1565</v>
      </c>
      <c r="D775" s="2889" t="s">
        <v>1559</v>
      </c>
      <c r="E775" s="2889" t="s">
        <v>217</v>
      </c>
      <c r="F775" s="2890">
        <v>8.2227388994341233E-2</v>
      </c>
      <c r="G775" s="2890">
        <v>44.250086028411005</v>
      </c>
    </row>
    <row r="776" spans="2:7" ht="15" hidden="1" outlineLevel="2">
      <c r="B776" s="2889" t="s">
        <v>1648</v>
      </c>
      <c r="C776" s="2889" t="s">
        <v>1565</v>
      </c>
      <c r="D776" s="2889" t="s">
        <v>1559</v>
      </c>
      <c r="E776" s="2889" t="s">
        <v>217</v>
      </c>
      <c r="F776" s="2890">
        <v>2.3069082600463389E-2</v>
      </c>
      <c r="G776" s="2890">
        <v>12.414461766056258</v>
      </c>
    </row>
    <row r="777" spans="2:7" ht="15" hidden="1" outlineLevel="2">
      <c r="B777" s="2889" t="s">
        <v>1649</v>
      </c>
      <c r="C777" s="2889" t="s">
        <v>1565</v>
      </c>
      <c r="D777" s="2889" t="s">
        <v>1559</v>
      </c>
      <c r="E777" s="2889" t="s">
        <v>217</v>
      </c>
      <c r="F777" s="2890">
        <v>3.9179571351829319E-2</v>
      </c>
      <c r="G777" s="2890">
        <v>21.084223208862834</v>
      </c>
    </row>
    <row r="778" spans="2:7" ht="15" hidden="1" outlineLevel="2">
      <c r="B778" s="2889" t="s">
        <v>1650</v>
      </c>
      <c r="C778" s="2889" t="s">
        <v>1565</v>
      </c>
      <c r="D778" s="2889" t="s">
        <v>1559</v>
      </c>
      <c r="E778" s="2889" t="s">
        <v>217</v>
      </c>
      <c r="F778" s="2890">
        <v>0.12449732322631317</v>
      </c>
      <c r="G778" s="2890">
        <v>66.997349014560001</v>
      </c>
    </row>
    <row r="779" spans="2:7" ht="15" hidden="1" outlineLevel="2">
      <c r="B779" s="2889" t="s">
        <v>1651</v>
      </c>
      <c r="C779" s="2889" t="s">
        <v>1565</v>
      </c>
      <c r="D779" s="2889" t="s">
        <v>1559</v>
      </c>
      <c r="E779" s="2889" t="s">
        <v>217</v>
      </c>
      <c r="F779" s="2890">
        <v>8.170427418343168E-2</v>
      </c>
      <c r="G779" s="2890">
        <v>43.968601191284357</v>
      </c>
    </row>
    <row r="780" spans="2:7" ht="15" hidden="1" outlineLevel="2">
      <c r="B780" s="2889" t="s">
        <v>1652</v>
      </c>
      <c r="C780" s="2889" t="s">
        <v>1565</v>
      </c>
      <c r="D780" s="2889" t="s">
        <v>1559</v>
      </c>
      <c r="E780" s="2889" t="s">
        <v>217</v>
      </c>
      <c r="F780" s="2890">
        <v>0.11046318719649088</v>
      </c>
      <c r="G780" s="2890">
        <v>59.444958678803808</v>
      </c>
    </row>
    <row r="781" spans="2:7" ht="15" hidden="1" outlineLevel="2">
      <c r="B781" s="2889" t="s">
        <v>1653</v>
      </c>
      <c r="C781" s="2889" t="s">
        <v>1565</v>
      </c>
      <c r="D781" s="2889" t="s">
        <v>1559</v>
      </c>
      <c r="E781" s="2889" t="s">
        <v>217</v>
      </c>
      <c r="F781" s="2890">
        <v>0.67980107359838038</v>
      </c>
      <c r="G781" s="2890">
        <v>365.78648457262403</v>
      </c>
    </row>
    <row r="782" spans="2:7" ht="15" hidden="1" outlineLevel="2">
      <c r="B782" s="2889" t="s">
        <v>1407</v>
      </c>
      <c r="C782" s="2889" t="s">
        <v>1566</v>
      </c>
      <c r="D782" s="2889" t="s">
        <v>1559</v>
      </c>
      <c r="E782" s="2889" t="s">
        <v>217</v>
      </c>
      <c r="F782" s="2890">
        <v>5.5378745732760866E-2</v>
      </c>
      <c r="G782" s="2890">
        <v>29.667979638745773</v>
      </c>
    </row>
    <row r="783" spans="2:7" ht="15" hidden="1" outlineLevel="2">
      <c r="B783" s="2889" t="s">
        <v>1631</v>
      </c>
      <c r="C783" s="2889" t="s">
        <v>1566</v>
      </c>
      <c r="D783" s="2889" t="s">
        <v>1559</v>
      </c>
      <c r="E783" s="2889" t="s">
        <v>217</v>
      </c>
      <c r="F783" s="2890">
        <v>2.6576377534383653</v>
      </c>
      <c r="G783" s="2890">
        <v>1421.6890469635975</v>
      </c>
    </row>
    <row r="784" spans="2:7" ht="15" hidden="1" outlineLevel="2">
      <c r="B784" s="2889" t="s">
        <v>1632</v>
      </c>
      <c r="C784" s="2889" t="s">
        <v>1566</v>
      </c>
      <c r="D784" s="2889" t="s">
        <v>1559</v>
      </c>
      <c r="E784" s="2889" t="s">
        <v>217</v>
      </c>
      <c r="F784" s="2890">
        <v>3.1901987332675223</v>
      </c>
      <c r="G784" s="2890">
        <v>1708.8762696834744</v>
      </c>
    </row>
    <row r="785" spans="2:7" ht="15" hidden="1" outlineLevel="2">
      <c r="B785" s="2889" t="s">
        <v>1633</v>
      </c>
      <c r="C785" s="2889" t="s">
        <v>1566</v>
      </c>
      <c r="D785" s="2889" t="s">
        <v>1559</v>
      </c>
      <c r="E785" s="2889" t="s">
        <v>217</v>
      </c>
      <c r="F785" s="2890">
        <v>0.19052566008056318</v>
      </c>
      <c r="G785" s="2890">
        <v>102.05782172114117</v>
      </c>
    </row>
    <row r="786" spans="2:7" ht="15" hidden="1" outlineLevel="2">
      <c r="B786" s="2889" t="s">
        <v>1634</v>
      </c>
      <c r="C786" s="2889" t="s">
        <v>1566</v>
      </c>
      <c r="D786" s="2889" t="s">
        <v>1559</v>
      </c>
      <c r="E786" s="2889" t="s">
        <v>217</v>
      </c>
      <c r="F786" s="2890">
        <v>5.9809038606353858E-2</v>
      </c>
      <c r="G786" s="2890">
        <v>32.041402570077771</v>
      </c>
    </row>
    <row r="787" spans="2:7" ht="15" hidden="1" outlineLevel="2">
      <c r="B787" s="2889" t="s">
        <v>1635</v>
      </c>
      <c r="C787" s="2889" t="s">
        <v>1566</v>
      </c>
      <c r="D787" s="2889" t="s">
        <v>1559</v>
      </c>
      <c r="E787" s="2889" t="s">
        <v>217</v>
      </c>
      <c r="F787" s="2890">
        <v>1.0057988513757505</v>
      </c>
      <c r="G787" s="2890">
        <v>538.77037371702261</v>
      </c>
    </row>
    <row r="788" spans="2:7" ht="15" hidden="1" outlineLevel="2">
      <c r="B788" s="2889" t="s">
        <v>1636</v>
      </c>
      <c r="C788" s="2889" t="s">
        <v>1566</v>
      </c>
      <c r="D788" s="2889" t="s">
        <v>1559</v>
      </c>
      <c r="E788" s="2889" t="s">
        <v>217</v>
      </c>
      <c r="F788" s="2890">
        <v>0.13070948389985065</v>
      </c>
      <c r="G788" s="2890">
        <v>70.016445793809979</v>
      </c>
    </row>
    <row r="789" spans="2:7" ht="15" hidden="1" outlineLevel="2">
      <c r="B789" s="2889" t="s">
        <v>1637</v>
      </c>
      <c r="C789" s="2889" t="s">
        <v>1566</v>
      </c>
      <c r="D789" s="2889" t="s">
        <v>1559</v>
      </c>
      <c r="E789" s="2889" t="s">
        <v>217</v>
      </c>
      <c r="F789" s="2890">
        <v>0.27471140523035309</v>
      </c>
      <c r="G789" s="2890">
        <v>147.15320898713574</v>
      </c>
    </row>
    <row r="790" spans="2:7" ht="15" hidden="1" outlineLevel="2">
      <c r="B790" s="2889" t="s">
        <v>1638</v>
      </c>
      <c r="C790" s="2889" t="s">
        <v>1566</v>
      </c>
      <c r="D790" s="2889" t="s">
        <v>1559</v>
      </c>
      <c r="E790" s="2889" t="s">
        <v>217</v>
      </c>
      <c r="F790" s="3039">
        <v>0.35442395053111242</v>
      </c>
      <c r="G790" s="2890">
        <v>189.87493253649592</v>
      </c>
    </row>
    <row r="791" spans="2:7" ht="15" hidden="1" outlineLevel="2">
      <c r="B791" s="2889" t="s">
        <v>1639</v>
      </c>
      <c r="C791" s="2889" t="s">
        <v>1566</v>
      </c>
      <c r="D791" s="2889" t="s">
        <v>1559</v>
      </c>
      <c r="E791" s="2889" t="s">
        <v>217</v>
      </c>
      <c r="F791" s="3039">
        <v>1.6704233816576537</v>
      </c>
      <c r="G791" s="2890">
        <v>894.78594013127713</v>
      </c>
    </row>
    <row r="792" spans="2:7" ht="15" hidden="1" outlineLevel="2">
      <c r="B792" s="2889" t="s">
        <v>1640</v>
      </c>
      <c r="C792" s="2889" t="s">
        <v>1566</v>
      </c>
      <c r="D792" s="2889" t="s">
        <v>1559</v>
      </c>
      <c r="E792" s="2889" t="s">
        <v>217</v>
      </c>
      <c r="F792" s="3039">
        <v>0.35663897917856452</v>
      </c>
      <c r="G792" s="2890">
        <v>191.06180248909658</v>
      </c>
    </row>
    <row r="793" spans="2:7" ht="15" hidden="1" outlineLevel="2">
      <c r="B793" s="2889" t="s">
        <v>1641</v>
      </c>
      <c r="C793" s="2889" t="s">
        <v>1566</v>
      </c>
      <c r="D793" s="2889" t="s">
        <v>1559</v>
      </c>
      <c r="E793" s="2889" t="s">
        <v>217</v>
      </c>
      <c r="F793" s="3039">
        <v>0.7333021530320657</v>
      </c>
      <c r="G793" s="2890">
        <v>392.80398754151156</v>
      </c>
    </row>
    <row r="794" spans="2:7" ht="15" hidden="1" outlineLevel="2">
      <c r="B794" s="2889" t="s">
        <v>1642</v>
      </c>
      <c r="C794" s="2889" t="s">
        <v>1566</v>
      </c>
      <c r="D794" s="2889" t="s">
        <v>1559</v>
      </c>
      <c r="E794" s="2889" t="s">
        <v>217</v>
      </c>
      <c r="F794" s="3039">
        <v>2.1578148016677074</v>
      </c>
      <c r="G794" s="2890">
        <v>1155.8635971056042</v>
      </c>
    </row>
    <row r="795" spans="2:7" ht="15" hidden="1" outlineLevel="2">
      <c r="B795" s="2889" t="s">
        <v>1643</v>
      </c>
      <c r="C795" s="2889" t="s">
        <v>1566</v>
      </c>
      <c r="D795" s="2889" t="s">
        <v>1559</v>
      </c>
      <c r="E795" s="2889" t="s">
        <v>217</v>
      </c>
      <c r="F795" s="3039">
        <v>0.21003069726523713</v>
      </c>
      <c r="G795" s="2890">
        <v>112.50945288311824</v>
      </c>
    </row>
    <row r="796" spans="2:7" ht="15" hidden="1" outlineLevel="2">
      <c r="B796" s="2889" t="s">
        <v>1644</v>
      </c>
      <c r="C796" s="2889" t="s">
        <v>1566</v>
      </c>
      <c r="D796" s="2889" t="s">
        <v>1559</v>
      </c>
      <c r="E796" s="2889" t="s">
        <v>217</v>
      </c>
      <c r="F796" s="3039">
        <v>6.5975082230540725</v>
      </c>
      <c r="G796" s="2890">
        <v>3534.0494739974606</v>
      </c>
    </row>
    <row r="797" spans="2:7" ht="15" hidden="1" outlineLevel="2">
      <c r="B797" s="2889" t="s">
        <v>1645</v>
      </c>
      <c r="C797" s="2889" t="s">
        <v>1566</v>
      </c>
      <c r="D797" s="2889" t="s">
        <v>1559</v>
      </c>
      <c r="E797" s="2889" t="s">
        <v>217</v>
      </c>
      <c r="F797" s="2890">
        <v>3.2234286115465851</v>
      </c>
      <c r="G797" s="2890">
        <v>1726.6762498268934</v>
      </c>
    </row>
    <row r="798" spans="2:7" ht="15" hidden="1" outlineLevel="2">
      <c r="B798" s="2889" t="s">
        <v>1646</v>
      </c>
      <c r="C798" s="2889" t="s">
        <v>1566</v>
      </c>
      <c r="D798" s="2889" t="s">
        <v>1559</v>
      </c>
      <c r="E798" s="2889" t="s">
        <v>217</v>
      </c>
      <c r="F798" s="2890">
        <v>0.21046445845364589</v>
      </c>
      <c r="G798" s="2890">
        <v>112.73842024248974</v>
      </c>
    </row>
    <row r="799" spans="2:7" ht="15" hidden="1" outlineLevel="2">
      <c r="B799" s="2889" t="s">
        <v>1647</v>
      </c>
      <c r="C799" s="2889" t="s">
        <v>1566</v>
      </c>
      <c r="D799" s="2889" t="s">
        <v>1559</v>
      </c>
      <c r="E799" s="2889" t="s">
        <v>217</v>
      </c>
      <c r="F799" s="2890">
        <v>0.16170589971301674</v>
      </c>
      <c r="G799" s="2890">
        <v>86.630559596121202</v>
      </c>
    </row>
    <row r="800" spans="2:7" ht="15" hidden="1" outlineLevel="2">
      <c r="B800" s="2889" t="s">
        <v>1648</v>
      </c>
      <c r="C800" s="2889" t="s">
        <v>1566</v>
      </c>
      <c r="D800" s="2889" t="s">
        <v>1559</v>
      </c>
      <c r="E800" s="2889" t="s">
        <v>217</v>
      </c>
      <c r="F800" s="2890">
        <v>0.35663897917856452</v>
      </c>
      <c r="G800" s="2890">
        <v>191.06180248909658</v>
      </c>
    </row>
    <row r="801" spans="2:7" ht="15" hidden="1" outlineLevel="2">
      <c r="B801" s="2889" t="s">
        <v>1649</v>
      </c>
      <c r="C801" s="2889" t="s">
        <v>1566</v>
      </c>
      <c r="D801" s="2889" t="s">
        <v>1559</v>
      </c>
      <c r="E801" s="2889" t="s">
        <v>217</v>
      </c>
      <c r="F801" s="2890">
        <v>0.34999369796539648</v>
      </c>
      <c r="G801" s="2890">
        <v>187.50159520050425</v>
      </c>
    </row>
    <row r="802" spans="2:7" ht="15" hidden="1" outlineLevel="2">
      <c r="B802" s="2889" t="s">
        <v>1650</v>
      </c>
      <c r="C802" s="2889" t="s">
        <v>1566</v>
      </c>
      <c r="D802" s="2889" t="s">
        <v>1559</v>
      </c>
      <c r="E802" s="2889" t="s">
        <v>217</v>
      </c>
      <c r="F802" s="2890">
        <v>0.50062389142601016</v>
      </c>
      <c r="G802" s="2890">
        <v>268.19850488421292</v>
      </c>
    </row>
    <row r="803" spans="2:7" ht="15" hidden="1" outlineLevel="2">
      <c r="B803" s="2889" t="s">
        <v>1651</v>
      </c>
      <c r="C803" s="2889" t="s">
        <v>1566</v>
      </c>
      <c r="D803" s="2889" t="s">
        <v>1559</v>
      </c>
      <c r="E803" s="2889" t="s">
        <v>217</v>
      </c>
      <c r="F803" s="2890">
        <v>0.22594528465569386</v>
      </c>
      <c r="G803" s="2890">
        <v>121.04534528099919</v>
      </c>
    </row>
    <row r="804" spans="2:7" ht="15" hidden="1" outlineLevel="2">
      <c r="B804" s="2889" t="s">
        <v>1652</v>
      </c>
      <c r="C804" s="2889" t="s">
        <v>1566</v>
      </c>
      <c r="D804" s="2889" t="s">
        <v>1559</v>
      </c>
      <c r="E804" s="2889" t="s">
        <v>217</v>
      </c>
      <c r="F804" s="2890">
        <v>0.3566389792046637</v>
      </c>
      <c r="G804" s="2890">
        <v>191.06180249424025</v>
      </c>
    </row>
    <row r="805" spans="2:7" ht="15" hidden="1" outlineLevel="2">
      <c r="B805" s="2889" t="s">
        <v>1653</v>
      </c>
      <c r="C805" s="2889" t="s">
        <v>1566</v>
      </c>
      <c r="D805" s="2889" t="s">
        <v>1559</v>
      </c>
      <c r="E805" s="2889" t="s">
        <v>217</v>
      </c>
      <c r="F805" s="2890">
        <v>0.40099018893817173</v>
      </c>
      <c r="G805" s="2890">
        <v>214.79612426189715</v>
      </c>
    </row>
    <row r="806" spans="2:7" ht="15" hidden="1" outlineLevel="2">
      <c r="B806" s="2889" t="s">
        <v>1407</v>
      </c>
      <c r="C806" s="2889" t="s">
        <v>1567</v>
      </c>
      <c r="D806" s="2889" t="s">
        <v>1559</v>
      </c>
      <c r="E806" s="2889" t="s">
        <v>217</v>
      </c>
      <c r="F806" s="2890">
        <v>0.13049815093121178</v>
      </c>
      <c r="G806" s="2890">
        <v>19.191831458053741</v>
      </c>
    </row>
    <row r="807" spans="2:7" ht="15" hidden="1" outlineLevel="2">
      <c r="B807" s="2889" t="s">
        <v>1631</v>
      </c>
      <c r="C807" s="2889" t="s">
        <v>1567</v>
      </c>
      <c r="D807" s="2889" t="s">
        <v>1559</v>
      </c>
      <c r="E807" s="2889" t="s">
        <v>217</v>
      </c>
      <c r="F807" s="2890">
        <v>0.7704165333447357</v>
      </c>
      <c r="G807" s="2890">
        <v>113.07970190747871</v>
      </c>
    </row>
    <row r="808" spans="2:7" ht="15" hidden="1" outlineLevel="2">
      <c r="B808" s="2889" t="s">
        <v>1632</v>
      </c>
      <c r="C808" s="2889" t="s">
        <v>1567</v>
      </c>
      <c r="D808" s="2889" t="s">
        <v>1559</v>
      </c>
      <c r="E808" s="2889" t="s">
        <v>217</v>
      </c>
      <c r="F808" s="2890">
        <v>1.2728762363362254</v>
      </c>
      <c r="G808" s="2890">
        <v>187.36077369212845</v>
      </c>
    </row>
    <row r="809" spans="2:7" ht="15" hidden="1" outlineLevel="2">
      <c r="B809" s="2889" t="s">
        <v>1633</v>
      </c>
      <c r="C809" s="2889" t="s">
        <v>1567</v>
      </c>
      <c r="D809" s="2889" t="s">
        <v>1559</v>
      </c>
      <c r="E809" s="2889" t="s">
        <v>217</v>
      </c>
      <c r="F809" s="2890">
        <v>0.11748529684641761</v>
      </c>
      <c r="G809" s="2890">
        <v>17.293218167474112</v>
      </c>
    </row>
    <row r="810" spans="2:7" ht="15" hidden="1" outlineLevel="2">
      <c r="B810" s="2889" t="s">
        <v>1634</v>
      </c>
      <c r="C810" s="2889" t="s">
        <v>1567</v>
      </c>
      <c r="D810" s="2889" t="s">
        <v>1559</v>
      </c>
      <c r="E810" s="2889" t="s">
        <v>217</v>
      </c>
      <c r="F810" s="2890">
        <v>1.7546773625768003E-31</v>
      </c>
      <c r="G810" s="2890">
        <v>2.5805309712978553E-29</v>
      </c>
    </row>
    <row r="811" spans="2:7" ht="15" hidden="1" outlineLevel="2">
      <c r="B811" s="2889" t="s">
        <v>1635</v>
      </c>
      <c r="C811" s="2889" t="s">
        <v>1567</v>
      </c>
      <c r="D811" s="2889" t="s">
        <v>1559</v>
      </c>
      <c r="E811" s="2889" t="s">
        <v>217</v>
      </c>
      <c r="F811" s="2890">
        <v>0.226966294082597</v>
      </c>
      <c r="G811" s="2890">
        <v>33.408235837355591</v>
      </c>
    </row>
    <row r="812" spans="2:7" ht="15" hidden="1" outlineLevel="2">
      <c r="B812" s="2889" t="s">
        <v>1636</v>
      </c>
      <c r="C812" s="2889" t="s">
        <v>1567</v>
      </c>
      <c r="D812" s="2889" t="s">
        <v>1559</v>
      </c>
      <c r="E812" s="2889" t="s">
        <v>217</v>
      </c>
      <c r="F812" s="2890">
        <v>0.14400923034185256</v>
      </c>
      <c r="G812" s="2890">
        <v>21.197394835948202</v>
      </c>
    </row>
    <row r="813" spans="2:7" ht="15" hidden="1" outlineLevel="2">
      <c r="B813" s="2889" t="s">
        <v>1637</v>
      </c>
      <c r="C813" s="2889" t="s">
        <v>1567</v>
      </c>
      <c r="D813" s="2889" t="s">
        <v>1559</v>
      </c>
      <c r="E813" s="2889" t="s">
        <v>217</v>
      </c>
      <c r="F813" s="2890">
        <v>0.18608258845993064</v>
      </c>
      <c r="G813" s="2890">
        <v>27.390400045116149</v>
      </c>
    </row>
    <row r="814" spans="2:7" ht="15" hidden="1" outlineLevel="2">
      <c r="B814" s="2889" t="s">
        <v>1638</v>
      </c>
      <c r="C814" s="2889" t="s">
        <v>1567</v>
      </c>
      <c r="D814" s="2889" t="s">
        <v>1559</v>
      </c>
      <c r="E814" s="2889" t="s">
        <v>217</v>
      </c>
      <c r="F814" s="2890">
        <v>4.5555325274805243E-32</v>
      </c>
      <c r="G814" s="2890">
        <v>6.699639315255911E-30</v>
      </c>
    </row>
    <row r="815" spans="2:7" ht="15" hidden="1" outlineLevel="2">
      <c r="B815" s="2889" t="s">
        <v>1639</v>
      </c>
      <c r="C815" s="2889" t="s">
        <v>1567</v>
      </c>
      <c r="D815" s="2889" t="s">
        <v>1559</v>
      </c>
      <c r="E815" s="2889" t="s">
        <v>217</v>
      </c>
      <c r="F815" s="2890">
        <v>0.31103717630931699</v>
      </c>
      <c r="G815" s="2890">
        <v>45.783072881988964</v>
      </c>
    </row>
    <row r="816" spans="2:7" ht="15" hidden="1" outlineLevel="2">
      <c r="B816" s="2889" t="s">
        <v>1640</v>
      </c>
      <c r="C816" s="2889" t="s">
        <v>1567</v>
      </c>
      <c r="D816" s="2889" t="s">
        <v>1559</v>
      </c>
      <c r="E816" s="2889" t="s">
        <v>217</v>
      </c>
      <c r="F816" s="2890">
        <v>6.8409625214587377E-2</v>
      </c>
      <c r="G816" s="2890">
        <v>10.060733253109849</v>
      </c>
    </row>
    <row r="817" spans="2:7" ht="15" hidden="1" outlineLevel="2">
      <c r="B817" s="2889" t="s">
        <v>1641</v>
      </c>
      <c r="C817" s="2889" t="s">
        <v>1567</v>
      </c>
      <c r="D817" s="2889" t="s">
        <v>1559</v>
      </c>
      <c r="E817" s="2889" t="s">
        <v>217</v>
      </c>
      <c r="F817" s="2890">
        <v>0.34610834897943032</v>
      </c>
      <c r="G817" s="2890">
        <v>50.945365110676093</v>
      </c>
    </row>
    <row r="818" spans="2:7" ht="15" hidden="1" outlineLevel="2">
      <c r="B818" s="2889" t="s">
        <v>1642</v>
      </c>
      <c r="C818" s="2889" t="s">
        <v>1567</v>
      </c>
      <c r="D818" s="2889" t="s">
        <v>1559</v>
      </c>
      <c r="E818" s="2889" t="s">
        <v>217</v>
      </c>
      <c r="F818" s="2890">
        <v>0.38578245689182517</v>
      </c>
      <c r="G818" s="2890">
        <v>56.78519465890777</v>
      </c>
    </row>
    <row r="819" spans="2:7" ht="15" hidden="1" outlineLevel="2">
      <c r="B819" s="2889" t="s">
        <v>1643</v>
      </c>
      <c r="C819" s="2889" t="s">
        <v>1567</v>
      </c>
      <c r="D819" s="2889" t="s">
        <v>1559</v>
      </c>
      <c r="E819" s="2889" t="s">
        <v>217</v>
      </c>
      <c r="F819" s="2890">
        <v>6.9345806056048551E-2</v>
      </c>
      <c r="G819" s="2890">
        <v>10.206899538925951</v>
      </c>
    </row>
    <row r="820" spans="2:7" ht="15" hidden="1" outlineLevel="2">
      <c r="B820" s="2889" t="s">
        <v>1644</v>
      </c>
      <c r="C820" s="2889" t="s">
        <v>1567</v>
      </c>
      <c r="D820" s="2889" t="s">
        <v>1559</v>
      </c>
      <c r="E820" s="2889" t="s">
        <v>217</v>
      </c>
      <c r="F820" s="2890">
        <v>1.3777028249947108</v>
      </c>
      <c r="G820" s="2890">
        <v>202.79054393194093</v>
      </c>
    </row>
    <row r="821" spans="2:7" ht="15" hidden="1" outlineLevel="2">
      <c r="B821" s="2889" t="s">
        <v>1645</v>
      </c>
      <c r="C821" s="2889" t="s">
        <v>1567</v>
      </c>
      <c r="D821" s="2889" t="s">
        <v>1559</v>
      </c>
      <c r="E821" s="2889" t="s">
        <v>217</v>
      </c>
      <c r="F821" s="2890">
        <v>1.2332944002917117</v>
      </c>
      <c r="G821" s="2890">
        <v>181.53453181719902</v>
      </c>
    </row>
    <row r="822" spans="2:7" ht="15" hidden="1" outlineLevel="2">
      <c r="B822" s="2889" t="s">
        <v>1646</v>
      </c>
      <c r="C822" s="2889" t="s">
        <v>1567</v>
      </c>
      <c r="D822" s="2889" t="s">
        <v>1559</v>
      </c>
      <c r="E822" s="2889" t="s">
        <v>217</v>
      </c>
      <c r="F822" s="2890">
        <v>6.2095682530123702E-35</v>
      </c>
      <c r="G822" s="2890">
        <v>9.1401560370201349E-33</v>
      </c>
    </row>
    <row r="823" spans="2:7" ht="15" hidden="1" outlineLevel="2">
      <c r="B823" s="2889" t="s">
        <v>1647</v>
      </c>
      <c r="C823" s="2889" t="s">
        <v>1567</v>
      </c>
      <c r="D823" s="2889" t="s">
        <v>1559</v>
      </c>
      <c r="E823" s="2889" t="s">
        <v>217</v>
      </c>
      <c r="F823" s="2890">
        <v>0.14320440408333346</v>
      </c>
      <c r="G823" s="2890">
        <v>21.060485522645081</v>
      </c>
    </row>
    <row r="824" spans="2:7" ht="15" hidden="1" outlineLevel="2">
      <c r="B824" s="2889" t="s">
        <v>1648</v>
      </c>
      <c r="C824" s="2889" t="s">
        <v>1567</v>
      </c>
      <c r="D824" s="2889" t="s">
        <v>1559</v>
      </c>
      <c r="E824" s="2889" t="s">
        <v>217</v>
      </c>
      <c r="F824" s="2890">
        <v>1.1518694534264608E-31</v>
      </c>
      <c r="G824" s="2890">
        <v>1.6940080318879719E-29</v>
      </c>
    </row>
    <row r="825" spans="2:7" ht="15" hidden="1" outlineLevel="2">
      <c r="B825" s="2889" t="s">
        <v>1649</v>
      </c>
      <c r="C825" s="2889" t="s">
        <v>1567</v>
      </c>
      <c r="D825" s="2889" t="s">
        <v>1559</v>
      </c>
      <c r="E825" s="2889" t="s">
        <v>217</v>
      </c>
      <c r="F825" s="2890">
        <v>9.5451059140232872E-37</v>
      </c>
      <c r="G825" s="2890">
        <v>1.403759964414025E-34</v>
      </c>
    </row>
    <row r="826" spans="2:7" ht="15" hidden="1" outlineLevel="2">
      <c r="B826" s="2889" t="s">
        <v>1650</v>
      </c>
      <c r="C826" s="2889" t="s">
        <v>1567</v>
      </c>
      <c r="D826" s="2889" t="s">
        <v>1559</v>
      </c>
      <c r="E826" s="2889" t="s">
        <v>217</v>
      </c>
      <c r="F826" s="2890">
        <v>0.2168205070359345</v>
      </c>
      <c r="G826" s="2890">
        <v>31.886896620437032</v>
      </c>
    </row>
    <row r="827" spans="2:7" ht="15" hidden="1" outlineLevel="2">
      <c r="B827" s="2889" t="s">
        <v>1651</v>
      </c>
      <c r="C827" s="2889" t="s">
        <v>1567</v>
      </c>
      <c r="D827" s="2889" t="s">
        <v>1559</v>
      </c>
      <c r="E827" s="2889" t="s">
        <v>217</v>
      </c>
      <c r="F827" s="2890">
        <v>1.7703098600000002E-34</v>
      </c>
      <c r="G827" s="2890">
        <v>2.6023334480000002E-32</v>
      </c>
    </row>
    <row r="828" spans="2:7" ht="15" hidden="1" outlineLevel="2">
      <c r="B828" s="2889" t="s">
        <v>1652</v>
      </c>
      <c r="C828" s="2889" t="s">
        <v>1567</v>
      </c>
      <c r="D828" s="2889" t="s">
        <v>1559</v>
      </c>
      <c r="E828" s="2889" t="s">
        <v>217</v>
      </c>
      <c r="F828" s="2890">
        <v>1.1512746101999998E-31</v>
      </c>
      <c r="G828" s="2890">
        <v>1.6918253879999999E-29</v>
      </c>
    </row>
    <row r="829" spans="2:7" ht="15" hidden="1" outlineLevel="2">
      <c r="B829" s="2889" t="s">
        <v>1653</v>
      </c>
      <c r="C829" s="2889" t="s">
        <v>1567</v>
      </c>
      <c r="D829" s="2889" t="s">
        <v>1559</v>
      </c>
      <c r="E829" s="2889" t="s">
        <v>217</v>
      </c>
      <c r="F829" s="3039">
        <v>1.1827410213327216</v>
      </c>
      <c r="G829" s="2890">
        <v>174.09334996715754</v>
      </c>
    </row>
    <row r="830" spans="2:7" ht="15" hidden="1" outlineLevel="2">
      <c r="B830" s="2889" t="s">
        <v>1407</v>
      </c>
      <c r="C830" s="2889" t="s">
        <v>1568</v>
      </c>
      <c r="D830" s="2889" t="s">
        <v>1559</v>
      </c>
      <c r="E830" s="2889" t="s">
        <v>217</v>
      </c>
      <c r="F830" s="3039">
        <v>6.4460967931616847E-2</v>
      </c>
      <c r="G830" s="2890">
        <v>9.480349901710543</v>
      </c>
    </row>
    <row r="831" spans="2:7" ht="15" hidden="1" outlineLevel="2">
      <c r="B831" s="2889" t="s">
        <v>1631</v>
      </c>
      <c r="C831" s="2889" t="s">
        <v>1568</v>
      </c>
      <c r="D831" s="2889" t="s">
        <v>1559</v>
      </c>
      <c r="E831" s="2889" t="s">
        <v>217</v>
      </c>
      <c r="F831" s="3039">
        <v>3.0950530964024674</v>
      </c>
      <c r="G831" s="2890">
        <v>454.29836691316001</v>
      </c>
    </row>
    <row r="832" spans="2:7" ht="15" hidden="1" outlineLevel="2">
      <c r="B832" s="2889" t="s">
        <v>1632</v>
      </c>
      <c r="C832" s="2889" t="s">
        <v>1568</v>
      </c>
      <c r="D832" s="2889" t="s">
        <v>1559</v>
      </c>
      <c r="E832" s="2889" t="s">
        <v>217</v>
      </c>
      <c r="F832" s="3039">
        <v>3.7097983509280494</v>
      </c>
      <c r="G832" s="2890">
        <v>546.06868812869993</v>
      </c>
    </row>
    <row r="833" spans="2:7" ht="15" hidden="1" outlineLevel="2">
      <c r="B833" s="2889" t="s">
        <v>1633</v>
      </c>
      <c r="C833" s="2889" t="s">
        <v>1568</v>
      </c>
      <c r="D833" s="2889" t="s">
        <v>1559</v>
      </c>
      <c r="E833" s="2889" t="s">
        <v>217</v>
      </c>
      <c r="F833" s="3039">
        <v>0.22155748870418376</v>
      </c>
      <c r="G833" s="2890">
        <v>32.612420951918025</v>
      </c>
    </row>
    <row r="834" spans="2:7" ht="15" hidden="1" outlineLevel="2">
      <c r="B834" s="2889" t="s">
        <v>1634</v>
      </c>
      <c r="C834" s="2889" t="s">
        <v>1568</v>
      </c>
      <c r="D834" s="2889" t="s">
        <v>1559</v>
      </c>
      <c r="E834" s="2889" t="s">
        <v>217</v>
      </c>
      <c r="F834" s="3039">
        <v>1.2564761528336011E-35</v>
      </c>
      <c r="G834" s="2890">
        <v>1.8479142756648053E-33</v>
      </c>
    </row>
    <row r="835" spans="2:7" ht="15" hidden="1" outlineLevel="2">
      <c r="B835" s="2889" t="s">
        <v>1635</v>
      </c>
      <c r="C835" s="2889" t="s">
        <v>1568</v>
      </c>
      <c r="D835" s="2889" t="s">
        <v>1559</v>
      </c>
      <c r="E835" s="2889" t="s">
        <v>217</v>
      </c>
      <c r="F835" s="3039">
        <v>1.1696171710994465</v>
      </c>
      <c r="G835" s="2890">
        <v>172.16318386879561</v>
      </c>
    </row>
    <row r="836" spans="2:7" ht="15" hidden="1" outlineLevel="2">
      <c r="B836" s="2889" t="s">
        <v>1636</v>
      </c>
      <c r="C836" s="2889" t="s">
        <v>1568</v>
      </c>
      <c r="D836" s="2889" t="s">
        <v>1559</v>
      </c>
      <c r="E836" s="2889" t="s">
        <v>217</v>
      </c>
      <c r="F836" s="2890">
        <v>0.15199872166775952</v>
      </c>
      <c r="G836" s="2890">
        <v>22.373642561234554</v>
      </c>
    </row>
    <row r="837" spans="2:7" ht="15" hidden="1" outlineLevel="2">
      <c r="B837" s="2889" t="s">
        <v>1637</v>
      </c>
      <c r="C837" s="2889" t="s">
        <v>1568</v>
      </c>
      <c r="D837" s="2889" t="s">
        <v>1559</v>
      </c>
      <c r="E837" s="2889" t="s">
        <v>217</v>
      </c>
      <c r="F837" s="2890">
        <v>0.31945480451186631</v>
      </c>
      <c r="G837" s="2890">
        <v>47.022549875325232</v>
      </c>
    </row>
    <row r="838" spans="2:7" ht="15" hidden="1" outlineLevel="2">
      <c r="B838" s="2889" t="s">
        <v>1638</v>
      </c>
      <c r="C838" s="2889" t="s">
        <v>1568</v>
      </c>
      <c r="D838" s="2889" t="s">
        <v>1559</v>
      </c>
      <c r="E838" s="2889" t="s">
        <v>217</v>
      </c>
      <c r="F838" s="2890">
        <v>7.1053686662659441E-32</v>
      </c>
      <c r="G838" s="2890">
        <v>1.0449945038557977E-29</v>
      </c>
    </row>
    <row r="839" spans="2:7" ht="15" hidden="1" outlineLevel="2">
      <c r="B839" s="2889" t="s">
        <v>1639</v>
      </c>
      <c r="C839" s="2889" t="s">
        <v>1568</v>
      </c>
      <c r="D839" s="2889" t="s">
        <v>1559</v>
      </c>
      <c r="E839" s="2889" t="s">
        <v>217</v>
      </c>
      <c r="F839" s="3039">
        <v>1.9424922564786755</v>
      </c>
      <c r="G839" s="2890">
        <v>285.92764987247313</v>
      </c>
    </row>
    <row r="840" spans="2:7" ht="15" hidden="1" outlineLevel="2">
      <c r="B840" s="2889" t="s">
        <v>1640</v>
      </c>
      <c r="C840" s="2889" t="s">
        <v>1568</v>
      </c>
      <c r="D840" s="2889" t="s">
        <v>1559</v>
      </c>
      <c r="E840" s="2889" t="s">
        <v>217</v>
      </c>
      <c r="F840" s="2890">
        <v>0.31456917153550812</v>
      </c>
      <c r="G840" s="2890">
        <v>46.264150599182017</v>
      </c>
    </row>
    <row r="841" spans="2:7" ht="15" hidden="1" outlineLevel="2">
      <c r="B841" s="2889" t="s">
        <v>1641</v>
      </c>
      <c r="C841" s="2889" t="s">
        <v>1568</v>
      </c>
      <c r="D841" s="2889" t="s">
        <v>1559</v>
      </c>
      <c r="E841" s="2889" t="s">
        <v>217</v>
      </c>
      <c r="F841" s="2890">
        <v>0.85273848081784132</v>
      </c>
      <c r="G841" s="2890">
        <v>125.51978880390985</v>
      </c>
    </row>
    <row r="842" spans="2:7" ht="15" hidden="1" outlineLevel="2">
      <c r="B842" s="2889" t="s">
        <v>1642</v>
      </c>
      <c r="C842" s="2889" t="s">
        <v>1568</v>
      </c>
      <c r="D842" s="2889" t="s">
        <v>1559</v>
      </c>
      <c r="E842" s="2889" t="s">
        <v>217</v>
      </c>
      <c r="F842" s="3039">
        <v>2.5092686504481168</v>
      </c>
      <c r="G842" s="2890">
        <v>369.35423575006689</v>
      </c>
    </row>
    <row r="843" spans="2:7" ht="15" hidden="1" outlineLevel="2">
      <c r="B843" s="2889" t="s">
        <v>1643</v>
      </c>
      <c r="C843" s="2889" t="s">
        <v>1568</v>
      </c>
      <c r="D843" s="2889" t="s">
        <v>1559</v>
      </c>
      <c r="E843" s="2889" t="s">
        <v>217</v>
      </c>
      <c r="F843" s="2890">
        <v>0.26932882707511768</v>
      </c>
      <c r="G843" s="2890">
        <v>39.643392956792546</v>
      </c>
    </row>
    <row r="844" spans="2:7" ht="15" hidden="1" outlineLevel="2">
      <c r="B844" s="2889" t="s">
        <v>1644</v>
      </c>
      <c r="C844" s="2889" t="s">
        <v>1568</v>
      </c>
      <c r="D844" s="2889" t="s">
        <v>1559</v>
      </c>
      <c r="E844" s="2889" t="s">
        <v>217</v>
      </c>
      <c r="F844" s="2890">
        <v>7.6720698415783719</v>
      </c>
      <c r="G844" s="2890">
        <v>1129.2994959672799</v>
      </c>
    </row>
    <row r="845" spans="2:7" ht="15" hidden="1" outlineLevel="2">
      <c r="B845" s="2889" t="s">
        <v>1645</v>
      </c>
      <c r="C845" s="2889" t="s">
        <v>1568</v>
      </c>
      <c r="D845" s="2889" t="s">
        <v>1559</v>
      </c>
      <c r="E845" s="2889" t="s">
        <v>217</v>
      </c>
      <c r="F845" s="2890">
        <v>3.7484435343477323</v>
      </c>
      <c r="G845" s="2890">
        <v>551.75671355046006</v>
      </c>
    </row>
    <row r="846" spans="2:7" ht="15" hidden="1" outlineLevel="2">
      <c r="B846" s="2889" t="s">
        <v>1646</v>
      </c>
      <c r="C846" s="2889" t="s">
        <v>1568</v>
      </c>
      <c r="D846" s="2889" t="s">
        <v>1559</v>
      </c>
      <c r="E846" s="2889" t="s">
        <v>217</v>
      </c>
      <c r="F846" s="3039">
        <v>1.5050351894020445E-32</v>
      </c>
      <c r="G846" s="2890">
        <v>2.21535422210695E-30</v>
      </c>
    </row>
    <row r="847" spans="2:7" ht="15" hidden="1" outlineLevel="2">
      <c r="B847" s="2889" t="s">
        <v>1647</v>
      </c>
      <c r="C847" s="2889" t="s">
        <v>1568</v>
      </c>
      <c r="D847" s="2889" t="s">
        <v>1559</v>
      </c>
      <c r="E847" s="2889" t="s">
        <v>217</v>
      </c>
      <c r="F847" s="3039">
        <v>0.18822603049881942</v>
      </c>
      <c r="G847" s="2890">
        <v>27.682631035760075</v>
      </c>
    </row>
    <row r="848" spans="2:7" ht="15" hidden="1" outlineLevel="2">
      <c r="B848" s="2889" t="s">
        <v>1648</v>
      </c>
      <c r="C848" s="2889" t="s">
        <v>1568</v>
      </c>
      <c r="D848" s="2889" t="s">
        <v>1559</v>
      </c>
      <c r="E848" s="2889" t="s">
        <v>217</v>
      </c>
      <c r="F848" s="3039">
        <v>2.4329076379818316E-33</v>
      </c>
      <c r="G848" s="2890">
        <v>3.5781082307048835E-31</v>
      </c>
    </row>
    <row r="849" spans="2:7" ht="15" hidden="1" outlineLevel="2">
      <c r="B849" s="2889" t="s">
        <v>1649</v>
      </c>
      <c r="C849" s="2889" t="s">
        <v>1568</v>
      </c>
      <c r="D849" s="2889" t="s">
        <v>1559</v>
      </c>
      <c r="E849" s="2889" t="s">
        <v>217</v>
      </c>
      <c r="F849" s="2890">
        <v>5.9878333050808895E-32</v>
      </c>
      <c r="G849" s="2890">
        <v>8.806380859610538E-30</v>
      </c>
    </row>
    <row r="850" spans="2:7" ht="15" hidden="1" outlineLevel="2">
      <c r="B850" s="2889" t="s">
        <v>1650</v>
      </c>
      <c r="C850" s="2889" t="s">
        <v>1568</v>
      </c>
      <c r="D850" s="2889" t="s">
        <v>1559</v>
      </c>
      <c r="E850" s="2889" t="s">
        <v>217</v>
      </c>
      <c r="F850" s="2890">
        <v>0.58272653972717281</v>
      </c>
      <c r="G850" s="2890">
        <v>85.702315637339836</v>
      </c>
    </row>
    <row r="851" spans="2:7" ht="15" hidden="1" outlineLevel="2">
      <c r="B851" s="2889" t="s">
        <v>1651</v>
      </c>
      <c r="C851" s="2889" t="s">
        <v>1568</v>
      </c>
      <c r="D851" s="2889" t="s">
        <v>1559</v>
      </c>
      <c r="E851" s="2889" t="s">
        <v>217</v>
      </c>
      <c r="F851" s="2890">
        <v>7.1032856400000004E-32</v>
      </c>
      <c r="G851" s="2890">
        <v>1.042564798E-29</v>
      </c>
    </row>
    <row r="852" spans="2:7" ht="15" hidden="1" outlineLevel="2">
      <c r="B852" s="2889" t="s">
        <v>1652</v>
      </c>
      <c r="C852" s="2889" t="s">
        <v>1568</v>
      </c>
      <c r="D852" s="2889" t="s">
        <v>1559</v>
      </c>
      <c r="E852" s="2889" t="s">
        <v>217</v>
      </c>
      <c r="F852" s="2890">
        <v>2.4347823280000003E-33</v>
      </c>
      <c r="G852" s="2890">
        <v>3.5763345640000004E-31</v>
      </c>
    </row>
    <row r="853" spans="2:7" ht="15" hidden="1" outlineLevel="2">
      <c r="B853" s="2889" t="s">
        <v>1653</v>
      </c>
      <c r="C853" s="2889" t="s">
        <v>1568</v>
      </c>
      <c r="D853" s="2889" t="s">
        <v>1559</v>
      </c>
      <c r="E853" s="2889" t="s">
        <v>217</v>
      </c>
      <c r="F853" s="2890">
        <v>0.46630107496665163</v>
      </c>
      <c r="G853" s="2890">
        <v>68.637787231194409</v>
      </c>
    </row>
    <row r="854" spans="2:7" ht="15" hidden="1" outlineLevel="2">
      <c r="B854" s="2889" t="s">
        <v>1407</v>
      </c>
      <c r="C854" s="2889" t="s">
        <v>1569</v>
      </c>
      <c r="D854" s="2889" t="s">
        <v>1559</v>
      </c>
      <c r="E854" s="2889" t="s">
        <v>217</v>
      </c>
      <c r="F854" s="2890">
        <v>2.713018292373933E-5</v>
      </c>
      <c r="G854" s="2890">
        <v>1.3560782379484939E-2</v>
      </c>
    </row>
    <row r="855" spans="2:7" ht="15" hidden="1" outlineLevel="2">
      <c r="B855" s="2889" t="s">
        <v>1631</v>
      </c>
      <c r="C855" s="2889" t="s">
        <v>1569</v>
      </c>
      <c r="D855" s="2889" t="s">
        <v>1559</v>
      </c>
      <c r="E855" s="2889" t="s">
        <v>217</v>
      </c>
      <c r="F855" s="2890">
        <v>1.3019821715585893E-3</v>
      </c>
      <c r="G855" s="2890">
        <v>0.64983246829680452</v>
      </c>
    </row>
    <row r="856" spans="2:7" ht="15" hidden="1" outlineLevel="2">
      <c r="B856" s="2889" t="s">
        <v>1632</v>
      </c>
      <c r="C856" s="2889" t="s">
        <v>1569</v>
      </c>
      <c r="D856" s="2889" t="s">
        <v>1559</v>
      </c>
      <c r="E856" s="2889" t="s">
        <v>217</v>
      </c>
      <c r="F856" s="2890">
        <v>1.562886253024141E-3</v>
      </c>
      <c r="G856" s="2890">
        <v>0.78110193225954994</v>
      </c>
    </row>
    <row r="857" spans="2:7" ht="15" hidden="1" outlineLevel="2">
      <c r="B857" s="2889" t="s">
        <v>1633</v>
      </c>
      <c r="C857" s="2889" t="s">
        <v>1569</v>
      </c>
      <c r="D857" s="2889" t="s">
        <v>1559</v>
      </c>
      <c r="E857" s="2889" t="s">
        <v>217</v>
      </c>
      <c r="F857" s="2890">
        <v>9.3339029635263816E-5</v>
      </c>
      <c r="G857" s="2890">
        <v>4.6649166843565064E-2</v>
      </c>
    </row>
    <row r="858" spans="2:7" ht="15" hidden="1" outlineLevel="2">
      <c r="B858" s="2889" t="s">
        <v>1634</v>
      </c>
      <c r="C858" s="2889" t="s">
        <v>1569</v>
      </c>
      <c r="D858" s="2889" t="s">
        <v>1559</v>
      </c>
      <c r="E858" s="2889" t="s">
        <v>217</v>
      </c>
      <c r="F858" s="2890">
        <v>2.9300608406094043E-5</v>
      </c>
      <c r="G858" s="2890">
        <v>1.4645641714769534E-2</v>
      </c>
    </row>
    <row r="859" spans="2:7" ht="15" hidden="1" outlineLevel="2">
      <c r="B859" s="2889" t="s">
        <v>1635</v>
      </c>
      <c r="C859" s="2889" t="s">
        <v>1569</v>
      </c>
      <c r="D859" s="2889" t="s">
        <v>1559</v>
      </c>
      <c r="E859" s="2889" t="s">
        <v>217</v>
      </c>
      <c r="F859" s="3039">
        <v>4.9274332274712061E-4</v>
      </c>
      <c r="G859" s="2890">
        <v>0.24626379757805272</v>
      </c>
    </row>
    <row r="860" spans="2:7" ht="15" hidden="1" outlineLevel="2">
      <c r="B860" s="2889" t="s">
        <v>1636</v>
      </c>
      <c r="C860" s="2889" t="s">
        <v>1569</v>
      </c>
      <c r="D860" s="2889" t="s">
        <v>1559</v>
      </c>
      <c r="E860" s="2889" t="s">
        <v>217</v>
      </c>
      <c r="F860" s="3039">
        <v>6.403495857478837E-5</v>
      </c>
      <c r="G860" s="2890">
        <v>3.2003425616917602E-2</v>
      </c>
    </row>
    <row r="861" spans="2:7" ht="15" hidden="1" outlineLevel="2">
      <c r="B861" s="2889" t="s">
        <v>1637</v>
      </c>
      <c r="C861" s="2889" t="s">
        <v>1569</v>
      </c>
      <c r="D861" s="2889" t="s">
        <v>1559</v>
      </c>
      <c r="E861" s="2889" t="s">
        <v>217</v>
      </c>
      <c r="F861" s="2890">
        <v>1.3458189667558778E-4</v>
      </c>
      <c r="G861" s="2890">
        <v>6.7261497345630472E-2</v>
      </c>
    </row>
    <row r="862" spans="2:7" ht="15" hidden="1" outlineLevel="2">
      <c r="B862" s="2889" t="s">
        <v>1638</v>
      </c>
      <c r="C862" s="2889" t="s">
        <v>1569</v>
      </c>
      <c r="D862" s="2889" t="s">
        <v>1559</v>
      </c>
      <c r="E862" s="2889" t="s">
        <v>217</v>
      </c>
      <c r="F862" s="2890">
        <v>1.7363324094411424E-4</v>
      </c>
      <c r="G862" s="2890">
        <v>8.6789034897465062E-2</v>
      </c>
    </row>
    <row r="863" spans="2:7" ht="15" hidden="1" outlineLevel="2">
      <c r="B863" s="2889" t="s">
        <v>1639</v>
      </c>
      <c r="C863" s="2889" t="s">
        <v>1569</v>
      </c>
      <c r="D863" s="2889" t="s">
        <v>1559</v>
      </c>
      <c r="E863" s="2889" t="s">
        <v>217</v>
      </c>
      <c r="F863" s="2890">
        <v>8.1834464093759839E-4</v>
      </c>
      <c r="G863" s="2890">
        <v>0.40899306828313209</v>
      </c>
    </row>
    <row r="864" spans="2:7" ht="15" hidden="1" outlineLevel="2">
      <c r="B864" s="2889" t="s">
        <v>1640</v>
      </c>
      <c r="C864" s="2889" t="s">
        <v>1569</v>
      </c>
      <c r="D864" s="2889" t="s">
        <v>1559</v>
      </c>
      <c r="E864" s="2889" t="s">
        <v>217</v>
      </c>
      <c r="F864" s="2890">
        <v>1.7471834919243742E-4</v>
      </c>
      <c r="G864" s="2890">
        <v>8.7331409108793806E-2</v>
      </c>
    </row>
    <row r="865" spans="2:7" ht="15" hidden="1" outlineLevel="2">
      <c r="B865" s="2889" t="s">
        <v>1641</v>
      </c>
      <c r="C865" s="2889" t="s">
        <v>1569</v>
      </c>
      <c r="D865" s="2889" t="s">
        <v>1559</v>
      </c>
      <c r="E865" s="2889" t="s">
        <v>217</v>
      </c>
      <c r="F865" s="2890">
        <v>3.5924657043586176E-4</v>
      </c>
      <c r="G865" s="2890">
        <v>0.17954472285777612</v>
      </c>
    </row>
    <row r="866" spans="2:7" ht="15" hidden="1" outlineLevel="2">
      <c r="B866" s="2889" t="s">
        <v>1642</v>
      </c>
      <c r="C866" s="2889" t="s">
        <v>1569</v>
      </c>
      <c r="D866" s="2889" t="s">
        <v>1559</v>
      </c>
      <c r="E866" s="2889" t="s">
        <v>217</v>
      </c>
      <c r="F866" s="2890">
        <v>1.0571186783588917E-3</v>
      </c>
      <c r="G866" s="2890">
        <v>0.52832816136905736</v>
      </c>
    </row>
    <row r="867" spans="2:7" ht="15" hidden="1" outlineLevel="2">
      <c r="B867" s="2889" t="s">
        <v>1643</v>
      </c>
      <c r="C867" s="2889" t="s">
        <v>1569</v>
      </c>
      <c r="D867" s="2889" t="s">
        <v>1559</v>
      </c>
      <c r="E867" s="2889" t="s">
        <v>217</v>
      </c>
      <c r="F867" s="2890">
        <v>1.0289459199036142E-4</v>
      </c>
      <c r="G867" s="2890">
        <v>5.1426406325813558E-2</v>
      </c>
    </row>
    <row r="868" spans="2:7" ht="15" hidden="1" outlineLevel="2">
      <c r="B868" s="2889" t="s">
        <v>1644</v>
      </c>
      <c r="C868" s="2889" t="s">
        <v>1569</v>
      </c>
      <c r="D868" s="2889" t="s">
        <v>1559</v>
      </c>
      <c r="E868" s="2889" t="s">
        <v>217</v>
      </c>
      <c r="F868" s="2890">
        <v>3.2321343652388021E-3</v>
      </c>
      <c r="G868" s="2890">
        <v>1.6153601711763252</v>
      </c>
    </row>
    <row r="869" spans="2:7" ht="15" hidden="1" outlineLevel="2">
      <c r="B869" s="2889" t="s">
        <v>1645</v>
      </c>
      <c r="C869" s="2889" t="s">
        <v>1569</v>
      </c>
      <c r="D869" s="2889" t="s">
        <v>1559</v>
      </c>
      <c r="E869" s="2889" t="s">
        <v>217</v>
      </c>
      <c r="F869" s="2890">
        <v>1.5791665061667718E-3</v>
      </c>
      <c r="G869" s="2890">
        <v>0.78923764756665715</v>
      </c>
    </row>
    <row r="870" spans="2:7" ht="15" hidden="1" outlineLevel="2">
      <c r="B870" s="2889" t="s">
        <v>1646</v>
      </c>
      <c r="C870" s="2889" t="s">
        <v>1569</v>
      </c>
      <c r="D870" s="2889" t="s">
        <v>1559</v>
      </c>
      <c r="E870" s="2889" t="s">
        <v>217</v>
      </c>
      <c r="F870" s="2890">
        <v>1.0310703220993256E-4</v>
      </c>
      <c r="G870" s="2890">
        <v>5.1531026095210743E-2</v>
      </c>
    </row>
    <row r="871" spans="2:7" ht="15" hidden="1" outlineLevel="2">
      <c r="B871" s="2889" t="s">
        <v>1647</v>
      </c>
      <c r="C871" s="2889" t="s">
        <v>1569</v>
      </c>
      <c r="D871" s="2889" t="s">
        <v>1559</v>
      </c>
      <c r="E871" s="2889" t="s">
        <v>217</v>
      </c>
      <c r="F871" s="2890">
        <v>7.9220169374241632E-5</v>
      </c>
      <c r="G871" s="2890">
        <v>3.9597458951758445E-2</v>
      </c>
    </row>
    <row r="872" spans="2:7" ht="15" hidden="1" outlineLevel="2">
      <c r="B872" s="2889" t="s">
        <v>1648</v>
      </c>
      <c r="C872" s="2889" t="s">
        <v>1569</v>
      </c>
      <c r="D872" s="2889" t="s">
        <v>1559</v>
      </c>
      <c r="E872" s="2889" t="s">
        <v>217</v>
      </c>
      <c r="F872" s="2890">
        <v>1.7471834919243742E-4</v>
      </c>
      <c r="G872" s="2890">
        <v>8.7331409108793806E-2</v>
      </c>
    </row>
    <row r="873" spans="2:7" ht="15" hidden="1" outlineLevel="2">
      <c r="B873" s="2889" t="s">
        <v>1649</v>
      </c>
      <c r="C873" s="2889" t="s">
        <v>1569</v>
      </c>
      <c r="D873" s="2889" t="s">
        <v>1559</v>
      </c>
      <c r="E873" s="2889" t="s">
        <v>217</v>
      </c>
      <c r="F873" s="2890">
        <v>1.7146268115446515E-4</v>
      </c>
      <c r="G873" s="2890">
        <v>8.5704126599405656E-2</v>
      </c>
    </row>
    <row r="874" spans="2:7" ht="15" hidden="1" outlineLevel="2">
      <c r="B874" s="2889" t="s">
        <v>1650</v>
      </c>
      <c r="C874" s="2889" t="s">
        <v>1569</v>
      </c>
      <c r="D874" s="2889" t="s">
        <v>1559</v>
      </c>
      <c r="E874" s="2889" t="s">
        <v>217</v>
      </c>
      <c r="F874" s="2890">
        <v>2.4525688544656656E-4</v>
      </c>
      <c r="G874" s="2890">
        <v>0.12258946757710555</v>
      </c>
    </row>
    <row r="875" spans="2:7" ht="15" hidden="1" outlineLevel="2">
      <c r="B875" s="2889" t="s">
        <v>1651</v>
      </c>
      <c r="C875" s="2889" t="s">
        <v>1569</v>
      </c>
      <c r="D875" s="2889" t="s">
        <v>1559</v>
      </c>
      <c r="E875" s="2889" t="s">
        <v>217</v>
      </c>
      <c r="F875" s="2890">
        <v>1.1069120048298309E-4</v>
      </c>
      <c r="G875" s="2890">
        <v>5.5327979205064992E-2</v>
      </c>
    </row>
    <row r="876" spans="2:7" ht="15" hidden="1" outlineLevel="2">
      <c r="B876" s="2889" t="s">
        <v>1652</v>
      </c>
      <c r="C876" s="2889" t="s">
        <v>1569</v>
      </c>
      <c r="D876" s="2889" t="s">
        <v>1559</v>
      </c>
      <c r="E876" s="2889" t="s">
        <v>217</v>
      </c>
      <c r="F876" s="3039">
        <v>1.7471834919576698E-4</v>
      </c>
      <c r="G876" s="2890">
        <v>8.7331409107599109E-2</v>
      </c>
    </row>
    <row r="877" spans="2:7" ht="15" hidden="1" outlineLevel="2">
      <c r="B877" s="2889" t="s">
        <v>1653</v>
      </c>
      <c r="C877" s="2889" t="s">
        <v>1569</v>
      </c>
      <c r="D877" s="2889" t="s">
        <v>1559</v>
      </c>
      <c r="E877" s="2889" t="s">
        <v>217</v>
      </c>
      <c r="F877" s="3039">
        <v>1.9644607023462223E-4</v>
      </c>
      <c r="G877" s="2890">
        <v>9.8180029863385046E-2</v>
      </c>
    </row>
    <row r="878" spans="2:7" ht="15" hidden="1" outlineLevel="2">
      <c r="B878" s="2889" t="s">
        <v>1407</v>
      </c>
      <c r="C878" s="2889" t="s">
        <v>1408</v>
      </c>
      <c r="D878" s="2889" t="s">
        <v>197</v>
      </c>
      <c r="E878" s="2889" t="s">
        <v>217</v>
      </c>
      <c r="F878" s="3039">
        <v>3.1361120053399928E-4</v>
      </c>
      <c r="G878" s="2890">
        <v>0.19128313565227872</v>
      </c>
    </row>
    <row r="879" spans="2:7" ht="15" hidden="1" outlineLevel="2">
      <c r="B879" s="2889" t="s">
        <v>1631</v>
      </c>
      <c r="C879" s="2889" t="s">
        <v>1408</v>
      </c>
      <c r="D879" s="2889" t="s">
        <v>197</v>
      </c>
      <c r="E879" s="2889" t="s">
        <v>217</v>
      </c>
      <c r="F879" s="3039">
        <v>5.8380535195254161E-4</v>
      </c>
      <c r="G879" s="2890">
        <v>0.35556396398702633</v>
      </c>
    </row>
    <row r="880" spans="2:7" ht="15" hidden="1" outlineLevel="2">
      <c r="B880" s="2889" t="s">
        <v>1632</v>
      </c>
      <c r="C880" s="2889" t="s">
        <v>1408</v>
      </c>
      <c r="D880" s="2889" t="s">
        <v>197</v>
      </c>
      <c r="E880" s="2889" t="s">
        <v>217</v>
      </c>
      <c r="F880" s="3039">
        <v>1.1927206808498806E-3</v>
      </c>
      <c r="G880" s="2890">
        <v>0.72739728040289386</v>
      </c>
    </row>
    <row r="881" spans="2:7" ht="15" hidden="1" outlineLevel="2">
      <c r="B881" s="2889" t="s">
        <v>1633</v>
      </c>
      <c r="C881" s="2889" t="s">
        <v>1408</v>
      </c>
      <c r="D881" s="2889" t="s">
        <v>197</v>
      </c>
      <c r="E881" s="2889" t="s">
        <v>217</v>
      </c>
      <c r="F881" s="3039">
        <v>4.1970611334212274E-4</v>
      </c>
      <c r="G881" s="2890">
        <v>0.25596369913852324</v>
      </c>
    </row>
    <row r="882" spans="2:7" ht="15" hidden="1" outlineLevel="2">
      <c r="B882" s="2889" t="s">
        <v>1634</v>
      </c>
      <c r="C882" s="2889" t="s">
        <v>1408</v>
      </c>
      <c r="D882" s="2889" t="s">
        <v>197</v>
      </c>
      <c r="E882" s="2889" t="s">
        <v>217</v>
      </c>
      <c r="F882" s="3039">
        <v>2.7316361427384486E-3</v>
      </c>
      <c r="G882" s="2890">
        <v>1.6661259253040788</v>
      </c>
    </row>
    <row r="883" spans="2:7" ht="15" hidden="1" outlineLevel="2">
      <c r="B883" s="2889" t="s">
        <v>1635</v>
      </c>
      <c r="C883" s="2889" t="s">
        <v>1408</v>
      </c>
      <c r="D883" s="2889" t="s">
        <v>197</v>
      </c>
      <c r="E883" s="2889" t="s">
        <v>217</v>
      </c>
      <c r="F883" s="3039">
        <v>3.0918712131196239E-3</v>
      </c>
      <c r="G883" s="2890">
        <v>1.8856203365723994</v>
      </c>
    </row>
    <row r="884" spans="2:7" ht="15" hidden="1" outlineLevel="2">
      <c r="B884" s="2889" t="s">
        <v>1636</v>
      </c>
      <c r="C884" s="2889" t="s">
        <v>1408</v>
      </c>
      <c r="D884" s="2889" t="s">
        <v>197</v>
      </c>
      <c r="E884" s="2889" t="s">
        <v>217</v>
      </c>
      <c r="F884" s="3039">
        <v>1.5034877391004414E-3</v>
      </c>
      <c r="G884" s="2890">
        <v>0.91692252117684248</v>
      </c>
    </row>
    <row r="885" spans="2:7" ht="15" hidden="1" outlineLevel="2">
      <c r="B885" s="2889" t="s">
        <v>1637</v>
      </c>
      <c r="C885" s="2889" t="s">
        <v>1408</v>
      </c>
      <c r="D885" s="2889" t="s">
        <v>197</v>
      </c>
      <c r="E885" s="2889" t="s">
        <v>217</v>
      </c>
      <c r="F885" s="3039">
        <v>7.067403502474842E-4</v>
      </c>
      <c r="G885" s="2890">
        <v>0.43101510898029383</v>
      </c>
    </row>
    <row r="886" spans="2:7" ht="15" hidden="1" outlineLevel="2">
      <c r="B886" s="2889" t="s">
        <v>1638</v>
      </c>
      <c r="C886" s="2889" t="s">
        <v>1408</v>
      </c>
      <c r="D886" s="2889" t="s">
        <v>197</v>
      </c>
      <c r="E886" s="2889" t="s">
        <v>217</v>
      </c>
      <c r="F886" s="2890">
        <v>2.4651146391015078E-3</v>
      </c>
      <c r="G886" s="2890">
        <v>1.5035649757936125</v>
      </c>
    </row>
    <row r="887" spans="2:7" ht="15" hidden="1" outlineLevel="2">
      <c r="B887" s="2889" t="s">
        <v>1639</v>
      </c>
      <c r="C887" s="2889" t="s">
        <v>1408</v>
      </c>
      <c r="D887" s="2889" t="s">
        <v>197</v>
      </c>
      <c r="E887" s="2889" t="s">
        <v>217</v>
      </c>
      <c r="F887" s="2890">
        <v>3.7617713225847867E-3</v>
      </c>
      <c r="G887" s="2890">
        <v>2.2941701573355466</v>
      </c>
    </row>
    <row r="888" spans="2:7" ht="15" hidden="1" outlineLevel="2">
      <c r="B888" s="2889" t="s">
        <v>1640</v>
      </c>
      <c r="C888" s="2889" t="s">
        <v>1408</v>
      </c>
      <c r="D888" s="2889" t="s">
        <v>197</v>
      </c>
      <c r="E888" s="2889" t="s">
        <v>217</v>
      </c>
      <c r="F888" s="3039">
        <v>1.1504759885282523E-3</v>
      </c>
      <c r="G888" s="2890">
        <v>0.70171731050919905</v>
      </c>
    </row>
    <row r="889" spans="2:7" ht="15" hidden="1" outlineLevel="2">
      <c r="B889" s="2889" t="s">
        <v>1641</v>
      </c>
      <c r="C889" s="2889" t="s">
        <v>1408</v>
      </c>
      <c r="D889" s="2889" t="s">
        <v>197</v>
      </c>
      <c r="E889" s="2889" t="s">
        <v>217</v>
      </c>
      <c r="F889" s="2890">
        <v>1.4084296352669344E-3</v>
      </c>
      <c r="G889" s="2890">
        <v>0.85895051878247175</v>
      </c>
    </row>
    <row r="890" spans="2:7" ht="15" hidden="1" outlineLevel="2">
      <c r="B890" s="2889" t="s">
        <v>1642</v>
      </c>
      <c r="C890" s="2889" t="s">
        <v>1408</v>
      </c>
      <c r="D890" s="2889" t="s">
        <v>197</v>
      </c>
      <c r="E890" s="2889" t="s">
        <v>217</v>
      </c>
      <c r="F890" s="2890">
        <v>6.3891657182191936E-4</v>
      </c>
      <c r="G890" s="2890">
        <v>0.3896519280581171</v>
      </c>
    </row>
    <row r="891" spans="2:7" ht="15" hidden="1" outlineLevel="2">
      <c r="B891" s="2889" t="s">
        <v>1643</v>
      </c>
      <c r="C891" s="2889" t="s">
        <v>1408</v>
      </c>
      <c r="D891" s="2889" t="s">
        <v>197</v>
      </c>
      <c r="E891" s="2889" t="s">
        <v>217</v>
      </c>
      <c r="F891" s="2890">
        <v>3.1208091333729295E-3</v>
      </c>
      <c r="G891" s="2890">
        <v>1.9033307783944065</v>
      </c>
    </row>
    <row r="892" spans="2:7" ht="15" hidden="1" outlineLevel="2">
      <c r="B892" s="2889" t="s">
        <v>1644</v>
      </c>
      <c r="C892" s="2889" t="s">
        <v>1408</v>
      </c>
      <c r="D892" s="2889" t="s">
        <v>197</v>
      </c>
      <c r="E892" s="2889" t="s">
        <v>217</v>
      </c>
      <c r="F892" s="2890">
        <v>1.3682747475967769E-3</v>
      </c>
      <c r="G892" s="2890">
        <v>0.83446113407900402</v>
      </c>
    </row>
    <row r="893" spans="2:7" ht="15" hidden="1" outlineLevel="2">
      <c r="B893" s="2889" t="s">
        <v>1645</v>
      </c>
      <c r="C893" s="2889" t="s">
        <v>1408</v>
      </c>
      <c r="D893" s="2889" t="s">
        <v>197</v>
      </c>
      <c r="E893" s="2889" t="s">
        <v>217</v>
      </c>
      <c r="F893" s="2890">
        <v>5.3496567486231955E-4</v>
      </c>
      <c r="G893" s="2890">
        <v>0.32625641658943949</v>
      </c>
    </row>
    <row r="894" spans="2:7" ht="15" hidden="1" outlineLevel="2">
      <c r="B894" s="2889" t="s">
        <v>1646</v>
      </c>
      <c r="C894" s="2889" t="s">
        <v>1408</v>
      </c>
      <c r="D894" s="2889" t="s">
        <v>197</v>
      </c>
      <c r="E894" s="2889" t="s">
        <v>217</v>
      </c>
      <c r="F894" s="2890">
        <v>3.8563973149799051E-3</v>
      </c>
      <c r="G894" s="2890">
        <v>2.3518767540235155</v>
      </c>
    </row>
    <row r="895" spans="2:7" ht="15" hidden="1" outlineLevel="2">
      <c r="B895" s="2889" t="s">
        <v>1647</v>
      </c>
      <c r="C895" s="2889" t="s">
        <v>1408</v>
      </c>
      <c r="D895" s="2889" t="s">
        <v>197</v>
      </c>
      <c r="E895" s="2889" t="s">
        <v>217</v>
      </c>
      <c r="F895" s="2890">
        <v>1.0574738608080301E-3</v>
      </c>
      <c r="G895" s="2890">
        <v>0.64499215720162451</v>
      </c>
    </row>
    <row r="896" spans="2:7" ht="15" hidden="1" outlineLevel="2">
      <c r="B896" s="2889" t="s">
        <v>1648</v>
      </c>
      <c r="C896" s="2889" t="s">
        <v>1408</v>
      </c>
      <c r="D896" s="2889" t="s">
        <v>197</v>
      </c>
      <c r="E896" s="2889" t="s">
        <v>217</v>
      </c>
      <c r="F896" s="2890">
        <v>1.0778588515426605E-3</v>
      </c>
      <c r="G896" s="2890">
        <v>0.65742582300586283</v>
      </c>
    </row>
    <row r="897" spans="2:7" ht="15" hidden="1" outlineLevel="2">
      <c r="B897" s="2889" t="s">
        <v>1649</v>
      </c>
      <c r="C897" s="2889" t="s">
        <v>1408</v>
      </c>
      <c r="D897" s="2889" t="s">
        <v>197</v>
      </c>
      <c r="E897" s="2889" t="s">
        <v>217</v>
      </c>
      <c r="F897" s="2890">
        <v>2.485190605547622E-3</v>
      </c>
      <c r="G897" s="2890">
        <v>1.5158083494134906</v>
      </c>
    </row>
    <row r="898" spans="2:7" ht="15" hidden="1" outlineLevel="2">
      <c r="B898" s="2889" t="s">
        <v>1650</v>
      </c>
      <c r="C898" s="2889" t="s">
        <v>1408</v>
      </c>
      <c r="D898" s="2889" t="s">
        <v>197</v>
      </c>
      <c r="E898" s="2889" t="s">
        <v>217</v>
      </c>
      <c r="F898" s="2890">
        <v>2.2711484372410482E-3</v>
      </c>
      <c r="G898" s="2890">
        <v>1.3852581011973732</v>
      </c>
    </row>
    <row r="899" spans="2:7" ht="15" hidden="1" outlineLevel="2">
      <c r="B899" s="2889" t="s">
        <v>1651</v>
      </c>
      <c r="C899" s="2889" t="s">
        <v>1408</v>
      </c>
      <c r="D899" s="2889" t="s">
        <v>197</v>
      </c>
      <c r="E899" s="2889" t="s">
        <v>217</v>
      </c>
      <c r="F899" s="2890">
        <v>1.7445183806224771E-3</v>
      </c>
      <c r="G899" s="2890">
        <v>1.0640458289903718</v>
      </c>
    </row>
    <row r="900" spans="2:7" ht="15" hidden="1" outlineLevel="2">
      <c r="B900" s="2889" t="s">
        <v>1652</v>
      </c>
      <c r="C900" s="2889" t="s">
        <v>1408</v>
      </c>
      <c r="D900" s="2889" t="s">
        <v>197</v>
      </c>
      <c r="E900" s="2889" t="s">
        <v>217</v>
      </c>
      <c r="F900" s="2890">
        <v>2.6521723520431147E-3</v>
      </c>
      <c r="G900" s="2890">
        <v>1.6176572506777971</v>
      </c>
    </row>
    <row r="901" spans="2:7" ht="15" hidden="1" outlineLevel="2">
      <c r="B901" s="2889" t="s">
        <v>1653</v>
      </c>
      <c r="C901" s="2889" t="s">
        <v>1408</v>
      </c>
      <c r="D901" s="2889" t="s">
        <v>197</v>
      </c>
      <c r="E901" s="2889" t="s">
        <v>217</v>
      </c>
      <c r="F901" s="2890">
        <v>6.7325372663441813E-35</v>
      </c>
      <c r="G901" s="2890">
        <v>3.4215421049509254E-32</v>
      </c>
    </row>
    <row r="902" spans="2:7" ht="15" hidden="1" outlineLevel="2">
      <c r="B902" s="2889" t="s">
        <v>1407</v>
      </c>
      <c r="C902" s="2889" t="s">
        <v>1440</v>
      </c>
      <c r="D902" s="2889" t="s">
        <v>1105</v>
      </c>
      <c r="E902" s="2889" t="s">
        <v>217</v>
      </c>
      <c r="F902" s="2890">
        <v>7.3702866842318918E-3</v>
      </c>
      <c r="G902" s="2890">
        <v>3.652169111732305</v>
      </c>
    </row>
    <row r="903" spans="2:7" ht="15" hidden="1" outlineLevel="2">
      <c r="B903" s="2889" t="s">
        <v>1631</v>
      </c>
      <c r="C903" s="2889" t="s">
        <v>1440</v>
      </c>
      <c r="D903" s="2889" t="s">
        <v>1105</v>
      </c>
      <c r="E903" s="2889" t="s">
        <v>217</v>
      </c>
      <c r="F903" s="2890">
        <v>7.4842654236593545E-2</v>
      </c>
      <c r="G903" s="2890">
        <v>37.027370508657683</v>
      </c>
    </row>
    <row r="904" spans="2:7" ht="15" hidden="1" outlineLevel="2">
      <c r="B904" s="2889" t="s">
        <v>1632</v>
      </c>
      <c r="C904" s="2889" t="s">
        <v>1440</v>
      </c>
      <c r="D904" s="2889" t="s">
        <v>1105</v>
      </c>
      <c r="E904" s="2889" t="s">
        <v>217</v>
      </c>
      <c r="F904" s="2890">
        <v>0.11428657386350884</v>
      </c>
      <c r="G904" s="2890">
        <v>56.636718159409739</v>
      </c>
    </row>
    <row r="905" spans="2:7" ht="15" hidden="1" outlineLevel="2">
      <c r="B905" s="2889" t="s">
        <v>1633</v>
      </c>
      <c r="C905" s="2889" t="s">
        <v>1440</v>
      </c>
      <c r="D905" s="2889" t="s">
        <v>1105</v>
      </c>
      <c r="E905" s="2889" t="s">
        <v>217</v>
      </c>
      <c r="F905" s="2890">
        <v>4.1950432967174465E-3</v>
      </c>
      <c r="G905" s="2890">
        <v>2.0789261118876348</v>
      </c>
    </row>
    <row r="906" spans="2:7" ht="15" hidden="1" outlineLevel="2">
      <c r="B906" s="2889" t="s">
        <v>1634</v>
      </c>
      <c r="C906" s="2889" t="s">
        <v>1440</v>
      </c>
      <c r="D906" s="2889" t="s">
        <v>1105</v>
      </c>
      <c r="E906" s="2889" t="s">
        <v>217</v>
      </c>
      <c r="F906" s="2890">
        <v>2.9481158625725302E-3</v>
      </c>
      <c r="G906" s="2890">
        <v>1.4608676392239264</v>
      </c>
    </row>
    <row r="907" spans="2:7" ht="15" hidden="1" outlineLevel="2">
      <c r="B907" s="2889" t="s">
        <v>1635</v>
      </c>
      <c r="C907" s="2889" t="s">
        <v>1440</v>
      </c>
      <c r="D907" s="2889" t="s">
        <v>1105</v>
      </c>
      <c r="E907" s="2889" t="s">
        <v>217</v>
      </c>
      <c r="F907" s="2890">
        <v>1.8821012549329937E-2</v>
      </c>
      <c r="G907" s="2890">
        <v>9.3270749178073853</v>
      </c>
    </row>
    <row r="908" spans="2:7" ht="15" hidden="1" outlineLevel="2">
      <c r="B908" s="2889" t="s">
        <v>1636</v>
      </c>
      <c r="C908" s="2889" t="s">
        <v>1440</v>
      </c>
      <c r="D908" s="2889" t="s">
        <v>1105</v>
      </c>
      <c r="E908" s="2889" t="s">
        <v>217</v>
      </c>
      <c r="F908" s="2890">
        <v>7.2562928156745515E-3</v>
      </c>
      <c r="G908" s="2890">
        <v>3.595981245420997</v>
      </c>
    </row>
    <row r="909" spans="2:7" ht="15" hidden="1" outlineLevel="2">
      <c r="B909" s="2889" t="s">
        <v>1637</v>
      </c>
      <c r="C909" s="2889" t="s">
        <v>1440</v>
      </c>
      <c r="D909" s="2889" t="s">
        <v>1105</v>
      </c>
      <c r="E909" s="2889" t="s">
        <v>217</v>
      </c>
      <c r="F909" s="3039">
        <v>8.6168472033301118E-3</v>
      </c>
      <c r="G909" s="2890">
        <v>4.2702288137846818</v>
      </c>
    </row>
    <row r="910" spans="2:7" ht="15" hidden="1" outlineLevel="2">
      <c r="B910" s="2889" t="s">
        <v>1638</v>
      </c>
      <c r="C910" s="2889" t="s">
        <v>1440</v>
      </c>
      <c r="D910" s="2889" t="s">
        <v>1105</v>
      </c>
      <c r="E910" s="2889" t="s">
        <v>217</v>
      </c>
      <c r="F910" s="3039">
        <v>5.3292844745707856E-3</v>
      </c>
      <c r="G910" s="2890">
        <v>2.6407967479482117</v>
      </c>
    </row>
    <row r="911" spans="2:7" ht="15" hidden="1" outlineLevel="2">
      <c r="B911" s="2889" t="s">
        <v>1639</v>
      </c>
      <c r="C911" s="2889" t="s">
        <v>1440</v>
      </c>
      <c r="D911" s="2889" t="s">
        <v>1105</v>
      </c>
      <c r="E911" s="2889" t="s">
        <v>217</v>
      </c>
      <c r="F911" s="3039">
        <v>2.6530826814721863E-2</v>
      </c>
      <c r="G911" s="2890">
        <v>13.147799718327935</v>
      </c>
    </row>
    <row r="912" spans="2:7" ht="15" hidden="1" outlineLevel="2">
      <c r="B912" s="2889" t="s">
        <v>1640</v>
      </c>
      <c r="C912" s="2889" t="s">
        <v>1440</v>
      </c>
      <c r="D912" s="2889" t="s">
        <v>1105</v>
      </c>
      <c r="E912" s="2889" t="s">
        <v>217</v>
      </c>
      <c r="F912" s="3039">
        <v>3.9686179640344233E-3</v>
      </c>
      <c r="G912" s="2890">
        <v>1.9665525247125553</v>
      </c>
    </row>
    <row r="913" spans="2:7" ht="15" hidden="1" outlineLevel="2">
      <c r="B913" s="2889" t="s">
        <v>1641</v>
      </c>
      <c r="C913" s="2889" t="s">
        <v>1440</v>
      </c>
      <c r="D913" s="2889" t="s">
        <v>1105</v>
      </c>
      <c r="E913" s="2889" t="s">
        <v>217</v>
      </c>
      <c r="F913" s="3039">
        <v>2.5510404275937572E-2</v>
      </c>
      <c r="G913" s="2890">
        <v>12.642120976729831</v>
      </c>
    </row>
    <row r="914" spans="2:7" ht="15" hidden="1" outlineLevel="2">
      <c r="B914" s="2889" t="s">
        <v>1642</v>
      </c>
      <c r="C914" s="2889" t="s">
        <v>1440</v>
      </c>
      <c r="D914" s="2889" t="s">
        <v>1105</v>
      </c>
      <c r="E914" s="2889" t="s">
        <v>217</v>
      </c>
      <c r="F914" s="3039">
        <v>6.7800992555511225E-2</v>
      </c>
      <c r="G914" s="2890">
        <v>33.599961387218762</v>
      </c>
    </row>
    <row r="915" spans="2:7" ht="15" hidden="1" outlineLevel="2">
      <c r="B915" s="2889" t="s">
        <v>1643</v>
      </c>
      <c r="C915" s="2889" t="s">
        <v>1440</v>
      </c>
      <c r="D915" s="2889" t="s">
        <v>1105</v>
      </c>
      <c r="E915" s="2889" t="s">
        <v>217</v>
      </c>
      <c r="F915" s="2890">
        <v>4.197467029550774E-3</v>
      </c>
      <c r="G915" s="2890">
        <v>2.0802013949915836</v>
      </c>
    </row>
    <row r="916" spans="2:7" ht="15" hidden="1" outlineLevel="2">
      <c r="B916" s="2889" t="s">
        <v>1644</v>
      </c>
      <c r="C916" s="2889" t="s">
        <v>1440</v>
      </c>
      <c r="D916" s="2889" t="s">
        <v>1105</v>
      </c>
      <c r="E916" s="2889" t="s">
        <v>217</v>
      </c>
      <c r="F916" s="2890">
        <v>9.9887392137490025E-2</v>
      </c>
      <c r="G916" s="2890">
        <v>49.500837797235441</v>
      </c>
    </row>
    <row r="917" spans="2:7" ht="15" hidden="1" outlineLevel="2">
      <c r="B917" s="2889" t="s">
        <v>1645</v>
      </c>
      <c r="C917" s="2889" t="s">
        <v>1440</v>
      </c>
      <c r="D917" s="2889" t="s">
        <v>1105</v>
      </c>
      <c r="E917" s="2889" t="s">
        <v>217</v>
      </c>
      <c r="F917" s="2890">
        <v>7.6304440369809129E-2</v>
      </c>
      <c r="G917" s="2890">
        <v>37.813999433017415</v>
      </c>
    </row>
    <row r="918" spans="2:7" ht="15" hidden="1" outlineLevel="2">
      <c r="B918" s="2889" t="s">
        <v>1646</v>
      </c>
      <c r="C918" s="2889" t="s">
        <v>1440</v>
      </c>
      <c r="D918" s="2889" t="s">
        <v>1105</v>
      </c>
      <c r="E918" s="2889" t="s">
        <v>217</v>
      </c>
      <c r="F918" s="2890">
        <v>8.9569829503893146E-3</v>
      </c>
      <c r="G918" s="2890">
        <v>4.4387925046226124</v>
      </c>
    </row>
    <row r="919" spans="2:7" ht="15" hidden="1" outlineLevel="2">
      <c r="B919" s="2889" t="s">
        <v>1647</v>
      </c>
      <c r="C919" s="2889" t="s">
        <v>1440</v>
      </c>
      <c r="D919" s="2889" t="s">
        <v>1105</v>
      </c>
      <c r="E919" s="2889" t="s">
        <v>217</v>
      </c>
      <c r="F919" s="2890">
        <v>4.082007380452779E-3</v>
      </c>
      <c r="G919" s="2890">
        <v>2.0227394610086709</v>
      </c>
    </row>
    <row r="920" spans="2:7" ht="15" hidden="1" outlineLevel="2">
      <c r="B920" s="2889" t="s">
        <v>1648</v>
      </c>
      <c r="C920" s="2889" t="s">
        <v>1440</v>
      </c>
      <c r="D920" s="2889" t="s">
        <v>1105</v>
      </c>
      <c r="E920" s="2889" t="s">
        <v>217</v>
      </c>
      <c r="F920" s="2890">
        <v>1.7008359952360049E-3</v>
      </c>
      <c r="G920" s="2890">
        <v>0.84280747753791596</v>
      </c>
    </row>
    <row r="921" spans="2:7" ht="15" hidden="1" outlineLevel="2">
      <c r="B921" s="2889" t="s">
        <v>1649</v>
      </c>
      <c r="C921" s="2889" t="s">
        <v>1440</v>
      </c>
      <c r="D921" s="2889" t="s">
        <v>1105</v>
      </c>
      <c r="E921" s="2889" t="s">
        <v>217</v>
      </c>
      <c r="F921" s="2890">
        <v>7.5970688631559558E-3</v>
      </c>
      <c r="G921" s="2890">
        <v>3.7645429265481249</v>
      </c>
    </row>
    <row r="922" spans="2:7" ht="15" hidden="1" outlineLevel="2">
      <c r="B922" s="2889" t="s">
        <v>1650</v>
      </c>
      <c r="C922" s="2889" t="s">
        <v>1440</v>
      </c>
      <c r="D922" s="2889" t="s">
        <v>1105</v>
      </c>
      <c r="E922" s="2889" t="s">
        <v>217</v>
      </c>
      <c r="F922" s="2890">
        <v>1.7121750038614301E-2</v>
      </c>
      <c r="G922" s="2890">
        <v>8.4842771081972685</v>
      </c>
    </row>
    <row r="923" spans="2:7" ht="15" hidden="1" outlineLevel="2">
      <c r="B923" s="2889" t="s">
        <v>1651</v>
      </c>
      <c r="C923" s="2889" t="s">
        <v>1440</v>
      </c>
      <c r="D923" s="2889" t="s">
        <v>1105</v>
      </c>
      <c r="E923" s="2889" t="s">
        <v>217</v>
      </c>
      <c r="F923" s="2890">
        <v>1.4853962678633991E-2</v>
      </c>
      <c r="G923" s="2890">
        <v>7.3605295088915534</v>
      </c>
    </row>
    <row r="924" spans="2:7" ht="15" hidden="1" outlineLevel="2">
      <c r="B924" s="2889" t="s">
        <v>1652</v>
      </c>
      <c r="C924" s="2889" t="s">
        <v>1440</v>
      </c>
      <c r="D924" s="2889" t="s">
        <v>1105</v>
      </c>
      <c r="E924" s="2889" t="s">
        <v>217</v>
      </c>
      <c r="F924" s="2890">
        <v>9.2979034095624843E-3</v>
      </c>
      <c r="G924" s="2890">
        <v>4.6073462309468267</v>
      </c>
    </row>
    <row r="925" spans="2:7" ht="15" hidden="1" outlineLevel="2">
      <c r="B925" s="2889" t="s">
        <v>1653</v>
      </c>
      <c r="C925" s="2889" t="s">
        <v>1440</v>
      </c>
      <c r="D925" s="2889" t="s">
        <v>1105</v>
      </c>
      <c r="E925" s="2889" t="s">
        <v>217</v>
      </c>
      <c r="F925" s="2890">
        <v>7.2109381319057142E-2</v>
      </c>
      <c r="G925" s="2890">
        <v>35.735070784261353</v>
      </c>
    </row>
    <row r="926" spans="2:7" ht="15" hidden="1" outlineLevel="2">
      <c r="B926" s="2889" t="s">
        <v>1407</v>
      </c>
      <c r="C926" s="2889" t="s">
        <v>1441</v>
      </c>
      <c r="D926" s="2889" t="s">
        <v>1105</v>
      </c>
      <c r="E926" s="2889" t="s">
        <v>217</v>
      </c>
      <c r="F926" s="2890">
        <v>4.7095798836008729E-2</v>
      </c>
      <c r="G926" s="2890">
        <v>24.366114974648408</v>
      </c>
    </row>
    <row r="927" spans="2:7" ht="15" hidden="1" outlineLevel="2">
      <c r="B927" s="2889" t="s">
        <v>1631</v>
      </c>
      <c r="C927" s="2889" t="s">
        <v>1441</v>
      </c>
      <c r="D927" s="2889" t="s">
        <v>1105</v>
      </c>
      <c r="E927" s="2889" t="s">
        <v>217</v>
      </c>
      <c r="F927" s="2890">
        <v>0.47824071431139598</v>
      </c>
      <c r="G927" s="2890">
        <v>247.03471866380158</v>
      </c>
    </row>
    <row r="928" spans="2:7" ht="15" hidden="1" outlineLevel="2">
      <c r="B928" s="2889" t="s">
        <v>1632</v>
      </c>
      <c r="C928" s="2889" t="s">
        <v>1441</v>
      </c>
      <c r="D928" s="2889" t="s">
        <v>1105</v>
      </c>
      <c r="E928" s="2889" t="s">
        <v>217</v>
      </c>
      <c r="F928" s="2890">
        <v>0.73028567078512452</v>
      </c>
      <c r="G928" s="2890">
        <v>383.79431954510562</v>
      </c>
    </row>
    <row r="929" spans="2:7" ht="15" hidden="1" outlineLevel="2">
      <c r="B929" s="2889" t="s">
        <v>1633</v>
      </c>
      <c r="C929" s="2889" t="s">
        <v>1441</v>
      </c>
      <c r="D929" s="2889" t="s">
        <v>1105</v>
      </c>
      <c r="E929" s="2889" t="s">
        <v>217</v>
      </c>
      <c r="F929" s="2890">
        <v>2.6806126766458025E-2</v>
      </c>
      <c r="G929" s="2890">
        <v>13.869927540116496</v>
      </c>
    </row>
    <row r="930" spans="2:7" ht="15" hidden="1" outlineLevel="2">
      <c r="B930" s="2889" t="s">
        <v>1634</v>
      </c>
      <c r="C930" s="2889" t="s">
        <v>1441</v>
      </c>
      <c r="D930" s="2889" t="s">
        <v>1105</v>
      </c>
      <c r="E930" s="2889" t="s">
        <v>217</v>
      </c>
      <c r="F930" s="2890">
        <v>1.8838312089448316E-2</v>
      </c>
      <c r="G930" s="2890">
        <v>9.7464418882401169</v>
      </c>
    </row>
    <row r="931" spans="2:7" ht="15" hidden="1" outlineLevel="2">
      <c r="B931" s="2889" t="s">
        <v>1635</v>
      </c>
      <c r="C931" s="2889" t="s">
        <v>1441</v>
      </c>
      <c r="D931" s="2889" t="s">
        <v>1105</v>
      </c>
      <c r="E931" s="2889" t="s">
        <v>217</v>
      </c>
      <c r="F931" s="2890">
        <v>0.12026536024038474</v>
      </c>
      <c r="G931" s="2890">
        <v>62.227238801992343</v>
      </c>
    </row>
    <row r="932" spans="2:7" ht="15" hidden="1" outlineLevel="2">
      <c r="B932" s="2889" t="s">
        <v>1636</v>
      </c>
      <c r="C932" s="2889" t="s">
        <v>1441</v>
      </c>
      <c r="D932" s="2889" t="s">
        <v>1105</v>
      </c>
      <c r="E932" s="2889" t="s">
        <v>217</v>
      </c>
      <c r="F932" s="2890">
        <v>4.6367351102704658E-2</v>
      </c>
      <c r="G932" s="2890">
        <v>23.991243873084002</v>
      </c>
    </row>
    <row r="933" spans="2:7" ht="15" hidden="1" outlineLevel="2">
      <c r="B933" s="2889" t="s">
        <v>1637</v>
      </c>
      <c r="C933" s="2889" t="s">
        <v>1441</v>
      </c>
      <c r="D933" s="2889" t="s">
        <v>1105</v>
      </c>
      <c r="E933" s="2889" t="s">
        <v>217</v>
      </c>
      <c r="F933" s="2890">
        <v>5.5061227858682352E-2</v>
      </c>
      <c r="G933" s="2890">
        <v>28.489598884659827</v>
      </c>
    </row>
    <row r="934" spans="2:7" ht="15" hidden="1" outlineLevel="2">
      <c r="B934" s="2889" t="s">
        <v>1638</v>
      </c>
      <c r="C934" s="2889" t="s">
        <v>1441</v>
      </c>
      <c r="D934" s="2889" t="s">
        <v>1105</v>
      </c>
      <c r="E934" s="2889" t="s">
        <v>217</v>
      </c>
      <c r="F934" s="2890">
        <v>3.4053908643260168E-2</v>
      </c>
      <c r="G934" s="2890">
        <v>17.618550520440692</v>
      </c>
    </row>
    <row r="935" spans="2:7" ht="15" hidden="1" outlineLevel="2">
      <c r="B935" s="2889" t="s">
        <v>1639</v>
      </c>
      <c r="C935" s="2889" t="s">
        <v>1441</v>
      </c>
      <c r="D935" s="2889" t="s">
        <v>1105</v>
      </c>
      <c r="E935" s="2889" t="s">
        <v>217</v>
      </c>
      <c r="F935" s="2890">
        <v>0.16953059311605337</v>
      </c>
      <c r="G935" s="2890">
        <v>87.717933652295898</v>
      </c>
    </row>
    <row r="936" spans="2:7" ht="15" hidden="1" outlineLevel="2">
      <c r="B936" s="2889" t="s">
        <v>1640</v>
      </c>
      <c r="C936" s="2889" t="s">
        <v>1441</v>
      </c>
      <c r="D936" s="2889" t="s">
        <v>1105</v>
      </c>
      <c r="E936" s="2889" t="s">
        <v>217</v>
      </c>
      <c r="F936" s="2890">
        <v>2.5359284373134679E-2</v>
      </c>
      <c r="G936" s="2890">
        <v>13.120213711142764</v>
      </c>
    </row>
    <row r="937" spans="2:7" ht="15" hidden="1" outlineLevel="2">
      <c r="B937" s="2889" t="s">
        <v>1641</v>
      </c>
      <c r="C937" s="2889" t="s">
        <v>1441</v>
      </c>
      <c r="D937" s="2889" t="s">
        <v>1105</v>
      </c>
      <c r="E937" s="2889" t="s">
        <v>217</v>
      </c>
      <c r="F937" s="2890">
        <v>0.16301022934064394</v>
      </c>
      <c r="G937" s="2890">
        <v>84.344238214335633</v>
      </c>
    </row>
    <row r="938" spans="2:7" ht="15" hidden="1" outlineLevel="2">
      <c r="B938" s="2889" t="s">
        <v>1642</v>
      </c>
      <c r="C938" s="2889" t="s">
        <v>1441</v>
      </c>
      <c r="D938" s="2889" t="s">
        <v>1105</v>
      </c>
      <c r="E938" s="2889" t="s">
        <v>217</v>
      </c>
      <c r="F938" s="2890">
        <v>0.43324512348042482</v>
      </c>
      <c r="G938" s="2890">
        <v>224.16789432742456</v>
      </c>
    </row>
    <row r="939" spans="2:7" ht="15" hidden="1" outlineLevel="2">
      <c r="B939" s="2889" t="s">
        <v>1643</v>
      </c>
      <c r="C939" s="2889" t="s">
        <v>1441</v>
      </c>
      <c r="D939" s="2889" t="s">
        <v>1105</v>
      </c>
      <c r="E939" s="2889" t="s">
        <v>217</v>
      </c>
      <c r="F939" s="2890">
        <v>2.6821603057754256E-2</v>
      </c>
      <c r="G939" s="2890">
        <v>13.878436626532737</v>
      </c>
    </row>
    <row r="940" spans="2:7" ht="15" hidden="1" outlineLevel="2">
      <c r="B940" s="2889" t="s">
        <v>1644</v>
      </c>
      <c r="C940" s="2889" t="s">
        <v>1441</v>
      </c>
      <c r="D940" s="2889" t="s">
        <v>1105</v>
      </c>
      <c r="E940" s="2889" t="s">
        <v>217</v>
      </c>
      <c r="F940" s="2890">
        <v>0.63827576985098367</v>
      </c>
      <c r="G940" s="2890">
        <v>330.25435579954865</v>
      </c>
    </row>
    <row r="941" spans="2:7" ht="15" hidden="1" outlineLevel="2">
      <c r="B941" s="2889" t="s">
        <v>1645</v>
      </c>
      <c r="C941" s="2889" t="s">
        <v>1441</v>
      </c>
      <c r="D941" s="2889" t="s">
        <v>1105</v>
      </c>
      <c r="E941" s="2889" t="s">
        <v>217</v>
      </c>
      <c r="F941" s="2890">
        <v>0.4875815242652749</v>
      </c>
      <c r="G941" s="2890">
        <v>252.28274321037858</v>
      </c>
    </row>
    <row r="942" spans="2:7" ht="15" hidden="1" outlineLevel="2">
      <c r="B942" s="2889" t="s">
        <v>1646</v>
      </c>
      <c r="C942" s="2889" t="s">
        <v>1441</v>
      </c>
      <c r="D942" s="2889" t="s">
        <v>1105</v>
      </c>
      <c r="E942" s="2889" t="s">
        <v>217</v>
      </c>
      <c r="F942" s="2890">
        <v>5.7234713543070269E-2</v>
      </c>
      <c r="G942" s="2890">
        <v>29.614182688886988</v>
      </c>
    </row>
    <row r="943" spans="2:7" ht="15" hidden="1" outlineLevel="2">
      <c r="B943" s="2889" t="s">
        <v>1647</v>
      </c>
      <c r="C943" s="2889" t="s">
        <v>1441</v>
      </c>
      <c r="D943" s="2889" t="s">
        <v>1105</v>
      </c>
      <c r="E943" s="2889" t="s">
        <v>217</v>
      </c>
      <c r="F943" s="2890">
        <v>2.6083822142005067E-2</v>
      </c>
      <c r="G943" s="2890">
        <v>13.495074849684986</v>
      </c>
    </row>
    <row r="944" spans="2:7" ht="15" hidden="1" outlineLevel="2">
      <c r="B944" s="2889" t="s">
        <v>1648</v>
      </c>
      <c r="C944" s="2889" t="s">
        <v>1441</v>
      </c>
      <c r="D944" s="2889" t="s">
        <v>1105</v>
      </c>
      <c r="E944" s="2889" t="s">
        <v>217</v>
      </c>
      <c r="F944" s="2890">
        <v>1.0868257803535075E-2</v>
      </c>
      <c r="G944" s="2890">
        <v>5.6229453512803449</v>
      </c>
    </row>
    <row r="945" spans="2:7" ht="15" hidden="1" outlineLevel="2">
      <c r="B945" s="2889" t="s">
        <v>1649</v>
      </c>
      <c r="C945" s="2889" t="s">
        <v>1441</v>
      </c>
      <c r="D945" s="2889" t="s">
        <v>1105</v>
      </c>
      <c r="E945" s="2889" t="s">
        <v>217</v>
      </c>
      <c r="F945" s="2890">
        <v>4.8544889193414494E-2</v>
      </c>
      <c r="G945" s="2890">
        <v>25.115830670688506</v>
      </c>
    </row>
    <row r="946" spans="2:7" ht="15" hidden="1" outlineLevel="2">
      <c r="B946" s="2889" t="s">
        <v>1650</v>
      </c>
      <c r="C946" s="2889" t="s">
        <v>1441</v>
      </c>
      <c r="D946" s="2889" t="s">
        <v>1105</v>
      </c>
      <c r="E946" s="2889" t="s">
        <v>217</v>
      </c>
      <c r="F946" s="2890">
        <v>0.10940713689246438</v>
      </c>
      <c r="G946" s="2890">
        <v>56.60431434455775</v>
      </c>
    </row>
    <row r="947" spans="2:7" ht="15" hidden="1" outlineLevel="2">
      <c r="B947" s="2889" t="s">
        <v>1651</v>
      </c>
      <c r="C947" s="2889" t="s">
        <v>1441</v>
      </c>
      <c r="D947" s="2889" t="s">
        <v>1105</v>
      </c>
      <c r="E947" s="2889" t="s">
        <v>217</v>
      </c>
      <c r="F947" s="2890">
        <v>9.4916121297656308E-2</v>
      </c>
      <c r="G947" s="2890">
        <v>49.107068082036555</v>
      </c>
    </row>
    <row r="948" spans="2:7" ht="15" hidden="1" outlineLevel="2">
      <c r="B948" s="2889" t="s">
        <v>1652</v>
      </c>
      <c r="C948" s="2889" t="s">
        <v>1441</v>
      </c>
      <c r="D948" s="2889" t="s">
        <v>1105</v>
      </c>
      <c r="E948" s="2889" t="s">
        <v>217</v>
      </c>
      <c r="F948" s="2890">
        <v>5.9413151896731416E-2</v>
      </c>
      <c r="G948" s="2890">
        <v>30.738774838759589</v>
      </c>
    </row>
    <row r="949" spans="2:7" ht="15" hidden="1" outlineLevel="2">
      <c r="B949" s="2889" t="s">
        <v>1653</v>
      </c>
      <c r="C949" s="2889" t="s">
        <v>1441</v>
      </c>
      <c r="D949" s="2889" t="s">
        <v>1105</v>
      </c>
      <c r="E949" s="2889" t="s">
        <v>217</v>
      </c>
      <c r="F949" s="2890">
        <v>0.46077539801993883</v>
      </c>
      <c r="G949" s="2890">
        <v>238.41295507060883</v>
      </c>
    </row>
    <row r="950" spans="2:7" ht="15" hidden="1" outlineLevel="2">
      <c r="B950" s="2889" t="s">
        <v>1407</v>
      </c>
      <c r="C950" s="2889" t="s">
        <v>1442</v>
      </c>
      <c r="D950" s="2889" t="s">
        <v>1105</v>
      </c>
      <c r="E950" s="2889" t="s">
        <v>217</v>
      </c>
      <c r="F950" s="2890">
        <v>2.0963845222397574E-5</v>
      </c>
      <c r="G950" s="2890">
        <v>9.3972635242634012E-3</v>
      </c>
    </row>
    <row r="951" spans="2:7" ht="15" hidden="1" outlineLevel="2">
      <c r="B951" s="2889" t="s">
        <v>1631</v>
      </c>
      <c r="C951" s="2889" t="s">
        <v>1442</v>
      </c>
      <c r="D951" s="2889" t="s">
        <v>1105</v>
      </c>
      <c r="E951" s="2889" t="s">
        <v>217</v>
      </c>
      <c r="F951" s="2890">
        <v>2.1288030916054792E-4</v>
      </c>
      <c r="G951" s="2890">
        <v>9.5273825633411871E-2</v>
      </c>
    </row>
    <row r="952" spans="2:7" ht="15" hidden="1" outlineLevel="2">
      <c r="B952" s="2889" t="s">
        <v>1632</v>
      </c>
      <c r="C952" s="2889" t="s">
        <v>1442</v>
      </c>
      <c r="D952" s="2889" t="s">
        <v>1105</v>
      </c>
      <c r="E952" s="2889" t="s">
        <v>217</v>
      </c>
      <c r="F952" s="2890">
        <v>3.3018083893596178E-4</v>
      </c>
      <c r="G952" s="2890">
        <v>0.14572982938756895</v>
      </c>
    </row>
    <row r="953" spans="2:7" ht="15" hidden="1" outlineLevel="2">
      <c r="B953" s="2889" t="s">
        <v>1633</v>
      </c>
      <c r="C953" s="2889" t="s">
        <v>1442</v>
      </c>
      <c r="D953" s="2889" t="s">
        <v>1105</v>
      </c>
      <c r="E953" s="2889" t="s">
        <v>217</v>
      </c>
      <c r="F953" s="2890">
        <v>1.193226579127512E-5</v>
      </c>
      <c r="G953" s="2890">
        <v>5.3492103383926005E-3</v>
      </c>
    </row>
    <row r="954" spans="2:7" ht="15" hidden="1" outlineLevel="2">
      <c r="B954" s="2889" t="s">
        <v>1634</v>
      </c>
      <c r="C954" s="2889" t="s">
        <v>1442</v>
      </c>
      <c r="D954" s="2889" t="s">
        <v>1105</v>
      </c>
      <c r="E954" s="2889" t="s">
        <v>217</v>
      </c>
      <c r="F954" s="2890">
        <v>8.3855421990795591E-6</v>
      </c>
      <c r="G954" s="2890">
        <v>3.7589049637673428E-3</v>
      </c>
    </row>
    <row r="955" spans="2:7" ht="15" hidden="1" outlineLevel="2">
      <c r="B955" s="2889" t="s">
        <v>1635</v>
      </c>
      <c r="C955" s="2889" t="s">
        <v>1442</v>
      </c>
      <c r="D955" s="2889" t="s">
        <v>1105</v>
      </c>
      <c r="E955" s="2889" t="s">
        <v>217</v>
      </c>
      <c r="F955" s="3039">
        <v>5.3533971759393667E-5</v>
      </c>
      <c r="G955" s="2890">
        <v>2.3999181208591697E-2</v>
      </c>
    </row>
    <row r="956" spans="2:7" ht="15" hidden="1" outlineLevel="2">
      <c r="B956" s="2889" t="s">
        <v>1636</v>
      </c>
      <c r="C956" s="2889" t="s">
        <v>1442</v>
      </c>
      <c r="D956" s="2889" t="s">
        <v>1105</v>
      </c>
      <c r="E956" s="2889" t="s">
        <v>217</v>
      </c>
      <c r="F956" s="3039">
        <v>2.0639596932865348E-5</v>
      </c>
      <c r="G956" s="2890">
        <v>9.2526803380129745E-3</v>
      </c>
    </row>
    <row r="957" spans="2:7" ht="15" hidden="1" outlineLevel="2">
      <c r="B957" s="2889" t="s">
        <v>1637</v>
      </c>
      <c r="C957" s="2889" t="s">
        <v>1442</v>
      </c>
      <c r="D957" s="2889" t="s">
        <v>1105</v>
      </c>
      <c r="E957" s="2889" t="s">
        <v>217</v>
      </c>
      <c r="F957" s="3039">
        <v>2.4509524654466707E-5</v>
      </c>
      <c r="G957" s="2890">
        <v>1.0987585180172909E-2</v>
      </c>
    </row>
    <row r="958" spans="2:7" ht="15" hidden="1" outlineLevel="2">
      <c r="B958" s="2889" t="s">
        <v>1638</v>
      </c>
      <c r="C958" s="2889" t="s">
        <v>1442</v>
      </c>
      <c r="D958" s="2889" t="s">
        <v>1105</v>
      </c>
      <c r="E958" s="2889" t="s">
        <v>217</v>
      </c>
      <c r="F958" s="3039">
        <v>1.5158470249126388E-5</v>
      </c>
      <c r="G958" s="2890">
        <v>6.7949492678398568E-3</v>
      </c>
    </row>
    <row r="959" spans="2:7" ht="15" hidden="1" outlineLevel="2">
      <c r="B959" s="2889" t="s">
        <v>1639</v>
      </c>
      <c r="C959" s="2889" t="s">
        <v>1442</v>
      </c>
      <c r="D959" s="2889" t="s">
        <v>1105</v>
      </c>
      <c r="E959" s="2889" t="s">
        <v>217</v>
      </c>
      <c r="F959" s="3039">
        <v>7.5463544015662737E-5</v>
      </c>
      <c r="G959" s="2890">
        <v>3.3830153933795341E-2</v>
      </c>
    </row>
    <row r="960" spans="2:7" ht="15" hidden="1" outlineLevel="2">
      <c r="B960" s="2889" t="s">
        <v>1640</v>
      </c>
      <c r="C960" s="2889" t="s">
        <v>1442</v>
      </c>
      <c r="D960" s="2889" t="s">
        <v>1105</v>
      </c>
      <c r="E960" s="2889" t="s">
        <v>217</v>
      </c>
      <c r="F960" s="3039">
        <v>1.1288222090369281E-5</v>
      </c>
      <c r="G960" s="2890">
        <v>5.0600634642477124E-3</v>
      </c>
    </row>
    <row r="961" spans="2:7" ht="15" hidden="1" outlineLevel="2">
      <c r="B961" s="2889" t="s">
        <v>1641</v>
      </c>
      <c r="C961" s="2889" t="s">
        <v>1442</v>
      </c>
      <c r="D961" s="2889" t="s">
        <v>1105</v>
      </c>
      <c r="E961" s="2889" t="s">
        <v>217</v>
      </c>
      <c r="F961" s="3039">
        <v>7.2561067701919861E-5</v>
      </c>
      <c r="G961" s="2890">
        <v>3.2528965415809977E-2</v>
      </c>
    </row>
    <row r="962" spans="2:7" ht="15" hidden="1" outlineLevel="2">
      <c r="B962" s="2889" t="s">
        <v>1642</v>
      </c>
      <c r="C962" s="2889" t="s">
        <v>1442</v>
      </c>
      <c r="D962" s="2889" t="s">
        <v>1105</v>
      </c>
      <c r="E962" s="2889" t="s">
        <v>217</v>
      </c>
      <c r="F962" s="3039">
        <v>1.9285126535993871E-4</v>
      </c>
      <c r="G962" s="2890">
        <v>8.6454807736710465E-2</v>
      </c>
    </row>
    <row r="963" spans="2:7" ht="15" hidden="1" outlineLevel="2">
      <c r="B963" s="2889" t="s">
        <v>1643</v>
      </c>
      <c r="C963" s="2889" t="s">
        <v>1442</v>
      </c>
      <c r="D963" s="2889" t="s">
        <v>1105</v>
      </c>
      <c r="E963" s="2889" t="s">
        <v>217</v>
      </c>
      <c r="F963" s="3039">
        <v>1.1939158374912438E-5</v>
      </c>
      <c r="G963" s="2890">
        <v>5.352493195413777E-3</v>
      </c>
    </row>
    <row r="964" spans="2:7" ht="15" hidden="1" outlineLevel="2">
      <c r="B964" s="2889" t="s">
        <v>1644</v>
      </c>
      <c r="C964" s="2889" t="s">
        <v>1442</v>
      </c>
      <c r="D964" s="2889" t="s">
        <v>1105</v>
      </c>
      <c r="E964" s="2889" t="s">
        <v>217</v>
      </c>
      <c r="F964" s="3039">
        <v>2.8411679710834754E-4</v>
      </c>
      <c r="G964" s="2890">
        <v>0.12736891840574346</v>
      </c>
    </row>
    <row r="965" spans="2:7" ht="15" hidden="1" outlineLevel="2">
      <c r="B965" s="2889" t="s">
        <v>1645</v>
      </c>
      <c r="C965" s="2889" t="s">
        <v>1442</v>
      </c>
      <c r="D965" s="2889" t="s">
        <v>1105</v>
      </c>
      <c r="E965" s="2889" t="s">
        <v>217</v>
      </c>
      <c r="F965" s="3039">
        <v>2.1703821382478786E-4</v>
      </c>
      <c r="G965" s="2890">
        <v>9.7297832973537959E-2</v>
      </c>
    </row>
    <row r="966" spans="2:7" ht="15" hidden="1" outlineLevel="2">
      <c r="B966" s="2889" t="s">
        <v>1646</v>
      </c>
      <c r="C966" s="2889" t="s">
        <v>1442</v>
      </c>
      <c r="D966" s="2889" t="s">
        <v>1105</v>
      </c>
      <c r="E966" s="2889" t="s">
        <v>217</v>
      </c>
      <c r="F966" s="3039">
        <v>2.5477006676748293E-5</v>
      </c>
      <c r="G966" s="2890">
        <v>1.1421290353531734E-2</v>
      </c>
    </row>
    <row r="967" spans="2:7" ht="15" hidden="1" outlineLevel="2">
      <c r="B967" s="2889" t="s">
        <v>1647</v>
      </c>
      <c r="C967" s="2889" t="s">
        <v>1442</v>
      </c>
      <c r="D967" s="2889" t="s">
        <v>1105</v>
      </c>
      <c r="E967" s="2889" t="s">
        <v>217</v>
      </c>
      <c r="F967" s="3039">
        <v>1.161074552443623E-5</v>
      </c>
      <c r="G967" s="2890">
        <v>5.2046318764360231E-3</v>
      </c>
    </row>
    <row r="968" spans="2:7" ht="15" hidden="1" outlineLevel="2">
      <c r="B968" s="2889" t="s">
        <v>1648</v>
      </c>
      <c r="C968" s="2889" t="s">
        <v>1442</v>
      </c>
      <c r="D968" s="2889" t="s">
        <v>1105</v>
      </c>
      <c r="E968" s="2889" t="s">
        <v>217</v>
      </c>
      <c r="F968" s="3039">
        <v>4.8378129390999237E-6</v>
      </c>
      <c r="G968" s="2890">
        <v>2.1685980479515974E-3</v>
      </c>
    </row>
    <row r="969" spans="2:7" ht="15" hidden="1" outlineLevel="2">
      <c r="B969" s="2889" t="s">
        <v>1649</v>
      </c>
      <c r="C969" s="2889" t="s">
        <v>1442</v>
      </c>
      <c r="D969" s="2889" t="s">
        <v>1105</v>
      </c>
      <c r="E969" s="2889" t="s">
        <v>217</v>
      </c>
      <c r="F969" s="3039">
        <v>2.1608890714879187E-5</v>
      </c>
      <c r="G969" s="2890">
        <v>9.68640521879407E-3</v>
      </c>
    </row>
    <row r="970" spans="2:7" ht="15" hidden="1" outlineLevel="2">
      <c r="B970" s="2889" t="s">
        <v>1650</v>
      </c>
      <c r="C970" s="2889" t="s">
        <v>1442</v>
      </c>
      <c r="D970" s="2889" t="s">
        <v>1105</v>
      </c>
      <c r="E970" s="2889" t="s">
        <v>217</v>
      </c>
      <c r="F970" s="3039">
        <v>4.8700624500488179E-5</v>
      </c>
      <c r="G970" s="2890">
        <v>2.1830561583907608E-2</v>
      </c>
    </row>
    <row r="971" spans="2:7" ht="15" hidden="1" outlineLevel="2">
      <c r="B971" s="2889" t="s">
        <v>1651</v>
      </c>
      <c r="C971" s="2889" t="s">
        <v>1442</v>
      </c>
      <c r="D971" s="2889" t="s">
        <v>1105</v>
      </c>
      <c r="E971" s="2889" t="s">
        <v>217</v>
      </c>
      <c r="F971" s="3039">
        <v>4.2250214331710654E-5</v>
      </c>
      <c r="G971" s="2890">
        <v>1.8939094609985139E-2</v>
      </c>
    </row>
    <row r="972" spans="2:7" ht="15" hidden="1" outlineLevel="2">
      <c r="B972" s="2889" t="s">
        <v>1652</v>
      </c>
      <c r="C972" s="2889" t="s">
        <v>1442</v>
      </c>
      <c r="D972" s="2889" t="s">
        <v>1105</v>
      </c>
      <c r="E972" s="2889" t="s">
        <v>217</v>
      </c>
      <c r="F972" s="3039">
        <v>2.6446697550729947E-5</v>
      </c>
      <c r="G972" s="2890">
        <v>1.1855017342523061E-2</v>
      </c>
    </row>
    <row r="973" spans="2:7" ht="15" hidden="1" outlineLevel="2">
      <c r="B973" s="2889" t="s">
        <v>1653</v>
      </c>
      <c r="C973" s="2889" t="s">
        <v>1442</v>
      </c>
      <c r="D973" s="2889" t="s">
        <v>1105</v>
      </c>
      <c r="E973" s="2889" t="s">
        <v>217</v>
      </c>
      <c r="F973" s="3039">
        <v>2.0510602594091495E-4</v>
      </c>
      <c r="G973" s="2890">
        <v>9.1948527770279481E-2</v>
      </c>
    </row>
    <row r="974" spans="2:7" ht="15" hidden="1" outlineLevel="2">
      <c r="B974" s="2889" t="s">
        <v>1407</v>
      </c>
      <c r="C974" s="2889" t="s">
        <v>1443</v>
      </c>
      <c r="D974" s="2889" t="s">
        <v>1105</v>
      </c>
      <c r="E974" s="2889" t="s">
        <v>217</v>
      </c>
      <c r="F974" s="3039">
        <v>3.2986222814138008E-4</v>
      </c>
      <c r="G974" s="2890">
        <v>0.14786407801371526</v>
      </c>
    </row>
    <row r="975" spans="2:7" ht="15" hidden="1" outlineLevel="2">
      <c r="B975" s="2889" t="s">
        <v>1631</v>
      </c>
      <c r="C975" s="2889" t="s">
        <v>1443</v>
      </c>
      <c r="D975" s="2889" t="s">
        <v>1105</v>
      </c>
      <c r="E975" s="2889" t="s">
        <v>217</v>
      </c>
      <c r="F975" s="3039">
        <v>3.349630970233909E-3</v>
      </c>
      <c r="G975" s="2890">
        <v>1.4991143732323027</v>
      </c>
    </row>
    <row r="976" spans="2:7" ht="15" hidden="1" outlineLevel="2">
      <c r="B976" s="2889" t="s">
        <v>1632</v>
      </c>
      <c r="C976" s="2889" t="s">
        <v>1443</v>
      </c>
      <c r="D976" s="2889" t="s">
        <v>1105</v>
      </c>
      <c r="E976" s="2889" t="s">
        <v>217</v>
      </c>
      <c r="F976" s="3039">
        <v>5.1149736432730773E-3</v>
      </c>
      <c r="G976" s="2890">
        <v>2.2930323379367263</v>
      </c>
    </row>
    <row r="977" spans="2:7" ht="15" hidden="1" outlineLevel="2">
      <c r="B977" s="2889" t="s">
        <v>1633</v>
      </c>
      <c r="C977" s="2889" t="s">
        <v>1443</v>
      </c>
      <c r="D977" s="2889" t="s">
        <v>1105</v>
      </c>
      <c r="E977" s="2889" t="s">
        <v>217</v>
      </c>
      <c r="F977" s="3039">
        <v>1.877519169457515E-4</v>
      </c>
      <c r="G977" s="2890">
        <v>8.4168909063771877E-2</v>
      </c>
    </row>
    <row r="978" spans="2:7" ht="15" hidden="1" outlineLevel="2">
      <c r="B978" s="2889" t="s">
        <v>1634</v>
      </c>
      <c r="C978" s="2889" t="s">
        <v>1443</v>
      </c>
      <c r="D978" s="2889" t="s">
        <v>1105</v>
      </c>
      <c r="E978" s="2889" t="s">
        <v>217</v>
      </c>
      <c r="F978" s="3039">
        <v>1.3194488672716551E-4</v>
      </c>
      <c r="G978" s="2890">
        <v>5.9145587268922648E-2</v>
      </c>
    </row>
    <row r="979" spans="2:7" ht="15" hidden="1" outlineLevel="2">
      <c r="B979" s="2889" t="s">
        <v>1635</v>
      </c>
      <c r="C979" s="2889" t="s">
        <v>1443</v>
      </c>
      <c r="D979" s="2889" t="s">
        <v>1105</v>
      </c>
      <c r="E979" s="2889" t="s">
        <v>217</v>
      </c>
      <c r="F979" s="3039">
        <v>8.4234641033372522E-4</v>
      </c>
      <c r="G979" s="2890">
        <v>0.37762238334466569</v>
      </c>
    </row>
    <row r="980" spans="2:7" ht="15" hidden="1" outlineLevel="2">
      <c r="B980" s="2889" t="s">
        <v>1636</v>
      </c>
      <c r="C980" s="2889" t="s">
        <v>1443</v>
      </c>
      <c r="D980" s="2889" t="s">
        <v>1105</v>
      </c>
      <c r="E980" s="2889" t="s">
        <v>217</v>
      </c>
      <c r="F980" s="2890">
        <v>3.2476005209238786E-4</v>
      </c>
      <c r="G980" s="2890">
        <v>0.14558929967250481</v>
      </c>
    </row>
    <row r="981" spans="2:7" ht="15" hidden="1" outlineLevel="2">
      <c r="B981" s="2889" t="s">
        <v>1637</v>
      </c>
      <c r="C981" s="2889" t="s">
        <v>1443</v>
      </c>
      <c r="D981" s="2889" t="s">
        <v>1105</v>
      </c>
      <c r="E981" s="2889" t="s">
        <v>217</v>
      </c>
      <c r="F981" s="2890">
        <v>3.8565260945625315E-4</v>
      </c>
      <c r="G981" s="2890">
        <v>0.17288721684572575</v>
      </c>
    </row>
    <row r="982" spans="2:7" ht="15" hidden="1" outlineLevel="2">
      <c r="B982" s="2889" t="s">
        <v>1638</v>
      </c>
      <c r="C982" s="2889" t="s">
        <v>1443</v>
      </c>
      <c r="D982" s="2889" t="s">
        <v>1105</v>
      </c>
      <c r="E982" s="2889" t="s">
        <v>217</v>
      </c>
      <c r="F982" s="2890">
        <v>2.3851567955644995E-4</v>
      </c>
      <c r="G982" s="2890">
        <v>0.10691709921297737</v>
      </c>
    </row>
    <row r="983" spans="2:7" ht="15" hidden="1" outlineLevel="2">
      <c r="B983" s="2889" t="s">
        <v>1639</v>
      </c>
      <c r="C983" s="2889" t="s">
        <v>1443</v>
      </c>
      <c r="D983" s="2889" t="s">
        <v>1105</v>
      </c>
      <c r="E983" s="2889" t="s">
        <v>217</v>
      </c>
      <c r="F983" s="2890">
        <v>1.1874040040779851E-3</v>
      </c>
      <c r="G983" s="2890">
        <v>0.53231069499156025</v>
      </c>
    </row>
    <row r="984" spans="2:7" ht="15" hidden="1" outlineLevel="2">
      <c r="B984" s="2889" t="s">
        <v>1640</v>
      </c>
      <c r="C984" s="2889" t="s">
        <v>1443</v>
      </c>
      <c r="D984" s="2889" t="s">
        <v>1105</v>
      </c>
      <c r="E984" s="2889" t="s">
        <v>217</v>
      </c>
      <c r="F984" s="2890">
        <v>1.7761805677803837E-4</v>
      </c>
      <c r="G984" s="2890">
        <v>7.9619164738370565E-2</v>
      </c>
    </row>
    <row r="985" spans="2:7" ht="15" hidden="1" outlineLevel="2">
      <c r="B985" s="2889" t="s">
        <v>1641</v>
      </c>
      <c r="C985" s="2889" t="s">
        <v>1443</v>
      </c>
      <c r="D985" s="2889" t="s">
        <v>1105</v>
      </c>
      <c r="E985" s="2889" t="s">
        <v>217</v>
      </c>
      <c r="F985" s="2890">
        <v>1.1417342750837532E-3</v>
      </c>
      <c r="G985" s="2890">
        <v>0.51183748470087342</v>
      </c>
    </row>
    <row r="986" spans="2:7" ht="15" hidden="1" outlineLevel="2">
      <c r="B986" s="2889" t="s">
        <v>1642</v>
      </c>
      <c r="C986" s="2889" t="s">
        <v>1443</v>
      </c>
      <c r="D986" s="2889" t="s">
        <v>1105</v>
      </c>
      <c r="E986" s="2889" t="s">
        <v>217</v>
      </c>
      <c r="F986" s="2890">
        <v>3.034475998306065E-3</v>
      </c>
      <c r="G986" s="2890">
        <v>1.3603492825938501</v>
      </c>
    </row>
    <row r="987" spans="2:7" ht="15" hidden="1" outlineLevel="2">
      <c r="B987" s="2889" t="s">
        <v>1643</v>
      </c>
      <c r="C987" s="2889" t="s">
        <v>1443</v>
      </c>
      <c r="D987" s="2889" t="s">
        <v>1105</v>
      </c>
      <c r="E987" s="2889" t="s">
        <v>217</v>
      </c>
      <c r="F987" s="2890">
        <v>1.8786024438956312E-4</v>
      </c>
      <c r="G987" s="2890">
        <v>8.422037350880765E-2</v>
      </c>
    </row>
    <row r="988" spans="2:7" ht="15" hidden="1" outlineLevel="2">
      <c r="B988" s="2889" t="s">
        <v>1644</v>
      </c>
      <c r="C988" s="2889" t="s">
        <v>1443</v>
      </c>
      <c r="D988" s="2889" t="s">
        <v>1105</v>
      </c>
      <c r="E988" s="2889" t="s">
        <v>217</v>
      </c>
      <c r="F988" s="2890">
        <v>4.4705252874168927E-3</v>
      </c>
      <c r="G988" s="2890">
        <v>2.0041277201735168</v>
      </c>
    </row>
    <row r="989" spans="2:7" ht="15" hidden="1" outlineLevel="2">
      <c r="B989" s="2889" t="s">
        <v>1645</v>
      </c>
      <c r="C989" s="2889" t="s">
        <v>1443</v>
      </c>
      <c r="D989" s="2889" t="s">
        <v>1105</v>
      </c>
      <c r="E989" s="2889" t="s">
        <v>217</v>
      </c>
      <c r="F989" s="2890">
        <v>3.4150545834343428E-3</v>
      </c>
      <c r="G989" s="2890">
        <v>1.5309618260523825</v>
      </c>
    </row>
    <row r="990" spans="2:7" ht="15" hidden="1" outlineLevel="2">
      <c r="B990" s="2889" t="s">
        <v>1646</v>
      </c>
      <c r="C990" s="2889" t="s">
        <v>1443</v>
      </c>
      <c r="D990" s="2889" t="s">
        <v>1105</v>
      </c>
      <c r="E990" s="2889" t="s">
        <v>217</v>
      </c>
      <c r="F990" s="2890">
        <v>4.0087562959592051E-4</v>
      </c>
      <c r="G990" s="2890">
        <v>0.17971188386085449</v>
      </c>
    </row>
    <row r="991" spans="2:7" ht="15" hidden="1" outlineLevel="2">
      <c r="B991" s="2889" t="s">
        <v>1647</v>
      </c>
      <c r="C991" s="2889" t="s">
        <v>1443</v>
      </c>
      <c r="D991" s="2889" t="s">
        <v>1105</v>
      </c>
      <c r="E991" s="2889" t="s">
        <v>217</v>
      </c>
      <c r="F991" s="2890">
        <v>1.826929583234267E-4</v>
      </c>
      <c r="G991" s="2890">
        <v>8.1893980764602345E-2</v>
      </c>
    </row>
    <row r="992" spans="2:7" ht="15" hidden="1" outlineLevel="2">
      <c r="B992" s="2889" t="s">
        <v>1648</v>
      </c>
      <c r="C992" s="2889" t="s">
        <v>1443</v>
      </c>
      <c r="D992" s="2889" t="s">
        <v>1105</v>
      </c>
      <c r="E992" s="2889" t="s">
        <v>217</v>
      </c>
      <c r="F992" s="2890">
        <v>7.6122038737023111E-5</v>
      </c>
      <c r="G992" s="2890">
        <v>3.4122495654620721E-2</v>
      </c>
    </row>
    <row r="993" spans="2:7" ht="15" hidden="1" outlineLevel="2">
      <c r="B993" s="2889" t="s">
        <v>1649</v>
      </c>
      <c r="C993" s="2889" t="s">
        <v>1443</v>
      </c>
      <c r="D993" s="2889" t="s">
        <v>1105</v>
      </c>
      <c r="E993" s="2889" t="s">
        <v>217</v>
      </c>
      <c r="F993" s="2890">
        <v>3.4001177154185567E-4</v>
      </c>
      <c r="G993" s="2890">
        <v>0.15241382156540048</v>
      </c>
    </row>
    <row r="994" spans="2:7" ht="15" hidden="1" outlineLevel="2">
      <c r="B994" s="2889" t="s">
        <v>1650</v>
      </c>
      <c r="C994" s="2889" t="s">
        <v>1443</v>
      </c>
      <c r="D994" s="2889" t="s">
        <v>1105</v>
      </c>
      <c r="E994" s="2889" t="s">
        <v>217</v>
      </c>
      <c r="F994" s="2890">
        <v>7.6629490526056827E-4</v>
      </c>
      <c r="G994" s="2890">
        <v>0.34349987917286018</v>
      </c>
    </row>
    <row r="995" spans="2:7" ht="15" hidden="1" outlineLevel="2">
      <c r="B995" s="2889" t="s">
        <v>1651</v>
      </c>
      <c r="C995" s="2889" t="s">
        <v>1443</v>
      </c>
      <c r="D995" s="2889" t="s">
        <v>1105</v>
      </c>
      <c r="E995" s="2889" t="s">
        <v>217</v>
      </c>
      <c r="F995" s="2890">
        <v>6.6479919854277748E-4</v>
      </c>
      <c r="G995" s="2890">
        <v>0.29800314517819759</v>
      </c>
    </row>
    <row r="996" spans="2:7" ht="15" hidden="1" outlineLevel="2">
      <c r="B996" s="2889" t="s">
        <v>1652</v>
      </c>
      <c r="C996" s="2889" t="s">
        <v>1443</v>
      </c>
      <c r="D996" s="2889" t="s">
        <v>1105</v>
      </c>
      <c r="E996" s="2889" t="s">
        <v>217</v>
      </c>
      <c r="F996" s="2890">
        <v>4.1613380245151844E-4</v>
      </c>
      <c r="G996" s="2890">
        <v>0.18653625755928072</v>
      </c>
    </row>
    <row r="997" spans="2:7" ht="15" hidden="1" outlineLevel="2">
      <c r="B997" s="2889" t="s">
        <v>1653</v>
      </c>
      <c r="C997" s="2889" t="s">
        <v>1443</v>
      </c>
      <c r="D997" s="2889" t="s">
        <v>1105</v>
      </c>
      <c r="E997" s="2889" t="s">
        <v>217</v>
      </c>
      <c r="F997" s="2890">
        <v>3.2273026226865057E-3</v>
      </c>
      <c r="G997" s="2890">
        <v>1.4467931290374436</v>
      </c>
    </row>
    <row r="998" spans="2:7" ht="15" hidden="1" outlineLevel="2">
      <c r="B998" s="2889" t="s">
        <v>1407</v>
      </c>
      <c r="C998" s="2889" t="s">
        <v>1598</v>
      </c>
      <c r="D998" s="2889" t="s">
        <v>1599</v>
      </c>
      <c r="E998" s="2889" t="s">
        <v>217</v>
      </c>
      <c r="F998" s="2890">
        <v>3.7180765131007001E-2</v>
      </c>
      <c r="G998" s="2890">
        <v>21.499766962332874</v>
      </c>
    </row>
    <row r="999" spans="2:7" ht="15" hidden="1" outlineLevel="2">
      <c r="B999" s="2889" t="s">
        <v>1631</v>
      </c>
      <c r="C999" s="2889" t="s">
        <v>1598</v>
      </c>
      <c r="D999" s="2889" t="s">
        <v>1599</v>
      </c>
      <c r="E999" s="2889" t="s">
        <v>217</v>
      </c>
      <c r="F999" s="2890">
        <v>3.4073256181683047E-2</v>
      </c>
      <c r="G999" s="2890">
        <v>19.671464850963325</v>
      </c>
    </row>
    <row r="1000" spans="2:7" ht="15" hidden="1" outlineLevel="2">
      <c r="B1000" s="2889" t="s">
        <v>1632</v>
      </c>
      <c r="C1000" s="2889" t="s">
        <v>1598</v>
      </c>
      <c r="D1000" s="2889" t="s">
        <v>1599</v>
      </c>
      <c r="E1000" s="2889" t="s">
        <v>217</v>
      </c>
      <c r="F1000" s="3039">
        <v>1.8938713406446588E-2</v>
      </c>
      <c r="G1000" s="2890">
        <v>10.952231094988903</v>
      </c>
    </row>
    <row r="1001" spans="2:7" ht="15" hidden="1" outlineLevel="2">
      <c r="B1001" s="2889" t="s">
        <v>1633</v>
      </c>
      <c r="C1001" s="2889" t="s">
        <v>1598</v>
      </c>
      <c r="D1001" s="2889" t="s">
        <v>1599</v>
      </c>
      <c r="E1001" s="2889" t="s">
        <v>217</v>
      </c>
      <c r="F1001" s="3039">
        <v>2.2159690556707228E-2</v>
      </c>
      <c r="G1001" s="2890">
        <v>12.814909802959473</v>
      </c>
    </row>
    <row r="1002" spans="2:7" ht="15" hidden="1" outlineLevel="2">
      <c r="B1002" s="2889" t="s">
        <v>1634</v>
      </c>
      <c r="C1002" s="2889" t="s">
        <v>1598</v>
      </c>
      <c r="D1002" s="2889" t="s">
        <v>1599</v>
      </c>
      <c r="E1002" s="2889" t="s">
        <v>217</v>
      </c>
      <c r="F1002" s="3039">
        <v>1.5289058309134313E-2</v>
      </c>
      <c r="G1002" s="2890">
        <v>8.8408898611113855</v>
      </c>
    </row>
    <row r="1003" spans="2:7" ht="15" hidden="1" outlineLevel="2">
      <c r="B1003" s="2889" t="s">
        <v>1635</v>
      </c>
      <c r="C1003" s="2889" t="s">
        <v>1598</v>
      </c>
      <c r="D1003" s="2889" t="s">
        <v>1599</v>
      </c>
      <c r="E1003" s="2889" t="s">
        <v>217</v>
      </c>
      <c r="F1003" s="3039">
        <v>1.4263420852343845E-2</v>
      </c>
      <c r="G1003" s="2890">
        <v>8.2485120948308204</v>
      </c>
    </row>
    <row r="1004" spans="2:7" ht="15" hidden="1" outlineLevel="2">
      <c r="B1004" s="2889" t="s">
        <v>1636</v>
      </c>
      <c r="C1004" s="2889" t="s">
        <v>1598</v>
      </c>
      <c r="D1004" s="2889" t="s">
        <v>1599</v>
      </c>
      <c r="E1004" s="2889" t="s">
        <v>217</v>
      </c>
      <c r="F1004" s="3039">
        <v>1.4494954078327848E-3</v>
      </c>
      <c r="G1004" s="2890">
        <v>0.83824120321322126</v>
      </c>
    </row>
    <row r="1005" spans="2:7" ht="15" hidden="1" outlineLevel="2">
      <c r="B1005" s="2889" t="s">
        <v>1637</v>
      </c>
      <c r="C1005" s="2889" t="s">
        <v>1598</v>
      </c>
      <c r="D1005" s="2889" t="s">
        <v>1599</v>
      </c>
      <c r="E1005" s="2889" t="s">
        <v>217</v>
      </c>
      <c r="F1005" s="3039">
        <v>5.7043612846435388E-2</v>
      </c>
      <c r="G1005" s="2890">
        <v>32.988225349242114</v>
      </c>
    </row>
    <row r="1006" spans="2:7" ht="15" hidden="1" outlineLevel="2">
      <c r="B1006" s="2889" t="s">
        <v>1638</v>
      </c>
      <c r="C1006" s="2889" t="s">
        <v>1598</v>
      </c>
      <c r="D1006" s="2889" t="s">
        <v>1599</v>
      </c>
      <c r="E1006" s="2889" t="s">
        <v>217</v>
      </c>
      <c r="F1006" s="3039">
        <v>4.7019428847847981E-2</v>
      </c>
      <c r="G1006" s="2890">
        <v>27.189001094996215</v>
      </c>
    </row>
    <row r="1007" spans="2:7" ht="15" hidden="1" outlineLevel="2">
      <c r="B1007" s="2889" t="s">
        <v>1639</v>
      </c>
      <c r="C1007" s="2889" t="s">
        <v>1598</v>
      </c>
      <c r="D1007" s="2889" t="s">
        <v>1599</v>
      </c>
      <c r="E1007" s="2889" t="s">
        <v>217</v>
      </c>
      <c r="F1007" s="2890">
        <v>8.0103692061474704E-3</v>
      </c>
      <c r="G1007" s="2890">
        <v>4.6323745468273385</v>
      </c>
    </row>
    <row r="1008" spans="2:7" ht="15" hidden="1" outlineLevel="2">
      <c r="B1008" s="2889" t="s">
        <v>1640</v>
      </c>
      <c r="C1008" s="2889" t="s">
        <v>1598</v>
      </c>
      <c r="D1008" s="2889" t="s">
        <v>1599</v>
      </c>
      <c r="E1008" s="2889" t="s">
        <v>217</v>
      </c>
      <c r="F1008" s="2890">
        <v>8.1448494848124386E-2</v>
      </c>
      <c r="G1008" s="2890">
        <v>47.0974543975289</v>
      </c>
    </row>
    <row r="1009" spans="2:7" ht="15" hidden="1" outlineLevel="2">
      <c r="B1009" s="2889" t="s">
        <v>1641</v>
      </c>
      <c r="C1009" s="2889" t="s">
        <v>1598</v>
      </c>
      <c r="D1009" s="2889" t="s">
        <v>1599</v>
      </c>
      <c r="E1009" s="2889" t="s">
        <v>217</v>
      </c>
      <c r="F1009" s="2890">
        <v>2.1545831379566286E-2</v>
      </c>
      <c r="G1009" s="2890">
        <v>12.459912357300331</v>
      </c>
    </row>
    <row r="1010" spans="2:7" ht="15" hidden="1" outlineLevel="2">
      <c r="B1010" s="2889" t="s">
        <v>1642</v>
      </c>
      <c r="C1010" s="2889" t="s">
        <v>1598</v>
      </c>
      <c r="D1010" s="2889" t="s">
        <v>1599</v>
      </c>
      <c r="E1010" s="2889" t="s">
        <v>217</v>
      </c>
      <c r="F1010" s="2890">
        <v>9.718198525555383E-3</v>
      </c>
      <c r="G1010" s="2890">
        <v>5.6200305704730882</v>
      </c>
    </row>
    <row r="1011" spans="2:7" ht="15" hidden="1" outlineLevel="2">
      <c r="B1011" s="2889" t="s">
        <v>1643</v>
      </c>
      <c r="C1011" s="2889" t="s">
        <v>1598</v>
      </c>
      <c r="D1011" s="2889" t="s">
        <v>1599</v>
      </c>
      <c r="E1011" s="2889" t="s">
        <v>217</v>
      </c>
      <c r="F1011" s="2890">
        <v>1.1653907528738013E-2</v>
      </c>
      <c r="G1011" s="2890">
        <v>6.7396840555062303</v>
      </c>
    </row>
    <row r="1012" spans="2:7" ht="15" hidden="1" outlineLevel="2">
      <c r="B1012" s="2889" t="s">
        <v>1644</v>
      </c>
      <c r="C1012" s="2889" t="s">
        <v>1598</v>
      </c>
      <c r="D1012" s="2889" t="s">
        <v>1599</v>
      </c>
      <c r="E1012" s="2889" t="s">
        <v>217</v>
      </c>
      <c r="F1012" s="2890">
        <v>6.1009399200485509E-3</v>
      </c>
      <c r="G1012" s="2890">
        <v>3.5281699332147705</v>
      </c>
    </row>
    <row r="1013" spans="2:7" ht="15" hidden="1" outlineLevel="2">
      <c r="B1013" s="2889" t="s">
        <v>1645</v>
      </c>
      <c r="C1013" s="2889" t="s">
        <v>1598</v>
      </c>
      <c r="D1013" s="2889" t="s">
        <v>1599</v>
      </c>
      <c r="E1013" s="2889" t="s">
        <v>217</v>
      </c>
      <c r="F1013" s="2890">
        <v>2.3196895746819345E-2</v>
      </c>
      <c r="G1013" s="2890">
        <v>13.414724784136812</v>
      </c>
    </row>
    <row r="1014" spans="2:7" ht="15" hidden="1" outlineLevel="2">
      <c r="B1014" s="2889" t="s">
        <v>1646</v>
      </c>
      <c r="C1014" s="2889" t="s">
        <v>1598</v>
      </c>
      <c r="D1014" s="2889" t="s">
        <v>1599</v>
      </c>
      <c r="E1014" s="2889" t="s">
        <v>217</v>
      </c>
      <c r="F1014" s="2890">
        <v>1.5881696837176152E-2</v>
      </c>
      <c r="G1014" s="2890">
        <v>9.1843647376224222</v>
      </c>
    </row>
    <row r="1015" spans="2:7" ht="15" hidden="1" outlineLevel="2">
      <c r="B1015" s="2889" t="s">
        <v>1647</v>
      </c>
      <c r="C1015" s="2889" t="s">
        <v>1598</v>
      </c>
      <c r="D1015" s="2889" t="s">
        <v>1599</v>
      </c>
      <c r="E1015" s="2889" t="s">
        <v>217</v>
      </c>
      <c r="F1015" s="2890">
        <v>3.2667064699299926E-2</v>
      </c>
      <c r="G1015" s="2890">
        <v>18.889719353034494</v>
      </c>
    </row>
    <row r="1016" spans="2:7" ht="15" hidden="1" outlineLevel="2">
      <c r="B1016" s="2889" t="s">
        <v>1648</v>
      </c>
      <c r="C1016" s="2889" t="s">
        <v>1598</v>
      </c>
      <c r="D1016" s="2889" t="s">
        <v>1599</v>
      </c>
      <c r="E1016" s="2889" t="s">
        <v>217</v>
      </c>
      <c r="F1016" s="2890">
        <v>2.8849432160197527E-2</v>
      </c>
      <c r="G1016" s="2890">
        <v>16.682181275804691</v>
      </c>
    </row>
    <row r="1017" spans="2:7" ht="15" hidden="1" outlineLevel="2">
      <c r="B1017" s="2889" t="s">
        <v>1649</v>
      </c>
      <c r="C1017" s="2889" t="s">
        <v>1598</v>
      </c>
      <c r="D1017" s="2889" t="s">
        <v>1599</v>
      </c>
      <c r="E1017" s="2889" t="s">
        <v>217</v>
      </c>
      <c r="F1017" s="2890">
        <v>1.7556974704997119E-2</v>
      </c>
      <c r="G1017" s="2890">
        <v>10.152315159926115</v>
      </c>
    </row>
    <row r="1018" spans="2:7" ht="15" hidden="1" outlineLevel="2">
      <c r="B1018" s="2889" t="s">
        <v>1650</v>
      </c>
      <c r="C1018" s="2889" t="s">
        <v>1598</v>
      </c>
      <c r="D1018" s="2889" t="s">
        <v>1599</v>
      </c>
      <c r="E1018" s="2889" t="s">
        <v>217</v>
      </c>
      <c r="F1018" s="2890">
        <v>7.3859261569282726E-3</v>
      </c>
      <c r="G1018" s="2890">
        <v>4.2709018109005275</v>
      </c>
    </row>
    <row r="1019" spans="2:7" ht="15" hidden="1" outlineLevel="2">
      <c r="B1019" s="2889" t="s">
        <v>1651</v>
      </c>
      <c r="C1019" s="2889" t="s">
        <v>1598</v>
      </c>
      <c r="D1019" s="2889" t="s">
        <v>1599</v>
      </c>
      <c r="E1019" s="2889" t="s">
        <v>217</v>
      </c>
      <c r="F1019" s="2890">
        <v>6.8167051634671225E-2</v>
      </c>
      <c r="G1019" s="2890">
        <v>39.417599668865485</v>
      </c>
    </row>
    <row r="1020" spans="2:7" ht="15" hidden="1" outlineLevel="2">
      <c r="B1020" s="2889" t="s">
        <v>1652</v>
      </c>
      <c r="C1020" s="2889" t="s">
        <v>1598</v>
      </c>
      <c r="D1020" s="2889" t="s">
        <v>1599</v>
      </c>
      <c r="E1020" s="2889" t="s">
        <v>217</v>
      </c>
      <c r="F1020" s="2890">
        <v>5.7404941087289191E-2</v>
      </c>
      <c r="G1020" s="2890">
        <v>33.194375606716576</v>
      </c>
    </row>
    <row r="1021" spans="2:7" ht="15" hidden="1" outlineLevel="2">
      <c r="B1021" s="2889" t="s">
        <v>1653</v>
      </c>
      <c r="C1021" s="2889" t="s">
        <v>1598</v>
      </c>
      <c r="D1021" s="2889" t="s">
        <v>1599</v>
      </c>
      <c r="E1021" s="2889" t="s">
        <v>217</v>
      </c>
      <c r="F1021" s="2890">
        <v>2.9467734227582675E-37</v>
      </c>
      <c r="G1021" s="2890">
        <v>1.7041150163426568E-34</v>
      </c>
    </row>
    <row r="1022" spans="2:7" ht="15" hidden="1" outlineLevel="2">
      <c r="B1022" s="2889" t="s">
        <v>1407</v>
      </c>
      <c r="C1022" s="2889" t="s">
        <v>1623</v>
      </c>
      <c r="D1022" s="2889" t="s">
        <v>1619</v>
      </c>
      <c r="E1022" s="2889" t="s">
        <v>217</v>
      </c>
      <c r="F1022" s="2890">
        <v>0.24980878770086723</v>
      </c>
      <c r="G1022" s="2890">
        <v>172.91043026300696</v>
      </c>
    </row>
    <row r="1023" spans="2:7" ht="15" hidden="1" outlineLevel="2">
      <c r="B1023" s="2889" t="s">
        <v>1631</v>
      </c>
      <c r="C1023" s="2889" t="s">
        <v>1623</v>
      </c>
      <c r="D1023" s="2889" t="s">
        <v>1619</v>
      </c>
      <c r="E1023" s="2889" t="s">
        <v>217</v>
      </c>
      <c r="F1023" s="2890">
        <v>0.50486545390013815</v>
      </c>
      <c r="G1023" s="2890">
        <v>345.82096709269433</v>
      </c>
    </row>
    <row r="1024" spans="2:7" ht="15" hidden="1" outlineLevel="2">
      <c r="B1024" s="2889" t="s">
        <v>1632</v>
      </c>
      <c r="C1024" s="2889" t="s">
        <v>1623</v>
      </c>
      <c r="D1024" s="2889" t="s">
        <v>1619</v>
      </c>
      <c r="E1024" s="2889" t="s">
        <v>217</v>
      </c>
      <c r="F1024" s="2890">
        <v>0.24932029311468987</v>
      </c>
      <c r="G1024" s="2890">
        <v>172.91043026300696</v>
      </c>
    </row>
    <row r="1025" spans="2:7" ht="15" hidden="1" outlineLevel="2">
      <c r="B1025" s="2889" t="s">
        <v>1633</v>
      </c>
      <c r="C1025" s="2889" t="s">
        <v>1623</v>
      </c>
      <c r="D1025" s="2889" t="s">
        <v>1619</v>
      </c>
      <c r="E1025" s="2889" t="s">
        <v>217</v>
      </c>
      <c r="F1025" s="2890">
        <v>1.7105528958338112E-34</v>
      </c>
      <c r="G1025" s="2890">
        <v>1.1897629630715844E-31</v>
      </c>
    </row>
    <row r="1026" spans="2:7" ht="15" hidden="1" outlineLevel="2">
      <c r="B1026" s="2889" t="s">
        <v>1634</v>
      </c>
      <c r="C1026" s="2889" t="s">
        <v>1623</v>
      </c>
      <c r="D1026" s="2889" t="s">
        <v>1619</v>
      </c>
      <c r="E1026" s="2889" t="s">
        <v>217</v>
      </c>
      <c r="F1026" s="2890">
        <v>0.24812817860831204</v>
      </c>
      <c r="G1026" s="2890">
        <v>172.91043026300696</v>
      </c>
    </row>
    <row r="1027" spans="2:7" ht="15" hidden="1" outlineLevel="2">
      <c r="B1027" s="2889" t="s">
        <v>1635</v>
      </c>
      <c r="C1027" s="2889" t="s">
        <v>1623</v>
      </c>
      <c r="D1027" s="2889" t="s">
        <v>1619</v>
      </c>
      <c r="E1027" s="2889" t="s">
        <v>217</v>
      </c>
      <c r="F1027" s="2890">
        <v>0.24932029311468987</v>
      </c>
      <c r="G1027" s="2890">
        <v>172.91043026300696</v>
      </c>
    </row>
    <row r="1028" spans="2:7" ht="15" hidden="1" outlineLevel="2">
      <c r="B1028" s="2889" t="s">
        <v>1636</v>
      </c>
      <c r="C1028" s="2889" t="s">
        <v>1623</v>
      </c>
      <c r="D1028" s="2889" t="s">
        <v>1619</v>
      </c>
      <c r="E1028" s="2889" t="s">
        <v>217</v>
      </c>
      <c r="F1028" s="2890">
        <v>0.66484700248470152</v>
      </c>
      <c r="G1028" s="2890">
        <v>461.09466113859071</v>
      </c>
    </row>
    <row r="1029" spans="2:7" ht="15" hidden="1" outlineLevel="2">
      <c r="B1029" s="2889" t="s">
        <v>1637</v>
      </c>
      <c r="C1029" s="2889" t="s">
        <v>1623</v>
      </c>
      <c r="D1029" s="2889" t="s">
        <v>1619</v>
      </c>
      <c r="E1029" s="2889" t="s">
        <v>217</v>
      </c>
      <c r="F1029" s="2890">
        <v>0.24859778283539105</v>
      </c>
      <c r="G1029" s="2890">
        <v>172.91043026300696</v>
      </c>
    </row>
    <row r="1030" spans="2:7" ht="15" hidden="1" outlineLevel="2">
      <c r="B1030" s="2889" t="s">
        <v>1638</v>
      </c>
      <c r="C1030" s="2889" t="s">
        <v>1623</v>
      </c>
      <c r="D1030" s="2889" t="s">
        <v>1619</v>
      </c>
      <c r="E1030" s="2889" t="s">
        <v>217</v>
      </c>
      <c r="F1030" s="2890">
        <v>8.2709384545418693E-2</v>
      </c>
      <c r="G1030" s="2890">
        <v>57.636762957816472</v>
      </c>
    </row>
    <row r="1031" spans="2:7" ht="15" hidden="1" outlineLevel="2">
      <c r="B1031" s="2889" t="s">
        <v>1639</v>
      </c>
      <c r="C1031" s="2889" t="s">
        <v>1623</v>
      </c>
      <c r="D1031" s="2889" t="s">
        <v>1619</v>
      </c>
      <c r="E1031" s="2889" t="s">
        <v>217</v>
      </c>
      <c r="F1031" s="2890">
        <v>0.24859778283539105</v>
      </c>
      <c r="G1031" s="2890">
        <v>172.91043026300696</v>
      </c>
    </row>
    <row r="1032" spans="2:7" ht="15" hidden="1" outlineLevel="2">
      <c r="B1032" s="2889" t="s">
        <v>1640</v>
      </c>
      <c r="C1032" s="2889" t="s">
        <v>1623</v>
      </c>
      <c r="D1032" s="2889" t="s">
        <v>1619</v>
      </c>
      <c r="E1032" s="2889" t="s">
        <v>217</v>
      </c>
      <c r="F1032" s="2890">
        <v>0.24980878770086723</v>
      </c>
      <c r="G1032" s="2890">
        <v>172.91043026300696</v>
      </c>
    </row>
    <row r="1033" spans="2:7" ht="15" hidden="1" outlineLevel="2">
      <c r="B1033" s="2889" t="s">
        <v>1641</v>
      </c>
      <c r="C1033" s="2889" t="s">
        <v>1623</v>
      </c>
      <c r="D1033" s="2889" t="s">
        <v>1619</v>
      </c>
      <c r="E1033" s="2889" t="s">
        <v>217</v>
      </c>
      <c r="F1033" s="2890">
        <v>0.41553378424287818</v>
      </c>
      <c r="G1033" s="2890">
        <v>288.18382816427936</v>
      </c>
    </row>
    <row r="1034" spans="2:7" ht="15" hidden="1" outlineLevel="2">
      <c r="B1034" s="2889" t="s">
        <v>1642</v>
      </c>
      <c r="C1034" s="2889" t="s">
        <v>1623</v>
      </c>
      <c r="D1034" s="2889" t="s">
        <v>1619</v>
      </c>
      <c r="E1034" s="2889" t="s">
        <v>217</v>
      </c>
      <c r="F1034" s="2890">
        <v>8.3106761473369151E-2</v>
      </c>
      <c r="G1034" s="2890">
        <v>61.33170564076778</v>
      </c>
    </row>
    <row r="1035" spans="2:7" ht="15" hidden="1" outlineLevel="2">
      <c r="B1035" s="2889" t="s">
        <v>1643</v>
      </c>
      <c r="C1035" s="2889" t="s">
        <v>1623</v>
      </c>
      <c r="D1035" s="2889" t="s">
        <v>1619</v>
      </c>
      <c r="E1035" s="2889" t="s">
        <v>217</v>
      </c>
      <c r="F1035" s="2890">
        <v>0.38336123207065215</v>
      </c>
      <c r="G1035" s="2890">
        <v>265.36510731959726</v>
      </c>
    </row>
    <row r="1036" spans="2:7" ht="15" hidden="1" outlineLevel="2">
      <c r="B1036" s="2889" t="s">
        <v>1644</v>
      </c>
      <c r="C1036" s="2889" t="s">
        <v>1623</v>
      </c>
      <c r="D1036" s="2889" t="s">
        <v>1619</v>
      </c>
      <c r="E1036" s="2889" t="s">
        <v>217</v>
      </c>
      <c r="F1036" s="2890">
        <v>0.49719541933541239</v>
      </c>
      <c r="G1036" s="2890">
        <v>345.82096709269433</v>
      </c>
    </row>
    <row r="1037" spans="2:7" ht="15" hidden="1" outlineLevel="2">
      <c r="B1037" s="2889" t="s">
        <v>1645</v>
      </c>
      <c r="C1037" s="2889" t="s">
        <v>1623</v>
      </c>
      <c r="D1037" s="2889" t="s">
        <v>1619</v>
      </c>
      <c r="E1037" s="2889" t="s">
        <v>217</v>
      </c>
      <c r="F1037" s="2890">
        <v>0.24859778284179687</v>
      </c>
      <c r="G1037" s="2890">
        <v>172.91043027123987</v>
      </c>
    </row>
    <row r="1038" spans="2:7" ht="15" hidden="1" outlineLevel="2">
      <c r="B1038" s="2889" t="s">
        <v>1646</v>
      </c>
      <c r="C1038" s="2889" t="s">
        <v>1623</v>
      </c>
      <c r="D1038" s="2889" t="s">
        <v>1619</v>
      </c>
      <c r="E1038" s="2889" t="s">
        <v>217</v>
      </c>
      <c r="F1038" s="2890">
        <v>0.16621355563624429</v>
      </c>
      <c r="G1038" s="2890">
        <v>115.27355122570387</v>
      </c>
    </row>
    <row r="1039" spans="2:7" ht="15" hidden="1" outlineLevel="2">
      <c r="B1039" s="2889" t="s">
        <v>1647</v>
      </c>
      <c r="C1039" s="2889" t="s">
        <v>1623</v>
      </c>
      <c r="D1039" s="2889" t="s">
        <v>1619</v>
      </c>
      <c r="E1039" s="2889" t="s">
        <v>217</v>
      </c>
      <c r="F1039" s="3039">
        <v>0.165418760382326</v>
      </c>
      <c r="G1039" s="2890">
        <v>115.27355122570397</v>
      </c>
    </row>
    <row r="1040" spans="2:7" ht="15" hidden="1" outlineLevel="2">
      <c r="B1040" s="2889" t="s">
        <v>1648</v>
      </c>
      <c r="C1040" s="2889" t="s">
        <v>1623</v>
      </c>
      <c r="D1040" s="2889" t="s">
        <v>1619</v>
      </c>
      <c r="E1040" s="2889" t="s">
        <v>217</v>
      </c>
      <c r="F1040" s="3039">
        <v>1.7007293296187203E-31</v>
      </c>
      <c r="G1040" s="2890">
        <v>1.1851687439838577E-28</v>
      </c>
    </row>
    <row r="1041" spans="2:7" ht="15" hidden="1" outlineLevel="2">
      <c r="B1041" s="2889" t="s">
        <v>1649</v>
      </c>
      <c r="C1041" s="2889" t="s">
        <v>1623</v>
      </c>
      <c r="D1041" s="2889" t="s">
        <v>1619</v>
      </c>
      <c r="E1041" s="2889" t="s">
        <v>217</v>
      </c>
      <c r="F1041" s="3039">
        <v>6.5686298980488706E-34</v>
      </c>
      <c r="G1041" s="2890">
        <v>4.5774112357123968E-31</v>
      </c>
    </row>
    <row r="1042" spans="2:7" ht="15" hidden="1" outlineLevel="2">
      <c r="B1042" s="2889" t="s">
        <v>1650</v>
      </c>
      <c r="C1042" s="2889" t="s">
        <v>1623</v>
      </c>
      <c r="D1042" s="2889" t="s">
        <v>1619</v>
      </c>
      <c r="E1042" s="2889" t="s">
        <v>217</v>
      </c>
      <c r="F1042" s="3039">
        <v>0.24980878770086723</v>
      </c>
      <c r="G1042" s="2890">
        <v>172.91043026300696</v>
      </c>
    </row>
    <row r="1043" spans="2:7" ht="15" hidden="1" outlineLevel="2">
      <c r="B1043" s="2889" t="s">
        <v>1651</v>
      </c>
      <c r="C1043" s="2889" t="s">
        <v>1623</v>
      </c>
      <c r="D1043" s="2889" t="s">
        <v>1619</v>
      </c>
      <c r="E1043" s="2889" t="s">
        <v>217</v>
      </c>
      <c r="F1043" s="3039">
        <v>0.24812817860500444</v>
      </c>
      <c r="G1043" s="2890">
        <v>172.91043027123987</v>
      </c>
    </row>
    <row r="1044" spans="2:7" ht="15" hidden="1" outlineLevel="2">
      <c r="B1044" s="2889" t="s">
        <v>1652</v>
      </c>
      <c r="C1044" s="2889" t="s">
        <v>1623</v>
      </c>
      <c r="D1044" s="2889" t="s">
        <v>1619</v>
      </c>
      <c r="E1044" s="2889" t="s">
        <v>217</v>
      </c>
      <c r="F1044" s="3039">
        <v>0.3308374751944041</v>
      </c>
      <c r="G1044" s="2890">
        <v>230.54722731669617</v>
      </c>
    </row>
    <row r="1045" spans="2:7" ht="15" hidden="1" outlineLevel="2">
      <c r="B1045" s="2889" t="s">
        <v>1653</v>
      </c>
      <c r="C1045" s="2889" t="s">
        <v>1623</v>
      </c>
      <c r="D1045" s="2889" t="s">
        <v>1619</v>
      </c>
      <c r="E1045" s="2889" t="s">
        <v>217</v>
      </c>
      <c r="F1045" s="3039">
        <v>1.0664417689639099E-35</v>
      </c>
      <c r="G1045" s="2890">
        <v>7.3960601576518358E-33</v>
      </c>
    </row>
    <row r="1046" spans="2:7" ht="15" hidden="1" outlineLevel="2">
      <c r="B1046" s="2889" t="s">
        <v>1407</v>
      </c>
      <c r="C1046" s="2889" t="s">
        <v>1624</v>
      </c>
      <c r="D1046" s="2889" t="s">
        <v>1619</v>
      </c>
      <c r="E1046" s="2889" t="s">
        <v>217</v>
      </c>
      <c r="F1046" s="2890">
        <v>2.1628506190706775</v>
      </c>
      <c r="G1046" s="2890">
        <v>1843.0009775508097</v>
      </c>
    </row>
    <row r="1047" spans="2:7" ht="15" hidden="1" outlineLevel="2">
      <c r="B1047" s="2889" t="s">
        <v>1631</v>
      </c>
      <c r="C1047" s="2889" t="s">
        <v>1624</v>
      </c>
      <c r="D1047" s="2889" t="s">
        <v>1619</v>
      </c>
      <c r="E1047" s="2889" t="s">
        <v>217</v>
      </c>
      <c r="F1047" s="2890">
        <v>4.3707746150550291</v>
      </c>
      <c r="G1047" s="2890">
        <v>3686.0027520717504</v>
      </c>
    </row>
    <row r="1048" spans="2:7" ht="15" hidden="1" outlineLevel="2">
      <c r="B1048" s="2889" t="s">
        <v>1632</v>
      </c>
      <c r="C1048" s="2889" t="s">
        <v>1624</v>
      </c>
      <c r="D1048" s="2889" t="s">
        <v>1619</v>
      </c>
      <c r="E1048" s="2889" t="s">
        <v>217</v>
      </c>
      <c r="F1048" s="2890">
        <v>2.1586542945295277</v>
      </c>
      <c r="G1048" s="2890">
        <v>1843.0009775508097</v>
      </c>
    </row>
    <row r="1049" spans="2:7" ht="15" hidden="1" outlineLevel="2">
      <c r="B1049" s="2889" t="s">
        <v>1633</v>
      </c>
      <c r="C1049" s="2889" t="s">
        <v>1624</v>
      </c>
      <c r="D1049" s="2889" t="s">
        <v>1619</v>
      </c>
      <c r="E1049" s="2889" t="s">
        <v>217</v>
      </c>
      <c r="F1049" s="3039">
        <v>5.7536827340914279E-36</v>
      </c>
      <c r="G1049" s="2890">
        <v>4.9265022343375754E-33</v>
      </c>
    </row>
    <row r="1050" spans="2:7" ht="15" hidden="1" outlineLevel="2">
      <c r="B1050" s="2889" t="s">
        <v>1634</v>
      </c>
      <c r="C1050" s="2889" t="s">
        <v>1624</v>
      </c>
      <c r="D1050" s="2889" t="s">
        <v>1619</v>
      </c>
      <c r="E1050" s="2889" t="s">
        <v>217</v>
      </c>
      <c r="F1050" s="2890">
        <v>2.1484163262982103</v>
      </c>
      <c r="G1050" s="2890">
        <v>1843.0009775508097</v>
      </c>
    </row>
    <row r="1051" spans="2:7" ht="15" hidden="1" outlineLevel="2">
      <c r="B1051" s="2889" t="s">
        <v>1635</v>
      </c>
      <c r="C1051" s="2889" t="s">
        <v>1624</v>
      </c>
      <c r="D1051" s="2889" t="s">
        <v>1619</v>
      </c>
      <c r="E1051" s="2889" t="s">
        <v>217</v>
      </c>
      <c r="F1051" s="2890">
        <v>2.1586542945295277</v>
      </c>
      <c r="G1051" s="2890">
        <v>1843.0009775508097</v>
      </c>
    </row>
    <row r="1052" spans="2:7" ht="15" hidden="1" outlineLevel="2">
      <c r="B1052" s="2889" t="s">
        <v>1636</v>
      </c>
      <c r="C1052" s="2889" t="s">
        <v>1624</v>
      </c>
      <c r="D1052" s="2889" t="s">
        <v>1619</v>
      </c>
      <c r="E1052" s="2889" t="s">
        <v>217</v>
      </c>
      <c r="F1052" s="3039">
        <v>5.7563501889331663</v>
      </c>
      <c r="G1052" s="2890">
        <v>4914.6737782423588</v>
      </c>
    </row>
    <row r="1053" spans="2:7" ht="15" hidden="1" outlineLevel="2">
      <c r="B1053" s="2889" t="s">
        <v>1637</v>
      </c>
      <c r="C1053" s="2889" t="s">
        <v>1624</v>
      </c>
      <c r="D1053" s="2889" t="s">
        <v>1619</v>
      </c>
      <c r="E1053" s="2889" t="s">
        <v>217</v>
      </c>
      <c r="F1053" s="2890">
        <v>2.1524488958734298</v>
      </c>
      <c r="G1053" s="2890">
        <v>1843.0009775508097</v>
      </c>
    </row>
    <row r="1054" spans="2:7" ht="15" hidden="1" outlineLevel="2">
      <c r="B1054" s="2889" t="s">
        <v>1638</v>
      </c>
      <c r="C1054" s="2889" t="s">
        <v>1624</v>
      </c>
      <c r="D1054" s="2889" t="s">
        <v>1619</v>
      </c>
      <c r="E1054" s="2889" t="s">
        <v>217</v>
      </c>
      <c r="F1054" s="2890">
        <v>0.71613904397250361</v>
      </c>
      <c r="G1054" s="2890">
        <v>614.33370561554136</v>
      </c>
    </row>
    <row r="1055" spans="2:7" ht="15" hidden="1" outlineLevel="2">
      <c r="B1055" s="2889" t="s">
        <v>1639</v>
      </c>
      <c r="C1055" s="2889" t="s">
        <v>1624</v>
      </c>
      <c r="D1055" s="2889" t="s">
        <v>1619</v>
      </c>
      <c r="E1055" s="2889" t="s">
        <v>217</v>
      </c>
      <c r="F1055" s="2890">
        <v>2.1524488958734298</v>
      </c>
      <c r="G1055" s="2890">
        <v>1843.0009775508097</v>
      </c>
    </row>
    <row r="1056" spans="2:7" ht="15" hidden="1" outlineLevel="2">
      <c r="B1056" s="2889" t="s">
        <v>1640</v>
      </c>
      <c r="C1056" s="2889" t="s">
        <v>1624</v>
      </c>
      <c r="D1056" s="2889" t="s">
        <v>1619</v>
      </c>
      <c r="E1056" s="2889" t="s">
        <v>217</v>
      </c>
      <c r="F1056" s="3039">
        <v>2.1628506190706775</v>
      </c>
      <c r="G1056" s="2890">
        <v>1843.0009775508097</v>
      </c>
    </row>
    <row r="1057" spans="2:7" ht="15" hidden="1" outlineLevel="2">
      <c r="B1057" s="2889" t="s">
        <v>1641</v>
      </c>
      <c r="C1057" s="2889" t="s">
        <v>1624</v>
      </c>
      <c r="D1057" s="2889" t="s">
        <v>1619</v>
      </c>
      <c r="E1057" s="2889" t="s">
        <v>217</v>
      </c>
      <c r="F1057" s="3039">
        <v>3.5977583247504477</v>
      </c>
      <c r="G1057" s="2890">
        <v>3071.6686967914197</v>
      </c>
    </row>
    <row r="1058" spans="2:7" ht="15" hidden="1" outlineLevel="2">
      <c r="B1058" s="2889" t="s">
        <v>1642</v>
      </c>
      <c r="C1058" s="2889" t="s">
        <v>1624</v>
      </c>
      <c r="D1058" s="2889" t="s">
        <v>1619</v>
      </c>
      <c r="E1058" s="2889" t="s">
        <v>217</v>
      </c>
      <c r="F1058" s="3039">
        <v>0.76454160392909321</v>
      </c>
      <c r="G1058" s="2890">
        <v>653.71695021305152</v>
      </c>
    </row>
    <row r="1059" spans="2:7" ht="15" hidden="1" outlineLevel="2">
      <c r="B1059" s="2889" t="s">
        <v>1643</v>
      </c>
      <c r="C1059" s="2889" t="s">
        <v>1624</v>
      </c>
      <c r="D1059" s="2889" t="s">
        <v>1619</v>
      </c>
      <c r="E1059" s="2889" t="s">
        <v>217</v>
      </c>
      <c r="F1059" s="2890">
        <v>3.3191531294215526</v>
      </c>
      <c r="G1059" s="2890">
        <v>2828.4474201685898</v>
      </c>
    </row>
    <row r="1060" spans="2:7" ht="15" hidden="1" outlineLevel="2">
      <c r="B1060" s="2889" t="s">
        <v>1644</v>
      </c>
      <c r="C1060" s="2889" t="s">
        <v>1624</v>
      </c>
      <c r="D1060" s="2889" t="s">
        <v>1619</v>
      </c>
      <c r="E1060" s="2889" t="s">
        <v>217</v>
      </c>
      <c r="F1060" s="2890">
        <v>4.3048996387418095</v>
      </c>
      <c r="G1060" s="2890">
        <v>3686.0027520717504</v>
      </c>
    </row>
    <row r="1061" spans="2:7" ht="15" hidden="1" outlineLevel="2">
      <c r="B1061" s="2889" t="s">
        <v>1645</v>
      </c>
      <c r="C1061" s="2889" t="s">
        <v>1624</v>
      </c>
      <c r="D1061" s="2889" t="s">
        <v>1619</v>
      </c>
      <c r="E1061" s="2889" t="s">
        <v>217</v>
      </c>
      <c r="F1061" s="2890">
        <v>2.15244889587568</v>
      </c>
      <c r="G1061" s="2890">
        <v>1843.0009775508097</v>
      </c>
    </row>
    <row r="1062" spans="2:7" ht="15" hidden="1" outlineLevel="2">
      <c r="B1062" s="2889" t="s">
        <v>1646</v>
      </c>
      <c r="C1062" s="2889" t="s">
        <v>1624</v>
      </c>
      <c r="D1062" s="2889" t="s">
        <v>1619</v>
      </c>
      <c r="E1062" s="2889" t="s">
        <v>217</v>
      </c>
      <c r="F1062" s="2890">
        <v>1.4391035310394586</v>
      </c>
      <c r="G1062" s="2890">
        <v>1228.6675850515908</v>
      </c>
    </row>
    <row r="1063" spans="2:7" ht="15" hidden="1" outlineLevel="2">
      <c r="B1063" s="2889" t="s">
        <v>1647</v>
      </c>
      <c r="C1063" s="2889" t="s">
        <v>1624</v>
      </c>
      <c r="D1063" s="2889" t="s">
        <v>1619</v>
      </c>
      <c r="E1063" s="2889" t="s">
        <v>217</v>
      </c>
      <c r="F1063" s="2890">
        <v>1.4322774119862323</v>
      </c>
      <c r="G1063" s="2890">
        <v>1228.6675850515908</v>
      </c>
    </row>
    <row r="1064" spans="2:7" ht="15" hidden="1" outlineLevel="2">
      <c r="B1064" s="2889" t="s">
        <v>1648</v>
      </c>
      <c r="C1064" s="2889" t="s">
        <v>1624</v>
      </c>
      <c r="D1064" s="2889" t="s">
        <v>1619</v>
      </c>
      <c r="E1064" s="2889" t="s">
        <v>217</v>
      </c>
      <c r="F1064" s="2890">
        <v>3.7223526161049563E-31</v>
      </c>
      <c r="G1064" s="2890">
        <v>3.1931912408776148E-28</v>
      </c>
    </row>
    <row r="1065" spans="2:7" ht="15" hidden="1" outlineLevel="2">
      <c r="B1065" s="2889" t="s">
        <v>1649</v>
      </c>
      <c r="C1065" s="2889" t="s">
        <v>1624</v>
      </c>
      <c r="D1065" s="2889" t="s">
        <v>1619</v>
      </c>
      <c r="E1065" s="2889" t="s">
        <v>217</v>
      </c>
      <c r="F1065" s="2890">
        <v>9.4610194307558104E-32</v>
      </c>
      <c r="G1065" s="2890">
        <v>8.1160552133930694E-29</v>
      </c>
    </row>
    <row r="1066" spans="2:7" ht="15" hidden="1" outlineLevel="2">
      <c r="B1066" s="2889" t="s">
        <v>1650</v>
      </c>
      <c r="C1066" s="2889" t="s">
        <v>1624</v>
      </c>
      <c r="D1066" s="2889" t="s">
        <v>1619</v>
      </c>
      <c r="E1066" s="2889" t="s">
        <v>217</v>
      </c>
      <c r="F1066" s="2890">
        <v>2.1628506190706775</v>
      </c>
      <c r="G1066" s="2890">
        <v>1843.0009775508097</v>
      </c>
    </row>
    <row r="1067" spans="2:7" ht="15" hidden="1" outlineLevel="2">
      <c r="B1067" s="2889" t="s">
        <v>1651</v>
      </c>
      <c r="C1067" s="2889" t="s">
        <v>1624</v>
      </c>
      <c r="D1067" s="2889" t="s">
        <v>1619</v>
      </c>
      <c r="E1067" s="2889" t="s">
        <v>217</v>
      </c>
      <c r="F1067" s="2890">
        <v>2.1484163264528555</v>
      </c>
      <c r="G1067" s="2890">
        <v>1843.0009775508097</v>
      </c>
    </row>
    <row r="1068" spans="2:7" ht="15" hidden="1" outlineLevel="2">
      <c r="B1068" s="2889" t="s">
        <v>1652</v>
      </c>
      <c r="C1068" s="2889" t="s">
        <v>1624</v>
      </c>
      <c r="D1068" s="2889" t="s">
        <v>1619</v>
      </c>
      <c r="E1068" s="2889" t="s">
        <v>217</v>
      </c>
      <c r="F1068" s="2890">
        <v>2.8645550247846936</v>
      </c>
      <c r="G1068" s="2890">
        <v>2457.33575153726</v>
      </c>
    </row>
    <row r="1069" spans="2:7" ht="15" hidden="1" outlineLevel="2">
      <c r="B1069" s="2889" t="s">
        <v>1653</v>
      </c>
      <c r="C1069" s="2889" t="s">
        <v>1624</v>
      </c>
      <c r="D1069" s="2889" t="s">
        <v>1619</v>
      </c>
      <c r="E1069" s="2889" t="s">
        <v>217</v>
      </c>
      <c r="F1069" s="2890">
        <v>8.9301601592572123E-35</v>
      </c>
      <c r="G1069" s="2890">
        <v>7.6243334221304502E-32</v>
      </c>
    </row>
    <row r="1070" spans="2:7" ht="15" hidden="1" outlineLevel="2">
      <c r="B1070" s="2889" t="s">
        <v>1407</v>
      </c>
      <c r="C1070" s="2889" t="s">
        <v>1625</v>
      </c>
      <c r="D1070" s="2889" t="s">
        <v>1619</v>
      </c>
      <c r="E1070" s="2889" t="s">
        <v>217</v>
      </c>
      <c r="F1070" s="3039">
        <v>0.20034036704840155</v>
      </c>
      <c r="G1070" s="2890">
        <v>258.99291158072703</v>
      </c>
    </row>
    <row r="1071" spans="2:7" ht="15" hidden="1" outlineLevel="2">
      <c r="B1071" s="2889" t="s">
        <v>1631</v>
      </c>
      <c r="C1071" s="2889" t="s">
        <v>1625</v>
      </c>
      <c r="D1071" s="2889" t="s">
        <v>1619</v>
      </c>
      <c r="E1071" s="2889" t="s">
        <v>217</v>
      </c>
      <c r="F1071" s="3039">
        <v>0.60749525696422157</v>
      </c>
      <c r="G1071" s="2890">
        <v>776.97910231520143</v>
      </c>
    </row>
    <row r="1072" spans="2:7" ht="15" hidden="1" outlineLevel="2">
      <c r="B1072" s="2889" t="s">
        <v>1632</v>
      </c>
      <c r="C1072" s="2889" t="s">
        <v>1625</v>
      </c>
      <c r="D1072" s="2889" t="s">
        <v>1619</v>
      </c>
      <c r="E1072" s="2889" t="s">
        <v>217</v>
      </c>
      <c r="F1072" s="2890">
        <v>1.2662779654294303</v>
      </c>
      <c r="G1072" s="2890">
        <v>1640.2881725503898</v>
      </c>
    </row>
    <row r="1073" spans="2:7" ht="15" hidden="1" outlineLevel="2">
      <c r="B1073" s="2889" t="s">
        <v>1633</v>
      </c>
      <c r="C1073" s="2889" t="s">
        <v>1625</v>
      </c>
      <c r="D1073" s="2889" t="s">
        <v>1619</v>
      </c>
      <c r="E1073" s="2889" t="s">
        <v>217</v>
      </c>
      <c r="F1073" s="2890">
        <v>0.13289620265377039</v>
      </c>
      <c r="G1073" s="2890">
        <v>172.66211907688304</v>
      </c>
    </row>
    <row r="1074" spans="2:7" ht="15" hidden="1" outlineLevel="2">
      <c r="B1074" s="2889" t="s">
        <v>1634</v>
      </c>
      <c r="C1074" s="2889" t="s">
        <v>1625</v>
      </c>
      <c r="D1074" s="2889" t="s">
        <v>1619</v>
      </c>
      <c r="E1074" s="2889" t="s">
        <v>217</v>
      </c>
      <c r="F1074" s="2890">
        <v>0.1326387723974263</v>
      </c>
      <c r="G1074" s="2890">
        <v>172.66211907688304</v>
      </c>
    </row>
    <row r="1075" spans="2:7" ht="15" hidden="1" outlineLevel="2">
      <c r="B1075" s="2889" t="s">
        <v>1635</v>
      </c>
      <c r="C1075" s="2889" t="s">
        <v>1625</v>
      </c>
      <c r="D1075" s="2889" t="s">
        <v>1619</v>
      </c>
      <c r="E1075" s="2889" t="s">
        <v>217</v>
      </c>
      <c r="F1075" s="2890">
        <v>0.46652358436248897</v>
      </c>
      <c r="G1075" s="2890">
        <v>604.31721383640297</v>
      </c>
    </row>
    <row r="1076" spans="2:7" ht="15" hidden="1" outlineLevel="2">
      <c r="B1076" s="2889" t="s">
        <v>1636</v>
      </c>
      <c r="C1076" s="2889" t="s">
        <v>1625</v>
      </c>
      <c r="D1076" s="2889" t="s">
        <v>1619</v>
      </c>
      <c r="E1076" s="2889" t="s">
        <v>217</v>
      </c>
      <c r="F1076" s="2890">
        <v>0.26658176554838353</v>
      </c>
      <c r="G1076" s="2890">
        <v>345.32406459591778</v>
      </c>
    </row>
    <row r="1077" spans="2:7" ht="15" hidden="1" outlineLevel="2">
      <c r="B1077" s="2889" t="s">
        <v>1637</v>
      </c>
      <c r="C1077" s="2889" t="s">
        <v>1625</v>
      </c>
      <c r="D1077" s="2889" t="s">
        <v>1619</v>
      </c>
      <c r="E1077" s="2889" t="s">
        <v>217</v>
      </c>
      <c r="F1077" s="2890">
        <v>0.1993442843807231</v>
      </c>
      <c r="G1077" s="2890">
        <v>258.99291158072703</v>
      </c>
    </row>
    <row r="1078" spans="2:7" ht="15" hidden="1" outlineLevel="2">
      <c r="B1078" s="2889" t="s">
        <v>1638</v>
      </c>
      <c r="C1078" s="2889" t="s">
        <v>1625</v>
      </c>
      <c r="D1078" s="2889" t="s">
        <v>1619</v>
      </c>
      <c r="E1078" s="2889" t="s">
        <v>217</v>
      </c>
      <c r="F1078" s="2890">
        <v>0.1326387723974263</v>
      </c>
      <c r="G1078" s="2890">
        <v>172.66211907688304</v>
      </c>
    </row>
    <row r="1079" spans="2:7" ht="15" hidden="1" outlineLevel="2">
      <c r="B1079" s="2889" t="s">
        <v>1639</v>
      </c>
      <c r="C1079" s="2889" t="s">
        <v>1625</v>
      </c>
      <c r="D1079" s="2889" t="s">
        <v>1619</v>
      </c>
      <c r="E1079" s="2889" t="s">
        <v>217</v>
      </c>
      <c r="F1079" s="2890">
        <v>0.86382521715261185</v>
      </c>
      <c r="G1079" s="2890">
        <v>1122.3022796764401</v>
      </c>
    </row>
    <row r="1080" spans="2:7" ht="15" hidden="1" outlineLevel="2">
      <c r="B1080" s="2889" t="s">
        <v>1640</v>
      </c>
      <c r="C1080" s="2889" t="s">
        <v>1625</v>
      </c>
      <c r="D1080" s="2889" t="s">
        <v>1619</v>
      </c>
      <c r="E1080" s="2889" t="s">
        <v>217</v>
      </c>
      <c r="F1080" s="2890">
        <v>6.678011246689064E-2</v>
      </c>
      <c r="G1080" s="2890">
        <v>86.330920114526606</v>
      </c>
    </row>
    <row r="1081" spans="2:7" ht="15" hidden="1" outlineLevel="2">
      <c r="B1081" s="2889" t="s">
        <v>1641</v>
      </c>
      <c r="C1081" s="2889" t="s">
        <v>1625</v>
      </c>
      <c r="D1081" s="2889" t="s">
        <v>1619</v>
      </c>
      <c r="E1081" s="2889" t="s">
        <v>217</v>
      </c>
      <c r="F1081" s="2890">
        <v>0.5998158455319319</v>
      </c>
      <c r="G1081" s="2890">
        <v>776.97910231520143</v>
      </c>
    </row>
    <row r="1082" spans="2:7" ht="15" hidden="1" outlineLevel="2">
      <c r="B1082" s="2889" t="s">
        <v>1642</v>
      </c>
      <c r="C1082" s="2889" t="s">
        <v>1625</v>
      </c>
      <c r="D1082" s="2889" t="s">
        <v>1619</v>
      </c>
      <c r="E1082" s="2889" t="s">
        <v>217</v>
      </c>
      <c r="F1082" s="2890">
        <v>0.49566809847270477</v>
      </c>
      <c r="G1082" s="2890">
        <v>643.05833530116308</v>
      </c>
    </row>
    <row r="1083" spans="2:7" ht="15" hidden="1" outlineLevel="2">
      <c r="B1083" s="2889" t="s">
        <v>1643</v>
      </c>
      <c r="C1083" s="2889" t="s">
        <v>1625</v>
      </c>
      <c r="D1083" s="2889" t="s">
        <v>1619</v>
      </c>
      <c r="E1083" s="2889" t="s">
        <v>217</v>
      </c>
      <c r="F1083" s="2890">
        <v>0.10248191457437132</v>
      </c>
      <c r="G1083" s="2890">
        <v>132.49184721679083</v>
      </c>
    </row>
    <row r="1084" spans="2:7" ht="15" hidden="1" outlineLevel="2">
      <c r="B1084" s="2889" t="s">
        <v>1644</v>
      </c>
      <c r="C1084" s="2889" t="s">
        <v>1625</v>
      </c>
      <c r="D1084" s="2889" t="s">
        <v>1619</v>
      </c>
      <c r="E1084" s="2889" t="s">
        <v>217</v>
      </c>
      <c r="F1084" s="2890">
        <v>1.5283074236315448</v>
      </c>
      <c r="G1084" s="2890">
        <v>1985.6121574312101</v>
      </c>
    </row>
    <row r="1085" spans="2:7" ht="15" hidden="1" outlineLevel="2">
      <c r="B1085" s="2889" t="s">
        <v>1645</v>
      </c>
      <c r="C1085" s="2889" t="s">
        <v>1625</v>
      </c>
      <c r="D1085" s="2889" t="s">
        <v>1619</v>
      </c>
      <c r="E1085" s="2889" t="s">
        <v>217</v>
      </c>
      <c r="F1085" s="2890">
        <v>0.6644813452097541</v>
      </c>
      <c r="G1085" s="2890">
        <v>863.30920182332113</v>
      </c>
    </row>
    <row r="1086" spans="2:7" ht="15" hidden="1" outlineLevel="2">
      <c r="B1086" s="2889" t="s">
        <v>1646</v>
      </c>
      <c r="C1086" s="2889" t="s">
        <v>1625</v>
      </c>
      <c r="D1086" s="2889" t="s">
        <v>1619</v>
      </c>
      <c r="E1086" s="2889" t="s">
        <v>217</v>
      </c>
      <c r="F1086" s="2890">
        <v>0.13329244432360812</v>
      </c>
      <c r="G1086" s="2890">
        <v>172.66211907688304</v>
      </c>
    </row>
    <row r="1087" spans="2:7" ht="15" hidden="1" outlineLevel="2">
      <c r="B1087" s="2889" t="s">
        <v>1647</v>
      </c>
      <c r="C1087" s="2889" t="s">
        <v>1625</v>
      </c>
      <c r="D1087" s="2889" t="s">
        <v>1619</v>
      </c>
      <c r="E1087" s="2889" t="s">
        <v>217</v>
      </c>
      <c r="F1087" s="3039">
        <v>6.6319380563515731E-2</v>
      </c>
      <c r="G1087" s="2890">
        <v>86.330920114526606</v>
      </c>
    </row>
    <row r="1088" spans="2:7" ht="15" hidden="1" outlineLevel="2">
      <c r="B1088" s="2889" t="s">
        <v>1648</v>
      </c>
      <c r="C1088" s="2889" t="s">
        <v>1625</v>
      </c>
      <c r="D1088" s="2889" t="s">
        <v>1619</v>
      </c>
      <c r="E1088" s="2889" t="s">
        <v>217</v>
      </c>
      <c r="F1088" s="3039">
        <v>6.6319380563515731E-2</v>
      </c>
      <c r="G1088" s="2890">
        <v>86.330920114526606</v>
      </c>
    </row>
    <row r="1089" spans="2:7" ht="15" hidden="1" outlineLevel="2">
      <c r="B1089" s="2889" t="s">
        <v>1649</v>
      </c>
      <c r="C1089" s="2889" t="s">
        <v>1625</v>
      </c>
      <c r="D1089" s="2889" t="s">
        <v>1619</v>
      </c>
      <c r="E1089" s="2889" t="s">
        <v>217</v>
      </c>
      <c r="F1089" s="3039">
        <v>6.6319380563515731E-2</v>
      </c>
      <c r="G1089" s="2890">
        <v>86.330920114526606</v>
      </c>
    </row>
    <row r="1090" spans="2:7" ht="15" hidden="1" outlineLevel="2">
      <c r="B1090" s="2889" t="s">
        <v>1650</v>
      </c>
      <c r="C1090" s="2889" t="s">
        <v>1625</v>
      </c>
      <c r="D1090" s="2889" t="s">
        <v>1619</v>
      </c>
      <c r="E1090" s="2889" t="s">
        <v>217</v>
      </c>
      <c r="F1090" s="3039">
        <v>0.20034036704840155</v>
      </c>
      <c r="G1090" s="2890">
        <v>258.99291158072703</v>
      </c>
    </row>
    <row r="1091" spans="2:7" ht="15" hidden="1" outlineLevel="2">
      <c r="B1091" s="2889" t="s">
        <v>1651</v>
      </c>
      <c r="C1091" s="2889" t="s">
        <v>1625</v>
      </c>
      <c r="D1091" s="2889" t="s">
        <v>1619</v>
      </c>
      <c r="E1091" s="2889" t="s">
        <v>217</v>
      </c>
      <c r="F1091" s="3039">
        <v>0.26527748897687153</v>
      </c>
      <c r="G1091" s="2890">
        <v>345.32406464860134</v>
      </c>
    </row>
    <row r="1092" spans="2:7" ht="15" hidden="1" outlineLevel="2">
      <c r="B1092" s="2889" t="s">
        <v>1652</v>
      </c>
      <c r="C1092" s="2889" t="s">
        <v>1625</v>
      </c>
      <c r="D1092" s="2889" t="s">
        <v>1619</v>
      </c>
      <c r="E1092" s="2889" t="s">
        <v>217</v>
      </c>
      <c r="F1092" s="3039">
        <v>0.66319356519115358</v>
      </c>
      <c r="G1092" s="2890">
        <v>863.30920182332113</v>
      </c>
    </row>
    <row r="1093" spans="2:7" ht="15" hidden="1" outlineLevel="2">
      <c r="B1093" s="2889" t="s">
        <v>1653</v>
      </c>
      <c r="C1093" s="2889" t="s">
        <v>1625</v>
      </c>
      <c r="D1093" s="2889" t="s">
        <v>1619</v>
      </c>
      <c r="E1093" s="2889" t="s">
        <v>217</v>
      </c>
      <c r="F1093" s="3039">
        <v>0.33323099182388533</v>
      </c>
      <c r="G1093" s="2890">
        <v>431.65440620760694</v>
      </c>
    </row>
    <row r="1094" spans="2:7" ht="15" hidden="1" outlineLevel="2">
      <c r="B1094" s="2889" t="s">
        <v>1407</v>
      </c>
      <c r="C1094" s="2889" t="s">
        <v>1626</v>
      </c>
      <c r="D1094" s="2889" t="s">
        <v>1619</v>
      </c>
      <c r="E1094" s="2889" t="s">
        <v>217</v>
      </c>
      <c r="F1094" s="3039">
        <v>0.1320244259675516</v>
      </c>
      <c r="G1094" s="2890">
        <v>103.65559872668655</v>
      </c>
    </row>
    <row r="1095" spans="2:7" ht="15" hidden="1" outlineLevel="2">
      <c r="B1095" s="2889" t="s">
        <v>1631</v>
      </c>
      <c r="C1095" s="2889" t="s">
        <v>1626</v>
      </c>
      <c r="D1095" s="2889" t="s">
        <v>1619</v>
      </c>
      <c r="E1095" s="2889" t="s">
        <v>217</v>
      </c>
      <c r="F1095" s="3039">
        <v>0.26657027709718789</v>
      </c>
      <c r="G1095" s="2890">
        <v>207.31125697019095</v>
      </c>
    </row>
    <row r="1096" spans="2:7" ht="15" hidden="1" outlineLevel="2">
      <c r="B1096" s="2889" t="s">
        <v>1632</v>
      </c>
      <c r="C1096" s="2889" t="s">
        <v>1626</v>
      </c>
      <c r="D1096" s="2889" t="s">
        <v>1619</v>
      </c>
      <c r="E1096" s="2889" t="s">
        <v>217</v>
      </c>
      <c r="F1096" s="3039">
        <v>0.13178971866720832</v>
      </c>
      <c r="G1096" s="2890">
        <v>103.65559872668655</v>
      </c>
    </row>
    <row r="1097" spans="2:7" ht="15" hidden="1" outlineLevel="2">
      <c r="B1097" s="2889" t="s">
        <v>1633</v>
      </c>
      <c r="C1097" s="2889" t="s">
        <v>1626</v>
      </c>
      <c r="D1097" s="2889" t="s">
        <v>1619</v>
      </c>
      <c r="E1097" s="2889" t="s">
        <v>217</v>
      </c>
      <c r="F1097" s="2890">
        <v>5.13782769293274E-33</v>
      </c>
      <c r="G1097" s="2890">
        <v>3.8866786495174292E-30</v>
      </c>
    </row>
    <row r="1098" spans="2:7" ht="15" hidden="1" outlineLevel="2">
      <c r="B1098" s="2889" t="s">
        <v>1634</v>
      </c>
      <c r="C1098" s="2889" t="s">
        <v>1626</v>
      </c>
      <c r="D1098" s="2889" t="s">
        <v>1619</v>
      </c>
      <c r="E1098" s="2889" t="s">
        <v>217</v>
      </c>
      <c r="F1098" s="2890">
        <v>0.13121693630236717</v>
      </c>
      <c r="G1098" s="2890">
        <v>103.65559872668655</v>
      </c>
    </row>
    <row r="1099" spans="2:7" ht="15" hidden="1" outlineLevel="2">
      <c r="B1099" s="2889" t="s">
        <v>1635</v>
      </c>
      <c r="C1099" s="2889" t="s">
        <v>1626</v>
      </c>
      <c r="D1099" s="2889" t="s">
        <v>1619</v>
      </c>
      <c r="E1099" s="2889" t="s">
        <v>217</v>
      </c>
      <c r="F1099" s="3039">
        <v>0.13178971866720832</v>
      </c>
      <c r="G1099" s="2890">
        <v>103.65559872668655</v>
      </c>
    </row>
    <row r="1100" spans="2:7" ht="15" hidden="1" outlineLevel="2">
      <c r="B1100" s="2889" t="s">
        <v>1636</v>
      </c>
      <c r="C1100" s="2889" t="s">
        <v>1626</v>
      </c>
      <c r="D1100" s="2889" t="s">
        <v>1619</v>
      </c>
      <c r="E1100" s="2889" t="s">
        <v>217</v>
      </c>
      <c r="F1100" s="2890">
        <v>0.35143578834822214</v>
      </c>
      <c r="G1100" s="2890">
        <v>276.41502108592425</v>
      </c>
    </row>
    <row r="1101" spans="2:7" ht="15" hidden="1" outlineLevel="2">
      <c r="B1101" s="2889" t="s">
        <v>1637</v>
      </c>
      <c r="C1101" s="2889" t="s">
        <v>1626</v>
      </c>
      <c r="D1101" s="2889" t="s">
        <v>1619</v>
      </c>
      <c r="E1101" s="2889" t="s">
        <v>217</v>
      </c>
      <c r="F1101" s="2890">
        <v>0.1314425563978556</v>
      </c>
      <c r="G1101" s="2890">
        <v>103.65559872668655</v>
      </c>
    </row>
    <row r="1102" spans="2:7" ht="15" hidden="1" outlineLevel="2">
      <c r="B1102" s="2889" t="s">
        <v>1638</v>
      </c>
      <c r="C1102" s="2889" t="s">
        <v>1626</v>
      </c>
      <c r="D1102" s="2889" t="s">
        <v>1619</v>
      </c>
      <c r="E1102" s="2889" t="s">
        <v>217</v>
      </c>
      <c r="F1102" s="2890">
        <v>4.3738992516351945E-2</v>
      </c>
      <c r="G1102" s="2890">
        <v>34.551876961557582</v>
      </c>
    </row>
    <row r="1103" spans="2:7" ht="15" hidden="1" outlineLevel="2">
      <c r="B1103" s="2889" t="s">
        <v>1639</v>
      </c>
      <c r="C1103" s="2889" t="s">
        <v>1626</v>
      </c>
      <c r="D1103" s="2889" t="s">
        <v>1619</v>
      </c>
      <c r="E1103" s="2889" t="s">
        <v>217</v>
      </c>
      <c r="F1103" s="2890">
        <v>0.1314425563978556</v>
      </c>
      <c r="G1103" s="2890">
        <v>103.65559872668655</v>
      </c>
    </row>
    <row r="1104" spans="2:7" ht="15" hidden="1" outlineLevel="2">
      <c r="B1104" s="2889" t="s">
        <v>1640</v>
      </c>
      <c r="C1104" s="2889" t="s">
        <v>1626</v>
      </c>
      <c r="D1104" s="2889" t="s">
        <v>1619</v>
      </c>
      <c r="E1104" s="2889" t="s">
        <v>217</v>
      </c>
      <c r="F1104" s="2890">
        <v>0.1320244259675516</v>
      </c>
      <c r="G1104" s="2890">
        <v>103.65559872668655</v>
      </c>
    </row>
    <row r="1105" spans="2:7" ht="15" hidden="1" outlineLevel="2">
      <c r="B1105" s="2889" t="s">
        <v>1641</v>
      </c>
      <c r="C1105" s="2889" t="s">
        <v>1626</v>
      </c>
      <c r="D1105" s="2889" t="s">
        <v>1619</v>
      </c>
      <c r="E1105" s="2889" t="s">
        <v>217</v>
      </c>
      <c r="F1105" s="2890">
        <v>0.21964949668623643</v>
      </c>
      <c r="G1105" s="2890">
        <v>172.75935659987795</v>
      </c>
    </row>
    <row r="1106" spans="2:7" ht="15" hidden="1" outlineLevel="2">
      <c r="B1106" s="2889" t="s">
        <v>1642</v>
      </c>
      <c r="C1106" s="2889" t="s">
        <v>1626</v>
      </c>
      <c r="D1106" s="2889" t="s">
        <v>1619</v>
      </c>
      <c r="E1106" s="2889" t="s">
        <v>217</v>
      </c>
      <c r="F1106" s="2890">
        <v>4.6682428785114201E-2</v>
      </c>
      <c r="G1106" s="2890">
        <v>36.766904978416434</v>
      </c>
    </row>
    <row r="1107" spans="2:7" ht="15" hidden="1" outlineLevel="2">
      <c r="B1107" s="2889" t="s">
        <v>1643</v>
      </c>
      <c r="C1107" s="2889" t="s">
        <v>1626</v>
      </c>
      <c r="D1107" s="2889" t="s">
        <v>1619</v>
      </c>
      <c r="E1107" s="2889" t="s">
        <v>217</v>
      </c>
      <c r="F1107" s="2890">
        <v>0.20260811585239022</v>
      </c>
      <c r="G1107" s="2890">
        <v>159.07990325549704</v>
      </c>
    </row>
    <row r="1108" spans="2:7" ht="15" hidden="1" outlineLevel="2">
      <c r="B1108" s="2889" t="s">
        <v>1644</v>
      </c>
      <c r="C1108" s="2889" t="s">
        <v>1626</v>
      </c>
      <c r="D1108" s="2889" t="s">
        <v>1619</v>
      </c>
      <c r="E1108" s="2889" t="s">
        <v>217</v>
      </c>
      <c r="F1108" s="2890">
        <v>0.26288508667706811</v>
      </c>
      <c r="G1108" s="2890">
        <v>207.31125697019095</v>
      </c>
    </row>
    <row r="1109" spans="2:7" ht="15" hidden="1" outlineLevel="2">
      <c r="B1109" s="2889" t="s">
        <v>1645</v>
      </c>
      <c r="C1109" s="2889" t="s">
        <v>1626</v>
      </c>
      <c r="D1109" s="2889" t="s">
        <v>1619</v>
      </c>
      <c r="E1109" s="2889" t="s">
        <v>217</v>
      </c>
      <c r="F1109" s="2890">
        <v>0.13144255639584618</v>
      </c>
      <c r="G1109" s="2890">
        <v>103.65559872787497</v>
      </c>
    </row>
    <row r="1110" spans="2:7" ht="15" hidden="1" outlineLevel="2">
      <c r="B1110" s="2889" t="s">
        <v>1646</v>
      </c>
      <c r="C1110" s="2889" t="s">
        <v>1626</v>
      </c>
      <c r="D1110" s="2889" t="s">
        <v>1619</v>
      </c>
      <c r="E1110" s="2889" t="s">
        <v>217</v>
      </c>
      <c r="F1110" s="2890">
        <v>8.7859788630252747E-2</v>
      </c>
      <c r="G1110" s="2890">
        <v>69.103759182832647</v>
      </c>
    </row>
    <row r="1111" spans="2:7" ht="15" hidden="1" outlineLevel="2">
      <c r="B1111" s="2889" t="s">
        <v>1647</v>
      </c>
      <c r="C1111" s="2889" t="s">
        <v>1626</v>
      </c>
      <c r="D1111" s="2889" t="s">
        <v>1619</v>
      </c>
      <c r="E1111" s="2889" t="s">
        <v>217</v>
      </c>
      <c r="F1111" s="2890">
        <v>8.747796445169749E-2</v>
      </c>
      <c r="G1111" s="2890">
        <v>69.103759182832817</v>
      </c>
    </row>
    <row r="1112" spans="2:7" ht="15" hidden="1" outlineLevel="2">
      <c r="B1112" s="2889" t="s">
        <v>1648</v>
      </c>
      <c r="C1112" s="2889" t="s">
        <v>1626</v>
      </c>
      <c r="D1112" s="2889" t="s">
        <v>1619</v>
      </c>
      <c r="E1112" s="2889" t="s">
        <v>217</v>
      </c>
      <c r="F1112" s="2890">
        <v>1.6173722528088712E-35</v>
      </c>
      <c r="G1112" s="2890">
        <v>1.5768694812717283E-32</v>
      </c>
    </row>
    <row r="1113" spans="2:7" ht="15" hidden="1" outlineLevel="2">
      <c r="B1113" s="2889" t="s">
        <v>1649</v>
      </c>
      <c r="C1113" s="2889" t="s">
        <v>1626</v>
      </c>
      <c r="D1113" s="2889" t="s">
        <v>1619</v>
      </c>
      <c r="E1113" s="2889" t="s">
        <v>217</v>
      </c>
      <c r="F1113" s="2890">
        <v>1.6173722528088712E-35</v>
      </c>
      <c r="G1113" s="2890">
        <v>1.5768694812717283E-32</v>
      </c>
    </row>
    <row r="1114" spans="2:7" ht="15" hidden="1" outlineLevel="2">
      <c r="B1114" s="2889" t="s">
        <v>1650</v>
      </c>
      <c r="C1114" s="2889" t="s">
        <v>1626</v>
      </c>
      <c r="D1114" s="2889" t="s">
        <v>1619</v>
      </c>
      <c r="E1114" s="2889" t="s">
        <v>217</v>
      </c>
      <c r="F1114" s="2890">
        <v>0.1320244259675516</v>
      </c>
      <c r="G1114" s="2890">
        <v>103.65559872668655</v>
      </c>
    </row>
    <row r="1115" spans="2:7" ht="15" hidden="1" outlineLevel="2">
      <c r="B1115" s="2889" t="s">
        <v>1651</v>
      </c>
      <c r="C1115" s="2889" t="s">
        <v>1626</v>
      </c>
      <c r="D1115" s="2889" t="s">
        <v>1619</v>
      </c>
      <c r="E1115" s="2889" t="s">
        <v>217</v>
      </c>
      <c r="F1115" s="2890">
        <v>0.13121693630474432</v>
      </c>
      <c r="G1115" s="2890">
        <v>103.65559872787497</v>
      </c>
    </row>
    <row r="1116" spans="2:7" ht="15" hidden="1" outlineLevel="2">
      <c r="B1116" s="2889" t="s">
        <v>1652</v>
      </c>
      <c r="C1116" s="2889" t="s">
        <v>1626</v>
      </c>
      <c r="D1116" s="2889" t="s">
        <v>1619</v>
      </c>
      <c r="E1116" s="2889" t="s">
        <v>217</v>
      </c>
      <c r="F1116" s="2890">
        <v>0.17495593324540323</v>
      </c>
      <c r="G1116" s="2890">
        <v>138.20751017470454</v>
      </c>
    </row>
    <row r="1117" spans="2:7" ht="15" hidden="1" outlineLevel="2">
      <c r="B1117" s="2889" t="s">
        <v>1653</v>
      </c>
      <c r="C1117" s="2889" t="s">
        <v>1626</v>
      </c>
      <c r="D1117" s="2889" t="s">
        <v>1619</v>
      </c>
      <c r="E1117" s="2889" t="s">
        <v>217</v>
      </c>
      <c r="F1117" s="2890">
        <v>7.3664304802545026E-35</v>
      </c>
      <c r="G1117" s="2890">
        <v>9.0352181707436596E-32</v>
      </c>
    </row>
    <row r="1118" spans="2:7" ht="15" hidden="1" outlineLevel="2">
      <c r="B1118" s="2889" t="s">
        <v>1407</v>
      </c>
      <c r="C1118" s="2889" t="s">
        <v>1472</v>
      </c>
      <c r="D1118" s="2889" t="s">
        <v>1054</v>
      </c>
      <c r="E1118" s="2889" t="s">
        <v>217</v>
      </c>
      <c r="F1118" s="2890">
        <v>2.3470977454537914E-3</v>
      </c>
      <c r="G1118" s="2890">
        <v>3.6253676111343944</v>
      </c>
    </row>
    <row r="1119" spans="2:7" ht="15" hidden="1" outlineLevel="2">
      <c r="B1119" s="2889" t="s">
        <v>1631</v>
      </c>
      <c r="C1119" s="2889" t="s">
        <v>1472</v>
      </c>
      <c r="D1119" s="2889" t="s">
        <v>1054</v>
      </c>
      <c r="E1119" s="2889" t="s">
        <v>217</v>
      </c>
      <c r="F1119" s="2890">
        <v>3.9351792123335658E-2</v>
      </c>
      <c r="G1119" s="2890">
        <v>60.162369810044666</v>
      </c>
    </row>
    <row r="1120" spans="2:7" ht="15" hidden="1" outlineLevel="2">
      <c r="B1120" s="2889" t="s">
        <v>1632</v>
      </c>
      <c r="C1120" s="2889" t="s">
        <v>1472</v>
      </c>
      <c r="D1120" s="2889" t="s">
        <v>1054</v>
      </c>
      <c r="E1120" s="2889" t="s">
        <v>217</v>
      </c>
      <c r="F1120" s="3039">
        <v>8.9864191983006117E-2</v>
      </c>
      <c r="G1120" s="2890">
        <v>139.35493108884478</v>
      </c>
    </row>
    <row r="1121" spans="2:7" ht="15" hidden="1" outlineLevel="2">
      <c r="B1121" s="2889" t="s">
        <v>1633</v>
      </c>
      <c r="C1121" s="2889" t="s">
        <v>1472</v>
      </c>
      <c r="D1121" s="2889" t="s">
        <v>1054</v>
      </c>
      <c r="E1121" s="2889" t="s">
        <v>217</v>
      </c>
      <c r="F1121" s="3039">
        <v>7.2607902035612135E-3</v>
      </c>
      <c r="G1121" s="2890">
        <v>11.308954469233353</v>
      </c>
    </row>
    <row r="1122" spans="2:7" ht="15" hidden="1" outlineLevel="2">
      <c r="B1122" s="2889" t="s">
        <v>1634</v>
      </c>
      <c r="C1122" s="2889" t="s">
        <v>1472</v>
      </c>
      <c r="D1122" s="2889" t="s">
        <v>1054</v>
      </c>
      <c r="E1122" s="2889" t="s">
        <v>217</v>
      </c>
      <c r="F1122" s="3039">
        <v>1.3440277688796247E-3</v>
      </c>
      <c r="G1122" s="2890">
        <v>2.0960826218478226</v>
      </c>
    </row>
    <row r="1123" spans="2:7" ht="15" hidden="1" outlineLevel="2">
      <c r="B1123" s="2889" t="s">
        <v>1635</v>
      </c>
      <c r="C1123" s="2889" t="s">
        <v>1472</v>
      </c>
      <c r="D1123" s="2889" t="s">
        <v>1054</v>
      </c>
      <c r="E1123" s="2889" t="s">
        <v>217</v>
      </c>
      <c r="F1123" s="3039">
        <v>1.1400958950851661E-2</v>
      </c>
      <c r="G1123" s="2890">
        <v>17.679784702565055</v>
      </c>
    </row>
    <row r="1124" spans="2:7" ht="15" hidden="1" outlineLevel="2">
      <c r="B1124" s="2889" t="s">
        <v>1636</v>
      </c>
      <c r="C1124" s="2889" t="s">
        <v>1472</v>
      </c>
      <c r="D1124" s="2889" t="s">
        <v>1054</v>
      </c>
      <c r="E1124" s="2889" t="s">
        <v>217</v>
      </c>
      <c r="F1124" s="3039">
        <v>1.0007392632240202E-2</v>
      </c>
      <c r="G1124" s="2890">
        <v>15.52015097344926</v>
      </c>
    </row>
    <row r="1125" spans="2:7" ht="15" hidden="1" outlineLevel="2">
      <c r="B1125" s="2889" t="s">
        <v>1637</v>
      </c>
      <c r="C1125" s="2889" t="s">
        <v>1472</v>
      </c>
      <c r="D1125" s="2889" t="s">
        <v>1054</v>
      </c>
      <c r="E1125" s="2889" t="s">
        <v>217</v>
      </c>
      <c r="F1125" s="3039">
        <v>1.6548747711023767E-2</v>
      </c>
      <c r="G1125" s="2890">
        <v>25.775314195653873</v>
      </c>
    </row>
    <row r="1126" spans="2:7" ht="15" hidden="1" outlineLevel="2">
      <c r="B1126" s="2889" t="s">
        <v>1638</v>
      </c>
      <c r="C1126" s="2889" t="s">
        <v>1472</v>
      </c>
      <c r="D1126" s="2889" t="s">
        <v>1054</v>
      </c>
      <c r="E1126" s="2889" t="s">
        <v>217</v>
      </c>
      <c r="F1126" s="2890">
        <v>2.1573097177111865E-3</v>
      </c>
      <c r="G1126" s="2890">
        <v>3.3644402293941886</v>
      </c>
    </row>
    <row r="1127" spans="2:7" ht="15" hidden="1" outlineLevel="2">
      <c r="B1127" s="2889" t="s">
        <v>1639</v>
      </c>
      <c r="C1127" s="2889" t="s">
        <v>1472</v>
      </c>
      <c r="D1127" s="2889" t="s">
        <v>1054</v>
      </c>
      <c r="E1127" s="2889" t="s">
        <v>217</v>
      </c>
      <c r="F1127" s="2890">
        <v>1.986003369175577E-2</v>
      </c>
      <c r="G1127" s="2890">
        <v>30.932756537300893</v>
      </c>
    </row>
    <row r="1128" spans="2:7" ht="15" hidden="1" outlineLevel="2">
      <c r="B1128" s="2889" t="s">
        <v>1640</v>
      </c>
      <c r="C1128" s="2889" t="s">
        <v>1472</v>
      </c>
      <c r="D1128" s="2889" t="s">
        <v>1054</v>
      </c>
      <c r="E1128" s="2889" t="s">
        <v>217</v>
      </c>
      <c r="F1128" s="2890">
        <v>4.708324519139797E-3</v>
      </c>
      <c r="G1128" s="2890">
        <v>7.2725589261660737</v>
      </c>
    </row>
    <row r="1129" spans="2:7" ht="15" hidden="1" outlineLevel="2">
      <c r="B1129" s="2889" t="s">
        <v>1641</v>
      </c>
      <c r="C1129" s="2889" t="s">
        <v>1472</v>
      </c>
      <c r="D1129" s="2889" t="s">
        <v>1054</v>
      </c>
      <c r="E1129" s="2889" t="s">
        <v>217</v>
      </c>
      <c r="F1129" s="2890">
        <v>2.4022709963786602E-2</v>
      </c>
      <c r="G1129" s="2890">
        <v>37.252715297635433</v>
      </c>
    </row>
    <row r="1130" spans="2:7" ht="15" hidden="1" outlineLevel="2">
      <c r="B1130" s="2889" t="s">
        <v>1642</v>
      </c>
      <c r="C1130" s="2889" t="s">
        <v>1472</v>
      </c>
      <c r="D1130" s="2889" t="s">
        <v>1054</v>
      </c>
      <c r="E1130" s="2889" t="s">
        <v>217</v>
      </c>
      <c r="F1130" s="2890">
        <v>1.6957192169592721E-2</v>
      </c>
      <c r="G1130" s="2890">
        <v>26.281025477820023</v>
      </c>
    </row>
    <row r="1131" spans="2:7" ht="15" hidden="1" outlineLevel="2">
      <c r="B1131" s="2889" t="s">
        <v>1643</v>
      </c>
      <c r="C1131" s="2889" t="s">
        <v>1472</v>
      </c>
      <c r="D1131" s="2889" t="s">
        <v>1054</v>
      </c>
      <c r="E1131" s="2889" t="s">
        <v>217</v>
      </c>
      <c r="F1131" s="2890">
        <v>2.5539361028687041E-3</v>
      </c>
      <c r="G1131" s="2890">
        <v>3.9533902864273567</v>
      </c>
    </row>
    <row r="1132" spans="2:7" ht="15" hidden="1" outlineLevel="2">
      <c r="B1132" s="2889" t="s">
        <v>1644</v>
      </c>
      <c r="C1132" s="2889" t="s">
        <v>1472</v>
      </c>
      <c r="D1132" s="2889" t="s">
        <v>1054</v>
      </c>
      <c r="E1132" s="2889" t="s">
        <v>217</v>
      </c>
      <c r="F1132" s="2890">
        <v>5.5883349506808663E-2</v>
      </c>
      <c r="G1132" s="2890">
        <v>87.040419979185558</v>
      </c>
    </row>
    <row r="1133" spans="2:7" ht="15" hidden="1" outlineLevel="2">
      <c r="B1133" s="2889" t="s">
        <v>1645</v>
      </c>
      <c r="C1133" s="2889" t="s">
        <v>1472</v>
      </c>
      <c r="D1133" s="2889" t="s">
        <v>1054</v>
      </c>
      <c r="E1133" s="2889" t="s">
        <v>217</v>
      </c>
      <c r="F1133" s="2890">
        <v>6.3820549705336641E-2</v>
      </c>
      <c r="G1133" s="2890">
        <v>99.402951302301162</v>
      </c>
    </row>
    <row r="1134" spans="2:7" ht="15" hidden="1" outlineLevel="2">
      <c r="B1134" s="2889" t="s">
        <v>1646</v>
      </c>
      <c r="C1134" s="2889" t="s">
        <v>1472</v>
      </c>
      <c r="D1134" s="2889" t="s">
        <v>1054</v>
      </c>
      <c r="E1134" s="2889" t="s">
        <v>217</v>
      </c>
      <c r="F1134" s="2890">
        <v>3.7484536668522094E-3</v>
      </c>
      <c r="G1134" s="2890">
        <v>5.8128370859771934</v>
      </c>
    </row>
    <row r="1135" spans="2:7" ht="15" hidden="1" outlineLevel="2">
      <c r="B1135" s="2889" t="s">
        <v>1647</v>
      </c>
      <c r="C1135" s="2889" t="s">
        <v>1472</v>
      </c>
      <c r="D1135" s="2889" t="s">
        <v>1054</v>
      </c>
      <c r="E1135" s="2889" t="s">
        <v>217</v>
      </c>
      <c r="F1135" s="2890">
        <v>9.3039434698376378E-3</v>
      </c>
      <c r="G1135" s="2890">
        <v>14.509986689938351</v>
      </c>
    </row>
    <row r="1136" spans="2:7" ht="15" hidden="1" outlineLevel="2">
      <c r="B1136" s="2889" t="s">
        <v>1648</v>
      </c>
      <c r="C1136" s="2889" t="s">
        <v>1472</v>
      </c>
      <c r="D1136" s="2889" t="s">
        <v>1054</v>
      </c>
      <c r="E1136" s="2889" t="s">
        <v>217</v>
      </c>
      <c r="F1136" s="2890">
        <v>1.0430812663194597E-3</v>
      </c>
      <c r="G1136" s="2890">
        <v>1.6267404887112578</v>
      </c>
    </row>
    <row r="1137" spans="2:7" ht="15" hidden="1" outlineLevel="2">
      <c r="B1137" s="2889" t="s">
        <v>1649</v>
      </c>
      <c r="C1137" s="2889" t="s">
        <v>1472</v>
      </c>
      <c r="D1137" s="2889" t="s">
        <v>1054</v>
      </c>
      <c r="E1137" s="2889" t="s">
        <v>217</v>
      </c>
      <c r="F1137" s="2890">
        <v>4.9476486461192898E-3</v>
      </c>
      <c r="G1137" s="2890">
        <v>7.7161203438351986</v>
      </c>
    </row>
    <row r="1138" spans="2:7" ht="15" hidden="1" outlineLevel="2">
      <c r="B1138" s="2889" t="s">
        <v>1650</v>
      </c>
      <c r="C1138" s="2889" t="s">
        <v>1472</v>
      </c>
      <c r="D1138" s="2889" t="s">
        <v>1054</v>
      </c>
      <c r="E1138" s="2889" t="s">
        <v>217</v>
      </c>
      <c r="F1138" s="2890">
        <v>1.2481444754262303E-2</v>
      </c>
      <c r="G1138" s="2890">
        <v>19.279046844214552</v>
      </c>
    </row>
    <row r="1139" spans="2:7" ht="15" hidden="1" outlineLevel="2">
      <c r="B1139" s="2889" t="s">
        <v>1651</v>
      </c>
      <c r="C1139" s="2889" t="s">
        <v>1472</v>
      </c>
      <c r="D1139" s="2889" t="s">
        <v>1054</v>
      </c>
      <c r="E1139" s="2889" t="s">
        <v>217</v>
      </c>
      <c r="F1139" s="2890">
        <v>6.7635634916892477E-3</v>
      </c>
      <c r="G1139" s="2890">
        <v>10.54813584455707</v>
      </c>
    </row>
    <row r="1140" spans="2:7" ht="15" hidden="1" outlineLevel="2">
      <c r="B1140" s="2889" t="s">
        <v>1652</v>
      </c>
      <c r="C1140" s="2889" t="s">
        <v>1472</v>
      </c>
      <c r="D1140" s="2889" t="s">
        <v>1054</v>
      </c>
      <c r="E1140" s="2889" t="s">
        <v>217</v>
      </c>
      <c r="F1140" s="2890">
        <v>7.4269853303031031E-3</v>
      </c>
      <c r="G1140" s="2890">
        <v>11.582775126493615</v>
      </c>
    </row>
    <row r="1141" spans="2:7" ht="15" hidden="1" outlineLevel="2">
      <c r="B1141" s="2889" t="s">
        <v>1653</v>
      </c>
      <c r="C1141" s="2889" t="s">
        <v>1472</v>
      </c>
      <c r="D1141" s="2889" t="s">
        <v>1054</v>
      </c>
      <c r="E1141" s="2889" t="s">
        <v>217</v>
      </c>
      <c r="F1141" s="2890">
        <v>1.592384341995647E-33</v>
      </c>
      <c r="G1141" s="2890">
        <v>2.1887064362259831E-30</v>
      </c>
    </row>
    <row r="1142" spans="2:7" ht="15" hidden="1" outlineLevel="2">
      <c r="B1142" s="2889" t="s">
        <v>1407</v>
      </c>
      <c r="C1142" s="2889" t="s">
        <v>1473</v>
      </c>
      <c r="D1142" s="2889" t="s">
        <v>1054</v>
      </c>
      <c r="E1142" s="2889" t="s">
        <v>217</v>
      </c>
      <c r="F1142" s="2890">
        <v>2.0791428830115198E-5</v>
      </c>
      <c r="G1142" s="2890">
        <v>2.6790517933119217E-2</v>
      </c>
    </row>
    <row r="1143" spans="2:7" ht="15" hidden="1" outlineLevel="2">
      <c r="B1143" s="2889" t="s">
        <v>1631</v>
      </c>
      <c r="C1143" s="2889" t="s">
        <v>1473</v>
      </c>
      <c r="D1143" s="2889" t="s">
        <v>1054</v>
      </c>
      <c r="E1143" s="2889" t="s">
        <v>217</v>
      </c>
      <c r="F1143" s="2890">
        <v>3.4864731458997402E-4</v>
      </c>
      <c r="G1143" s="2890">
        <v>0.44458438956335261</v>
      </c>
    </row>
    <row r="1144" spans="2:7" ht="15" hidden="1" outlineLevel="2">
      <c r="B1144" s="2889" t="s">
        <v>1632</v>
      </c>
      <c r="C1144" s="2889" t="s">
        <v>1473</v>
      </c>
      <c r="D1144" s="2889" t="s">
        <v>1054</v>
      </c>
      <c r="E1144" s="2889" t="s">
        <v>217</v>
      </c>
      <c r="F1144" s="2890">
        <v>7.960002184926176E-4</v>
      </c>
      <c r="G1144" s="2890">
        <v>1.0297970511601284</v>
      </c>
    </row>
    <row r="1145" spans="2:7" ht="15" hidden="1" outlineLevel="2">
      <c r="B1145" s="2889" t="s">
        <v>1633</v>
      </c>
      <c r="C1145" s="2889" t="s">
        <v>1473</v>
      </c>
      <c r="D1145" s="2889" t="s">
        <v>1054</v>
      </c>
      <c r="E1145" s="2889" t="s">
        <v>217</v>
      </c>
      <c r="F1145" s="2890">
        <v>6.4310345753293928E-5</v>
      </c>
      <c r="G1145" s="2890">
        <v>8.3570269732225033E-2</v>
      </c>
    </row>
    <row r="1146" spans="2:7" ht="15" hidden="1" outlineLevel="2">
      <c r="B1146" s="2889" t="s">
        <v>1634</v>
      </c>
      <c r="C1146" s="2889" t="s">
        <v>1473</v>
      </c>
      <c r="D1146" s="2889" t="s">
        <v>1054</v>
      </c>
      <c r="E1146" s="2889" t="s">
        <v>217</v>
      </c>
      <c r="F1146" s="2890">
        <v>1.190409356162469E-5</v>
      </c>
      <c r="G1146" s="2890">
        <v>1.5489501510296764E-2</v>
      </c>
    </row>
    <row r="1147" spans="2:7" ht="15" hidden="1" outlineLevel="2">
      <c r="B1147" s="2889" t="s">
        <v>1635</v>
      </c>
      <c r="C1147" s="2889" t="s">
        <v>1473</v>
      </c>
      <c r="D1147" s="2889" t="s">
        <v>1054</v>
      </c>
      <c r="E1147" s="2889" t="s">
        <v>217</v>
      </c>
      <c r="F1147" s="2890">
        <v>1.0098754225091018E-4</v>
      </c>
      <c r="G1147" s="2890">
        <v>0.13064904033620933</v>
      </c>
    </row>
    <row r="1148" spans="2:7" ht="15" hidden="1" outlineLevel="2">
      <c r="B1148" s="2889" t="s">
        <v>1636</v>
      </c>
      <c r="C1148" s="2889" t="s">
        <v>1473</v>
      </c>
      <c r="D1148" s="2889" t="s">
        <v>1054</v>
      </c>
      <c r="E1148" s="2889" t="s">
        <v>217</v>
      </c>
      <c r="F1148" s="2890">
        <v>8.8643471087347271E-5</v>
      </c>
      <c r="G1148" s="2890">
        <v>0.11468988767337107</v>
      </c>
    </row>
    <row r="1149" spans="2:7" ht="15" hidden="1" outlineLevel="2">
      <c r="B1149" s="2889" t="s">
        <v>1637</v>
      </c>
      <c r="C1149" s="2889" t="s">
        <v>1473</v>
      </c>
      <c r="D1149" s="2889" t="s">
        <v>1054</v>
      </c>
      <c r="E1149" s="2889" t="s">
        <v>217</v>
      </c>
      <c r="F1149" s="2890">
        <v>1.4657563741830274E-4</v>
      </c>
      <c r="G1149" s="2890">
        <v>0.19047277494344422</v>
      </c>
    </row>
    <row r="1150" spans="2:7" ht="15" hidden="1" outlineLevel="2">
      <c r="B1150" s="2889" t="s">
        <v>1638</v>
      </c>
      <c r="C1150" s="2889" t="s">
        <v>1473</v>
      </c>
      <c r="D1150" s="2889" t="s">
        <v>1054</v>
      </c>
      <c r="E1150" s="2889" t="s">
        <v>217</v>
      </c>
      <c r="F1150" s="2890">
        <v>1.9107355517366003E-5</v>
      </c>
      <c r="G1150" s="2890">
        <v>2.4862328077750715E-2</v>
      </c>
    </row>
    <row r="1151" spans="2:7" ht="15" hidden="1" outlineLevel="2">
      <c r="B1151" s="2889" t="s">
        <v>1639</v>
      </c>
      <c r="C1151" s="2889" t="s">
        <v>1473</v>
      </c>
      <c r="D1151" s="2889" t="s">
        <v>1054</v>
      </c>
      <c r="E1151" s="2889" t="s">
        <v>217</v>
      </c>
      <c r="F1151" s="2890">
        <v>1.7590439120521558E-4</v>
      </c>
      <c r="G1151" s="2890">
        <v>0.22858495217807082</v>
      </c>
    </row>
    <row r="1152" spans="2:7" ht="15" hidden="1" outlineLevel="2">
      <c r="B1152" s="2889" t="s">
        <v>1640</v>
      </c>
      <c r="C1152" s="2889" t="s">
        <v>1473</v>
      </c>
      <c r="D1152" s="2889" t="s">
        <v>1054</v>
      </c>
      <c r="E1152" s="2889" t="s">
        <v>217</v>
      </c>
      <c r="F1152" s="2890">
        <v>4.1708009499922951E-5</v>
      </c>
      <c r="G1152" s="2890">
        <v>5.3742322782852493E-2</v>
      </c>
    </row>
    <row r="1153" spans="2:7" ht="15" hidden="1" outlineLevel="2">
      <c r="B1153" s="2889" t="s">
        <v>1641</v>
      </c>
      <c r="C1153" s="2889" t="s">
        <v>1473</v>
      </c>
      <c r="D1153" s="2889" t="s">
        <v>1054</v>
      </c>
      <c r="E1153" s="2889" t="s">
        <v>217</v>
      </c>
      <c r="F1153" s="2890">
        <v>2.127886342053579E-4</v>
      </c>
      <c r="G1153" s="2890">
        <v>0.27528774813832041</v>
      </c>
    </row>
    <row r="1154" spans="2:7" ht="15" hidden="1" outlineLevel="2">
      <c r="B1154" s="2889" t="s">
        <v>1642</v>
      </c>
      <c r="C1154" s="2889" t="s">
        <v>1473</v>
      </c>
      <c r="D1154" s="2889" t="s">
        <v>1054</v>
      </c>
      <c r="E1154" s="2889" t="s">
        <v>217</v>
      </c>
      <c r="F1154" s="2890">
        <v>1.5020501724367951E-4</v>
      </c>
      <c r="G1154" s="2890">
        <v>0.19421000857109755</v>
      </c>
    </row>
    <row r="1155" spans="2:7" ht="15" hidden="1" outlineLevel="2">
      <c r="B1155" s="2889" t="s">
        <v>1643</v>
      </c>
      <c r="C1155" s="2889" t="s">
        <v>1473</v>
      </c>
      <c r="D1155" s="2889" t="s">
        <v>1054</v>
      </c>
      <c r="E1155" s="2889" t="s">
        <v>217</v>
      </c>
      <c r="F1155" s="2890">
        <v>2.2622912803498214E-5</v>
      </c>
      <c r="G1155" s="2890">
        <v>2.9214513376021586E-2</v>
      </c>
    </row>
    <row r="1156" spans="2:7" ht="15" hidden="1" outlineLevel="2">
      <c r="B1156" s="2889" t="s">
        <v>1644</v>
      </c>
      <c r="C1156" s="2889" t="s">
        <v>1473</v>
      </c>
      <c r="D1156" s="2889" t="s">
        <v>1054</v>
      </c>
      <c r="E1156" s="2889" t="s">
        <v>217</v>
      </c>
      <c r="F1156" s="2890">
        <v>4.949704060485089E-4</v>
      </c>
      <c r="G1156" s="2890">
        <v>0.64320632308078496</v>
      </c>
    </row>
    <row r="1157" spans="2:7" ht="15" hidden="1" outlineLevel="2">
      <c r="B1157" s="2889" t="s">
        <v>1645</v>
      </c>
      <c r="C1157" s="2889" t="s">
        <v>1473</v>
      </c>
      <c r="D1157" s="2889" t="s">
        <v>1054</v>
      </c>
      <c r="E1157" s="2889" t="s">
        <v>217</v>
      </c>
      <c r="F1157" s="2890">
        <v>5.652717718504837E-4</v>
      </c>
      <c r="G1157" s="2890">
        <v>0.73456207968541143</v>
      </c>
    </row>
    <row r="1158" spans="2:7" ht="15" hidden="1" outlineLevel="2">
      <c r="B1158" s="2889" t="s">
        <v>1646</v>
      </c>
      <c r="C1158" s="2889" t="s">
        <v>1473</v>
      </c>
      <c r="D1158" s="2889" t="s">
        <v>1054</v>
      </c>
      <c r="E1158" s="2889" t="s">
        <v>217</v>
      </c>
      <c r="F1158" s="2890">
        <v>3.3203110162359887E-5</v>
      </c>
      <c r="G1158" s="2890">
        <v>4.2955341744417494E-2</v>
      </c>
    </row>
    <row r="1159" spans="2:7" ht="15" hidden="1" outlineLevel="2">
      <c r="B1159" s="2889" t="s">
        <v>1647</v>
      </c>
      <c r="C1159" s="2889" t="s">
        <v>1473</v>
      </c>
      <c r="D1159" s="2889" t="s">
        <v>1054</v>
      </c>
      <c r="E1159" s="2889" t="s">
        <v>217</v>
      </c>
      <c r="F1159" s="2890">
        <v>8.2405339572797271E-5</v>
      </c>
      <c r="G1159" s="2890">
        <v>0.10722508917003663</v>
      </c>
    </row>
    <row r="1160" spans="2:7" ht="15" hidden="1" outlineLevel="2">
      <c r="B1160" s="2889" t="s">
        <v>1648</v>
      </c>
      <c r="C1160" s="2889" t="s">
        <v>1473</v>
      </c>
      <c r="D1160" s="2889" t="s">
        <v>1054</v>
      </c>
      <c r="E1160" s="2889" t="s">
        <v>217</v>
      </c>
      <c r="F1160" s="2890">
        <v>9.2385970736953512E-6</v>
      </c>
      <c r="G1160" s="2890">
        <v>1.2021188143555095E-2</v>
      </c>
    </row>
    <row r="1161" spans="2:7" ht="15" hidden="1" outlineLevel="2">
      <c r="B1161" s="2889" t="s">
        <v>1649</v>
      </c>
      <c r="C1161" s="2889" t="s">
        <v>1473</v>
      </c>
      <c r="D1161" s="2889" t="s">
        <v>1054</v>
      </c>
      <c r="E1161" s="2889" t="s">
        <v>217</v>
      </c>
      <c r="F1161" s="2890">
        <v>4.3821461696402239E-5</v>
      </c>
      <c r="G1161" s="2890">
        <v>5.7020127269528313E-2</v>
      </c>
    </row>
    <row r="1162" spans="2:7" ht="15" hidden="1" outlineLevel="2">
      <c r="B1162" s="2889" t="s">
        <v>1650</v>
      </c>
      <c r="C1162" s="2889" t="s">
        <v>1473</v>
      </c>
      <c r="D1162" s="2889" t="s">
        <v>1054</v>
      </c>
      <c r="E1162" s="2889" t="s">
        <v>217</v>
      </c>
      <c r="F1162" s="2890">
        <v>1.1056507836612924E-4</v>
      </c>
      <c r="G1162" s="2890">
        <v>0.1424672198908567</v>
      </c>
    </row>
    <row r="1163" spans="2:7" ht="15" hidden="1" outlineLevel="2">
      <c r="B1163" s="2889" t="s">
        <v>1651</v>
      </c>
      <c r="C1163" s="2889" t="s">
        <v>1473</v>
      </c>
      <c r="D1163" s="2889" t="s">
        <v>1054</v>
      </c>
      <c r="E1163" s="2889" t="s">
        <v>217</v>
      </c>
      <c r="F1163" s="2890">
        <v>5.9905040942566818E-5</v>
      </c>
      <c r="G1163" s="2890">
        <v>7.7947961708111205E-2</v>
      </c>
    </row>
    <row r="1164" spans="2:7" ht="15" hidden="1" outlineLevel="2">
      <c r="B1164" s="2889" t="s">
        <v>1652</v>
      </c>
      <c r="C1164" s="2889" t="s">
        <v>1473</v>
      </c>
      <c r="D1164" s="2889" t="s">
        <v>1054</v>
      </c>
      <c r="E1164" s="2889" t="s">
        <v>217</v>
      </c>
      <c r="F1164" s="2890">
        <v>6.5781001504463952E-5</v>
      </c>
      <c r="G1164" s="2890">
        <v>8.5593652830586939E-2</v>
      </c>
    </row>
    <row r="1165" spans="2:7" ht="15" hidden="1" outlineLevel="2">
      <c r="B1165" s="2889" t="s">
        <v>1653</v>
      </c>
      <c r="C1165" s="2889" t="s">
        <v>1473</v>
      </c>
      <c r="D1165" s="2889" t="s">
        <v>1054</v>
      </c>
      <c r="E1165" s="2889" t="s">
        <v>217</v>
      </c>
      <c r="F1165" s="2890">
        <v>2.8188941846536646E-35</v>
      </c>
      <c r="G1165" s="2890">
        <v>3.6468459944899661E-32</v>
      </c>
    </row>
    <row r="1166" spans="2:7" ht="15" hidden="1" outlineLevel="2">
      <c r="B1166" s="2889" t="s">
        <v>1407</v>
      </c>
      <c r="C1166" s="2889" t="s">
        <v>1474</v>
      </c>
      <c r="D1166" s="2889" t="s">
        <v>1054</v>
      </c>
      <c r="E1166" s="2889" t="s">
        <v>217</v>
      </c>
      <c r="F1166" s="3039">
        <v>5.7191920101656076E-3</v>
      </c>
      <c r="G1166" s="2890">
        <v>6.78413957881763</v>
      </c>
    </row>
    <row r="1167" spans="2:7" ht="15" hidden="1" outlineLevel="2">
      <c r="B1167" s="2889" t="s">
        <v>1631</v>
      </c>
      <c r="C1167" s="2889" t="s">
        <v>1474</v>
      </c>
      <c r="D1167" s="2889" t="s">
        <v>1054</v>
      </c>
      <c r="E1167" s="2889" t="s">
        <v>217</v>
      </c>
      <c r="F1167" s="3039">
        <v>9.5904017693048196E-2</v>
      </c>
      <c r="G1167" s="2890">
        <v>112.58171934712634</v>
      </c>
    </row>
    <row r="1168" spans="2:7" ht="15" hidden="1" outlineLevel="2">
      <c r="B1168" s="2889" t="s">
        <v>1632</v>
      </c>
      <c r="C1168" s="2889" t="s">
        <v>1474</v>
      </c>
      <c r="D1168" s="2889" t="s">
        <v>1054</v>
      </c>
      <c r="E1168" s="2889" t="s">
        <v>217</v>
      </c>
      <c r="F1168" s="3039">
        <v>0.21895933529834</v>
      </c>
      <c r="G1168" s="2890">
        <v>260.77473919157478</v>
      </c>
    </row>
    <row r="1169" spans="2:7" ht="15" hidden="1" outlineLevel="2">
      <c r="B1169" s="2889" t="s">
        <v>1633</v>
      </c>
      <c r="C1169" s="2889" t="s">
        <v>1474</v>
      </c>
      <c r="D1169" s="2889" t="s">
        <v>1054</v>
      </c>
      <c r="E1169" s="2889" t="s">
        <v>217</v>
      </c>
      <c r="F1169" s="3039">
        <v>1.7690127908418042E-2</v>
      </c>
      <c r="G1169" s="2890">
        <v>21.162422698473296</v>
      </c>
    </row>
    <row r="1170" spans="2:7" ht="15" hidden="1" outlineLevel="2">
      <c r="B1170" s="2889" t="s">
        <v>1634</v>
      </c>
      <c r="C1170" s="2889" t="s">
        <v>1474</v>
      </c>
      <c r="D1170" s="2889" t="s">
        <v>1054</v>
      </c>
      <c r="E1170" s="2889" t="s">
        <v>217</v>
      </c>
      <c r="F1170" s="3039">
        <v>3.274511557678847E-3</v>
      </c>
      <c r="G1170" s="2890">
        <v>3.9223927002788339</v>
      </c>
    </row>
    <row r="1171" spans="2:7" ht="15" hidden="1" outlineLevel="2">
      <c r="B1171" s="2889" t="s">
        <v>1635</v>
      </c>
      <c r="C1171" s="2889" t="s">
        <v>1474</v>
      </c>
      <c r="D1171" s="2889" t="s">
        <v>1054</v>
      </c>
      <c r="E1171" s="2889" t="s">
        <v>217</v>
      </c>
      <c r="F1171" s="3039">
        <v>2.7779093259250383E-2</v>
      </c>
      <c r="G1171" s="2890">
        <v>33.084153852502311</v>
      </c>
    </row>
    <row r="1172" spans="2:7" ht="15" hidden="1" outlineLevel="2">
      <c r="B1172" s="2889" t="s">
        <v>1636</v>
      </c>
      <c r="C1172" s="2889" t="s">
        <v>1474</v>
      </c>
      <c r="D1172" s="2889" t="s">
        <v>1054</v>
      </c>
      <c r="E1172" s="2889" t="s">
        <v>217</v>
      </c>
      <c r="F1172" s="3039">
        <v>2.4383560646629374E-2</v>
      </c>
      <c r="G1172" s="2890">
        <v>29.042812974388013</v>
      </c>
    </row>
    <row r="1173" spans="2:7" ht="15" hidden="1" outlineLevel="2">
      <c r="B1173" s="2889" t="s">
        <v>1637</v>
      </c>
      <c r="C1173" s="2889" t="s">
        <v>1474</v>
      </c>
      <c r="D1173" s="2889" t="s">
        <v>1054</v>
      </c>
      <c r="E1173" s="2889" t="s">
        <v>217</v>
      </c>
      <c r="F1173" s="3039">
        <v>4.0319238293233778E-2</v>
      </c>
      <c r="G1173" s="2890">
        <v>48.233243192237964</v>
      </c>
    </row>
    <row r="1174" spans="2:7" ht="15" hidden="1" outlineLevel="2">
      <c r="B1174" s="2889" t="s">
        <v>1638</v>
      </c>
      <c r="C1174" s="2889" t="s">
        <v>1474</v>
      </c>
      <c r="D1174" s="2889" t="s">
        <v>1054</v>
      </c>
      <c r="E1174" s="2889" t="s">
        <v>217</v>
      </c>
      <c r="F1174" s="3039">
        <v>5.2559479231985458E-3</v>
      </c>
      <c r="G1174" s="2890">
        <v>6.2958651449687562</v>
      </c>
    </row>
    <row r="1175" spans="2:7" ht="15" hidden="1" outlineLevel="2">
      <c r="B1175" s="2889" t="s">
        <v>1639</v>
      </c>
      <c r="C1175" s="2889" t="s">
        <v>1474</v>
      </c>
      <c r="D1175" s="2889" t="s">
        <v>1054</v>
      </c>
      <c r="E1175" s="2889" t="s">
        <v>217</v>
      </c>
      <c r="F1175" s="3039">
        <v>4.8386811525431665E-2</v>
      </c>
      <c r="G1175" s="2890">
        <v>57.884366198126052</v>
      </c>
    </row>
    <row r="1176" spans="2:7" ht="15" hidden="1" outlineLevel="2">
      <c r="B1176" s="2889" t="s">
        <v>1640</v>
      </c>
      <c r="C1176" s="2889" t="s">
        <v>1474</v>
      </c>
      <c r="D1176" s="2889" t="s">
        <v>1054</v>
      </c>
      <c r="E1176" s="2889" t="s">
        <v>217</v>
      </c>
      <c r="F1176" s="3039">
        <v>1.1472813796787384E-2</v>
      </c>
      <c r="G1176" s="2890">
        <v>13.609107124397132</v>
      </c>
    </row>
    <row r="1177" spans="2:7" ht="15" hidden="1" outlineLevel="2">
      <c r="B1177" s="2889" t="s">
        <v>1641</v>
      </c>
      <c r="C1177" s="2889" t="s">
        <v>1474</v>
      </c>
      <c r="D1177" s="2889" t="s">
        <v>1054</v>
      </c>
      <c r="E1177" s="2889" t="s">
        <v>217</v>
      </c>
      <c r="F1177" s="3039">
        <v>5.853274717683845E-2</v>
      </c>
      <c r="G1177" s="2890">
        <v>69.710886573539142</v>
      </c>
    </row>
    <row r="1178" spans="2:7" ht="15" hidden="1" outlineLevel="2">
      <c r="B1178" s="2889" t="s">
        <v>1642</v>
      </c>
      <c r="C1178" s="2889" t="s">
        <v>1474</v>
      </c>
      <c r="D1178" s="2889" t="s">
        <v>1054</v>
      </c>
      <c r="E1178" s="2889" t="s">
        <v>217</v>
      </c>
      <c r="F1178" s="3039">
        <v>4.1317554326148309E-2</v>
      </c>
      <c r="G1178" s="2890">
        <v>49.179632655655737</v>
      </c>
    </row>
    <row r="1179" spans="2:7" ht="15" hidden="1" outlineLevel="2">
      <c r="B1179" s="2889" t="s">
        <v>1643</v>
      </c>
      <c r="C1179" s="2889" t="s">
        <v>1474</v>
      </c>
      <c r="D1179" s="2889" t="s">
        <v>1054</v>
      </c>
      <c r="E1179" s="2889" t="s">
        <v>217</v>
      </c>
      <c r="F1179" s="3039">
        <v>6.2229869871918168E-3</v>
      </c>
      <c r="G1179" s="2890">
        <v>7.3979655644450633</v>
      </c>
    </row>
    <row r="1180" spans="2:7" ht="15" hidden="1" outlineLevel="2">
      <c r="B1180" s="2889" t="s">
        <v>1644</v>
      </c>
      <c r="C1180" s="2889" t="s">
        <v>1474</v>
      </c>
      <c r="D1180" s="2889" t="s">
        <v>1054</v>
      </c>
      <c r="E1180" s="2889" t="s">
        <v>217</v>
      </c>
      <c r="F1180" s="3039">
        <v>0.13615378925898308</v>
      </c>
      <c r="G1180" s="2890">
        <v>162.87858416728668</v>
      </c>
    </row>
    <row r="1181" spans="2:7" ht="15" hidden="1" outlineLevel="2">
      <c r="B1181" s="2889" t="s">
        <v>1645</v>
      </c>
      <c r="C1181" s="2889" t="s">
        <v>1474</v>
      </c>
      <c r="D1181" s="2889" t="s">
        <v>1054</v>
      </c>
      <c r="E1181" s="2889" t="s">
        <v>217</v>
      </c>
      <c r="F1181" s="3039">
        <v>0.15549186586636338</v>
      </c>
      <c r="G1181" s="2890">
        <v>186.01249488639067</v>
      </c>
    </row>
    <row r="1182" spans="2:7" ht="15" hidden="1" outlineLevel="2">
      <c r="B1182" s="2889" t="s">
        <v>1646</v>
      </c>
      <c r="C1182" s="2889" t="s">
        <v>1474</v>
      </c>
      <c r="D1182" s="2889" t="s">
        <v>1054</v>
      </c>
      <c r="E1182" s="2889" t="s">
        <v>217</v>
      </c>
      <c r="F1182" s="3039">
        <v>9.1333270592567056E-3</v>
      </c>
      <c r="G1182" s="2890">
        <v>10.87754550107802</v>
      </c>
    </row>
    <row r="1183" spans="2:7" ht="15" hidden="1" outlineLevel="2">
      <c r="B1183" s="2889" t="s">
        <v>1647</v>
      </c>
      <c r="C1183" s="2889" t="s">
        <v>1474</v>
      </c>
      <c r="D1183" s="2889" t="s">
        <v>1054</v>
      </c>
      <c r="E1183" s="2889" t="s">
        <v>217</v>
      </c>
      <c r="F1183" s="3039">
        <v>2.2667596908859496E-2</v>
      </c>
      <c r="G1183" s="2890">
        <v>27.152517357746092</v>
      </c>
    </row>
    <row r="1184" spans="2:7" ht="15" hidden="1" outlineLevel="2">
      <c r="B1184" s="2889" t="s">
        <v>1648</v>
      </c>
      <c r="C1184" s="2889" t="s">
        <v>1474</v>
      </c>
      <c r="D1184" s="2889" t="s">
        <v>1054</v>
      </c>
      <c r="E1184" s="2889" t="s">
        <v>217</v>
      </c>
      <c r="F1184" s="3039">
        <v>2.5413033776703351E-3</v>
      </c>
      <c r="G1184" s="2890">
        <v>3.0441148174551604</v>
      </c>
    </row>
    <row r="1185" spans="2:7" ht="15" hidden="1" outlineLevel="2">
      <c r="B1185" s="2889" t="s">
        <v>1649</v>
      </c>
      <c r="C1185" s="2889" t="s">
        <v>1474</v>
      </c>
      <c r="D1185" s="2889" t="s">
        <v>1054</v>
      </c>
      <c r="E1185" s="2889" t="s">
        <v>217</v>
      </c>
      <c r="F1185" s="3039">
        <v>1.2054168421194248E-2</v>
      </c>
      <c r="G1185" s="2890">
        <v>14.439152899239401</v>
      </c>
    </row>
    <row r="1186" spans="2:7" ht="15" hidden="1" outlineLevel="2">
      <c r="B1186" s="2889" t="s">
        <v>1650</v>
      </c>
      <c r="C1186" s="2889" t="s">
        <v>1474</v>
      </c>
      <c r="D1186" s="2889" t="s">
        <v>1054</v>
      </c>
      <c r="E1186" s="2889" t="s">
        <v>217</v>
      </c>
      <c r="F1186" s="3039">
        <v>3.0413632905572131E-2</v>
      </c>
      <c r="G1186" s="2890">
        <v>36.076839006152738</v>
      </c>
    </row>
    <row r="1187" spans="2:7" ht="15" hidden="1" outlineLevel="2">
      <c r="B1187" s="2889" t="s">
        <v>1651</v>
      </c>
      <c r="C1187" s="2889" t="s">
        <v>1474</v>
      </c>
      <c r="D1187" s="2889" t="s">
        <v>1054</v>
      </c>
      <c r="E1187" s="2889" t="s">
        <v>217</v>
      </c>
      <c r="F1187" s="3039">
        <v>1.6478353630890591E-2</v>
      </c>
      <c r="G1187" s="2890">
        <v>19.738687356135554</v>
      </c>
    </row>
    <row r="1188" spans="2:7" ht="15" hidden="1" outlineLevel="2">
      <c r="B1188" s="2889" t="s">
        <v>1652</v>
      </c>
      <c r="C1188" s="2889" t="s">
        <v>1474</v>
      </c>
      <c r="D1188" s="2889" t="s">
        <v>1054</v>
      </c>
      <c r="E1188" s="2889" t="s">
        <v>217</v>
      </c>
      <c r="F1188" s="3039">
        <v>1.809467839342312E-2</v>
      </c>
      <c r="G1188" s="2890">
        <v>21.674817043067122</v>
      </c>
    </row>
    <row r="1189" spans="2:7" ht="15" hidden="1" outlineLevel="2">
      <c r="B1189" s="2889" t="s">
        <v>1653</v>
      </c>
      <c r="C1189" s="2889" t="s">
        <v>1474</v>
      </c>
      <c r="D1189" s="2889" t="s">
        <v>1054</v>
      </c>
      <c r="E1189" s="2889" t="s">
        <v>217</v>
      </c>
      <c r="F1189" s="3039">
        <v>5.2807307293900074E-33</v>
      </c>
      <c r="G1189" s="2890">
        <v>6.0145549583322237E-30</v>
      </c>
    </row>
    <row r="1190" spans="2:7" ht="15" hidden="1" outlineLevel="2">
      <c r="B1190" s="2889" t="s">
        <v>1407</v>
      </c>
      <c r="C1190" s="2889" t="s">
        <v>1475</v>
      </c>
      <c r="D1190" s="2889" t="s">
        <v>1054</v>
      </c>
      <c r="E1190" s="2889" t="s">
        <v>217</v>
      </c>
      <c r="F1190" s="3039">
        <v>4.0965872834051635E-3</v>
      </c>
      <c r="G1190" s="2890">
        <v>6.4105942367793354</v>
      </c>
    </row>
    <row r="1191" spans="2:7" ht="15" hidden="1" outlineLevel="2">
      <c r="B1191" s="2889" t="s">
        <v>1631</v>
      </c>
      <c r="C1191" s="2889" t="s">
        <v>1475</v>
      </c>
      <c r="D1191" s="2889" t="s">
        <v>1054</v>
      </c>
      <c r="E1191" s="2889" t="s">
        <v>217</v>
      </c>
      <c r="F1191" s="2890">
        <v>6.8692428760668181E-2</v>
      </c>
      <c r="G1191" s="2890">
        <v>106.38274255202634</v>
      </c>
    </row>
    <row r="1192" spans="2:7" ht="15" hidden="1" outlineLevel="2">
      <c r="B1192" s="2889" t="s">
        <v>1632</v>
      </c>
      <c r="C1192" s="2889" t="s">
        <v>1475</v>
      </c>
      <c r="D1192" s="2889" t="s">
        <v>1054</v>
      </c>
      <c r="E1192" s="2889" t="s">
        <v>217</v>
      </c>
      <c r="F1192" s="2890">
        <v>0.1568400856898968</v>
      </c>
      <c r="G1192" s="2890">
        <v>246.41602500952814</v>
      </c>
    </row>
    <row r="1193" spans="2:7" ht="15" hidden="1" outlineLevel="2">
      <c r="B1193" s="2889" t="s">
        <v>1633</v>
      </c>
      <c r="C1193" s="2889" t="s">
        <v>1475</v>
      </c>
      <c r="D1193" s="2889" t="s">
        <v>1054</v>
      </c>
      <c r="E1193" s="2889" t="s">
        <v>217</v>
      </c>
      <c r="F1193" s="2890">
        <v>1.2671597375598165E-2</v>
      </c>
      <c r="G1193" s="2890">
        <v>19.997186779984336</v>
      </c>
    </row>
    <row r="1194" spans="2:7" ht="15" hidden="1" outlineLevel="2">
      <c r="B1194" s="2889" t="s">
        <v>1634</v>
      </c>
      <c r="C1194" s="2889" t="s">
        <v>1475</v>
      </c>
      <c r="D1194" s="2889" t="s">
        <v>1054</v>
      </c>
      <c r="E1194" s="2889" t="s">
        <v>217</v>
      </c>
      <c r="F1194" s="2890">
        <v>2.3455723603111249E-3</v>
      </c>
      <c r="G1194" s="2890">
        <v>3.7064206793268251</v>
      </c>
    </row>
    <row r="1195" spans="2:7" ht="15" hidden="1" outlineLevel="2">
      <c r="B1195" s="2889" t="s">
        <v>1635</v>
      </c>
      <c r="C1195" s="2889" t="s">
        <v>1475</v>
      </c>
      <c r="D1195" s="2889" t="s">
        <v>1054</v>
      </c>
      <c r="E1195" s="2889" t="s">
        <v>217</v>
      </c>
      <c r="F1195" s="2890">
        <v>1.9898101230484726E-2</v>
      </c>
      <c r="G1195" s="2890">
        <v>31.262487885200009</v>
      </c>
    </row>
    <row r="1196" spans="2:7" ht="15" hidden="1" outlineLevel="2">
      <c r="B1196" s="2889" t="s">
        <v>1636</v>
      </c>
      <c r="C1196" s="2889" t="s">
        <v>1475</v>
      </c>
      <c r="D1196" s="2889" t="s">
        <v>1054</v>
      </c>
      <c r="E1196" s="2889" t="s">
        <v>217</v>
      </c>
      <c r="F1196" s="2890">
        <v>1.7465896143108013E-2</v>
      </c>
      <c r="G1196" s="2890">
        <v>27.443679524689365</v>
      </c>
    </row>
    <row r="1197" spans="2:7" ht="15" hidden="1" outlineLevel="2">
      <c r="B1197" s="2889" t="s">
        <v>1637</v>
      </c>
      <c r="C1197" s="2889" t="s">
        <v>1475</v>
      </c>
      <c r="D1197" s="2889" t="s">
        <v>1054</v>
      </c>
      <c r="E1197" s="2889" t="s">
        <v>217</v>
      </c>
      <c r="F1197" s="2890">
        <v>2.8881013566062715E-2</v>
      </c>
      <c r="G1197" s="2890">
        <v>45.577467531895572</v>
      </c>
    </row>
    <row r="1198" spans="2:7" ht="15" hidden="1" outlineLevel="2">
      <c r="B1198" s="2889" t="s">
        <v>1638</v>
      </c>
      <c r="C1198" s="2889" t="s">
        <v>1475</v>
      </c>
      <c r="D1198" s="2889" t="s">
        <v>1054</v>
      </c>
      <c r="E1198" s="2889" t="s">
        <v>217</v>
      </c>
      <c r="F1198" s="2890">
        <v>3.7648992049191532E-3</v>
      </c>
      <c r="G1198" s="2890">
        <v>5.9492075329649357</v>
      </c>
    </row>
    <row r="1199" spans="2:7" ht="15" hidden="1" outlineLevel="2">
      <c r="B1199" s="2889" t="s">
        <v>1639</v>
      </c>
      <c r="C1199" s="2889" t="s">
        <v>1475</v>
      </c>
      <c r="D1199" s="2889" t="s">
        <v>1054</v>
      </c>
      <c r="E1199" s="2889" t="s">
        <v>217</v>
      </c>
      <c r="F1199" s="2890">
        <v>3.465989307498922E-2</v>
      </c>
      <c r="G1199" s="2890">
        <v>54.697172684154495</v>
      </c>
    </row>
    <row r="1200" spans="2:7" ht="15" hidden="1" outlineLevel="2">
      <c r="B1200" s="2889" t="s">
        <v>1640</v>
      </c>
      <c r="C1200" s="2889" t="s">
        <v>1475</v>
      </c>
      <c r="D1200" s="2889" t="s">
        <v>1054</v>
      </c>
      <c r="E1200" s="2889" t="s">
        <v>217</v>
      </c>
      <c r="F1200" s="2890">
        <v>8.2178360258584066E-3</v>
      </c>
      <c r="G1200" s="2890">
        <v>12.859775460473136</v>
      </c>
    </row>
    <row r="1201" spans="2:7" ht="15" hidden="1" outlineLevel="2">
      <c r="B1201" s="2889" t="s">
        <v>1641</v>
      </c>
      <c r="C1201" s="2889" t="s">
        <v>1475</v>
      </c>
      <c r="D1201" s="2889" t="s">
        <v>1054</v>
      </c>
      <c r="E1201" s="2889" t="s">
        <v>217</v>
      </c>
      <c r="F1201" s="2890">
        <v>4.1926859331536594E-2</v>
      </c>
      <c r="G1201" s="2890">
        <v>65.872507198967327</v>
      </c>
    </row>
    <row r="1202" spans="2:7" ht="15" hidden="1" outlineLevel="2">
      <c r="B1202" s="2889" t="s">
        <v>1642</v>
      </c>
      <c r="C1202" s="2889" t="s">
        <v>1475</v>
      </c>
      <c r="D1202" s="2889" t="s">
        <v>1054</v>
      </c>
      <c r="E1202" s="2889" t="s">
        <v>217</v>
      </c>
      <c r="F1202" s="2890">
        <v>2.9595609959814029E-2</v>
      </c>
      <c r="G1202" s="2890">
        <v>46.471736343095998</v>
      </c>
    </row>
    <row r="1203" spans="2:7" ht="15" hidden="1" outlineLevel="2">
      <c r="B1203" s="2889" t="s">
        <v>1643</v>
      </c>
      <c r="C1203" s="2889" t="s">
        <v>1475</v>
      </c>
      <c r="D1203" s="2889" t="s">
        <v>1054</v>
      </c>
      <c r="E1203" s="2889" t="s">
        <v>217</v>
      </c>
      <c r="F1203" s="2890">
        <v>4.4574815545550791E-3</v>
      </c>
      <c r="G1203" s="2890">
        <v>6.9906235463266251</v>
      </c>
    </row>
    <row r="1204" spans="2:7" ht="15" hidden="1" outlineLevel="2">
      <c r="B1204" s="2889" t="s">
        <v>1644</v>
      </c>
      <c r="C1204" s="2889" t="s">
        <v>1475</v>
      </c>
      <c r="D1204" s="2889" t="s">
        <v>1054</v>
      </c>
      <c r="E1204" s="2889" t="s">
        <v>217</v>
      </c>
      <c r="F1204" s="2890">
        <v>9.7528093092460341E-2</v>
      </c>
      <c r="G1204" s="2890">
        <v>153.91022985669468</v>
      </c>
    </row>
    <row r="1205" spans="2:7" ht="15" hidden="1" outlineLevel="2">
      <c r="B1205" s="2889" t="s">
        <v>1645</v>
      </c>
      <c r="C1205" s="2889" t="s">
        <v>1475</v>
      </c>
      <c r="D1205" s="2889" t="s">
        <v>1054</v>
      </c>
      <c r="E1205" s="2889" t="s">
        <v>217</v>
      </c>
      <c r="F1205" s="2890">
        <v>0.11138023400817618</v>
      </c>
      <c r="G1205" s="2890">
        <v>175.77033987204032</v>
      </c>
    </row>
    <row r="1206" spans="2:7" ht="15" hidden="1" outlineLevel="2">
      <c r="B1206" s="2889" t="s">
        <v>1646</v>
      </c>
      <c r="C1206" s="2889" t="s">
        <v>1475</v>
      </c>
      <c r="D1206" s="2889" t="s">
        <v>1054</v>
      </c>
      <c r="E1206" s="2889" t="s">
        <v>217</v>
      </c>
      <c r="F1206" s="2890">
        <v>6.5421808827049038E-3</v>
      </c>
      <c r="G1206" s="2890">
        <v>10.278611511291659</v>
      </c>
    </row>
    <row r="1207" spans="2:7" ht="15" hidden="1" outlineLevel="2">
      <c r="B1207" s="2889" t="s">
        <v>1647</v>
      </c>
      <c r="C1207" s="2889" t="s">
        <v>1475</v>
      </c>
      <c r="D1207" s="2889" t="s">
        <v>1054</v>
      </c>
      <c r="E1207" s="2889" t="s">
        <v>217</v>
      </c>
      <c r="F1207" s="2890">
        <v>1.6237066587020368E-2</v>
      </c>
      <c r="G1207" s="2890">
        <v>25.657445645214295</v>
      </c>
    </row>
    <row r="1208" spans="2:7" ht="15" hidden="1" outlineLevel="2">
      <c r="B1208" s="2889" t="s">
        <v>1648</v>
      </c>
      <c r="C1208" s="2889" t="s">
        <v>1475</v>
      </c>
      <c r="D1208" s="2889" t="s">
        <v>1054</v>
      </c>
      <c r="E1208" s="2889" t="s">
        <v>217</v>
      </c>
      <c r="F1208" s="2890">
        <v>1.8203658485368972E-3</v>
      </c>
      <c r="G1208" s="2890">
        <v>2.876500397521859</v>
      </c>
    </row>
    <row r="1209" spans="2:7" ht="15" hidden="1" outlineLevel="2">
      <c r="B1209" s="2889" t="s">
        <v>1649</v>
      </c>
      <c r="C1209" s="2889" t="s">
        <v>1475</v>
      </c>
      <c r="D1209" s="2889" t="s">
        <v>1054</v>
      </c>
      <c r="E1209" s="2889" t="s">
        <v>217</v>
      </c>
      <c r="F1209" s="2890">
        <v>8.6345473829895283E-3</v>
      </c>
      <c r="G1209" s="2890">
        <v>13.644118682759089</v>
      </c>
    </row>
    <row r="1210" spans="2:7" ht="15" hidden="1" outlineLevel="2">
      <c r="B1210" s="2889" t="s">
        <v>1650</v>
      </c>
      <c r="C1210" s="2889" t="s">
        <v>1475</v>
      </c>
      <c r="D1210" s="2889" t="s">
        <v>1054</v>
      </c>
      <c r="E1210" s="2889" t="s">
        <v>217</v>
      </c>
      <c r="F1210" s="2890">
        <v>2.1784913909264129E-2</v>
      </c>
      <c r="G1210" s="2890">
        <v>34.09039598093382</v>
      </c>
    </row>
    <row r="1211" spans="2:7" ht="15" hidden="1" outlineLevel="2">
      <c r="B1211" s="2889" t="s">
        <v>1651</v>
      </c>
      <c r="C1211" s="2889" t="s">
        <v>1475</v>
      </c>
      <c r="D1211" s="2889" t="s">
        <v>1054</v>
      </c>
      <c r="E1211" s="2889" t="s">
        <v>217</v>
      </c>
      <c r="F1211" s="3039">
        <v>1.1803644215976633E-2</v>
      </c>
      <c r="G1211" s="2890">
        <v>18.651851721638163</v>
      </c>
    </row>
    <row r="1212" spans="2:7" ht="15" hidden="1" outlineLevel="2">
      <c r="B1212" s="2889" t="s">
        <v>1652</v>
      </c>
      <c r="C1212" s="2889" t="s">
        <v>1475</v>
      </c>
      <c r="D1212" s="2889" t="s">
        <v>1054</v>
      </c>
      <c r="E1212" s="2889" t="s">
        <v>217</v>
      </c>
      <c r="F1212" s="3039">
        <v>1.2961433514894267E-2</v>
      </c>
      <c r="G1212" s="2890">
        <v>20.481367408088168</v>
      </c>
    </row>
    <row r="1213" spans="2:7" ht="15" hidden="1" outlineLevel="2">
      <c r="B1213" s="2889" t="s">
        <v>1653</v>
      </c>
      <c r="C1213" s="2889" t="s">
        <v>1475</v>
      </c>
      <c r="D1213" s="2889" t="s">
        <v>1054</v>
      </c>
      <c r="E1213" s="2889" t="s">
        <v>217</v>
      </c>
      <c r="F1213" s="3039">
        <v>8.5123808420439548E-34</v>
      </c>
      <c r="G1213" s="2890">
        <v>1.1081640453670495E-30</v>
      </c>
    </row>
    <row r="1214" spans="2:7" ht="15" hidden="1" outlineLevel="2">
      <c r="B1214" s="2889" t="s">
        <v>1407</v>
      </c>
      <c r="C1214" s="2889" t="s">
        <v>1476</v>
      </c>
      <c r="D1214" s="2889" t="s">
        <v>1054</v>
      </c>
      <c r="E1214" s="2889" t="s">
        <v>217</v>
      </c>
      <c r="F1214" s="3039">
        <v>1.0086601966614546E-2</v>
      </c>
      <c r="G1214" s="2890">
        <v>12.75925244931836</v>
      </c>
    </row>
    <row r="1215" spans="2:7" ht="15" hidden="1" outlineLevel="2">
      <c r="B1215" s="2889" t="s">
        <v>1631</v>
      </c>
      <c r="C1215" s="2889" t="s">
        <v>1476</v>
      </c>
      <c r="D1215" s="2889" t="s">
        <v>1054</v>
      </c>
      <c r="E1215" s="2889" t="s">
        <v>217</v>
      </c>
      <c r="F1215" s="3039">
        <v>0.16913559068365674</v>
      </c>
      <c r="G1215" s="2890">
        <v>211.73776566086232</v>
      </c>
    </row>
    <row r="1216" spans="2:7" ht="15" hidden="1" outlineLevel="2">
      <c r="B1216" s="2889" t="s">
        <v>1632</v>
      </c>
      <c r="C1216" s="2889" t="s">
        <v>1476</v>
      </c>
      <c r="D1216" s="2889" t="s">
        <v>1054</v>
      </c>
      <c r="E1216" s="2889" t="s">
        <v>217</v>
      </c>
      <c r="F1216" s="3039">
        <v>0.38616977750008896</v>
      </c>
      <c r="G1216" s="2890">
        <v>490.45113642773418</v>
      </c>
    </row>
    <row r="1217" spans="2:7" ht="15" hidden="1" outlineLevel="2">
      <c r="B1217" s="2889" t="s">
        <v>1633</v>
      </c>
      <c r="C1217" s="2889" t="s">
        <v>1476</v>
      </c>
      <c r="D1217" s="2889" t="s">
        <v>1054</v>
      </c>
      <c r="E1217" s="2889" t="s">
        <v>217</v>
      </c>
      <c r="F1217" s="3039">
        <v>3.1199739041247045E-2</v>
      </c>
      <c r="G1217" s="2890">
        <v>39.801163941755007</v>
      </c>
    </row>
    <row r="1218" spans="2:7" ht="15" hidden="1" outlineLevel="2">
      <c r="B1218" s="2889" t="s">
        <v>1634</v>
      </c>
      <c r="C1218" s="2889" t="s">
        <v>1476</v>
      </c>
      <c r="D1218" s="2889" t="s">
        <v>1054</v>
      </c>
      <c r="E1218" s="2889" t="s">
        <v>217</v>
      </c>
      <c r="F1218" s="2890">
        <v>5.7752161000933708E-3</v>
      </c>
      <c r="G1218" s="2890">
        <v>7.377032384965589</v>
      </c>
    </row>
    <row r="1219" spans="2:7" ht="15" hidden="1" outlineLevel="2">
      <c r="B1219" s="2889" t="s">
        <v>1635</v>
      </c>
      <c r="C1219" s="2889" t="s">
        <v>1476</v>
      </c>
      <c r="D1219" s="2889" t="s">
        <v>1054</v>
      </c>
      <c r="E1219" s="2889" t="s">
        <v>217</v>
      </c>
      <c r="F1219" s="2890">
        <v>4.899287197987344E-2</v>
      </c>
      <c r="G1219" s="2890">
        <v>62.222941508706285</v>
      </c>
    </row>
    <row r="1220" spans="2:7" ht="15" hidden="1" outlineLevel="2">
      <c r="B1220" s="2889" t="s">
        <v>1636</v>
      </c>
      <c r="C1220" s="2889" t="s">
        <v>1476</v>
      </c>
      <c r="D1220" s="2889" t="s">
        <v>1054</v>
      </c>
      <c r="E1220" s="2889" t="s">
        <v>217</v>
      </c>
      <c r="F1220" s="2890">
        <v>4.3004331263589282E-2</v>
      </c>
      <c r="G1220" s="2890">
        <v>54.622198748411236</v>
      </c>
    </row>
    <row r="1221" spans="2:7" ht="15" hidden="1" outlineLevel="2">
      <c r="B1221" s="2889" t="s">
        <v>1637</v>
      </c>
      <c r="C1221" s="2889" t="s">
        <v>1476</v>
      </c>
      <c r="D1221" s="2889" t="s">
        <v>1054</v>
      </c>
      <c r="E1221" s="2889" t="s">
        <v>217</v>
      </c>
      <c r="F1221" s="2890">
        <v>7.1110251294058915E-2</v>
      </c>
      <c r="G1221" s="2890">
        <v>90.714568777791399</v>
      </c>
    </row>
    <row r="1222" spans="2:7" ht="15" hidden="1" outlineLevel="2">
      <c r="B1222" s="2889" t="s">
        <v>1638</v>
      </c>
      <c r="C1222" s="2889" t="s">
        <v>1476</v>
      </c>
      <c r="D1222" s="2889" t="s">
        <v>1054</v>
      </c>
      <c r="E1222" s="2889" t="s">
        <v>217</v>
      </c>
      <c r="F1222" s="2890">
        <v>9.2698445902685191E-3</v>
      </c>
      <c r="G1222" s="2890">
        <v>11.840934173497095</v>
      </c>
    </row>
    <row r="1223" spans="2:7" ht="15" hidden="1" outlineLevel="2">
      <c r="B1223" s="2889" t="s">
        <v>1639</v>
      </c>
      <c r="C1223" s="2889" t="s">
        <v>1476</v>
      </c>
      <c r="D1223" s="2889" t="s">
        <v>1054</v>
      </c>
      <c r="E1223" s="2889" t="s">
        <v>217</v>
      </c>
      <c r="F1223" s="2890">
        <v>8.5338891266215147E-2</v>
      </c>
      <c r="G1223" s="2890">
        <v>108.86586558904753</v>
      </c>
    </row>
    <row r="1224" spans="2:7" ht="15" hidden="1" outlineLevel="2">
      <c r="B1224" s="2889" t="s">
        <v>1640</v>
      </c>
      <c r="C1224" s="2889" t="s">
        <v>1476</v>
      </c>
      <c r="D1224" s="2889" t="s">
        <v>1054</v>
      </c>
      <c r="E1224" s="2889" t="s">
        <v>217</v>
      </c>
      <c r="F1224" s="2890">
        <v>2.0233915421044916E-2</v>
      </c>
      <c r="G1224" s="2890">
        <v>25.59530263978786</v>
      </c>
    </row>
    <row r="1225" spans="2:7" ht="15" hidden="1" outlineLevel="2">
      <c r="B1225" s="2889" t="s">
        <v>1641</v>
      </c>
      <c r="C1225" s="2889" t="s">
        <v>1476</v>
      </c>
      <c r="D1225" s="2889" t="s">
        <v>1054</v>
      </c>
      <c r="E1225" s="2889" t="s">
        <v>217</v>
      </c>
      <c r="F1225" s="2890">
        <v>0.10323182860594592</v>
      </c>
      <c r="G1225" s="2890">
        <v>131.10856538658672</v>
      </c>
    </row>
    <row r="1226" spans="2:7" ht="15" hidden="1" outlineLevel="2">
      <c r="B1226" s="2889" t="s">
        <v>1642</v>
      </c>
      <c r="C1226" s="2889" t="s">
        <v>1476</v>
      </c>
      <c r="D1226" s="2889" t="s">
        <v>1054</v>
      </c>
      <c r="E1226" s="2889" t="s">
        <v>217</v>
      </c>
      <c r="F1226" s="2890">
        <v>7.287000000126477E-2</v>
      </c>
      <c r="G1226" s="2890">
        <v>94.107736875199265</v>
      </c>
    </row>
    <row r="1227" spans="2:7" ht="15" hidden="1" outlineLevel="2">
      <c r="B1227" s="2889" t="s">
        <v>1643</v>
      </c>
      <c r="C1227" s="2889" t="s">
        <v>1476</v>
      </c>
      <c r="D1227" s="2889" t="s">
        <v>1054</v>
      </c>
      <c r="E1227" s="2889" t="s">
        <v>217</v>
      </c>
      <c r="F1227" s="2890">
        <v>1.0975177842623822E-2</v>
      </c>
      <c r="G1227" s="2890">
        <v>13.913702376200044</v>
      </c>
    </row>
    <row r="1228" spans="2:7" ht="15" hidden="1" outlineLevel="2">
      <c r="B1228" s="2889" t="s">
        <v>1644</v>
      </c>
      <c r="C1228" s="2889" t="s">
        <v>1476</v>
      </c>
      <c r="D1228" s="2889" t="s">
        <v>1054</v>
      </c>
      <c r="E1228" s="2889" t="s">
        <v>217</v>
      </c>
      <c r="F1228" s="2890">
        <v>0.2401317481744209</v>
      </c>
      <c r="G1228" s="2890">
        <v>306.33337501442378</v>
      </c>
    </row>
    <row r="1229" spans="2:7" ht="15" hidden="1" outlineLevel="2">
      <c r="B1229" s="2889" t="s">
        <v>1645</v>
      </c>
      <c r="C1229" s="2889" t="s">
        <v>1476</v>
      </c>
      <c r="D1229" s="2889" t="s">
        <v>1054</v>
      </c>
      <c r="E1229" s="2889" t="s">
        <v>217</v>
      </c>
      <c r="F1229" s="2890">
        <v>0.27423797208565281</v>
      </c>
      <c r="G1229" s="2890">
        <v>349.84230726718607</v>
      </c>
    </row>
    <row r="1230" spans="2:7" ht="15" hidden="1" outlineLevel="2">
      <c r="B1230" s="2889" t="s">
        <v>1646</v>
      </c>
      <c r="C1230" s="2889" t="s">
        <v>1476</v>
      </c>
      <c r="D1230" s="2889" t="s">
        <v>1054</v>
      </c>
      <c r="E1230" s="2889" t="s">
        <v>217</v>
      </c>
      <c r="F1230" s="2890">
        <v>1.6108082566619226E-2</v>
      </c>
      <c r="G1230" s="2890">
        <v>20.457905842967438</v>
      </c>
    </row>
    <row r="1231" spans="2:7" ht="15" hidden="1" outlineLevel="2">
      <c r="B1231" s="2889" t="s">
        <v>1647</v>
      </c>
      <c r="C1231" s="2889" t="s">
        <v>1476</v>
      </c>
      <c r="D1231" s="2889" t="s">
        <v>1054</v>
      </c>
      <c r="E1231" s="2889" t="s">
        <v>217</v>
      </c>
      <c r="F1231" s="2890">
        <v>3.9978540596252915E-2</v>
      </c>
      <c r="G1231" s="2890">
        <v>51.067021772166463</v>
      </c>
    </row>
    <row r="1232" spans="2:7" ht="15" hidden="1" outlineLevel="2">
      <c r="B1232" s="2889" t="s">
        <v>1648</v>
      </c>
      <c r="C1232" s="2889" t="s">
        <v>1476</v>
      </c>
      <c r="D1232" s="2889" t="s">
        <v>1054</v>
      </c>
      <c r="E1232" s="2889" t="s">
        <v>217</v>
      </c>
      <c r="F1232" s="2890">
        <v>4.4820633247252412E-3</v>
      </c>
      <c r="G1232" s="2890">
        <v>5.7252096919717372</v>
      </c>
    </row>
    <row r="1233" spans="2:7" ht="15" hidden="1" outlineLevel="2">
      <c r="B1233" s="2889" t="s">
        <v>1649</v>
      </c>
      <c r="C1233" s="2889" t="s">
        <v>1476</v>
      </c>
      <c r="D1233" s="2889" t="s">
        <v>1054</v>
      </c>
      <c r="E1233" s="2889" t="s">
        <v>217</v>
      </c>
      <c r="F1233" s="2890">
        <v>2.1259783682195083E-2</v>
      </c>
      <c r="G1233" s="2890">
        <v>27.156396181479636</v>
      </c>
    </row>
    <row r="1234" spans="2:7" ht="15" hidden="1" outlineLevel="2">
      <c r="B1234" s="2889" t="s">
        <v>1650</v>
      </c>
      <c r="C1234" s="2889" t="s">
        <v>1476</v>
      </c>
      <c r="D1234" s="2889" t="s">
        <v>1054</v>
      </c>
      <c r="E1234" s="2889" t="s">
        <v>217</v>
      </c>
      <c r="F1234" s="2890">
        <v>5.3638725828972458E-2</v>
      </c>
      <c r="G1234" s="2890">
        <v>67.851406511729806</v>
      </c>
    </row>
    <row r="1235" spans="2:7" ht="15" hidden="1" outlineLevel="2">
      <c r="B1235" s="2889" t="s">
        <v>1651</v>
      </c>
      <c r="C1235" s="2889" t="s">
        <v>1476</v>
      </c>
      <c r="D1235" s="2889" t="s">
        <v>1054</v>
      </c>
      <c r="E1235" s="2889" t="s">
        <v>217</v>
      </c>
      <c r="F1235" s="2890">
        <v>2.9062658882609761E-2</v>
      </c>
      <c r="G1235" s="2890">
        <v>37.123491147504978</v>
      </c>
    </row>
    <row r="1236" spans="2:7" ht="15" hidden="1" outlineLevel="2">
      <c r="B1236" s="2889" t="s">
        <v>1652</v>
      </c>
      <c r="C1236" s="2889" t="s">
        <v>1476</v>
      </c>
      <c r="D1236" s="2889" t="s">
        <v>1054</v>
      </c>
      <c r="E1236" s="2889" t="s">
        <v>217</v>
      </c>
      <c r="F1236" s="2890">
        <v>3.1913345855798587E-2</v>
      </c>
      <c r="G1236" s="2890">
        <v>40.764852541149878</v>
      </c>
    </row>
    <row r="1237" spans="2:7" ht="15" hidden="1" outlineLevel="2">
      <c r="B1237" s="2889" t="s">
        <v>1653</v>
      </c>
      <c r="C1237" s="2889" t="s">
        <v>1476</v>
      </c>
      <c r="D1237" s="2889" t="s">
        <v>1054</v>
      </c>
      <c r="E1237" s="2889" t="s">
        <v>217</v>
      </c>
      <c r="F1237" s="2890">
        <v>2.9100613553238081E-32</v>
      </c>
      <c r="G1237" s="2890">
        <v>3.8714333524127069E-29</v>
      </c>
    </row>
    <row r="1238" spans="2:7" ht="15" hidden="1" outlineLevel="2">
      <c r="B1238" s="2889" t="s">
        <v>1407</v>
      </c>
      <c r="C1238" s="2889" t="s">
        <v>1477</v>
      </c>
      <c r="D1238" s="2889" t="s">
        <v>1054</v>
      </c>
      <c r="E1238" s="2889" t="s">
        <v>217</v>
      </c>
      <c r="F1238" s="2890">
        <v>3.9453336324789083E-3</v>
      </c>
      <c r="G1238" s="2890">
        <v>5.3805788278073576</v>
      </c>
    </row>
    <row r="1239" spans="2:7" ht="15" hidden="1" outlineLevel="2">
      <c r="B1239" s="2889" t="s">
        <v>1631</v>
      </c>
      <c r="C1239" s="2889" t="s">
        <v>1477</v>
      </c>
      <c r="D1239" s="2889" t="s">
        <v>1054</v>
      </c>
      <c r="E1239" s="2889" t="s">
        <v>217</v>
      </c>
      <c r="F1239" s="2890">
        <v>6.6157611596048271E-2</v>
      </c>
      <c r="G1239" s="2890">
        <v>89.289826822928163</v>
      </c>
    </row>
    <row r="1240" spans="2:7" ht="15" hidden="1" outlineLevel="2">
      <c r="B1240" s="2889" t="s">
        <v>1632</v>
      </c>
      <c r="C1240" s="2889" t="s">
        <v>1477</v>
      </c>
      <c r="D1240" s="2889" t="s">
        <v>1054</v>
      </c>
      <c r="E1240" s="2889" t="s">
        <v>217</v>
      </c>
      <c r="F1240" s="2890">
        <v>0.15104800563103521</v>
      </c>
      <c r="G1240" s="2890">
        <v>206.82340535116322</v>
      </c>
    </row>
    <row r="1241" spans="2:7" ht="15" hidden="1" outlineLevel="2">
      <c r="B1241" s="2889" t="s">
        <v>1633</v>
      </c>
      <c r="C1241" s="2889" t="s">
        <v>1477</v>
      </c>
      <c r="D1241" s="2889" t="s">
        <v>1054</v>
      </c>
      <c r="E1241" s="2889" t="s">
        <v>217</v>
      </c>
      <c r="F1241" s="2890">
        <v>1.220351387995665E-2</v>
      </c>
      <c r="G1241" s="2890">
        <v>16.784155947371271</v>
      </c>
    </row>
    <row r="1242" spans="2:7" ht="15" hidden="1" outlineLevel="2">
      <c r="B1242" s="2889" t="s">
        <v>1634</v>
      </c>
      <c r="C1242" s="2889" t="s">
        <v>1477</v>
      </c>
      <c r="D1242" s="2889" t="s">
        <v>1054</v>
      </c>
      <c r="E1242" s="2889" t="s">
        <v>217</v>
      </c>
      <c r="F1242" s="2890">
        <v>2.2589232724588241E-3</v>
      </c>
      <c r="G1242" s="2890">
        <v>3.110895198063834</v>
      </c>
    </row>
    <row r="1243" spans="2:7" ht="15" hidden="1" outlineLevel="2">
      <c r="B1243" s="2889" t="s">
        <v>1635</v>
      </c>
      <c r="C1243" s="2889" t="s">
        <v>1477</v>
      </c>
      <c r="D1243" s="2889" t="s">
        <v>1054</v>
      </c>
      <c r="E1243" s="2889" t="s">
        <v>217</v>
      </c>
      <c r="F1243" s="2890">
        <v>1.9163271062270081E-2</v>
      </c>
      <c r="G1243" s="2890">
        <v>26.239412289042221</v>
      </c>
    </row>
    <row r="1244" spans="2:7" ht="15" hidden="1" outlineLevel="2">
      <c r="B1244" s="2889" t="s">
        <v>1636</v>
      </c>
      <c r="C1244" s="2889" t="s">
        <v>1477</v>
      </c>
      <c r="D1244" s="2889" t="s">
        <v>1054</v>
      </c>
      <c r="E1244" s="2889" t="s">
        <v>217</v>
      </c>
      <c r="F1244" s="2890">
        <v>1.6820883196031849E-2</v>
      </c>
      <c r="G1244" s="2890">
        <v>23.034190320711126</v>
      </c>
    </row>
    <row r="1245" spans="2:7" ht="15" hidden="1" outlineLevel="2">
      <c r="B1245" s="2889" t="s">
        <v>1637</v>
      </c>
      <c r="C1245" s="2889" t="s">
        <v>1477</v>
      </c>
      <c r="D1245" s="2889" t="s">
        <v>1054</v>
      </c>
      <c r="E1245" s="2889" t="s">
        <v>217</v>
      </c>
      <c r="F1245" s="2890">
        <v>2.7814187052841596E-2</v>
      </c>
      <c r="G1245" s="2890">
        <v>38.25434727696355</v>
      </c>
    </row>
    <row r="1246" spans="2:7" ht="15" hidden="1" outlineLevel="2">
      <c r="B1246" s="2889" t="s">
        <v>1638</v>
      </c>
      <c r="C1246" s="2889" t="s">
        <v>1477</v>
      </c>
      <c r="D1246" s="2889" t="s">
        <v>1054</v>
      </c>
      <c r="E1246" s="2889" t="s">
        <v>217</v>
      </c>
      <c r="F1246" s="2890">
        <v>3.6258153567567653E-3</v>
      </c>
      <c r="G1246" s="2890">
        <v>4.9933229396703203</v>
      </c>
    </row>
    <row r="1247" spans="2:7" ht="15" hidden="1" outlineLevel="2">
      <c r="B1247" s="2889" t="s">
        <v>1639</v>
      </c>
      <c r="C1247" s="2889" t="s">
        <v>1477</v>
      </c>
      <c r="D1247" s="2889" t="s">
        <v>1054</v>
      </c>
      <c r="E1247" s="2889" t="s">
        <v>217</v>
      </c>
      <c r="F1247" s="2890">
        <v>3.3379590943408637E-2</v>
      </c>
      <c r="G1247" s="2890">
        <v>45.90875483761787</v>
      </c>
    </row>
    <row r="1248" spans="2:7" ht="15" hidden="1" outlineLevel="2">
      <c r="B1248" s="2889" t="s">
        <v>1640</v>
      </c>
      <c r="C1248" s="2889" t="s">
        <v>1477</v>
      </c>
      <c r="D1248" s="2889" t="s">
        <v>1054</v>
      </c>
      <c r="E1248" s="2889" t="s">
        <v>217</v>
      </c>
      <c r="F1248" s="2890">
        <v>7.9144158356947731E-3</v>
      </c>
      <c r="G1248" s="2890">
        <v>10.793553862974365</v>
      </c>
    </row>
    <row r="1249" spans="2:7" ht="15" hidden="1" outlineLevel="2">
      <c r="B1249" s="2889" t="s">
        <v>1641</v>
      </c>
      <c r="C1249" s="2889" t="s">
        <v>1477</v>
      </c>
      <c r="D1249" s="2889" t="s">
        <v>1054</v>
      </c>
      <c r="E1249" s="2889" t="s">
        <v>217</v>
      </c>
      <c r="F1249" s="2890">
        <v>4.0378498797049113E-2</v>
      </c>
      <c r="G1249" s="2890">
        <v>55.288508255864208</v>
      </c>
    </row>
    <row r="1250" spans="2:7" ht="15" hidden="1" outlineLevel="2">
      <c r="B1250" s="2889" t="s">
        <v>1642</v>
      </c>
      <c r="C1250" s="2889" t="s">
        <v>1477</v>
      </c>
      <c r="D1250" s="2889" t="s">
        <v>1054</v>
      </c>
      <c r="E1250" s="2889" t="s">
        <v>217</v>
      </c>
      <c r="F1250" s="3039">
        <v>2.8983074227351861E-2</v>
      </c>
      <c r="G1250" s="2890">
        <v>39.685244809252723</v>
      </c>
    </row>
    <row r="1251" spans="2:7" ht="15" hidden="1" outlineLevel="2">
      <c r="B1251" s="2889" t="s">
        <v>1643</v>
      </c>
      <c r="C1251" s="2889" t="s">
        <v>1477</v>
      </c>
      <c r="D1251" s="2889" t="s">
        <v>1054</v>
      </c>
      <c r="E1251" s="2889" t="s">
        <v>217</v>
      </c>
      <c r="F1251" s="3039">
        <v>4.2928849270982405E-3</v>
      </c>
      <c r="G1251" s="2890">
        <v>5.8674133720287109</v>
      </c>
    </row>
    <row r="1252" spans="2:7" ht="15" hidden="1" outlineLevel="2">
      <c r="B1252" s="2889" t="s">
        <v>1644</v>
      </c>
      <c r="C1252" s="2889" t="s">
        <v>1477</v>
      </c>
      <c r="D1252" s="2889" t="s">
        <v>1054</v>
      </c>
      <c r="E1252" s="2889" t="s">
        <v>217</v>
      </c>
      <c r="F1252" s="3039">
        <v>9.3925517615923923E-2</v>
      </c>
      <c r="G1252" s="2890">
        <v>129.18081955568059</v>
      </c>
    </row>
    <row r="1253" spans="2:7" ht="15" hidden="1" outlineLevel="2">
      <c r="B1253" s="2889" t="s">
        <v>1645</v>
      </c>
      <c r="C1253" s="2889" t="s">
        <v>1477</v>
      </c>
      <c r="D1253" s="2889" t="s">
        <v>1054</v>
      </c>
      <c r="E1253" s="2889" t="s">
        <v>217</v>
      </c>
      <c r="F1253" s="3039">
        <v>0.10726595777636527</v>
      </c>
      <c r="G1253" s="2890">
        <v>147.52860446090148</v>
      </c>
    </row>
    <row r="1254" spans="2:7" ht="15" hidden="1" outlineLevel="2">
      <c r="B1254" s="2889" t="s">
        <v>1646</v>
      </c>
      <c r="C1254" s="2889" t="s">
        <v>1477</v>
      </c>
      <c r="D1254" s="2889" t="s">
        <v>1054</v>
      </c>
      <c r="E1254" s="2889" t="s">
        <v>217</v>
      </c>
      <c r="F1254" s="3039">
        <v>6.3005791237491313E-3</v>
      </c>
      <c r="G1254" s="2890">
        <v>8.6271011815780003</v>
      </c>
    </row>
    <row r="1255" spans="2:7" ht="15" hidden="1" outlineLevel="2">
      <c r="B1255" s="2889" t="s">
        <v>1647</v>
      </c>
      <c r="C1255" s="2889" t="s">
        <v>1477</v>
      </c>
      <c r="D1255" s="2889" t="s">
        <v>1054</v>
      </c>
      <c r="E1255" s="2889" t="s">
        <v>217</v>
      </c>
      <c r="F1255" s="3039">
        <v>1.563724727563753E-2</v>
      </c>
      <c r="G1255" s="2890">
        <v>21.534959633379145</v>
      </c>
    </row>
    <row r="1256" spans="2:7" ht="15" hidden="1" outlineLevel="2">
      <c r="B1256" s="2889" t="s">
        <v>1648</v>
      </c>
      <c r="C1256" s="2889" t="s">
        <v>1477</v>
      </c>
      <c r="D1256" s="2889" t="s">
        <v>1054</v>
      </c>
      <c r="E1256" s="2889" t="s">
        <v>217</v>
      </c>
      <c r="F1256" s="3039">
        <v>1.7531187416813059E-3</v>
      </c>
      <c r="G1256" s="2890">
        <v>2.4143222406641027</v>
      </c>
    </row>
    <row r="1257" spans="2:7" ht="15" hidden="1" outlineLevel="2">
      <c r="B1257" s="2889" t="s">
        <v>1649</v>
      </c>
      <c r="C1257" s="2889" t="s">
        <v>1477</v>
      </c>
      <c r="D1257" s="2889" t="s">
        <v>1054</v>
      </c>
      <c r="E1257" s="2889" t="s">
        <v>217</v>
      </c>
      <c r="F1257" s="2890">
        <v>8.3155711399357565E-3</v>
      </c>
      <c r="G1257" s="2890">
        <v>11.451855559446015</v>
      </c>
    </row>
    <row r="1258" spans="2:7" ht="15" hidden="1" outlineLevel="2">
      <c r="B1258" s="2889" t="s">
        <v>1650</v>
      </c>
      <c r="C1258" s="2889" t="s">
        <v>1477</v>
      </c>
      <c r="D1258" s="2889" t="s">
        <v>1054</v>
      </c>
      <c r="E1258" s="2889" t="s">
        <v>217</v>
      </c>
      <c r="F1258" s="2890">
        <v>2.098058286231734E-2</v>
      </c>
      <c r="G1258" s="2890">
        <v>28.612947773246873</v>
      </c>
    </row>
    <row r="1259" spans="2:7" ht="15" hidden="1" outlineLevel="2">
      <c r="B1259" s="2889" t="s">
        <v>1651</v>
      </c>
      <c r="C1259" s="2889" t="s">
        <v>1477</v>
      </c>
      <c r="D1259" s="2889" t="s">
        <v>1054</v>
      </c>
      <c r="E1259" s="2889" t="s">
        <v>217</v>
      </c>
      <c r="F1259" s="2890">
        <v>1.1367596695741826E-2</v>
      </c>
      <c r="G1259" s="2890">
        <v>15.654980043085438</v>
      </c>
    </row>
    <row r="1260" spans="2:7" ht="15" hidden="1" outlineLevel="2">
      <c r="B1260" s="2889" t="s">
        <v>1652</v>
      </c>
      <c r="C1260" s="2889" t="s">
        <v>1477</v>
      </c>
      <c r="D1260" s="2889" t="s">
        <v>1054</v>
      </c>
      <c r="E1260" s="2889" t="s">
        <v>217</v>
      </c>
      <c r="F1260" s="3039">
        <v>1.2482624440050657E-2</v>
      </c>
      <c r="G1260" s="2890">
        <v>17.190543420336219</v>
      </c>
    </row>
    <row r="1261" spans="2:7" ht="15" hidden="1" outlineLevel="2">
      <c r="B1261" s="2889" t="s">
        <v>1653</v>
      </c>
      <c r="C1261" s="2889" t="s">
        <v>1477</v>
      </c>
      <c r="D1261" s="2889" t="s">
        <v>1054</v>
      </c>
      <c r="E1261" s="2889" t="s">
        <v>217</v>
      </c>
      <c r="F1261" s="2890">
        <v>6.9477016515633839E-33</v>
      </c>
      <c r="G1261" s="2890">
        <v>8.9487470916639854E-30</v>
      </c>
    </row>
    <row r="1262" spans="2:7" ht="15" hidden="1" outlineLevel="2">
      <c r="B1262" s="2889" t="s">
        <v>1407</v>
      </c>
      <c r="C1262" s="2889" t="s">
        <v>1478</v>
      </c>
      <c r="D1262" s="2889" t="s">
        <v>1054</v>
      </c>
      <c r="E1262" s="2889" t="s">
        <v>217</v>
      </c>
      <c r="F1262" s="2890">
        <v>2.1261539581283786E-4</v>
      </c>
      <c r="G1262" s="2890">
        <v>0.27935609107643172</v>
      </c>
    </row>
    <row r="1263" spans="2:7" ht="15" hidden="1" outlineLevel="2">
      <c r="B1263" s="2889" t="s">
        <v>1631</v>
      </c>
      <c r="C1263" s="2889" t="s">
        <v>1478</v>
      </c>
      <c r="D1263" s="2889" t="s">
        <v>1054</v>
      </c>
      <c r="E1263" s="2889" t="s">
        <v>217</v>
      </c>
      <c r="F1263" s="3039">
        <v>3.5653070302279063E-3</v>
      </c>
      <c r="G1263" s="2890">
        <v>4.6358685431137454</v>
      </c>
    </row>
    <row r="1264" spans="2:7" ht="15" hidden="1" outlineLevel="2">
      <c r="B1264" s="2889" t="s">
        <v>1632</v>
      </c>
      <c r="C1264" s="2889" t="s">
        <v>1478</v>
      </c>
      <c r="D1264" s="2889" t="s">
        <v>1054</v>
      </c>
      <c r="E1264" s="2889" t="s">
        <v>217</v>
      </c>
      <c r="F1264" s="2890">
        <v>8.1399890491395486E-3</v>
      </c>
      <c r="G1264" s="2890">
        <v>10.738129997193372</v>
      </c>
    </row>
    <row r="1265" spans="2:7" ht="15" hidden="1" outlineLevel="2">
      <c r="B1265" s="2889" t="s">
        <v>1633</v>
      </c>
      <c r="C1265" s="2889" t="s">
        <v>1478</v>
      </c>
      <c r="D1265" s="2889" t="s">
        <v>1054</v>
      </c>
      <c r="E1265" s="2889" t="s">
        <v>217</v>
      </c>
      <c r="F1265" s="2890">
        <v>6.5764440550342281E-4</v>
      </c>
      <c r="G1265" s="2890">
        <v>0.87142237299246383</v>
      </c>
    </row>
    <row r="1266" spans="2:7" ht="15" hidden="1" outlineLevel="2">
      <c r="B1266" s="2889" t="s">
        <v>1634</v>
      </c>
      <c r="C1266" s="2889" t="s">
        <v>1478</v>
      </c>
      <c r="D1266" s="2889" t="s">
        <v>1054</v>
      </c>
      <c r="E1266" s="2889" t="s">
        <v>217</v>
      </c>
      <c r="F1266" s="2890">
        <v>1.2173258292096384E-4</v>
      </c>
      <c r="G1266" s="2890">
        <v>0.1615155729366928</v>
      </c>
    </row>
    <row r="1267" spans="2:7" ht="15" hidden="1" outlineLevel="2">
      <c r="B1267" s="2889" t="s">
        <v>1635</v>
      </c>
      <c r="C1267" s="2889" t="s">
        <v>1478</v>
      </c>
      <c r="D1267" s="2889" t="s">
        <v>1054</v>
      </c>
      <c r="E1267" s="2889" t="s">
        <v>217</v>
      </c>
      <c r="F1267" s="3039">
        <v>1.0327097475297995E-3</v>
      </c>
      <c r="G1267" s="2890">
        <v>1.3623336205022971</v>
      </c>
    </row>
    <row r="1268" spans="2:7" ht="15" hidden="1" outlineLevel="2">
      <c r="B1268" s="2889" t="s">
        <v>1636</v>
      </c>
      <c r="C1268" s="2889" t="s">
        <v>1478</v>
      </c>
      <c r="D1268" s="2889" t="s">
        <v>1054</v>
      </c>
      <c r="E1268" s="2889" t="s">
        <v>217</v>
      </c>
      <c r="F1268" s="3039">
        <v>9.0647797887975843E-4</v>
      </c>
      <c r="G1268" s="2890">
        <v>1.1959199792526203</v>
      </c>
    </row>
    <row r="1269" spans="2:7" ht="15" hidden="1" outlineLevel="2">
      <c r="B1269" s="2889" t="s">
        <v>1637</v>
      </c>
      <c r="C1269" s="2889" t="s">
        <v>1478</v>
      </c>
      <c r="D1269" s="2889" t="s">
        <v>1054</v>
      </c>
      <c r="E1269" s="2889" t="s">
        <v>217</v>
      </c>
      <c r="F1269" s="3039">
        <v>1.4988992031008239E-3</v>
      </c>
      <c r="G1269" s="2890">
        <v>1.9861407444479708</v>
      </c>
    </row>
    <row r="1270" spans="2:7" ht="15" hidden="1" outlineLevel="2">
      <c r="B1270" s="2889" t="s">
        <v>1638</v>
      </c>
      <c r="C1270" s="2889" t="s">
        <v>1478</v>
      </c>
      <c r="D1270" s="2889" t="s">
        <v>1054</v>
      </c>
      <c r="E1270" s="2889" t="s">
        <v>217</v>
      </c>
      <c r="F1270" s="2890">
        <v>1.9539388939575217E-4</v>
      </c>
      <c r="G1270" s="2890">
        <v>0.2592500348223517</v>
      </c>
    </row>
    <row r="1271" spans="2:7" ht="15" hidden="1" outlineLevel="2">
      <c r="B1271" s="2889" t="s">
        <v>1639</v>
      </c>
      <c r="C1271" s="2889" t="s">
        <v>1478</v>
      </c>
      <c r="D1271" s="2889" t="s">
        <v>1054</v>
      </c>
      <c r="E1271" s="2889" t="s">
        <v>217</v>
      </c>
      <c r="F1271" s="2890">
        <v>1.7988174938507319E-3</v>
      </c>
      <c r="G1271" s="2890">
        <v>2.3835522322157363</v>
      </c>
    </row>
    <row r="1272" spans="2:7" ht="15" hidden="1" outlineLevel="2">
      <c r="B1272" s="2889" t="s">
        <v>1640</v>
      </c>
      <c r="C1272" s="2889" t="s">
        <v>1478</v>
      </c>
      <c r="D1272" s="2889" t="s">
        <v>1054</v>
      </c>
      <c r="E1272" s="2889" t="s">
        <v>217</v>
      </c>
      <c r="F1272" s="2890">
        <v>4.2651075606968056E-4</v>
      </c>
      <c r="G1272" s="2890">
        <v>0.56039386362490407</v>
      </c>
    </row>
    <row r="1273" spans="2:7" ht="15" hidden="1" outlineLevel="2">
      <c r="B1273" s="2889" t="s">
        <v>1641</v>
      </c>
      <c r="C1273" s="2889" t="s">
        <v>1478</v>
      </c>
      <c r="D1273" s="2889" t="s">
        <v>1054</v>
      </c>
      <c r="E1273" s="2889" t="s">
        <v>217</v>
      </c>
      <c r="F1273" s="2890">
        <v>2.1760004173757433E-3</v>
      </c>
      <c r="G1273" s="2890">
        <v>2.8705424742670442</v>
      </c>
    </row>
    <row r="1274" spans="2:7" ht="15" hidden="1" outlineLevel="2">
      <c r="B1274" s="2889" t="s">
        <v>1642</v>
      </c>
      <c r="C1274" s="2889" t="s">
        <v>1478</v>
      </c>
      <c r="D1274" s="2889" t="s">
        <v>1054</v>
      </c>
      <c r="E1274" s="2889" t="s">
        <v>217</v>
      </c>
      <c r="F1274" s="2890">
        <v>1.5618994148667948E-3</v>
      </c>
      <c r="G1274" s="2890">
        <v>2.0604313156162117</v>
      </c>
    </row>
    <row r="1275" spans="2:7" ht="15" hidden="1" outlineLevel="2">
      <c r="B1275" s="2889" t="s">
        <v>1643</v>
      </c>
      <c r="C1275" s="2889" t="s">
        <v>1478</v>
      </c>
      <c r="D1275" s="2889" t="s">
        <v>1054</v>
      </c>
      <c r="E1275" s="2889" t="s">
        <v>217</v>
      </c>
      <c r="F1275" s="2890">
        <v>2.3134434651014214E-4</v>
      </c>
      <c r="G1275" s="2890">
        <v>0.30463202696399411</v>
      </c>
    </row>
    <row r="1276" spans="2:7" ht="15" hidden="1" outlineLevel="2">
      <c r="B1276" s="2889" t="s">
        <v>1644</v>
      </c>
      <c r="C1276" s="2889" t="s">
        <v>1478</v>
      </c>
      <c r="D1276" s="2889" t="s">
        <v>1054</v>
      </c>
      <c r="E1276" s="2889" t="s">
        <v>217</v>
      </c>
      <c r="F1276" s="2890">
        <v>5.0616211827888081E-3</v>
      </c>
      <c r="G1276" s="2890">
        <v>6.7069835744016881</v>
      </c>
    </row>
    <row r="1277" spans="2:7" ht="15" hidden="1" outlineLevel="2">
      <c r="B1277" s="2889" t="s">
        <v>1645</v>
      </c>
      <c r="C1277" s="2889" t="s">
        <v>1478</v>
      </c>
      <c r="D1277" s="2889" t="s">
        <v>1054</v>
      </c>
      <c r="E1277" s="2889" t="s">
        <v>217</v>
      </c>
      <c r="F1277" s="2890">
        <v>5.7805337967976704E-3</v>
      </c>
      <c r="G1277" s="2890">
        <v>7.6595859810700446</v>
      </c>
    </row>
    <row r="1278" spans="2:7" ht="15" hidden="1" outlineLevel="2">
      <c r="B1278" s="2889" t="s">
        <v>1646</v>
      </c>
      <c r="C1278" s="2889" t="s">
        <v>1478</v>
      </c>
      <c r="D1278" s="2889" t="s">
        <v>1054</v>
      </c>
      <c r="E1278" s="2889" t="s">
        <v>217</v>
      </c>
      <c r="F1278" s="2890">
        <v>3.3953858530170832E-4</v>
      </c>
      <c r="G1278" s="2890">
        <v>0.4479135190870025</v>
      </c>
    </row>
    <row r="1279" spans="2:7" ht="15" hidden="1" outlineLevel="2">
      <c r="B1279" s="2889" t="s">
        <v>1647</v>
      </c>
      <c r="C1279" s="2889" t="s">
        <v>1478</v>
      </c>
      <c r="D1279" s="2889" t="s">
        <v>1054</v>
      </c>
      <c r="E1279" s="2889" t="s">
        <v>217</v>
      </c>
      <c r="F1279" s="2890">
        <v>8.4268602086911659E-4</v>
      </c>
      <c r="G1279" s="2890">
        <v>1.1180806003255719</v>
      </c>
    </row>
    <row r="1280" spans="2:7" ht="15" hidden="1" outlineLevel="2">
      <c r="B1280" s="2889" t="s">
        <v>1648</v>
      </c>
      <c r="C1280" s="2889" t="s">
        <v>1478</v>
      </c>
      <c r="D1280" s="2889" t="s">
        <v>1054</v>
      </c>
      <c r="E1280" s="2889" t="s">
        <v>217</v>
      </c>
      <c r="F1280" s="2890">
        <v>9.4474902048765928E-5</v>
      </c>
      <c r="G1280" s="2890">
        <v>0.12534993576041117</v>
      </c>
    </row>
    <row r="1281" spans="2:7" ht="15" hidden="1" outlineLevel="2">
      <c r="B1281" s="2889" t="s">
        <v>1649</v>
      </c>
      <c r="C1281" s="2889" t="s">
        <v>1478</v>
      </c>
      <c r="D1281" s="2889" t="s">
        <v>1054</v>
      </c>
      <c r="E1281" s="2889" t="s">
        <v>217</v>
      </c>
      <c r="F1281" s="3039">
        <v>4.4812313000956261E-4</v>
      </c>
      <c r="G1281" s="2890">
        <v>0.59457254806912563</v>
      </c>
    </row>
    <row r="1282" spans="2:7" ht="15" hidden="1" outlineLevel="2">
      <c r="B1282" s="2889" t="s">
        <v>1650</v>
      </c>
      <c r="C1282" s="2889" t="s">
        <v>1478</v>
      </c>
      <c r="D1282" s="2889" t="s">
        <v>1054</v>
      </c>
      <c r="E1282" s="2889" t="s">
        <v>217</v>
      </c>
      <c r="F1282" s="3039">
        <v>1.1306506893197315E-3</v>
      </c>
      <c r="G1282" s="2890">
        <v>1.4855659539702772</v>
      </c>
    </row>
    <row r="1283" spans="2:7" ht="15" hidden="1" outlineLevel="2">
      <c r="B1283" s="2889" t="s">
        <v>1651</v>
      </c>
      <c r="C1283" s="2889" t="s">
        <v>1478</v>
      </c>
      <c r="D1283" s="2889" t="s">
        <v>1054</v>
      </c>
      <c r="E1283" s="2889" t="s">
        <v>217</v>
      </c>
      <c r="F1283" s="2890">
        <v>6.1259590889929216E-4</v>
      </c>
      <c r="G1283" s="2890">
        <v>0.81279590337117424</v>
      </c>
    </row>
    <row r="1284" spans="2:7" ht="15" hidden="1" outlineLevel="2">
      <c r="B1284" s="2889" t="s">
        <v>1652</v>
      </c>
      <c r="C1284" s="2889" t="s">
        <v>1478</v>
      </c>
      <c r="D1284" s="2889" t="s">
        <v>1054</v>
      </c>
      <c r="E1284" s="2889" t="s">
        <v>217</v>
      </c>
      <c r="F1284" s="2890">
        <v>6.7268399845940292E-4</v>
      </c>
      <c r="G1284" s="2890">
        <v>0.89252159627275429</v>
      </c>
    </row>
    <row r="1285" spans="2:7" ht="15" hidden="1" outlineLevel="2">
      <c r="B1285" s="2889" t="s">
        <v>1653</v>
      </c>
      <c r="C1285" s="2889" t="s">
        <v>1478</v>
      </c>
      <c r="D1285" s="2889" t="s">
        <v>1054</v>
      </c>
      <c r="E1285" s="2889" t="s">
        <v>217</v>
      </c>
      <c r="F1285" s="2890">
        <v>6.3111657622653414E-34</v>
      </c>
      <c r="G1285" s="2890">
        <v>7.9647149724644296E-31</v>
      </c>
    </row>
    <row r="1286" spans="2:7" ht="15" hidden="1" outlineLevel="2">
      <c r="B1286" s="2889" t="s">
        <v>1407</v>
      </c>
      <c r="C1286" s="2889" t="s">
        <v>1479</v>
      </c>
      <c r="D1286" s="2889" t="s">
        <v>1054</v>
      </c>
      <c r="E1286" s="2889" t="s">
        <v>217</v>
      </c>
      <c r="F1286" s="2890">
        <v>7.5173782339259861E-3</v>
      </c>
      <c r="G1286" s="2890">
        <v>11.264093231981585</v>
      </c>
    </row>
    <row r="1287" spans="2:7" ht="15" hidden="1" outlineLevel="2">
      <c r="B1287" s="2889" t="s">
        <v>1631</v>
      </c>
      <c r="C1287" s="2889" t="s">
        <v>1479</v>
      </c>
      <c r="D1287" s="2889" t="s">
        <v>1054</v>
      </c>
      <c r="E1287" s="2889" t="s">
        <v>217</v>
      </c>
      <c r="F1287" s="2890">
        <v>0.12603708479081513</v>
      </c>
      <c r="G1287" s="2890">
        <v>186.9257999695933</v>
      </c>
    </row>
    <row r="1288" spans="2:7" ht="15" hidden="1" outlineLevel="2">
      <c r="B1288" s="2889" t="s">
        <v>1632</v>
      </c>
      <c r="C1288" s="2889" t="s">
        <v>1479</v>
      </c>
      <c r="D1288" s="2889" t="s">
        <v>1054</v>
      </c>
      <c r="E1288" s="2889" t="s">
        <v>217</v>
      </c>
      <c r="F1288" s="2890">
        <v>0.28782100757752993</v>
      </c>
      <c r="G1288" s="2890">
        <v>432.97922902867367</v>
      </c>
    </row>
    <row r="1289" spans="2:7" ht="15" hidden="1" outlineLevel="2">
      <c r="B1289" s="2889" t="s">
        <v>1633</v>
      </c>
      <c r="C1289" s="2889" t="s">
        <v>1479</v>
      </c>
      <c r="D1289" s="2889" t="s">
        <v>1054</v>
      </c>
      <c r="E1289" s="2889" t="s">
        <v>217</v>
      </c>
      <c r="F1289" s="2890">
        <v>2.325521162964073E-2</v>
      </c>
      <c r="G1289" s="2890">
        <v>35.137177917999239</v>
      </c>
    </row>
    <row r="1290" spans="2:7" ht="15" hidden="1" outlineLevel="2">
      <c r="B1290" s="2889" t="s">
        <v>1634</v>
      </c>
      <c r="C1290" s="2889" t="s">
        <v>1479</v>
      </c>
      <c r="D1290" s="2889" t="s">
        <v>1054</v>
      </c>
      <c r="E1290" s="2889" t="s">
        <v>217</v>
      </c>
      <c r="F1290" s="2890">
        <v>4.3047189603625437E-3</v>
      </c>
      <c r="G1290" s="2890">
        <v>6.5125743718652265</v>
      </c>
    </row>
    <row r="1291" spans="2:7" ht="15" hidden="1" outlineLevel="2">
      <c r="B1291" s="2889" t="s">
        <v>1635</v>
      </c>
      <c r="C1291" s="2889" t="s">
        <v>1479</v>
      </c>
      <c r="D1291" s="2889" t="s">
        <v>1054</v>
      </c>
      <c r="E1291" s="2889" t="s">
        <v>217</v>
      </c>
      <c r="F1291" s="2890">
        <v>3.6515493829710616E-2</v>
      </c>
      <c r="G1291" s="2890">
        <v>54.931510291209484</v>
      </c>
    </row>
    <row r="1292" spans="2:7" ht="15" hidden="1" outlineLevel="2">
      <c r="B1292" s="2889" t="s">
        <v>1636</v>
      </c>
      <c r="C1292" s="2889" t="s">
        <v>1479</v>
      </c>
      <c r="D1292" s="2889" t="s">
        <v>1054</v>
      </c>
      <c r="E1292" s="2889" t="s">
        <v>217</v>
      </c>
      <c r="F1292" s="2890">
        <v>3.2052119073147284E-2</v>
      </c>
      <c r="G1292" s="2890">
        <v>48.22143993860842</v>
      </c>
    </row>
    <row r="1293" spans="2:7" ht="15" hidden="1" outlineLevel="2">
      <c r="B1293" s="2889" t="s">
        <v>1637</v>
      </c>
      <c r="C1293" s="2889" t="s">
        <v>1479</v>
      </c>
      <c r="D1293" s="2889" t="s">
        <v>1054</v>
      </c>
      <c r="E1293" s="2889" t="s">
        <v>217</v>
      </c>
      <c r="F1293" s="2890">
        <v>5.3003109995902034E-2</v>
      </c>
      <c r="G1293" s="2890">
        <v>80.084420762005664</v>
      </c>
    </row>
    <row r="1294" spans="2:7" ht="15" hidden="1" outlineLevel="2">
      <c r="B1294" s="2889" t="s">
        <v>1638</v>
      </c>
      <c r="C1294" s="2889" t="s">
        <v>1479</v>
      </c>
      <c r="D1294" s="2889" t="s">
        <v>1054</v>
      </c>
      <c r="E1294" s="2889" t="s">
        <v>217</v>
      </c>
      <c r="F1294" s="2890">
        <v>6.909539159596861E-3</v>
      </c>
      <c r="G1294" s="2890">
        <v>10.453387497717284</v>
      </c>
    </row>
    <row r="1295" spans="2:7" ht="15" hidden="1" outlineLevel="2">
      <c r="B1295" s="2889" t="s">
        <v>1639</v>
      </c>
      <c r="C1295" s="2889" t="s">
        <v>1479</v>
      </c>
      <c r="D1295" s="2889" t="s">
        <v>1054</v>
      </c>
      <c r="E1295" s="2889" t="s">
        <v>217</v>
      </c>
      <c r="F1295" s="2890">
        <v>6.3608655322207261E-2</v>
      </c>
      <c r="G1295" s="2890">
        <v>96.108742032228008</v>
      </c>
    </row>
    <row r="1296" spans="2:7" ht="15" hidden="1" outlineLevel="2">
      <c r="B1296" s="2889" t="s">
        <v>1640</v>
      </c>
      <c r="C1296" s="2889" t="s">
        <v>1479</v>
      </c>
      <c r="D1296" s="2889" t="s">
        <v>1054</v>
      </c>
      <c r="E1296" s="2889" t="s">
        <v>217</v>
      </c>
      <c r="F1296" s="2890">
        <v>1.5080007604084037E-2</v>
      </c>
      <c r="G1296" s="2890">
        <v>22.595998245146657</v>
      </c>
    </row>
    <row r="1297" spans="2:7" ht="15" hidden="1" outlineLevel="2">
      <c r="B1297" s="2889" t="s">
        <v>1641</v>
      </c>
      <c r="C1297" s="2889" t="s">
        <v>1479</v>
      </c>
      <c r="D1297" s="2889" t="s">
        <v>1054</v>
      </c>
      <c r="E1297" s="2889" t="s">
        <v>217</v>
      </c>
      <c r="F1297" s="2890">
        <v>7.6940981517430382E-2</v>
      </c>
      <c r="G1297" s="2890">
        <v>115.74499382138103</v>
      </c>
    </row>
    <row r="1298" spans="2:7" ht="15" hidden="1" outlineLevel="2">
      <c r="B1298" s="2889" t="s">
        <v>1642</v>
      </c>
      <c r="C1298" s="2889" t="s">
        <v>1479</v>
      </c>
      <c r="D1298" s="2889" t="s">
        <v>1054</v>
      </c>
      <c r="E1298" s="2889" t="s">
        <v>217</v>
      </c>
      <c r="F1298" s="3039">
        <v>5.5227058949910118E-2</v>
      </c>
      <c r="G1298" s="2890">
        <v>83.079966785053074</v>
      </c>
    </row>
    <row r="1299" spans="2:7" ht="15" hidden="1" outlineLevel="2">
      <c r="B1299" s="2889" t="s">
        <v>1643</v>
      </c>
      <c r="C1299" s="2889" t="s">
        <v>1479</v>
      </c>
      <c r="D1299" s="2889" t="s">
        <v>1054</v>
      </c>
      <c r="E1299" s="2889" t="s">
        <v>217</v>
      </c>
      <c r="F1299" s="3039">
        <v>8.1798528402472464E-3</v>
      </c>
      <c r="G1299" s="2890">
        <v>12.283264860607348</v>
      </c>
    </row>
    <row r="1300" spans="2:7" ht="15" hidden="1" outlineLevel="2">
      <c r="B1300" s="2889" t="s">
        <v>1644</v>
      </c>
      <c r="C1300" s="2889" t="s">
        <v>1479</v>
      </c>
      <c r="D1300" s="2889" t="s">
        <v>1054</v>
      </c>
      <c r="E1300" s="2889" t="s">
        <v>217</v>
      </c>
      <c r="F1300" s="3039">
        <v>0.17898588295493581</v>
      </c>
      <c r="G1300" s="2890">
        <v>270.4365567230243</v>
      </c>
    </row>
    <row r="1301" spans="2:7" ht="15" hidden="1" outlineLevel="2">
      <c r="B1301" s="2889" t="s">
        <v>1645</v>
      </c>
      <c r="C1301" s="2889" t="s">
        <v>1479</v>
      </c>
      <c r="D1301" s="2889" t="s">
        <v>1054</v>
      </c>
      <c r="E1301" s="2889" t="s">
        <v>217</v>
      </c>
      <c r="F1301" s="3039">
        <v>0.20440750781713052</v>
      </c>
      <c r="G1301" s="2890">
        <v>308.84719825140365</v>
      </c>
    </row>
    <row r="1302" spans="2:7" ht="15" hidden="1" outlineLevel="2">
      <c r="B1302" s="2889" t="s">
        <v>1646</v>
      </c>
      <c r="C1302" s="2889" t="s">
        <v>1479</v>
      </c>
      <c r="D1302" s="2889" t="s">
        <v>1054</v>
      </c>
      <c r="E1302" s="2889" t="s">
        <v>217</v>
      </c>
      <c r="F1302" s="3039">
        <v>1.2005711011566219E-2</v>
      </c>
      <c r="G1302" s="2890">
        <v>18.060603768148411</v>
      </c>
    </row>
    <row r="1303" spans="2:7" ht="15" hidden="1" outlineLevel="2">
      <c r="B1303" s="2889" t="s">
        <v>1647</v>
      </c>
      <c r="C1303" s="2889" t="s">
        <v>1479</v>
      </c>
      <c r="D1303" s="2889" t="s">
        <v>1054</v>
      </c>
      <c r="E1303" s="2889" t="s">
        <v>217</v>
      </c>
      <c r="F1303" s="3039">
        <v>2.9799137563480658E-2</v>
      </c>
      <c r="G1303" s="2890">
        <v>45.082870029187227</v>
      </c>
    </row>
    <row r="1304" spans="2:7" ht="15" hidden="1" outlineLevel="2">
      <c r="B1304" s="2889" t="s">
        <v>1648</v>
      </c>
      <c r="C1304" s="2889" t="s">
        <v>1479</v>
      </c>
      <c r="D1304" s="2889" t="s">
        <v>1054</v>
      </c>
      <c r="E1304" s="2889" t="s">
        <v>217</v>
      </c>
      <c r="F1304" s="3039">
        <v>3.3408319455174797E-3</v>
      </c>
      <c r="G1304" s="2890">
        <v>5.0543174371653832</v>
      </c>
    </row>
    <row r="1305" spans="2:7" ht="15" hidden="1" outlineLevel="2">
      <c r="B1305" s="2889" t="s">
        <v>1649</v>
      </c>
      <c r="C1305" s="2889" t="s">
        <v>1479</v>
      </c>
      <c r="D1305" s="2889" t="s">
        <v>1054</v>
      </c>
      <c r="E1305" s="2889" t="s">
        <v>217</v>
      </c>
      <c r="F1305" s="3039">
        <v>1.5846574765203243E-2</v>
      </c>
      <c r="G1305" s="2890">
        <v>23.974167065215767</v>
      </c>
    </row>
    <row r="1306" spans="2:7" ht="15" hidden="1" outlineLevel="2">
      <c r="B1306" s="2889" t="s">
        <v>1650</v>
      </c>
      <c r="C1306" s="2889" t="s">
        <v>1479</v>
      </c>
      <c r="D1306" s="2889" t="s">
        <v>1054</v>
      </c>
      <c r="E1306" s="2889" t="s">
        <v>217</v>
      </c>
      <c r="F1306" s="3039">
        <v>3.9976069578128416E-2</v>
      </c>
      <c r="G1306" s="2890">
        <v>59.900436475507803</v>
      </c>
    </row>
    <row r="1307" spans="2:7" ht="15" hidden="1" outlineLevel="2">
      <c r="B1307" s="2889" t="s">
        <v>1651</v>
      </c>
      <c r="C1307" s="2889" t="s">
        <v>1479</v>
      </c>
      <c r="D1307" s="2889" t="s">
        <v>1054</v>
      </c>
      <c r="E1307" s="2889" t="s">
        <v>217</v>
      </c>
      <c r="F1307" s="3039">
        <v>2.166267153228223E-2</v>
      </c>
      <c r="G1307" s="2890">
        <v>32.773275569895773</v>
      </c>
    </row>
    <row r="1308" spans="2:7" ht="15" hidden="1" outlineLevel="2">
      <c r="B1308" s="2889" t="s">
        <v>1652</v>
      </c>
      <c r="C1308" s="2889" t="s">
        <v>1479</v>
      </c>
      <c r="D1308" s="2889" t="s">
        <v>1054</v>
      </c>
      <c r="E1308" s="2889" t="s">
        <v>217</v>
      </c>
      <c r="F1308" s="2890">
        <v>2.3787504076747408E-2</v>
      </c>
      <c r="G1308" s="2890">
        <v>35.987942143022401</v>
      </c>
    </row>
    <row r="1309" spans="2:7" ht="15" hidden="1" outlineLevel="2">
      <c r="B1309" s="2889" t="s">
        <v>1653</v>
      </c>
      <c r="C1309" s="2889" t="s">
        <v>1479</v>
      </c>
      <c r="D1309" s="2889" t="s">
        <v>1054</v>
      </c>
      <c r="E1309" s="2889" t="s">
        <v>217</v>
      </c>
      <c r="F1309" s="2890">
        <v>7.7763069249459399E-34</v>
      </c>
      <c r="G1309" s="2890">
        <v>1.3915771514807513E-30</v>
      </c>
    </row>
    <row r="1310" spans="2:7" ht="15" hidden="1" outlineLevel="2">
      <c r="B1310" s="2889" t="s">
        <v>1407</v>
      </c>
      <c r="C1310" s="2889" t="s">
        <v>1480</v>
      </c>
      <c r="D1310" s="2889" t="s">
        <v>1054</v>
      </c>
      <c r="E1310" s="2889" t="s">
        <v>217</v>
      </c>
      <c r="F1310" s="3039">
        <v>3.3837862718013156E-3</v>
      </c>
      <c r="G1310" s="2890">
        <v>3.8795353341208401</v>
      </c>
    </row>
    <row r="1311" spans="2:7" ht="15" hidden="1" outlineLevel="2">
      <c r="B1311" s="2889" t="s">
        <v>1631</v>
      </c>
      <c r="C1311" s="2889" t="s">
        <v>1480</v>
      </c>
      <c r="D1311" s="2889" t="s">
        <v>1054</v>
      </c>
      <c r="E1311" s="2889" t="s">
        <v>217</v>
      </c>
      <c r="F1311" s="2890">
        <v>5.6714708037978269E-2</v>
      </c>
      <c r="G1311" s="2890">
        <v>64.380251940692716</v>
      </c>
    </row>
    <row r="1312" spans="2:7" ht="15" hidden="1" outlineLevel="2">
      <c r="B1312" s="2889" t="s">
        <v>1632</v>
      </c>
      <c r="C1312" s="2889" t="s">
        <v>1480</v>
      </c>
      <c r="D1312" s="2889" t="s">
        <v>1054</v>
      </c>
      <c r="E1312" s="2889" t="s">
        <v>217</v>
      </c>
      <c r="F1312" s="2890">
        <v>0.12957251222305702</v>
      </c>
      <c r="G1312" s="2890">
        <v>149.12495414457123</v>
      </c>
    </row>
    <row r="1313" spans="2:7" ht="15" hidden="1" outlineLevel="2">
      <c r="B1313" s="2889" t="s">
        <v>1633</v>
      </c>
      <c r="C1313" s="2889" t="s">
        <v>1480</v>
      </c>
      <c r="D1313" s="2889" t="s">
        <v>1054</v>
      </c>
      <c r="E1313" s="2889" t="s">
        <v>217</v>
      </c>
      <c r="F1313" s="2890">
        <v>1.0470579285291147E-2</v>
      </c>
      <c r="G1313" s="2890">
        <v>12.101806082441291</v>
      </c>
    </row>
    <row r="1314" spans="2:7" ht="15" hidden="1" outlineLevel="2">
      <c r="B1314" s="2889" t="s">
        <v>1634</v>
      </c>
      <c r="C1314" s="2889" t="s">
        <v>1480</v>
      </c>
      <c r="D1314" s="2889" t="s">
        <v>1054</v>
      </c>
      <c r="E1314" s="2889" t="s">
        <v>217</v>
      </c>
      <c r="F1314" s="2890">
        <v>1.9382641194140438E-3</v>
      </c>
      <c r="G1314" s="2890">
        <v>2.2430355576999776</v>
      </c>
    </row>
    <row r="1315" spans="2:7" ht="15" hidden="1" outlineLevel="2">
      <c r="B1315" s="2889" t="s">
        <v>1635</v>
      </c>
      <c r="C1315" s="2889" t="s">
        <v>1480</v>
      </c>
      <c r="D1315" s="2889" t="s">
        <v>1054</v>
      </c>
      <c r="E1315" s="2889" t="s">
        <v>217</v>
      </c>
      <c r="F1315" s="2890">
        <v>1.6438704891780731E-2</v>
      </c>
      <c r="G1315" s="2890">
        <v>18.919285776095375</v>
      </c>
    </row>
    <row r="1316" spans="2:7" ht="15" hidden="1" outlineLevel="2">
      <c r="B1316" s="2889" t="s">
        <v>1636</v>
      </c>
      <c r="C1316" s="2889" t="s">
        <v>1480</v>
      </c>
      <c r="D1316" s="2889" t="s">
        <v>1054</v>
      </c>
      <c r="E1316" s="2889" t="s">
        <v>217</v>
      </c>
      <c r="F1316" s="2890">
        <v>1.4429403233470984E-2</v>
      </c>
      <c r="G1316" s="2890">
        <v>16.608240302000493</v>
      </c>
    </row>
    <row r="1317" spans="2:7" ht="15" hidden="1" outlineLevel="2">
      <c r="B1317" s="2889" t="s">
        <v>1637</v>
      </c>
      <c r="C1317" s="2889" t="s">
        <v>1480</v>
      </c>
      <c r="D1317" s="2889" t="s">
        <v>1054</v>
      </c>
      <c r="E1317" s="2889" t="s">
        <v>217</v>
      </c>
      <c r="F1317" s="2890">
        <v>2.3864471139603903E-2</v>
      </c>
      <c r="G1317" s="2890">
        <v>27.58236287768721</v>
      </c>
    </row>
    <row r="1318" spans="2:7" ht="15" hidden="1" outlineLevel="2">
      <c r="B1318" s="2889" t="s">
        <v>1638</v>
      </c>
      <c r="C1318" s="2889" t="s">
        <v>1480</v>
      </c>
      <c r="D1318" s="2889" t="s">
        <v>1054</v>
      </c>
      <c r="E1318" s="2889" t="s">
        <v>217</v>
      </c>
      <c r="F1318" s="2890">
        <v>3.1111236783028747E-3</v>
      </c>
      <c r="G1318" s="2890">
        <v>3.6003139777926267</v>
      </c>
    </row>
    <row r="1319" spans="2:7" ht="15" hidden="1" outlineLevel="2">
      <c r="B1319" s="2889" t="s">
        <v>1639</v>
      </c>
      <c r="C1319" s="2889" t="s">
        <v>1480</v>
      </c>
      <c r="D1319" s="2889" t="s">
        <v>1054</v>
      </c>
      <c r="E1319" s="2889" t="s">
        <v>217</v>
      </c>
      <c r="F1319" s="2890">
        <v>2.8639583510906463E-2</v>
      </c>
      <c r="G1319" s="2890">
        <v>33.101394135101515</v>
      </c>
    </row>
    <row r="1320" spans="2:7" ht="15" hidden="1" outlineLevel="2">
      <c r="B1320" s="2889" t="s">
        <v>1640</v>
      </c>
      <c r="C1320" s="2889" t="s">
        <v>1480</v>
      </c>
      <c r="D1320" s="2889" t="s">
        <v>1054</v>
      </c>
      <c r="E1320" s="2889" t="s">
        <v>217</v>
      </c>
      <c r="F1320" s="2890">
        <v>6.7879412410316456E-3</v>
      </c>
      <c r="G1320" s="2890">
        <v>7.7824231388208034</v>
      </c>
    </row>
    <row r="1321" spans="2:7" ht="15" hidden="1" outlineLevel="2">
      <c r="B1321" s="2889" t="s">
        <v>1641</v>
      </c>
      <c r="C1321" s="2889" t="s">
        <v>1480</v>
      </c>
      <c r="D1321" s="2889" t="s">
        <v>1054</v>
      </c>
      <c r="E1321" s="2889" t="s">
        <v>217</v>
      </c>
      <c r="F1321" s="2890">
        <v>3.4637629925918852E-2</v>
      </c>
      <c r="G1321" s="2890">
        <v>39.864429912580718</v>
      </c>
    </row>
    <row r="1322" spans="2:7" ht="15" hidden="1" outlineLevel="2">
      <c r="B1322" s="2889" t="s">
        <v>1642</v>
      </c>
      <c r="C1322" s="2889" t="s">
        <v>1480</v>
      </c>
      <c r="D1322" s="2889" t="s">
        <v>1054</v>
      </c>
      <c r="E1322" s="2889" t="s">
        <v>217</v>
      </c>
      <c r="F1322" s="2890">
        <v>2.4862365144279249E-2</v>
      </c>
      <c r="G1322" s="2890">
        <v>28.614078743321212</v>
      </c>
    </row>
    <row r="1323" spans="2:7" ht="15" hidden="1" outlineLevel="2">
      <c r="B1323" s="2889" t="s">
        <v>1643</v>
      </c>
      <c r="C1323" s="2889" t="s">
        <v>1480</v>
      </c>
      <c r="D1323" s="2889" t="s">
        <v>1054</v>
      </c>
      <c r="E1323" s="2889" t="s">
        <v>217</v>
      </c>
      <c r="F1323" s="2890">
        <v>3.6822348382677035E-3</v>
      </c>
      <c r="G1323" s="2890">
        <v>4.2305552690390886</v>
      </c>
    </row>
    <row r="1324" spans="2:7" ht="15" hidden="1" outlineLevel="2">
      <c r="B1324" s="2889" t="s">
        <v>1644</v>
      </c>
      <c r="C1324" s="2889" t="s">
        <v>1480</v>
      </c>
      <c r="D1324" s="2889" t="s">
        <v>1054</v>
      </c>
      <c r="E1324" s="2889" t="s">
        <v>217</v>
      </c>
      <c r="F1324" s="2890">
        <v>8.0587784520916042E-2</v>
      </c>
      <c r="G1324" s="2890">
        <v>93.142729529471083</v>
      </c>
    </row>
    <row r="1325" spans="2:7" ht="15" hidden="1" outlineLevel="2">
      <c r="B1325" s="2889" t="s">
        <v>1645</v>
      </c>
      <c r="C1325" s="2889" t="s">
        <v>1480</v>
      </c>
      <c r="D1325" s="2889" t="s">
        <v>1054</v>
      </c>
      <c r="E1325" s="2889" t="s">
        <v>217</v>
      </c>
      <c r="F1325" s="2890">
        <v>9.2033804787490431E-2</v>
      </c>
      <c r="G1325" s="2890">
        <v>106.37190937548402</v>
      </c>
    </row>
    <row r="1326" spans="2:7" ht="15" hidden="1" outlineLevel="2">
      <c r="B1326" s="2889" t="s">
        <v>1646</v>
      </c>
      <c r="C1326" s="2889" t="s">
        <v>1480</v>
      </c>
      <c r="D1326" s="2889" t="s">
        <v>1054</v>
      </c>
      <c r="E1326" s="2889" t="s">
        <v>217</v>
      </c>
      <c r="F1326" s="2890">
        <v>5.4047830001928464E-3</v>
      </c>
      <c r="G1326" s="2890">
        <v>6.2203623999652615</v>
      </c>
    </row>
    <row r="1327" spans="2:7" ht="15" hidden="1" outlineLevel="2">
      <c r="B1327" s="2889" t="s">
        <v>1647</v>
      </c>
      <c r="C1327" s="2889" t="s">
        <v>1480</v>
      </c>
      <c r="D1327" s="2889" t="s">
        <v>1054</v>
      </c>
      <c r="E1327" s="2889" t="s">
        <v>217</v>
      </c>
      <c r="F1327" s="2890">
        <v>1.3417508529465294E-2</v>
      </c>
      <c r="G1327" s="2890">
        <v>15.527263686242458</v>
      </c>
    </row>
    <row r="1328" spans="2:7" ht="15" hidden="1" outlineLevel="2">
      <c r="B1328" s="2889" t="s">
        <v>1648</v>
      </c>
      <c r="C1328" s="2889" t="s">
        <v>1480</v>
      </c>
      <c r="D1328" s="2889" t="s">
        <v>1054</v>
      </c>
      <c r="E1328" s="2889" t="s">
        <v>217</v>
      </c>
      <c r="F1328" s="2890">
        <v>1.5042597344358415E-3</v>
      </c>
      <c r="G1328" s="2890">
        <v>1.7407876606815913</v>
      </c>
    </row>
    <row r="1329" spans="2:7" ht="15" hidden="1" outlineLevel="2">
      <c r="B1329" s="2889" t="s">
        <v>1649</v>
      </c>
      <c r="C1329" s="2889" t="s">
        <v>1480</v>
      </c>
      <c r="D1329" s="2889" t="s">
        <v>1054</v>
      </c>
      <c r="E1329" s="2889" t="s">
        <v>217</v>
      </c>
      <c r="F1329" s="2890">
        <v>7.1351590296876381E-3</v>
      </c>
      <c r="G1329" s="2890">
        <v>8.2570846031404521</v>
      </c>
    </row>
    <row r="1330" spans="2:7" ht="15" hidden="1" outlineLevel="2">
      <c r="B1330" s="2889" t="s">
        <v>1650</v>
      </c>
      <c r="C1330" s="2889" t="s">
        <v>1480</v>
      </c>
      <c r="D1330" s="2889" t="s">
        <v>1054</v>
      </c>
      <c r="E1330" s="2889" t="s">
        <v>217</v>
      </c>
      <c r="F1330" s="2890">
        <v>1.7994364726166504E-2</v>
      </c>
      <c r="G1330" s="2890">
        <v>20.630666281840618</v>
      </c>
    </row>
    <row r="1331" spans="2:7" ht="15" hidden="1" outlineLevel="2">
      <c r="B1331" s="2889" t="s">
        <v>1651</v>
      </c>
      <c r="C1331" s="2889" t="s">
        <v>1480</v>
      </c>
      <c r="D1331" s="2889" t="s">
        <v>1054</v>
      </c>
      <c r="E1331" s="2889" t="s">
        <v>217</v>
      </c>
      <c r="F1331" s="3039">
        <v>9.7539453380934438E-3</v>
      </c>
      <c r="G1331" s="2890">
        <v>11.287642780858933</v>
      </c>
    </row>
    <row r="1332" spans="2:7" ht="15" hidden="1" outlineLevel="2">
      <c r="B1332" s="2889" t="s">
        <v>1652</v>
      </c>
      <c r="C1332" s="2889" t="s">
        <v>1480</v>
      </c>
      <c r="D1332" s="2889" t="s">
        <v>1054</v>
      </c>
      <c r="E1332" s="2889" t="s">
        <v>217</v>
      </c>
      <c r="F1332" s="3039">
        <v>1.0710682615751609E-2</v>
      </c>
      <c r="G1332" s="2890">
        <v>12.394816489272602</v>
      </c>
    </row>
    <row r="1333" spans="2:7" ht="15" hidden="1" outlineLevel="2">
      <c r="B1333" s="2889" t="s">
        <v>1653</v>
      </c>
      <c r="C1333" s="2889" t="s">
        <v>1480</v>
      </c>
      <c r="D1333" s="2889" t="s">
        <v>1054</v>
      </c>
      <c r="E1333" s="2889" t="s">
        <v>217</v>
      </c>
      <c r="F1333" s="3039">
        <v>2.5840475884423704E-33</v>
      </c>
      <c r="G1333" s="2890">
        <v>3.0253925261209732E-30</v>
      </c>
    </row>
    <row r="1334" spans="2:7" ht="15" hidden="1" outlineLevel="2">
      <c r="B1334" s="2889" t="s">
        <v>1407</v>
      </c>
      <c r="C1334" s="2889" t="s">
        <v>1481</v>
      </c>
      <c r="D1334" s="2889" t="s">
        <v>1054</v>
      </c>
      <c r="E1334" s="2889" t="s">
        <v>217</v>
      </c>
      <c r="F1334" s="3039">
        <v>1.6747018168624526E-2</v>
      </c>
      <c r="G1334" s="2890">
        <v>23.460891342720757</v>
      </c>
    </row>
    <row r="1335" spans="2:7" ht="15" hidden="1" outlineLevel="2">
      <c r="B1335" s="2889" t="s">
        <v>1631</v>
      </c>
      <c r="C1335" s="2889" t="s">
        <v>1481</v>
      </c>
      <c r="D1335" s="2889" t="s">
        <v>1054</v>
      </c>
      <c r="E1335" s="2889" t="s">
        <v>217</v>
      </c>
      <c r="F1335" s="3039">
        <v>0.28082682873278003</v>
      </c>
      <c r="G1335" s="2890">
        <v>389.32961734280099</v>
      </c>
    </row>
    <row r="1336" spans="2:7" ht="15" hidden="1" outlineLevel="2">
      <c r="B1336" s="2889" t="s">
        <v>1632</v>
      </c>
      <c r="C1336" s="2889" t="s">
        <v>1481</v>
      </c>
      <c r="D1336" s="2889" t="s">
        <v>1054</v>
      </c>
      <c r="E1336" s="2889" t="s">
        <v>217</v>
      </c>
      <c r="F1336" s="3039">
        <v>0.64116089945177623</v>
      </c>
      <c r="G1336" s="2890">
        <v>901.80992216682216</v>
      </c>
    </row>
    <row r="1337" spans="2:7" ht="15" hidden="1" outlineLevel="2">
      <c r="B1337" s="2889" t="s">
        <v>1633</v>
      </c>
      <c r="C1337" s="2889" t="s">
        <v>1481</v>
      </c>
      <c r="D1337" s="2889" t="s">
        <v>1054</v>
      </c>
      <c r="E1337" s="2889" t="s">
        <v>217</v>
      </c>
      <c r="F1337" s="2890">
        <v>5.180062972746434E-2</v>
      </c>
      <c r="G1337" s="2890">
        <v>73.183844580809122</v>
      </c>
    </row>
    <row r="1338" spans="2:7" ht="15" hidden="1" outlineLevel="2">
      <c r="B1338" s="2889" t="s">
        <v>1634</v>
      </c>
      <c r="C1338" s="2889" t="s">
        <v>1481</v>
      </c>
      <c r="D1338" s="2889" t="s">
        <v>1054</v>
      </c>
      <c r="E1338" s="2889" t="s">
        <v>217</v>
      </c>
      <c r="F1338" s="2890">
        <v>9.5885012212110019E-3</v>
      </c>
      <c r="G1338" s="2890">
        <v>13.56440484841888</v>
      </c>
    </row>
    <row r="1339" spans="2:7" ht="15" hidden="1" outlineLevel="2">
      <c r="B1339" s="2889" t="s">
        <v>1635</v>
      </c>
      <c r="C1339" s="2889" t="s">
        <v>1481</v>
      </c>
      <c r="D1339" s="2889" t="s">
        <v>1054</v>
      </c>
      <c r="E1339" s="2889" t="s">
        <v>217</v>
      </c>
      <c r="F1339" s="2890">
        <v>8.1343254352802222E-2</v>
      </c>
      <c r="G1339" s="2890">
        <v>114.41148213871776</v>
      </c>
    </row>
    <row r="1340" spans="2:7" ht="15" hidden="1" outlineLevel="2">
      <c r="B1340" s="2889" t="s">
        <v>1636</v>
      </c>
      <c r="C1340" s="2889" t="s">
        <v>1481</v>
      </c>
      <c r="D1340" s="2889" t="s">
        <v>1054</v>
      </c>
      <c r="E1340" s="2889" t="s">
        <v>217</v>
      </c>
      <c r="F1340" s="2890">
        <v>7.1400394219006555E-2</v>
      </c>
      <c r="G1340" s="2890">
        <v>100.43578218781363</v>
      </c>
    </row>
    <row r="1341" spans="2:7" ht="15" hidden="1" outlineLevel="2">
      <c r="B1341" s="2889" t="s">
        <v>1637</v>
      </c>
      <c r="C1341" s="2889" t="s">
        <v>1481</v>
      </c>
      <c r="D1341" s="2889" t="s">
        <v>1054</v>
      </c>
      <c r="E1341" s="2889" t="s">
        <v>217</v>
      </c>
      <c r="F1341" s="2890">
        <v>0.1180636641988477</v>
      </c>
      <c r="G1341" s="2890">
        <v>166.79999001972749</v>
      </c>
    </row>
    <row r="1342" spans="2:7" ht="15" hidden="1" outlineLevel="2">
      <c r="B1342" s="2889" t="s">
        <v>1638</v>
      </c>
      <c r="C1342" s="2889" t="s">
        <v>1481</v>
      </c>
      <c r="D1342" s="2889" t="s">
        <v>1054</v>
      </c>
      <c r="E1342" s="2889" t="s">
        <v>217</v>
      </c>
      <c r="F1342" s="2890">
        <v>1.539058869578485E-2</v>
      </c>
      <c r="G1342" s="2890">
        <v>21.772344660952559</v>
      </c>
    </row>
    <row r="1343" spans="2:7" ht="15" hidden="1" outlineLevel="2">
      <c r="B1343" s="2889" t="s">
        <v>1639</v>
      </c>
      <c r="C1343" s="2889" t="s">
        <v>1481</v>
      </c>
      <c r="D1343" s="2889" t="s">
        <v>1054</v>
      </c>
      <c r="E1343" s="2889" t="s">
        <v>217</v>
      </c>
      <c r="F1343" s="2890">
        <v>0.14168732654455896</v>
      </c>
      <c r="G1343" s="2890">
        <v>200.17553285541766</v>
      </c>
    </row>
    <row r="1344" spans="2:7" ht="15" hidden="1" outlineLevel="2">
      <c r="B1344" s="2889" t="s">
        <v>1640</v>
      </c>
      <c r="C1344" s="2889" t="s">
        <v>1481</v>
      </c>
      <c r="D1344" s="2889" t="s">
        <v>1054</v>
      </c>
      <c r="E1344" s="2889" t="s">
        <v>217</v>
      </c>
      <c r="F1344" s="2890">
        <v>3.3594857959301214E-2</v>
      </c>
      <c r="G1344" s="2890">
        <v>47.063000818418864</v>
      </c>
    </row>
    <row r="1345" spans="2:7" ht="15" hidden="1" outlineLevel="2">
      <c r="B1345" s="2889" t="s">
        <v>1641</v>
      </c>
      <c r="C1345" s="2889" t="s">
        <v>1481</v>
      </c>
      <c r="D1345" s="2889" t="s">
        <v>1054</v>
      </c>
      <c r="E1345" s="2889" t="s">
        <v>217</v>
      </c>
      <c r="F1345" s="2890">
        <v>0.17139657414471449</v>
      </c>
      <c r="G1345" s="2890">
        <v>241.07398724205689</v>
      </c>
    </row>
    <row r="1346" spans="2:7" ht="15" hidden="1" outlineLevel="2">
      <c r="B1346" s="2889" t="s">
        <v>1642</v>
      </c>
      <c r="C1346" s="2889" t="s">
        <v>1481</v>
      </c>
      <c r="D1346" s="2889" t="s">
        <v>1054</v>
      </c>
      <c r="E1346" s="2889" t="s">
        <v>217</v>
      </c>
      <c r="F1346" s="2890">
        <v>0.12302582255976917</v>
      </c>
      <c r="G1346" s="2890">
        <v>173.03917063000512</v>
      </c>
    </row>
    <row r="1347" spans="2:7" ht="15" hidden="1" outlineLevel="2">
      <c r="B1347" s="2889" t="s">
        <v>1643</v>
      </c>
      <c r="C1347" s="2889" t="s">
        <v>1481</v>
      </c>
      <c r="D1347" s="2889" t="s">
        <v>1054</v>
      </c>
      <c r="E1347" s="2889" t="s">
        <v>217</v>
      </c>
      <c r="F1347" s="2890">
        <v>1.822225455249506E-2</v>
      </c>
      <c r="G1347" s="2890">
        <v>25.583619473470563</v>
      </c>
    </row>
    <row r="1348" spans="2:7" ht="15" hidden="1" outlineLevel="2">
      <c r="B1348" s="2889" t="s">
        <v>1644</v>
      </c>
      <c r="C1348" s="2889" t="s">
        <v>1481</v>
      </c>
      <c r="D1348" s="2889" t="s">
        <v>1054</v>
      </c>
      <c r="E1348" s="2889" t="s">
        <v>217</v>
      </c>
      <c r="F1348" s="2890">
        <v>0.39868832658351899</v>
      </c>
      <c r="G1348" s="2890">
        <v>563.26590449421019</v>
      </c>
    </row>
    <row r="1349" spans="2:7" ht="15" hidden="1" outlineLevel="2">
      <c r="B1349" s="2889" t="s">
        <v>1645</v>
      </c>
      <c r="C1349" s="2889" t="s">
        <v>1481</v>
      </c>
      <c r="D1349" s="2889" t="s">
        <v>1054</v>
      </c>
      <c r="E1349" s="2889" t="s">
        <v>217</v>
      </c>
      <c r="F1349" s="2890">
        <v>0.45531476404442262</v>
      </c>
      <c r="G1349" s="2890">
        <v>643.26750601179947</v>
      </c>
    </row>
    <row r="1350" spans="2:7" ht="15" hidden="1" outlineLevel="2">
      <c r="B1350" s="2889" t="s">
        <v>1646</v>
      </c>
      <c r="C1350" s="2889" t="s">
        <v>1481</v>
      </c>
      <c r="D1350" s="2889" t="s">
        <v>1054</v>
      </c>
      <c r="E1350" s="2889" t="s">
        <v>217</v>
      </c>
      <c r="F1350" s="2890">
        <v>2.6744366171713493E-2</v>
      </c>
      <c r="G1350" s="2890">
        <v>37.616678066826395</v>
      </c>
    </row>
    <row r="1351" spans="2:7" ht="15" hidden="1" outlineLevel="2">
      <c r="B1351" s="2889" t="s">
        <v>1647</v>
      </c>
      <c r="C1351" s="2889" t="s">
        <v>1481</v>
      </c>
      <c r="D1351" s="2889" t="s">
        <v>1054</v>
      </c>
      <c r="E1351" s="2889" t="s">
        <v>217</v>
      </c>
      <c r="F1351" s="2890">
        <v>6.6375746536942518E-2</v>
      </c>
      <c r="G1351" s="2890">
        <v>93.898745163547716</v>
      </c>
    </row>
    <row r="1352" spans="2:7" ht="15" hidden="1" outlineLevel="2">
      <c r="B1352" s="2889" t="s">
        <v>1648</v>
      </c>
      <c r="C1352" s="2889" t="s">
        <v>1481</v>
      </c>
      <c r="D1352" s="2889" t="s">
        <v>1054</v>
      </c>
      <c r="E1352" s="2889" t="s">
        <v>217</v>
      </c>
      <c r="F1352" s="2890">
        <v>7.441501409593234E-3</v>
      </c>
      <c r="G1352" s="2890">
        <v>10.527148637027233</v>
      </c>
    </row>
    <row r="1353" spans="2:7" ht="15" hidden="1" outlineLevel="2">
      <c r="B1353" s="2889" t="s">
        <v>1649</v>
      </c>
      <c r="C1353" s="2889" t="s">
        <v>1481</v>
      </c>
      <c r="D1353" s="2889" t="s">
        <v>1054</v>
      </c>
      <c r="E1353" s="2889" t="s">
        <v>217</v>
      </c>
      <c r="F1353" s="2890">
        <v>3.5297288451012966E-2</v>
      </c>
      <c r="G1353" s="2890">
        <v>49.933434798063104</v>
      </c>
    </row>
    <row r="1354" spans="2:7" ht="15" hidden="1" outlineLevel="2">
      <c r="B1354" s="2889" t="s">
        <v>1650</v>
      </c>
      <c r="C1354" s="2889" t="s">
        <v>1481</v>
      </c>
      <c r="D1354" s="2889" t="s">
        <v>1054</v>
      </c>
      <c r="E1354" s="2889" t="s">
        <v>217</v>
      </c>
      <c r="F1354" s="2890">
        <v>8.9057712886010387E-2</v>
      </c>
      <c r="G1354" s="2890">
        <v>124.7607678603746</v>
      </c>
    </row>
    <row r="1355" spans="2:7" ht="15" hidden="1" outlineLevel="2">
      <c r="B1355" s="2889" t="s">
        <v>1651</v>
      </c>
      <c r="C1355" s="2889" t="s">
        <v>1481</v>
      </c>
      <c r="D1355" s="2889" t="s">
        <v>1054</v>
      </c>
      <c r="E1355" s="2889" t="s">
        <v>217</v>
      </c>
      <c r="F1355" s="2890">
        <v>4.8252300828086542E-2</v>
      </c>
      <c r="G1355" s="2890">
        <v>68.2602895506312</v>
      </c>
    </row>
    <row r="1356" spans="2:7" ht="15" hidden="1" outlineLevel="2">
      <c r="B1356" s="2889" t="s">
        <v>1652</v>
      </c>
      <c r="C1356" s="2889" t="s">
        <v>1481</v>
      </c>
      <c r="D1356" s="2889" t="s">
        <v>1054</v>
      </c>
      <c r="E1356" s="2889" t="s">
        <v>217</v>
      </c>
      <c r="F1356" s="2890">
        <v>5.2985247308876077E-2</v>
      </c>
      <c r="G1356" s="2890">
        <v>74.95575475688554</v>
      </c>
    </row>
    <row r="1357" spans="2:7" ht="15" hidden="1" outlineLevel="2">
      <c r="B1357" s="2889" t="s">
        <v>1653</v>
      </c>
      <c r="C1357" s="2889" t="s">
        <v>1481</v>
      </c>
      <c r="D1357" s="2889" t="s">
        <v>1054</v>
      </c>
      <c r="E1357" s="2889" t="s">
        <v>217</v>
      </c>
      <c r="F1357" s="2890">
        <v>5.1595613345166052E-33</v>
      </c>
      <c r="G1357" s="2890">
        <v>6.6774071907901284E-30</v>
      </c>
    </row>
    <row r="1358" spans="2:7" ht="15" hidden="1" outlineLevel="2">
      <c r="B1358" s="2889" t="s">
        <v>1407</v>
      </c>
      <c r="C1358" s="2889" t="s">
        <v>1482</v>
      </c>
      <c r="D1358" s="2889" t="s">
        <v>1054</v>
      </c>
      <c r="E1358" s="2889" t="s">
        <v>217</v>
      </c>
      <c r="F1358" s="2890">
        <v>1.1286243131800254E-2</v>
      </c>
      <c r="G1358" s="2890">
        <v>11.238999827008357</v>
      </c>
    </row>
    <row r="1359" spans="2:7" ht="15" hidden="1" outlineLevel="2">
      <c r="B1359" s="2889" t="s">
        <v>1631</v>
      </c>
      <c r="C1359" s="2889" t="s">
        <v>1482</v>
      </c>
      <c r="D1359" s="2889" t="s">
        <v>1054</v>
      </c>
      <c r="E1359" s="2889" t="s">
        <v>217</v>
      </c>
      <c r="F1359" s="2890">
        <v>0.18925189697909559</v>
      </c>
      <c r="G1359" s="2890">
        <v>186.50937383735328</v>
      </c>
    </row>
    <row r="1360" spans="2:7" ht="15" hidden="1" outlineLevel="2">
      <c r="B1360" s="2889" t="s">
        <v>1632</v>
      </c>
      <c r="C1360" s="2889" t="s">
        <v>1482</v>
      </c>
      <c r="D1360" s="2889" t="s">
        <v>1054</v>
      </c>
      <c r="E1360" s="2889" t="s">
        <v>217</v>
      </c>
      <c r="F1360" s="2890">
        <v>0.43209866156461235</v>
      </c>
      <c r="G1360" s="2890">
        <v>432.01425759697133</v>
      </c>
    </row>
    <row r="1361" spans="2:7" ht="15" hidden="1" outlineLevel="2">
      <c r="B1361" s="2889" t="s">
        <v>1633</v>
      </c>
      <c r="C1361" s="2889" t="s">
        <v>1482</v>
      </c>
      <c r="D1361" s="2889" t="s">
        <v>1054</v>
      </c>
      <c r="E1361" s="2889" t="s">
        <v>217</v>
      </c>
      <c r="F1361" s="2890">
        <v>3.4910440145241244E-2</v>
      </c>
      <c r="G1361" s="2890">
        <v>35.058891667753549</v>
      </c>
    </row>
    <row r="1362" spans="2:7" ht="15" hidden="1" outlineLevel="2">
      <c r="B1362" s="2889" t="s">
        <v>1634</v>
      </c>
      <c r="C1362" s="2889" t="s">
        <v>1482</v>
      </c>
      <c r="D1362" s="2889" t="s">
        <v>1054</v>
      </c>
      <c r="E1362" s="2889" t="s">
        <v>217</v>
      </c>
      <c r="F1362" s="2890">
        <v>6.4620810116543543E-3</v>
      </c>
      <c r="G1362" s="2890">
        <v>6.4980637039862694</v>
      </c>
    </row>
    <row r="1363" spans="2:7" ht="15" hidden="1" outlineLevel="2">
      <c r="B1363" s="2889" t="s">
        <v>1635</v>
      </c>
      <c r="C1363" s="2889" t="s">
        <v>1482</v>
      </c>
      <c r="D1363" s="2889" t="s">
        <v>1054</v>
      </c>
      <c r="E1363" s="2889" t="s">
        <v>217</v>
      </c>
      <c r="F1363" s="2890">
        <v>5.4819799500223101E-2</v>
      </c>
      <c r="G1363" s="2890">
        <v>54.809101117093533</v>
      </c>
    </row>
    <row r="1364" spans="2:7" ht="15" hidden="1" outlineLevel="2">
      <c r="B1364" s="2889" t="s">
        <v>1636</v>
      </c>
      <c r="C1364" s="2889" t="s">
        <v>1482</v>
      </c>
      <c r="D1364" s="2889" t="s">
        <v>1054</v>
      </c>
      <c r="E1364" s="2889" t="s">
        <v>217</v>
      </c>
      <c r="F1364" s="2890">
        <v>4.8118997927598522E-2</v>
      </c>
      <c r="G1364" s="2890">
        <v>48.113998625570822</v>
      </c>
    </row>
    <row r="1365" spans="2:7" ht="15" hidden="1" outlineLevel="2">
      <c r="B1365" s="2889" t="s">
        <v>1637</v>
      </c>
      <c r="C1365" s="2889" t="s">
        <v>1482</v>
      </c>
      <c r="D1365" s="2889" t="s">
        <v>1054</v>
      </c>
      <c r="E1365" s="2889" t="s">
        <v>217</v>
      </c>
      <c r="F1365" s="2890">
        <v>7.9567655962265241E-2</v>
      </c>
      <c r="G1365" s="2890">
        <v>79.905997861474361</v>
      </c>
    </row>
    <row r="1366" spans="2:7" ht="15" hidden="1" outlineLevel="2">
      <c r="B1366" s="2889" t="s">
        <v>1638</v>
      </c>
      <c r="C1366" s="2889" t="s">
        <v>1482</v>
      </c>
      <c r="D1366" s="2889" t="s">
        <v>1054</v>
      </c>
      <c r="E1366" s="2889" t="s">
        <v>217</v>
      </c>
      <c r="F1366" s="2890">
        <v>1.0372338274581111E-2</v>
      </c>
      <c r="G1366" s="2890">
        <v>10.430094043917002</v>
      </c>
    </row>
    <row r="1367" spans="2:7" ht="15" hidden="1" outlineLevel="2">
      <c r="B1367" s="2889" t="s">
        <v>1639</v>
      </c>
      <c r="C1367" s="2889" t="s">
        <v>1482</v>
      </c>
      <c r="D1367" s="2889" t="s">
        <v>1054</v>
      </c>
      <c r="E1367" s="2889" t="s">
        <v>217</v>
      </c>
      <c r="F1367" s="2890">
        <v>9.5488532887982466E-2</v>
      </c>
      <c r="G1367" s="2890">
        <v>95.894613702032757</v>
      </c>
    </row>
    <row r="1368" spans="2:7" ht="15" hidden="1" outlineLevel="2">
      <c r="B1368" s="2889" t="s">
        <v>1640</v>
      </c>
      <c r="C1368" s="2889" t="s">
        <v>1482</v>
      </c>
      <c r="D1368" s="2889" t="s">
        <v>1054</v>
      </c>
      <c r="E1368" s="2889" t="s">
        <v>217</v>
      </c>
      <c r="F1368" s="2890">
        <v>2.2640437548126838E-2</v>
      </c>
      <c r="G1368" s="2890">
        <v>22.545640257950499</v>
      </c>
    </row>
    <row r="1369" spans="2:7" ht="15" hidden="1" outlineLevel="2">
      <c r="B1369" s="2889" t="s">
        <v>1641</v>
      </c>
      <c r="C1369" s="2889" t="s">
        <v>1482</v>
      </c>
      <c r="D1369" s="2889" t="s">
        <v>1054</v>
      </c>
      <c r="E1369" s="2889" t="s">
        <v>217</v>
      </c>
      <c r="F1369" s="2890">
        <v>0.1155095778696419</v>
      </c>
      <c r="G1369" s="2890">
        <v>115.48711905502971</v>
      </c>
    </row>
    <row r="1370" spans="2:7" ht="15" hidden="1" outlineLevel="2">
      <c r="B1370" s="2889" t="s">
        <v>1642</v>
      </c>
      <c r="C1370" s="2889" t="s">
        <v>1482</v>
      </c>
      <c r="D1370" s="2889" t="s">
        <v>1054</v>
      </c>
      <c r="E1370" s="2889" t="s">
        <v>217</v>
      </c>
      <c r="F1370" s="2890">
        <v>8.2911039314939025E-2</v>
      </c>
      <c r="G1370" s="2890">
        <v>82.894866255710355</v>
      </c>
    </row>
    <row r="1371" spans="2:7" ht="15" hidden="1" outlineLevel="2">
      <c r="B1371" s="2889" t="s">
        <v>1643</v>
      </c>
      <c r="C1371" s="2889" t="s">
        <v>1482</v>
      </c>
      <c r="D1371" s="2889" t="s">
        <v>1054</v>
      </c>
      <c r="E1371" s="2889" t="s">
        <v>217</v>
      </c>
      <c r="F1371" s="2890">
        <v>1.2280498620997752E-2</v>
      </c>
      <c r="G1371" s="2890">
        <v>12.255897990097637</v>
      </c>
    </row>
    <row r="1372" spans="2:7" ht="15" hidden="1" outlineLevel="2">
      <c r="B1372" s="2889" t="s">
        <v>1644</v>
      </c>
      <c r="C1372" s="2889" t="s">
        <v>1482</v>
      </c>
      <c r="D1372" s="2889" t="s">
        <v>1054</v>
      </c>
      <c r="E1372" s="2889" t="s">
        <v>217</v>
      </c>
      <c r="F1372" s="2890">
        <v>0.26869145911374259</v>
      </c>
      <c r="G1372" s="2890">
        <v>269.83398430372574</v>
      </c>
    </row>
    <row r="1373" spans="2:7" ht="15" hidden="1" outlineLevel="2">
      <c r="B1373" s="2889" t="s">
        <v>1645</v>
      </c>
      <c r="C1373" s="2889" t="s">
        <v>1482</v>
      </c>
      <c r="D1373" s="2889" t="s">
        <v>1054</v>
      </c>
      <c r="E1373" s="2889" t="s">
        <v>217</v>
      </c>
      <c r="F1373" s="2890">
        <v>0.30685410671388086</v>
      </c>
      <c r="G1373" s="2890">
        <v>308.15900092940763</v>
      </c>
    </row>
    <row r="1374" spans="2:7" ht="15" hidden="1" outlineLevel="2">
      <c r="B1374" s="2889" t="s">
        <v>1646</v>
      </c>
      <c r="C1374" s="2889" t="s">
        <v>1482</v>
      </c>
      <c r="D1374" s="2889" t="s">
        <v>1054</v>
      </c>
      <c r="E1374" s="2889" t="s">
        <v>217</v>
      </c>
      <c r="F1374" s="2890">
        <v>1.8023887461879308E-2</v>
      </c>
      <c r="G1374" s="2890">
        <v>18.02036169880089</v>
      </c>
    </row>
    <row r="1375" spans="2:7" ht="15" hidden="1" outlineLevel="2">
      <c r="B1375" s="2889" t="s">
        <v>1647</v>
      </c>
      <c r="C1375" s="2889" t="s">
        <v>1482</v>
      </c>
      <c r="D1375" s="2889" t="s">
        <v>1054</v>
      </c>
      <c r="E1375" s="2889" t="s">
        <v>217</v>
      </c>
      <c r="F1375" s="2890">
        <v>4.4733322926005251E-2</v>
      </c>
      <c r="G1375" s="2890">
        <v>44.982407973433411</v>
      </c>
    </row>
    <row r="1376" spans="2:7" ht="15" hidden="1" outlineLevel="2">
      <c r="B1376" s="2889" t="s">
        <v>1648</v>
      </c>
      <c r="C1376" s="2889" t="s">
        <v>1482</v>
      </c>
      <c r="D1376" s="2889" t="s">
        <v>1054</v>
      </c>
      <c r="E1376" s="2889" t="s">
        <v>217</v>
      </c>
      <c r="F1376" s="2890">
        <v>5.0151292132669641E-3</v>
      </c>
      <c r="G1376" s="2890">
        <v>5.0430541812443321</v>
      </c>
    </row>
    <row r="1377" spans="2:7" ht="15" hidden="1" outlineLevel="2">
      <c r="B1377" s="2889" t="s">
        <v>1649</v>
      </c>
      <c r="C1377" s="2889" t="s">
        <v>1482</v>
      </c>
      <c r="D1377" s="2889" t="s">
        <v>1054</v>
      </c>
      <c r="E1377" s="2889" t="s">
        <v>217</v>
      </c>
      <c r="F1377" s="3039">
        <v>2.3788278695837134E-2</v>
      </c>
      <c r="G1377" s="2890">
        <v>23.920730532378489</v>
      </c>
    </row>
    <row r="1378" spans="2:7" ht="15" hidden="1" outlineLevel="2">
      <c r="B1378" s="2889" t="s">
        <v>1650</v>
      </c>
      <c r="C1378" s="2889" t="s">
        <v>1482</v>
      </c>
      <c r="D1378" s="2889" t="s">
        <v>1054</v>
      </c>
      <c r="E1378" s="2889" t="s">
        <v>217</v>
      </c>
      <c r="F1378" s="3039">
        <v>6.0018232186042929E-2</v>
      </c>
      <c r="G1378" s="2890">
        <v>59.766972301455908</v>
      </c>
    </row>
    <row r="1379" spans="2:7" ht="15" hidden="1" outlineLevel="2">
      <c r="B1379" s="2889" t="s">
        <v>1651</v>
      </c>
      <c r="C1379" s="2889" t="s">
        <v>1482</v>
      </c>
      <c r="D1379" s="2889" t="s">
        <v>1054</v>
      </c>
      <c r="E1379" s="2889" t="s">
        <v>217</v>
      </c>
      <c r="F1379" s="3039">
        <v>3.2519186615173369E-2</v>
      </c>
      <c r="G1379" s="2890">
        <v>32.700249004442604</v>
      </c>
    </row>
    <row r="1380" spans="2:7" ht="15" hidden="1" outlineLevel="2">
      <c r="B1380" s="2889" t="s">
        <v>1652</v>
      </c>
      <c r="C1380" s="2889" t="s">
        <v>1482</v>
      </c>
      <c r="D1380" s="2889" t="s">
        <v>1054</v>
      </c>
      <c r="E1380" s="2889" t="s">
        <v>217</v>
      </c>
      <c r="F1380" s="3039">
        <v>3.5708910511080716E-2</v>
      </c>
      <c r="G1380" s="2890">
        <v>35.907742648303085</v>
      </c>
    </row>
    <row r="1381" spans="2:7" ht="15" hidden="1" outlineLevel="2">
      <c r="B1381" s="2889" t="s">
        <v>1653</v>
      </c>
      <c r="C1381" s="2889" t="s">
        <v>1482</v>
      </c>
      <c r="D1381" s="2889" t="s">
        <v>1054</v>
      </c>
      <c r="E1381" s="2889" t="s">
        <v>217</v>
      </c>
      <c r="F1381" s="3039">
        <v>2.9121146972715174E-34</v>
      </c>
      <c r="G1381" s="2890">
        <v>2.8715258328323827E-31</v>
      </c>
    </row>
    <row r="1382" spans="2:7" ht="15" hidden="1" outlineLevel="2">
      <c r="B1382" s="2889" t="s">
        <v>1407</v>
      </c>
      <c r="C1382" s="2889" t="s">
        <v>1483</v>
      </c>
      <c r="D1382" s="2889" t="s">
        <v>1054</v>
      </c>
      <c r="E1382" s="2889" t="s">
        <v>217</v>
      </c>
      <c r="F1382" s="3039">
        <v>5.3579418989565565E-4</v>
      </c>
      <c r="G1382" s="2890">
        <v>0.89592460058893952</v>
      </c>
    </row>
    <row r="1383" spans="2:7" ht="15" hidden="1" outlineLevel="2">
      <c r="B1383" s="2889" t="s">
        <v>1631</v>
      </c>
      <c r="C1383" s="2889" t="s">
        <v>1483</v>
      </c>
      <c r="D1383" s="2889" t="s">
        <v>1054</v>
      </c>
      <c r="E1383" s="2889" t="s">
        <v>217</v>
      </c>
      <c r="F1383" s="3039">
        <v>8.9657674816854844E-3</v>
      </c>
      <c r="G1383" s="2890">
        <v>14.867727178828478</v>
      </c>
    </row>
    <row r="1384" spans="2:7" ht="15" hidden="1" outlineLevel="2">
      <c r="B1384" s="2889" t="s">
        <v>1632</v>
      </c>
      <c r="C1384" s="2889" t="s">
        <v>1483</v>
      </c>
      <c r="D1384" s="2889" t="s">
        <v>1054</v>
      </c>
      <c r="E1384" s="2889" t="s">
        <v>217</v>
      </c>
      <c r="F1384" s="3039">
        <v>2.0529574193766002E-2</v>
      </c>
      <c r="G1384" s="2890">
        <v>34.438326263909723</v>
      </c>
    </row>
    <row r="1385" spans="2:7" ht="15" hidden="1" outlineLevel="2">
      <c r="B1385" s="2889" t="s">
        <v>1633</v>
      </c>
      <c r="C1385" s="2889" t="s">
        <v>1483</v>
      </c>
      <c r="D1385" s="2889" t="s">
        <v>1054</v>
      </c>
      <c r="E1385" s="2889" t="s">
        <v>217</v>
      </c>
      <c r="F1385" s="3039">
        <v>1.6601234578053569E-3</v>
      </c>
      <c r="G1385" s="2890">
        <v>2.7947439666220744</v>
      </c>
    </row>
    <row r="1386" spans="2:7" ht="15" hidden="1" outlineLevel="2">
      <c r="B1386" s="2889" t="s">
        <v>1634</v>
      </c>
      <c r="C1386" s="2889" t="s">
        <v>1483</v>
      </c>
      <c r="D1386" s="2889" t="s">
        <v>1054</v>
      </c>
      <c r="E1386" s="2889" t="s">
        <v>217</v>
      </c>
      <c r="F1386" s="3039">
        <v>3.0737755000439295E-4</v>
      </c>
      <c r="G1386" s="2890">
        <v>0.51799775422733041</v>
      </c>
    </row>
    <row r="1387" spans="2:7" ht="15" hidden="1" outlineLevel="2">
      <c r="B1387" s="2889" t="s">
        <v>1635</v>
      </c>
      <c r="C1387" s="2889" t="s">
        <v>1483</v>
      </c>
      <c r="D1387" s="2889" t="s">
        <v>1054</v>
      </c>
      <c r="E1387" s="2889" t="s">
        <v>217</v>
      </c>
      <c r="F1387" s="3039">
        <v>2.6045611025575423E-3</v>
      </c>
      <c r="G1387" s="2890">
        <v>4.3691479688194024</v>
      </c>
    </row>
    <row r="1388" spans="2:7" ht="15" hidden="1" outlineLevel="2">
      <c r="B1388" s="2889" t="s">
        <v>1636</v>
      </c>
      <c r="C1388" s="2889" t="s">
        <v>1483</v>
      </c>
      <c r="D1388" s="2889" t="s">
        <v>1054</v>
      </c>
      <c r="E1388" s="2889" t="s">
        <v>217</v>
      </c>
      <c r="F1388" s="3039">
        <v>2.2862390492979934E-3</v>
      </c>
      <c r="G1388" s="2890">
        <v>3.8354411658239922</v>
      </c>
    </row>
    <row r="1389" spans="2:7" ht="15" hidden="1" outlineLevel="2">
      <c r="B1389" s="2889" t="s">
        <v>1637</v>
      </c>
      <c r="C1389" s="2889" t="s">
        <v>1483</v>
      </c>
      <c r="D1389" s="2889" t="s">
        <v>1054</v>
      </c>
      <c r="E1389" s="2889" t="s">
        <v>217</v>
      </c>
      <c r="F1389" s="3039">
        <v>3.7837429430160824E-3</v>
      </c>
      <c r="G1389" s="2890">
        <v>6.3697631192732587</v>
      </c>
    </row>
    <row r="1390" spans="2:7" ht="15" hidden="1" outlineLevel="2">
      <c r="B1390" s="2889" t="s">
        <v>1638</v>
      </c>
      <c r="C1390" s="2889" t="s">
        <v>1483</v>
      </c>
      <c r="D1390" s="2889" t="s">
        <v>1054</v>
      </c>
      <c r="E1390" s="2889" t="s">
        <v>217</v>
      </c>
      <c r="F1390" s="3039">
        <v>4.9337425256974743E-4</v>
      </c>
      <c r="G1390" s="2890">
        <v>0.83144255785814802</v>
      </c>
    </row>
    <row r="1391" spans="2:7" ht="15" hidden="1" outlineLevel="2">
      <c r="B1391" s="2889" t="s">
        <v>1639</v>
      </c>
      <c r="C1391" s="2889" t="s">
        <v>1483</v>
      </c>
      <c r="D1391" s="2889" t="s">
        <v>1054</v>
      </c>
      <c r="E1391" s="2889" t="s">
        <v>217</v>
      </c>
      <c r="F1391" s="3039">
        <v>4.5408403373922261E-3</v>
      </c>
      <c r="G1391" s="2890">
        <v>7.6443069678658704</v>
      </c>
    </row>
    <row r="1392" spans="2:7" ht="15" hidden="1" outlineLevel="2">
      <c r="B1392" s="2889" t="s">
        <v>1640</v>
      </c>
      <c r="C1392" s="2889" t="s">
        <v>1483</v>
      </c>
      <c r="D1392" s="2889" t="s">
        <v>1054</v>
      </c>
      <c r="E1392" s="2889" t="s">
        <v>217</v>
      </c>
      <c r="F1392" s="3039">
        <v>1.0748136184895712E-3</v>
      </c>
      <c r="G1392" s="2890">
        <v>1.7972425642460244</v>
      </c>
    </row>
    <row r="1393" spans="2:7" ht="15" hidden="1" outlineLevel="2">
      <c r="B1393" s="2889" t="s">
        <v>1641</v>
      </c>
      <c r="C1393" s="2889" t="s">
        <v>1483</v>
      </c>
      <c r="D1393" s="2889" t="s">
        <v>1054</v>
      </c>
      <c r="E1393" s="2889" t="s">
        <v>217</v>
      </c>
      <c r="F1393" s="3039">
        <v>5.4880132209896033E-3</v>
      </c>
      <c r="G1393" s="2890">
        <v>9.2061378740414863</v>
      </c>
    </row>
    <row r="1394" spans="2:7" ht="15" hidden="1" outlineLevel="2">
      <c r="B1394" s="2889" t="s">
        <v>1642</v>
      </c>
      <c r="C1394" s="2889" t="s">
        <v>1483</v>
      </c>
      <c r="D1394" s="2889" t="s">
        <v>1054</v>
      </c>
      <c r="E1394" s="2889" t="s">
        <v>217</v>
      </c>
      <c r="F1394" s="3039">
        <v>3.9392111619041201E-3</v>
      </c>
      <c r="G1394" s="2890">
        <v>6.608024508841785</v>
      </c>
    </row>
    <row r="1395" spans="2:7" ht="15" hidden="1" outlineLevel="2">
      <c r="B1395" s="2889" t="s">
        <v>1643</v>
      </c>
      <c r="C1395" s="2889" t="s">
        <v>1483</v>
      </c>
      <c r="D1395" s="2889" t="s">
        <v>1054</v>
      </c>
      <c r="E1395" s="2889" t="s">
        <v>217</v>
      </c>
      <c r="F1395" s="3039">
        <v>5.8325073242064193E-4</v>
      </c>
      <c r="G1395" s="2890">
        <v>0.97698764034384544</v>
      </c>
    </row>
    <row r="1396" spans="2:7" ht="15" hidden="1" outlineLevel="2">
      <c r="B1396" s="2889" t="s">
        <v>1644</v>
      </c>
      <c r="C1396" s="2889" t="s">
        <v>1483</v>
      </c>
      <c r="D1396" s="2889" t="s">
        <v>1054</v>
      </c>
      <c r="E1396" s="2889" t="s">
        <v>217</v>
      </c>
      <c r="F1396" s="3039">
        <v>1.2777293230573443E-2</v>
      </c>
      <c r="G1396" s="2890">
        <v>21.510008590714001</v>
      </c>
    </row>
    <row r="1397" spans="2:7" ht="15" hidden="1" outlineLevel="2">
      <c r="B1397" s="2889" t="s">
        <v>1645</v>
      </c>
      <c r="C1397" s="2889" t="s">
        <v>1483</v>
      </c>
      <c r="D1397" s="2889" t="s">
        <v>1054</v>
      </c>
      <c r="E1397" s="2889" t="s">
        <v>217</v>
      </c>
      <c r="F1397" s="3039">
        <v>1.4592072382607756E-2</v>
      </c>
      <c r="G1397" s="2890">
        <v>24.565110961894387</v>
      </c>
    </row>
    <row r="1398" spans="2:7" ht="15" hidden="1" outlineLevel="2">
      <c r="B1398" s="2889" t="s">
        <v>1646</v>
      </c>
      <c r="C1398" s="2889" t="s">
        <v>1483</v>
      </c>
      <c r="D1398" s="2889" t="s">
        <v>1054</v>
      </c>
      <c r="E1398" s="2889" t="s">
        <v>217</v>
      </c>
      <c r="F1398" s="3039">
        <v>8.5633817005928913E-4</v>
      </c>
      <c r="G1398" s="2890">
        <v>1.436506758695151</v>
      </c>
    </row>
    <row r="1399" spans="2:7" ht="15" hidden="1" outlineLevel="2">
      <c r="B1399" s="2889" t="s">
        <v>1647</v>
      </c>
      <c r="C1399" s="2889" t="s">
        <v>1483</v>
      </c>
      <c r="D1399" s="2889" t="s">
        <v>1054</v>
      </c>
      <c r="E1399" s="2889" t="s">
        <v>217</v>
      </c>
      <c r="F1399" s="3039">
        <v>2.1278003550200754E-3</v>
      </c>
      <c r="G1399" s="2890">
        <v>3.5858058765410328</v>
      </c>
    </row>
    <row r="1400" spans="2:7" ht="15" hidden="1" outlineLevel="2">
      <c r="B1400" s="2889" t="s">
        <v>1648</v>
      </c>
      <c r="C1400" s="2889" t="s">
        <v>1483</v>
      </c>
      <c r="D1400" s="2889" t="s">
        <v>1054</v>
      </c>
      <c r="E1400" s="2889" t="s">
        <v>217</v>
      </c>
      <c r="F1400" s="3039">
        <v>2.3855140989362164E-4</v>
      </c>
      <c r="G1400" s="2890">
        <v>0.40201071551313672</v>
      </c>
    </row>
    <row r="1401" spans="2:7" ht="15" hidden="1" outlineLevel="2">
      <c r="B1401" s="2889" t="s">
        <v>1649</v>
      </c>
      <c r="C1401" s="2889" t="s">
        <v>1483</v>
      </c>
      <c r="D1401" s="2889" t="s">
        <v>1054</v>
      </c>
      <c r="E1401" s="2889" t="s">
        <v>217</v>
      </c>
      <c r="F1401" s="3039">
        <v>1.1315211996235726E-3</v>
      </c>
      <c r="G1401" s="2890">
        <v>1.9068587562907453</v>
      </c>
    </row>
    <row r="1402" spans="2:7" ht="15" hidden="1" outlineLevel="2">
      <c r="B1402" s="2889" t="s">
        <v>1650</v>
      </c>
      <c r="C1402" s="2889" t="s">
        <v>1483</v>
      </c>
      <c r="D1402" s="2889" t="s">
        <v>1054</v>
      </c>
      <c r="E1402" s="2889" t="s">
        <v>217</v>
      </c>
      <c r="F1402" s="2890">
        <v>2.8492562514666683E-3</v>
      </c>
      <c r="G1402" s="2890">
        <v>4.7643667420282796</v>
      </c>
    </row>
    <row r="1403" spans="2:7" ht="15" hidden="1" outlineLevel="2">
      <c r="B1403" s="2889" t="s">
        <v>1651</v>
      </c>
      <c r="C1403" s="2889" t="s">
        <v>1483</v>
      </c>
      <c r="D1403" s="2889" t="s">
        <v>1054</v>
      </c>
      <c r="E1403" s="2889" t="s">
        <v>217</v>
      </c>
      <c r="F1403" s="2890">
        <v>1.5468187114101122E-3</v>
      </c>
      <c r="G1403" s="2890">
        <v>2.6067245892415558</v>
      </c>
    </row>
    <row r="1404" spans="2:7" ht="15" hidden="1" outlineLevel="2">
      <c r="B1404" s="2889" t="s">
        <v>1652</v>
      </c>
      <c r="C1404" s="2889" t="s">
        <v>1483</v>
      </c>
      <c r="D1404" s="2889" t="s">
        <v>1054</v>
      </c>
      <c r="E1404" s="2889" t="s">
        <v>217</v>
      </c>
      <c r="F1404" s="2890">
        <v>1.698542516892713E-3</v>
      </c>
      <c r="G1404" s="2890">
        <v>2.8624113327232807</v>
      </c>
    </row>
    <row r="1405" spans="2:7" ht="15" hidden="1" outlineLevel="2">
      <c r="B1405" s="2889" t="s">
        <v>1653</v>
      </c>
      <c r="C1405" s="2889" t="s">
        <v>1483</v>
      </c>
      <c r="D1405" s="2889" t="s">
        <v>1054</v>
      </c>
      <c r="E1405" s="2889" t="s">
        <v>217</v>
      </c>
      <c r="F1405" s="2890">
        <v>4.7006865638535548E-34</v>
      </c>
      <c r="G1405" s="2890">
        <v>8.1534945445003144E-31</v>
      </c>
    </row>
    <row r="1406" spans="2:7" ht="15" hidden="1" outlineLevel="2">
      <c r="B1406" s="2889" t="s">
        <v>1407</v>
      </c>
      <c r="C1406" s="2889" t="s">
        <v>1484</v>
      </c>
      <c r="D1406" s="2889" t="s">
        <v>1054</v>
      </c>
      <c r="E1406" s="2889" t="s">
        <v>217</v>
      </c>
      <c r="F1406" s="2890">
        <v>1.0904831015834803E-3</v>
      </c>
      <c r="G1406" s="2890">
        <v>1.5191642571694584</v>
      </c>
    </row>
    <row r="1407" spans="2:7" ht="15" hidden="1" outlineLevel="2">
      <c r="B1407" s="2889" t="s">
        <v>1631</v>
      </c>
      <c r="C1407" s="2889" t="s">
        <v>1484</v>
      </c>
      <c r="D1407" s="2889" t="s">
        <v>1054</v>
      </c>
      <c r="E1407" s="2889" t="s">
        <v>217</v>
      </c>
      <c r="F1407" s="2890">
        <v>1.8283270945554573E-2</v>
      </c>
      <c r="G1407" s="2890">
        <v>25.210291456756615</v>
      </c>
    </row>
    <row r="1408" spans="2:7" ht="15" hidden="1" outlineLevel="2">
      <c r="B1408" s="2889" t="s">
        <v>1632</v>
      </c>
      <c r="C1408" s="2889" t="s">
        <v>1484</v>
      </c>
      <c r="D1408" s="2889" t="s">
        <v>1054</v>
      </c>
      <c r="E1408" s="2889" t="s">
        <v>217</v>
      </c>
      <c r="F1408" s="2890">
        <v>4.1751652859715695E-2</v>
      </c>
      <c r="G1408" s="2890">
        <v>58.394976504337286</v>
      </c>
    </row>
    <row r="1409" spans="2:7" ht="15" hidden="1" outlineLevel="2">
      <c r="B1409" s="2889" t="s">
        <v>1633</v>
      </c>
      <c r="C1409" s="2889" t="s">
        <v>1484</v>
      </c>
      <c r="D1409" s="2889" t="s">
        <v>1054</v>
      </c>
      <c r="E1409" s="2889" t="s">
        <v>217</v>
      </c>
      <c r="F1409" s="2890">
        <v>3.3734167622716969E-3</v>
      </c>
      <c r="G1409" s="2890">
        <v>4.7388761966074799</v>
      </c>
    </row>
    <row r="1410" spans="2:7" ht="15" hidden="1" outlineLevel="2">
      <c r="B1410" s="2889" t="s">
        <v>1634</v>
      </c>
      <c r="C1410" s="2889" t="s">
        <v>1484</v>
      </c>
      <c r="D1410" s="2889" t="s">
        <v>1054</v>
      </c>
      <c r="E1410" s="2889" t="s">
        <v>217</v>
      </c>
      <c r="F1410" s="2890">
        <v>6.2444517856340446E-4</v>
      </c>
      <c r="G1410" s="2890">
        <v>0.8783373305359492</v>
      </c>
    </row>
    <row r="1411" spans="2:7" ht="15" hidden="1" outlineLevel="2">
      <c r="B1411" s="2889" t="s">
        <v>1635</v>
      </c>
      <c r="C1411" s="2889" t="s">
        <v>1484</v>
      </c>
      <c r="D1411" s="2889" t="s">
        <v>1054</v>
      </c>
      <c r="E1411" s="2889" t="s">
        <v>217</v>
      </c>
      <c r="F1411" s="2890">
        <v>5.296978263082181E-3</v>
      </c>
      <c r="G1411" s="2890">
        <v>7.4085007171411013</v>
      </c>
    </row>
    <row r="1412" spans="2:7" ht="15" hidden="1" outlineLevel="2">
      <c r="B1412" s="2889" t="s">
        <v>1636</v>
      </c>
      <c r="C1412" s="2889" t="s">
        <v>1484</v>
      </c>
      <c r="D1412" s="2889" t="s">
        <v>1054</v>
      </c>
      <c r="E1412" s="2889" t="s">
        <v>217</v>
      </c>
      <c r="F1412" s="2890">
        <v>4.7283028008247175E-3</v>
      </c>
      <c r="G1412" s="2890">
        <v>6.610965881657429</v>
      </c>
    </row>
    <row r="1413" spans="2:7" ht="15" hidden="1" outlineLevel="2">
      <c r="B1413" s="2889" t="s">
        <v>1637</v>
      </c>
      <c r="C1413" s="2889" t="s">
        <v>1484</v>
      </c>
      <c r="D1413" s="2889" t="s">
        <v>1054</v>
      </c>
      <c r="E1413" s="2889" t="s">
        <v>217</v>
      </c>
      <c r="F1413" s="2890">
        <v>7.6886721267976571E-3</v>
      </c>
      <c r="G1413" s="2890">
        <v>10.800822003592536</v>
      </c>
    </row>
    <row r="1414" spans="2:7" ht="15" hidden="1" outlineLevel="2">
      <c r="B1414" s="2889" t="s">
        <v>1638</v>
      </c>
      <c r="C1414" s="2889" t="s">
        <v>1484</v>
      </c>
      <c r="D1414" s="2889" t="s">
        <v>1054</v>
      </c>
      <c r="E1414" s="2889" t="s">
        <v>217</v>
      </c>
      <c r="F1414" s="2890">
        <v>1.0023021527877714E-3</v>
      </c>
      <c r="G1414" s="2890">
        <v>1.4098264359678729</v>
      </c>
    </row>
    <row r="1415" spans="2:7" ht="15" hidden="1" outlineLevel="2">
      <c r="B1415" s="2889" t="s">
        <v>1639</v>
      </c>
      <c r="C1415" s="2889" t="s">
        <v>1484</v>
      </c>
      <c r="D1415" s="2889" t="s">
        <v>1054</v>
      </c>
      <c r="E1415" s="2889" t="s">
        <v>217</v>
      </c>
      <c r="F1415" s="2890">
        <v>9.2271153617651605E-3</v>
      </c>
      <c r="G1415" s="2890">
        <v>12.96198031772764</v>
      </c>
    </row>
    <row r="1416" spans="2:7" ht="15" hidden="1" outlineLevel="2">
      <c r="B1416" s="2889" t="s">
        <v>1640</v>
      </c>
      <c r="C1416" s="2889" t="s">
        <v>1484</v>
      </c>
      <c r="D1416" s="2889" t="s">
        <v>1054</v>
      </c>
      <c r="E1416" s="2889" t="s">
        <v>217</v>
      </c>
      <c r="F1416" s="2890">
        <v>2.1875304683466519E-3</v>
      </c>
      <c r="G1416" s="2890">
        <v>3.0474743407191718</v>
      </c>
    </row>
    <row r="1417" spans="2:7" ht="15" hidden="1" outlineLevel="2">
      <c r="B1417" s="2889" t="s">
        <v>1641</v>
      </c>
      <c r="C1417" s="2889" t="s">
        <v>1484</v>
      </c>
      <c r="D1417" s="2889" t="s">
        <v>1054</v>
      </c>
      <c r="E1417" s="2889" t="s">
        <v>217</v>
      </c>
      <c r="F1417" s="2890">
        <v>1.1161146858374897E-2</v>
      </c>
      <c r="G1417" s="2890">
        <v>15.610280952334666</v>
      </c>
    </row>
    <row r="1418" spans="2:7" ht="15" hidden="1" outlineLevel="2">
      <c r="B1418" s="2889" t="s">
        <v>1642</v>
      </c>
      <c r="C1418" s="2889" t="s">
        <v>1484</v>
      </c>
      <c r="D1418" s="2889" t="s">
        <v>1054</v>
      </c>
      <c r="E1418" s="2889" t="s">
        <v>217</v>
      </c>
      <c r="F1418" s="2890">
        <v>8.0113033315182876E-3</v>
      </c>
      <c r="G1418" s="2890">
        <v>11.204820651015494</v>
      </c>
    </row>
    <row r="1419" spans="2:7" ht="15" hidden="1" outlineLevel="2">
      <c r="B1419" s="2889" t="s">
        <v>1643</v>
      </c>
      <c r="C1419" s="2889" t="s">
        <v>1484</v>
      </c>
      <c r="D1419" s="2889" t="s">
        <v>1054</v>
      </c>
      <c r="E1419" s="2889" t="s">
        <v>217</v>
      </c>
      <c r="F1419" s="2890">
        <v>1.1865804259119871E-3</v>
      </c>
      <c r="G1419" s="2890">
        <v>1.6566182825901814</v>
      </c>
    </row>
    <row r="1420" spans="2:7" ht="15" hidden="1" outlineLevel="2">
      <c r="B1420" s="2889" t="s">
        <v>1644</v>
      </c>
      <c r="C1420" s="2889" t="s">
        <v>1484</v>
      </c>
      <c r="D1420" s="2889" t="s">
        <v>1054</v>
      </c>
      <c r="E1420" s="2889" t="s">
        <v>217</v>
      </c>
      <c r="F1420" s="2890">
        <v>2.5963824402120968E-2</v>
      </c>
      <c r="G1420" s="2890">
        <v>36.473206045987119</v>
      </c>
    </row>
    <row r="1421" spans="2:7" ht="15" hidden="1" outlineLevel="2">
      <c r="B1421" s="2889" t="s">
        <v>1645</v>
      </c>
      <c r="C1421" s="2889" t="s">
        <v>1484</v>
      </c>
      <c r="D1421" s="2889" t="s">
        <v>1054</v>
      </c>
      <c r="E1421" s="2889" t="s">
        <v>217</v>
      </c>
      <c r="F1421" s="2890">
        <v>2.9651512352541268E-2</v>
      </c>
      <c r="G1421" s="2890">
        <v>41.6535575811968</v>
      </c>
    </row>
    <row r="1422" spans="2:7" ht="15" hidden="1" outlineLevel="2">
      <c r="B1422" s="2889" t="s">
        <v>1646</v>
      </c>
      <c r="C1422" s="2889" t="s">
        <v>1484</v>
      </c>
      <c r="D1422" s="2889" t="s">
        <v>1054</v>
      </c>
      <c r="E1422" s="2889" t="s">
        <v>217</v>
      </c>
      <c r="F1422" s="3039">
        <v>1.7415631602668662E-3</v>
      </c>
      <c r="G1422" s="2890">
        <v>2.4357952855144025</v>
      </c>
    </row>
    <row r="1423" spans="2:7" ht="15" hidden="1" outlineLevel="2">
      <c r="B1423" s="2889" t="s">
        <v>1647</v>
      </c>
      <c r="C1423" s="2889" t="s">
        <v>1484</v>
      </c>
      <c r="D1423" s="2889" t="s">
        <v>1054</v>
      </c>
      <c r="E1423" s="2889" t="s">
        <v>217</v>
      </c>
      <c r="F1423" s="3039">
        <v>4.322679215563432E-3</v>
      </c>
      <c r="G1423" s="2890">
        <v>6.0802321544497824</v>
      </c>
    </row>
    <row r="1424" spans="2:7" ht="15" hidden="1" outlineLevel="2">
      <c r="B1424" s="2889" t="s">
        <v>1648</v>
      </c>
      <c r="C1424" s="2889" t="s">
        <v>1484</v>
      </c>
      <c r="D1424" s="2889" t="s">
        <v>1054</v>
      </c>
      <c r="E1424" s="2889" t="s">
        <v>217</v>
      </c>
      <c r="F1424" s="3039">
        <v>4.8462311995913426E-4</v>
      </c>
      <c r="G1424" s="2890">
        <v>0.68166518477247351</v>
      </c>
    </row>
    <row r="1425" spans="2:7" ht="15" hidden="1" outlineLevel="2">
      <c r="B1425" s="2889" t="s">
        <v>1649</v>
      </c>
      <c r="C1425" s="2889" t="s">
        <v>1484</v>
      </c>
      <c r="D1425" s="2889" t="s">
        <v>1054</v>
      </c>
      <c r="E1425" s="2889" t="s">
        <v>217</v>
      </c>
      <c r="F1425" s="3039">
        <v>2.2987132387022593E-3</v>
      </c>
      <c r="G1425" s="2890">
        <v>3.2333434839988184</v>
      </c>
    </row>
    <row r="1426" spans="2:7" ht="15" hidden="1" outlineLevel="2">
      <c r="B1426" s="2889" t="s">
        <v>1650</v>
      </c>
      <c r="C1426" s="2889" t="s">
        <v>1484</v>
      </c>
      <c r="D1426" s="2889" t="s">
        <v>1054</v>
      </c>
      <c r="E1426" s="2889" t="s">
        <v>217</v>
      </c>
      <c r="F1426" s="3039">
        <v>5.7989919603569631E-3</v>
      </c>
      <c r="G1426" s="2890">
        <v>8.078641449104218</v>
      </c>
    </row>
    <row r="1427" spans="2:7" ht="15" hidden="1" outlineLevel="2">
      <c r="B1427" s="2889" t="s">
        <v>1651</v>
      </c>
      <c r="C1427" s="2889" t="s">
        <v>1484</v>
      </c>
      <c r="D1427" s="2889" t="s">
        <v>1054</v>
      </c>
      <c r="E1427" s="2889" t="s">
        <v>217</v>
      </c>
      <c r="F1427" s="3039">
        <v>3.1424009511798732E-3</v>
      </c>
      <c r="G1427" s="2890">
        <v>4.420062778896849</v>
      </c>
    </row>
    <row r="1428" spans="2:7" ht="15" hidden="1" outlineLevel="2">
      <c r="B1428" s="2889" t="s">
        <v>1652</v>
      </c>
      <c r="C1428" s="2889" t="s">
        <v>1484</v>
      </c>
      <c r="D1428" s="2889" t="s">
        <v>1054</v>
      </c>
      <c r="E1428" s="2889" t="s">
        <v>217</v>
      </c>
      <c r="F1428" s="3039">
        <v>3.4506305354439931E-3</v>
      </c>
      <c r="G1428" s="2890">
        <v>4.8536161518622247</v>
      </c>
    </row>
    <row r="1429" spans="2:7" ht="15" hidden="1" outlineLevel="2">
      <c r="B1429" s="2889" t="s">
        <v>1653</v>
      </c>
      <c r="C1429" s="2889" t="s">
        <v>1484</v>
      </c>
      <c r="D1429" s="2889" t="s">
        <v>1054</v>
      </c>
      <c r="E1429" s="2889" t="s">
        <v>217</v>
      </c>
      <c r="F1429" s="2890">
        <v>3.8613429593165804E-34</v>
      </c>
      <c r="G1429" s="2890">
        <v>7.0591480651042828E-31</v>
      </c>
    </row>
    <row r="1430" spans="2:7" ht="15" hidden="1" outlineLevel="2">
      <c r="B1430" s="2889" t="s">
        <v>1407</v>
      </c>
      <c r="C1430" s="2889" t="s">
        <v>1485</v>
      </c>
      <c r="D1430" s="2889" t="s">
        <v>1054</v>
      </c>
      <c r="E1430" s="2889" t="s">
        <v>217</v>
      </c>
      <c r="F1430" s="2890">
        <v>4.8405765105927602E-4</v>
      </c>
      <c r="G1430" s="2890">
        <v>1.3613086046352181</v>
      </c>
    </row>
    <row r="1431" spans="2:7" ht="15" hidden="1" outlineLevel="2">
      <c r="B1431" s="2889" t="s">
        <v>1631</v>
      </c>
      <c r="C1431" s="2889" t="s">
        <v>1485</v>
      </c>
      <c r="D1431" s="2889" t="s">
        <v>1054</v>
      </c>
      <c r="E1431" s="2889" t="s">
        <v>217</v>
      </c>
      <c r="F1431" s="2890">
        <v>8.100496467256536E-3</v>
      </c>
      <c r="G1431" s="2890">
        <v>22.590694558193594</v>
      </c>
    </row>
    <row r="1432" spans="2:7" ht="15" hidden="1" outlineLevel="2">
      <c r="B1432" s="2889" t="s">
        <v>1632</v>
      </c>
      <c r="C1432" s="2889" t="s">
        <v>1485</v>
      </c>
      <c r="D1432" s="2889" t="s">
        <v>1054</v>
      </c>
      <c r="E1432" s="2889" t="s">
        <v>217</v>
      </c>
      <c r="F1432" s="2890">
        <v>1.8546819783719328E-2</v>
      </c>
      <c r="G1432" s="2890">
        <v>52.327155507770854</v>
      </c>
    </row>
    <row r="1433" spans="2:7" ht="15" hidden="1" outlineLevel="2">
      <c r="B1433" s="2889" t="s">
        <v>1633</v>
      </c>
      <c r="C1433" s="2889" t="s">
        <v>1485</v>
      </c>
      <c r="D1433" s="2889" t="s">
        <v>1054</v>
      </c>
      <c r="E1433" s="2889" t="s">
        <v>217</v>
      </c>
      <c r="F1433" s="2890">
        <v>1.4997508572044053E-3</v>
      </c>
      <c r="G1433" s="2890">
        <v>4.246461301507126</v>
      </c>
    </row>
    <row r="1434" spans="2:7" ht="15" hidden="1" outlineLevel="2">
      <c r="B1434" s="2889" t="s">
        <v>1634</v>
      </c>
      <c r="C1434" s="2889" t="s">
        <v>1485</v>
      </c>
      <c r="D1434" s="2889" t="s">
        <v>1054</v>
      </c>
      <c r="E1434" s="2889" t="s">
        <v>217</v>
      </c>
      <c r="F1434" s="2890">
        <v>2.7768206507384227E-4</v>
      </c>
      <c r="G1434" s="2890">
        <v>0.78706957409165701</v>
      </c>
    </row>
    <row r="1435" spans="2:7" ht="15" hidden="1" outlineLevel="2">
      <c r="B1435" s="2889" t="s">
        <v>1635</v>
      </c>
      <c r="C1435" s="2889" t="s">
        <v>1485</v>
      </c>
      <c r="D1435" s="2889" t="s">
        <v>1054</v>
      </c>
      <c r="E1435" s="2889" t="s">
        <v>217</v>
      </c>
      <c r="F1435" s="2890">
        <v>2.3530115002435743E-3</v>
      </c>
      <c r="G1435" s="2890">
        <v>6.6386846525838967</v>
      </c>
    </row>
    <row r="1436" spans="2:7" ht="15" hidden="1" outlineLevel="2">
      <c r="B1436" s="2889" t="s">
        <v>1636</v>
      </c>
      <c r="C1436" s="2889" t="s">
        <v>1485</v>
      </c>
      <c r="D1436" s="2889" t="s">
        <v>1054</v>
      </c>
      <c r="E1436" s="2889" t="s">
        <v>217</v>
      </c>
      <c r="F1436" s="2890">
        <v>2.0654320688585212E-3</v>
      </c>
      <c r="G1436" s="2890">
        <v>5.8277443009287921</v>
      </c>
    </row>
    <row r="1437" spans="2:7" ht="15" hidden="1" outlineLevel="2">
      <c r="B1437" s="2889" t="s">
        <v>1637</v>
      </c>
      <c r="C1437" s="2889" t="s">
        <v>1485</v>
      </c>
      <c r="D1437" s="2889" t="s">
        <v>1054</v>
      </c>
      <c r="E1437" s="2889" t="s">
        <v>217</v>
      </c>
      <c r="F1437" s="2890">
        <v>3.4182223827060113E-3</v>
      </c>
      <c r="G1437" s="2890">
        <v>9.6785086683750379</v>
      </c>
    </row>
    <row r="1438" spans="2:7" ht="15" hidden="1" outlineLevel="2">
      <c r="B1438" s="2889" t="s">
        <v>1638</v>
      </c>
      <c r="C1438" s="2889" t="s">
        <v>1485</v>
      </c>
      <c r="D1438" s="2889" t="s">
        <v>1054</v>
      </c>
      <c r="E1438" s="2889" t="s">
        <v>217</v>
      </c>
      <c r="F1438" s="2890">
        <v>4.4570980062055236E-4</v>
      </c>
      <c r="G1438" s="2890">
        <v>1.2633311126752076</v>
      </c>
    </row>
    <row r="1439" spans="2:7" ht="15" hidden="1" outlineLevel="2">
      <c r="B1439" s="2889" t="s">
        <v>1639</v>
      </c>
      <c r="C1439" s="2889" t="s">
        <v>1485</v>
      </c>
      <c r="D1439" s="2889" t="s">
        <v>1054</v>
      </c>
      <c r="E1439" s="2889" t="s">
        <v>217</v>
      </c>
      <c r="F1439" s="2890">
        <v>4.1021840453118255E-3</v>
      </c>
      <c r="G1439" s="2890">
        <v>11.61511280779415</v>
      </c>
    </row>
    <row r="1440" spans="2:7" ht="15" hidden="1" outlineLevel="2">
      <c r="B1440" s="2889" t="s">
        <v>1640</v>
      </c>
      <c r="C1440" s="2889" t="s">
        <v>1485</v>
      </c>
      <c r="D1440" s="2889" t="s">
        <v>1054</v>
      </c>
      <c r="E1440" s="2889" t="s">
        <v>217</v>
      </c>
      <c r="F1440" s="2890">
        <v>9.7102902920359363E-4</v>
      </c>
      <c r="G1440" s="2890">
        <v>2.7308114339759579</v>
      </c>
    </row>
    <row r="1441" spans="2:7" ht="15" hidden="1" outlineLevel="2">
      <c r="B1441" s="2889" t="s">
        <v>1641</v>
      </c>
      <c r="C1441" s="2889" t="s">
        <v>1485</v>
      </c>
      <c r="D1441" s="2889" t="s">
        <v>1054</v>
      </c>
      <c r="E1441" s="2889" t="s">
        <v>217</v>
      </c>
      <c r="F1441" s="2890">
        <v>4.9579801850298836E-3</v>
      </c>
      <c r="G1441" s="2890">
        <v>13.988222920148392</v>
      </c>
    </row>
    <row r="1442" spans="2:7" ht="15" hidden="1" outlineLevel="2">
      <c r="B1442" s="2889" t="s">
        <v>1642</v>
      </c>
      <c r="C1442" s="2889" t="s">
        <v>1485</v>
      </c>
      <c r="D1442" s="2889" t="s">
        <v>1054</v>
      </c>
      <c r="E1442" s="2889" t="s">
        <v>217</v>
      </c>
      <c r="F1442" s="2890">
        <v>3.5587614778928509E-3</v>
      </c>
      <c r="G1442" s="2890">
        <v>10.040531045450034</v>
      </c>
    </row>
    <row r="1443" spans="2:7" ht="15" hidden="1" outlineLevel="2">
      <c r="B1443" s="2889" t="s">
        <v>1643</v>
      </c>
      <c r="C1443" s="2889" t="s">
        <v>1485</v>
      </c>
      <c r="D1443" s="2889" t="s">
        <v>1054</v>
      </c>
      <c r="E1443" s="2889" t="s">
        <v>217</v>
      </c>
      <c r="F1443" s="2890">
        <v>5.2692531099801686E-4</v>
      </c>
      <c r="G1443" s="2890">
        <v>1.4844792623393668</v>
      </c>
    </row>
    <row r="1444" spans="2:7" ht="15" hidden="1" outlineLevel="2">
      <c r="B1444" s="2889" t="s">
        <v>1644</v>
      </c>
      <c r="C1444" s="2889" t="s">
        <v>1485</v>
      </c>
      <c r="D1444" s="2889" t="s">
        <v>1054</v>
      </c>
      <c r="E1444" s="2889" t="s">
        <v>217</v>
      </c>
      <c r="F1444" s="2890">
        <v>1.1542977042526794E-2</v>
      </c>
      <c r="G1444" s="2890">
        <v>32.683283541969537</v>
      </c>
    </row>
    <row r="1445" spans="2:7" ht="15" hidden="1" outlineLevel="2">
      <c r="B1445" s="2889" t="s">
        <v>1645</v>
      </c>
      <c r="C1445" s="2889" t="s">
        <v>1485</v>
      </c>
      <c r="D1445" s="2889" t="s">
        <v>1054</v>
      </c>
      <c r="E1445" s="2889" t="s">
        <v>217</v>
      </c>
      <c r="F1445" s="2890">
        <v>1.318244012631755E-2</v>
      </c>
      <c r="G1445" s="2890">
        <v>37.325349481311214</v>
      </c>
    </row>
    <row r="1446" spans="2:7" ht="15" hidden="1" outlineLevel="2">
      <c r="B1446" s="2889" t="s">
        <v>1646</v>
      </c>
      <c r="C1446" s="2889" t="s">
        <v>1485</v>
      </c>
      <c r="D1446" s="2889" t="s">
        <v>1054</v>
      </c>
      <c r="E1446" s="2889" t="s">
        <v>217</v>
      </c>
      <c r="F1446" s="2890">
        <v>7.7363294790251398E-4</v>
      </c>
      <c r="G1446" s="2890">
        <v>2.1826931432762917</v>
      </c>
    </row>
    <row r="1447" spans="2:7" ht="15" hidden="1" outlineLevel="2">
      <c r="B1447" s="2889" t="s">
        <v>1647</v>
      </c>
      <c r="C1447" s="2889" t="s">
        <v>1485</v>
      </c>
      <c r="D1447" s="2889" t="s">
        <v>1054</v>
      </c>
      <c r="E1447" s="2889" t="s">
        <v>217</v>
      </c>
      <c r="F1447" s="2890">
        <v>1.9222357847168184E-3</v>
      </c>
      <c r="G1447" s="2890">
        <v>5.4484362661178789</v>
      </c>
    </row>
    <row r="1448" spans="2:7" ht="15" hidden="1" outlineLevel="2">
      <c r="B1448" s="2889" t="s">
        <v>1648</v>
      </c>
      <c r="C1448" s="2889" t="s">
        <v>1485</v>
      </c>
      <c r="D1448" s="2889" t="s">
        <v>1054</v>
      </c>
      <c r="E1448" s="2889" t="s">
        <v>217</v>
      </c>
      <c r="F1448" s="2890">
        <v>2.1550512750739077E-4</v>
      </c>
      <c r="G1448" s="2890">
        <v>0.61083341678923486</v>
      </c>
    </row>
    <row r="1449" spans="2:7" ht="15" hidden="1" outlineLevel="2">
      <c r="B1449" s="2889" t="s">
        <v>1649</v>
      </c>
      <c r="C1449" s="2889" t="s">
        <v>1485</v>
      </c>
      <c r="D1449" s="2889" t="s">
        <v>1054</v>
      </c>
      <c r="E1449" s="2889" t="s">
        <v>217</v>
      </c>
      <c r="F1449" s="2890">
        <v>1.0222059355994369E-3</v>
      </c>
      <c r="G1449" s="2890">
        <v>2.8973670992681391</v>
      </c>
    </row>
    <row r="1450" spans="2:7" ht="15" hidden="1" outlineLevel="2">
      <c r="B1450" s="2889" t="s">
        <v>1650</v>
      </c>
      <c r="C1450" s="2889" t="s">
        <v>1485</v>
      </c>
      <c r="D1450" s="2889" t="s">
        <v>1054</v>
      </c>
      <c r="E1450" s="2889" t="s">
        <v>217</v>
      </c>
      <c r="F1450" s="2890">
        <v>2.5741315143140769E-3</v>
      </c>
      <c r="G1450" s="2890">
        <v>7.2391944783990683</v>
      </c>
    </row>
    <row r="1451" spans="2:7" ht="15" hidden="1" outlineLevel="2">
      <c r="B1451" s="2889" t="s">
        <v>1651</v>
      </c>
      <c r="C1451" s="2889" t="s">
        <v>1485</v>
      </c>
      <c r="D1451" s="2889" t="s">
        <v>1054</v>
      </c>
      <c r="E1451" s="2889" t="s">
        <v>217</v>
      </c>
      <c r="F1451" s="2890">
        <v>1.3973820206286444E-3</v>
      </c>
      <c r="G1451" s="2890">
        <v>3.9607755637512163</v>
      </c>
    </row>
    <row r="1452" spans="2:7" ht="15" hidden="1" outlineLevel="2">
      <c r="B1452" s="2889" t="s">
        <v>1652</v>
      </c>
      <c r="C1452" s="2889" t="s">
        <v>1485</v>
      </c>
      <c r="D1452" s="2889" t="s">
        <v>1054</v>
      </c>
      <c r="E1452" s="2889" t="s">
        <v>217</v>
      </c>
      <c r="F1452" s="2890">
        <v>1.5344479293580261E-3</v>
      </c>
      <c r="G1452" s="2890">
        <v>4.3492779191203841</v>
      </c>
    </row>
    <row r="1453" spans="2:7" ht="15" hidden="1" outlineLevel="2">
      <c r="B1453" s="2889" t="s">
        <v>1653</v>
      </c>
      <c r="C1453" s="2889" t="s">
        <v>1485</v>
      </c>
      <c r="D1453" s="2889" t="s">
        <v>1054</v>
      </c>
      <c r="E1453" s="2889" t="s">
        <v>217</v>
      </c>
      <c r="F1453" s="2890">
        <v>8.1554348903242171E-36</v>
      </c>
      <c r="G1453" s="2890">
        <v>9.3254471537192438E-32</v>
      </c>
    </row>
    <row r="1454" spans="2:7" ht="15" hidden="1" outlineLevel="2">
      <c r="B1454" s="2889" t="s">
        <v>1407</v>
      </c>
      <c r="C1454" s="2889" t="s">
        <v>1486</v>
      </c>
      <c r="D1454" s="2889" t="s">
        <v>1054</v>
      </c>
      <c r="E1454" s="2889" t="s">
        <v>217</v>
      </c>
      <c r="F1454" s="2890">
        <v>5.6409125147795073E-4</v>
      </c>
      <c r="G1454" s="2890">
        <v>3.2514068607923261</v>
      </c>
    </row>
    <row r="1455" spans="2:7" ht="15" hidden="1" outlineLevel="2">
      <c r="B1455" s="2889" t="s">
        <v>1631</v>
      </c>
      <c r="C1455" s="2889" t="s">
        <v>1486</v>
      </c>
      <c r="D1455" s="2889" t="s">
        <v>1054</v>
      </c>
      <c r="E1455" s="2889" t="s">
        <v>217</v>
      </c>
      <c r="F1455" s="2890">
        <v>9.446348463655033E-3</v>
      </c>
      <c r="G1455" s="2890">
        <v>53.956541496335049</v>
      </c>
    </row>
    <row r="1456" spans="2:7" ht="15" hidden="1" outlineLevel="2">
      <c r="B1456" s="2889" t="s">
        <v>1632</v>
      </c>
      <c r="C1456" s="2889" t="s">
        <v>1486</v>
      </c>
      <c r="D1456" s="2889" t="s">
        <v>1054</v>
      </c>
      <c r="E1456" s="2889" t="s">
        <v>217</v>
      </c>
      <c r="F1456" s="2890">
        <v>2.1607550131488254E-2</v>
      </c>
      <c r="G1456" s="2890">
        <v>124.98039403701344</v>
      </c>
    </row>
    <row r="1457" spans="2:7" ht="15" hidden="1" outlineLevel="2">
      <c r="B1457" s="2889" t="s">
        <v>1633</v>
      </c>
      <c r="C1457" s="2889" t="s">
        <v>1486</v>
      </c>
      <c r="D1457" s="2889" t="s">
        <v>1054</v>
      </c>
      <c r="E1457" s="2889" t="s">
        <v>217</v>
      </c>
      <c r="F1457" s="2890">
        <v>1.7467315506609802E-3</v>
      </c>
      <c r="G1457" s="2890">
        <v>10.142426793158759</v>
      </c>
    </row>
    <row r="1458" spans="2:7" ht="15" hidden="1" outlineLevel="2">
      <c r="B1458" s="2889" t="s">
        <v>1634</v>
      </c>
      <c r="C1458" s="2889" t="s">
        <v>1486</v>
      </c>
      <c r="D1458" s="2889" t="s">
        <v>1054</v>
      </c>
      <c r="E1458" s="2889" t="s">
        <v>217</v>
      </c>
      <c r="F1458" s="2890">
        <v>3.2338265709310366E-4</v>
      </c>
      <c r="G1458" s="2890">
        <v>1.8798694675910603</v>
      </c>
    </row>
    <row r="1459" spans="2:7" ht="15" hidden="1" outlineLevel="2">
      <c r="B1459" s="2889" t="s">
        <v>1635</v>
      </c>
      <c r="C1459" s="2889" t="s">
        <v>1486</v>
      </c>
      <c r="D1459" s="2889" t="s">
        <v>1054</v>
      </c>
      <c r="E1459" s="2889" t="s">
        <v>217</v>
      </c>
      <c r="F1459" s="2890">
        <v>2.7413229058066771E-3</v>
      </c>
      <c r="G1459" s="2890">
        <v>15.856099755703084</v>
      </c>
    </row>
    <row r="1460" spans="2:7" ht="15" hidden="1" outlineLevel="2">
      <c r="B1460" s="2889" t="s">
        <v>1636</v>
      </c>
      <c r="C1460" s="2889" t="s">
        <v>1486</v>
      </c>
      <c r="D1460" s="2889" t="s">
        <v>1054</v>
      </c>
      <c r="E1460" s="2889" t="s">
        <v>217</v>
      </c>
      <c r="F1460" s="2890">
        <v>2.4062703613937737E-3</v>
      </c>
      <c r="G1460" s="2890">
        <v>13.919224995712563</v>
      </c>
    </row>
    <row r="1461" spans="2:7" ht="15" hidden="1" outlineLevel="2">
      <c r="B1461" s="2889" t="s">
        <v>1637</v>
      </c>
      <c r="C1461" s="2889" t="s">
        <v>1486</v>
      </c>
      <c r="D1461" s="2889" t="s">
        <v>1054</v>
      </c>
      <c r="E1461" s="2889" t="s">
        <v>217</v>
      </c>
      <c r="F1461" s="3039">
        <v>3.981139547486837E-3</v>
      </c>
      <c r="G1461" s="2890">
        <v>23.116554286426588</v>
      </c>
    </row>
    <row r="1462" spans="2:7" ht="15" hidden="1" outlineLevel="2">
      <c r="B1462" s="2889" t="s">
        <v>1638</v>
      </c>
      <c r="C1462" s="2889" t="s">
        <v>1486</v>
      </c>
      <c r="D1462" s="2889" t="s">
        <v>1054</v>
      </c>
      <c r="E1462" s="2889" t="s">
        <v>217</v>
      </c>
      <c r="F1462" s="3039">
        <v>5.1906412412780782E-4</v>
      </c>
      <c r="G1462" s="2890">
        <v>3.0173933740784671</v>
      </c>
    </row>
    <row r="1463" spans="2:7" ht="15" hidden="1" outlineLevel="2">
      <c r="B1463" s="2889" t="s">
        <v>1639</v>
      </c>
      <c r="C1463" s="2889" t="s">
        <v>1486</v>
      </c>
      <c r="D1463" s="2889" t="s">
        <v>1054</v>
      </c>
      <c r="E1463" s="2889" t="s">
        <v>217</v>
      </c>
      <c r="F1463" s="3039">
        <v>4.7777358822459421E-3</v>
      </c>
      <c r="G1463" s="2890">
        <v>27.742011109926803</v>
      </c>
    </row>
    <row r="1464" spans="2:7" ht="15" hidden="1" outlineLevel="2">
      <c r="B1464" s="2889" t="s">
        <v>1640</v>
      </c>
      <c r="C1464" s="2889" t="s">
        <v>1486</v>
      </c>
      <c r="D1464" s="2889" t="s">
        <v>1054</v>
      </c>
      <c r="E1464" s="2889" t="s">
        <v>217</v>
      </c>
      <c r="F1464" s="3039">
        <v>1.1315780640607921E-3</v>
      </c>
      <c r="G1464" s="2890">
        <v>6.5223846203098654</v>
      </c>
    </row>
    <row r="1465" spans="2:7" ht="15" hidden="1" outlineLevel="2">
      <c r="B1465" s="2889" t="s">
        <v>1641</v>
      </c>
      <c r="C1465" s="2889" t="s">
        <v>1486</v>
      </c>
      <c r="D1465" s="2889" t="s">
        <v>1054</v>
      </c>
      <c r="E1465" s="2889" t="s">
        <v>217</v>
      </c>
      <c r="F1465" s="3039">
        <v>5.7761812455473299E-3</v>
      </c>
      <c r="G1465" s="2890">
        <v>33.41005399229411</v>
      </c>
    </row>
    <row r="1466" spans="2:7" ht="15" hidden="1" outlineLevel="2">
      <c r="B1466" s="2889" t="s">
        <v>1642</v>
      </c>
      <c r="C1466" s="2889" t="s">
        <v>1486</v>
      </c>
      <c r="D1466" s="2889" t="s">
        <v>1054</v>
      </c>
      <c r="E1466" s="2889" t="s">
        <v>217</v>
      </c>
      <c r="F1466" s="3039">
        <v>4.1460553240648757E-3</v>
      </c>
      <c r="G1466" s="2890">
        <v>23.981224897833314</v>
      </c>
    </row>
    <row r="1467" spans="2:7" ht="15" hidden="1" outlineLevel="2">
      <c r="B1467" s="2889" t="s">
        <v>1643</v>
      </c>
      <c r="C1467" s="2889" t="s">
        <v>1486</v>
      </c>
      <c r="D1467" s="2889" t="s">
        <v>1054</v>
      </c>
      <c r="E1467" s="2889" t="s">
        <v>217</v>
      </c>
      <c r="F1467" s="3039">
        <v>6.1395669034887868E-4</v>
      </c>
      <c r="G1467" s="2890">
        <v>3.5455922172594896</v>
      </c>
    </row>
    <row r="1468" spans="2:7" ht="15" hidden="1" outlineLevel="2">
      <c r="B1468" s="2889" t="s">
        <v>1644</v>
      </c>
      <c r="C1468" s="2889" t="s">
        <v>1486</v>
      </c>
      <c r="D1468" s="2889" t="s">
        <v>1054</v>
      </c>
      <c r="E1468" s="2889" t="s">
        <v>217</v>
      </c>
      <c r="F1468" s="2890">
        <v>1.3443884662421361E-2</v>
      </c>
      <c r="G1468" s="2890">
        <v>78.062115692555381</v>
      </c>
    </row>
    <row r="1469" spans="2:7" ht="15" hidden="1" outlineLevel="2">
      <c r="B1469" s="2889" t="s">
        <v>1645</v>
      </c>
      <c r="C1469" s="2889" t="s">
        <v>1486</v>
      </c>
      <c r="D1469" s="2889" t="s">
        <v>1054</v>
      </c>
      <c r="E1469" s="2889" t="s">
        <v>217</v>
      </c>
      <c r="F1469" s="2890">
        <v>1.5353339045219674E-2</v>
      </c>
      <c r="G1469" s="2890">
        <v>89.14942914289027</v>
      </c>
    </row>
    <row r="1470" spans="2:7" ht="15" hidden="1" outlineLevel="2">
      <c r="B1470" s="2889" t="s">
        <v>1646</v>
      </c>
      <c r="C1470" s="2889" t="s">
        <v>1486</v>
      </c>
      <c r="D1470" s="2889" t="s">
        <v>1054</v>
      </c>
      <c r="E1470" s="2889" t="s">
        <v>217</v>
      </c>
      <c r="F1470" s="2890">
        <v>9.0130322356434586E-4</v>
      </c>
      <c r="G1470" s="2890">
        <v>5.2132310758119624</v>
      </c>
    </row>
    <row r="1471" spans="2:7" ht="15" hidden="1" outlineLevel="2">
      <c r="B1471" s="2889" t="s">
        <v>1647</v>
      </c>
      <c r="C1471" s="2889" t="s">
        <v>1486</v>
      </c>
      <c r="D1471" s="2889" t="s">
        <v>1054</v>
      </c>
      <c r="E1471" s="2889" t="s">
        <v>217</v>
      </c>
      <c r="F1471" s="3039">
        <v>2.2385956611903372E-3</v>
      </c>
      <c r="G1471" s="2890">
        <v>13.01326872656902</v>
      </c>
    </row>
    <row r="1472" spans="2:7" ht="15" hidden="1" outlineLevel="2">
      <c r="B1472" s="2889" t="s">
        <v>1648</v>
      </c>
      <c r="C1472" s="2889" t="s">
        <v>1486</v>
      </c>
      <c r="D1472" s="2889" t="s">
        <v>1054</v>
      </c>
      <c r="E1472" s="2889" t="s">
        <v>217</v>
      </c>
      <c r="F1472" s="2890">
        <v>2.5097267743868416E-4</v>
      </c>
      <c r="G1472" s="2890">
        <v>1.4589399489057251</v>
      </c>
    </row>
    <row r="1473" spans="2:7" ht="15" hidden="1" outlineLevel="2">
      <c r="B1473" s="2889" t="s">
        <v>1649</v>
      </c>
      <c r="C1473" s="2889" t="s">
        <v>1486</v>
      </c>
      <c r="D1473" s="2889" t="s">
        <v>1054</v>
      </c>
      <c r="E1473" s="2889" t="s">
        <v>217</v>
      </c>
      <c r="F1473" s="2890">
        <v>1.1904390296498379E-3</v>
      </c>
      <c r="G1473" s="2890">
        <v>6.920189291243978</v>
      </c>
    </row>
    <row r="1474" spans="2:7" ht="15" hidden="1" outlineLevel="2">
      <c r="B1474" s="2889" t="s">
        <v>1650</v>
      </c>
      <c r="C1474" s="2889" t="s">
        <v>1486</v>
      </c>
      <c r="D1474" s="2889" t="s">
        <v>1054</v>
      </c>
      <c r="E1474" s="2889" t="s">
        <v>217</v>
      </c>
      <c r="F1474" s="3039">
        <v>2.9997358692300472E-3</v>
      </c>
      <c r="G1474" s="2890">
        <v>17.29039935333045</v>
      </c>
    </row>
    <row r="1475" spans="2:7" ht="15" hidden="1" outlineLevel="2">
      <c r="B1475" s="2889" t="s">
        <v>1651</v>
      </c>
      <c r="C1475" s="2889" t="s">
        <v>1486</v>
      </c>
      <c r="D1475" s="2889" t="s">
        <v>1054</v>
      </c>
      <c r="E1475" s="2889" t="s">
        <v>217</v>
      </c>
      <c r="F1475" s="2890">
        <v>1.6273610453521371E-3</v>
      </c>
      <c r="G1475" s="2890">
        <v>9.4600841119494028</v>
      </c>
    </row>
    <row r="1476" spans="2:7" ht="15" hidden="1" outlineLevel="2">
      <c r="B1476" s="2889" t="s">
        <v>1652</v>
      </c>
      <c r="C1476" s="2889" t="s">
        <v>1486</v>
      </c>
      <c r="D1476" s="2889" t="s">
        <v>1054</v>
      </c>
      <c r="E1476" s="2889" t="s">
        <v>217</v>
      </c>
      <c r="F1476" s="2890">
        <v>1.7869854610084266E-3</v>
      </c>
      <c r="G1476" s="2890">
        <v>10.387996124493155</v>
      </c>
    </row>
    <row r="1477" spans="2:7" ht="15" hidden="1" outlineLevel="2">
      <c r="B1477" s="2889" t="s">
        <v>1653</v>
      </c>
      <c r="C1477" s="2889" t="s">
        <v>1486</v>
      </c>
      <c r="D1477" s="2889" t="s">
        <v>1054</v>
      </c>
      <c r="E1477" s="2889" t="s">
        <v>217</v>
      </c>
      <c r="F1477" s="2890">
        <v>4.504606933838142E-35</v>
      </c>
      <c r="G1477" s="2890">
        <v>2.6624500171759199E-31</v>
      </c>
    </row>
    <row r="1478" spans="2:7" ht="15" hidden="1" outlineLevel="2">
      <c r="B1478" s="2889" t="s">
        <v>1407</v>
      </c>
      <c r="C1478" s="2889" t="s">
        <v>1487</v>
      </c>
      <c r="D1478" s="2889" t="s">
        <v>1054</v>
      </c>
      <c r="E1478" s="2889" t="s">
        <v>217</v>
      </c>
      <c r="F1478" s="3039">
        <v>5.3393198250496999E-3</v>
      </c>
      <c r="G1478" s="2890">
        <v>7.7049845249846376</v>
      </c>
    </row>
    <row r="1479" spans="2:7" ht="15" hidden="1" outlineLevel="2">
      <c r="B1479" s="2889" t="s">
        <v>1631</v>
      </c>
      <c r="C1479" s="2889" t="s">
        <v>1487</v>
      </c>
      <c r="D1479" s="2889" t="s">
        <v>1054</v>
      </c>
      <c r="E1479" s="2889" t="s">
        <v>217</v>
      </c>
      <c r="F1479" s="3039">
        <v>8.9533387765775768E-2</v>
      </c>
      <c r="G1479" s="2890">
        <v>127.86298104008107</v>
      </c>
    </row>
    <row r="1480" spans="2:7" ht="15" hidden="1" outlineLevel="2">
      <c r="B1480" s="2889" t="s">
        <v>1632</v>
      </c>
      <c r="C1480" s="2889" t="s">
        <v>1487</v>
      </c>
      <c r="D1480" s="2889" t="s">
        <v>1054</v>
      </c>
      <c r="E1480" s="2889" t="s">
        <v>217</v>
      </c>
      <c r="F1480" s="3039">
        <v>0.20441628618670513</v>
      </c>
      <c r="G1480" s="2890">
        <v>296.1710678964086</v>
      </c>
    </row>
    <row r="1481" spans="2:7" ht="15" hidden="1" outlineLevel="2">
      <c r="B1481" s="2889" t="s">
        <v>1633</v>
      </c>
      <c r="C1481" s="2889" t="s">
        <v>1487</v>
      </c>
      <c r="D1481" s="2889" t="s">
        <v>1054</v>
      </c>
      <c r="E1481" s="2889" t="s">
        <v>217</v>
      </c>
      <c r="F1481" s="2890">
        <v>1.6515243158937588E-2</v>
      </c>
      <c r="G1481" s="2890">
        <v>24.034911341426284</v>
      </c>
    </row>
    <row r="1482" spans="2:7" ht="15" hidden="1" outlineLevel="2">
      <c r="B1482" s="2889" t="s">
        <v>1634</v>
      </c>
      <c r="C1482" s="2889" t="s">
        <v>1487</v>
      </c>
      <c r="D1482" s="2889" t="s">
        <v>1054</v>
      </c>
      <c r="E1482" s="2889" t="s">
        <v>217</v>
      </c>
      <c r="F1482" s="2890">
        <v>3.057035976378727E-3</v>
      </c>
      <c r="G1482" s="2890">
        <v>4.4548029196942709</v>
      </c>
    </row>
    <row r="1483" spans="2:7" ht="15" hidden="1" outlineLevel="2">
      <c r="B1483" s="2889" t="s">
        <v>1635</v>
      </c>
      <c r="C1483" s="2889" t="s">
        <v>1487</v>
      </c>
      <c r="D1483" s="2889" t="s">
        <v>1054</v>
      </c>
      <c r="E1483" s="2889" t="s">
        <v>217</v>
      </c>
      <c r="F1483" s="2890">
        <v>2.5934053709689479E-2</v>
      </c>
      <c r="G1483" s="2890">
        <v>37.574847100157186</v>
      </c>
    </row>
    <row r="1484" spans="2:7" ht="15" hidden="1" outlineLevel="2">
      <c r="B1484" s="2889" t="s">
        <v>1636</v>
      </c>
      <c r="C1484" s="2889" t="s">
        <v>1487</v>
      </c>
      <c r="D1484" s="2889" t="s">
        <v>1054</v>
      </c>
      <c r="E1484" s="2889" t="s">
        <v>217</v>
      </c>
      <c r="F1484" s="2890">
        <v>2.2764035889633771E-2</v>
      </c>
      <c r="G1484" s="2890">
        <v>32.984942815794071</v>
      </c>
    </row>
    <row r="1485" spans="2:7" ht="15" hidden="1" outlineLevel="2">
      <c r="B1485" s="2889" t="s">
        <v>1637</v>
      </c>
      <c r="C1485" s="2889" t="s">
        <v>1487</v>
      </c>
      <c r="D1485" s="2889" t="s">
        <v>1054</v>
      </c>
      <c r="E1485" s="2889" t="s">
        <v>217</v>
      </c>
      <c r="F1485" s="2890">
        <v>3.7641383045452885E-2</v>
      </c>
      <c r="G1485" s="2890">
        <v>54.780258371951433</v>
      </c>
    </row>
    <row r="1486" spans="2:7" ht="15" hidden="1" outlineLevel="2">
      <c r="B1486" s="2889" t="s">
        <v>1638</v>
      </c>
      <c r="C1486" s="2889" t="s">
        <v>1487</v>
      </c>
      <c r="D1486" s="2889" t="s">
        <v>1054</v>
      </c>
      <c r="E1486" s="2889" t="s">
        <v>217</v>
      </c>
      <c r="F1486" s="2890">
        <v>4.90687233416292E-3</v>
      </c>
      <c r="G1486" s="2890">
        <v>7.1504389892337761</v>
      </c>
    </row>
    <row r="1487" spans="2:7" ht="15" hidden="1" outlineLevel="2">
      <c r="B1487" s="2889" t="s">
        <v>1639</v>
      </c>
      <c r="C1487" s="2889" t="s">
        <v>1487</v>
      </c>
      <c r="D1487" s="2889" t="s">
        <v>1054</v>
      </c>
      <c r="E1487" s="2889" t="s">
        <v>217</v>
      </c>
      <c r="F1487" s="2890">
        <v>4.5173201193825528E-2</v>
      </c>
      <c r="G1487" s="2890">
        <v>65.74130502562582</v>
      </c>
    </row>
    <row r="1488" spans="2:7" ht="15" hidden="1" outlineLevel="2">
      <c r="B1488" s="2889" t="s">
        <v>1640</v>
      </c>
      <c r="C1488" s="2889" t="s">
        <v>1487</v>
      </c>
      <c r="D1488" s="2889" t="s">
        <v>1054</v>
      </c>
      <c r="E1488" s="2889" t="s">
        <v>217</v>
      </c>
      <c r="F1488" s="2890">
        <v>1.0710773256576338E-2</v>
      </c>
      <c r="G1488" s="2890">
        <v>15.456357520948826</v>
      </c>
    </row>
    <row r="1489" spans="2:7" ht="15" hidden="1" outlineLevel="2">
      <c r="B1489" s="2889" t="s">
        <v>1641</v>
      </c>
      <c r="C1489" s="2889" t="s">
        <v>1487</v>
      </c>
      <c r="D1489" s="2889" t="s">
        <v>1054</v>
      </c>
      <c r="E1489" s="2889" t="s">
        <v>217</v>
      </c>
      <c r="F1489" s="2890">
        <v>5.4645117107831986E-2</v>
      </c>
      <c r="G1489" s="2890">
        <v>79.173203367900669</v>
      </c>
    </row>
    <row r="1490" spans="2:7" ht="15" hidden="1" outlineLevel="2">
      <c r="B1490" s="2889" t="s">
        <v>1642</v>
      </c>
      <c r="C1490" s="2889" t="s">
        <v>1487</v>
      </c>
      <c r="D1490" s="2889" t="s">
        <v>1054</v>
      </c>
      <c r="E1490" s="2889" t="s">
        <v>217</v>
      </c>
      <c r="F1490" s="2890">
        <v>3.9223408472152776E-2</v>
      </c>
      <c r="G1490" s="2890">
        <v>56.829239228527484</v>
      </c>
    </row>
    <row r="1491" spans="2:7" ht="15" hidden="1" outlineLevel="2">
      <c r="B1491" s="2889" t="s">
        <v>1643</v>
      </c>
      <c r="C1491" s="2889" t="s">
        <v>1487</v>
      </c>
      <c r="D1491" s="2889" t="s">
        <v>1054</v>
      </c>
      <c r="E1491" s="2889" t="s">
        <v>217</v>
      </c>
      <c r="F1491" s="2890">
        <v>5.8096567224137589E-3</v>
      </c>
      <c r="G1491" s="2890">
        <v>8.4021297389685703</v>
      </c>
    </row>
    <row r="1492" spans="2:7" ht="15" hidden="1" outlineLevel="2">
      <c r="B1492" s="2889" t="s">
        <v>1644</v>
      </c>
      <c r="C1492" s="2889" t="s">
        <v>1487</v>
      </c>
      <c r="D1492" s="2889" t="s">
        <v>1054</v>
      </c>
      <c r="E1492" s="2889" t="s">
        <v>217</v>
      </c>
      <c r="F1492" s="3039">
        <v>0.12711102683176856</v>
      </c>
      <c r="G1492" s="2890">
        <v>184.98698119634037</v>
      </c>
    </row>
    <row r="1493" spans="2:7" ht="15" hidden="1" outlineLevel="2">
      <c r="B1493" s="2889" t="s">
        <v>1645</v>
      </c>
      <c r="C1493" s="2889" t="s">
        <v>1487</v>
      </c>
      <c r="D1493" s="2889" t="s">
        <v>1054</v>
      </c>
      <c r="E1493" s="2889" t="s">
        <v>217</v>
      </c>
      <c r="F1493" s="3039">
        <v>0.14516478400622432</v>
      </c>
      <c r="G1493" s="2890">
        <v>211.26091058153278</v>
      </c>
    </row>
    <row r="1494" spans="2:7" ht="15" hidden="1" outlineLevel="2">
      <c r="B1494" s="2889" t="s">
        <v>1646</v>
      </c>
      <c r="C1494" s="2889" t="s">
        <v>1487</v>
      </c>
      <c r="D1494" s="2889" t="s">
        <v>1054</v>
      </c>
      <c r="E1494" s="2889" t="s">
        <v>217</v>
      </c>
      <c r="F1494" s="2890">
        <v>8.5267046324393678E-3</v>
      </c>
      <c r="G1494" s="2890">
        <v>12.354007941666024</v>
      </c>
    </row>
    <row r="1495" spans="2:7" ht="15" hidden="1" outlineLevel="2">
      <c r="B1495" s="2889" t="s">
        <v>1647</v>
      </c>
      <c r="C1495" s="2889" t="s">
        <v>1487</v>
      </c>
      <c r="D1495" s="2889" t="s">
        <v>1054</v>
      </c>
      <c r="E1495" s="2889" t="s">
        <v>217</v>
      </c>
      <c r="F1495" s="2890">
        <v>2.1162128358370197E-2</v>
      </c>
      <c r="G1495" s="2890">
        <v>30.838064647628972</v>
      </c>
    </row>
    <row r="1496" spans="2:7" ht="15" hidden="1" outlineLevel="2">
      <c r="B1496" s="2889" t="s">
        <v>1648</v>
      </c>
      <c r="C1496" s="2889" t="s">
        <v>1487</v>
      </c>
      <c r="D1496" s="2889" t="s">
        <v>1054</v>
      </c>
      <c r="E1496" s="2889" t="s">
        <v>217</v>
      </c>
      <c r="F1496" s="2890">
        <v>2.3725224419614403E-3</v>
      </c>
      <c r="G1496" s="2890">
        <v>3.4573095744893458</v>
      </c>
    </row>
    <row r="1497" spans="2:7" ht="15" hidden="1" outlineLevel="2">
      <c r="B1497" s="2889" t="s">
        <v>1649</v>
      </c>
      <c r="C1497" s="2889" t="s">
        <v>1487</v>
      </c>
      <c r="D1497" s="2889" t="s">
        <v>1054</v>
      </c>
      <c r="E1497" s="2889" t="s">
        <v>217</v>
      </c>
      <c r="F1497" s="2890">
        <v>1.1253595675030153E-2</v>
      </c>
      <c r="G1497" s="2890">
        <v>16.399063992205154</v>
      </c>
    </row>
    <row r="1498" spans="2:7" ht="15" hidden="1" outlineLevel="2">
      <c r="B1498" s="2889" t="s">
        <v>1650</v>
      </c>
      <c r="C1498" s="2889" t="s">
        <v>1487</v>
      </c>
      <c r="D1498" s="2889" t="s">
        <v>1054</v>
      </c>
      <c r="E1498" s="2889" t="s">
        <v>217</v>
      </c>
      <c r="F1498" s="2890">
        <v>2.8393519904483945E-2</v>
      </c>
      <c r="G1498" s="2890">
        <v>40.973764592472335</v>
      </c>
    </row>
    <row r="1499" spans="2:7" ht="15" hidden="1" outlineLevel="2">
      <c r="B1499" s="2889" t="s">
        <v>1651</v>
      </c>
      <c r="C1499" s="2889" t="s">
        <v>1487</v>
      </c>
      <c r="D1499" s="2889" t="s">
        <v>1054</v>
      </c>
      <c r="E1499" s="2889" t="s">
        <v>217</v>
      </c>
      <c r="F1499" s="2890">
        <v>1.5383942809834896E-2</v>
      </c>
      <c r="G1499" s="2890">
        <v>22.417935668409797</v>
      </c>
    </row>
    <row r="1500" spans="2:7" ht="15" hidden="1" outlineLevel="2">
      <c r="B1500" s="2889" t="s">
        <v>1652</v>
      </c>
      <c r="C1500" s="2889" t="s">
        <v>1487</v>
      </c>
      <c r="D1500" s="2889" t="s">
        <v>1054</v>
      </c>
      <c r="E1500" s="2889" t="s">
        <v>217</v>
      </c>
      <c r="F1500" s="2890">
        <v>1.6892926997875035E-2</v>
      </c>
      <c r="G1500" s="2890">
        <v>24.616848747697066</v>
      </c>
    </row>
    <row r="1501" spans="2:7" ht="15" hidden="1" outlineLevel="2">
      <c r="B1501" s="2889" t="s">
        <v>1653</v>
      </c>
      <c r="C1501" s="2889" t="s">
        <v>1487</v>
      </c>
      <c r="D1501" s="2889" t="s">
        <v>1054</v>
      </c>
      <c r="E1501" s="2889" t="s">
        <v>217</v>
      </c>
      <c r="F1501" s="2890">
        <v>1.1093063311404508E-34</v>
      </c>
      <c r="G1501" s="2890">
        <v>1.5540462074317711E-31</v>
      </c>
    </row>
    <row r="1502" spans="2:7" ht="15" hidden="1" outlineLevel="2">
      <c r="B1502" s="2889" t="s">
        <v>1407</v>
      </c>
      <c r="C1502" s="2889" t="s">
        <v>1488</v>
      </c>
      <c r="D1502" s="2889" t="s">
        <v>1054</v>
      </c>
      <c r="E1502" s="2889" t="s">
        <v>217</v>
      </c>
      <c r="F1502" s="2890">
        <v>3.3103406103199571E-3</v>
      </c>
      <c r="G1502" s="2890">
        <v>5.288033336867036</v>
      </c>
    </row>
    <row r="1503" spans="2:7" ht="15" hidden="1" outlineLevel="2">
      <c r="B1503" s="2889" t="s">
        <v>1631</v>
      </c>
      <c r="C1503" s="2889" t="s">
        <v>1488</v>
      </c>
      <c r="D1503" s="2889" t="s">
        <v>1054</v>
      </c>
      <c r="E1503" s="2889" t="s">
        <v>217</v>
      </c>
      <c r="F1503" s="2890">
        <v>5.5452066675657809E-2</v>
      </c>
      <c r="G1503" s="2890">
        <v>87.75405322223088</v>
      </c>
    </row>
    <row r="1504" spans="2:7" ht="15" hidden="1" outlineLevel="2">
      <c r="B1504" s="2889" t="s">
        <v>1632</v>
      </c>
      <c r="C1504" s="2889" t="s">
        <v>1488</v>
      </c>
      <c r="D1504" s="2889" t="s">
        <v>1054</v>
      </c>
      <c r="E1504" s="2889" t="s">
        <v>217</v>
      </c>
      <c r="F1504" s="2890">
        <v>0.1267880826158829</v>
      </c>
      <c r="G1504" s="2890">
        <v>203.26604939188658</v>
      </c>
    </row>
    <row r="1505" spans="2:7" ht="15" hidden="1" outlineLevel="2">
      <c r="B1505" s="2889" t="s">
        <v>1633</v>
      </c>
      <c r="C1505" s="2889" t="s">
        <v>1488</v>
      </c>
      <c r="D1505" s="2889" t="s">
        <v>1054</v>
      </c>
      <c r="E1505" s="2889" t="s">
        <v>217</v>
      </c>
      <c r="F1505" s="2890">
        <v>1.0248089026993375E-2</v>
      </c>
      <c r="G1505" s="2890">
        <v>16.495470047639301</v>
      </c>
    </row>
    <row r="1506" spans="2:7" ht="15" hidden="1" outlineLevel="2">
      <c r="B1506" s="2889" t="s">
        <v>1634</v>
      </c>
      <c r="C1506" s="2889" t="s">
        <v>1488</v>
      </c>
      <c r="D1506" s="2889" t="s">
        <v>1054</v>
      </c>
      <c r="E1506" s="2889" t="s">
        <v>217</v>
      </c>
      <c r="F1506" s="2890">
        <v>1.8972159504522228E-3</v>
      </c>
      <c r="G1506" s="2890">
        <v>3.057387402097441</v>
      </c>
    </row>
    <row r="1507" spans="2:7" ht="15" hidden="1" outlineLevel="2">
      <c r="B1507" s="2889" t="s">
        <v>1635</v>
      </c>
      <c r="C1507" s="2889" t="s">
        <v>1488</v>
      </c>
      <c r="D1507" s="2889" t="s">
        <v>1054</v>
      </c>
      <c r="E1507" s="2889" t="s">
        <v>217</v>
      </c>
      <c r="F1507" s="2890">
        <v>1.6085444213560004E-2</v>
      </c>
      <c r="G1507" s="2890">
        <v>25.788101606617854</v>
      </c>
    </row>
    <row r="1508" spans="2:7" ht="15" hidden="1" outlineLevel="2">
      <c r="B1508" s="2889" t="s">
        <v>1636</v>
      </c>
      <c r="C1508" s="2889" t="s">
        <v>1488</v>
      </c>
      <c r="D1508" s="2889" t="s">
        <v>1054</v>
      </c>
      <c r="E1508" s="2889" t="s">
        <v>217</v>
      </c>
      <c r="F1508" s="2890">
        <v>1.4119393301794148E-2</v>
      </c>
      <c r="G1508" s="2890">
        <v>22.638003707105074</v>
      </c>
    </row>
    <row r="1509" spans="2:7" ht="15" hidden="1" outlineLevel="2">
      <c r="B1509" s="2889" t="s">
        <v>1637</v>
      </c>
      <c r="C1509" s="2889" t="s">
        <v>1488</v>
      </c>
      <c r="D1509" s="2889" t="s">
        <v>1054</v>
      </c>
      <c r="E1509" s="2889" t="s">
        <v>217</v>
      </c>
      <c r="F1509" s="3039">
        <v>2.3357375775249808E-2</v>
      </c>
      <c r="G1509" s="2890">
        <v>37.596380757625482</v>
      </c>
    </row>
    <row r="1510" spans="2:7" ht="15" hidden="1" outlineLevel="2">
      <c r="B1510" s="2889" t="s">
        <v>1638</v>
      </c>
      <c r="C1510" s="2889" t="s">
        <v>1488</v>
      </c>
      <c r="D1510" s="2889" t="s">
        <v>1054</v>
      </c>
      <c r="E1510" s="2889" t="s">
        <v>217</v>
      </c>
      <c r="F1510" s="3039">
        <v>3.0452370802144259E-3</v>
      </c>
      <c r="G1510" s="2890">
        <v>4.9074391607036425</v>
      </c>
    </row>
    <row r="1511" spans="2:7" ht="15" hidden="1" outlineLevel="2">
      <c r="B1511" s="2889" t="s">
        <v>1639</v>
      </c>
      <c r="C1511" s="2889" t="s">
        <v>1488</v>
      </c>
      <c r="D1511" s="2889" t="s">
        <v>1054</v>
      </c>
      <c r="E1511" s="2889" t="s">
        <v>217</v>
      </c>
      <c r="F1511" s="3039">
        <v>2.8031019134722203E-2</v>
      </c>
      <c r="G1511" s="2890">
        <v>45.119141515557111</v>
      </c>
    </row>
    <row r="1512" spans="2:7" ht="15" hidden="1" outlineLevel="2">
      <c r="B1512" s="2889" t="s">
        <v>1640</v>
      </c>
      <c r="C1512" s="2889" t="s">
        <v>1488</v>
      </c>
      <c r="D1512" s="2889" t="s">
        <v>1054</v>
      </c>
      <c r="E1512" s="2889" t="s">
        <v>217</v>
      </c>
      <c r="F1512" s="3039">
        <v>6.6406083486204841E-3</v>
      </c>
      <c r="G1512" s="2890">
        <v>10.607896345828177</v>
      </c>
    </row>
    <row r="1513" spans="2:7" ht="15" hidden="1" outlineLevel="2">
      <c r="B1513" s="2889" t="s">
        <v>1641</v>
      </c>
      <c r="C1513" s="2889" t="s">
        <v>1488</v>
      </c>
      <c r="D1513" s="2889" t="s">
        <v>1054</v>
      </c>
      <c r="E1513" s="2889" t="s">
        <v>217</v>
      </c>
      <c r="F1513" s="3039">
        <v>3.3893286407440375E-2</v>
      </c>
      <c r="G1513" s="2890">
        <v>54.337547976930551</v>
      </c>
    </row>
    <row r="1514" spans="2:7" ht="15" hidden="1" outlineLevel="2">
      <c r="B1514" s="2889" t="s">
        <v>1642</v>
      </c>
      <c r="C1514" s="2889" t="s">
        <v>1488</v>
      </c>
      <c r="D1514" s="2889" t="s">
        <v>1054</v>
      </c>
      <c r="E1514" s="2889" t="s">
        <v>217</v>
      </c>
      <c r="F1514" s="3039">
        <v>2.4328082004007268E-2</v>
      </c>
      <c r="G1514" s="2890">
        <v>39.002672018541062</v>
      </c>
    </row>
    <row r="1515" spans="2:7" ht="15" hidden="1" outlineLevel="2">
      <c r="B1515" s="2889" t="s">
        <v>1643</v>
      </c>
      <c r="C1515" s="2889" t="s">
        <v>1488</v>
      </c>
      <c r="D1515" s="2889" t="s">
        <v>1054</v>
      </c>
      <c r="E1515" s="2889" t="s">
        <v>217</v>
      </c>
      <c r="F1515" s="3039">
        <v>3.6027456409736328E-3</v>
      </c>
      <c r="G1515" s="2890">
        <v>5.7664931887694575</v>
      </c>
    </row>
    <row r="1516" spans="2:7" ht="15" hidden="1" outlineLevel="2">
      <c r="B1516" s="2889" t="s">
        <v>1644</v>
      </c>
      <c r="C1516" s="2889" t="s">
        <v>1488</v>
      </c>
      <c r="D1516" s="2889" t="s">
        <v>1054</v>
      </c>
      <c r="E1516" s="2889" t="s">
        <v>217</v>
      </c>
      <c r="F1516" s="3039">
        <v>7.8875390416495397E-2</v>
      </c>
      <c r="G1516" s="2890">
        <v>126.95896122421105</v>
      </c>
    </row>
    <row r="1517" spans="2:7" ht="15" hidden="1" outlineLevel="2">
      <c r="B1517" s="2889" t="s">
        <v>1645</v>
      </c>
      <c r="C1517" s="2889" t="s">
        <v>1488</v>
      </c>
      <c r="D1517" s="2889" t="s">
        <v>1054</v>
      </c>
      <c r="E1517" s="2889" t="s">
        <v>217</v>
      </c>
      <c r="F1517" s="3039">
        <v>9.0078171615274011E-2</v>
      </c>
      <c r="G1517" s="2890">
        <v>144.99114397208555</v>
      </c>
    </row>
    <row r="1518" spans="2:7" ht="15" hidden="1" outlineLevel="2">
      <c r="B1518" s="2889" t="s">
        <v>1646</v>
      </c>
      <c r="C1518" s="2889" t="s">
        <v>1488</v>
      </c>
      <c r="D1518" s="2889" t="s">
        <v>1054</v>
      </c>
      <c r="E1518" s="2889" t="s">
        <v>217</v>
      </c>
      <c r="F1518" s="3039">
        <v>5.2886386641339692E-3</v>
      </c>
      <c r="G1518" s="2890">
        <v>8.4787187325651416</v>
      </c>
    </row>
    <row r="1519" spans="2:7" ht="15" hidden="1" outlineLevel="2">
      <c r="B1519" s="2889" t="s">
        <v>1647</v>
      </c>
      <c r="C1519" s="2889" t="s">
        <v>1488</v>
      </c>
      <c r="D1519" s="2889" t="s">
        <v>1054</v>
      </c>
      <c r="E1519" s="2889" t="s">
        <v>217</v>
      </c>
      <c r="F1519" s="2890">
        <v>1.3133351097044383E-2</v>
      </c>
      <c r="G1519" s="2890">
        <v>21.164566221096404</v>
      </c>
    </row>
    <row r="1520" spans="2:7" ht="15" hidden="1" outlineLevel="2">
      <c r="B1520" s="2889" t="s">
        <v>1648</v>
      </c>
      <c r="C1520" s="2889" t="s">
        <v>1488</v>
      </c>
      <c r="D1520" s="2889" t="s">
        <v>1054</v>
      </c>
      <c r="E1520" s="2889" t="s">
        <v>217</v>
      </c>
      <c r="F1520" s="2890">
        <v>1.4724029773079436E-3</v>
      </c>
      <c r="G1520" s="2890">
        <v>2.3727957349666298</v>
      </c>
    </row>
    <row r="1521" spans="2:7" ht="15" hidden="1" outlineLevel="2">
      <c r="B1521" s="2889" t="s">
        <v>1649</v>
      </c>
      <c r="C1521" s="2889" t="s">
        <v>1488</v>
      </c>
      <c r="D1521" s="2889" t="s">
        <v>1054</v>
      </c>
      <c r="E1521" s="2889" t="s">
        <v>217</v>
      </c>
      <c r="F1521" s="3039">
        <v>6.9840520178042417E-3</v>
      </c>
      <c r="G1521" s="2890">
        <v>11.25488556841451</v>
      </c>
    </row>
    <row r="1522" spans="2:7" ht="15" hidden="1" outlineLevel="2">
      <c r="B1522" s="2889" t="s">
        <v>1650</v>
      </c>
      <c r="C1522" s="2889" t="s">
        <v>1488</v>
      </c>
      <c r="D1522" s="2889" t="s">
        <v>1054</v>
      </c>
      <c r="E1522" s="2889" t="s">
        <v>217</v>
      </c>
      <c r="F1522" s="2890">
        <v>1.7603790575566686E-2</v>
      </c>
      <c r="G1522" s="2890">
        <v>28.12081523578625</v>
      </c>
    </row>
    <row r="1523" spans="2:7" ht="15" hidden="1" outlineLevel="2">
      <c r="B1523" s="2889" t="s">
        <v>1651</v>
      </c>
      <c r="C1523" s="2889" t="s">
        <v>1488</v>
      </c>
      <c r="D1523" s="2889" t="s">
        <v>1054</v>
      </c>
      <c r="E1523" s="2889" t="s">
        <v>217</v>
      </c>
      <c r="F1523" s="2890">
        <v>9.5473763614551642E-3</v>
      </c>
      <c r="G1523" s="2890">
        <v>15.385721142870356</v>
      </c>
    </row>
    <row r="1524" spans="2:7" ht="15" hidden="1" outlineLevel="2">
      <c r="B1524" s="2889" t="s">
        <v>1652</v>
      </c>
      <c r="C1524" s="2889" t="s">
        <v>1488</v>
      </c>
      <c r="D1524" s="2889" t="s">
        <v>1054</v>
      </c>
      <c r="E1524" s="2889" t="s">
        <v>217</v>
      </c>
      <c r="F1524" s="2890">
        <v>1.0483854868132024E-2</v>
      </c>
      <c r="G1524" s="2890">
        <v>16.894870028766086</v>
      </c>
    </row>
    <row r="1525" spans="2:7" ht="15" hidden="1" outlineLevel="2">
      <c r="B1525" s="2889" t="s">
        <v>1653</v>
      </c>
      <c r="C1525" s="2889" t="s">
        <v>1488</v>
      </c>
      <c r="D1525" s="2889" t="s">
        <v>1054</v>
      </c>
      <c r="E1525" s="2889" t="s">
        <v>217</v>
      </c>
      <c r="F1525" s="2890">
        <v>9.9999841675024043E-33</v>
      </c>
      <c r="G1525" s="2890">
        <v>1.3023641966440594E-29</v>
      </c>
    </row>
    <row r="1526" spans="2:7" ht="15" hidden="1" outlineLevel="2">
      <c r="B1526" s="2889" t="s">
        <v>1407</v>
      </c>
      <c r="C1526" s="2889" t="s">
        <v>1489</v>
      </c>
      <c r="D1526" s="2889" t="s">
        <v>1054</v>
      </c>
      <c r="E1526" s="2889" t="s">
        <v>217</v>
      </c>
      <c r="F1526" s="2890">
        <v>1.6674982661846964E-3</v>
      </c>
      <c r="G1526" s="2890">
        <v>1.7423591884838927</v>
      </c>
    </row>
    <row r="1527" spans="2:7" ht="15" hidden="1" outlineLevel="2">
      <c r="B1527" s="2889" t="s">
        <v>1631</v>
      </c>
      <c r="C1527" s="2889" t="s">
        <v>1489</v>
      </c>
      <c r="D1527" s="2889" t="s">
        <v>1054</v>
      </c>
      <c r="E1527" s="2889" t="s">
        <v>217</v>
      </c>
      <c r="F1527" s="2890">
        <v>2.7956649512240389E-2</v>
      </c>
      <c r="G1527" s="2890">
        <v>28.914162741830111</v>
      </c>
    </row>
    <row r="1528" spans="2:7" ht="15" hidden="1" outlineLevel="2">
      <c r="B1528" s="2889" t="s">
        <v>1632</v>
      </c>
      <c r="C1528" s="2889" t="s">
        <v>1489</v>
      </c>
      <c r="D1528" s="2889" t="s">
        <v>1054</v>
      </c>
      <c r="E1528" s="2889" t="s">
        <v>217</v>
      </c>
      <c r="F1528" s="2890">
        <v>6.3844896985083638E-2</v>
      </c>
      <c r="G1528" s="2890">
        <v>66.974308623725491</v>
      </c>
    </row>
    <row r="1529" spans="2:7" ht="15" hidden="1" outlineLevel="2">
      <c r="B1529" s="2889" t="s">
        <v>1633</v>
      </c>
      <c r="C1529" s="2889" t="s">
        <v>1489</v>
      </c>
      <c r="D1529" s="2889" t="s">
        <v>1054</v>
      </c>
      <c r="E1529" s="2889" t="s">
        <v>217</v>
      </c>
      <c r="F1529" s="2890">
        <v>5.1585676965125518E-3</v>
      </c>
      <c r="G1529" s="2890">
        <v>5.4351088608429787</v>
      </c>
    </row>
    <row r="1530" spans="2:7" ht="15" hidden="1" outlineLevel="2">
      <c r="B1530" s="2889" t="s">
        <v>1634</v>
      </c>
      <c r="C1530" s="2889" t="s">
        <v>1489</v>
      </c>
      <c r="D1530" s="2889" t="s">
        <v>1054</v>
      </c>
      <c r="E1530" s="2889" t="s">
        <v>217</v>
      </c>
      <c r="F1530" s="2890">
        <v>9.5489417115571294E-4</v>
      </c>
      <c r="G1530" s="2890">
        <v>1.0073816231320221</v>
      </c>
    </row>
    <row r="1531" spans="2:7" ht="15" hidden="1" outlineLevel="2">
      <c r="B1531" s="2889" t="s">
        <v>1635</v>
      </c>
      <c r="C1531" s="2889" t="s">
        <v>1489</v>
      </c>
      <c r="D1531" s="2889" t="s">
        <v>1054</v>
      </c>
      <c r="E1531" s="2889" t="s">
        <v>217</v>
      </c>
      <c r="F1531" s="2890">
        <v>8.0999188843776677E-3</v>
      </c>
      <c r="G1531" s="2890">
        <v>8.4969468176300165</v>
      </c>
    </row>
    <row r="1532" spans="2:7" ht="15" hidden="1" outlineLevel="2">
      <c r="B1532" s="2889" t="s">
        <v>1636</v>
      </c>
      <c r="C1532" s="2889" t="s">
        <v>1489</v>
      </c>
      <c r="D1532" s="2889" t="s">
        <v>1054</v>
      </c>
      <c r="E1532" s="2889" t="s">
        <v>217</v>
      </c>
      <c r="F1532" s="2890">
        <v>7.1098522677548988E-3</v>
      </c>
      <c r="G1532" s="2890">
        <v>7.4590178834742922</v>
      </c>
    </row>
    <row r="1533" spans="2:7" ht="15" hidden="1" outlineLevel="2">
      <c r="B1533" s="2889" t="s">
        <v>1637</v>
      </c>
      <c r="C1533" s="2889" t="s">
        <v>1489</v>
      </c>
      <c r="D1533" s="2889" t="s">
        <v>1054</v>
      </c>
      <c r="E1533" s="2889" t="s">
        <v>217</v>
      </c>
      <c r="F1533" s="2890">
        <v>1.1757368234064111E-2</v>
      </c>
      <c r="G1533" s="2890">
        <v>12.387664284195946</v>
      </c>
    </row>
    <row r="1534" spans="2:7" ht="15" hidden="1" outlineLevel="2">
      <c r="B1534" s="2889" t="s">
        <v>1638</v>
      </c>
      <c r="C1534" s="2889" t="s">
        <v>1489</v>
      </c>
      <c r="D1534" s="2889" t="s">
        <v>1054</v>
      </c>
      <c r="E1534" s="2889" t="s">
        <v>217</v>
      </c>
      <c r="F1534" s="2890">
        <v>1.5327084604590581E-3</v>
      </c>
      <c r="G1534" s="2890">
        <v>1.6169568228253335</v>
      </c>
    </row>
    <row r="1535" spans="2:7" ht="15" hidden="1" outlineLevel="2">
      <c r="B1535" s="2889" t="s">
        <v>1639</v>
      </c>
      <c r="C1535" s="2889" t="s">
        <v>1489</v>
      </c>
      <c r="D1535" s="2889" t="s">
        <v>1054</v>
      </c>
      <c r="E1535" s="2889" t="s">
        <v>217</v>
      </c>
      <c r="F1535" s="2890">
        <v>1.4109939860902176E-2</v>
      </c>
      <c r="G1535" s="2890">
        <v>14.866340683713981</v>
      </c>
    </row>
    <row r="1536" spans="2:7" ht="15" hidden="1" outlineLevel="2">
      <c r="B1536" s="2889" t="s">
        <v>1640</v>
      </c>
      <c r="C1536" s="2889" t="s">
        <v>1489</v>
      </c>
      <c r="D1536" s="2889" t="s">
        <v>1054</v>
      </c>
      <c r="E1536" s="2889" t="s">
        <v>217</v>
      </c>
      <c r="F1536" s="2890">
        <v>3.3450330753355428E-3</v>
      </c>
      <c r="G1536" s="2890">
        <v>3.4952073605644891</v>
      </c>
    </row>
    <row r="1537" spans="2:7" ht="15" hidden="1" outlineLevel="2">
      <c r="B1537" s="2889" t="s">
        <v>1641</v>
      </c>
      <c r="C1537" s="2889" t="s">
        <v>1489</v>
      </c>
      <c r="D1537" s="2889" t="s">
        <v>1054</v>
      </c>
      <c r="E1537" s="2889" t="s">
        <v>217</v>
      </c>
      <c r="F1537" s="2890">
        <v>1.7067163441156136E-2</v>
      </c>
      <c r="G1537" s="2890">
        <v>17.903729312556393</v>
      </c>
    </row>
    <row r="1538" spans="2:7" ht="15" hidden="1" outlineLevel="2">
      <c r="B1538" s="2889" t="s">
        <v>1642</v>
      </c>
      <c r="C1538" s="2889" t="s">
        <v>1489</v>
      </c>
      <c r="D1538" s="2889" t="s">
        <v>1054</v>
      </c>
      <c r="E1538" s="2889" t="s">
        <v>217</v>
      </c>
      <c r="F1538" s="2890">
        <v>1.2250554028453707E-2</v>
      </c>
      <c r="G1538" s="2890">
        <v>12.85101702751423</v>
      </c>
    </row>
    <row r="1539" spans="2:7" ht="15" hidden="1" outlineLevel="2">
      <c r="B1539" s="2889" t="s">
        <v>1643</v>
      </c>
      <c r="C1539" s="2889" t="s">
        <v>1489</v>
      </c>
      <c r="D1539" s="2889" t="s">
        <v>1054</v>
      </c>
      <c r="E1539" s="2889" t="s">
        <v>217</v>
      </c>
      <c r="F1539" s="2890">
        <v>1.8144578028780757E-3</v>
      </c>
      <c r="G1539" s="2890">
        <v>1.9000064542108166</v>
      </c>
    </row>
    <row r="1540" spans="2:7" ht="15" hidden="1" outlineLevel="2">
      <c r="B1540" s="2889" t="s">
        <v>1644</v>
      </c>
      <c r="C1540" s="2889" t="s">
        <v>1489</v>
      </c>
      <c r="D1540" s="2889" t="s">
        <v>1054</v>
      </c>
      <c r="E1540" s="2889" t="s">
        <v>217</v>
      </c>
      <c r="F1540" s="2890">
        <v>3.9703402227266121E-2</v>
      </c>
      <c r="G1540" s="2890">
        <v>41.831831126756654</v>
      </c>
    </row>
    <row r="1541" spans="2:7" ht="15" hidden="1" outlineLevel="2">
      <c r="B1541" s="2889" t="s">
        <v>1645</v>
      </c>
      <c r="C1541" s="2889" t="s">
        <v>1489</v>
      </c>
      <c r="D1541" s="2889" t="s">
        <v>1054</v>
      </c>
      <c r="E1541" s="2889" t="s">
        <v>217</v>
      </c>
      <c r="F1541" s="2890">
        <v>4.5342535818840353E-2</v>
      </c>
      <c r="G1541" s="2890">
        <v>47.773265304127733</v>
      </c>
    </row>
    <row r="1542" spans="2:7" ht="15" hidden="1" outlineLevel="2">
      <c r="B1542" s="2889" t="s">
        <v>1646</v>
      </c>
      <c r="C1542" s="2889" t="s">
        <v>1489</v>
      </c>
      <c r="D1542" s="2889" t="s">
        <v>1054</v>
      </c>
      <c r="E1542" s="2889" t="s">
        <v>217</v>
      </c>
      <c r="F1542" s="3039">
        <v>2.6631252024846902E-3</v>
      </c>
      <c r="G1542" s="2890">
        <v>2.7936613719433252</v>
      </c>
    </row>
    <row r="1543" spans="2:7" ht="15" hidden="1" outlineLevel="2">
      <c r="B1543" s="2889" t="s">
        <v>1647</v>
      </c>
      <c r="C1543" s="2889" t="s">
        <v>1489</v>
      </c>
      <c r="D1543" s="2889" t="s">
        <v>1054</v>
      </c>
      <c r="E1543" s="2889" t="s">
        <v>217</v>
      </c>
      <c r="F1543" s="3039">
        <v>6.6101909650428748E-3</v>
      </c>
      <c r="G1543" s="2890">
        <v>6.9735336102156591</v>
      </c>
    </row>
    <row r="1544" spans="2:7" ht="15" hidden="1" outlineLevel="2">
      <c r="B1544" s="2889" t="s">
        <v>1648</v>
      </c>
      <c r="C1544" s="2889" t="s">
        <v>1489</v>
      </c>
      <c r="D1544" s="2889" t="s">
        <v>1054</v>
      </c>
      <c r="E1544" s="2889" t="s">
        <v>217</v>
      </c>
      <c r="F1544" s="3039">
        <v>7.4107992732697114E-4</v>
      </c>
      <c r="G1544" s="2890">
        <v>0.78181478079180466</v>
      </c>
    </row>
    <row r="1545" spans="2:7" ht="15" hidden="1" outlineLevel="2">
      <c r="B1545" s="2889" t="s">
        <v>1649</v>
      </c>
      <c r="C1545" s="2889" t="s">
        <v>1489</v>
      </c>
      <c r="D1545" s="2889" t="s">
        <v>1054</v>
      </c>
      <c r="E1545" s="2889" t="s">
        <v>217</v>
      </c>
      <c r="F1545" s="3039">
        <v>3.5151675075415266E-3</v>
      </c>
      <c r="G1545" s="2890">
        <v>3.7083852876024226</v>
      </c>
    </row>
    <row r="1546" spans="2:7" ht="15" hidden="1" outlineLevel="2">
      <c r="B1546" s="2889" t="s">
        <v>1650</v>
      </c>
      <c r="C1546" s="2889" t="s">
        <v>1489</v>
      </c>
      <c r="D1546" s="2889" t="s">
        <v>1054</v>
      </c>
      <c r="E1546" s="2889" t="s">
        <v>217</v>
      </c>
      <c r="F1546" s="3039">
        <v>8.8674558441865902E-3</v>
      </c>
      <c r="G1546" s="2890">
        <v>9.2655523470312957</v>
      </c>
    </row>
    <row r="1547" spans="2:7" ht="15" hidden="1" outlineLevel="2">
      <c r="B1547" s="2889" t="s">
        <v>1651</v>
      </c>
      <c r="C1547" s="2889" t="s">
        <v>1489</v>
      </c>
      <c r="D1547" s="2889" t="s">
        <v>1054</v>
      </c>
      <c r="E1547" s="2889" t="s">
        <v>217</v>
      </c>
      <c r="F1547" s="3039">
        <v>4.8053217768195102E-3</v>
      </c>
      <c r="G1547" s="2890">
        <v>5.0694566580504965</v>
      </c>
    </row>
    <row r="1548" spans="2:7" ht="15" hidden="1" outlineLevel="2">
      <c r="B1548" s="2889" t="s">
        <v>1652</v>
      </c>
      <c r="C1548" s="2889" t="s">
        <v>1489</v>
      </c>
      <c r="D1548" s="2889" t="s">
        <v>1054</v>
      </c>
      <c r="E1548" s="2889" t="s">
        <v>217</v>
      </c>
      <c r="F1548" s="2890">
        <v>5.2766650558513824E-3</v>
      </c>
      <c r="G1548" s="2890">
        <v>5.5667056667213499</v>
      </c>
    </row>
    <row r="1549" spans="2:7" ht="15" hidden="1" outlineLevel="2">
      <c r="B1549" s="2889" t="s">
        <v>1653</v>
      </c>
      <c r="C1549" s="2889" t="s">
        <v>1489</v>
      </c>
      <c r="D1549" s="2889" t="s">
        <v>1054</v>
      </c>
      <c r="E1549" s="2889" t="s">
        <v>217</v>
      </c>
      <c r="F1549" s="2890">
        <v>1.3378774024136669E-33</v>
      </c>
      <c r="G1549" s="2890">
        <v>1.5687843423089569E-30</v>
      </c>
    </row>
    <row r="1550" spans="2:7" ht="15" hidden="1" outlineLevel="2">
      <c r="B1550" s="2889" t="s">
        <v>1407</v>
      </c>
      <c r="C1550" s="2889" t="s">
        <v>1490</v>
      </c>
      <c r="D1550" s="2889" t="s">
        <v>1054</v>
      </c>
      <c r="E1550" s="2889" t="s">
        <v>217</v>
      </c>
      <c r="F1550" s="2890">
        <v>7.7692727787547378E-4</v>
      </c>
      <c r="G1550" s="2890">
        <v>1.2308575538862856</v>
      </c>
    </row>
    <row r="1551" spans="2:7" ht="15" hidden="1" outlineLevel="2">
      <c r="B1551" s="2889" t="s">
        <v>1631</v>
      </c>
      <c r="C1551" s="2889" t="s">
        <v>1490</v>
      </c>
      <c r="D1551" s="2889" t="s">
        <v>1054</v>
      </c>
      <c r="E1551" s="2889" t="s">
        <v>217</v>
      </c>
      <c r="F1551" s="2890">
        <v>1.2994631924494258E-2</v>
      </c>
      <c r="G1551" s="2890">
        <v>20.425876570073228</v>
      </c>
    </row>
    <row r="1552" spans="2:7" ht="15" hidden="1" outlineLevel="2">
      <c r="B1552" s="2889" t="s">
        <v>1632</v>
      </c>
      <c r="C1552" s="2889" t="s">
        <v>1490</v>
      </c>
      <c r="D1552" s="2889" t="s">
        <v>1054</v>
      </c>
      <c r="E1552" s="2889" t="s">
        <v>217</v>
      </c>
      <c r="F1552" s="2890">
        <v>2.9774306789756268E-2</v>
      </c>
      <c r="G1552" s="2890">
        <v>47.312777291445258</v>
      </c>
    </row>
    <row r="1553" spans="2:7" ht="15" hidden="1" outlineLevel="2">
      <c r="B1553" s="2889" t="s">
        <v>1633</v>
      </c>
      <c r="C1553" s="2889" t="s">
        <v>1490</v>
      </c>
      <c r="D1553" s="2889" t="s">
        <v>1054</v>
      </c>
      <c r="E1553" s="2889" t="s">
        <v>217</v>
      </c>
      <c r="F1553" s="2890">
        <v>2.4081884053820716E-3</v>
      </c>
      <c r="G1553" s="2890">
        <v>3.8395334144719246</v>
      </c>
    </row>
    <row r="1554" spans="2:7" ht="15" hidden="1" outlineLevel="2">
      <c r="B1554" s="2889" t="s">
        <v>1634</v>
      </c>
      <c r="C1554" s="2889" t="s">
        <v>1490</v>
      </c>
      <c r="D1554" s="2889" t="s">
        <v>1054</v>
      </c>
      <c r="E1554" s="2889" t="s">
        <v>217</v>
      </c>
      <c r="F1554" s="2890">
        <v>4.4591123197610955E-4</v>
      </c>
      <c r="G1554" s="2890">
        <v>0.71164633055443249</v>
      </c>
    </row>
    <row r="1555" spans="2:7" ht="15" hidden="1" outlineLevel="2">
      <c r="B1555" s="2889" t="s">
        <v>1635</v>
      </c>
      <c r="C1555" s="2889" t="s">
        <v>1490</v>
      </c>
      <c r="D1555" s="2889" t="s">
        <v>1054</v>
      </c>
      <c r="E1555" s="2889" t="s">
        <v>217</v>
      </c>
      <c r="F1555" s="2890">
        <v>3.7774291049893606E-3</v>
      </c>
      <c r="G1555" s="2890">
        <v>6.0025125252576137</v>
      </c>
    </row>
    <row r="1556" spans="2:7" ht="15" hidden="1" outlineLevel="2">
      <c r="B1556" s="2889" t="s">
        <v>1636</v>
      </c>
      <c r="C1556" s="2889" t="s">
        <v>1490</v>
      </c>
      <c r="D1556" s="2889" t="s">
        <v>1054</v>
      </c>
      <c r="E1556" s="2889" t="s">
        <v>217</v>
      </c>
      <c r="F1556" s="2890">
        <v>3.3157763943667071E-3</v>
      </c>
      <c r="G1556" s="2890">
        <v>5.2692873499703339</v>
      </c>
    </row>
    <row r="1557" spans="2:7" ht="15" hidden="1" outlineLevel="2">
      <c r="B1557" s="2889" t="s">
        <v>1637</v>
      </c>
      <c r="C1557" s="2889" t="s">
        <v>1490</v>
      </c>
      <c r="D1557" s="2889" t="s">
        <v>1054</v>
      </c>
      <c r="E1557" s="2889" t="s">
        <v>217</v>
      </c>
      <c r="F1557" s="2890">
        <v>5.4887267597359974E-3</v>
      </c>
      <c r="G1557" s="2890">
        <v>8.7510339113744173</v>
      </c>
    </row>
    <row r="1558" spans="2:7" ht="15" hidden="1" outlineLevel="2">
      <c r="B1558" s="2889" t="s">
        <v>1638</v>
      </c>
      <c r="C1558" s="2889" t="s">
        <v>1490</v>
      </c>
      <c r="D1558" s="2889" t="s">
        <v>1054</v>
      </c>
      <c r="E1558" s="2889" t="s">
        <v>217</v>
      </c>
      <c r="F1558" s="2890">
        <v>7.1573546444358722E-4</v>
      </c>
      <c r="G1558" s="2890">
        <v>1.1422702605344375</v>
      </c>
    </row>
    <row r="1559" spans="2:7" ht="15" hidden="1" outlineLevel="2">
      <c r="B1559" s="2889" t="s">
        <v>1639</v>
      </c>
      <c r="C1559" s="2889" t="s">
        <v>1490</v>
      </c>
      <c r="D1559" s="2889" t="s">
        <v>1054</v>
      </c>
      <c r="E1559" s="2889" t="s">
        <v>217</v>
      </c>
      <c r="F1559" s="2890">
        <v>6.5869802633671554E-3</v>
      </c>
      <c r="G1559" s="2890">
        <v>10.502063640684286</v>
      </c>
    </row>
    <row r="1560" spans="2:7" ht="15" hidden="1" outlineLevel="2">
      <c r="B1560" s="2889" t="s">
        <v>1640</v>
      </c>
      <c r="C1560" s="2889" t="s">
        <v>1490</v>
      </c>
      <c r="D1560" s="2889" t="s">
        <v>1054</v>
      </c>
      <c r="E1560" s="2889" t="s">
        <v>217</v>
      </c>
      <c r="F1560" s="2890">
        <v>1.5585316636509891E-3</v>
      </c>
      <c r="G1560" s="2890">
        <v>2.4691239449128535</v>
      </c>
    </row>
    <row r="1561" spans="2:7" ht="15" hidden="1" outlineLevel="2">
      <c r="B1561" s="2889" t="s">
        <v>1641</v>
      </c>
      <c r="C1561" s="2889" t="s">
        <v>1490</v>
      </c>
      <c r="D1561" s="2889" t="s">
        <v>1054</v>
      </c>
      <c r="E1561" s="2889" t="s">
        <v>217</v>
      </c>
      <c r="F1561" s="2890">
        <v>7.9593406719046036E-3</v>
      </c>
      <c r="G1561" s="2890">
        <v>12.647765756651916</v>
      </c>
    </row>
    <row r="1562" spans="2:7" ht="15" hidden="1" outlineLevel="2">
      <c r="B1562" s="2889" t="s">
        <v>1642</v>
      </c>
      <c r="C1562" s="2889" t="s">
        <v>1490</v>
      </c>
      <c r="D1562" s="2889" t="s">
        <v>1054</v>
      </c>
      <c r="E1562" s="2889" t="s">
        <v>217</v>
      </c>
      <c r="F1562" s="2890">
        <v>5.7130946191812949E-3</v>
      </c>
      <c r="G1562" s="2890">
        <v>9.0783724197196118</v>
      </c>
    </row>
    <row r="1563" spans="2:7" ht="15" hidden="1" outlineLevel="2">
      <c r="B1563" s="2889" t="s">
        <v>1643</v>
      </c>
      <c r="C1563" s="2889" t="s">
        <v>1490</v>
      </c>
      <c r="D1563" s="2889" t="s">
        <v>1054</v>
      </c>
      <c r="E1563" s="2889" t="s">
        <v>217</v>
      </c>
      <c r="F1563" s="2890">
        <v>8.458262820319239E-4</v>
      </c>
      <c r="G1563" s="2890">
        <v>1.3422244252642226</v>
      </c>
    </row>
    <row r="1564" spans="2:7" ht="15" hidden="1" outlineLevel="2">
      <c r="B1564" s="2889" t="s">
        <v>1644</v>
      </c>
      <c r="C1564" s="2889" t="s">
        <v>1490</v>
      </c>
      <c r="D1564" s="2889" t="s">
        <v>1054</v>
      </c>
      <c r="E1564" s="2889" t="s">
        <v>217</v>
      </c>
      <c r="F1564" s="2890">
        <v>1.8534852354382979E-2</v>
      </c>
      <c r="G1564" s="2890">
        <v>29.551335518688099</v>
      </c>
    </row>
    <row r="1565" spans="2:7" ht="15" hidden="1" outlineLevel="2">
      <c r="B1565" s="2889" t="s">
        <v>1645</v>
      </c>
      <c r="C1565" s="2889" t="s">
        <v>1490</v>
      </c>
      <c r="D1565" s="2889" t="s">
        <v>1054</v>
      </c>
      <c r="E1565" s="2889" t="s">
        <v>217</v>
      </c>
      <c r="F1565" s="2890">
        <v>2.1167384282546501E-2</v>
      </c>
      <c r="G1565" s="2890">
        <v>33.748545599238625</v>
      </c>
    </row>
    <row r="1566" spans="2:7" ht="15" hidden="1" outlineLevel="2">
      <c r="B1566" s="2889" t="s">
        <v>1646</v>
      </c>
      <c r="C1566" s="2889" t="s">
        <v>1490</v>
      </c>
      <c r="D1566" s="2889" t="s">
        <v>1054</v>
      </c>
      <c r="E1566" s="2889" t="s">
        <v>217</v>
      </c>
      <c r="F1566" s="2890">
        <v>1.2419587380555338E-3</v>
      </c>
      <c r="G1566" s="2890">
        <v>1.9735309144422348</v>
      </c>
    </row>
    <row r="1567" spans="2:7" ht="15" hidden="1" outlineLevel="2">
      <c r="B1567" s="2889" t="s">
        <v>1647</v>
      </c>
      <c r="C1567" s="2889" t="s">
        <v>1490</v>
      </c>
      <c r="D1567" s="2889" t="s">
        <v>1054</v>
      </c>
      <c r="E1567" s="2889" t="s">
        <v>217</v>
      </c>
      <c r="F1567" s="2890">
        <v>3.0867903854900204E-3</v>
      </c>
      <c r="G1567" s="2890">
        <v>4.9263246421715374</v>
      </c>
    </row>
    <row r="1568" spans="2:7" ht="15" hidden="1" outlineLevel="2">
      <c r="B1568" s="2889" t="s">
        <v>1648</v>
      </c>
      <c r="C1568" s="2889" t="s">
        <v>1490</v>
      </c>
      <c r="D1568" s="2889" t="s">
        <v>1054</v>
      </c>
      <c r="E1568" s="2889" t="s">
        <v>217</v>
      </c>
      <c r="F1568" s="2890">
        <v>3.4606536769126632E-4</v>
      </c>
      <c r="G1568" s="2890">
        <v>0.55229865551432544</v>
      </c>
    </row>
    <row r="1569" spans="2:7" ht="15" hidden="1" outlineLevel="2">
      <c r="B1569" s="2889" t="s">
        <v>1649</v>
      </c>
      <c r="C1569" s="2889" t="s">
        <v>1490</v>
      </c>
      <c r="D1569" s="2889" t="s">
        <v>1054</v>
      </c>
      <c r="E1569" s="2889" t="s">
        <v>217</v>
      </c>
      <c r="F1569" s="2890">
        <v>1.6414933486810191E-3</v>
      </c>
      <c r="G1569" s="2890">
        <v>2.6197204352138903</v>
      </c>
    </row>
    <row r="1570" spans="2:7" ht="15" hidden="1" outlineLevel="2">
      <c r="B1570" s="2889" t="s">
        <v>1650</v>
      </c>
      <c r="C1570" s="2889" t="s">
        <v>1490</v>
      </c>
      <c r="D1570" s="2889" t="s">
        <v>1054</v>
      </c>
      <c r="E1570" s="2889" t="s">
        <v>217</v>
      </c>
      <c r="F1570" s="2890">
        <v>4.1315594028742027E-3</v>
      </c>
      <c r="G1570" s="2890">
        <v>6.5454798931552025</v>
      </c>
    </row>
    <row r="1571" spans="2:7" ht="15" hidden="1" outlineLevel="2">
      <c r="B1571" s="2889" t="s">
        <v>1651</v>
      </c>
      <c r="C1571" s="2889" t="s">
        <v>1490</v>
      </c>
      <c r="D1571" s="2889" t="s">
        <v>1054</v>
      </c>
      <c r="E1571" s="2889" t="s">
        <v>217</v>
      </c>
      <c r="F1571" s="2890">
        <v>2.2439635639761295E-3</v>
      </c>
      <c r="G1571" s="2890">
        <v>3.5812248277846779</v>
      </c>
    </row>
    <row r="1572" spans="2:7" ht="15" hidden="1" outlineLevel="2">
      <c r="B1572" s="2889" t="s">
        <v>1652</v>
      </c>
      <c r="C1572" s="2889" t="s">
        <v>1490</v>
      </c>
      <c r="D1572" s="2889" t="s">
        <v>1054</v>
      </c>
      <c r="E1572" s="2889" t="s">
        <v>217</v>
      </c>
      <c r="F1572" s="2890">
        <v>2.4640673377183558E-3</v>
      </c>
      <c r="G1572" s="2890">
        <v>3.932498989331306</v>
      </c>
    </row>
    <row r="1573" spans="2:7" ht="15" hidden="1" outlineLevel="2">
      <c r="B1573" s="2889" t="s">
        <v>1653</v>
      </c>
      <c r="C1573" s="2889" t="s">
        <v>1490</v>
      </c>
      <c r="D1573" s="2889" t="s">
        <v>1054</v>
      </c>
      <c r="E1573" s="2889" t="s">
        <v>217</v>
      </c>
      <c r="F1573" s="2890">
        <v>7.4273721289766249E-35</v>
      </c>
      <c r="G1573" s="2890">
        <v>1.1561437038615444E-31</v>
      </c>
    </row>
    <row r="1574" spans="2:7" ht="15" hidden="1" outlineLevel="2">
      <c r="B1574" s="2889" t="s">
        <v>1407</v>
      </c>
      <c r="C1574" s="2889" t="s">
        <v>1533</v>
      </c>
      <c r="D1574" s="2889" t="s">
        <v>1106</v>
      </c>
      <c r="E1574" s="2889" t="s">
        <v>217</v>
      </c>
      <c r="F1574" s="2890">
        <v>1.5213487945923707E-2</v>
      </c>
      <c r="G1574" s="2890">
        <v>16.121582572880097</v>
      </c>
    </row>
    <row r="1575" spans="2:7" ht="15" hidden="1" outlineLevel="2">
      <c r="B1575" s="2889" t="s">
        <v>1631</v>
      </c>
      <c r="C1575" s="2889" t="s">
        <v>1533</v>
      </c>
      <c r="D1575" s="2889" t="s">
        <v>1106</v>
      </c>
      <c r="E1575" s="2889" t="s">
        <v>217</v>
      </c>
      <c r="F1575" s="2890">
        <v>6.4999079531758361E-2</v>
      </c>
      <c r="G1575" s="2890">
        <v>68.31038307665645</v>
      </c>
    </row>
    <row r="1576" spans="2:7" ht="15" hidden="1" outlineLevel="2">
      <c r="B1576" s="2889" t="s">
        <v>1632</v>
      </c>
      <c r="C1576" s="2889" t="s">
        <v>1533</v>
      </c>
      <c r="D1576" s="2889" t="s">
        <v>1106</v>
      </c>
      <c r="E1576" s="2889" t="s">
        <v>217</v>
      </c>
      <c r="F1576" s="2890">
        <v>0.11752235067220348</v>
      </c>
      <c r="G1576" s="2890">
        <v>125.01342704825485</v>
      </c>
    </row>
    <row r="1577" spans="2:7" ht="15" hidden="1" outlineLevel="2">
      <c r="B1577" s="2889" t="s">
        <v>1633</v>
      </c>
      <c r="C1577" s="2889" t="s">
        <v>1533</v>
      </c>
      <c r="D1577" s="2889" t="s">
        <v>1106</v>
      </c>
      <c r="E1577" s="2889" t="s">
        <v>217</v>
      </c>
      <c r="F1577" s="2890">
        <v>3.1322339779011848E-3</v>
      </c>
      <c r="G1577" s="2890">
        <v>3.3451536773093613</v>
      </c>
    </row>
    <row r="1578" spans="2:7" ht="15" hidden="1" outlineLevel="2">
      <c r="B1578" s="2889" t="s">
        <v>1634</v>
      </c>
      <c r="C1578" s="2889" t="s">
        <v>1533</v>
      </c>
      <c r="D1578" s="2889" t="s">
        <v>1106</v>
      </c>
      <c r="E1578" s="2889" t="s">
        <v>217</v>
      </c>
      <c r="F1578" s="2890">
        <v>7.5825981585375575E-3</v>
      </c>
      <c r="G1578" s="2890">
        <v>8.1050029384108129</v>
      </c>
    </row>
    <row r="1579" spans="2:7" ht="15" hidden="1" outlineLevel="2">
      <c r="B1579" s="2889" t="s">
        <v>1635</v>
      </c>
      <c r="C1579" s="2889" t="s">
        <v>1533</v>
      </c>
      <c r="D1579" s="2889" t="s">
        <v>1106</v>
      </c>
      <c r="E1579" s="2889" t="s">
        <v>217</v>
      </c>
      <c r="F1579" s="2890">
        <v>1.637924803889465E-2</v>
      </c>
      <c r="G1579" s="2890">
        <v>17.423298631607793</v>
      </c>
    </row>
    <row r="1580" spans="2:7" ht="15" hidden="1" outlineLevel="2">
      <c r="B1580" s="2889" t="s">
        <v>1636</v>
      </c>
      <c r="C1580" s="2889" t="s">
        <v>1533</v>
      </c>
      <c r="D1580" s="2889" t="s">
        <v>1106</v>
      </c>
      <c r="E1580" s="2889" t="s">
        <v>217</v>
      </c>
      <c r="F1580" s="2890">
        <v>1.49373867446263E-2</v>
      </c>
      <c r="G1580" s="2890">
        <v>15.890699504536363</v>
      </c>
    </row>
    <row r="1581" spans="2:7" ht="15" hidden="1" outlineLevel="2">
      <c r="B1581" s="2889" t="s">
        <v>1637</v>
      </c>
      <c r="C1581" s="2889" t="s">
        <v>1533</v>
      </c>
      <c r="D1581" s="2889" t="s">
        <v>1106</v>
      </c>
      <c r="E1581" s="2889" t="s">
        <v>217</v>
      </c>
      <c r="F1581" s="2890">
        <v>5.1720938974191806E-3</v>
      </c>
      <c r="G1581" s="2890">
        <v>5.5236816032044196</v>
      </c>
    </row>
    <row r="1582" spans="2:7" ht="15" hidden="1" outlineLevel="2">
      <c r="B1582" s="2889" t="s">
        <v>1638</v>
      </c>
      <c r="C1582" s="2889" t="s">
        <v>1533</v>
      </c>
      <c r="D1582" s="2889" t="s">
        <v>1106</v>
      </c>
      <c r="E1582" s="2889" t="s">
        <v>217</v>
      </c>
      <c r="F1582" s="2890">
        <v>1.0731384687763731E-2</v>
      </c>
      <c r="G1582" s="2890">
        <v>11.324895939563417</v>
      </c>
    </row>
    <row r="1583" spans="2:7" ht="15" hidden="1" outlineLevel="2">
      <c r="B1583" s="2889" t="s">
        <v>1639</v>
      </c>
      <c r="C1583" s="2889" t="s">
        <v>1533</v>
      </c>
      <c r="D1583" s="2889" t="s">
        <v>1106</v>
      </c>
      <c r="E1583" s="2889" t="s">
        <v>217</v>
      </c>
      <c r="F1583" s="2890">
        <v>3.9477167613563027E-2</v>
      </c>
      <c r="G1583" s="2890">
        <v>42.160711308315491</v>
      </c>
    </row>
    <row r="1584" spans="2:7" ht="15" hidden="1" outlineLevel="2">
      <c r="B1584" s="2889" t="s">
        <v>1640</v>
      </c>
      <c r="C1584" s="2889" t="s">
        <v>1533</v>
      </c>
      <c r="D1584" s="2889" t="s">
        <v>1106</v>
      </c>
      <c r="E1584" s="2889" t="s">
        <v>217</v>
      </c>
      <c r="F1584" s="2890">
        <v>3.9099877627100724E-3</v>
      </c>
      <c r="G1584" s="2890">
        <v>4.143372622936031</v>
      </c>
    </row>
    <row r="1585" spans="2:7" ht="15" hidden="1" outlineLevel="2">
      <c r="B1585" s="2889" t="s">
        <v>1641</v>
      </c>
      <c r="C1585" s="2889" t="s">
        <v>1533</v>
      </c>
      <c r="D1585" s="2889" t="s">
        <v>1106</v>
      </c>
      <c r="E1585" s="2889" t="s">
        <v>217</v>
      </c>
      <c r="F1585" s="2890">
        <v>2.645061454633274E-2</v>
      </c>
      <c r="G1585" s="2890">
        <v>28.136632427405448</v>
      </c>
    </row>
    <row r="1586" spans="2:7" ht="15" hidden="1" outlineLevel="2">
      <c r="B1586" s="2889" t="s">
        <v>1642</v>
      </c>
      <c r="C1586" s="2889" t="s">
        <v>1533</v>
      </c>
      <c r="D1586" s="2889" t="s">
        <v>1106</v>
      </c>
      <c r="E1586" s="2889" t="s">
        <v>217</v>
      </c>
      <c r="F1586" s="2890">
        <v>3.5923986006507001E-2</v>
      </c>
      <c r="G1586" s="2890">
        <v>38.213830774558339</v>
      </c>
    </row>
    <row r="1587" spans="2:7" ht="15" hidden="1" outlineLevel="2">
      <c r="B1587" s="2889" t="s">
        <v>1643</v>
      </c>
      <c r="C1587" s="2889" t="s">
        <v>1533</v>
      </c>
      <c r="D1587" s="2889" t="s">
        <v>1106</v>
      </c>
      <c r="E1587" s="2889" t="s">
        <v>217</v>
      </c>
      <c r="F1587" s="2890">
        <v>4.8402610954992433E-3</v>
      </c>
      <c r="G1587" s="2890">
        <v>5.1419402006522743</v>
      </c>
    </row>
    <row r="1588" spans="2:7" ht="15" hidden="1" outlineLevel="2">
      <c r="B1588" s="2889" t="s">
        <v>1644</v>
      </c>
      <c r="C1588" s="2889" t="s">
        <v>1533</v>
      </c>
      <c r="D1588" s="2889" t="s">
        <v>1106</v>
      </c>
      <c r="E1588" s="2889" t="s">
        <v>217</v>
      </c>
      <c r="F1588" s="3039">
        <v>6.6229954265306451E-2</v>
      </c>
      <c r="G1588" s="2890">
        <v>70.732053087906706</v>
      </c>
    </row>
    <row r="1589" spans="2:7" ht="15" hidden="1" outlineLevel="2">
      <c r="B1589" s="2889" t="s">
        <v>1645</v>
      </c>
      <c r="C1589" s="2889" t="s">
        <v>1533</v>
      </c>
      <c r="D1589" s="2889" t="s">
        <v>1106</v>
      </c>
      <c r="E1589" s="2889" t="s">
        <v>217</v>
      </c>
      <c r="F1589" s="3039">
        <v>4.8627803536123622E-2</v>
      </c>
      <c r="G1589" s="2890">
        <v>51.933390848799085</v>
      </c>
    </row>
    <row r="1590" spans="2:7" ht="15" hidden="1" outlineLevel="2">
      <c r="B1590" s="2889" t="s">
        <v>1646</v>
      </c>
      <c r="C1590" s="2889" t="s">
        <v>1533</v>
      </c>
      <c r="D1590" s="2889" t="s">
        <v>1106</v>
      </c>
      <c r="E1590" s="2889" t="s">
        <v>217</v>
      </c>
      <c r="F1590" s="3039">
        <v>3.9989941401296861E-3</v>
      </c>
      <c r="G1590" s="2890">
        <v>4.2538944306374269</v>
      </c>
    </row>
    <row r="1591" spans="2:7" ht="15" hidden="1" outlineLevel="2">
      <c r="B1591" s="2889" t="s">
        <v>1647</v>
      </c>
      <c r="C1591" s="2889" t="s">
        <v>1533</v>
      </c>
      <c r="D1591" s="2889" t="s">
        <v>1106</v>
      </c>
      <c r="E1591" s="2889" t="s">
        <v>217</v>
      </c>
      <c r="F1591" s="3039">
        <v>2.1438058094865654E-3</v>
      </c>
      <c r="G1591" s="2890">
        <v>2.2915036852323509</v>
      </c>
    </row>
    <row r="1592" spans="2:7" ht="15" hidden="1" outlineLevel="2">
      <c r="B1592" s="2889" t="s">
        <v>1648</v>
      </c>
      <c r="C1592" s="2889" t="s">
        <v>1533</v>
      </c>
      <c r="D1592" s="2889" t="s">
        <v>1106</v>
      </c>
      <c r="E1592" s="2889" t="s">
        <v>217</v>
      </c>
      <c r="F1592" s="3039">
        <v>1.4590749894531321E-3</v>
      </c>
      <c r="G1592" s="2890">
        <v>1.5595986469633485</v>
      </c>
    </row>
    <row r="1593" spans="2:7" ht="15" hidden="1" outlineLevel="2">
      <c r="B1593" s="2889" t="s">
        <v>1649</v>
      </c>
      <c r="C1593" s="2889" t="s">
        <v>1533</v>
      </c>
      <c r="D1593" s="2889" t="s">
        <v>1106</v>
      </c>
      <c r="E1593" s="2889" t="s">
        <v>217</v>
      </c>
      <c r="F1593" s="3039">
        <v>1.0252585822422521E-2</v>
      </c>
      <c r="G1593" s="2890">
        <v>10.958948589093893</v>
      </c>
    </row>
    <row r="1594" spans="2:7" ht="15" hidden="1" outlineLevel="2">
      <c r="B1594" s="2889" t="s">
        <v>1650</v>
      </c>
      <c r="C1594" s="2889" t="s">
        <v>1533</v>
      </c>
      <c r="D1594" s="2889" t="s">
        <v>1106</v>
      </c>
      <c r="E1594" s="2889" t="s">
        <v>217</v>
      </c>
      <c r="F1594" s="3039">
        <v>3.7129822650086991E-2</v>
      </c>
      <c r="G1594" s="2890">
        <v>39.346077312132827</v>
      </c>
    </row>
    <row r="1595" spans="2:7" ht="15" hidden="1" outlineLevel="2">
      <c r="B1595" s="2889" t="s">
        <v>1651</v>
      </c>
      <c r="C1595" s="2889" t="s">
        <v>1533</v>
      </c>
      <c r="D1595" s="2889" t="s">
        <v>1106</v>
      </c>
      <c r="E1595" s="2889" t="s">
        <v>217</v>
      </c>
      <c r="F1595" s="3039">
        <v>1.8602631201337757E-2</v>
      </c>
      <c r="G1595" s="2890">
        <v>19.884245098114253</v>
      </c>
    </row>
    <row r="1596" spans="2:7" ht="15" hidden="1" outlineLevel="2">
      <c r="B1596" s="2889" t="s">
        <v>1652</v>
      </c>
      <c r="C1596" s="2889" t="s">
        <v>1533</v>
      </c>
      <c r="D1596" s="2889" t="s">
        <v>1106</v>
      </c>
      <c r="E1596" s="2889" t="s">
        <v>217</v>
      </c>
      <c r="F1596" s="3039">
        <v>4.86664772951928E-3</v>
      </c>
      <c r="G1596" s="2890">
        <v>4.8426040666188399</v>
      </c>
    </row>
    <row r="1597" spans="2:7" ht="15" hidden="1" outlineLevel="2">
      <c r="B1597" s="2889" t="s">
        <v>1653</v>
      </c>
      <c r="C1597" s="2889" t="s">
        <v>1533</v>
      </c>
      <c r="D1597" s="2889" t="s">
        <v>1106</v>
      </c>
      <c r="E1597" s="2889" t="s">
        <v>217</v>
      </c>
      <c r="F1597" s="3039">
        <v>8.9166915397259433E-2</v>
      </c>
      <c r="G1597" s="2890">
        <v>94.850497481921465</v>
      </c>
    </row>
    <row r="1598" spans="2:7" ht="15" hidden="1" outlineLevel="2">
      <c r="B1598" s="2889" t="s">
        <v>1407</v>
      </c>
      <c r="C1598" s="2889" t="s">
        <v>1534</v>
      </c>
      <c r="D1598" s="2889" t="s">
        <v>1106</v>
      </c>
      <c r="E1598" s="2889" t="s">
        <v>217</v>
      </c>
      <c r="F1598" s="3039">
        <v>1.3833928443991507E-2</v>
      </c>
      <c r="G1598" s="2890">
        <v>47.740332808858454</v>
      </c>
    </row>
    <row r="1599" spans="2:7" ht="15" hidden="1" outlineLevel="2">
      <c r="B1599" s="2889" t="s">
        <v>1631</v>
      </c>
      <c r="C1599" s="2889" t="s">
        <v>1534</v>
      </c>
      <c r="D1599" s="2889" t="s">
        <v>1106</v>
      </c>
      <c r="E1599" s="2889" t="s">
        <v>217</v>
      </c>
      <c r="F1599" s="3039">
        <v>5.9119199692486461E-2</v>
      </c>
      <c r="G1599" s="2890">
        <v>202.28545366487577</v>
      </c>
    </row>
    <row r="1600" spans="2:7" ht="15" hidden="1" outlineLevel="2">
      <c r="B1600" s="2889" t="s">
        <v>1632</v>
      </c>
      <c r="C1600" s="2889" t="s">
        <v>1534</v>
      </c>
      <c r="D1600" s="2889" t="s">
        <v>1106</v>
      </c>
      <c r="E1600" s="2889" t="s">
        <v>217</v>
      </c>
      <c r="F1600" s="3039">
        <v>0.10685348586416167</v>
      </c>
      <c r="G1600" s="2890">
        <v>370.1985804071499</v>
      </c>
    </row>
    <row r="1601" spans="2:7" ht="15" hidden="1" outlineLevel="2">
      <c r="B1601" s="2889" t="s">
        <v>1633</v>
      </c>
      <c r="C1601" s="2889" t="s">
        <v>1534</v>
      </c>
      <c r="D1601" s="2889" t="s">
        <v>1106</v>
      </c>
      <c r="E1601" s="2889" t="s">
        <v>217</v>
      </c>
      <c r="F1601" s="3039">
        <v>2.8475511534117211E-3</v>
      </c>
      <c r="G1601" s="2890">
        <v>9.9059041064606372</v>
      </c>
    </row>
    <row r="1602" spans="2:7" ht="15" hidden="1" outlineLevel="2">
      <c r="B1602" s="2889" t="s">
        <v>1634</v>
      </c>
      <c r="C1602" s="2889" t="s">
        <v>1534</v>
      </c>
      <c r="D1602" s="2889" t="s">
        <v>1106</v>
      </c>
      <c r="E1602" s="2889" t="s">
        <v>217</v>
      </c>
      <c r="F1602" s="3039">
        <v>6.8932562975588703E-3</v>
      </c>
      <c r="G1602" s="2890">
        <v>24.001085114896568</v>
      </c>
    </row>
    <row r="1603" spans="2:7" ht="15" hidden="1" outlineLevel="2">
      <c r="B1603" s="2889" t="s">
        <v>1635</v>
      </c>
      <c r="C1603" s="2889" t="s">
        <v>1534</v>
      </c>
      <c r="D1603" s="2889" t="s">
        <v>1106</v>
      </c>
      <c r="E1603" s="2889" t="s">
        <v>217</v>
      </c>
      <c r="F1603" s="3039">
        <v>1.4892312256483516E-2</v>
      </c>
      <c r="G1603" s="2890">
        <v>51.595084187382454</v>
      </c>
    </row>
    <row r="1604" spans="2:7" ht="15" hidden="1" outlineLevel="2">
      <c r="B1604" s="2889" t="s">
        <v>1636</v>
      </c>
      <c r="C1604" s="2889" t="s">
        <v>1534</v>
      </c>
      <c r="D1604" s="2889" t="s">
        <v>1106</v>
      </c>
      <c r="E1604" s="2889" t="s">
        <v>217</v>
      </c>
      <c r="F1604" s="3039">
        <v>1.358131409967772E-2</v>
      </c>
      <c r="G1604" s="2890">
        <v>47.056671666416712</v>
      </c>
    </row>
    <row r="1605" spans="2:7" ht="15" hidden="1" outlineLevel="2">
      <c r="B1605" s="2889" t="s">
        <v>1637</v>
      </c>
      <c r="C1605" s="2889" t="s">
        <v>1534</v>
      </c>
      <c r="D1605" s="2889" t="s">
        <v>1106</v>
      </c>
      <c r="E1605" s="2889" t="s">
        <v>217</v>
      </c>
      <c r="F1605" s="3039">
        <v>4.7020147561236073E-3</v>
      </c>
      <c r="G1605" s="2890">
        <v>16.357114774187643</v>
      </c>
    </row>
    <row r="1606" spans="2:7" ht="15" hidden="1" outlineLevel="2">
      <c r="B1606" s="2889" t="s">
        <v>1638</v>
      </c>
      <c r="C1606" s="2889" t="s">
        <v>1534</v>
      </c>
      <c r="D1606" s="2889" t="s">
        <v>1106</v>
      </c>
      <c r="E1606" s="2889" t="s">
        <v>217</v>
      </c>
      <c r="F1606" s="3039">
        <v>9.6317589134150977E-3</v>
      </c>
      <c r="G1606" s="2890">
        <v>33.100828733274916</v>
      </c>
    </row>
    <row r="1607" spans="2:7" ht="15" hidden="1" outlineLevel="2">
      <c r="B1607" s="2889" t="s">
        <v>1639</v>
      </c>
      <c r="C1607" s="2889" t="s">
        <v>1534</v>
      </c>
      <c r="D1607" s="2889" t="s">
        <v>1106</v>
      </c>
      <c r="E1607" s="2889" t="s">
        <v>217</v>
      </c>
      <c r="F1607" s="3039">
        <v>3.5889180268609953E-2</v>
      </c>
      <c r="G1607" s="2890">
        <v>124.84930689731237</v>
      </c>
    </row>
    <row r="1608" spans="2:7" ht="15" hidden="1" outlineLevel="2">
      <c r="B1608" s="2889" t="s">
        <v>1640</v>
      </c>
      <c r="C1608" s="2889" t="s">
        <v>1534</v>
      </c>
      <c r="D1608" s="2889" t="s">
        <v>1106</v>
      </c>
      <c r="E1608" s="2889" t="s">
        <v>217</v>
      </c>
      <c r="F1608" s="3039">
        <v>3.5554288136190855E-3</v>
      </c>
      <c r="G1608" s="2890">
        <v>12.269647567082133</v>
      </c>
    </row>
    <row r="1609" spans="2:7" ht="15" hidden="1" outlineLevel="2">
      <c r="B1609" s="2889" t="s">
        <v>1641</v>
      </c>
      <c r="C1609" s="2889" t="s">
        <v>1534</v>
      </c>
      <c r="D1609" s="2889" t="s">
        <v>1106</v>
      </c>
      <c r="E1609" s="2889" t="s">
        <v>217</v>
      </c>
      <c r="F1609" s="3039">
        <v>2.4049372059505834E-2</v>
      </c>
      <c r="G1609" s="2890">
        <v>83.3201407745008</v>
      </c>
    </row>
    <row r="1610" spans="2:7" ht="15" hidden="1" outlineLevel="2">
      <c r="B1610" s="2889" t="s">
        <v>1642</v>
      </c>
      <c r="C1610" s="2889" t="s">
        <v>1534</v>
      </c>
      <c r="D1610" s="2889" t="s">
        <v>1106</v>
      </c>
      <c r="E1610" s="2889" t="s">
        <v>217</v>
      </c>
      <c r="F1610" s="3039">
        <v>3.2662736250075708E-2</v>
      </c>
      <c r="G1610" s="2890">
        <v>113.16149660668259</v>
      </c>
    </row>
    <row r="1611" spans="2:7" ht="15" hidden="1" outlineLevel="2">
      <c r="B1611" s="2889" t="s">
        <v>1643</v>
      </c>
      <c r="C1611" s="2889" t="s">
        <v>1534</v>
      </c>
      <c r="D1611" s="2889" t="s">
        <v>1106</v>
      </c>
      <c r="E1611" s="2889" t="s">
        <v>217</v>
      </c>
      <c r="F1611" s="3039">
        <v>4.4010267406730591E-3</v>
      </c>
      <c r="G1611" s="2890">
        <v>15.226672523699087</v>
      </c>
    </row>
    <row r="1612" spans="2:7" ht="15" hidden="1" outlineLevel="2">
      <c r="B1612" s="2889" t="s">
        <v>1644</v>
      </c>
      <c r="C1612" s="2889" t="s">
        <v>1534</v>
      </c>
      <c r="D1612" s="2889" t="s">
        <v>1106</v>
      </c>
      <c r="E1612" s="2889" t="s">
        <v>217</v>
      </c>
      <c r="F1612" s="3039">
        <v>6.0210442373786151E-2</v>
      </c>
      <c r="G1612" s="2890">
        <v>209.45676887995367</v>
      </c>
    </row>
    <row r="1613" spans="2:7" ht="15" hidden="1" outlineLevel="2">
      <c r="B1613" s="2889" t="s">
        <v>1645</v>
      </c>
      <c r="C1613" s="2889" t="s">
        <v>1534</v>
      </c>
      <c r="D1613" s="2889" t="s">
        <v>1106</v>
      </c>
      <c r="E1613" s="2889" t="s">
        <v>217</v>
      </c>
      <c r="F1613" s="2890">
        <v>4.4208126217943559E-2</v>
      </c>
      <c r="G1613" s="2890">
        <v>153.78869560900375</v>
      </c>
    </row>
    <row r="1614" spans="2:7" ht="15" hidden="1" outlineLevel="2">
      <c r="B1614" s="2889" t="s">
        <v>1646</v>
      </c>
      <c r="C1614" s="2889" t="s">
        <v>1534</v>
      </c>
      <c r="D1614" s="2889" t="s">
        <v>1106</v>
      </c>
      <c r="E1614" s="2889" t="s">
        <v>217</v>
      </c>
      <c r="F1614" s="2890">
        <v>3.6359566733543025E-3</v>
      </c>
      <c r="G1614" s="2890">
        <v>12.59693507885504</v>
      </c>
    </row>
    <row r="1615" spans="2:7" ht="15" hidden="1" outlineLevel="2">
      <c r="B1615" s="2889" t="s">
        <v>1647</v>
      </c>
      <c r="C1615" s="2889" t="s">
        <v>1534</v>
      </c>
      <c r="D1615" s="2889" t="s">
        <v>1106</v>
      </c>
      <c r="E1615" s="2889" t="s">
        <v>217</v>
      </c>
      <c r="F1615" s="2890">
        <v>1.9489112524140348E-3</v>
      </c>
      <c r="G1615" s="2890">
        <v>6.7857643976469397</v>
      </c>
    </row>
    <row r="1616" spans="2:7" ht="15" hidden="1" outlineLevel="2">
      <c r="B1616" s="2889" t="s">
        <v>1648</v>
      </c>
      <c r="C1616" s="2889" t="s">
        <v>1534</v>
      </c>
      <c r="D1616" s="2889" t="s">
        <v>1106</v>
      </c>
      <c r="E1616" s="2889" t="s">
        <v>217</v>
      </c>
      <c r="F1616" s="2890">
        <v>1.3264296209603212E-3</v>
      </c>
      <c r="G1616" s="2890">
        <v>4.6183900474138033</v>
      </c>
    </row>
    <row r="1617" spans="2:7" ht="15" hidden="1" outlineLevel="2">
      <c r="B1617" s="2889" t="s">
        <v>1649</v>
      </c>
      <c r="C1617" s="2889" t="s">
        <v>1534</v>
      </c>
      <c r="D1617" s="2889" t="s">
        <v>1106</v>
      </c>
      <c r="E1617" s="2889" t="s">
        <v>217</v>
      </c>
      <c r="F1617" s="2890">
        <v>9.3205179377346559E-3</v>
      </c>
      <c r="G1617" s="2890">
        <v>32.452359586445766</v>
      </c>
    </row>
    <row r="1618" spans="2:7" ht="15" hidden="1" outlineLevel="2">
      <c r="B1618" s="2889" t="s">
        <v>1650</v>
      </c>
      <c r="C1618" s="2889" t="s">
        <v>1534</v>
      </c>
      <c r="D1618" s="2889" t="s">
        <v>1106</v>
      </c>
      <c r="E1618" s="2889" t="s">
        <v>217</v>
      </c>
      <c r="F1618" s="2890">
        <v>3.3762874863268538E-2</v>
      </c>
      <c r="G1618" s="2890">
        <v>116.51438481627349</v>
      </c>
    </row>
    <row r="1619" spans="2:7" ht="15" hidden="1" outlineLevel="2">
      <c r="B1619" s="2889" t="s">
        <v>1651</v>
      </c>
      <c r="C1619" s="2889" t="s">
        <v>1534</v>
      </c>
      <c r="D1619" s="2889" t="s">
        <v>1106</v>
      </c>
      <c r="E1619" s="2889" t="s">
        <v>217</v>
      </c>
      <c r="F1619" s="2890">
        <v>1.6911457413295226E-2</v>
      </c>
      <c r="G1619" s="2890">
        <v>58.88264417107186</v>
      </c>
    </row>
    <row r="1620" spans="2:7" ht="15" hidden="1" outlineLevel="2">
      <c r="B1620" s="2889" t="s">
        <v>1652</v>
      </c>
      <c r="C1620" s="2889" t="s">
        <v>1534</v>
      </c>
      <c r="D1620" s="2889" t="s">
        <v>1106</v>
      </c>
      <c r="E1620" s="2889" t="s">
        <v>217</v>
      </c>
      <c r="F1620" s="2890">
        <v>4.1251006761173648E-3</v>
      </c>
      <c r="G1620" s="2890">
        <v>14.340248505412191</v>
      </c>
    </row>
    <row r="1621" spans="2:7" ht="15" hidden="1" outlineLevel="2">
      <c r="B1621" s="2889" t="s">
        <v>1653</v>
      </c>
      <c r="C1621" s="2889" t="s">
        <v>1534</v>
      </c>
      <c r="D1621" s="2889" t="s">
        <v>1106</v>
      </c>
      <c r="E1621" s="2889" t="s">
        <v>217</v>
      </c>
      <c r="F1621" s="2890">
        <v>8.1072203141179341E-2</v>
      </c>
      <c r="G1621" s="2890">
        <v>280.87822818993857</v>
      </c>
    </row>
    <row r="1622" spans="2:7" ht="15" hidden="1" outlineLevel="2">
      <c r="B1622" s="2889" t="s">
        <v>1407</v>
      </c>
      <c r="C1622" s="2889" t="s">
        <v>1535</v>
      </c>
      <c r="D1622" s="2889" t="s">
        <v>1106</v>
      </c>
      <c r="E1622" s="2889" t="s">
        <v>217</v>
      </c>
      <c r="F1622" s="2890">
        <v>5.1795970225510827E-3</v>
      </c>
      <c r="G1622" s="2890">
        <v>12.056931147145857</v>
      </c>
    </row>
    <row r="1623" spans="2:7" ht="15" hidden="1" outlineLevel="2">
      <c r="B1623" s="2889" t="s">
        <v>1631</v>
      </c>
      <c r="C1623" s="2889" t="s">
        <v>1535</v>
      </c>
      <c r="D1623" s="2889" t="s">
        <v>1106</v>
      </c>
      <c r="E1623" s="2889" t="s">
        <v>217</v>
      </c>
      <c r="F1623" s="2890">
        <v>2.2167644747385438E-2</v>
      </c>
      <c r="G1623" s="2890">
        <v>51.08770233517486</v>
      </c>
    </row>
    <row r="1624" spans="2:7" ht="15" hidden="1" outlineLevel="2">
      <c r="B1624" s="2889" t="s">
        <v>1632</v>
      </c>
      <c r="C1624" s="2889" t="s">
        <v>1535</v>
      </c>
      <c r="D1624" s="2889" t="s">
        <v>1106</v>
      </c>
      <c r="E1624" s="2889" t="s">
        <v>217</v>
      </c>
      <c r="F1624" s="2890">
        <v>3.9979932605677303E-2</v>
      </c>
      <c r="G1624" s="2890">
        <v>93.494512899630834</v>
      </c>
    </row>
    <row r="1625" spans="2:7" ht="15" hidden="1" outlineLevel="2">
      <c r="B1625" s="2889" t="s">
        <v>1633</v>
      </c>
      <c r="C1625" s="2889" t="s">
        <v>1535</v>
      </c>
      <c r="D1625" s="2889" t="s">
        <v>1106</v>
      </c>
      <c r="E1625" s="2889" t="s">
        <v>217</v>
      </c>
      <c r="F1625" s="2890">
        <v>1.0646676839135107E-3</v>
      </c>
      <c r="G1625" s="2890">
        <v>2.5017603942248643</v>
      </c>
    </row>
    <row r="1626" spans="2:7" ht="15" hidden="1" outlineLevel="2">
      <c r="B1626" s="2889" t="s">
        <v>1634</v>
      </c>
      <c r="C1626" s="2889" t="s">
        <v>1535</v>
      </c>
      <c r="D1626" s="2889" t="s">
        <v>1106</v>
      </c>
      <c r="E1626" s="2889" t="s">
        <v>217</v>
      </c>
      <c r="F1626" s="2890">
        <v>2.5769101488670389E-3</v>
      </c>
      <c r="G1626" s="2890">
        <v>6.0615308953465243</v>
      </c>
    </row>
    <row r="1627" spans="2:7" ht="15" hidden="1" outlineLevel="2">
      <c r="B1627" s="2889" t="s">
        <v>1635</v>
      </c>
      <c r="C1627" s="2889" t="s">
        <v>1535</v>
      </c>
      <c r="D1627" s="2889" t="s">
        <v>1106</v>
      </c>
      <c r="E1627" s="2889" t="s">
        <v>217</v>
      </c>
      <c r="F1627" s="2890">
        <v>5.5720546727978503E-3</v>
      </c>
      <c r="G1627" s="2890">
        <v>13.030448109484412</v>
      </c>
    </row>
    <row r="1628" spans="2:7" ht="15" hidden="1" outlineLevel="2">
      <c r="B1628" s="2889" t="s">
        <v>1636</v>
      </c>
      <c r="C1628" s="2889" t="s">
        <v>1535</v>
      </c>
      <c r="D1628" s="2889" t="s">
        <v>1106</v>
      </c>
      <c r="E1628" s="2889" t="s">
        <v>217</v>
      </c>
      <c r="F1628" s="2890">
        <v>5.0814687674891135E-3</v>
      </c>
      <c r="G1628" s="2890">
        <v>11.884268872043833</v>
      </c>
    </row>
    <row r="1629" spans="2:7" ht="15" hidden="1" outlineLevel="2">
      <c r="B1629" s="2889" t="s">
        <v>1637</v>
      </c>
      <c r="C1629" s="2889" t="s">
        <v>1535</v>
      </c>
      <c r="D1629" s="2889" t="s">
        <v>1106</v>
      </c>
      <c r="E1629" s="2889" t="s">
        <v>217</v>
      </c>
      <c r="F1629" s="2890">
        <v>1.7580310051601271E-3</v>
      </c>
      <c r="G1629" s="2890">
        <v>4.1310255666613829</v>
      </c>
    </row>
    <row r="1630" spans="2:7" ht="15" hidden="1" outlineLevel="2">
      <c r="B1630" s="2889" t="s">
        <v>1638</v>
      </c>
      <c r="C1630" s="2889" t="s">
        <v>1535</v>
      </c>
      <c r="D1630" s="2889" t="s">
        <v>1106</v>
      </c>
      <c r="E1630" s="2889" t="s">
        <v>217</v>
      </c>
      <c r="F1630" s="2890">
        <v>3.5543625130006634E-3</v>
      </c>
      <c r="G1630" s="2890">
        <v>8.3596919916953247</v>
      </c>
    </row>
    <row r="1631" spans="2:7" ht="15" hidden="1" outlineLevel="2">
      <c r="B1631" s="2889" t="s">
        <v>1639</v>
      </c>
      <c r="C1631" s="2889" t="s">
        <v>1535</v>
      </c>
      <c r="D1631" s="2889" t="s">
        <v>1106</v>
      </c>
      <c r="E1631" s="2889" t="s">
        <v>217</v>
      </c>
      <c r="F1631" s="2890">
        <v>1.3418562802643193E-2</v>
      </c>
      <c r="G1631" s="2890">
        <v>31.530962023474466</v>
      </c>
    </row>
    <row r="1632" spans="2:7" ht="15" hidden="1" outlineLevel="2">
      <c r="B1632" s="2889" t="s">
        <v>1640</v>
      </c>
      <c r="C1632" s="2889" t="s">
        <v>1535</v>
      </c>
      <c r="D1632" s="2889" t="s">
        <v>1106</v>
      </c>
      <c r="E1632" s="2889" t="s">
        <v>217</v>
      </c>
      <c r="F1632" s="2890">
        <v>1.3311976172046759E-3</v>
      </c>
      <c r="G1632" s="2890">
        <v>3.0987280323529909</v>
      </c>
    </row>
    <row r="1633" spans="2:7" ht="15" hidden="1" outlineLevel="2">
      <c r="B1633" s="2889" t="s">
        <v>1641</v>
      </c>
      <c r="C1633" s="2889" t="s">
        <v>1535</v>
      </c>
      <c r="D1633" s="2889" t="s">
        <v>1106</v>
      </c>
      <c r="E1633" s="2889" t="s">
        <v>217</v>
      </c>
      <c r="F1633" s="3039">
        <v>8.9982292301437564E-3</v>
      </c>
      <c r="G1633" s="2890">
        <v>21.042678982774646</v>
      </c>
    </row>
    <row r="1634" spans="2:7" ht="15" hidden="1" outlineLevel="2">
      <c r="B1634" s="2889" t="s">
        <v>1642</v>
      </c>
      <c r="C1634" s="2889" t="s">
        <v>1535</v>
      </c>
      <c r="D1634" s="2889" t="s">
        <v>1106</v>
      </c>
      <c r="E1634" s="2889" t="s">
        <v>217</v>
      </c>
      <c r="F1634" s="3039">
        <v>1.2220975526967546E-2</v>
      </c>
      <c r="G1634" s="2890">
        <v>28.57918139457761</v>
      </c>
    </row>
    <row r="1635" spans="2:7" ht="15" hidden="1" outlineLevel="2">
      <c r="B1635" s="2889" t="s">
        <v>1643</v>
      </c>
      <c r="C1635" s="2889" t="s">
        <v>1535</v>
      </c>
      <c r="D1635" s="2889" t="s">
        <v>1106</v>
      </c>
      <c r="E1635" s="2889" t="s">
        <v>217</v>
      </c>
      <c r="F1635" s="3039">
        <v>1.6470662372641246E-3</v>
      </c>
      <c r="G1635" s="2890">
        <v>3.8455305199658145</v>
      </c>
    </row>
    <row r="1636" spans="2:7" ht="15" hidden="1" outlineLevel="2">
      <c r="B1636" s="2889" t="s">
        <v>1644</v>
      </c>
      <c r="C1636" s="2889" t="s">
        <v>1535</v>
      </c>
      <c r="D1636" s="2889" t="s">
        <v>1106</v>
      </c>
      <c r="E1636" s="2889" t="s">
        <v>217</v>
      </c>
      <c r="F1636" s="3039">
        <v>2.2512011149707068E-2</v>
      </c>
      <c r="G1636" s="2890">
        <v>52.898797048878428</v>
      </c>
    </row>
    <row r="1637" spans="2:7" ht="15" hidden="1" outlineLevel="2">
      <c r="B1637" s="2889" t="s">
        <v>1645</v>
      </c>
      <c r="C1637" s="2889" t="s">
        <v>1535</v>
      </c>
      <c r="D1637" s="2889" t="s">
        <v>1106</v>
      </c>
      <c r="E1637" s="2889" t="s">
        <v>217</v>
      </c>
      <c r="F1637" s="3039">
        <v>1.6528925800354269E-2</v>
      </c>
      <c r="G1637" s="2890">
        <v>38.839712351212874</v>
      </c>
    </row>
    <row r="1638" spans="2:7" ht="15" hidden="1" outlineLevel="2">
      <c r="B1638" s="2889" t="s">
        <v>1646</v>
      </c>
      <c r="C1638" s="2889" t="s">
        <v>1535</v>
      </c>
      <c r="D1638" s="2889" t="s">
        <v>1106</v>
      </c>
      <c r="E1638" s="2889" t="s">
        <v>217</v>
      </c>
      <c r="F1638" s="3039">
        <v>1.3604175515727467E-3</v>
      </c>
      <c r="G1638" s="2890">
        <v>3.1813843841201241</v>
      </c>
    </row>
    <row r="1639" spans="2:7" ht="15" hidden="1" outlineLevel="2">
      <c r="B1639" s="2889" t="s">
        <v>1647</v>
      </c>
      <c r="C1639" s="2889" t="s">
        <v>1535</v>
      </c>
      <c r="D1639" s="2889" t="s">
        <v>1106</v>
      </c>
      <c r="E1639" s="2889" t="s">
        <v>217</v>
      </c>
      <c r="F1639" s="3039">
        <v>7.2856303534211248E-4</v>
      </c>
      <c r="G1639" s="2890">
        <v>1.7137599906021779</v>
      </c>
    </row>
    <row r="1640" spans="2:7" ht="15" hidden="1" outlineLevel="2">
      <c r="B1640" s="2889" t="s">
        <v>1648</v>
      </c>
      <c r="C1640" s="2889" t="s">
        <v>1535</v>
      </c>
      <c r="D1640" s="2889" t="s">
        <v>1106</v>
      </c>
      <c r="E1640" s="2889" t="s">
        <v>217</v>
      </c>
      <c r="F1640" s="2890">
        <v>4.9586029396523506E-4</v>
      </c>
      <c r="G1640" s="2890">
        <v>1.1663851159151069</v>
      </c>
    </row>
    <row r="1641" spans="2:7" ht="15" hidden="1" outlineLevel="2">
      <c r="B1641" s="2889" t="s">
        <v>1649</v>
      </c>
      <c r="C1641" s="2889" t="s">
        <v>1535</v>
      </c>
      <c r="D1641" s="2889" t="s">
        <v>1106</v>
      </c>
      <c r="E1641" s="2889" t="s">
        <v>217</v>
      </c>
      <c r="F1641" s="2890">
        <v>3.4842967618901048E-3</v>
      </c>
      <c r="G1641" s="2890">
        <v>8.1959229742347262</v>
      </c>
    </row>
    <row r="1642" spans="2:7" ht="15" hidden="1" outlineLevel="2">
      <c r="B1642" s="2889" t="s">
        <v>1650</v>
      </c>
      <c r="C1642" s="2889" t="s">
        <v>1535</v>
      </c>
      <c r="D1642" s="2889" t="s">
        <v>1106</v>
      </c>
      <c r="E1642" s="2889" t="s">
        <v>217</v>
      </c>
      <c r="F1642" s="2890">
        <v>1.264124719830061E-2</v>
      </c>
      <c r="G1642" s="2890">
        <v>29.425969438446906</v>
      </c>
    </row>
    <row r="1643" spans="2:7" ht="15" hidden="1" outlineLevel="2">
      <c r="B1643" s="2889" t="s">
        <v>1651</v>
      </c>
      <c r="C1643" s="2889" t="s">
        <v>1535</v>
      </c>
      <c r="D1643" s="2889" t="s">
        <v>1106</v>
      </c>
      <c r="E1643" s="2889" t="s">
        <v>217</v>
      </c>
      <c r="F1643" s="2890">
        <v>6.3220225157992419E-3</v>
      </c>
      <c r="G1643" s="2890">
        <v>14.870953554526624</v>
      </c>
    </row>
    <row r="1644" spans="2:7" ht="15" hidden="1" outlineLevel="2">
      <c r="B1644" s="2889" t="s">
        <v>1652</v>
      </c>
      <c r="C1644" s="2889" t="s">
        <v>1535</v>
      </c>
      <c r="D1644" s="2889" t="s">
        <v>1106</v>
      </c>
      <c r="E1644" s="2889" t="s">
        <v>217</v>
      </c>
      <c r="F1644" s="2890">
        <v>1.54251533904164E-3</v>
      </c>
      <c r="G1644" s="2890">
        <v>3.6216651577819503</v>
      </c>
    </row>
    <row r="1645" spans="2:7" ht="15" hidden="1" outlineLevel="2">
      <c r="B1645" s="2889" t="s">
        <v>1653</v>
      </c>
      <c r="C1645" s="2889" t="s">
        <v>1535</v>
      </c>
      <c r="D1645" s="2889" t="s">
        <v>1106</v>
      </c>
      <c r="E1645" s="2889" t="s">
        <v>217</v>
      </c>
      <c r="F1645" s="2890">
        <v>3.0333684470770984E-2</v>
      </c>
      <c r="G1645" s="2890">
        <v>70.93641720746345</v>
      </c>
    </row>
    <row r="1646" spans="2:7" ht="15" hidden="1" outlineLevel="2">
      <c r="B1646" s="2889" t="s">
        <v>1407</v>
      </c>
      <c r="C1646" s="2889" t="s">
        <v>1536</v>
      </c>
      <c r="D1646" s="2889" t="s">
        <v>1106</v>
      </c>
      <c r="E1646" s="2889" t="s">
        <v>217</v>
      </c>
      <c r="F1646" s="2890">
        <v>1.7380174622713719E-2</v>
      </c>
      <c r="G1646" s="2890">
        <v>22.473574423545639</v>
      </c>
    </row>
    <row r="1647" spans="2:7" ht="15" hidden="1" outlineLevel="2">
      <c r="B1647" s="2889" t="s">
        <v>1631</v>
      </c>
      <c r="C1647" s="2889" t="s">
        <v>1536</v>
      </c>
      <c r="D1647" s="2889" t="s">
        <v>1106</v>
      </c>
      <c r="E1647" s="2889" t="s">
        <v>217</v>
      </c>
      <c r="F1647" s="2890">
        <v>7.4403475242024328E-2</v>
      </c>
      <c r="G1647" s="2890">
        <v>95.225119079348843</v>
      </c>
    </row>
    <row r="1648" spans="2:7" ht="15" hidden="1" outlineLevel="2">
      <c r="B1648" s="2889" t="s">
        <v>1632</v>
      </c>
      <c r="C1648" s="2889" t="s">
        <v>1536</v>
      </c>
      <c r="D1648" s="2889" t="s">
        <v>1106</v>
      </c>
      <c r="E1648" s="2889" t="s">
        <v>217</v>
      </c>
      <c r="F1648" s="2890">
        <v>0.13413638830087166</v>
      </c>
      <c r="G1648" s="2890">
        <v>174.26948456430253</v>
      </c>
    </row>
    <row r="1649" spans="2:7" ht="15" hidden="1" outlineLevel="2">
      <c r="B1649" s="2889" t="s">
        <v>1633</v>
      </c>
      <c r="C1649" s="2889" t="s">
        <v>1536</v>
      </c>
      <c r="D1649" s="2889" t="s">
        <v>1106</v>
      </c>
      <c r="E1649" s="2889" t="s">
        <v>217</v>
      </c>
      <c r="F1649" s="2890">
        <v>3.5715952859300009E-3</v>
      </c>
      <c r="G1649" s="2890">
        <v>4.6631647896257711</v>
      </c>
    </row>
    <row r="1650" spans="2:7" ht="15" hidden="1" outlineLevel="2">
      <c r="B1650" s="2889" t="s">
        <v>1634</v>
      </c>
      <c r="C1650" s="2889" t="s">
        <v>1536</v>
      </c>
      <c r="D1650" s="2889" t="s">
        <v>1106</v>
      </c>
      <c r="E1650" s="2889" t="s">
        <v>217</v>
      </c>
      <c r="F1650" s="2890">
        <v>8.6444136190096978E-3</v>
      </c>
      <c r="G1650" s="2890">
        <v>11.298421603621421</v>
      </c>
    </row>
    <row r="1651" spans="2:7" ht="15" hidden="1" outlineLevel="2">
      <c r="B1651" s="2889" t="s">
        <v>1635</v>
      </c>
      <c r="C1651" s="2889" t="s">
        <v>1536</v>
      </c>
      <c r="D1651" s="2889" t="s">
        <v>1106</v>
      </c>
      <c r="E1651" s="2889" t="s">
        <v>217</v>
      </c>
      <c r="F1651" s="2890">
        <v>1.8694752876962942E-2</v>
      </c>
      <c r="G1651" s="2890">
        <v>24.28817188893305</v>
      </c>
    </row>
    <row r="1652" spans="2:7" ht="15" hidden="1" outlineLevel="2">
      <c r="B1652" s="2889" t="s">
        <v>1636</v>
      </c>
      <c r="C1652" s="2889" t="s">
        <v>1536</v>
      </c>
      <c r="D1652" s="2889" t="s">
        <v>1106</v>
      </c>
      <c r="E1652" s="2889" t="s">
        <v>217</v>
      </c>
      <c r="F1652" s="2890">
        <v>1.7048754330067015E-2</v>
      </c>
      <c r="G1652" s="2890">
        <v>22.151744844960856</v>
      </c>
    </row>
    <row r="1653" spans="2:7" ht="15" hidden="1" outlineLevel="2">
      <c r="B1653" s="2889" t="s">
        <v>1637</v>
      </c>
      <c r="C1653" s="2889" t="s">
        <v>1536</v>
      </c>
      <c r="D1653" s="2889" t="s">
        <v>1106</v>
      </c>
      <c r="E1653" s="2889" t="s">
        <v>217</v>
      </c>
      <c r="F1653" s="2890">
        <v>5.8975908706915192E-3</v>
      </c>
      <c r="G1653" s="2890">
        <v>7.7000446571930246</v>
      </c>
    </row>
    <row r="1654" spans="2:7" ht="15" hidden="1" outlineLevel="2">
      <c r="B1654" s="2889" t="s">
        <v>1638</v>
      </c>
      <c r="C1654" s="2889" t="s">
        <v>1536</v>
      </c>
      <c r="D1654" s="2889" t="s">
        <v>1106</v>
      </c>
      <c r="E1654" s="2889" t="s">
        <v>217</v>
      </c>
      <c r="F1654" s="2890">
        <v>1.1923381103485139E-2</v>
      </c>
      <c r="G1654" s="2890">
        <v>15.582086099554557</v>
      </c>
    </row>
    <row r="1655" spans="2:7" ht="15" hidden="1" outlineLevel="2">
      <c r="B1655" s="2889" t="s">
        <v>1639</v>
      </c>
      <c r="C1655" s="2889" t="s">
        <v>1536</v>
      </c>
      <c r="D1655" s="2889" t="s">
        <v>1106</v>
      </c>
      <c r="E1655" s="2889" t="s">
        <v>217</v>
      </c>
      <c r="F1655" s="2890">
        <v>4.5014687786055219E-2</v>
      </c>
      <c r="G1655" s="2890">
        <v>58.772315563183156</v>
      </c>
    </row>
    <row r="1656" spans="2:7" ht="15" hidden="1" outlineLevel="2">
      <c r="B1656" s="2889" t="s">
        <v>1640</v>
      </c>
      <c r="C1656" s="2889" t="s">
        <v>1536</v>
      </c>
      <c r="D1656" s="2889" t="s">
        <v>1106</v>
      </c>
      <c r="E1656" s="2889" t="s">
        <v>217</v>
      </c>
      <c r="F1656" s="2890">
        <v>4.4668432620313938E-3</v>
      </c>
      <c r="G1656" s="2890">
        <v>5.7758866780994964</v>
      </c>
    </row>
    <row r="1657" spans="2:7" ht="15" hidden="1" outlineLevel="2">
      <c r="B1657" s="2889" t="s">
        <v>1641</v>
      </c>
      <c r="C1657" s="2889" t="s">
        <v>1536</v>
      </c>
      <c r="D1657" s="2889" t="s">
        <v>1106</v>
      </c>
      <c r="E1657" s="2889" t="s">
        <v>217</v>
      </c>
      <c r="F1657" s="2890">
        <v>3.0189895123715473E-2</v>
      </c>
      <c r="G1657" s="2890">
        <v>39.222631885138789</v>
      </c>
    </row>
    <row r="1658" spans="2:7" ht="15" hidden="1" outlineLevel="2">
      <c r="B1658" s="2889" t="s">
        <v>1642</v>
      </c>
      <c r="C1658" s="2889" t="s">
        <v>1536</v>
      </c>
      <c r="D1658" s="2889" t="s">
        <v>1106</v>
      </c>
      <c r="E1658" s="2889" t="s">
        <v>217</v>
      </c>
      <c r="F1658" s="2890">
        <v>4.1002507841335925E-2</v>
      </c>
      <c r="G1658" s="2890">
        <v>53.270331227497799</v>
      </c>
    </row>
    <row r="1659" spans="2:7" ht="15" hidden="1" outlineLevel="2">
      <c r="B1659" s="2889" t="s">
        <v>1643</v>
      </c>
      <c r="C1659" s="2889" t="s">
        <v>1536</v>
      </c>
      <c r="D1659" s="2889" t="s">
        <v>1106</v>
      </c>
      <c r="E1659" s="2889" t="s">
        <v>217</v>
      </c>
      <c r="F1659" s="2890">
        <v>5.5262994351608667E-3</v>
      </c>
      <c r="G1659" s="2890">
        <v>7.1678937112344148</v>
      </c>
    </row>
    <row r="1660" spans="2:7" ht="15" hidden="1" outlineLevel="2">
      <c r="B1660" s="2889" t="s">
        <v>1644</v>
      </c>
      <c r="C1660" s="2889" t="s">
        <v>1536</v>
      </c>
      <c r="D1660" s="2889" t="s">
        <v>1106</v>
      </c>
      <c r="E1660" s="2889" t="s">
        <v>217</v>
      </c>
      <c r="F1660" s="2890">
        <v>7.5520103689415974E-2</v>
      </c>
      <c r="G1660" s="2890">
        <v>98.600959519767329</v>
      </c>
    </row>
    <row r="1661" spans="2:7" ht="15" hidden="1" outlineLevel="2">
      <c r="B1661" s="2889" t="s">
        <v>1645</v>
      </c>
      <c r="C1661" s="2889" t="s">
        <v>1536</v>
      </c>
      <c r="D1661" s="2889" t="s">
        <v>1106</v>
      </c>
      <c r="E1661" s="2889" t="s">
        <v>217</v>
      </c>
      <c r="F1661" s="2890">
        <v>5.5448880770526475E-2</v>
      </c>
      <c r="G1661" s="2890">
        <v>72.395463214597271</v>
      </c>
    </row>
    <row r="1662" spans="2:7" ht="15" hidden="1" outlineLevel="2">
      <c r="B1662" s="2889" t="s">
        <v>1646</v>
      </c>
      <c r="C1662" s="2889" t="s">
        <v>1536</v>
      </c>
      <c r="D1662" s="2889" t="s">
        <v>1106</v>
      </c>
      <c r="E1662" s="2889" t="s">
        <v>217</v>
      </c>
      <c r="F1662" s="2890">
        <v>4.5643249844521429E-3</v>
      </c>
      <c r="G1662" s="2890">
        <v>5.9299560942281166</v>
      </c>
    </row>
    <row r="1663" spans="2:7" ht="15" hidden="1" outlineLevel="2">
      <c r="B1663" s="2889" t="s">
        <v>1647</v>
      </c>
      <c r="C1663" s="2889" t="s">
        <v>1536</v>
      </c>
      <c r="D1663" s="2889" t="s">
        <v>1106</v>
      </c>
      <c r="E1663" s="2889" t="s">
        <v>217</v>
      </c>
      <c r="F1663" s="2890">
        <v>2.4440117384294103E-3</v>
      </c>
      <c r="G1663" s="2890">
        <v>3.1943697943315823</v>
      </c>
    </row>
    <row r="1664" spans="2:7" ht="15" hidden="1" outlineLevel="2">
      <c r="B1664" s="2889" t="s">
        <v>1648</v>
      </c>
      <c r="C1664" s="2889" t="s">
        <v>1536</v>
      </c>
      <c r="D1664" s="2889" t="s">
        <v>1106</v>
      </c>
      <c r="E1664" s="2889" t="s">
        <v>217</v>
      </c>
      <c r="F1664" s="2890">
        <v>1.6633946501474926E-3</v>
      </c>
      <c r="G1664" s="2890">
        <v>2.1740899112543755</v>
      </c>
    </row>
    <row r="1665" spans="2:7" ht="15" hidden="1" outlineLevel="2">
      <c r="B1665" s="2889" t="s">
        <v>1649</v>
      </c>
      <c r="C1665" s="2889" t="s">
        <v>1536</v>
      </c>
      <c r="D1665" s="2889" t="s">
        <v>1106</v>
      </c>
      <c r="E1665" s="2889" t="s">
        <v>217</v>
      </c>
      <c r="F1665" s="2890">
        <v>1.1688297434459928E-2</v>
      </c>
      <c r="G1665" s="2890">
        <v>15.276825717798708</v>
      </c>
    </row>
    <row r="1666" spans="2:7" ht="15" hidden="1" outlineLevel="2">
      <c r="B1666" s="2889" t="s">
        <v>1650</v>
      </c>
      <c r="C1666" s="2889" t="s">
        <v>1536</v>
      </c>
      <c r="D1666" s="2889" t="s">
        <v>1106</v>
      </c>
      <c r="E1666" s="2889" t="s">
        <v>217</v>
      </c>
      <c r="F1666" s="2890">
        <v>4.2417791958802263E-2</v>
      </c>
      <c r="G1666" s="2890">
        <v>54.848681099879357</v>
      </c>
    </row>
    <row r="1667" spans="2:7" ht="15" hidden="1" outlineLevel="2">
      <c r="B1667" s="2889" t="s">
        <v>1651</v>
      </c>
      <c r="C1667" s="2889" t="s">
        <v>1536</v>
      </c>
      <c r="D1667" s="2889" t="s">
        <v>1106</v>
      </c>
      <c r="E1667" s="2889" t="s">
        <v>217</v>
      </c>
      <c r="F1667" s="2890">
        <v>2.1207627583295433E-2</v>
      </c>
      <c r="G1667" s="2890">
        <v>27.718778224054205</v>
      </c>
    </row>
    <row r="1668" spans="2:7" ht="15" hidden="1" outlineLevel="2">
      <c r="B1668" s="2889" t="s">
        <v>1652</v>
      </c>
      <c r="C1668" s="2889" t="s">
        <v>1536</v>
      </c>
      <c r="D1668" s="2889" t="s">
        <v>1106</v>
      </c>
      <c r="E1668" s="2889" t="s">
        <v>217</v>
      </c>
      <c r="F1668" s="2890">
        <v>5.5481419171866048E-3</v>
      </c>
      <c r="G1668" s="2890">
        <v>7.2515305426786227</v>
      </c>
    </row>
    <row r="1669" spans="2:7" ht="15" hidden="1" outlineLevel="2">
      <c r="B1669" s="2889" t="s">
        <v>1653</v>
      </c>
      <c r="C1669" s="2889" t="s">
        <v>1536</v>
      </c>
      <c r="D1669" s="2889" t="s">
        <v>1106</v>
      </c>
      <c r="E1669" s="2889" t="s">
        <v>217</v>
      </c>
      <c r="F1669" s="2890">
        <v>0.10177231060530803</v>
      </c>
      <c r="G1669" s="2890">
        <v>132.22226474064894</v>
      </c>
    </row>
    <row r="1670" spans="2:7" ht="15" hidden="1" outlineLevel="2">
      <c r="B1670" s="2889" t="s">
        <v>1407</v>
      </c>
      <c r="C1670" s="2889" t="s">
        <v>1537</v>
      </c>
      <c r="D1670" s="2889" t="s">
        <v>1106</v>
      </c>
      <c r="E1670" s="2889" t="s">
        <v>217</v>
      </c>
      <c r="F1670" s="2890">
        <v>9.7202809782820864E-4</v>
      </c>
      <c r="G1670" s="2890">
        <v>1.1041873832889446</v>
      </c>
    </row>
    <row r="1671" spans="2:7" ht="15" hidden="1" outlineLevel="2">
      <c r="B1671" s="2889" t="s">
        <v>1631</v>
      </c>
      <c r="C1671" s="2889" t="s">
        <v>1537</v>
      </c>
      <c r="D1671" s="2889" t="s">
        <v>1106</v>
      </c>
      <c r="E1671" s="2889" t="s">
        <v>217</v>
      </c>
      <c r="F1671" s="2890">
        <v>4.1539269009508682E-3</v>
      </c>
      <c r="G1671" s="2890">
        <v>4.6786671292178035</v>
      </c>
    </row>
    <row r="1672" spans="2:7" ht="15" hidden="1" outlineLevel="2">
      <c r="B1672" s="2889" t="s">
        <v>1632</v>
      </c>
      <c r="C1672" s="2889" t="s">
        <v>1537</v>
      </c>
      <c r="D1672" s="2889" t="s">
        <v>1106</v>
      </c>
      <c r="E1672" s="2889" t="s">
        <v>217</v>
      </c>
      <c r="F1672" s="3039">
        <v>7.507981179712425E-3</v>
      </c>
      <c r="G1672" s="2890">
        <v>8.5623303903819217</v>
      </c>
    </row>
    <row r="1673" spans="2:7" ht="15" hidden="1" outlineLevel="2">
      <c r="B1673" s="2889" t="s">
        <v>1633</v>
      </c>
      <c r="C1673" s="2889" t="s">
        <v>1537</v>
      </c>
      <c r="D1673" s="2889" t="s">
        <v>1106</v>
      </c>
      <c r="E1673" s="2889" t="s">
        <v>217</v>
      </c>
      <c r="F1673" s="3039">
        <v>2.0008182721096291E-4</v>
      </c>
      <c r="G1673" s="2890">
        <v>0.22911381464592398</v>
      </c>
    </row>
    <row r="1674" spans="2:7" ht="15" hidden="1" outlineLevel="2">
      <c r="B1674" s="2889" t="s">
        <v>1634</v>
      </c>
      <c r="C1674" s="2889" t="s">
        <v>1537</v>
      </c>
      <c r="D1674" s="2889" t="s">
        <v>1106</v>
      </c>
      <c r="E1674" s="2889" t="s">
        <v>217</v>
      </c>
      <c r="F1674" s="3039">
        <v>4.8435151325748805E-4</v>
      </c>
      <c r="G1674" s="2890">
        <v>0.55512165052902385</v>
      </c>
    </row>
    <row r="1675" spans="2:7" ht="15" hidden="1" outlineLevel="2">
      <c r="B1675" s="2889" t="s">
        <v>1635</v>
      </c>
      <c r="C1675" s="2889" t="s">
        <v>1537</v>
      </c>
      <c r="D1675" s="2889" t="s">
        <v>1106</v>
      </c>
      <c r="E1675" s="2889" t="s">
        <v>217</v>
      </c>
      <c r="F1675" s="3039">
        <v>1.0463975592941114E-3</v>
      </c>
      <c r="G1675" s="2890">
        <v>1.19334364601471</v>
      </c>
    </row>
    <row r="1676" spans="2:7" ht="15" hidden="1" outlineLevel="2">
      <c r="B1676" s="2889" t="s">
        <v>1636</v>
      </c>
      <c r="C1676" s="2889" t="s">
        <v>1537</v>
      </c>
      <c r="D1676" s="2889" t="s">
        <v>1106</v>
      </c>
      <c r="E1676" s="2889" t="s">
        <v>217</v>
      </c>
      <c r="F1676" s="3039">
        <v>9.5428111670386171E-4</v>
      </c>
      <c r="G1676" s="2890">
        <v>1.0883745270054617</v>
      </c>
    </row>
    <row r="1677" spans="2:7" ht="15" hidden="1" outlineLevel="2">
      <c r="B1677" s="2889" t="s">
        <v>1637</v>
      </c>
      <c r="C1677" s="2889" t="s">
        <v>1537</v>
      </c>
      <c r="D1677" s="2889" t="s">
        <v>1106</v>
      </c>
      <c r="E1677" s="2889" t="s">
        <v>217</v>
      </c>
      <c r="F1677" s="3039">
        <v>3.3038454527298115E-4</v>
      </c>
      <c r="G1677" s="2890">
        <v>0.37832373067709929</v>
      </c>
    </row>
    <row r="1678" spans="2:7" ht="15" hidden="1" outlineLevel="2">
      <c r="B1678" s="2889" t="s">
        <v>1638</v>
      </c>
      <c r="C1678" s="2889" t="s">
        <v>1537</v>
      </c>
      <c r="D1678" s="2889" t="s">
        <v>1106</v>
      </c>
      <c r="E1678" s="2889" t="s">
        <v>217</v>
      </c>
      <c r="F1678" s="3039">
        <v>6.6805890681650884E-4</v>
      </c>
      <c r="G1678" s="2890">
        <v>0.76558987320213279</v>
      </c>
    </row>
    <row r="1679" spans="2:7" ht="15" hidden="1" outlineLevel="2">
      <c r="B1679" s="2889" t="s">
        <v>1639</v>
      </c>
      <c r="C1679" s="2889" t="s">
        <v>1537</v>
      </c>
      <c r="D1679" s="2889" t="s">
        <v>1106</v>
      </c>
      <c r="E1679" s="2889" t="s">
        <v>217</v>
      </c>
      <c r="F1679" s="2890">
        <v>2.5217348310018865E-3</v>
      </c>
      <c r="G1679" s="2890">
        <v>2.8876427350069234</v>
      </c>
    </row>
    <row r="1680" spans="2:7" ht="15" hidden="1" outlineLevel="2">
      <c r="B1680" s="2889" t="s">
        <v>1640</v>
      </c>
      <c r="C1680" s="2889" t="s">
        <v>1537</v>
      </c>
      <c r="D1680" s="2889" t="s">
        <v>1106</v>
      </c>
      <c r="E1680" s="2889" t="s">
        <v>217</v>
      </c>
      <c r="F1680" s="2890">
        <v>2.4981884992341578E-4</v>
      </c>
      <c r="G1680" s="2890">
        <v>0.28378500069178342</v>
      </c>
    </row>
    <row r="1681" spans="2:7" ht="15" hidden="1" outlineLevel="2">
      <c r="B1681" s="2889" t="s">
        <v>1641</v>
      </c>
      <c r="C1681" s="2889" t="s">
        <v>1537</v>
      </c>
      <c r="D1681" s="2889" t="s">
        <v>1106</v>
      </c>
      <c r="E1681" s="2889" t="s">
        <v>217</v>
      </c>
      <c r="F1681" s="2890">
        <v>1.6898121503503016E-3</v>
      </c>
      <c r="G1681" s="2890">
        <v>1.9271134739456643</v>
      </c>
    </row>
    <row r="1682" spans="2:7" ht="15" hidden="1" outlineLevel="2">
      <c r="B1682" s="2889" t="s">
        <v>1642</v>
      </c>
      <c r="C1682" s="2889" t="s">
        <v>1537</v>
      </c>
      <c r="D1682" s="2889" t="s">
        <v>1106</v>
      </c>
      <c r="E1682" s="2889" t="s">
        <v>217</v>
      </c>
      <c r="F1682" s="3039">
        <v>2.2950223317475017E-3</v>
      </c>
      <c r="G1682" s="2890">
        <v>2.6173147264126357</v>
      </c>
    </row>
    <row r="1683" spans="2:7" ht="15" hidden="1" outlineLevel="2">
      <c r="B1683" s="2889" t="s">
        <v>1643</v>
      </c>
      <c r="C1683" s="2889" t="s">
        <v>1537</v>
      </c>
      <c r="D1683" s="2889" t="s">
        <v>1106</v>
      </c>
      <c r="E1683" s="2889" t="s">
        <v>217</v>
      </c>
      <c r="F1683" s="2890">
        <v>3.0923449505185165E-4</v>
      </c>
      <c r="G1683" s="2890">
        <v>0.35217815898544841</v>
      </c>
    </row>
    <row r="1684" spans="2:7" ht="15" hidden="1" outlineLevel="2">
      <c r="B1684" s="2889" t="s">
        <v>1644</v>
      </c>
      <c r="C1684" s="2889" t="s">
        <v>1537</v>
      </c>
      <c r="D1684" s="2889" t="s">
        <v>1106</v>
      </c>
      <c r="E1684" s="2889" t="s">
        <v>217</v>
      </c>
      <c r="F1684" s="2890">
        <v>4.2306560866032785E-3</v>
      </c>
      <c r="G1684" s="2890">
        <v>4.8445319263122704</v>
      </c>
    </row>
    <row r="1685" spans="2:7" ht="15" hidden="1" outlineLevel="2">
      <c r="B1685" s="2889" t="s">
        <v>1645</v>
      </c>
      <c r="C1685" s="2889" t="s">
        <v>1537</v>
      </c>
      <c r="D1685" s="2889" t="s">
        <v>1106</v>
      </c>
      <c r="E1685" s="2889" t="s">
        <v>217</v>
      </c>
      <c r="F1685" s="3039">
        <v>3.1062616410176057E-3</v>
      </c>
      <c r="G1685" s="2890">
        <v>3.5569839577936095</v>
      </c>
    </row>
    <row r="1686" spans="2:7" ht="15" hidden="1" outlineLevel="2">
      <c r="B1686" s="2889" t="s">
        <v>1646</v>
      </c>
      <c r="C1686" s="2889" t="s">
        <v>1537</v>
      </c>
      <c r="D1686" s="2889" t="s">
        <v>1106</v>
      </c>
      <c r="E1686" s="2889" t="s">
        <v>217</v>
      </c>
      <c r="F1686" s="2890">
        <v>2.5547785497349244E-4</v>
      </c>
      <c r="G1686" s="2890">
        <v>0.29135483954579589</v>
      </c>
    </row>
    <row r="1687" spans="2:7" ht="15" hidden="1" outlineLevel="2">
      <c r="B1687" s="2889" t="s">
        <v>1647</v>
      </c>
      <c r="C1687" s="2889" t="s">
        <v>1537</v>
      </c>
      <c r="D1687" s="2889" t="s">
        <v>1106</v>
      </c>
      <c r="E1687" s="2889" t="s">
        <v>217</v>
      </c>
      <c r="F1687" s="2890">
        <v>1.3693939060592072E-4</v>
      </c>
      <c r="G1687" s="2890">
        <v>0.15694818247347631</v>
      </c>
    </row>
    <row r="1688" spans="2:7" ht="15" hidden="1" outlineLevel="2">
      <c r="B1688" s="2889" t="s">
        <v>1648</v>
      </c>
      <c r="C1688" s="2889" t="s">
        <v>1537</v>
      </c>
      <c r="D1688" s="2889" t="s">
        <v>1106</v>
      </c>
      <c r="E1688" s="2889" t="s">
        <v>217</v>
      </c>
      <c r="F1688" s="2890">
        <v>9.3201000000954373E-5</v>
      </c>
      <c r="G1688" s="2890">
        <v>0.10681890258701691</v>
      </c>
    </row>
    <row r="1689" spans="2:7" ht="15" hidden="1" outlineLevel="2">
      <c r="B1689" s="2889" t="s">
        <v>1649</v>
      </c>
      <c r="C1689" s="2889" t="s">
        <v>1537</v>
      </c>
      <c r="D1689" s="2889" t="s">
        <v>1106</v>
      </c>
      <c r="E1689" s="2889" t="s">
        <v>217</v>
      </c>
      <c r="F1689" s="3039">
        <v>6.549018519723561E-4</v>
      </c>
      <c r="G1689" s="2890">
        <v>0.75059171434629057</v>
      </c>
    </row>
    <row r="1690" spans="2:7" ht="15" hidden="1" outlineLevel="2">
      <c r="B1690" s="2889" t="s">
        <v>1650</v>
      </c>
      <c r="C1690" s="2889" t="s">
        <v>1537</v>
      </c>
      <c r="D1690" s="2889" t="s">
        <v>1106</v>
      </c>
      <c r="E1690" s="2889" t="s">
        <v>217</v>
      </c>
      <c r="F1690" s="3039">
        <v>2.3723167304111467E-3</v>
      </c>
      <c r="G1690" s="2890">
        <v>2.6948646944734791</v>
      </c>
    </row>
    <row r="1691" spans="2:7" ht="15" hidden="1" outlineLevel="2">
      <c r="B1691" s="2889" t="s">
        <v>1651</v>
      </c>
      <c r="C1691" s="2889" t="s">
        <v>1537</v>
      </c>
      <c r="D1691" s="2889" t="s">
        <v>1106</v>
      </c>
      <c r="E1691" s="2889" t="s">
        <v>217</v>
      </c>
      <c r="F1691" s="3039">
        <v>1.1882757579932536E-3</v>
      </c>
      <c r="G1691" s="2890">
        <v>1.3619001888479747</v>
      </c>
    </row>
    <row r="1692" spans="2:7" ht="15" hidden="1" outlineLevel="2">
      <c r="B1692" s="2889" t="s">
        <v>1652</v>
      </c>
      <c r="C1692" s="2889" t="s">
        <v>1537</v>
      </c>
      <c r="D1692" s="2889" t="s">
        <v>1106</v>
      </c>
      <c r="E1692" s="2889" t="s">
        <v>217</v>
      </c>
      <c r="F1692" s="2890">
        <v>3.1086540177720164E-4</v>
      </c>
      <c r="G1692" s="2890">
        <v>0.3562873406800483</v>
      </c>
    </row>
    <row r="1693" spans="2:7" ht="15" hidden="1" outlineLevel="2">
      <c r="B1693" s="2889" t="s">
        <v>1653</v>
      </c>
      <c r="C1693" s="2889" t="s">
        <v>1537</v>
      </c>
      <c r="D1693" s="2889" t="s">
        <v>1106</v>
      </c>
      <c r="E1693" s="2889" t="s">
        <v>217</v>
      </c>
      <c r="F1693" s="2890">
        <v>5.6964773566100142E-3</v>
      </c>
      <c r="G1693" s="2890">
        <v>6.4964354852159119</v>
      </c>
    </row>
    <row r="1694" spans="2:7" ht="15" hidden="1" outlineLevel="2">
      <c r="B1694" s="2889" t="s">
        <v>1407</v>
      </c>
      <c r="C1694" s="2889" t="s">
        <v>1538</v>
      </c>
      <c r="D1694" s="2889" t="s">
        <v>1106</v>
      </c>
      <c r="E1694" s="2889" t="s">
        <v>217</v>
      </c>
      <c r="F1694" s="2890">
        <v>3.775422395862531E-4</v>
      </c>
      <c r="G1694" s="2890">
        <v>0.50614138875111869</v>
      </c>
    </row>
    <row r="1695" spans="2:7" ht="15" hidden="1" outlineLevel="2">
      <c r="B1695" s="2889" t="s">
        <v>1631</v>
      </c>
      <c r="C1695" s="2889" t="s">
        <v>1538</v>
      </c>
      <c r="D1695" s="2889" t="s">
        <v>1106</v>
      </c>
      <c r="E1695" s="2889" t="s">
        <v>217</v>
      </c>
      <c r="F1695" s="2890">
        <v>2.5881763704647827E-3</v>
      </c>
      <c r="G1695" s="2890">
        <v>3.4341572276266112</v>
      </c>
    </row>
    <row r="1696" spans="2:7" ht="15" hidden="1" outlineLevel="2">
      <c r="B1696" s="2889" t="s">
        <v>1632</v>
      </c>
      <c r="C1696" s="2889" t="s">
        <v>1538</v>
      </c>
      <c r="D1696" s="2889" t="s">
        <v>1106</v>
      </c>
      <c r="E1696" s="2889" t="s">
        <v>217</v>
      </c>
      <c r="F1696" s="2890">
        <v>3.9028893072190563E-3</v>
      </c>
      <c r="G1696" s="2890">
        <v>5.257269334617428</v>
      </c>
    </row>
    <row r="1697" spans="2:7" ht="15" hidden="1" outlineLevel="2">
      <c r="B1697" s="2889" t="s">
        <v>1633</v>
      </c>
      <c r="C1697" s="2889" t="s">
        <v>1538</v>
      </c>
      <c r="D1697" s="2889" t="s">
        <v>1106</v>
      </c>
      <c r="E1697" s="2889" t="s">
        <v>217</v>
      </c>
      <c r="F1697" s="2890">
        <v>4.0879212997327184E-4</v>
      </c>
      <c r="G1697" s="2890">
        <v>0.55337786939888889</v>
      </c>
    </row>
    <row r="1698" spans="2:7" ht="15" hidden="1" outlineLevel="2">
      <c r="B1698" s="2889" t="s">
        <v>1634</v>
      </c>
      <c r="C1698" s="2889" t="s">
        <v>1538</v>
      </c>
      <c r="D1698" s="2889" t="s">
        <v>1106</v>
      </c>
      <c r="E1698" s="2889" t="s">
        <v>217</v>
      </c>
      <c r="F1698" s="2890">
        <v>1.5317288986022376E-4</v>
      </c>
      <c r="G1698" s="2890">
        <v>0.20756876617431697</v>
      </c>
    </row>
    <row r="1699" spans="2:7" ht="15" hidden="1" outlineLevel="2">
      <c r="B1699" s="2889" t="s">
        <v>1635</v>
      </c>
      <c r="C1699" s="2889" t="s">
        <v>1538</v>
      </c>
      <c r="D1699" s="2889" t="s">
        <v>1106</v>
      </c>
      <c r="E1699" s="2889" t="s">
        <v>217</v>
      </c>
      <c r="F1699" s="2890">
        <v>8.0900580260024452E-4</v>
      </c>
      <c r="G1699" s="2890">
        <v>1.089746222763859</v>
      </c>
    </row>
    <row r="1700" spans="2:7" ht="15" hidden="1" outlineLevel="2">
      <c r="B1700" s="2889" t="s">
        <v>1636</v>
      </c>
      <c r="C1700" s="2889" t="s">
        <v>1538</v>
      </c>
      <c r="D1700" s="2889" t="s">
        <v>1106</v>
      </c>
      <c r="E1700" s="2889" t="s">
        <v>217</v>
      </c>
      <c r="F1700" s="2890">
        <v>4.5881660708079288E-4</v>
      </c>
      <c r="G1700" s="2890">
        <v>0.6180898021121467</v>
      </c>
    </row>
    <row r="1701" spans="2:7" ht="15" hidden="1" outlineLevel="2">
      <c r="B1701" s="2889" t="s">
        <v>1637</v>
      </c>
      <c r="C1701" s="2889" t="s">
        <v>1538</v>
      </c>
      <c r="D1701" s="2889" t="s">
        <v>1106</v>
      </c>
      <c r="E1701" s="2889" t="s">
        <v>217</v>
      </c>
      <c r="F1701" s="2890">
        <v>6.4783684540575717E-4</v>
      </c>
      <c r="G1701" s="2890">
        <v>0.87696995931548771</v>
      </c>
    </row>
    <row r="1702" spans="2:7" ht="15" hidden="1" outlineLevel="2">
      <c r="B1702" s="2889" t="s">
        <v>1638</v>
      </c>
      <c r="C1702" s="2889" t="s">
        <v>1538</v>
      </c>
      <c r="D1702" s="2889" t="s">
        <v>1106</v>
      </c>
      <c r="E1702" s="2889" t="s">
        <v>217</v>
      </c>
      <c r="F1702" s="2890">
        <v>1.5051906425468127E-4</v>
      </c>
      <c r="G1702" s="2890">
        <v>0.20392672490648989</v>
      </c>
    </row>
    <row r="1703" spans="2:7" ht="15" hidden="1" outlineLevel="2">
      <c r="B1703" s="2889" t="s">
        <v>1639</v>
      </c>
      <c r="C1703" s="2889" t="s">
        <v>1538</v>
      </c>
      <c r="D1703" s="2889" t="s">
        <v>1106</v>
      </c>
      <c r="E1703" s="2889" t="s">
        <v>217</v>
      </c>
      <c r="F1703" s="3039">
        <v>1.0565435987852298E-3</v>
      </c>
      <c r="G1703" s="2890">
        <v>1.4302329961680744</v>
      </c>
    </row>
    <row r="1704" spans="2:7" ht="15" hidden="1" outlineLevel="2">
      <c r="B1704" s="2889" t="s">
        <v>1640</v>
      </c>
      <c r="C1704" s="2889" t="s">
        <v>1538</v>
      </c>
      <c r="D1704" s="2889" t="s">
        <v>1106</v>
      </c>
      <c r="E1704" s="2889" t="s">
        <v>217</v>
      </c>
      <c r="F1704" s="3039">
        <v>1.5262594972066825E-4</v>
      </c>
      <c r="G1704" s="2890">
        <v>0.20461396624474662</v>
      </c>
    </row>
    <row r="1705" spans="2:7" ht="15" hidden="1" outlineLevel="2">
      <c r="B1705" s="2889" t="s">
        <v>1641</v>
      </c>
      <c r="C1705" s="2889" t="s">
        <v>1538</v>
      </c>
      <c r="D1705" s="2889" t="s">
        <v>1106</v>
      </c>
      <c r="E1705" s="2889" t="s">
        <v>217</v>
      </c>
      <c r="F1705" s="2890">
        <v>1.1544859187757458E-3</v>
      </c>
      <c r="G1705" s="2890">
        <v>1.5551150217003011</v>
      </c>
    </row>
    <row r="1706" spans="2:7" ht="15" hidden="1" outlineLevel="2">
      <c r="B1706" s="2889" t="s">
        <v>1642</v>
      </c>
      <c r="C1706" s="2889" t="s">
        <v>1538</v>
      </c>
      <c r="D1706" s="2889" t="s">
        <v>1106</v>
      </c>
      <c r="E1706" s="2889" t="s">
        <v>217</v>
      </c>
      <c r="F1706" s="2890">
        <v>1.3197170529481458E-3</v>
      </c>
      <c r="G1706" s="2890">
        <v>1.7776819619017958</v>
      </c>
    </row>
    <row r="1707" spans="2:7" ht="15" hidden="1" outlineLevel="2">
      <c r="B1707" s="2889" t="s">
        <v>1643</v>
      </c>
      <c r="C1707" s="2889" t="s">
        <v>1538</v>
      </c>
      <c r="D1707" s="2889" t="s">
        <v>1106</v>
      </c>
      <c r="E1707" s="2889" t="s">
        <v>217</v>
      </c>
      <c r="F1707" s="2890">
        <v>1.3506314818879659E-4</v>
      </c>
      <c r="G1707" s="2890">
        <v>0.18163281047114108</v>
      </c>
    </row>
    <row r="1708" spans="2:7" ht="15" hidden="1" outlineLevel="2">
      <c r="B1708" s="2889" t="s">
        <v>1644</v>
      </c>
      <c r="C1708" s="2889" t="s">
        <v>1538</v>
      </c>
      <c r="D1708" s="2889" t="s">
        <v>1106</v>
      </c>
      <c r="E1708" s="2889" t="s">
        <v>217</v>
      </c>
      <c r="F1708" s="2890">
        <v>4.5777593717603081E-3</v>
      </c>
      <c r="G1708" s="2890">
        <v>6.1968609689659724</v>
      </c>
    </row>
    <row r="1709" spans="2:7" ht="15" hidden="1" outlineLevel="2">
      <c r="B1709" s="2889" t="s">
        <v>1645</v>
      </c>
      <c r="C1709" s="2889" t="s">
        <v>1538</v>
      </c>
      <c r="D1709" s="2889" t="s">
        <v>1106</v>
      </c>
      <c r="E1709" s="2889" t="s">
        <v>217</v>
      </c>
      <c r="F1709" s="2890">
        <v>4.1821746874444159E-3</v>
      </c>
      <c r="G1709" s="2890">
        <v>5.6613650240587958</v>
      </c>
    </row>
    <row r="1710" spans="2:7" ht="15" hidden="1" outlineLevel="2">
      <c r="B1710" s="2889" t="s">
        <v>1646</v>
      </c>
      <c r="C1710" s="2889" t="s">
        <v>1538</v>
      </c>
      <c r="D1710" s="2889" t="s">
        <v>1106</v>
      </c>
      <c r="E1710" s="2889" t="s">
        <v>217</v>
      </c>
      <c r="F1710" s="2890">
        <v>2.1771436670036334E-4</v>
      </c>
      <c r="G1710" s="2890">
        <v>0.29326519810824753</v>
      </c>
    </row>
    <row r="1711" spans="2:7" ht="15" hidden="1" outlineLevel="2">
      <c r="B1711" s="2889" t="s">
        <v>1647</v>
      </c>
      <c r="C1711" s="2889" t="s">
        <v>1538</v>
      </c>
      <c r="D1711" s="2889" t="s">
        <v>1106</v>
      </c>
      <c r="E1711" s="2889" t="s">
        <v>217</v>
      </c>
      <c r="F1711" s="2890">
        <v>4.5401708472075431E-4</v>
      </c>
      <c r="G1711" s="2890">
        <v>0.61525046676664819</v>
      </c>
    </row>
    <row r="1712" spans="2:7" ht="15" hidden="1" outlineLevel="2">
      <c r="B1712" s="2889" t="s">
        <v>1648</v>
      </c>
      <c r="C1712" s="2889" t="s">
        <v>1538</v>
      </c>
      <c r="D1712" s="2889" t="s">
        <v>1106</v>
      </c>
      <c r="E1712" s="2889" t="s">
        <v>217</v>
      </c>
      <c r="F1712" s="2890">
        <v>1.2853155951164354E-4</v>
      </c>
      <c r="G1712" s="2890">
        <v>0.17417683096836992</v>
      </c>
    </row>
    <row r="1713" spans="2:7" ht="15" hidden="1" outlineLevel="2">
      <c r="B1713" s="2889" t="s">
        <v>1649</v>
      </c>
      <c r="C1713" s="2889" t="s">
        <v>1538</v>
      </c>
      <c r="D1713" s="2889" t="s">
        <v>1106</v>
      </c>
      <c r="E1713" s="2889" t="s">
        <v>217</v>
      </c>
      <c r="F1713" s="2890">
        <v>1.7346330663911083E-4</v>
      </c>
      <c r="G1713" s="2890">
        <v>0.2350649910864121</v>
      </c>
    </row>
    <row r="1714" spans="2:7" ht="15" hidden="1" outlineLevel="2">
      <c r="B1714" s="2889" t="s">
        <v>1650</v>
      </c>
      <c r="C1714" s="2889" t="s">
        <v>1538</v>
      </c>
      <c r="D1714" s="2889" t="s">
        <v>1106</v>
      </c>
      <c r="E1714" s="2889" t="s">
        <v>217</v>
      </c>
      <c r="F1714" s="2890">
        <v>6.8768265061129499E-4</v>
      </c>
      <c r="G1714" s="2890">
        <v>0.92192354191020531</v>
      </c>
    </row>
    <row r="1715" spans="2:7" ht="15" hidden="1" outlineLevel="2">
      <c r="B1715" s="2889" t="s">
        <v>1651</v>
      </c>
      <c r="C1715" s="2889" t="s">
        <v>1538</v>
      </c>
      <c r="D1715" s="2889" t="s">
        <v>1106</v>
      </c>
      <c r="E1715" s="2889" t="s">
        <v>217</v>
      </c>
      <c r="F1715" s="2890">
        <v>4.3489247538599325E-4</v>
      </c>
      <c r="G1715" s="2890">
        <v>0.58933428077303229</v>
      </c>
    </row>
    <row r="1716" spans="2:7" ht="15" hidden="1" outlineLevel="2">
      <c r="B1716" s="2889" t="s">
        <v>1652</v>
      </c>
      <c r="C1716" s="2889" t="s">
        <v>1538</v>
      </c>
      <c r="D1716" s="2889" t="s">
        <v>1106</v>
      </c>
      <c r="E1716" s="2889" t="s">
        <v>217</v>
      </c>
      <c r="F1716" s="2890">
        <v>2.4239552723012887E-4</v>
      </c>
      <c r="G1716" s="2890">
        <v>0.32847694756379531</v>
      </c>
    </row>
    <row r="1717" spans="2:7" ht="15" hidden="1" outlineLevel="2">
      <c r="B1717" s="2889" t="s">
        <v>1653</v>
      </c>
      <c r="C1717" s="2889" t="s">
        <v>1538</v>
      </c>
      <c r="D1717" s="2889" t="s">
        <v>1106</v>
      </c>
      <c r="E1717" s="2889" t="s">
        <v>217</v>
      </c>
      <c r="F1717" s="2890">
        <v>3.2301774922591652E-3</v>
      </c>
      <c r="G1717" s="2890">
        <v>4.3511063097358624</v>
      </c>
    </row>
    <row r="1718" spans="2:7" ht="15" hidden="1" outlineLevel="2">
      <c r="B1718" s="2889" t="s">
        <v>1407</v>
      </c>
      <c r="C1718" s="2889" t="s">
        <v>1539</v>
      </c>
      <c r="D1718" s="2889" t="s">
        <v>1106</v>
      </c>
      <c r="E1718" s="2889" t="s">
        <v>217</v>
      </c>
      <c r="F1718" s="2890">
        <v>3.8226915338767921E-4</v>
      </c>
      <c r="G1718" s="2890">
        <v>4.8680174919265484</v>
      </c>
    </row>
    <row r="1719" spans="2:7" ht="15" hidden="1" outlineLevel="2">
      <c r="B1719" s="2889" t="s">
        <v>1631</v>
      </c>
      <c r="C1719" s="2889" t="s">
        <v>1539</v>
      </c>
      <c r="D1719" s="2889" t="s">
        <v>1106</v>
      </c>
      <c r="E1719" s="2889" t="s">
        <v>217</v>
      </c>
      <c r="F1719" s="2890">
        <v>1.6365424220981153E-3</v>
      </c>
      <c r="G1719" s="2890">
        <v>20.626774585261938</v>
      </c>
    </row>
    <row r="1720" spans="2:7" ht="15" hidden="1" outlineLevel="2">
      <c r="B1720" s="2889" t="s">
        <v>1632</v>
      </c>
      <c r="C1720" s="2889" t="s">
        <v>1539</v>
      </c>
      <c r="D1720" s="2889" t="s">
        <v>1106</v>
      </c>
      <c r="E1720" s="2889" t="s">
        <v>217</v>
      </c>
      <c r="F1720" s="3039">
        <v>2.9502096061902881E-3</v>
      </c>
      <c r="G1720" s="2890">
        <v>37.748636254183637</v>
      </c>
    </row>
    <row r="1721" spans="2:7" ht="15" hidden="1" outlineLevel="2">
      <c r="B1721" s="2889" t="s">
        <v>1633</v>
      </c>
      <c r="C1721" s="2889" t="s">
        <v>1539</v>
      </c>
      <c r="D1721" s="2889" t="s">
        <v>1106</v>
      </c>
      <c r="E1721" s="2889" t="s">
        <v>217</v>
      </c>
      <c r="F1721" s="3039">
        <v>7.8552446349812731E-5</v>
      </c>
      <c r="G1721" s="2890">
        <v>1.0100913996089811</v>
      </c>
    </row>
    <row r="1722" spans="2:7" ht="15" hidden="1" outlineLevel="2">
      <c r="B1722" s="2889" t="s">
        <v>1634</v>
      </c>
      <c r="C1722" s="2889" t="s">
        <v>1539</v>
      </c>
      <c r="D1722" s="2889" t="s">
        <v>1106</v>
      </c>
      <c r="E1722" s="2889" t="s">
        <v>217</v>
      </c>
      <c r="F1722" s="3039">
        <v>1.9012136498010551E-4</v>
      </c>
      <c r="G1722" s="2890">
        <v>2.4473570607901189</v>
      </c>
    </row>
    <row r="1723" spans="2:7" ht="15" hidden="1" outlineLevel="2">
      <c r="B1723" s="2889" t="s">
        <v>1635</v>
      </c>
      <c r="C1723" s="2889" t="s">
        <v>1539</v>
      </c>
      <c r="D1723" s="2889" t="s">
        <v>1106</v>
      </c>
      <c r="E1723" s="2889" t="s">
        <v>217</v>
      </c>
      <c r="F1723" s="3039">
        <v>4.111747369712086E-4</v>
      </c>
      <c r="G1723" s="2890">
        <v>5.2610753393976406</v>
      </c>
    </row>
    <row r="1724" spans="2:7" ht="15" hidden="1" outlineLevel="2">
      <c r="B1724" s="2889" t="s">
        <v>1636</v>
      </c>
      <c r="C1724" s="2889" t="s">
        <v>1539</v>
      </c>
      <c r="D1724" s="2889" t="s">
        <v>1106</v>
      </c>
      <c r="E1724" s="2889" t="s">
        <v>217</v>
      </c>
      <c r="F1724" s="3039">
        <v>3.7497216011487389E-4</v>
      </c>
      <c r="G1724" s="2890">
        <v>4.7983015515885103</v>
      </c>
    </row>
    <row r="1725" spans="2:7" ht="15" hidden="1" outlineLevel="2">
      <c r="B1725" s="2889" t="s">
        <v>1637</v>
      </c>
      <c r="C1725" s="2889" t="s">
        <v>1539</v>
      </c>
      <c r="D1725" s="2889" t="s">
        <v>1106</v>
      </c>
      <c r="E1725" s="2889" t="s">
        <v>217</v>
      </c>
      <c r="F1725" s="3039">
        <v>1.2970950753968719E-4</v>
      </c>
      <c r="G1725" s="2890">
        <v>1.667911057742447</v>
      </c>
    </row>
    <row r="1726" spans="2:7" ht="15" hidden="1" outlineLevel="2">
      <c r="B1726" s="2889" t="s">
        <v>1638</v>
      </c>
      <c r="C1726" s="2889" t="s">
        <v>1539</v>
      </c>
      <c r="D1726" s="2889" t="s">
        <v>1106</v>
      </c>
      <c r="E1726" s="2889" t="s">
        <v>217</v>
      </c>
      <c r="F1726" s="3039">
        <v>2.6223767078717669E-4</v>
      </c>
      <c r="G1726" s="2890">
        <v>3.375244095325832</v>
      </c>
    </row>
    <row r="1727" spans="2:7" ht="15" hidden="1" outlineLevel="2">
      <c r="B1727" s="2889" t="s">
        <v>1639</v>
      </c>
      <c r="C1727" s="2889" t="s">
        <v>1539</v>
      </c>
      <c r="D1727" s="2889" t="s">
        <v>1106</v>
      </c>
      <c r="E1727" s="2889" t="s">
        <v>217</v>
      </c>
      <c r="F1727" s="3039">
        <v>9.9003711282573403E-4</v>
      </c>
      <c r="G1727" s="2890">
        <v>12.730700426417775</v>
      </c>
    </row>
    <row r="1728" spans="2:7" ht="15" hidden="1" outlineLevel="2">
      <c r="B1728" s="2889" t="s">
        <v>1640</v>
      </c>
      <c r="C1728" s="2889" t="s">
        <v>1539</v>
      </c>
      <c r="D1728" s="2889" t="s">
        <v>1106</v>
      </c>
      <c r="E1728" s="2889" t="s">
        <v>217</v>
      </c>
      <c r="F1728" s="3039">
        <v>9.824621602482957E-5</v>
      </c>
      <c r="G1728" s="2890">
        <v>1.2511181936089173</v>
      </c>
    </row>
    <row r="1729" spans="2:7" ht="15" hidden="1" outlineLevel="2">
      <c r="B1729" s="2889" t="s">
        <v>1641</v>
      </c>
      <c r="C1729" s="2889" t="s">
        <v>1539</v>
      </c>
      <c r="D1729" s="2889" t="s">
        <v>1106</v>
      </c>
      <c r="E1729" s="2889" t="s">
        <v>217</v>
      </c>
      <c r="F1729" s="3039">
        <v>6.6400027421077538E-4</v>
      </c>
      <c r="G1729" s="2890">
        <v>8.4960343084771068</v>
      </c>
    </row>
    <row r="1730" spans="2:7" ht="15" hidden="1" outlineLevel="2">
      <c r="B1730" s="2889" t="s">
        <v>1642</v>
      </c>
      <c r="C1730" s="2889" t="s">
        <v>1539</v>
      </c>
      <c r="D1730" s="2889" t="s">
        <v>1106</v>
      </c>
      <c r="E1730" s="2889" t="s">
        <v>217</v>
      </c>
      <c r="F1730" s="2890">
        <v>9.0181415583149313E-4</v>
      </c>
      <c r="G1730" s="2890">
        <v>11.538929113863654</v>
      </c>
    </row>
    <row r="1731" spans="2:7" ht="15" hidden="1" outlineLevel="2">
      <c r="B1731" s="2889" t="s">
        <v>1643</v>
      </c>
      <c r="C1731" s="2889" t="s">
        <v>1539</v>
      </c>
      <c r="D1731" s="2889" t="s">
        <v>1106</v>
      </c>
      <c r="E1731" s="2889" t="s">
        <v>217</v>
      </c>
      <c r="F1731" s="2890">
        <v>1.2154691796050467E-4</v>
      </c>
      <c r="G1731" s="2890">
        <v>1.552642774811215</v>
      </c>
    </row>
    <row r="1732" spans="2:7" ht="15" hidden="1" outlineLevel="2">
      <c r="B1732" s="2889" t="s">
        <v>1644</v>
      </c>
      <c r="C1732" s="2889" t="s">
        <v>1539</v>
      </c>
      <c r="D1732" s="2889" t="s">
        <v>1106</v>
      </c>
      <c r="E1732" s="2889" t="s">
        <v>217</v>
      </c>
      <c r="F1732" s="3039">
        <v>1.6609631478459186E-3</v>
      </c>
      <c r="G1732" s="2890">
        <v>21.358017978790173</v>
      </c>
    </row>
    <row r="1733" spans="2:7" ht="15" hidden="1" outlineLevel="2">
      <c r="B1733" s="2889" t="s">
        <v>1645</v>
      </c>
      <c r="C1733" s="2889" t="s">
        <v>1539</v>
      </c>
      <c r="D1733" s="2889" t="s">
        <v>1106</v>
      </c>
      <c r="E1733" s="2889" t="s">
        <v>217</v>
      </c>
      <c r="F1733" s="2890">
        <v>1.219524075342692E-3</v>
      </c>
      <c r="G1733" s="2890">
        <v>15.681627753870949</v>
      </c>
    </row>
    <row r="1734" spans="2:7" ht="15" hidden="1" outlineLevel="2">
      <c r="B1734" s="2889" t="s">
        <v>1646</v>
      </c>
      <c r="C1734" s="2889" t="s">
        <v>1539</v>
      </c>
      <c r="D1734" s="2889" t="s">
        <v>1106</v>
      </c>
      <c r="E1734" s="2889" t="s">
        <v>217</v>
      </c>
      <c r="F1734" s="2890">
        <v>1.0038832431166092E-4</v>
      </c>
      <c r="G1734" s="2890">
        <v>1.2844919049531394</v>
      </c>
    </row>
    <row r="1735" spans="2:7" ht="15" hidden="1" outlineLevel="2">
      <c r="B1735" s="2889" t="s">
        <v>1647</v>
      </c>
      <c r="C1735" s="2889" t="s">
        <v>1539</v>
      </c>
      <c r="D1735" s="2889" t="s">
        <v>1106</v>
      </c>
      <c r="E1735" s="2889" t="s">
        <v>217</v>
      </c>
      <c r="F1735" s="2890">
        <v>5.3752490277903612E-5</v>
      </c>
      <c r="G1735" s="2890">
        <v>0.6919351669083138</v>
      </c>
    </row>
    <row r="1736" spans="2:7" ht="15" hidden="1" outlineLevel="2">
      <c r="B1736" s="2889" t="s">
        <v>1648</v>
      </c>
      <c r="C1736" s="2889" t="s">
        <v>1539</v>
      </c>
      <c r="D1736" s="2889" t="s">
        <v>1106</v>
      </c>
      <c r="E1736" s="2889" t="s">
        <v>217</v>
      </c>
      <c r="F1736" s="2890">
        <v>3.6583953679926098E-5</v>
      </c>
      <c r="G1736" s="2890">
        <v>0.47093081766736555</v>
      </c>
    </row>
    <row r="1737" spans="2:7" ht="15" hidden="1" outlineLevel="2">
      <c r="B1737" s="2889" t="s">
        <v>1649</v>
      </c>
      <c r="C1737" s="2889" t="s">
        <v>1539</v>
      </c>
      <c r="D1737" s="2889" t="s">
        <v>1106</v>
      </c>
      <c r="E1737" s="2889" t="s">
        <v>217</v>
      </c>
      <c r="F1737" s="2890">
        <v>2.570670982875248E-4</v>
      </c>
      <c r="G1737" s="2890">
        <v>3.3091237003146241</v>
      </c>
    </row>
    <row r="1738" spans="2:7" ht="15" hidden="1" outlineLevel="2">
      <c r="B1738" s="2889" t="s">
        <v>1650</v>
      </c>
      <c r="C1738" s="2889" t="s">
        <v>1539</v>
      </c>
      <c r="D1738" s="2889" t="s">
        <v>1106</v>
      </c>
      <c r="E1738" s="2889" t="s">
        <v>217</v>
      </c>
      <c r="F1738" s="2890">
        <v>9.3296074384002997E-4</v>
      </c>
      <c r="G1738" s="2890">
        <v>11.880801968442666</v>
      </c>
    </row>
    <row r="1739" spans="2:7" ht="15" hidden="1" outlineLevel="2">
      <c r="B1739" s="2889" t="s">
        <v>1651</v>
      </c>
      <c r="C1739" s="2889" t="s">
        <v>1539</v>
      </c>
      <c r="D1739" s="2889" t="s">
        <v>1106</v>
      </c>
      <c r="E1739" s="2889" t="s">
        <v>217</v>
      </c>
      <c r="F1739" s="2890">
        <v>4.6643110265598105E-4</v>
      </c>
      <c r="G1739" s="2890">
        <v>6.0041765747264861</v>
      </c>
    </row>
    <row r="1740" spans="2:7" ht="15" hidden="1" outlineLevel="2">
      <c r="B1740" s="2889" t="s">
        <v>1652</v>
      </c>
      <c r="C1740" s="2889" t="s">
        <v>1539</v>
      </c>
      <c r="D1740" s="2889" t="s">
        <v>1106</v>
      </c>
      <c r="E1740" s="2889" t="s">
        <v>217</v>
      </c>
      <c r="F1740" s="2890">
        <v>1.2202335929890334E-4</v>
      </c>
      <c r="G1740" s="2890">
        <v>1.5707592380940749</v>
      </c>
    </row>
    <row r="1741" spans="2:7" ht="15" hidden="1" outlineLevel="2">
      <c r="B1741" s="2889" t="s">
        <v>1653</v>
      </c>
      <c r="C1741" s="2889" t="s">
        <v>1539</v>
      </c>
      <c r="D1741" s="2889" t="s">
        <v>1106</v>
      </c>
      <c r="E1741" s="2889" t="s">
        <v>217</v>
      </c>
      <c r="F1741" s="2890">
        <v>2.2383917843001189E-3</v>
      </c>
      <c r="G1741" s="2890">
        <v>28.640743724603901</v>
      </c>
    </row>
    <row r="1742" spans="2:7" ht="15" hidden="1" outlineLevel="2">
      <c r="B1742" s="2889" t="s">
        <v>1407</v>
      </c>
      <c r="C1742" s="2889" t="s">
        <v>1570</v>
      </c>
      <c r="D1742" s="2889" t="s">
        <v>1559</v>
      </c>
      <c r="E1742" s="2889" t="s">
        <v>217</v>
      </c>
      <c r="F1742" s="2890">
        <v>0.90853161191334786</v>
      </c>
      <c r="G1742" s="2890">
        <v>561.68519784646469</v>
      </c>
    </row>
    <row r="1743" spans="2:7" ht="15" hidden="1" outlineLevel="2">
      <c r="B1743" s="2889" t="s">
        <v>1631</v>
      </c>
      <c r="C1743" s="2889" t="s">
        <v>1570</v>
      </c>
      <c r="D1743" s="2889" t="s">
        <v>1559</v>
      </c>
      <c r="E1743" s="2889" t="s">
        <v>217</v>
      </c>
      <c r="F1743" s="2890">
        <v>5.4104964967075615</v>
      </c>
      <c r="G1743" s="2890">
        <v>3309.4882379777764</v>
      </c>
    </row>
    <row r="1744" spans="2:7" ht="15" hidden="1" outlineLevel="2">
      <c r="B1744" s="2889" t="s">
        <v>1632</v>
      </c>
      <c r="C1744" s="2889" t="s">
        <v>1570</v>
      </c>
      <c r="D1744" s="2889" t="s">
        <v>1559</v>
      </c>
      <c r="E1744" s="2889" t="s">
        <v>217</v>
      </c>
      <c r="F1744" s="2890">
        <v>8.8576080613081398</v>
      </c>
      <c r="G1744" s="2890">
        <v>5483.465092252236</v>
      </c>
    </row>
    <row r="1745" spans="2:7" ht="15" hidden="1" outlineLevel="2">
      <c r="B1745" s="2889" t="s">
        <v>1633</v>
      </c>
      <c r="C1745" s="2889" t="s">
        <v>1570</v>
      </c>
      <c r="D1745" s="2889" t="s">
        <v>1559</v>
      </c>
      <c r="E1745" s="2889" t="s">
        <v>217</v>
      </c>
      <c r="F1745" s="2890">
        <v>0.81508317572152045</v>
      </c>
      <c r="G1745" s="2890">
        <v>506.11876351899286</v>
      </c>
    </row>
    <row r="1746" spans="2:7" ht="15" hidden="1" outlineLevel="2">
      <c r="B1746" s="2889" t="s">
        <v>1634</v>
      </c>
      <c r="C1746" s="2889" t="s">
        <v>1570</v>
      </c>
      <c r="D1746" s="2889" t="s">
        <v>1559</v>
      </c>
      <c r="E1746" s="2889" t="s">
        <v>217</v>
      </c>
      <c r="F1746" s="2890">
        <v>0.33892226817567273</v>
      </c>
      <c r="G1746" s="2890">
        <v>210.95006910375324</v>
      </c>
    </row>
    <row r="1747" spans="2:7" ht="15" hidden="1" outlineLevel="2">
      <c r="B1747" s="2889" t="s">
        <v>1635</v>
      </c>
      <c r="C1747" s="2889" t="s">
        <v>1570</v>
      </c>
      <c r="D1747" s="2889" t="s">
        <v>1559</v>
      </c>
      <c r="E1747" s="2889" t="s">
        <v>217</v>
      </c>
      <c r="F1747" s="2890">
        <v>1.5793974358671667</v>
      </c>
      <c r="G1747" s="2890">
        <v>977.75519147137391</v>
      </c>
    </row>
    <row r="1748" spans="2:7" ht="15" hidden="1" outlineLevel="2">
      <c r="B1748" s="2889" t="s">
        <v>1636</v>
      </c>
      <c r="C1748" s="2889" t="s">
        <v>1570</v>
      </c>
      <c r="D1748" s="2889" t="s">
        <v>1559</v>
      </c>
      <c r="E1748" s="2889" t="s">
        <v>217</v>
      </c>
      <c r="F1748" s="2890">
        <v>1.002011592574815</v>
      </c>
      <c r="G1748" s="2890">
        <v>620.38203771528606</v>
      </c>
    </row>
    <row r="1749" spans="2:7" ht="15" hidden="1" outlineLevel="2">
      <c r="B1749" s="2889" t="s">
        <v>1637</v>
      </c>
      <c r="C1749" s="2889" t="s">
        <v>1570</v>
      </c>
      <c r="D1749" s="2889" t="s">
        <v>1559</v>
      </c>
      <c r="E1749" s="2889" t="s">
        <v>217</v>
      </c>
      <c r="F1749" s="2890">
        <v>1.2909933443198975</v>
      </c>
      <c r="G1749" s="2890">
        <v>801.6312234729013</v>
      </c>
    </row>
    <row r="1750" spans="2:7" ht="15" hidden="1" outlineLevel="2">
      <c r="B1750" s="2889" t="s">
        <v>1638</v>
      </c>
      <c r="C1750" s="2889" t="s">
        <v>1570</v>
      </c>
      <c r="D1750" s="2889" t="s">
        <v>1559</v>
      </c>
      <c r="E1750" s="2889" t="s">
        <v>217</v>
      </c>
      <c r="F1750" s="2890">
        <v>0.40728147722490798</v>
      </c>
      <c r="G1750" s="2890">
        <v>253.49785178084431</v>
      </c>
    </row>
    <row r="1751" spans="2:7" ht="15" hidden="1" outlineLevel="2">
      <c r="B1751" s="2889" t="s">
        <v>1639</v>
      </c>
      <c r="C1751" s="2889" t="s">
        <v>1570</v>
      </c>
      <c r="D1751" s="2889" t="s">
        <v>1559</v>
      </c>
      <c r="E1751" s="2889" t="s">
        <v>217</v>
      </c>
      <c r="F1751" s="2890">
        <v>2.1578966875864363</v>
      </c>
      <c r="G1751" s="2890">
        <v>1339.9273685202074</v>
      </c>
    </row>
    <row r="1752" spans="2:7" ht="15" hidden="1" outlineLevel="2">
      <c r="B1752" s="2889" t="s">
        <v>1640</v>
      </c>
      <c r="C1752" s="2889" t="s">
        <v>1570</v>
      </c>
      <c r="D1752" s="2889" t="s">
        <v>1559</v>
      </c>
      <c r="E1752" s="2889" t="s">
        <v>217</v>
      </c>
      <c r="F1752" s="2890">
        <v>0.47626977056805614</v>
      </c>
      <c r="G1752" s="2890">
        <v>294.44627041435342</v>
      </c>
    </row>
    <row r="1753" spans="2:7" ht="15" hidden="1" outlineLevel="2">
      <c r="B1753" s="2889" t="s">
        <v>1641</v>
      </c>
      <c r="C1753" s="2889" t="s">
        <v>1570</v>
      </c>
      <c r="D1753" s="2889" t="s">
        <v>1559</v>
      </c>
      <c r="E1753" s="2889" t="s">
        <v>217</v>
      </c>
      <c r="F1753" s="3039">
        <v>2.4084748319945444</v>
      </c>
      <c r="G1753" s="2890">
        <v>1491.011237677865</v>
      </c>
    </row>
    <row r="1754" spans="2:7" ht="15" hidden="1" outlineLevel="2">
      <c r="B1754" s="2889" t="s">
        <v>1642</v>
      </c>
      <c r="C1754" s="2889" t="s">
        <v>1570</v>
      </c>
      <c r="D1754" s="2889" t="s">
        <v>1559</v>
      </c>
      <c r="E1754" s="2889" t="s">
        <v>217</v>
      </c>
      <c r="F1754" s="3039">
        <v>2.68455564570045</v>
      </c>
      <c r="G1754" s="2890">
        <v>1661.9235739302026</v>
      </c>
    </row>
    <row r="1755" spans="2:7" ht="15" hidden="1" outlineLevel="2">
      <c r="B1755" s="2889" t="s">
        <v>1643</v>
      </c>
      <c r="C1755" s="2889" t="s">
        <v>1570</v>
      </c>
      <c r="D1755" s="2889" t="s">
        <v>1559</v>
      </c>
      <c r="E1755" s="2889" t="s">
        <v>217</v>
      </c>
      <c r="F1755" s="3039">
        <v>0.42754120583649252</v>
      </c>
      <c r="G1755" s="2890">
        <v>264.32309461666063</v>
      </c>
    </row>
    <row r="1756" spans="2:7" ht="15" hidden="1" outlineLevel="2">
      <c r="B1756" s="2889" t="s">
        <v>1644</v>
      </c>
      <c r="C1756" s="2889" t="s">
        <v>1570</v>
      </c>
      <c r="D1756" s="2889" t="s">
        <v>1559</v>
      </c>
      <c r="E1756" s="2889" t="s">
        <v>217</v>
      </c>
      <c r="F1756" s="3039">
        <v>9.5581488770674383</v>
      </c>
      <c r="G1756" s="2890">
        <v>5935.050573343965</v>
      </c>
    </row>
    <row r="1757" spans="2:7" ht="15" hidden="1" outlineLevel="2">
      <c r="B1757" s="2889" t="s">
        <v>1645</v>
      </c>
      <c r="C1757" s="2889" t="s">
        <v>1570</v>
      </c>
      <c r="D1757" s="2889" t="s">
        <v>1559</v>
      </c>
      <c r="E1757" s="2889" t="s">
        <v>217</v>
      </c>
      <c r="F1757" s="3039">
        <v>8.5562796408432629</v>
      </c>
      <c r="G1757" s="2890">
        <v>5312.9472412177165</v>
      </c>
    </row>
    <row r="1758" spans="2:7" ht="15" hidden="1" outlineLevel="2">
      <c r="B1758" s="2889" t="s">
        <v>1646</v>
      </c>
      <c r="C1758" s="2889" t="s">
        <v>1570</v>
      </c>
      <c r="D1758" s="2889" t="s">
        <v>1559</v>
      </c>
      <c r="E1758" s="2889" t="s">
        <v>217</v>
      </c>
      <c r="F1758" s="3039">
        <v>0.48735117625956331</v>
      </c>
      <c r="G1758" s="2890">
        <v>301.70364357940821</v>
      </c>
    </row>
    <row r="1759" spans="2:7" ht="15" hidden="1" outlineLevel="2">
      <c r="B1759" s="2889" t="s">
        <v>1647</v>
      </c>
      <c r="C1759" s="2889" t="s">
        <v>1570</v>
      </c>
      <c r="D1759" s="2889" t="s">
        <v>1559</v>
      </c>
      <c r="E1759" s="2889" t="s">
        <v>217</v>
      </c>
      <c r="F1759" s="2890">
        <v>0.99029643563521075</v>
      </c>
      <c r="G1759" s="2890">
        <v>616.37459912082682</v>
      </c>
    </row>
    <row r="1760" spans="2:7" ht="15" hidden="1" outlineLevel="2">
      <c r="B1760" s="2889" t="s">
        <v>1648</v>
      </c>
      <c r="C1760" s="2889" t="s">
        <v>1570</v>
      </c>
      <c r="D1760" s="2889" t="s">
        <v>1559</v>
      </c>
      <c r="E1760" s="2889" t="s">
        <v>217</v>
      </c>
      <c r="F1760" s="2890">
        <v>0.27783007438909291</v>
      </c>
      <c r="G1760" s="2890">
        <v>172.92535766511733</v>
      </c>
    </row>
    <row r="1761" spans="2:7" ht="15" hidden="1" outlineLevel="2">
      <c r="B1761" s="2889" t="s">
        <v>1649</v>
      </c>
      <c r="C1761" s="2889" t="s">
        <v>1570</v>
      </c>
      <c r="D1761" s="2889" t="s">
        <v>1559</v>
      </c>
      <c r="E1761" s="2889" t="s">
        <v>217</v>
      </c>
      <c r="F1761" s="2890">
        <v>0.47185505745968237</v>
      </c>
      <c r="G1761" s="2890">
        <v>293.68944454126392</v>
      </c>
    </row>
    <row r="1762" spans="2:7" ht="15" hidden="1" outlineLevel="2">
      <c r="B1762" s="2889" t="s">
        <v>1650</v>
      </c>
      <c r="C1762" s="2889" t="s">
        <v>1570</v>
      </c>
      <c r="D1762" s="2889" t="s">
        <v>1559</v>
      </c>
      <c r="E1762" s="2889" t="s">
        <v>217</v>
      </c>
      <c r="F1762" s="2890">
        <v>1.5095083632085156</v>
      </c>
      <c r="G1762" s="2890">
        <v>933.22945498479169</v>
      </c>
    </row>
    <row r="1763" spans="2:7" ht="15" hidden="1" outlineLevel="2">
      <c r="B1763" s="2889" t="s">
        <v>1651</v>
      </c>
      <c r="C1763" s="2889" t="s">
        <v>1570</v>
      </c>
      <c r="D1763" s="2889" t="s">
        <v>1559</v>
      </c>
      <c r="E1763" s="2889" t="s">
        <v>217</v>
      </c>
      <c r="F1763" s="2890">
        <v>0.98399626266990137</v>
      </c>
      <c r="G1763" s="2890">
        <v>612.4535827099777</v>
      </c>
    </row>
    <row r="1764" spans="2:7" ht="15" hidden="1" outlineLevel="2">
      <c r="B1764" s="2889" t="s">
        <v>1652</v>
      </c>
      <c r="C1764" s="2889" t="s">
        <v>1570</v>
      </c>
      <c r="D1764" s="2889" t="s">
        <v>1559</v>
      </c>
      <c r="E1764" s="2889" t="s">
        <v>217</v>
      </c>
      <c r="F1764" s="2890">
        <v>1.3303512427459439</v>
      </c>
      <c r="G1764" s="2890">
        <v>828.03007425536555</v>
      </c>
    </row>
    <row r="1765" spans="2:7" ht="15" hidden="1" outlineLevel="2">
      <c r="B1765" s="2889" t="s">
        <v>1653</v>
      </c>
      <c r="C1765" s="2889" t="s">
        <v>1570</v>
      </c>
      <c r="D1765" s="2889" t="s">
        <v>1559</v>
      </c>
      <c r="E1765" s="2889" t="s">
        <v>217</v>
      </c>
      <c r="F1765" s="2890">
        <v>8.2303804139269889</v>
      </c>
      <c r="G1765" s="2890">
        <v>5095.1686995312657</v>
      </c>
    </row>
    <row r="1766" spans="2:7" ht="15" hidden="1" outlineLevel="2">
      <c r="B1766" s="2889" t="s">
        <v>1407</v>
      </c>
      <c r="C1766" s="2889" t="s">
        <v>1571</v>
      </c>
      <c r="D1766" s="2889" t="s">
        <v>1559</v>
      </c>
      <c r="E1766" s="2889" t="s">
        <v>217</v>
      </c>
      <c r="F1766" s="2890">
        <v>7.7982543407905391E-2</v>
      </c>
      <c r="G1766" s="2890">
        <v>92.616456155292056</v>
      </c>
    </row>
    <row r="1767" spans="2:7" ht="15" hidden="1" outlineLevel="2">
      <c r="B1767" s="2889" t="s">
        <v>1631</v>
      </c>
      <c r="C1767" s="2889" t="s">
        <v>1571</v>
      </c>
      <c r="D1767" s="2889" t="s">
        <v>1559</v>
      </c>
      <c r="E1767" s="2889" t="s">
        <v>217</v>
      </c>
      <c r="F1767" s="2890">
        <v>3.7769372079889179</v>
      </c>
      <c r="G1767" s="2890">
        <v>4438.1776183954744</v>
      </c>
    </row>
    <row r="1768" spans="2:7" ht="15" hidden="1" outlineLevel="2">
      <c r="B1768" s="2889" t="s">
        <v>1632</v>
      </c>
      <c r="C1768" s="2889" t="s">
        <v>1571</v>
      </c>
      <c r="D1768" s="2889" t="s">
        <v>1559</v>
      </c>
      <c r="E1768" s="2889" t="s">
        <v>217</v>
      </c>
      <c r="F1768" s="2890">
        <v>4.4857682309318774</v>
      </c>
      <c r="G1768" s="2890">
        <v>5334.707499995131</v>
      </c>
    </row>
    <row r="1769" spans="2:7" ht="15" hidden="1" outlineLevel="2">
      <c r="B1769" s="2889" t="s">
        <v>1633</v>
      </c>
      <c r="C1769" s="2889" t="s">
        <v>1571</v>
      </c>
      <c r="D1769" s="2889" t="s">
        <v>1559</v>
      </c>
      <c r="E1769" s="2889" t="s">
        <v>217</v>
      </c>
      <c r="F1769" s="2890">
        <v>0.26708465373600138</v>
      </c>
      <c r="G1769" s="2890">
        <v>318.6006315521177</v>
      </c>
    </row>
    <row r="1770" spans="2:7" ht="15" hidden="1" outlineLevel="2">
      <c r="B1770" s="2889" t="s">
        <v>1634</v>
      </c>
      <c r="C1770" s="2889" t="s">
        <v>1571</v>
      </c>
      <c r="D1770" s="2889" t="s">
        <v>1559</v>
      </c>
      <c r="E1770" s="2889" t="s">
        <v>217</v>
      </c>
      <c r="F1770" s="2890">
        <v>8.3654045117393994E-2</v>
      </c>
      <c r="G1770" s="2890">
        <v>100.02583994553802</v>
      </c>
    </row>
    <row r="1771" spans="2:7" ht="15" hidden="1" outlineLevel="2">
      <c r="B1771" s="2889" t="s">
        <v>1635</v>
      </c>
      <c r="C1771" s="2889" t="s">
        <v>1571</v>
      </c>
      <c r="D1771" s="2889" t="s">
        <v>1559</v>
      </c>
      <c r="E1771" s="2889" t="s">
        <v>217</v>
      </c>
      <c r="F1771" s="2890">
        <v>1.4142623480176471</v>
      </c>
      <c r="G1771" s="2890">
        <v>1681.9143720117956</v>
      </c>
    </row>
    <row r="1772" spans="2:7" ht="15" hidden="1" outlineLevel="2">
      <c r="B1772" s="2889" t="s">
        <v>1636</v>
      </c>
      <c r="C1772" s="2889" t="s">
        <v>1571</v>
      </c>
      <c r="D1772" s="2889" t="s">
        <v>1559</v>
      </c>
      <c r="E1772" s="2889" t="s">
        <v>217</v>
      </c>
      <c r="F1772" s="2890">
        <v>0.18377139851382257</v>
      </c>
      <c r="G1772" s="2890">
        <v>218.5747888909969</v>
      </c>
    </row>
    <row r="1773" spans="2:7" ht="15" hidden="1" outlineLevel="2">
      <c r="B1773" s="2889" t="s">
        <v>1637</v>
      </c>
      <c r="C1773" s="2889" t="s">
        <v>1571</v>
      </c>
      <c r="D1773" s="2889" t="s">
        <v>1559</v>
      </c>
      <c r="E1773" s="2889" t="s">
        <v>217</v>
      </c>
      <c r="F1773" s="2890">
        <v>0.3850987219207016</v>
      </c>
      <c r="G1773" s="2890">
        <v>459.37769890089885</v>
      </c>
    </row>
    <row r="1774" spans="2:7" ht="15" hidden="1" outlineLevel="2">
      <c r="B1774" s="2889" t="s">
        <v>1638</v>
      </c>
      <c r="C1774" s="2889" t="s">
        <v>1571</v>
      </c>
      <c r="D1774" s="2889" t="s">
        <v>1559</v>
      </c>
      <c r="E1774" s="2889" t="s">
        <v>217</v>
      </c>
      <c r="F1774" s="2890">
        <v>0.49572748868863015</v>
      </c>
      <c r="G1774" s="2890">
        <v>592.74535199045658</v>
      </c>
    </row>
    <row r="1775" spans="2:7" ht="15" hidden="1" outlineLevel="2">
      <c r="B1775" s="2889" t="s">
        <v>1639</v>
      </c>
      <c r="C1775" s="2889" t="s">
        <v>1571</v>
      </c>
      <c r="D1775" s="2889" t="s">
        <v>1559</v>
      </c>
      <c r="E1775" s="2889" t="s">
        <v>217</v>
      </c>
      <c r="F1775" s="2890">
        <v>2.3416497467892468</v>
      </c>
      <c r="G1775" s="2890">
        <v>2793.3113830240013</v>
      </c>
    </row>
    <row r="1776" spans="2:7" ht="15" hidden="1" outlineLevel="2">
      <c r="B1776" s="2889" t="s">
        <v>1640</v>
      </c>
      <c r="C1776" s="2889" t="s">
        <v>1571</v>
      </c>
      <c r="D1776" s="2889" t="s">
        <v>1559</v>
      </c>
      <c r="E1776" s="2889" t="s">
        <v>217</v>
      </c>
      <c r="F1776" s="2890">
        <v>0.50220790528260972</v>
      </c>
      <c r="G1776" s="2890">
        <v>596.45022914984884</v>
      </c>
    </row>
    <row r="1777" spans="2:7" ht="15" hidden="1" outlineLevel="2">
      <c r="B1777" s="2889" t="s">
        <v>1641</v>
      </c>
      <c r="C1777" s="2889" t="s">
        <v>1571</v>
      </c>
      <c r="D1777" s="2889" t="s">
        <v>1559</v>
      </c>
      <c r="E1777" s="2889" t="s">
        <v>217</v>
      </c>
      <c r="F1777" s="2890">
        <v>1.0311035924969092</v>
      </c>
      <c r="G1777" s="2890">
        <v>1226.241488383562</v>
      </c>
    </row>
    <row r="1778" spans="2:7" ht="15" hidden="1" outlineLevel="2">
      <c r="B1778" s="2889" t="s">
        <v>1642</v>
      </c>
      <c r="C1778" s="2889" t="s">
        <v>1571</v>
      </c>
      <c r="D1778" s="2889" t="s">
        <v>1559</v>
      </c>
      <c r="E1778" s="2889" t="s">
        <v>217</v>
      </c>
      <c r="F1778" s="2890">
        <v>3.0341234073538783</v>
      </c>
      <c r="G1778" s="2890">
        <v>3608.3370312330862</v>
      </c>
    </row>
    <row r="1779" spans="2:7" ht="15" hidden="1" outlineLevel="2">
      <c r="B1779" s="2889" t="s">
        <v>1643</v>
      </c>
      <c r="C1779" s="2889" t="s">
        <v>1571</v>
      </c>
      <c r="D1779" s="2889" t="s">
        <v>1559</v>
      </c>
      <c r="E1779" s="2889" t="s">
        <v>217</v>
      </c>
      <c r="F1779" s="2890">
        <v>0.29580195513298496</v>
      </c>
      <c r="G1779" s="2890">
        <v>351.2284675593898</v>
      </c>
    </row>
    <row r="1780" spans="2:7" ht="15" hidden="1" outlineLevel="2">
      <c r="B1780" s="2889" t="s">
        <v>1644</v>
      </c>
      <c r="C1780" s="2889" t="s">
        <v>1571</v>
      </c>
      <c r="D1780" s="2889" t="s">
        <v>1559</v>
      </c>
      <c r="E1780" s="2889" t="s">
        <v>217</v>
      </c>
      <c r="F1780" s="2890">
        <v>9.2485863957064929</v>
      </c>
      <c r="G1780" s="2890">
        <v>11032.472451265405</v>
      </c>
    </row>
    <row r="1781" spans="2:7" ht="15" hidden="1" outlineLevel="2">
      <c r="B1781" s="2889" t="s">
        <v>1645</v>
      </c>
      <c r="C1781" s="2889" t="s">
        <v>1571</v>
      </c>
      <c r="D1781" s="2889" t="s">
        <v>1559</v>
      </c>
      <c r="E1781" s="2889" t="s">
        <v>217</v>
      </c>
      <c r="F1781" s="2890">
        <v>4.5187012086987339</v>
      </c>
      <c r="G1781" s="2890">
        <v>5390.2768245761563</v>
      </c>
    </row>
    <row r="1782" spans="2:7" ht="15" hidden="1" outlineLevel="2">
      <c r="B1782" s="2889" t="s">
        <v>1646</v>
      </c>
      <c r="C1782" s="2889" t="s">
        <v>1571</v>
      </c>
      <c r="D1782" s="2889" t="s">
        <v>1559</v>
      </c>
      <c r="E1782" s="2889" t="s">
        <v>217</v>
      </c>
      <c r="F1782" s="2890">
        <v>0.29593611438135226</v>
      </c>
      <c r="G1782" s="2890">
        <v>351.94245727383708</v>
      </c>
    </row>
    <row r="1783" spans="2:7" ht="15" hidden="1" outlineLevel="2">
      <c r="B1783" s="2889" t="s">
        <v>1647</v>
      </c>
      <c r="C1783" s="2889" t="s">
        <v>1571</v>
      </c>
      <c r="D1783" s="2889" t="s">
        <v>1559</v>
      </c>
      <c r="E1783" s="2889" t="s">
        <v>217</v>
      </c>
      <c r="F1783" s="2890">
        <v>0.22617577345529424</v>
      </c>
      <c r="G1783" s="2890">
        <v>270.44000628741702</v>
      </c>
    </row>
    <row r="1784" spans="2:7" ht="15" hidden="1" outlineLevel="2">
      <c r="B1784" s="2889" t="s">
        <v>1648</v>
      </c>
      <c r="C1784" s="2889" t="s">
        <v>1571</v>
      </c>
      <c r="D1784" s="2889" t="s">
        <v>1559</v>
      </c>
      <c r="E1784" s="2889" t="s">
        <v>217</v>
      </c>
      <c r="F1784" s="2890">
        <v>0.49882593444337542</v>
      </c>
      <c r="G1784" s="2890">
        <v>596.45022914984884</v>
      </c>
    </row>
    <row r="1785" spans="2:7" ht="15" hidden="1" outlineLevel="2">
      <c r="B1785" s="2889" t="s">
        <v>1649</v>
      </c>
      <c r="C1785" s="2889" t="s">
        <v>1571</v>
      </c>
      <c r="D1785" s="2889" t="s">
        <v>1559</v>
      </c>
      <c r="E1785" s="2889" t="s">
        <v>217</v>
      </c>
      <c r="F1785" s="2890">
        <v>0.48953102411727517</v>
      </c>
      <c r="G1785" s="2890">
        <v>585.3355481759113</v>
      </c>
    </row>
    <row r="1786" spans="2:7" ht="15" hidden="1" outlineLevel="2">
      <c r="B1786" s="2889" t="s">
        <v>1650</v>
      </c>
      <c r="C1786" s="2889" t="s">
        <v>1571</v>
      </c>
      <c r="D1786" s="2889" t="s">
        <v>1559</v>
      </c>
      <c r="E1786" s="2889" t="s">
        <v>217</v>
      </c>
      <c r="F1786" s="2890">
        <v>0.70496220797167486</v>
      </c>
      <c r="G1786" s="2890">
        <v>837.25251789663832</v>
      </c>
    </row>
    <row r="1787" spans="2:7" ht="15" hidden="1" outlineLevel="2">
      <c r="B1787" s="2889" t="s">
        <v>1651</v>
      </c>
      <c r="C1787" s="2889" t="s">
        <v>1571</v>
      </c>
      <c r="D1787" s="2889" t="s">
        <v>1559</v>
      </c>
      <c r="E1787" s="2889" t="s">
        <v>217</v>
      </c>
      <c r="F1787" s="2890">
        <v>0.31602646971731285</v>
      </c>
      <c r="G1787" s="2890">
        <v>377.87507884516469</v>
      </c>
    </row>
    <row r="1788" spans="2:7" ht="15" hidden="1" outlineLevel="2">
      <c r="B1788" s="2889" t="s">
        <v>1652</v>
      </c>
      <c r="C1788" s="2889" t="s">
        <v>1571</v>
      </c>
      <c r="D1788" s="2889" t="s">
        <v>1559</v>
      </c>
      <c r="E1788" s="2889" t="s">
        <v>217</v>
      </c>
      <c r="F1788" s="2890">
        <v>0.49882593440176909</v>
      </c>
      <c r="G1788" s="2890">
        <v>596.45022910061107</v>
      </c>
    </row>
    <row r="1789" spans="2:7" ht="15" hidden="1" outlineLevel="2">
      <c r="B1789" s="2889" t="s">
        <v>1653</v>
      </c>
      <c r="C1789" s="2889" t="s">
        <v>1571</v>
      </c>
      <c r="D1789" s="2889" t="s">
        <v>1559</v>
      </c>
      <c r="E1789" s="2889" t="s">
        <v>217</v>
      </c>
      <c r="F1789" s="2890">
        <v>0.56383620125560252</v>
      </c>
      <c r="G1789" s="2890">
        <v>670.54318202807542</v>
      </c>
    </row>
    <row r="1790" spans="2:7" ht="15" hidden="1" outlineLevel="2">
      <c r="B1790" s="2889" t="s">
        <v>1407</v>
      </c>
      <c r="C1790" s="2889" t="s">
        <v>1572</v>
      </c>
      <c r="D1790" s="2889" t="s">
        <v>1559</v>
      </c>
      <c r="E1790" s="2889" t="s">
        <v>217</v>
      </c>
      <c r="F1790" s="2890">
        <v>7.6802950533157041E-2</v>
      </c>
      <c r="G1790" s="2890">
        <v>47.098069005728441</v>
      </c>
    </row>
    <row r="1791" spans="2:7" ht="15" hidden="1" outlineLevel="2">
      <c r="B1791" s="2889" t="s">
        <v>1631</v>
      </c>
      <c r="C1791" s="2889" t="s">
        <v>1572</v>
      </c>
      <c r="D1791" s="2889" t="s">
        <v>1559</v>
      </c>
      <c r="E1791" s="2889" t="s">
        <v>217</v>
      </c>
      <c r="F1791" s="2890">
        <v>0.45737767016965858</v>
      </c>
      <c r="G1791" s="2890">
        <v>277.50510824223437</v>
      </c>
    </row>
    <row r="1792" spans="2:7" ht="15" hidden="1" outlineLevel="2">
      <c r="B1792" s="2889" t="s">
        <v>1632</v>
      </c>
      <c r="C1792" s="2889" t="s">
        <v>1572</v>
      </c>
      <c r="D1792" s="2889" t="s">
        <v>1559</v>
      </c>
      <c r="E1792" s="2889" t="s">
        <v>217</v>
      </c>
      <c r="F1792" s="2890">
        <v>0.74877999096572545</v>
      </c>
      <c r="G1792" s="2890">
        <v>459.79596029053789</v>
      </c>
    </row>
    <row r="1793" spans="2:7" ht="15" hidden="1" outlineLevel="2">
      <c r="B1793" s="2889" t="s">
        <v>1633</v>
      </c>
      <c r="C1793" s="2889" t="s">
        <v>1572</v>
      </c>
      <c r="D1793" s="2889" t="s">
        <v>1559</v>
      </c>
      <c r="E1793" s="2889" t="s">
        <v>217</v>
      </c>
      <c r="F1793" s="2890">
        <v>6.8903252115819671E-2</v>
      </c>
      <c r="G1793" s="2890">
        <v>42.43873405099454</v>
      </c>
    </row>
    <row r="1794" spans="2:7" ht="15" hidden="1" outlineLevel="2">
      <c r="B1794" s="2889" t="s">
        <v>1634</v>
      </c>
      <c r="C1794" s="2889" t="s">
        <v>1572</v>
      </c>
      <c r="D1794" s="2889" t="s">
        <v>1559</v>
      </c>
      <c r="E1794" s="2889" t="s">
        <v>217</v>
      </c>
      <c r="F1794" s="2890">
        <v>2.86508839148506E-2</v>
      </c>
      <c r="G1794" s="2890">
        <v>17.688451336527876</v>
      </c>
    </row>
    <row r="1795" spans="2:7" ht="15" hidden="1" outlineLevel="2">
      <c r="B1795" s="2889" t="s">
        <v>1635</v>
      </c>
      <c r="C1795" s="2889" t="s">
        <v>1572</v>
      </c>
      <c r="D1795" s="2889" t="s">
        <v>1559</v>
      </c>
      <c r="E1795" s="2889" t="s">
        <v>217</v>
      </c>
      <c r="F1795" s="2890">
        <v>0.13351477576033471</v>
      </c>
      <c r="G1795" s="2890">
        <v>81.986067373831204</v>
      </c>
    </row>
    <row r="1796" spans="2:7" ht="15" hidden="1" outlineLevel="2">
      <c r="B1796" s="2889" t="s">
        <v>1636</v>
      </c>
      <c r="C1796" s="2889" t="s">
        <v>1572</v>
      </c>
      <c r="D1796" s="2889" t="s">
        <v>1559</v>
      </c>
      <c r="E1796" s="2889" t="s">
        <v>217</v>
      </c>
      <c r="F1796" s="2890">
        <v>8.4705299187257527E-2</v>
      </c>
      <c r="G1796" s="2890">
        <v>52.019863971807141</v>
      </c>
    </row>
    <row r="1797" spans="2:7" ht="15" hidden="1" outlineLevel="2">
      <c r="B1797" s="2889" t="s">
        <v>1637</v>
      </c>
      <c r="C1797" s="2889" t="s">
        <v>1572</v>
      </c>
      <c r="D1797" s="2889" t="s">
        <v>1559</v>
      </c>
      <c r="E1797" s="2889" t="s">
        <v>217</v>
      </c>
      <c r="F1797" s="2890">
        <v>0.10913448927354881</v>
      </c>
      <c r="G1797" s="2890">
        <v>67.217842974182858</v>
      </c>
    </row>
    <row r="1798" spans="2:7" ht="15" hidden="1" outlineLevel="2">
      <c r="B1798" s="2889" t="s">
        <v>1638</v>
      </c>
      <c r="C1798" s="2889" t="s">
        <v>1572</v>
      </c>
      <c r="D1798" s="2889" t="s">
        <v>1559</v>
      </c>
      <c r="E1798" s="2889" t="s">
        <v>217</v>
      </c>
      <c r="F1798" s="2890">
        <v>3.4429655133726388E-2</v>
      </c>
      <c r="G1798" s="2890">
        <v>21.256143205017676</v>
      </c>
    </row>
    <row r="1799" spans="2:7" ht="15" hidden="1" outlineLevel="2">
      <c r="B1799" s="2889" t="s">
        <v>1639</v>
      </c>
      <c r="C1799" s="2889" t="s">
        <v>1572</v>
      </c>
      <c r="D1799" s="2889" t="s">
        <v>1559</v>
      </c>
      <c r="E1799" s="2889" t="s">
        <v>217</v>
      </c>
      <c r="F1799" s="3039">
        <v>0.18241840558724184</v>
      </c>
      <c r="G1799" s="2890">
        <v>112.35472646643153</v>
      </c>
    </row>
    <row r="1800" spans="2:7" ht="15" hidden="1" outlineLevel="2">
      <c r="B1800" s="2889" t="s">
        <v>1640</v>
      </c>
      <c r="C1800" s="2889" t="s">
        <v>1572</v>
      </c>
      <c r="D1800" s="2889" t="s">
        <v>1559</v>
      </c>
      <c r="E1800" s="2889" t="s">
        <v>217</v>
      </c>
      <c r="F1800" s="3039">
        <v>4.0261590493761511E-2</v>
      </c>
      <c r="G1800" s="2890">
        <v>24.689717185154581</v>
      </c>
    </row>
    <row r="1801" spans="2:7" ht="15" hidden="1" outlineLevel="2">
      <c r="B1801" s="2889" t="s">
        <v>1641</v>
      </c>
      <c r="C1801" s="2889" t="s">
        <v>1572</v>
      </c>
      <c r="D1801" s="2889" t="s">
        <v>1559</v>
      </c>
      <c r="E1801" s="2889" t="s">
        <v>217</v>
      </c>
      <c r="F1801" s="3039">
        <v>0.20360107491506871</v>
      </c>
      <c r="G1801" s="2890">
        <v>125.02334947688469</v>
      </c>
    </row>
    <row r="1802" spans="2:7" ht="15" hidden="1" outlineLevel="2">
      <c r="B1802" s="2889" t="s">
        <v>1642</v>
      </c>
      <c r="C1802" s="2889" t="s">
        <v>1572</v>
      </c>
      <c r="D1802" s="2889" t="s">
        <v>1559</v>
      </c>
      <c r="E1802" s="2889" t="s">
        <v>217</v>
      </c>
      <c r="F1802" s="3039">
        <v>0.22693972441782626</v>
      </c>
      <c r="G1802" s="2890">
        <v>139.35462353955057</v>
      </c>
    </row>
    <row r="1803" spans="2:7" ht="15" hidden="1" outlineLevel="2">
      <c r="B1803" s="2889" t="s">
        <v>1643</v>
      </c>
      <c r="C1803" s="2889" t="s">
        <v>1572</v>
      </c>
      <c r="D1803" s="2889" t="s">
        <v>1559</v>
      </c>
      <c r="E1803" s="2889" t="s">
        <v>217</v>
      </c>
      <c r="F1803" s="3039">
        <v>3.6142320124081403E-2</v>
      </c>
      <c r="G1803" s="2890">
        <v>22.163861136109212</v>
      </c>
    </row>
    <row r="1804" spans="2:7" ht="15" hidden="1" outlineLevel="2">
      <c r="B1804" s="2889" t="s">
        <v>1644</v>
      </c>
      <c r="C1804" s="2889" t="s">
        <v>1572</v>
      </c>
      <c r="D1804" s="2889" t="s">
        <v>1559</v>
      </c>
      <c r="E1804" s="2889" t="s">
        <v>217</v>
      </c>
      <c r="F1804" s="3039">
        <v>0.80800048946855096</v>
      </c>
      <c r="G1804" s="2890">
        <v>497.66191666199398</v>
      </c>
    </row>
    <row r="1805" spans="2:7" ht="15" hidden="1" outlineLevel="2">
      <c r="B1805" s="2889" t="s">
        <v>1645</v>
      </c>
      <c r="C1805" s="2889" t="s">
        <v>1572</v>
      </c>
      <c r="D1805" s="2889" t="s">
        <v>1559</v>
      </c>
      <c r="E1805" s="2889" t="s">
        <v>217</v>
      </c>
      <c r="F1805" s="3039">
        <v>0.72330730688715095</v>
      </c>
      <c r="G1805" s="2890">
        <v>445.49774777083979</v>
      </c>
    </row>
    <row r="1806" spans="2:7" ht="15" hidden="1" outlineLevel="2">
      <c r="B1806" s="2889" t="s">
        <v>1646</v>
      </c>
      <c r="C1806" s="2889" t="s">
        <v>1572</v>
      </c>
      <c r="D1806" s="2889" t="s">
        <v>1559</v>
      </c>
      <c r="E1806" s="2889" t="s">
        <v>217</v>
      </c>
      <c r="F1806" s="3039">
        <v>4.1198362907856022E-2</v>
      </c>
      <c r="G1806" s="2890">
        <v>25.298262586869807</v>
      </c>
    </row>
    <row r="1807" spans="2:7" ht="15" hidden="1" outlineLevel="2">
      <c r="B1807" s="2889" t="s">
        <v>1647</v>
      </c>
      <c r="C1807" s="2889" t="s">
        <v>1572</v>
      </c>
      <c r="D1807" s="2889" t="s">
        <v>1559</v>
      </c>
      <c r="E1807" s="2889" t="s">
        <v>217</v>
      </c>
      <c r="F1807" s="3039">
        <v>8.3714974231263825E-2</v>
      </c>
      <c r="G1807" s="2890">
        <v>51.683864747733139</v>
      </c>
    </row>
    <row r="1808" spans="2:7" ht="15" hidden="1" outlineLevel="2">
      <c r="B1808" s="2889" t="s">
        <v>1648</v>
      </c>
      <c r="C1808" s="2889" t="s">
        <v>1572</v>
      </c>
      <c r="D1808" s="2889" t="s">
        <v>1559</v>
      </c>
      <c r="E1808" s="2889" t="s">
        <v>217</v>
      </c>
      <c r="F1808" s="3039">
        <v>2.3486437377170696E-2</v>
      </c>
      <c r="G1808" s="2890">
        <v>14.500029428075043</v>
      </c>
    </row>
    <row r="1809" spans="2:7" ht="15" hidden="1" outlineLevel="2">
      <c r="B1809" s="2889" t="s">
        <v>1649</v>
      </c>
      <c r="C1809" s="2889" t="s">
        <v>1572</v>
      </c>
      <c r="D1809" s="2889" t="s">
        <v>1559</v>
      </c>
      <c r="E1809" s="2889" t="s">
        <v>217</v>
      </c>
      <c r="F1809" s="3039">
        <v>3.9888399436051276E-2</v>
      </c>
      <c r="G1809" s="2890">
        <v>24.626265870206044</v>
      </c>
    </row>
    <row r="1810" spans="2:7" ht="15" hidden="1" outlineLevel="2">
      <c r="B1810" s="2889" t="s">
        <v>1650</v>
      </c>
      <c r="C1810" s="2889" t="s">
        <v>1572</v>
      </c>
      <c r="D1810" s="2889" t="s">
        <v>1559</v>
      </c>
      <c r="E1810" s="2889" t="s">
        <v>217</v>
      </c>
      <c r="F1810" s="3039">
        <v>0.12760677902467896</v>
      </c>
      <c r="G1810" s="2890">
        <v>78.252612168423738</v>
      </c>
    </row>
    <row r="1811" spans="2:7" ht="15" hidden="1" outlineLevel="2">
      <c r="B1811" s="2889" t="s">
        <v>1651</v>
      </c>
      <c r="C1811" s="2889" t="s">
        <v>1572</v>
      </c>
      <c r="D1811" s="2889" t="s">
        <v>1559</v>
      </c>
      <c r="E1811" s="2889" t="s">
        <v>217</v>
      </c>
      <c r="F1811" s="3039">
        <v>8.3182412470919911E-2</v>
      </c>
      <c r="G1811" s="2890">
        <v>51.3550665395382</v>
      </c>
    </row>
    <row r="1812" spans="2:7" ht="15" hidden="1" outlineLevel="2">
      <c r="B1812" s="2889" t="s">
        <v>1652</v>
      </c>
      <c r="C1812" s="2889" t="s">
        <v>1572</v>
      </c>
      <c r="D1812" s="2889" t="s">
        <v>1559</v>
      </c>
      <c r="E1812" s="2889" t="s">
        <v>217</v>
      </c>
      <c r="F1812" s="3039">
        <v>0.1124616283727933</v>
      </c>
      <c r="G1812" s="2890">
        <v>69.431438588500754</v>
      </c>
    </row>
    <row r="1813" spans="2:7" ht="15" hidden="1" outlineLevel="2">
      <c r="B1813" s="2889" t="s">
        <v>1653</v>
      </c>
      <c r="C1813" s="2889" t="s">
        <v>1572</v>
      </c>
      <c r="D1813" s="2889" t="s">
        <v>1559</v>
      </c>
      <c r="E1813" s="2889" t="s">
        <v>217</v>
      </c>
      <c r="F1813" s="3039">
        <v>0.69575755416122609</v>
      </c>
      <c r="G1813" s="2890">
        <v>427.2368203019787</v>
      </c>
    </row>
    <row r="1814" spans="2:7" ht="15" hidden="1" outlineLevel="2">
      <c r="B1814" s="2889" t="s">
        <v>1407</v>
      </c>
      <c r="C1814" s="2889" t="s">
        <v>1573</v>
      </c>
      <c r="D1814" s="2889" t="s">
        <v>1559</v>
      </c>
      <c r="E1814" s="2889" t="s">
        <v>217</v>
      </c>
      <c r="F1814" s="3039">
        <v>6.3209981428719544E-2</v>
      </c>
      <c r="G1814" s="2890">
        <v>47.14261590316498</v>
      </c>
    </row>
    <row r="1815" spans="2:7" ht="15" hidden="1" outlineLevel="2">
      <c r="B1815" s="2889" t="s">
        <v>1631</v>
      </c>
      <c r="C1815" s="2889" t="s">
        <v>1573</v>
      </c>
      <c r="D1815" s="2889" t="s">
        <v>1559</v>
      </c>
      <c r="E1815" s="2889" t="s">
        <v>217</v>
      </c>
      <c r="F1815" s="3039">
        <v>3.0614546718316933</v>
      </c>
      <c r="G1815" s="2890">
        <v>2259.0744484784232</v>
      </c>
    </row>
    <row r="1816" spans="2:7" ht="15" hidden="1" outlineLevel="2">
      <c r="B1816" s="2889" t="s">
        <v>1632</v>
      </c>
      <c r="C1816" s="2889" t="s">
        <v>1573</v>
      </c>
      <c r="D1816" s="2889" t="s">
        <v>1559</v>
      </c>
      <c r="E1816" s="2889" t="s">
        <v>217</v>
      </c>
      <c r="F1816" s="3039">
        <v>3.6360090759118697</v>
      </c>
      <c r="G1816" s="2890">
        <v>2715.4145049435756</v>
      </c>
    </row>
    <row r="1817" spans="2:7" ht="15" hidden="1" outlineLevel="2">
      <c r="B1817" s="2889" t="s">
        <v>1633</v>
      </c>
      <c r="C1817" s="2889" t="s">
        <v>1573</v>
      </c>
      <c r="D1817" s="2889" t="s">
        <v>1559</v>
      </c>
      <c r="E1817" s="2889" t="s">
        <v>217</v>
      </c>
      <c r="F1817" s="3039">
        <v>0.2164895827002663</v>
      </c>
      <c r="G1817" s="2890">
        <v>162.17059251034311</v>
      </c>
    </row>
    <row r="1818" spans="2:7" ht="15" hidden="1" outlineLevel="2">
      <c r="B1818" s="2889" t="s">
        <v>1634</v>
      </c>
      <c r="C1818" s="2889" t="s">
        <v>1573</v>
      </c>
      <c r="D1818" s="2889" t="s">
        <v>1559</v>
      </c>
      <c r="E1818" s="2889" t="s">
        <v>217</v>
      </c>
      <c r="F1818" s="3039">
        <v>6.7807067962274287E-2</v>
      </c>
      <c r="G1818" s="2890">
        <v>50.914029350585515</v>
      </c>
    </row>
    <row r="1819" spans="2:7" ht="15" hidden="1" outlineLevel="2">
      <c r="B1819" s="2889" t="s">
        <v>1635</v>
      </c>
      <c r="C1819" s="2889" t="s">
        <v>1573</v>
      </c>
      <c r="D1819" s="2889" t="s">
        <v>1559</v>
      </c>
      <c r="E1819" s="2889" t="s">
        <v>217</v>
      </c>
      <c r="F1819" s="3039">
        <v>1.1463526505487931</v>
      </c>
      <c r="G1819" s="2890">
        <v>856.10999014208221</v>
      </c>
    </row>
    <row r="1820" spans="2:7" ht="15" hidden="1" outlineLevel="2">
      <c r="B1820" s="2889" t="s">
        <v>1636</v>
      </c>
      <c r="C1820" s="2889" t="s">
        <v>1573</v>
      </c>
      <c r="D1820" s="2889" t="s">
        <v>1559</v>
      </c>
      <c r="E1820" s="2889" t="s">
        <v>217</v>
      </c>
      <c r="F1820" s="3039">
        <v>0.14895866854300394</v>
      </c>
      <c r="G1820" s="2890">
        <v>111.25659498579671</v>
      </c>
    </row>
    <row r="1821" spans="2:7" ht="15" hidden="1" outlineLevel="2">
      <c r="B1821" s="2889" t="s">
        <v>1637</v>
      </c>
      <c r="C1821" s="2889" t="s">
        <v>1573</v>
      </c>
      <c r="D1821" s="2889" t="s">
        <v>1559</v>
      </c>
      <c r="E1821" s="2889" t="s">
        <v>217</v>
      </c>
      <c r="F1821" s="3039">
        <v>0.3121478945168803</v>
      </c>
      <c r="G1821" s="2890">
        <v>233.82733557430015</v>
      </c>
    </row>
    <row r="1822" spans="2:7" ht="15" hidden="1" outlineLevel="2">
      <c r="B1822" s="2889" t="s">
        <v>1638</v>
      </c>
      <c r="C1822" s="2889" t="s">
        <v>1573</v>
      </c>
      <c r="D1822" s="2889" t="s">
        <v>1559</v>
      </c>
      <c r="E1822" s="2889" t="s">
        <v>217</v>
      </c>
      <c r="F1822" s="3039">
        <v>0.40181975119570262</v>
      </c>
      <c r="G1822" s="2890">
        <v>301.71281792980062</v>
      </c>
    </row>
    <row r="1823" spans="2:7" ht="15" hidden="1" outlineLevel="2">
      <c r="B1823" s="2889" t="s">
        <v>1639</v>
      </c>
      <c r="C1823" s="2889" t="s">
        <v>1573</v>
      </c>
      <c r="D1823" s="2889" t="s">
        <v>1559</v>
      </c>
      <c r="E1823" s="2889" t="s">
        <v>217</v>
      </c>
      <c r="F1823" s="3039">
        <v>1.8980596209081346</v>
      </c>
      <c r="G1823" s="2890">
        <v>1421.8207519742837</v>
      </c>
    </row>
    <row r="1824" spans="2:7" ht="15" hidden="1" outlineLevel="2">
      <c r="B1824" s="2889" t="s">
        <v>1640</v>
      </c>
      <c r="C1824" s="2889" t="s">
        <v>1573</v>
      </c>
      <c r="D1824" s="2889" t="s">
        <v>1559</v>
      </c>
      <c r="E1824" s="2889" t="s">
        <v>217</v>
      </c>
      <c r="F1824" s="2890">
        <v>0.40707215265289987</v>
      </c>
      <c r="G1824" s="2890">
        <v>303.59851290387462</v>
      </c>
    </row>
    <row r="1825" spans="2:7" ht="15" hidden="1" outlineLevel="2">
      <c r="B1825" s="2889" t="s">
        <v>1641</v>
      </c>
      <c r="C1825" s="2889" t="s">
        <v>1573</v>
      </c>
      <c r="D1825" s="2889" t="s">
        <v>1559</v>
      </c>
      <c r="E1825" s="2889" t="s">
        <v>217</v>
      </c>
      <c r="F1825" s="2890">
        <v>0.83577667961559543</v>
      </c>
      <c r="G1825" s="2890">
        <v>624.1679443607826</v>
      </c>
    </row>
    <row r="1826" spans="2:7" ht="15" hidden="1" outlineLevel="2">
      <c r="B1826" s="2889" t="s">
        <v>1642</v>
      </c>
      <c r="C1826" s="2889" t="s">
        <v>1573</v>
      </c>
      <c r="D1826" s="2889" t="s">
        <v>1559</v>
      </c>
      <c r="E1826" s="2889" t="s">
        <v>217</v>
      </c>
      <c r="F1826" s="2890">
        <v>2.4593553373194403</v>
      </c>
      <c r="G1826" s="2890">
        <v>1836.6770666359594</v>
      </c>
    </row>
    <row r="1827" spans="2:7" ht="15" hidden="1" outlineLevel="2">
      <c r="B1827" s="2889" t="s">
        <v>1643</v>
      </c>
      <c r="C1827" s="2889" t="s">
        <v>1573</v>
      </c>
      <c r="D1827" s="2889" t="s">
        <v>1559</v>
      </c>
      <c r="E1827" s="2889" t="s">
        <v>217</v>
      </c>
      <c r="F1827" s="2890">
        <v>0.23976687280929201</v>
      </c>
      <c r="G1827" s="2890">
        <v>178.77846147235539</v>
      </c>
    </row>
    <row r="1828" spans="2:7" ht="15" hidden="1" outlineLevel="2">
      <c r="B1828" s="2889" t="s">
        <v>1644</v>
      </c>
      <c r="C1828" s="2889" t="s">
        <v>1573</v>
      </c>
      <c r="D1828" s="2889" t="s">
        <v>1559</v>
      </c>
      <c r="E1828" s="2889" t="s">
        <v>217</v>
      </c>
      <c r="F1828" s="2890">
        <v>7.4965801255609588</v>
      </c>
      <c r="G1828" s="2890">
        <v>5615.6269396657945</v>
      </c>
    </row>
    <row r="1829" spans="2:7" ht="15" hidden="1" outlineLevel="2">
      <c r="B1829" s="2889" t="s">
        <v>1645</v>
      </c>
      <c r="C1829" s="2889" t="s">
        <v>1573</v>
      </c>
      <c r="D1829" s="2889" t="s">
        <v>1559</v>
      </c>
      <c r="E1829" s="2889" t="s">
        <v>217</v>
      </c>
      <c r="F1829" s="2890">
        <v>3.6627030226113635</v>
      </c>
      <c r="G1829" s="2890">
        <v>2743.6994991906613</v>
      </c>
    </row>
    <row r="1830" spans="2:7" ht="15" hidden="1" outlineLevel="2">
      <c r="B1830" s="2889" t="s">
        <v>1646</v>
      </c>
      <c r="C1830" s="2889" t="s">
        <v>1573</v>
      </c>
      <c r="D1830" s="2889" t="s">
        <v>1559</v>
      </c>
      <c r="E1830" s="2889" t="s">
        <v>217</v>
      </c>
      <c r="F1830" s="2890">
        <v>0.2398754986845324</v>
      </c>
      <c r="G1830" s="2890">
        <v>179.14193895399345</v>
      </c>
    </row>
    <row r="1831" spans="2:7" ht="15" hidden="1" outlineLevel="2">
      <c r="B1831" s="2889" t="s">
        <v>1647</v>
      </c>
      <c r="C1831" s="2889" t="s">
        <v>1573</v>
      </c>
      <c r="D1831" s="2889" t="s">
        <v>1559</v>
      </c>
      <c r="E1831" s="2889" t="s">
        <v>217</v>
      </c>
      <c r="F1831" s="2890">
        <v>0.18333020615908327</v>
      </c>
      <c r="G1831" s="2890">
        <v>137.65650855658427</v>
      </c>
    </row>
    <row r="1832" spans="2:7" ht="15" hidden="1" outlineLevel="2">
      <c r="B1832" s="2889" t="s">
        <v>1648</v>
      </c>
      <c r="C1832" s="2889" t="s">
        <v>1573</v>
      </c>
      <c r="D1832" s="2889" t="s">
        <v>1559</v>
      </c>
      <c r="E1832" s="2889" t="s">
        <v>217</v>
      </c>
      <c r="F1832" s="2890">
        <v>0.40433112353902301</v>
      </c>
      <c r="G1832" s="2890">
        <v>303.59851290387462</v>
      </c>
    </row>
    <row r="1833" spans="2:7" ht="15" hidden="1" outlineLevel="2">
      <c r="B1833" s="2889" t="s">
        <v>1649</v>
      </c>
      <c r="C1833" s="2889" t="s">
        <v>1573</v>
      </c>
      <c r="D1833" s="2889" t="s">
        <v>1559</v>
      </c>
      <c r="E1833" s="2889" t="s">
        <v>217</v>
      </c>
      <c r="F1833" s="2890">
        <v>0.39679704385768477</v>
      </c>
      <c r="G1833" s="2890">
        <v>297.94141249690188</v>
      </c>
    </row>
    <row r="1834" spans="2:7" ht="15" hidden="1" outlineLevel="2">
      <c r="B1834" s="2889" t="s">
        <v>1650</v>
      </c>
      <c r="C1834" s="2889" t="s">
        <v>1573</v>
      </c>
      <c r="D1834" s="2889" t="s">
        <v>1559</v>
      </c>
      <c r="E1834" s="2889" t="s">
        <v>217</v>
      </c>
      <c r="F1834" s="2890">
        <v>0.57141793280067166</v>
      </c>
      <c r="G1834" s="2890">
        <v>426.16929808940921</v>
      </c>
    </row>
    <row r="1835" spans="2:7" ht="15" hidden="1" outlineLevel="2">
      <c r="B1835" s="2889" t="s">
        <v>1651</v>
      </c>
      <c r="C1835" s="2889" t="s">
        <v>1573</v>
      </c>
      <c r="D1835" s="2889" t="s">
        <v>1559</v>
      </c>
      <c r="E1835" s="2889" t="s">
        <v>217</v>
      </c>
      <c r="F1835" s="2890">
        <v>0.25616015185944291</v>
      </c>
      <c r="G1835" s="2890">
        <v>192.34185849741365</v>
      </c>
    </row>
    <row r="1836" spans="2:7" ht="15" hidden="1" outlineLevel="2">
      <c r="B1836" s="2889" t="s">
        <v>1652</v>
      </c>
      <c r="C1836" s="2889" t="s">
        <v>1573</v>
      </c>
      <c r="D1836" s="2889" t="s">
        <v>1559</v>
      </c>
      <c r="E1836" s="2889" t="s">
        <v>217</v>
      </c>
      <c r="F1836" s="2890">
        <v>0.40433112353010198</v>
      </c>
      <c r="G1836" s="2890">
        <v>303.59851289968123</v>
      </c>
    </row>
    <row r="1837" spans="2:7" ht="15" hidden="1" outlineLevel="2">
      <c r="B1837" s="2889" t="s">
        <v>1653</v>
      </c>
      <c r="C1837" s="2889" t="s">
        <v>1573</v>
      </c>
      <c r="D1837" s="2889" t="s">
        <v>1559</v>
      </c>
      <c r="E1837" s="2889" t="s">
        <v>217</v>
      </c>
      <c r="F1837" s="2890">
        <v>0.45702606837572712</v>
      </c>
      <c r="G1837" s="2890">
        <v>341.31246034135665</v>
      </c>
    </row>
    <row r="1838" spans="2:7" ht="15" hidden="1" outlineLevel="2">
      <c r="B1838" s="2889" t="s">
        <v>1407</v>
      </c>
      <c r="C1838" s="2889" t="s">
        <v>1574</v>
      </c>
      <c r="D1838" s="2889" t="s">
        <v>1559</v>
      </c>
      <c r="E1838" s="2889" t="s">
        <v>217</v>
      </c>
      <c r="F1838" s="2890">
        <v>4.1628208638618616E-3</v>
      </c>
      <c r="G1838" s="2890">
        <v>3.1268944743017131</v>
      </c>
    </row>
    <row r="1839" spans="2:7" ht="15" hidden="1" outlineLevel="2">
      <c r="B1839" s="2889" t="s">
        <v>1631</v>
      </c>
      <c r="C1839" s="2889" t="s">
        <v>1574</v>
      </c>
      <c r="D1839" s="2889" t="s">
        <v>1559</v>
      </c>
      <c r="E1839" s="2889" t="s">
        <v>217</v>
      </c>
      <c r="F1839" s="2890">
        <v>2.4790479153226092E-2</v>
      </c>
      <c r="G1839" s="2890">
        <v>18.423881008037394</v>
      </c>
    </row>
    <row r="1840" spans="2:7" ht="15" hidden="1" outlineLevel="2">
      <c r="B1840" s="2889" t="s">
        <v>1632</v>
      </c>
      <c r="C1840" s="2889" t="s">
        <v>1574</v>
      </c>
      <c r="D1840" s="2889" t="s">
        <v>1559</v>
      </c>
      <c r="E1840" s="2889" t="s">
        <v>217</v>
      </c>
      <c r="F1840" s="2890">
        <v>4.0584866856016373E-2</v>
      </c>
      <c r="G1840" s="2890">
        <v>30.526368127477141</v>
      </c>
    </row>
    <row r="1841" spans="2:7" ht="15" hidden="1" outlineLevel="2">
      <c r="B1841" s="2889" t="s">
        <v>1633</v>
      </c>
      <c r="C1841" s="2889" t="s">
        <v>1574</v>
      </c>
      <c r="D1841" s="2889" t="s">
        <v>1559</v>
      </c>
      <c r="E1841" s="2889" t="s">
        <v>217</v>
      </c>
      <c r="F1841" s="2890">
        <v>3.7346476703223729E-3</v>
      </c>
      <c r="G1841" s="2890">
        <v>2.8175559082497403</v>
      </c>
    </row>
    <row r="1842" spans="2:7" ht="15" hidden="1" outlineLevel="2">
      <c r="B1842" s="2889" t="s">
        <v>1634</v>
      </c>
      <c r="C1842" s="2889" t="s">
        <v>1574</v>
      </c>
      <c r="D1842" s="2889" t="s">
        <v>1559</v>
      </c>
      <c r="E1842" s="2889" t="s">
        <v>217</v>
      </c>
      <c r="F1842" s="2890">
        <v>1.5529157576370622E-3</v>
      </c>
      <c r="G1842" s="2890">
        <v>1.1743563579336862</v>
      </c>
    </row>
    <row r="1843" spans="2:7" ht="15" hidden="1" outlineLevel="2">
      <c r="B1843" s="2889" t="s">
        <v>1635</v>
      </c>
      <c r="C1843" s="2889" t="s">
        <v>1574</v>
      </c>
      <c r="D1843" s="2889" t="s">
        <v>1559</v>
      </c>
      <c r="E1843" s="2889" t="s">
        <v>217</v>
      </c>
      <c r="F1843" s="2890">
        <v>7.2366792895445457E-3</v>
      </c>
      <c r="G1843" s="2890">
        <v>5.4431500655199629</v>
      </c>
    </row>
    <row r="1844" spans="2:7" ht="15" hidden="1" outlineLevel="2">
      <c r="B1844" s="2889" t="s">
        <v>1636</v>
      </c>
      <c r="C1844" s="2889" t="s">
        <v>1574</v>
      </c>
      <c r="D1844" s="2889" t="s">
        <v>1559</v>
      </c>
      <c r="E1844" s="2889" t="s">
        <v>217</v>
      </c>
      <c r="F1844" s="3039">
        <v>4.5911402718409461E-3</v>
      </c>
      <c r="G1844" s="2890">
        <v>3.4536585158607314</v>
      </c>
    </row>
    <row r="1845" spans="2:7" ht="15" hidden="1" outlineLevel="2">
      <c r="B1845" s="2889" t="s">
        <v>1637</v>
      </c>
      <c r="C1845" s="2889" t="s">
        <v>1574</v>
      </c>
      <c r="D1845" s="2889" t="s">
        <v>1559</v>
      </c>
      <c r="E1845" s="2889" t="s">
        <v>217</v>
      </c>
      <c r="F1845" s="3039">
        <v>5.9152307862599353E-3</v>
      </c>
      <c r="G1845" s="2890">
        <v>4.4626683080922778</v>
      </c>
    </row>
    <row r="1846" spans="2:7" ht="15" hidden="1" outlineLevel="2">
      <c r="B1846" s="2889" t="s">
        <v>1638</v>
      </c>
      <c r="C1846" s="2889" t="s">
        <v>1574</v>
      </c>
      <c r="D1846" s="2889" t="s">
        <v>1559</v>
      </c>
      <c r="E1846" s="2889" t="s">
        <v>217</v>
      </c>
      <c r="F1846" s="3039">
        <v>1.866132254513324E-3</v>
      </c>
      <c r="G1846" s="2890">
        <v>1.4112185830425306</v>
      </c>
    </row>
    <row r="1847" spans="2:7" ht="15" hidden="1" outlineLevel="2">
      <c r="B1847" s="2889" t="s">
        <v>1639</v>
      </c>
      <c r="C1847" s="2889" t="s">
        <v>1574</v>
      </c>
      <c r="D1847" s="2889" t="s">
        <v>1559</v>
      </c>
      <c r="E1847" s="2889" t="s">
        <v>217</v>
      </c>
      <c r="F1847" s="3039">
        <v>9.8873205812754043E-3</v>
      </c>
      <c r="G1847" s="2890">
        <v>7.4593548632208346</v>
      </c>
    </row>
    <row r="1848" spans="2:7" ht="15" hidden="1" outlineLevel="2">
      <c r="B1848" s="2889" t="s">
        <v>1640</v>
      </c>
      <c r="C1848" s="2889" t="s">
        <v>1574</v>
      </c>
      <c r="D1848" s="2889" t="s">
        <v>1559</v>
      </c>
      <c r="E1848" s="2889" t="s">
        <v>217</v>
      </c>
      <c r="F1848" s="3039">
        <v>2.1822313280790984E-3</v>
      </c>
      <c r="G1848" s="2890">
        <v>1.6391783187954665</v>
      </c>
    </row>
    <row r="1849" spans="2:7" ht="15" hidden="1" outlineLevel="2">
      <c r="B1849" s="2889" t="s">
        <v>1641</v>
      </c>
      <c r="C1849" s="2889" t="s">
        <v>1574</v>
      </c>
      <c r="D1849" s="2889" t="s">
        <v>1559</v>
      </c>
      <c r="E1849" s="2889" t="s">
        <v>217</v>
      </c>
      <c r="F1849" s="3039">
        <v>1.103544757040619E-2</v>
      </c>
      <c r="G1849" s="2890">
        <v>8.3004362067055588</v>
      </c>
    </row>
    <row r="1850" spans="2:7" ht="15" hidden="1" outlineLevel="2">
      <c r="B1850" s="2889" t="s">
        <v>1642</v>
      </c>
      <c r="C1850" s="2889" t="s">
        <v>1574</v>
      </c>
      <c r="D1850" s="2889" t="s">
        <v>1559</v>
      </c>
      <c r="E1850" s="2889" t="s">
        <v>217</v>
      </c>
      <c r="F1850" s="3039">
        <v>1.230043303911062E-2</v>
      </c>
      <c r="G1850" s="2890">
        <v>9.2519110909485676</v>
      </c>
    </row>
    <row r="1851" spans="2:7" ht="15" hidden="1" outlineLevel="2">
      <c r="B1851" s="2889" t="s">
        <v>1643</v>
      </c>
      <c r="C1851" s="2889" t="s">
        <v>1574</v>
      </c>
      <c r="D1851" s="2889" t="s">
        <v>1559</v>
      </c>
      <c r="E1851" s="2889" t="s">
        <v>217</v>
      </c>
      <c r="F1851" s="2890">
        <v>1.9589605267272582E-3</v>
      </c>
      <c r="G1851" s="2890">
        <v>1.4714840365951214</v>
      </c>
    </row>
    <row r="1852" spans="2:7" ht="15" hidden="1" outlineLevel="2">
      <c r="B1852" s="2889" t="s">
        <v>1644</v>
      </c>
      <c r="C1852" s="2889" t="s">
        <v>1574</v>
      </c>
      <c r="D1852" s="2889" t="s">
        <v>1559</v>
      </c>
      <c r="E1852" s="2889" t="s">
        <v>217</v>
      </c>
      <c r="F1852" s="2890">
        <v>4.3794712554457459E-2</v>
      </c>
      <c r="G1852" s="2890">
        <v>33.040350895167691</v>
      </c>
    </row>
    <row r="1853" spans="2:7" ht="15" hidden="1" outlineLevel="2">
      <c r="B1853" s="2889" t="s">
        <v>1645</v>
      </c>
      <c r="C1853" s="2889" t="s">
        <v>1574</v>
      </c>
      <c r="D1853" s="2889" t="s">
        <v>1559</v>
      </c>
      <c r="E1853" s="2889" t="s">
        <v>217</v>
      </c>
      <c r="F1853" s="2890">
        <v>3.920421132097348E-2</v>
      </c>
      <c r="G1853" s="2890">
        <v>29.577094794905726</v>
      </c>
    </row>
    <row r="1854" spans="2:7" ht="15" hidden="1" outlineLevel="2">
      <c r="B1854" s="2889" t="s">
        <v>1646</v>
      </c>
      <c r="C1854" s="2889" t="s">
        <v>1574</v>
      </c>
      <c r="D1854" s="2889" t="s">
        <v>1559</v>
      </c>
      <c r="E1854" s="2889" t="s">
        <v>217</v>
      </c>
      <c r="F1854" s="2890">
        <v>2.2330049679702567E-3</v>
      </c>
      <c r="G1854" s="2890">
        <v>1.6795803670081322</v>
      </c>
    </row>
    <row r="1855" spans="2:7" ht="15" hidden="1" outlineLevel="2">
      <c r="B1855" s="2889" t="s">
        <v>1647</v>
      </c>
      <c r="C1855" s="2889" t="s">
        <v>1574</v>
      </c>
      <c r="D1855" s="2889" t="s">
        <v>1559</v>
      </c>
      <c r="E1855" s="2889" t="s">
        <v>217</v>
      </c>
      <c r="F1855" s="2890">
        <v>4.5374613580186907E-3</v>
      </c>
      <c r="G1855" s="2890">
        <v>3.431348942167308</v>
      </c>
    </row>
    <row r="1856" spans="2:7" ht="15" hidden="1" outlineLevel="2">
      <c r="B1856" s="2889" t="s">
        <v>1648</v>
      </c>
      <c r="C1856" s="2889" t="s">
        <v>1574</v>
      </c>
      <c r="D1856" s="2889" t="s">
        <v>1559</v>
      </c>
      <c r="E1856" s="2889" t="s">
        <v>217</v>
      </c>
      <c r="F1856" s="2890">
        <v>1.2729959281181904E-3</v>
      </c>
      <c r="G1856" s="2890">
        <v>0.9626730864176799</v>
      </c>
    </row>
    <row r="1857" spans="2:7" ht="15" hidden="1" outlineLevel="2">
      <c r="B1857" s="2889" t="s">
        <v>1649</v>
      </c>
      <c r="C1857" s="2889" t="s">
        <v>1574</v>
      </c>
      <c r="D1857" s="2889" t="s">
        <v>1559</v>
      </c>
      <c r="E1857" s="2889" t="s">
        <v>217</v>
      </c>
      <c r="F1857" s="2890">
        <v>2.1620039144902808E-3</v>
      </c>
      <c r="G1857" s="2890">
        <v>1.6349655810265</v>
      </c>
    </row>
    <row r="1858" spans="2:7" ht="15" hidden="1" outlineLevel="2">
      <c r="B1858" s="2889" t="s">
        <v>1650</v>
      </c>
      <c r="C1858" s="2889" t="s">
        <v>1574</v>
      </c>
      <c r="D1858" s="2889" t="s">
        <v>1559</v>
      </c>
      <c r="E1858" s="2889" t="s">
        <v>217</v>
      </c>
      <c r="F1858" s="2890">
        <v>6.9164528859776385E-3</v>
      </c>
      <c r="G1858" s="2890">
        <v>5.1952783089270529</v>
      </c>
    </row>
    <row r="1859" spans="2:7" ht="15" hidden="1" outlineLevel="2">
      <c r="B1859" s="2889" t="s">
        <v>1651</v>
      </c>
      <c r="C1859" s="2889" t="s">
        <v>1574</v>
      </c>
      <c r="D1859" s="2889" t="s">
        <v>1559</v>
      </c>
      <c r="E1859" s="2889" t="s">
        <v>217</v>
      </c>
      <c r="F1859" s="2890">
        <v>4.5085951610475397E-3</v>
      </c>
      <c r="G1859" s="2890">
        <v>3.4095201763166845</v>
      </c>
    </row>
    <row r="1860" spans="2:7" ht="15" hidden="1" outlineLevel="2">
      <c r="B1860" s="2889" t="s">
        <v>1652</v>
      </c>
      <c r="C1860" s="2889" t="s">
        <v>1574</v>
      </c>
      <c r="D1860" s="2889" t="s">
        <v>1559</v>
      </c>
      <c r="E1860" s="2889" t="s">
        <v>217</v>
      </c>
      <c r="F1860" s="2890">
        <v>6.0955697877047898E-3</v>
      </c>
      <c r="G1860" s="2890">
        <v>4.6096307573425079</v>
      </c>
    </row>
    <row r="1861" spans="2:7" ht="15" hidden="1" outlineLevel="2">
      <c r="B1861" s="2889" t="s">
        <v>1653</v>
      </c>
      <c r="C1861" s="2889" t="s">
        <v>1574</v>
      </c>
      <c r="D1861" s="2889" t="s">
        <v>1559</v>
      </c>
      <c r="E1861" s="2889" t="s">
        <v>217</v>
      </c>
      <c r="F1861" s="2890">
        <v>3.7710981157727905E-2</v>
      </c>
      <c r="G1861" s="2890">
        <v>28.364736816453856</v>
      </c>
    </row>
    <row r="1862" spans="2:7" ht="15" hidden="1" outlineLevel="2">
      <c r="B1862" s="2889" t="s">
        <v>1407</v>
      </c>
      <c r="C1862" s="2889" t="s">
        <v>1575</v>
      </c>
      <c r="D1862" s="2889" t="s">
        <v>1559</v>
      </c>
      <c r="E1862" s="2889" t="s">
        <v>217</v>
      </c>
      <c r="F1862" s="2890">
        <v>1.7329488036997383E-3</v>
      </c>
      <c r="G1862" s="2890">
        <v>2.1454478635684042</v>
      </c>
    </row>
    <row r="1863" spans="2:7" ht="15" hidden="1" outlineLevel="2">
      <c r="B1863" s="2889" t="s">
        <v>1631</v>
      </c>
      <c r="C1863" s="2889" t="s">
        <v>1575</v>
      </c>
      <c r="D1863" s="2889" t="s">
        <v>1559</v>
      </c>
      <c r="E1863" s="2889" t="s">
        <v>217</v>
      </c>
      <c r="F1863" s="2890">
        <v>8.3932076843363068E-2</v>
      </c>
      <c r="G1863" s="2890">
        <v>102.80984131424373</v>
      </c>
    </row>
    <row r="1864" spans="2:7" ht="15" hidden="1" outlineLevel="2">
      <c r="B1864" s="2889" t="s">
        <v>1632</v>
      </c>
      <c r="C1864" s="2889" t="s">
        <v>1575</v>
      </c>
      <c r="D1864" s="2889" t="s">
        <v>1559</v>
      </c>
      <c r="E1864" s="2889" t="s">
        <v>217</v>
      </c>
      <c r="F1864" s="2890">
        <v>9.9683879049597676E-2</v>
      </c>
      <c r="G1864" s="2890">
        <v>123.5778169920234</v>
      </c>
    </row>
    <row r="1865" spans="2:7" ht="15" hidden="1" outlineLevel="2">
      <c r="B1865" s="2889" t="s">
        <v>1633</v>
      </c>
      <c r="C1865" s="2889" t="s">
        <v>1575</v>
      </c>
      <c r="D1865" s="2889" t="s">
        <v>1559</v>
      </c>
      <c r="E1865" s="2889" t="s">
        <v>217</v>
      </c>
      <c r="F1865" s="2890">
        <v>5.9352252969964107E-3</v>
      </c>
      <c r="G1865" s="2890">
        <v>7.3803416010510112</v>
      </c>
    </row>
    <row r="1866" spans="2:7" ht="15" hidden="1" outlineLevel="2">
      <c r="B1866" s="2889" t="s">
        <v>1634</v>
      </c>
      <c r="C1866" s="2889" t="s">
        <v>1575</v>
      </c>
      <c r="D1866" s="2889" t="s">
        <v>1559</v>
      </c>
      <c r="E1866" s="2889" t="s">
        <v>217</v>
      </c>
      <c r="F1866" s="2890">
        <v>1.8589823021649562E-3</v>
      </c>
      <c r="G1866" s="2890">
        <v>2.3170840918514504</v>
      </c>
    </row>
    <row r="1867" spans="2:7" ht="15" hidden="1" outlineLevel="2">
      <c r="B1867" s="2889" t="s">
        <v>1635</v>
      </c>
      <c r="C1867" s="2889" t="s">
        <v>1575</v>
      </c>
      <c r="D1867" s="2889" t="s">
        <v>1559</v>
      </c>
      <c r="E1867" s="2889" t="s">
        <v>217</v>
      </c>
      <c r="F1867" s="2890">
        <v>3.142812215069607E-2</v>
      </c>
      <c r="G1867" s="2890">
        <v>38.961348434442257</v>
      </c>
    </row>
    <row r="1868" spans="2:7" ht="15" hidden="1" outlineLevel="2">
      <c r="B1868" s="2889" t="s">
        <v>1636</v>
      </c>
      <c r="C1868" s="2889" t="s">
        <v>1575</v>
      </c>
      <c r="D1868" s="2889" t="s">
        <v>1559</v>
      </c>
      <c r="E1868" s="2889" t="s">
        <v>217</v>
      </c>
      <c r="F1868" s="2890">
        <v>4.083815621789005E-3</v>
      </c>
      <c r="G1868" s="2890">
        <v>5.0632577985168288</v>
      </c>
    </row>
    <row r="1869" spans="2:7" ht="15" hidden="1" outlineLevel="2">
      <c r="B1869" s="2889" t="s">
        <v>1637</v>
      </c>
      <c r="C1869" s="2889" t="s">
        <v>1575</v>
      </c>
      <c r="D1869" s="2889" t="s">
        <v>1559</v>
      </c>
      <c r="E1869" s="2889" t="s">
        <v>217</v>
      </c>
      <c r="F1869" s="2890">
        <v>8.5577683909762274E-3</v>
      </c>
      <c r="G1869" s="2890">
        <v>10.641424192095986</v>
      </c>
    </row>
    <row r="1870" spans="2:7" ht="15" hidden="1" outlineLevel="2">
      <c r="B1870" s="2889" t="s">
        <v>1638</v>
      </c>
      <c r="C1870" s="2889" t="s">
        <v>1575</v>
      </c>
      <c r="D1870" s="2889" t="s">
        <v>1559</v>
      </c>
      <c r="E1870" s="2889" t="s">
        <v>217</v>
      </c>
      <c r="F1870" s="2890">
        <v>1.1016191768539615E-2</v>
      </c>
      <c r="G1870" s="2890">
        <v>13.730869005468239</v>
      </c>
    </row>
    <row r="1871" spans="2:7" ht="15" hidden="1" outlineLevel="2">
      <c r="B1871" s="2889" t="s">
        <v>1639</v>
      </c>
      <c r="C1871" s="2889" t="s">
        <v>1575</v>
      </c>
      <c r="D1871" s="2889" t="s">
        <v>1559</v>
      </c>
      <c r="E1871" s="2889" t="s">
        <v>217</v>
      </c>
      <c r="F1871" s="2890">
        <v>5.2036749005345335E-2</v>
      </c>
      <c r="G1871" s="2890">
        <v>64.70670103121563</v>
      </c>
    </row>
    <row r="1872" spans="2:7" ht="15" hidden="1" outlineLevel="2">
      <c r="B1872" s="2889" t="s">
        <v>1640</v>
      </c>
      <c r="C1872" s="2889" t="s">
        <v>1575</v>
      </c>
      <c r="D1872" s="2889" t="s">
        <v>1559</v>
      </c>
      <c r="E1872" s="2889" t="s">
        <v>217</v>
      </c>
      <c r="F1872" s="2890">
        <v>1.1160194965785405E-2</v>
      </c>
      <c r="G1872" s="2890">
        <v>13.816686375781579</v>
      </c>
    </row>
    <row r="1873" spans="2:7" ht="15" hidden="1" outlineLevel="2">
      <c r="B1873" s="2889" t="s">
        <v>1641</v>
      </c>
      <c r="C1873" s="2889" t="s">
        <v>1575</v>
      </c>
      <c r="D1873" s="2889" t="s">
        <v>1559</v>
      </c>
      <c r="E1873" s="2889" t="s">
        <v>217</v>
      </c>
      <c r="F1873" s="2890">
        <v>2.2913451305979479E-2</v>
      </c>
      <c r="G1873" s="2890">
        <v>28.40573250943946</v>
      </c>
    </row>
    <row r="1874" spans="2:7" ht="15" hidden="1" outlineLevel="2">
      <c r="B1874" s="2889" t="s">
        <v>1642</v>
      </c>
      <c r="C1874" s="2889" t="s">
        <v>1575</v>
      </c>
      <c r="D1874" s="2889" t="s">
        <v>1559</v>
      </c>
      <c r="E1874" s="2889" t="s">
        <v>217</v>
      </c>
      <c r="F1874" s="2890">
        <v>6.7425078372294278E-2</v>
      </c>
      <c r="G1874" s="2890">
        <v>83.586660635322644</v>
      </c>
    </row>
    <row r="1875" spans="2:7" ht="15" hidden="1" outlineLevel="2">
      <c r="B1875" s="2889" t="s">
        <v>1643</v>
      </c>
      <c r="C1875" s="2889" t="s">
        <v>1575</v>
      </c>
      <c r="D1875" s="2889" t="s">
        <v>1559</v>
      </c>
      <c r="E1875" s="2889" t="s">
        <v>217</v>
      </c>
      <c r="F1875" s="2890">
        <v>6.5733882538863194E-3</v>
      </c>
      <c r="G1875" s="2890">
        <v>8.1361581816652269</v>
      </c>
    </row>
    <row r="1876" spans="2:7" ht="15" hidden="1" outlineLevel="2">
      <c r="B1876" s="2889" t="s">
        <v>1644</v>
      </c>
      <c r="C1876" s="2889" t="s">
        <v>1575</v>
      </c>
      <c r="D1876" s="2889" t="s">
        <v>1559</v>
      </c>
      <c r="E1876" s="2889" t="s">
        <v>217</v>
      </c>
      <c r="F1876" s="2890">
        <v>0.20552443354877667</v>
      </c>
      <c r="G1876" s="2890">
        <v>255.56581943046629</v>
      </c>
    </row>
    <row r="1877" spans="2:7" ht="15" hidden="1" outlineLevel="2">
      <c r="B1877" s="2889" t="s">
        <v>1645</v>
      </c>
      <c r="C1877" s="2889" t="s">
        <v>1575</v>
      </c>
      <c r="D1877" s="2889" t="s">
        <v>1559</v>
      </c>
      <c r="E1877" s="2889" t="s">
        <v>217</v>
      </c>
      <c r="F1877" s="2890">
        <v>0.10041574967168394</v>
      </c>
      <c r="G1877" s="2890">
        <v>124.86514184879769</v>
      </c>
    </row>
    <row r="1878" spans="2:7" ht="15" hidden="1" outlineLevel="2">
      <c r="B1878" s="2889" t="s">
        <v>1646</v>
      </c>
      <c r="C1878" s="2889" t="s">
        <v>1575</v>
      </c>
      <c r="D1878" s="2889" t="s">
        <v>1559</v>
      </c>
      <c r="E1878" s="2889" t="s">
        <v>217</v>
      </c>
      <c r="F1878" s="2890">
        <v>6.5763689810474117E-3</v>
      </c>
      <c r="G1878" s="2890">
        <v>8.1526997287410623</v>
      </c>
    </row>
    <row r="1879" spans="2:7" ht="15" hidden="1" outlineLevel="2">
      <c r="B1879" s="2889" t="s">
        <v>1647</v>
      </c>
      <c r="C1879" s="2889" t="s">
        <v>1575</v>
      </c>
      <c r="D1879" s="2889" t="s">
        <v>1559</v>
      </c>
      <c r="E1879" s="2889" t="s">
        <v>217</v>
      </c>
      <c r="F1879" s="2890">
        <v>5.0261366734313719E-3</v>
      </c>
      <c r="G1879" s="2890">
        <v>6.2647065065134191</v>
      </c>
    </row>
    <row r="1880" spans="2:7" ht="15" hidden="1" outlineLevel="2">
      <c r="B1880" s="2889" t="s">
        <v>1648</v>
      </c>
      <c r="C1880" s="2889" t="s">
        <v>1575</v>
      </c>
      <c r="D1880" s="2889" t="s">
        <v>1559</v>
      </c>
      <c r="E1880" s="2889" t="s">
        <v>217</v>
      </c>
      <c r="F1880" s="2890">
        <v>1.1085039339179677E-2</v>
      </c>
      <c r="G1880" s="2890">
        <v>13.816686375781579</v>
      </c>
    </row>
    <row r="1881" spans="2:7" ht="15" hidden="1" outlineLevel="2">
      <c r="B1881" s="2889" t="s">
        <v>1649</v>
      </c>
      <c r="C1881" s="2889" t="s">
        <v>1575</v>
      </c>
      <c r="D1881" s="2889" t="s">
        <v>1559</v>
      </c>
      <c r="E1881" s="2889" t="s">
        <v>217</v>
      </c>
      <c r="F1881" s="2890">
        <v>1.0878488993128443E-2</v>
      </c>
      <c r="G1881" s="2890">
        <v>13.559234523397317</v>
      </c>
    </row>
    <row r="1882" spans="2:7" ht="15" hidden="1" outlineLevel="2">
      <c r="B1882" s="2889" t="s">
        <v>1650</v>
      </c>
      <c r="C1882" s="2889" t="s">
        <v>1575</v>
      </c>
      <c r="D1882" s="2889" t="s">
        <v>1559</v>
      </c>
      <c r="E1882" s="2889" t="s">
        <v>217</v>
      </c>
      <c r="F1882" s="2890">
        <v>1.5665855611360344E-2</v>
      </c>
      <c r="G1882" s="2890">
        <v>19.394858267559929</v>
      </c>
    </row>
    <row r="1883" spans="2:7" ht="15" hidden="1" outlineLevel="2">
      <c r="B1883" s="2889" t="s">
        <v>1651</v>
      </c>
      <c r="C1883" s="2889" t="s">
        <v>1575</v>
      </c>
      <c r="D1883" s="2889" t="s">
        <v>1559</v>
      </c>
      <c r="E1883" s="2889" t="s">
        <v>217</v>
      </c>
      <c r="F1883" s="3039">
        <v>7.022819659721756E-3</v>
      </c>
      <c r="G1883" s="2890">
        <v>8.7534270043001463</v>
      </c>
    </row>
    <row r="1884" spans="2:7" ht="15" hidden="1" outlineLevel="2">
      <c r="B1884" s="2889" t="s">
        <v>1652</v>
      </c>
      <c r="C1884" s="2889" t="s">
        <v>1575</v>
      </c>
      <c r="D1884" s="2889" t="s">
        <v>1559</v>
      </c>
      <c r="E1884" s="2889" t="s">
        <v>217</v>
      </c>
      <c r="F1884" s="3039">
        <v>1.108503933920937E-2</v>
      </c>
      <c r="G1884" s="2890">
        <v>13.816686375189573</v>
      </c>
    </row>
    <row r="1885" spans="2:7" ht="15" hidden="1" outlineLevel="2">
      <c r="B1885" s="2889" t="s">
        <v>1653</v>
      </c>
      <c r="C1885" s="2889" t="s">
        <v>1575</v>
      </c>
      <c r="D1885" s="2889" t="s">
        <v>1559</v>
      </c>
      <c r="E1885" s="2889" t="s">
        <v>217</v>
      </c>
      <c r="F1885" s="3039">
        <v>1.2529718241078172E-2</v>
      </c>
      <c r="G1885" s="2890">
        <v>15.533041920129079</v>
      </c>
    </row>
    <row r="1886" spans="2:7" ht="15" hidden="1" outlineLevel="2">
      <c r="B1886" s="2889" t="s">
        <v>1407</v>
      </c>
      <c r="C1886" s="2889" t="s">
        <v>1576</v>
      </c>
      <c r="D1886" s="2889" t="s">
        <v>1559</v>
      </c>
      <c r="E1886" s="2889" t="s">
        <v>217</v>
      </c>
      <c r="F1886" s="3039">
        <v>7.9229285568175704E-3</v>
      </c>
      <c r="G1886" s="2890">
        <v>5.9655548726052565</v>
      </c>
    </row>
    <row r="1887" spans="2:7" ht="15" hidden="1" outlineLevel="2">
      <c r="B1887" s="2889" t="s">
        <v>1631</v>
      </c>
      <c r="C1887" s="2889" t="s">
        <v>1576</v>
      </c>
      <c r="D1887" s="2889" t="s">
        <v>1559</v>
      </c>
      <c r="E1887" s="2889" t="s">
        <v>217</v>
      </c>
      <c r="F1887" s="3039">
        <v>4.7182712761836311E-2</v>
      </c>
      <c r="G1887" s="2890">
        <v>35.149479872858116</v>
      </c>
    </row>
    <row r="1888" spans="2:7" ht="15" hidden="1" outlineLevel="2">
      <c r="B1888" s="2889" t="s">
        <v>1632</v>
      </c>
      <c r="C1888" s="2889" t="s">
        <v>1576</v>
      </c>
      <c r="D1888" s="2889" t="s">
        <v>1559</v>
      </c>
      <c r="E1888" s="2889" t="s">
        <v>217</v>
      </c>
      <c r="F1888" s="3039">
        <v>7.7243541170195829E-2</v>
      </c>
      <c r="G1888" s="2890">
        <v>58.238887082100881</v>
      </c>
    </row>
    <row r="1889" spans="2:7" ht="15" hidden="1" outlineLevel="2">
      <c r="B1889" s="2889" t="s">
        <v>1633</v>
      </c>
      <c r="C1889" s="2889" t="s">
        <v>1576</v>
      </c>
      <c r="D1889" s="2889" t="s">
        <v>1559</v>
      </c>
      <c r="E1889" s="2889" t="s">
        <v>217</v>
      </c>
      <c r="F1889" s="3039">
        <v>7.1080053173934524E-3</v>
      </c>
      <c r="G1889" s="2890">
        <v>5.375392913384176</v>
      </c>
    </row>
    <row r="1890" spans="2:7" ht="15" hidden="1" outlineLevel="2">
      <c r="B1890" s="2889" t="s">
        <v>1634</v>
      </c>
      <c r="C1890" s="2889" t="s">
        <v>1576</v>
      </c>
      <c r="D1890" s="2889" t="s">
        <v>1559</v>
      </c>
      <c r="E1890" s="2889" t="s">
        <v>217</v>
      </c>
      <c r="F1890" s="2890">
        <v>2.9556018252010043E-3</v>
      </c>
      <c r="G1890" s="2890">
        <v>2.2404617575464676</v>
      </c>
    </row>
    <row r="1891" spans="2:7" ht="15" hidden="1" outlineLevel="2">
      <c r="B1891" s="2889" t="s">
        <v>1635</v>
      </c>
      <c r="C1891" s="2889" t="s">
        <v>1576</v>
      </c>
      <c r="D1891" s="2889" t="s">
        <v>1559</v>
      </c>
      <c r="E1891" s="2889" t="s">
        <v>217</v>
      </c>
      <c r="F1891" s="2890">
        <v>1.3773282491756002E-2</v>
      </c>
      <c r="G1891" s="2890">
        <v>10.384557325396745</v>
      </c>
    </row>
    <row r="1892" spans="2:7" ht="15" hidden="1" outlineLevel="2">
      <c r="B1892" s="2889" t="s">
        <v>1636</v>
      </c>
      <c r="C1892" s="2889" t="s">
        <v>1576</v>
      </c>
      <c r="D1892" s="2889" t="s">
        <v>1559</v>
      </c>
      <c r="E1892" s="2889" t="s">
        <v>217</v>
      </c>
      <c r="F1892" s="2890">
        <v>8.7381310020513015E-3</v>
      </c>
      <c r="G1892" s="2890">
        <v>6.5889616972277905</v>
      </c>
    </row>
    <row r="1893" spans="2:7" ht="15" hidden="1" outlineLevel="2">
      <c r="B1893" s="2889" t="s">
        <v>1637</v>
      </c>
      <c r="C1893" s="2889" t="s">
        <v>1576</v>
      </c>
      <c r="D1893" s="2889" t="s">
        <v>1559</v>
      </c>
      <c r="E1893" s="2889" t="s">
        <v>217</v>
      </c>
      <c r="F1893" s="3039">
        <v>1.1258222819641422E-2</v>
      </c>
      <c r="G1893" s="2890">
        <v>8.5139774189503612</v>
      </c>
    </row>
    <row r="1894" spans="2:7" ht="15" hidden="1" outlineLevel="2">
      <c r="B1894" s="2889" t="s">
        <v>1638</v>
      </c>
      <c r="C1894" s="2889" t="s">
        <v>1576</v>
      </c>
      <c r="D1894" s="2889" t="s">
        <v>1559</v>
      </c>
      <c r="E1894" s="2889" t="s">
        <v>217</v>
      </c>
      <c r="F1894" s="2890">
        <v>3.5517338888386846E-3</v>
      </c>
      <c r="G1894" s="2890">
        <v>2.6923538218325271</v>
      </c>
    </row>
    <row r="1895" spans="2:7" ht="15" hidden="1" outlineLevel="2">
      <c r="B1895" s="2889" t="s">
        <v>1639</v>
      </c>
      <c r="C1895" s="2889" t="s">
        <v>1576</v>
      </c>
      <c r="D1895" s="2889" t="s">
        <v>1559</v>
      </c>
      <c r="E1895" s="2889" t="s">
        <v>217</v>
      </c>
      <c r="F1895" s="2890">
        <v>1.8818128543833797E-2</v>
      </c>
      <c r="G1895" s="2890">
        <v>14.231125342373938</v>
      </c>
    </row>
    <row r="1896" spans="2:7" ht="15" hidden="1" outlineLevel="2">
      <c r="B1896" s="2889" t="s">
        <v>1640</v>
      </c>
      <c r="C1896" s="2889" t="s">
        <v>1576</v>
      </c>
      <c r="D1896" s="2889" t="s">
        <v>1559</v>
      </c>
      <c r="E1896" s="2889" t="s">
        <v>217</v>
      </c>
      <c r="F1896" s="3039">
        <v>4.1533536899511217E-3</v>
      </c>
      <c r="G1896" s="2890">
        <v>3.127259386108395</v>
      </c>
    </row>
    <row r="1897" spans="2:7" ht="15" hidden="1" outlineLevel="2">
      <c r="B1897" s="2889" t="s">
        <v>1641</v>
      </c>
      <c r="C1897" s="2889" t="s">
        <v>1576</v>
      </c>
      <c r="D1897" s="2889" t="s">
        <v>1559</v>
      </c>
      <c r="E1897" s="2889" t="s">
        <v>217</v>
      </c>
      <c r="F1897" s="2890">
        <v>2.100331964854869E-2</v>
      </c>
      <c r="G1897" s="2890">
        <v>15.835758656513894</v>
      </c>
    </row>
    <row r="1898" spans="2:7" ht="15" hidden="1" outlineLevel="2">
      <c r="B1898" s="2889" t="s">
        <v>1642</v>
      </c>
      <c r="C1898" s="2889" t="s">
        <v>1576</v>
      </c>
      <c r="D1898" s="2889" t="s">
        <v>1559</v>
      </c>
      <c r="E1898" s="2889" t="s">
        <v>217</v>
      </c>
      <c r="F1898" s="2890">
        <v>2.3410914392065461E-2</v>
      </c>
      <c r="G1898" s="2890">
        <v>17.650988512365451</v>
      </c>
    </row>
    <row r="1899" spans="2:7" ht="15" hidden="1" outlineLevel="2">
      <c r="B1899" s="2889" t="s">
        <v>1643</v>
      </c>
      <c r="C1899" s="2889" t="s">
        <v>1576</v>
      </c>
      <c r="D1899" s="2889" t="s">
        <v>1559</v>
      </c>
      <c r="E1899" s="2889" t="s">
        <v>217</v>
      </c>
      <c r="F1899" s="2890">
        <v>3.7284121591413246E-3</v>
      </c>
      <c r="G1899" s="2890">
        <v>2.8073282250379168</v>
      </c>
    </row>
    <row r="1900" spans="2:7" ht="15" hidden="1" outlineLevel="2">
      <c r="B1900" s="2889" t="s">
        <v>1644</v>
      </c>
      <c r="C1900" s="2889" t="s">
        <v>1576</v>
      </c>
      <c r="D1900" s="2889" t="s">
        <v>1559</v>
      </c>
      <c r="E1900" s="2889" t="s">
        <v>217</v>
      </c>
      <c r="F1900" s="3039">
        <v>8.3352681215213081E-2</v>
      </c>
      <c r="G1900" s="2890">
        <v>63.035076563080395</v>
      </c>
    </row>
    <row r="1901" spans="2:7" ht="15" hidden="1" outlineLevel="2">
      <c r="B1901" s="2889" t="s">
        <v>1645</v>
      </c>
      <c r="C1901" s="2889" t="s">
        <v>1576</v>
      </c>
      <c r="D1901" s="2889" t="s">
        <v>1559</v>
      </c>
      <c r="E1901" s="2889" t="s">
        <v>217</v>
      </c>
      <c r="F1901" s="3039">
        <v>7.4615803472281333E-2</v>
      </c>
      <c r="G1901" s="2890">
        <v>56.427838455203428</v>
      </c>
    </row>
    <row r="1902" spans="2:7" ht="15" hidden="1" outlineLevel="2">
      <c r="B1902" s="2889" t="s">
        <v>1646</v>
      </c>
      <c r="C1902" s="2889" t="s">
        <v>1576</v>
      </c>
      <c r="D1902" s="2889" t="s">
        <v>1559</v>
      </c>
      <c r="E1902" s="2889" t="s">
        <v>217</v>
      </c>
      <c r="F1902" s="3039">
        <v>4.2499890304874711E-3</v>
      </c>
      <c r="G1902" s="2890">
        <v>3.2043402270400527</v>
      </c>
    </row>
    <row r="1903" spans="2:7" ht="15" hidden="1" outlineLevel="2">
      <c r="B1903" s="2889" t="s">
        <v>1647</v>
      </c>
      <c r="C1903" s="2889" t="s">
        <v>1576</v>
      </c>
      <c r="D1903" s="2889" t="s">
        <v>1559</v>
      </c>
      <c r="E1903" s="2889" t="s">
        <v>217</v>
      </c>
      <c r="F1903" s="2890">
        <v>8.6359647545529491E-3</v>
      </c>
      <c r="G1903" s="2890">
        <v>6.5464041557885775</v>
      </c>
    </row>
    <row r="1904" spans="2:7" ht="15" hidden="1" outlineLevel="2">
      <c r="B1904" s="2889" t="s">
        <v>1648</v>
      </c>
      <c r="C1904" s="2889" t="s">
        <v>1576</v>
      </c>
      <c r="D1904" s="2889" t="s">
        <v>1559</v>
      </c>
      <c r="E1904" s="2889" t="s">
        <v>217</v>
      </c>
      <c r="F1904" s="2890">
        <v>2.4228416618381093E-3</v>
      </c>
      <c r="G1904" s="2890">
        <v>1.8366092864556509</v>
      </c>
    </row>
    <row r="1905" spans="2:7" ht="15" hidden="1" outlineLevel="2">
      <c r="B1905" s="2889" t="s">
        <v>1649</v>
      </c>
      <c r="C1905" s="2889" t="s">
        <v>1576</v>
      </c>
      <c r="D1905" s="2889" t="s">
        <v>1559</v>
      </c>
      <c r="E1905" s="2889" t="s">
        <v>217</v>
      </c>
      <c r="F1905" s="2890">
        <v>4.1148542636542601E-3</v>
      </c>
      <c r="G1905" s="2890">
        <v>3.1192223101648229</v>
      </c>
    </row>
    <row r="1906" spans="2:7" ht="15" hidden="1" outlineLevel="2">
      <c r="B1906" s="2889" t="s">
        <v>1650</v>
      </c>
      <c r="C1906" s="2889" t="s">
        <v>1576</v>
      </c>
      <c r="D1906" s="2889" t="s">
        <v>1559</v>
      </c>
      <c r="E1906" s="2889" t="s">
        <v>217</v>
      </c>
      <c r="F1906" s="2890">
        <v>1.3163806985250947E-2</v>
      </c>
      <c r="G1906" s="2890">
        <v>9.911665150409501</v>
      </c>
    </row>
    <row r="1907" spans="2:7" ht="15" hidden="1" outlineLevel="2">
      <c r="B1907" s="2889" t="s">
        <v>1651</v>
      </c>
      <c r="C1907" s="2889" t="s">
        <v>1576</v>
      </c>
      <c r="D1907" s="2889" t="s">
        <v>1559</v>
      </c>
      <c r="E1907" s="2889" t="s">
        <v>217</v>
      </c>
      <c r="F1907" s="2890">
        <v>8.5810268020994635E-3</v>
      </c>
      <c r="G1907" s="2890">
        <v>6.5047611182327083</v>
      </c>
    </row>
    <row r="1908" spans="2:7" ht="15" hidden="1" outlineLevel="2">
      <c r="B1908" s="2889" t="s">
        <v>1652</v>
      </c>
      <c r="C1908" s="2889" t="s">
        <v>1576</v>
      </c>
      <c r="D1908" s="2889" t="s">
        <v>1559</v>
      </c>
      <c r="E1908" s="2889" t="s">
        <v>217</v>
      </c>
      <c r="F1908" s="2890">
        <v>1.1601445483541386E-2</v>
      </c>
      <c r="G1908" s="2890">
        <v>8.7943568215763896</v>
      </c>
    </row>
    <row r="1909" spans="2:7" ht="15" hidden="1" outlineLevel="2">
      <c r="B1909" s="2889" t="s">
        <v>1653</v>
      </c>
      <c r="C1909" s="2889" t="s">
        <v>1576</v>
      </c>
      <c r="D1909" s="2889" t="s">
        <v>1559</v>
      </c>
      <c r="E1909" s="2889" t="s">
        <v>217</v>
      </c>
      <c r="F1909" s="2890">
        <v>7.1773741121301415E-2</v>
      </c>
      <c r="G1909" s="2890">
        <v>54.114864116798621</v>
      </c>
    </row>
    <row r="1910" spans="2:7" ht="15" hidden="1" outlineLevel="2">
      <c r="B1910" s="2889" t="s">
        <v>1407</v>
      </c>
      <c r="C1910" s="2889" t="s">
        <v>1577</v>
      </c>
      <c r="D1910" s="2889" t="s">
        <v>1559</v>
      </c>
      <c r="E1910" s="2889" t="s">
        <v>217</v>
      </c>
      <c r="F1910" s="2890">
        <v>5.6889140516091008E-2</v>
      </c>
      <c r="G1910" s="2890">
        <v>88.510750044489853</v>
      </c>
    </row>
    <row r="1911" spans="2:7" ht="15" hidden="1" outlineLevel="2">
      <c r="B1911" s="2889" t="s">
        <v>1631</v>
      </c>
      <c r="C1911" s="2889" t="s">
        <v>1577</v>
      </c>
      <c r="D1911" s="2889" t="s">
        <v>1559</v>
      </c>
      <c r="E1911" s="2889" t="s">
        <v>217</v>
      </c>
      <c r="F1911" s="2890">
        <v>2.7547829782272633</v>
      </c>
      <c r="G1911" s="2890">
        <v>4241.4337711204171</v>
      </c>
    </row>
    <row r="1912" spans="2:7" ht="15" hidden="1" outlineLevel="2">
      <c r="B1912" s="2889" t="s">
        <v>1632</v>
      </c>
      <c r="C1912" s="2889" t="s">
        <v>1577</v>
      </c>
      <c r="D1912" s="2889" t="s">
        <v>1559</v>
      </c>
      <c r="E1912" s="2889" t="s">
        <v>217</v>
      </c>
      <c r="F1912" s="2890">
        <v>3.2724966193503988</v>
      </c>
      <c r="G1912" s="2890">
        <v>5098.2207070683289</v>
      </c>
    </row>
    <row r="1913" spans="2:7" ht="15" hidden="1" outlineLevel="2">
      <c r="B1913" s="2889" t="s">
        <v>1633</v>
      </c>
      <c r="C1913" s="2889" t="s">
        <v>1577</v>
      </c>
      <c r="D1913" s="2889" t="s">
        <v>1559</v>
      </c>
      <c r="E1913" s="2889" t="s">
        <v>217</v>
      </c>
      <c r="F1913" s="2890">
        <v>0.19485688924370431</v>
      </c>
      <c r="G1913" s="2890">
        <v>304.47701044737863</v>
      </c>
    </row>
    <row r="1914" spans="2:7" ht="15" hidden="1" outlineLevel="2">
      <c r="B1914" s="2889" t="s">
        <v>1634</v>
      </c>
      <c r="C1914" s="2889" t="s">
        <v>1577</v>
      </c>
      <c r="D1914" s="2889" t="s">
        <v>1559</v>
      </c>
      <c r="E1914" s="2889" t="s">
        <v>217</v>
      </c>
      <c r="F1914" s="3039">
        <v>6.1034081280975115E-2</v>
      </c>
      <c r="G1914" s="2890">
        <v>95.591674657777318</v>
      </c>
    </row>
    <row r="1915" spans="2:7" ht="15" hidden="1" outlineLevel="2">
      <c r="B1915" s="2889" t="s">
        <v>1635</v>
      </c>
      <c r="C1915" s="2889" t="s">
        <v>1577</v>
      </c>
      <c r="D1915" s="2889" t="s">
        <v>1559</v>
      </c>
      <c r="E1915" s="2889" t="s">
        <v>217</v>
      </c>
      <c r="F1915" s="3039">
        <v>1.0317451046963184</v>
      </c>
      <c r="G1915" s="2890">
        <v>1607.355122150127</v>
      </c>
    </row>
    <row r="1916" spans="2:7" ht="15" hidden="1" outlineLevel="2">
      <c r="B1916" s="2889" t="s">
        <v>1636</v>
      </c>
      <c r="C1916" s="2889" t="s">
        <v>1577</v>
      </c>
      <c r="D1916" s="2889" t="s">
        <v>1559</v>
      </c>
      <c r="E1916" s="2889" t="s">
        <v>217</v>
      </c>
      <c r="F1916" s="2890">
        <v>0.13406674422057993</v>
      </c>
      <c r="G1916" s="2890">
        <v>208.8854248164123</v>
      </c>
    </row>
    <row r="1917" spans="2:7" ht="15" hidden="1" outlineLevel="2">
      <c r="B1917" s="2889" t="s">
        <v>1637</v>
      </c>
      <c r="C1917" s="2889" t="s">
        <v>1577</v>
      </c>
      <c r="D1917" s="2889" t="s">
        <v>1559</v>
      </c>
      <c r="E1917" s="2889" t="s">
        <v>217</v>
      </c>
      <c r="F1917" s="2890">
        <v>0.2809564021833541</v>
      </c>
      <c r="G1917" s="2890">
        <v>439.01355547551594</v>
      </c>
    </row>
    <row r="1918" spans="2:7" ht="15" hidden="1" outlineLevel="2">
      <c r="B1918" s="2889" t="s">
        <v>1638</v>
      </c>
      <c r="C1918" s="2889" t="s">
        <v>1577</v>
      </c>
      <c r="D1918" s="2889" t="s">
        <v>1559</v>
      </c>
      <c r="E1918" s="2889" t="s">
        <v>217</v>
      </c>
      <c r="F1918" s="2890">
        <v>0.36168351279990529</v>
      </c>
      <c r="G1918" s="2890">
        <v>566.46829167564181</v>
      </c>
    </row>
    <row r="1919" spans="2:7" ht="15" hidden="1" outlineLevel="2">
      <c r="B1919" s="2889" t="s">
        <v>1639</v>
      </c>
      <c r="C1919" s="2889" t="s">
        <v>1577</v>
      </c>
      <c r="D1919" s="2889" t="s">
        <v>1559</v>
      </c>
      <c r="E1919" s="2889" t="s">
        <v>217</v>
      </c>
      <c r="F1919" s="2890">
        <v>1.7083959673845046</v>
      </c>
      <c r="G1919" s="2890">
        <v>2669.4845263913116</v>
      </c>
    </row>
    <row r="1920" spans="2:7" ht="15" hidden="1" outlineLevel="2">
      <c r="B1920" s="2889" t="s">
        <v>1640</v>
      </c>
      <c r="C1920" s="2889" t="s">
        <v>1577</v>
      </c>
      <c r="D1920" s="2889" t="s">
        <v>1559</v>
      </c>
      <c r="E1920" s="2889" t="s">
        <v>217</v>
      </c>
      <c r="F1920" s="2890">
        <v>0.36636593179894078</v>
      </c>
      <c r="G1920" s="2890">
        <v>570.00982972123791</v>
      </c>
    </row>
    <row r="1921" spans="2:7" ht="15" hidden="1" outlineLevel="2">
      <c r="B1921" s="2889" t="s">
        <v>1641</v>
      </c>
      <c r="C1921" s="2889" t="s">
        <v>1577</v>
      </c>
      <c r="D1921" s="2889" t="s">
        <v>1559</v>
      </c>
      <c r="E1921" s="2889" t="s">
        <v>217</v>
      </c>
      <c r="F1921" s="2890">
        <v>0.75221986867351565</v>
      </c>
      <c r="G1921" s="2890">
        <v>1171.8829781388706</v>
      </c>
    </row>
    <row r="1922" spans="2:7" ht="15" hidden="1" outlineLevel="2">
      <c r="B1922" s="2889" t="s">
        <v>1642</v>
      </c>
      <c r="C1922" s="2889" t="s">
        <v>1577</v>
      </c>
      <c r="D1922" s="2889" t="s">
        <v>1559</v>
      </c>
      <c r="E1922" s="2889" t="s">
        <v>217</v>
      </c>
      <c r="F1922" s="2890">
        <v>2.2134809258710995</v>
      </c>
      <c r="G1922" s="2890">
        <v>3448.3789072830286</v>
      </c>
    </row>
    <row r="1923" spans="2:7" ht="15" hidden="1" outlineLevel="2">
      <c r="B1923" s="2889" t="s">
        <v>1643</v>
      </c>
      <c r="C1923" s="2889" t="s">
        <v>1577</v>
      </c>
      <c r="D1923" s="2889" t="s">
        <v>1559</v>
      </c>
      <c r="E1923" s="2889" t="s">
        <v>217</v>
      </c>
      <c r="F1923" s="2890">
        <v>0.21578993058831603</v>
      </c>
      <c r="G1923" s="2890">
        <v>335.65840044533843</v>
      </c>
    </row>
    <row r="1924" spans="2:7" ht="15" hidden="1" outlineLevel="2">
      <c r="B1924" s="2889" t="s">
        <v>1644</v>
      </c>
      <c r="C1924" s="2889" t="s">
        <v>1577</v>
      </c>
      <c r="D1924" s="2889" t="s">
        <v>1559</v>
      </c>
      <c r="E1924" s="2889" t="s">
        <v>217</v>
      </c>
      <c r="F1924" s="2890">
        <v>6.7474845280753755</v>
      </c>
      <c r="G1924" s="2890">
        <v>10543.395074097274</v>
      </c>
    </row>
    <row r="1925" spans="2:7" ht="15" hidden="1" outlineLevel="2">
      <c r="B1925" s="2889" t="s">
        <v>1645</v>
      </c>
      <c r="C1925" s="2889" t="s">
        <v>1577</v>
      </c>
      <c r="D1925" s="2889" t="s">
        <v>1559</v>
      </c>
      <c r="E1925" s="2889" t="s">
        <v>217</v>
      </c>
      <c r="F1925" s="2890">
        <v>3.296706948415201</v>
      </c>
      <c r="G1925" s="2890">
        <v>5151.3258413413114</v>
      </c>
    </row>
    <row r="1926" spans="2:7" ht="15" hidden="1" outlineLevel="2">
      <c r="B1926" s="2889" t="s">
        <v>1646</v>
      </c>
      <c r="C1926" s="2889" t="s">
        <v>1577</v>
      </c>
      <c r="D1926" s="2889" t="s">
        <v>1559</v>
      </c>
      <c r="E1926" s="2889" t="s">
        <v>217</v>
      </c>
      <c r="F1926" s="2890">
        <v>0.21589390174296622</v>
      </c>
      <c r="G1926" s="2890">
        <v>336.34085120632568</v>
      </c>
    </row>
    <row r="1927" spans="2:7" ht="15" hidden="1" outlineLevel="2">
      <c r="B1927" s="2889" t="s">
        <v>1647</v>
      </c>
      <c r="C1927" s="2889" t="s">
        <v>1577</v>
      </c>
      <c r="D1927" s="2889" t="s">
        <v>1559</v>
      </c>
      <c r="E1927" s="2889" t="s">
        <v>217</v>
      </c>
      <c r="F1927" s="2890">
        <v>0.16501810774488027</v>
      </c>
      <c r="G1927" s="2890">
        <v>258.45141461140815</v>
      </c>
    </row>
    <row r="1928" spans="2:7" ht="15" hidden="1" outlineLevel="2">
      <c r="B1928" s="2889" t="s">
        <v>1648</v>
      </c>
      <c r="C1928" s="2889" t="s">
        <v>1577</v>
      </c>
      <c r="D1928" s="2889" t="s">
        <v>1559</v>
      </c>
      <c r="E1928" s="2889" t="s">
        <v>217</v>
      </c>
      <c r="F1928" s="2890">
        <v>0.36394416272650404</v>
      </c>
      <c r="G1928" s="2890">
        <v>570.00982972123791</v>
      </c>
    </row>
    <row r="1929" spans="2:7" ht="15" hidden="1" outlineLevel="2">
      <c r="B1929" s="2889" t="s">
        <v>1649</v>
      </c>
      <c r="C1929" s="2889" t="s">
        <v>1577</v>
      </c>
      <c r="D1929" s="2889" t="s">
        <v>1559</v>
      </c>
      <c r="E1929" s="2889" t="s">
        <v>217</v>
      </c>
      <c r="F1929" s="2890">
        <v>0.35716252729878289</v>
      </c>
      <c r="G1929" s="2890">
        <v>559.38769134598488</v>
      </c>
    </row>
    <row r="1930" spans="2:7" ht="15" hidden="1" outlineLevel="2">
      <c r="B1930" s="2889" t="s">
        <v>1650</v>
      </c>
      <c r="C1930" s="2889" t="s">
        <v>1577</v>
      </c>
      <c r="D1930" s="2889" t="s">
        <v>1559</v>
      </c>
      <c r="E1930" s="2889" t="s">
        <v>217</v>
      </c>
      <c r="F1930" s="2890">
        <v>0.51427785867372144</v>
      </c>
      <c r="G1930" s="2890">
        <v>800.13703796315428</v>
      </c>
    </row>
    <row r="1931" spans="2:7" ht="15" hidden="1" outlineLevel="2">
      <c r="B1931" s="2889" t="s">
        <v>1651</v>
      </c>
      <c r="C1931" s="2889" t="s">
        <v>1577</v>
      </c>
      <c r="D1931" s="2889" t="s">
        <v>1559</v>
      </c>
      <c r="E1931" s="2889" t="s">
        <v>217</v>
      </c>
      <c r="F1931" s="3039">
        <v>0.23057324666061338</v>
      </c>
      <c r="G1931" s="2890">
        <v>361.12386969012368</v>
      </c>
    </row>
    <row r="1932" spans="2:7" ht="15" hidden="1" outlineLevel="2">
      <c r="B1932" s="2889" t="s">
        <v>1652</v>
      </c>
      <c r="C1932" s="2889" t="s">
        <v>1577</v>
      </c>
      <c r="D1932" s="2889" t="s">
        <v>1559</v>
      </c>
      <c r="E1932" s="2889" t="s">
        <v>217</v>
      </c>
      <c r="F1932" s="3039">
        <v>0.36394416270588015</v>
      </c>
      <c r="G1932" s="2890">
        <v>570.00982970278562</v>
      </c>
    </row>
    <row r="1933" spans="2:7" ht="15" hidden="1" outlineLevel="2">
      <c r="B1933" s="2889" t="s">
        <v>1653</v>
      </c>
      <c r="C1933" s="2889" t="s">
        <v>1577</v>
      </c>
      <c r="D1933" s="2889" t="s">
        <v>1559</v>
      </c>
      <c r="E1933" s="2889" t="s">
        <v>217</v>
      </c>
      <c r="F1933" s="3039">
        <v>0.41133488746687435</v>
      </c>
      <c r="G1933" s="2890">
        <v>640.81786967908135</v>
      </c>
    </row>
    <row r="1934" spans="2:7" ht="15" hidden="1" outlineLevel="2">
      <c r="B1934" s="2889" t="s">
        <v>1407</v>
      </c>
      <c r="C1934" s="2889" t="s">
        <v>1578</v>
      </c>
      <c r="D1934" s="2889" t="s">
        <v>1559</v>
      </c>
      <c r="E1934" s="2889" t="s">
        <v>217</v>
      </c>
      <c r="F1934" s="3039">
        <v>0.11537054485283946</v>
      </c>
      <c r="G1934" s="2890">
        <v>62.005873852062422</v>
      </c>
    </row>
    <row r="1935" spans="2:7" ht="15" hidden="1" outlineLevel="2">
      <c r="B1935" s="2889" t="s">
        <v>1631</v>
      </c>
      <c r="C1935" s="2889" t="s">
        <v>1578</v>
      </c>
      <c r="D1935" s="2889" t="s">
        <v>1559</v>
      </c>
      <c r="E1935" s="2889" t="s">
        <v>217</v>
      </c>
      <c r="F1935" s="3039">
        <v>0.68608543389834287</v>
      </c>
      <c r="G1935" s="2890">
        <v>365.34283663543698</v>
      </c>
    </row>
    <row r="1936" spans="2:7" ht="15" hidden="1" outlineLevel="2">
      <c r="B1936" s="2889" t="s">
        <v>1632</v>
      </c>
      <c r="C1936" s="2889" t="s">
        <v>1578</v>
      </c>
      <c r="D1936" s="2889" t="s">
        <v>1559</v>
      </c>
      <c r="E1936" s="2889" t="s">
        <v>217</v>
      </c>
      <c r="F1936" s="3039">
        <v>1.1104102870692962</v>
      </c>
      <c r="G1936" s="2890">
        <v>605.33389073765272</v>
      </c>
    </row>
    <row r="1937" spans="2:7" ht="15" hidden="1" outlineLevel="2">
      <c r="B1937" s="2889" t="s">
        <v>1633</v>
      </c>
      <c r="C1937" s="2889" t="s">
        <v>1578</v>
      </c>
      <c r="D1937" s="2889" t="s">
        <v>1559</v>
      </c>
      <c r="E1937" s="2889" t="s">
        <v>217</v>
      </c>
      <c r="F1937" s="3039">
        <v>0.10167822909418223</v>
      </c>
      <c r="G1937" s="2890">
        <v>55.87171953239497</v>
      </c>
    </row>
    <row r="1938" spans="2:7" ht="15" hidden="1" outlineLevel="2">
      <c r="B1938" s="2889" t="s">
        <v>1634</v>
      </c>
      <c r="C1938" s="2889" t="s">
        <v>1578</v>
      </c>
      <c r="D1938" s="2889" t="s">
        <v>1559</v>
      </c>
      <c r="E1938" s="2889" t="s">
        <v>217</v>
      </c>
      <c r="F1938" s="3039">
        <v>3.3393031620181911E-36</v>
      </c>
      <c r="G1938" s="2890">
        <v>1.8280546195799491E-33</v>
      </c>
    </row>
    <row r="1939" spans="2:7" ht="15" hidden="1" outlineLevel="2">
      <c r="B1939" s="2889" t="s">
        <v>1635</v>
      </c>
      <c r="C1939" s="2889" t="s">
        <v>1578</v>
      </c>
      <c r="D1939" s="2889" t="s">
        <v>1559</v>
      </c>
      <c r="E1939" s="2889" t="s">
        <v>217</v>
      </c>
      <c r="F1939" s="3039">
        <v>0.19799731732531417</v>
      </c>
      <c r="G1939" s="2890">
        <v>107.93695448120063</v>
      </c>
    </row>
    <row r="1940" spans="2:7" ht="15" hidden="1" outlineLevel="2">
      <c r="B1940" s="2889" t="s">
        <v>1636</v>
      </c>
      <c r="C1940" s="2889" t="s">
        <v>1578</v>
      </c>
      <c r="D1940" s="2889" t="s">
        <v>1559</v>
      </c>
      <c r="E1940" s="2889" t="s">
        <v>217</v>
      </c>
      <c r="F1940" s="3039">
        <v>0.12568791349838898</v>
      </c>
      <c r="G1940" s="2890">
        <v>68.485562519634001</v>
      </c>
    </row>
    <row r="1941" spans="2:7" ht="15" hidden="1" outlineLevel="2">
      <c r="B1941" s="2889" t="s">
        <v>1637</v>
      </c>
      <c r="C1941" s="2889" t="s">
        <v>1578</v>
      </c>
      <c r="D1941" s="2889" t="s">
        <v>1559</v>
      </c>
      <c r="E1941" s="2889" t="s">
        <v>217</v>
      </c>
      <c r="F1941" s="2890">
        <v>0.16104618287691144</v>
      </c>
      <c r="G1941" s="2890">
        <v>88.494067723472384</v>
      </c>
    </row>
    <row r="1942" spans="2:7" ht="15" hidden="1" outlineLevel="2">
      <c r="B1942" s="2889" t="s">
        <v>1638</v>
      </c>
      <c r="C1942" s="2889" t="s">
        <v>1578</v>
      </c>
      <c r="D1942" s="2889" t="s">
        <v>1559</v>
      </c>
      <c r="E1942" s="2889" t="s">
        <v>217</v>
      </c>
      <c r="F1942" s="2890">
        <v>4.926109764354625E-35</v>
      </c>
      <c r="G1942" s="2890">
        <v>2.6967279111944965E-32</v>
      </c>
    </row>
    <row r="1943" spans="2:7" ht="15" hidden="1" outlineLevel="2">
      <c r="B1943" s="2889" t="s">
        <v>1639</v>
      </c>
      <c r="C1943" s="2889" t="s">
        <v>1578</v>
      </c>
      <c r="D1943" s="2889" t="s">
        <v>1559</v>
      </c>
      <c r="E1943" s="2889" t="s">
        <v>217</v>
      </c>
      <c r="F1943" s="3039">
        <v>0.26918847484459324</v>
      </c>
      <c r="G1943" s="2890">
        <v>147.91797758700082</v>
      </c>
    </row>
    <row r="1944" spans="2:7" ht="15" hidden="1" outlineLevel="2">
      <c r="B1944" s="2889" t="s">
        <v>1640</v>
      </c>
      <c r="C1944" s="2889" t="s">
        <v>1578</v>
      </c>
      <c r="D1944" s="2889" t="s">
        <v>1559</v>
      </c>
      <c r="E1944" s="2889" t="s">
        <v>217</v>
      </c>
      <c r="F1944" s="2890">
        <v>6.0479441619014168E-2</v>
      </c>
      <c r="G1944" s="2890">
        <v>32.504665878505016</v>
      </c>
    </row>
    <row r="1945" spans="2:7" ht="15" hidden="1" outlineLevel="2">
      <c r="B1945" s="2889" t="s">
        <v>1641</v>
      </c>
      <c r="C1945" s="2889" t="s">
        <v>1578</v>
      </c>
      <c r="D1945" s="2889" t="s">
        <v>1559</v>
      </c>
      <c r="E1945" s="2889" t="s">
        <v>217</v>
      </c>
      <c r="F1945" s="2890">
        <v>0.30193257215287922</v>
      </c>
      <c r="G1945" s="2890">
        <v>164.59647704621688</v>
      </c>
    </row>
    <row r="1946" spans="2:7" ht="15" hidden="1" outlineLevel="2">
      <c r="B1946" s="2889" t="s">
        <v>1642</v>
      </c>
      <c r="C1946" s="2889" t="s">
        <v>1578</v>
      </c>
      <c r="D1946" s="2889" t="s">
        <v>1559</v>
      </c>
      <c r="E1946" s="2889" t="s">
        <v>217</v>
      </c>
      <c r="F1946" s="2890">
        <v>0.33654243101702325</v>
      </c>
      <c r="G1946" s="2890">
        <v>183.46401155362759</v>
      </c>
    </row>
    <row r="1947" spans="2:7" ht="15" hidden="1" outlineLevel="2">
      <c r="B1947" s="2889" t="s">
        <v>1643</v>
      </c>
      <c r="C1947" s="2889" t="s">
        <v>1578</v>
      </c>
      <c r="D1947" s="2889" t="s">
        <v>1559</v>
      </c>
      <c r="E1947" s="2889" t="s">
        <v>217</v>
      </c>
      <c r="F1947" s="2890">
        <v>6.0537878097586012E-2</v>
      </c>
      <c r="G1947" s="2890">
        <v>32.976863760951225</v>
      </c>
    </row>
    <row r="1948" spans="2:7" ht="15" hidden="1" outlineLevel="2">
      <c r="B1948" s="2889" t="s">
        <v>1644</v>
      </c>
      <c r="C1948" s="2889" t="s">
        <v>1578</v>
      </c>
      <c r="D1948" s="2889" t="s">
        <v>1559</v>
      </c>
      <c r="E1948" s="2889" t="s">
        <v>217</v>
      </c>
      <c r="F1948" s="2890">
        <v>1.1923395344509016</v>
      </c>
      <c r="G1948" s="2890">
        <v>655.18506109760767</v>
      </c>
    </row>
    <row r="1949" spans="2:7" ht="15" hidden="1" outlineLevel="2">
      <c r="B1949" s="2889" t="s">
        <v>1645</v>
      </c>
      <c r="C1949" s="2889" t="s">
        <v>1578</v>
      </c>
      <c r="D1949" s="2889" t="s">
        <v>1559</v>
      </c>
      <c r="E1949" s="2889" t="s">
        <v>217</v>
      </c>
      <c r="F1949" s="2890">
        <v>1.0673596003268115</v>
      </c>
      <c r="G1949" s="2890">
        <v>586.50965129724523</v>
      </c>
    </row>
    <row r="1950" spans="2:7" ht="15" hidden="1" outlineLevel="2">
      <c r="B1950" s="2889" t="s">
        <v>1646</v>
      </c>
      <c r="C1950" s="2889" t="s">
        <v>1578</v>
      </c>
      <c r="D1950" s="2889" t="s">
        <v>1559</v>
      </c>
      <c r="E1950" s="2889" t="s">
        <v>217</v>
      </c>
      <c r="F1950" s="2890">
        <v>8.3108095202818622E-34</v>
      </c>
      <c r="G1950" s="2890">
        <v>4.5305901526367279E-31</v>
      </c>
    </row>
    <row r="1951" spans="2:7" ht="15" hidden="1" outlineLevel="2">
      <c r="B1951" s="2889" t="s">
        <v>1647</v>
      </c>
      <c r="C1951" s="2889" t="s">
        <v>1578</v>
      </c>
      <c r="D1951" s="2889" t="s">
        <v>1559</v>
      </c>
      <c r="E1951" s="2889" t="s">
        <v>217</v>
      </c>
      <c r="F1951" s="2890">
        <v>0.12429447884932329</v>
      </c>
      <c r="G1951" s="2890">
        <v>68.043151022259863</v>
      </c>
    </row>
    <row r="1952" spans="2:7" ht="15" hidden="1" outlineLevel="2">
      <c r="B1952" s="2889" t="s">
        <v>1648</v>
      </c>
      <c r="C1952" s="2889" t="s">
        <v>1578</v>
      </c>
      <c r="D1952" s="2889" t="s">
        <v>1559</v>
      </c>
      <c r="E1952" s="2889" t="s">
        <v>217</v>
      </c>
      <c r="F1952" s="2890">
        <v>8.1651856097961584E-37</v>
      </c>
      <c r="G1952" s="2890">
        <v>4.4699090569433649E-34</v>
      </c>
    </row>
    <row r="1953" spans="2:7" ht="15" hidden="1" outlineLevel="2">
      <c r="B1953" s="2889" t="s">
        <v>1649</v>
      </c>
      <c r="C1953" s="2889" t="s">
        <v>1578</v>
      </c>
      <c r="D1953" s="2889" t="s">
        <v>1559</v>
      </c>
      <c r="E1953" s="2889" t="s">
        <v>217</v>
      </c>
      <c r="F1953" s="2890">
        <v>2.0510680705289451E-31</v>
      </c>
      <c r="G1953" s="2890">
        <v>1.1228300050502855E-28</v>
      </c>
    </row>
    <row r="1954" spans="2:7" ht="15" hidden="1" outlineLevel="2">
      <c r="B1954" s="2889" t="s">
        <v>1650</v>
      </c>
      <c r="C1954" s="2889" t="s">
        <v>1578</v>
      </c>
      <c r="D1954" s="2889" t="s">
        <v>1559</v>
      </c>
      <c r="E1954" s="2889" t="s">
        <v>217</v>
      </c>
      <c r="F1954" s="2890">
        <v>0.19168623490243339</v>
      </c>
      <c r="G1954" s="2890">
        <v>103.02151092300956</v>
      </c>
    </row>
    <row r="1955" spans="2:7" ht="15" hidden="1" outlineLevel="2">
      <c r="B1955" s="2889" t="s">
        <v>1651</v>
      </c>
      <c r="C1955" s="2889" t="s">
        <v>1578</v>
      </c>
      <c r="D1955" s="2889" t="s">
        <v>1559</v>
      </c>
      <c r="E1955" s="2889" t="s">
        <v>217</v>
      </c>
      <c r="F1955" s="2890">
        <v>1.37655811414E-32</v>
      </c>
      <c r="G1955" s="2890">
        <v>7.5309819200000002E-30</v>
      </c>
    </row>
    <row r="1956" spans="2:7" ht="15" hidden="1" outlineLevel="2">
      <c r="B1956" s="2889" t="s">
        <v>1652</v>
      </c>
      <c r="C1956" s="2889" t="s">
        <v>1578</v>
      </c>
      <c r="D1956" s="2889" t="s">
        <v>1559</v>
      </c>
      <c r="E1956" s="2889" t="s">
        <v>217</v>
      </c>
      <c r="F1956" s="2890">
        <v>8.1607757153999983E-37</v>
      </c>
      <c r="G1956" s="2890">
        <v>4.4696465880000001E-34</v>
      </c>
    </row>
    <row r="1957" spans="2:7" ht="15" hidden="1" outlineLevel="2">
      <c r="B1957" s="2889" t="s">
        <v>1653</v>
      </c>
      <c r="C1957" s="2889" t="s">
        <v>1578</v>
      </c>
      <c r="D1957" s="2889" t="s">
        <v>1559</v>
      </c>
      <c r="E1957" s="2889" t="s">
        <v>217</v>
      </c>
      <c r="F1957" s="2890">
        <v>1.0317800098780574</v>
      </c>
      <c r="G1957" s="2890">
        <v>562.46872865603495</v>
      </c>
    </row>
    <row r="1958" spans="2:7" ht="15" hidden="1" outlineLevel="2">
      <c r="B1958" s="2889" t="s">
        <v>1407</v>
      </c>
      <c r="C1958" s="2889" t="s">
        <v>1579</v>
      </c>
      <c r="D1958" s="2889" t="s">
        <v>1559</v>
      </c>
      <c r="E1958" s="2889" t="s">
        <v>217</v>
      </c>
      <c r="F1958" s="2890">
        <v>5.69852747144367E-2</v>
      </c>
      <c r="G1958" s="2890">
        <v>30.629543562713476</v>
      </c>
    </row>
    <row r="1959" spans="2:7" ht="15" hidden="1" outlineLevel="2">
      <c r="B1959" s="2889" t="s">
        <v>1631</v>
      </c>
      <c r="C1959" s="2889" t="s">
        <v>1579</v>
      </c>
      <c r="D1959" s="2889" t="s">
        <v>1559</v>
      </c>
      <c r="E1959" s="2889" t="s">
        <v>217</v>
      </c>
      <c r="F1959" s="2890">
        <v>2.7561703273802154</v>
      </c>
      <c r="G1959" s="2890">
        <v>1467.76969866736</v>
      </c>
    </row>
    <row r="1960" spans="2:7" ht="15" hidden="1" outlineLevel="2">
      <c r="B1960" s="2889" t="s">
        <v>1632</v>
      </c>
      <c r="C1960" s="2889" t="s">
        <v>1579</v>
      </c>
      <c r="D1960" s="2889" t="s">
        <v>1559</v>
      </c>
      <c r="E1960" s="2889" t="s">
        <v>217</v>
      </c>
      <c r="F1960" s="2890">
        <v>3.2367750719120587</v>
      </c>
      <c r="G1960" s="2890">
        <v>1764.26212877904</v>
      </c>
    </row>
    <row r="1961" spans="2:7" ht="15" hidden="1" outlineLevel="2">
      <c r="B1961" s="2889" t="s">
        <v>1633</v>
      </c>
      <c r="C1961" s="2889" t="s">
        <v>1579</v>
      </c>
      <c r="D1961" s="2889" t="s">
        <v>1559</v>
      </c>
      <c r="E1961" s="2889" t="s">
        <v>217</v>
      </c>
      <c r="F1961" s="2890">
        <v>0.19177843132987421</v>
      </c>
      <c r="G1961" s="2890">
        <v>105.36567143090613</v>
      </c>
    </row>
    <row r="1962" spans="2:7" ht="15" hidden="1" outlineLevel="2">
      <c r="B1962" s="2889" t="s">
        <v>1634</v>
      </c>
      <c r="C1962" s="2889" t="s">
        <v>1579</v>
      </c>
      <c r="D1962" s="2889" t="s">
        <v>1559</v>
      </c>
      <c r="E1962" s="2889" t="s">
        <v>217</v>
      </c>
      <c r="F1962" s="2890">
        <v>1.9387143840960953E-34</v>
      </c>
      <c r="G1962" s="2890">
        <v>1.0613883623866215E-31</v>
      </c>
    </row>
    <row r="1963" spans="2:7" ht="15" hidden="1" outlineLevel="2">
      <c r="B1963" s="2889" t="s">
        <v>1635</v>
      </c>
      <c r="C1963" s="2889" t="s">
        <v>1579</v>
      </c>
      <c r="D1963" s="2889" t="s">
        <v>1559</v>
      </c>
      <c r="E1963" s="2889" t="s">
        <v>217</v>
      </c>
      <c r="F1963" s="2890">
        <v>1.0204839371501615</v>
      </c>
      <c r="G1963" s="2890">
        <v>556.23243276425001</v>
      </c>
    </row>
    <row r="1964" spans="2:7" ht="15" hidden="1" outlineLevel="2">
      <c r="B1964" s="2889" t="s">
        <v>1636</v>
      </c>
      <c r="C1964" s="2889" t="s">
        <v>1579</v>
      </c>
      <c r="D1964" s="2889" t="s">
        <v>1559</v>
      </c>
      <c r="E1964" s="2889" t="s">
        <v>217</v>
      </c>
      <c r="F1964" s="3039">
        <v>0.13267653081254621</v>
      </c>
      <c r="G1964" s="2890">
        <v>72.285757447234374</v>
      </c>
    </row>
    <row r="1965" spans="2:7" ht="15" hidden="1" outlineLevel="2">
      <c r="B1965" s="2889" t="s">
        <v>1637</v>
      </c>
      <c r="C1965" s="2889" t="s">
        <v>1579</v>
      </c>
      <c r="D1965" s="2889" t="s">
        <v>1559</v>
      </c>
      <c r="E1965" s="2889" t="s">
        <v>217</v>
      </c>
      <c r="F1965" s="3039">
        <v>0.27651770406334297</v>
      </c>
      <c r="G1965" s="2890">
        <v>151.9228297789748</v>
      </c>
    </row>
    <row r="1966" spans="2:7" ht="15" hidden="1" outlineLevel="2">
      <c r="B1966" s="2889" t="s">
        <v>1638</v>
      </c>
      <c r="C1966" s="2889" t="s">
        <v>1579</v>
      </c>
      <c r="D1966" s="2889" t="s">
        <v>1559</v>
      </c>
      <c r="E1966" s="2889" t="s">
        <v>217</v>
      </c>
      <c r="F1966" s="3039">
        <v>4.2542909981863441E-32</v>
      </c>
      <c r="G1966" s="2890">
        <v>2.3290931510745778E-29</v>
      </c>
    </row>
    <row r="1967" spans="2:7" ht="15" hidden="1" outlineLevel="2">
      <c r="B1967" s="2889" t="s">
        <v>1639</v>
      </c>
      <c r="C1967" s="2889" t="s">
        <v>1579</v>
      </c>
      <c r="D1967" s="2889" t="s">
        <v>1559</v>
      </c>
      <c r="E1967" s="2889" t="s">
        <v>217</v>
      </c>
      <c r="F1967" s="3039">
        <v>1.6814036878707881</v>
      </c>
      <c r="G1967" s="2890">
        <v>923.78734075693308</v>
      </c>
    </row>
    <row r="1968" spans="2:7" ht="15" hidden="1" outlineLevel="2">
      <c r="B1968" s="2889" t="s">
        <v>1640</v>
      </c>
      <c r="C1968" s="2889" t="s">
        <v>1579</v>
      </c>
      <c r="D1968" s="2889" t="s">
        <v>1559</v>
      </c>
      <c r="E1968" s="2889" t="s">
        <v>217</v>
      </c>
      <c r="F1968" s="3039">
        <v>0.27808848736790559</v>
      </c>
      <c r="G1968" s="2890">
        <v>149.47205772964566</v>
      </c>
    </row>
    <row r="1969" spans="2:7" ht="15" hidden="1" outlineLevel="2">
      <c r="B1969" s="2889" t="s">
        <v>1641</v>
      </c>
      <c r="C1969" s="2889" t="s">
        <v>1579</v>
      </c>
      <c r="D1969" s="2889" t="s">
        <v>1559</v>
      </c>
      <c r="E1969" s="2889" t="s">
        <v>217</v>
      </c>
      <c r="F1969" s="3039">
        <v>0.7440087796508823</v>
      </c>
      <c r="G1969" s="2890">
        <v>405.5352792533298</v>
      </c>
    </row>
    <row r="1970" spans="2:7" ht="15" hidden="1" outlineLevel="2">
      <c r="B1970" s="2889" t="s">
        <v>1642</v>
      </c>
      <c r="C1970" s="2889" t="s">
        <v>1579</v>
      </c>
      <c r="D1970" s="2889" t="s">
        <v>1559</v>
      </c>
      <c r="E1970" s="2889" t="s">
        <v>217</v>
      </c>
      <c r="F1970" s="2890">
        <v>2.1893172602242026</v>
      </c>
      <c r="G1970" s="2890">
        <v>1193.3272516836</v>
      </c>
    </row>
    <row r="1971" spans="2:7" ht="15" hidden="1" outlineLevel="2">
      <c r="B1971" s="2889" t="s">
        <v>1643</v>
      </c>
      <c r="C1971" s="2889" t="s">
        <v>1579</v>
      </c>
      <c r="D1971" s="2889" t="s">
        <v>1559</v>
      </c>
      <c r="E1971" s="2889" t="s">
        <v>217</v>
      </c>
      <c r="F1971" s="2890">
        <v>0.23511595442515848</v>
      </c>
      <c r="G1971" s="2890">
        <v>128.08168428513736</v>
      </c>
    </row>
    <row r="1972" spans="2:7" ht="15" hidden="1" outlineLevel="2">
      <c r="B1972" s="2889" t="s">
        <v>1644</v>
      </c>
      <c r="C1972" s="2889" t="s">
        <v>1579</v>
      </c>
      <c r="D1972" s="2889" t="s">
        <v>1559</v>
      </c>
      <c r="E1972" s="2889" t="s">
        <v>217</v>
      </c>
      <c r="F1972" s="2890">
        <v>6.64087649387365</v>
      </c>
      <c r="G1972" s="2890">
        <v>3648.5907794703398</v>
      </c>
    </row>
    <row r="1973" spans="2:7" ht="15" hidden="1" outlineLevel="2">
      <c r="B1973" s="2889" t="s">
        <v>1645</v>
      </c>
      <c r="C1973" s="2889" t="s">
        <v>1579</v>
      </c>
      <c r="D1973" s="2889" t="s">
        <v>1559</v>
      </c>
      <c r="E1973" s="2889" t="s">
        <v>217</v>
      </c>
      <c r="F1973" s="2890">
        <v>3.2446194431459134</v>
      </c>
      <c r="G1973" s="2890">
        <v>1782.64103600308</v>
      </c>
    </row>
    <row r="1974" spans="2:7" ht="15" hidden="1" outlineLevel="2">
      <c r="B1974" s="2889" t="s">
        <v>1646</v>
      </c>
      <c r="C1974" s="2889" t="s">
        <v>1579</v>
      </c>
      <c r="D1974" s="2889" t="s">
        <v>1559</v>
      </c>
      <c r="E1974" s="2889" t="s">
        <v>217</v>
      </c>
      <c r="F1974" s="2890">
        <v>1.4166399937974588E-33</v>
      </c>
      <c r="G1974" s="2890">
        <v>7.7216496175236661E-31</v>
      </c>
    </row>
    <row r="1975" spans="2:7" ht="15" hidden="1" outlineLevel="2">
      <c r="B1975" s="2889" t="s">
        <v>1647</v>
      </c>
      <c r="C1975" s="2889" t="s">
        <v>1579</v>
      </c>
      <c r="D1975" s="2889" t="s">
        <v>1559</v>
      </c>
      <c r="E1975" s="2889" t="s">
        <v>217</v>
      </c>
      <c r="F1975" s="2890">
        <v>0.16336654200826356</v>
      </c>
      <c r="G1975" s="2890">
        <v>89.43825773316091</v>
      </c>
    </row>
    <row r="1976" spans="2:7" ht="15" hidden="1" outlineLevel="2">
      <c r="B1976" s="2889" t="s">
        <v>1648</v>
      </c>
      <c r="C1976" s="2889" t="s">
        <v>1579</v>
      </c>
      <c r="D1976" s="2889" t="s">
        <v>1559</v>
      </c>
      <c r="E1976" s="2889" t="s">
        <v>217</v>
      </c>
      <c r="F1976" s="2890">
        <v>1.0468794339311338E-32</v>
      </c>
      <c r="G1976" s="2890">
        <v>5.731359529755185E-30</v>
      </c>
    </row>
    <row r="1977" spans="2:7" ht="15" hidden="1" outlineLevel="2">
      <c r="B1977" s="2889" t="s">
        <v>1649</v>
      </c>
      <c r="C1977" s="2889" t="s">
        <v>1579</v>
      </c>
      <c r="D1977" s="2889" t="s">
        <v>1559</v>
      </c>
      <c r="E1977" s="2889" t="s">
        <v>217</v>
      </c>
      <c r="F1977" s="2890">
        <v>6.83532789803876E-31</v>
      </c>
      <c r="G1977" s="2890">
        <v>3.7421352554373352E-28</v>
      </c>
    </row>
    <row r="1978" spans="2:7" ht="15" hidden="1" outlineLevel="2">
      <c r="B1978" s="2889" t="s">
        <v>1650</v>
      </c>
      <c r="C1978" s="2889" t="s">
        <v>1579</v>
      </c>
      <c r="D1978" s="2889" t="s">
        <v>1559</v>
      </c>
      <c r="E1978" s="2889" t="s">
        <v>217</v>
      </c>
      <c r="F1978" s="2890">
        <v>0.51514701888428027</v>
      </c>
      <c r="G1978" s="2890">
        <v>276.8908339959446</v>
      </c>
    </row>
    <row r="1979" spans="2:7" ht="15" hidden="1" outlineLevel="2">
      <c r="B1979" s="2889" t="s">
        <v>1651</v>
      </c>
      <c r="C1979" s="2889" t="s">
        <v>1579</v>
      </c>
      <c r="D1979" s="2889" t="s">
        <v>1559</v>
      </c>
      <c r="E1979" s="2889" t="s">
        <v>217</v>
      </c>
      <c r="F1979" s="2890">
        <v>1.17714141666E-32</v>
      </c>
      <c r="G1979" s="2890">
        <v>6.4383722479999999E-30</v>
      </c>
    </row>
    <row r="1980" spans="2:7" ht="15" hidden="1" outlineLevel="2">
      <c r="B1980" s="2889" t="s">
        <v>1652</v>
      </c>
      <c r="C1980" s="2889" t="s">
        <v>1579</v>
      </c>
      <c r="D1980" s="2889" t="s">
        <v>1559</v>
      </c>
      <c r="E1980" s="2889" t="s">
        <v>217</v>
      </c>
      <c r="F1980" s="2890">
        <v>1.04877300792E-32</v>
      </c>
      <c r="G1980" s="2890">
        <v>5.7291459939999999E-30</v>
      </c>
    </row>
    <row r="1981" spans="2:7" ht="15" hidden="1" outlineLevel="2">
      <c r="B1981" s="2889" t="s">
        <v>1653</v>
      </c>
      <c r="C1981" s="2889" t="s">
        <v>1579</v>
      </c>
      <c r="D1981" s="2889" t="s">
        <v>1559</v>
      </c>
      <c r="E1981" s="2889" t="s">
        <v>217</v>
      </c>
      <c r="F1981" s="2890">
        <v>0.40684459846971199</v>
      </c>
      <c r="G1981" s="2890">
        <v>221.75802689360029</v>
      </c>
    </row>
    <row r="1982" spans="2:7" ht="15" hidden="1" outlineLevel="2">
      <c r="B1982" s="2889" t="s">
        <v>1407</v>
      </c>
      <c r="C1982" s="2889" t="s">
        <v>1580</v>
      </c>
      <c r="D1982" s="2889" t="s">
        <v>1559</v>
      </c>
      <c r="E1982" s="2889" t="s">
        <v>217</v>
      </c>
      <c r="F1982" s="2890">
        <v>8.9366902994803918E-2</v>
      </c>
      <c r="G1982" s="2890">
        <v>112.70001138933979</v>
      </c>
    </row>
    <row r="1983" spans="2:7" ht="15" hidden="1" outlineLevel="2">
      <c r="B1983" s="2889" t="s">
        <v>1631</v>
      </c>
      <c r="C1983" s="2889" t="s">
        <v>1580</v>
      </c>
      <c r="D1983" s="2889" t="s">
        <v>1559</v>
      </c>
      <c r="E1983" s="2889" t="s">
        <v>217</v>
      </c>
      <c r="F1983" s="2890">
        <v>0.53219751372268875</v>
      </c>
      <c r="G1983" s="2890">
        <v>664.03640313747076</v>
      </c>
    </row>
    <row r="1984" spans="2:7" ht="15" hidden="1" outlineLevel="2">
      <c r="B1984" s="2889" t="s">
        <v>1632</v>
      </c>
      <c r="C1984" s="2889" t="s">
        <v>1580</v>
      </c>
      <c r="D1984" s="2889" t="s">
        <v>1559</v>
      </c>
      <c r="E1984" s="2889" t="s">
        <v>217</v>
      </c>
      <c r="F1984" s="2890">
        <v>0.87127052083559386</v>
      </c>
      <c r="G1984" s="2890">
        <v>1100.2367006424929</v>
      </c>
    </row>
    <row r="1985" spans="2:7" ht="15" hidden="1" outlineLevel="2">
      <c r="B1985" s="2889" t="s">
        <v>1633</v>
      </c>
      <c r="C1985" s="2889" t="s">
        <v>1580</v>
      </c>
      <c r="D1985" s="2889" t="s">
        <v>1559</v>
      </c>
      <c r="E1985" s="2889" t="s">
        <v>217</v>
      </c>
      <c r="F1985" s="2890">
        <v>8.0174934272124687E-2</v>
      </c>
      <c r="G1985" s="2890">
        <v>101.55079946089609</v>
      </c>
    </row>
    <row r="1986" spans="2:7" ht="15" hidden="1" outlineLevel="2">
      <c r="B1986" s="2889" t="s">
        <v>1634</v>
      </c>
      <c r="C1986" s="2889" t="s">
        <v>1580</v>
      </c>
      <c r="D1986" s="2889" t="s">
        <v>1559</v>
      </c>
      <c r="E1986" s="2889" t="s">
        <v>217</v>
      </c>
      <c r="F1986" s="2890">
        <v>3.3337824951605012E-2</v>
      </c>
      <c r="G1986" s="2890">
        <v>42.326356548748251</v>
      </c>
    </row>
    <row r="1987" spans="2:7" ht="15" hidden="1" outlineLevel="2">
      <c r="B1987" s="2889" t="s">
        <v>1635</v>
      </c>
      <c r="C1987" s="2889" t="s">
        <v>1580</v>
      </c>
      <c r="D1987" s="2889" t="s">
        <v>1559</v>
      </c>
      <c r="E1987" s="2889" t="s">
        <v>217</v>
      </c>
      <c r="F1987" s="2890">
        <v>0.15535598180266397</v>
      </c>
      <c r="G1987" s="2890">
        <v>196.182905903061</v>
      </c>
    </row>
    <row r="1988" spans="2:7" ht="15" hidden="1" outlineLevel="2">
      <c r="B1988" s="2889" t="s">
        <v>1636</v>
      </c>
      <c r="C1988" s="2889" t="s">
        <v>1580</v>
      </c>
      <c r="D1988" s="2889" t="s">
        <v>1559</v>
      </c>
      <c r="E1988" s="2889" t="s">
        <v>217</v>
      </c>
      <c r="F1988" s="2890">
        <v>9.856198544708232E-2</v>
      </c>
      <c r="G1988" s="2890">
        <v>124.47733764400783</v>
      </c>
    </row>
    <row r="1989" spans="2:7" ht="15" hidden="1" outlineLevel="2">
      <c r="B1989" s="2889" t="s">
        <v>1637</v>
      </c>
      <c r="C1989" s="2889" t="s">
        <v>1580</v>
      </c>
      <c r="D1989" s="2889" t="s">
        <v>1559</v>
      </c>
      <c r="E1989" s="2889" t="s">
        <v>217</v>
      </c>
      <c r="F1989" s="2890">
        <v>0.12698746632131813</v>
      </c>
      <c r="G1989" s="2890">
        <v>160.84433535969191</v>
      </c>
    </row>
    <row r="1990" spans="2:7" ht="15" hidden="1" outlineLevel="2">
      <c r="B1990" s="2889" t="s">
        <v>1638</v>
      </c>
      <c r="C1990" s="2889" t="s">
        <v>1580</v>
      </c>
      <c r="D1990" s="2889" t="s">
        <v>1559</v>
      </c>
      <c r="E1990" s="2889" t="s">
        <v>217</v>
      </c>
      <c r="F1990" s="2890">
        <v>4.006191567012915E-2</v>
      </c>
      <c r="G1990" s="2890">
        <v>50.863388300478491</v>
      </c>
    </row>
    <row r="1991" spans="2:7" ht="15" hidden="1" outlineLevel="2">
      <c r="B1991" s="2889" t="s">
        <v>1639</v>
      </c>
      <c r="C1991" s="2889" t="s">
        <v>1580</v>
      </c>
      <c r="D1991" s="2889" t="s">
        <v>1559</v>
      </c>
      <c r="E1991" s="2889" t="s">
        <v>217</v>
      </c>
      <c r="F1991" s="2890">
        <v>0.21225980786290205</v>
      </c>
      <c r="G1991" s="2890">
        <v>268.85142034310883</v>
      </c>
    </row>
    <row r="1992" spans="2:7" ht="15" hidden="1" outlineLevel="2">
      <c r="B1992" s="2889" t="s">
        <v>1640</v>
      </c>
      <c r="C1992" s="2889" t="s">
        <v>1580</v>
      </c>
      <c r="D1992" s="2889" t="s">
        <v>1559</v>
      </c>
      <c r="E1992" s="2889" t="s">
        <v>217</v>
      </c>
      <c r="F1992" s="2890">
        <v>4.6847838437631295E-2</v>
      </c>
      <c r="G1992" s="2890">
        <v>59.079533733075046</v>
      </c>
    </row>
    <row r="1993" spans="2:7" ht="15" hidden="1" outlineLevel="2">
      <c r="B1993" s="2889" t="s">
        <v>1641</v>
      </c>
      <c r="C1993" s="2889" t="s">
        <v>1580</v>
      </c>
      <c r="D1993" s="2889" t="s">
        <v>1559</v>
      </c>
      <c r="E1993" s="2889" t="s">
        <v>217</v>
      </c>
      <c r="F1993" s="2890">
        <v>0.23690754717201495</v>
      </c>
      <c r="G1993" s="2890">
        <v>299.16579975151268</v>
      </c>
    </row>
    <row r="1994" spans="2:7" ht="15" hidden="1" outlineLevel="2">
      <c r="B1994" s="2889" t="s">
        <v>1642</v>
      </c>
      <c r="C1994" s="2889" t="s">
        <v>1580</v>
      </c>
      <c r="D1994" s="2889" t="s">
        <v>1559</v>
      </c>
      <c r="E1994" s="2889" t="s">
        <v>217</v>
      </c>
      <c r="F1994" s="2890">
        <v>0.26406404199581851</v>
      </c>
      <c r="G1994" s="2890">
        <v>333.45892716844122</v>
      </c>
    </row>
    <row r="1995" spans="2:7" ht="15" hidden="1" outlineLevel="2">
      <c r="B1995" s="2889" t="s">
        <v>1643</v>
      </c>
      <c r="C1995" s="2889" t="s">
        <v>1580</v>
      </c>
      <c r="D1995" s="2889" t="s">
        <v>1559</v>
      </c>
      <c r="E1995" s="2889" t="s">
        <v>217</v>
      </c>
      <c r="F1995" s="2890">
        <v>4.2054708213339613E-2</v>
      </c>
      <c r="G1995" s="2890">
        <v>53.035479412779203</v>
      </c>
    </row>
    <row r="1996" spans="2:7" ht="15" hidden="1" outlineLevel="2">
      <c r="B1996" s="2889" t="s">
        <v>1644</v>
      </c>
      <c r="C1996" s="2889" t="s">
        <v>1580</v>
      </c>
      <c r="D1996" s="2889" t="s">
        <v>1559</v>
      </c>
      <c r="E1996" s="2889" t="s">
        <v>217</v>
      </c>
      <c r="F1996" s="2890">
        <v>0.94017933742189774</v>
      </c>
      <c r="G1996" s="2890">
        <v>1190.8451641301654</v>
      </c>
    </row>
    <row r="1997" spans="2:7" ht="15" hidden="1" outlineLevel="2">
      <c r="B1997" s="2889" t="s">
        <v>1645</v>
      </c>
      <c r="C1997" s="2889" t="s">
        <v>1580</v>
      </c>
      <c r="D1997" s="2889" t="s">
        <v>1559</v>
      </c>
      <c r="E1997" s="2889" t="s">
        <v>217</v>
      </c>
      <c r="F1997" s="2890">
        <v>0.84163135812168632</v>
      </c>
      <c r="G1997" s="2890">
        <v>1066.0232742313394</v>
      </c>
    </row>
    <row r="1998" spans="2:7" ht="15" hidden="1" outlineLevel="2">
      <c r="B1998" s="2889" t="s">
        <v>1646</v>
      </c>
      <c r="C1998" s="2889" t="s">
        <v>1580</v>
      </c>
      <c r="D1998" s="2889" t="s">
        <v>1559</v>
      </c>
      <c r="E1998" s="2889" t="s">
        <v>217</v>
      </c>
      <c r="F1998" s="2890">
        <v>4.7937858050997498E-2</v>
      </c>
      <c r="G1998" s="2890">
        <v>60.53571396103542</v>
      </c>
    </row>
    <row r="1999" spans="2:7" ht="15" hidden="1" outlineLevel="2">
      <c r="B1999" s="2889" t="s">
        <v>1647</v>
      </c>
      <c r="C1999" s="2889" t="s">
        <v>1580</v>
      </c>
      <c r="D1999" s="2889" t="s">
        <v>1559</v>
      </c>
      <c r="E1999" s="2889" t="s">
        <v>217</v>
      </c>
      <c r="F1999" s="2890">
        <v>9.7409732009237068E-2</v>
      </c>
      <c r="G1999" s="2890">
        <v>123.67324183576041</v>
      </c>
    </row>
    <row r="2000" spans="2:7" ht="15" hidden="1" outlineLevel="2">
      <c r="B2000" s="2889" t="s">
        <v>1648</v>
      </c>
      <c r="C2000" s="2889" t="s">
        <v>1580</v>
      </c>
      <c r="D2000" s="2889" t="s">
        <v>1559</v>
      </c>
      <c r="E2000" s="2889" t="s">
        <v>217</v>
      </c>
      <c r="F2000" s="2890">
        <v>2.732853017637182E-2</v>
      </c>
      <c r="G2000" s="2890">
        <v>34.69683652761907</v>
      </c>
    </row>
    <row r="2001" spans="2:7" ht="15" hidden="1" outlineLevel="2">
      <c r="B2001" s="2889" t="s">
        <v>1649</v>
      </c>
      <c r="C2001" s="2889" t="s">
        <v>1580</v>
      </c>
      <c r="D2001" s="2889" t="s">
        <v>1559</v>
      </c>
      <c r="E2001" s="2889" t="s">
        <v>217</v>
      </c>
      <c r="F2001" s="2890">
        <v>4.6413657475332819E-2</v>
      </c>
      <c r="G2001" s="2890">
        <v>58.927713612354559</v>
      </c>
    </row>
    <row r="2002" spans="2:7" ht="15" hidden="1" outlineLevel="2">
      <c r="B2002" s="2889" t="s">
        <v>1650</v>
      </c>
      <c r="C2002" s="2889" t="s">
        <v>1580</v>
      </c>
      <c r="D2002" s="2889" t="s">
        <v>1559</v>
      </c>
      <c r="E2002" s="2889" t="s">
        <v>217</v>
      </c>
      <c r="F2002" s="2890">
        <v>0.14848144090433579</v>
      </c>
      <c r="G2002" s="2890">
        <v>187.24908861449197</v>
      </c>
    </row>
    <row r="2003" spans="2:7" ht="15" hidden="1" outlineLevel="2">
      <c r="B2003" s="2889" t="s">
        <v>1651</v>
      </c>
      <c r="C2003" s="2889" t="s">
        <v>1580</v>
      </c>
      <c r="D2003" s="2889" t="s">
        <v>1559</v>
      </c>
      <c r="E2003" s="2889" t="s">
        <v>217</v>
      </c>
      <c r="F2003" s="2890">
        <v>9.6790038927871386E-2</v>
      </c>
      <c r="G2003" s="2890">
        <v>122.88653608905017</v>
      </c>
    </row>
    <row r="2004" spans="2:7" ht="15" hidden="1" outlineLevel="2">
      <c r="B2004" s="2889" t="s">
        <v>1652</v>
      </c>
      <c r="C2004" s="2889" t="s">
        <v>1580</v>
      </c>
      <c r="D2004" s="2889" t="s">
        <v>1559</v>
      </c>
      <c r="E2004" s="2889" t="s">
        <v>217</v>
      </c>
      <c r="F2004" s="2890">
        <v>0.13085901082179421</v>
      </c>
      <c r="G2004" s="2890">
        <v>166.14108081985549</v>
      </c>
    </row>
    <row r="2005" spans="2:7" ht="15" hidden="1" outlineLevel="2">
      <c r="B2005" s="2889" t="s">
        <v>1653</v>
      </c>
      <c r="C2005" s="2889" t="s">
        <v>1580</v>
      </c>
      <c r="D2005" s="2889" t="s">
        <v>1559</v>
      </c>
      <c r="E2005" s="2889" t="s">
        <v>217</v>
      </c>
      <c r="F2005" s="2890">
        <v>0.8095743227241492</v>
      </c>
      <c r="G2005" s="2890">
        <v>1022.3264008261222</v>
      </c>
    </row>
    <row r="2006" spans="2:7" ht="15" hidden="1" outlineLevel="2">
      <c r="B2006" s="2889" t="s">
        <v>1407</v>
      </c>
      <c r="C2006" s="2889" t="s">
        <v>1581</v>
      </c>
      <c r="D2006" s="2889" t="s">
        <v>1559</v>
      </c>
      <c r="E2006" s="2889" t="s">
        <v>217</v>
      </c>
      <c r="F2006" s="2890">
        <v>7.2663141006427548E-3</v>
      </c>
      <c r="G2006" s="2890">
        <v>10.225895357995777</v>
      </c>
    </row>
    <row r="2007" spans="2:7" ht="15" hidden="1" outlineLevel="2">
      <c r="B2007" s="2889" t="s">
        <v>1631</v>
      </c>
      <c r="C2007" s="2889" t="s">
        <v>1581</v>
      </c>
      <c r="D2007" s="2889" t="s">
        <v>1559</v>
      </c>
      <c r="E2007" s="2889" t="s">
        <v>217</v>
      </c>
      <c r="F2007" s="2890">
        <v>0.35193007134621079</v>
      </c>
      <c r="G2007" s="2890">
        <v>490.02546778289849</v>
      </c>
    </row>
    <row r="2008" spans="2:7" ht="15" hidden="1" outlineLevel="2">
      <c r="B2008" s="2889" t="s">
        <v>1632</v>
      </c>
      <c r="C2008" s="2889" t="s">
        <v>1581</v>
      </c>
      <c r="D2008" s="2889" t="s">
        <v>1559</v>
      </c>
      <c r="E2008" s="2889" t="s">
        <v>217</v>
      </c>
      <c r="F2008" s="2890">
        <v>0.41797817614791316</v>
      </c>
      <c r="G2008" s="2890">
        <v>589.01222461937959</v>
      </c>
    </row>
    <row r="2009" spans="2:7" ht="15" hidden="1" outlineLevel="2">
      <c r="B2009" s="2889" t="s">
        <v>1633</v>
      </c>
      <c r="C2009" s="2889" t="s">
        <v>1581</v>
      </c>
      <c r="D2009" s="2889" t="s">
        <v>1559</v>
      </c>
      <c r="E2009" s="2889" t="s">
        <v>217</v>
      </c>
      <c r="F2009" s="2890">
        <v>2.4886597389646922E-2</v>
      </c>
      <c r="G2009" s="2890">
        <v>35.177119872465511</v>
      </c>
    </row>
    <row r="2010" spans="2:7" ht="15" hidden="1" outlineLevel="2">
      <c r="B2010" s="2889" t="s">
        <v>1634</v>
      </c>
      <c r="C2010" s="2889" t="s">
        <v>1581</v>
      </c>
      <c r="D2010" s="2889" t="s">
        <v>1559</v>
      </c>
      <c r="E2010" s="2889" t="s">
        <v>217</v>
      </c>
      <c r="F2010" s="3039">
        <v>7.7947746836251729E-3</v>
      </c>
      <c r="G2010" s="2890">
        <v>11.043976939005109</v>
      </c>
    </row>
    <row r="2011" spans="2:7" ht="15" hidden="1" outlineLevel="2">
      <c r="B2011" s="2889" t="s">
        <v>1635</v>
      </c>
      <c r="C2011" s="2889" t="s">
        <v>1581</v>
      </c>
      <c r="D2011" s="2889" t="s">
        <v>1559</v>
      </c>
      <c r="E2011" s="2889" t="s">
        <v>217</v>
      </c>
      <c r="F2011" s="3039">
        <v>0.13177913778080647</v>
      </c>
      <c r="G2011" s="2890">
        <v>185.7024035735225</v>
      </c>
    </row>
    <row r="2012" spans="2:7" ht="15" hidden="1" outlineLevel="2">
      <c r="B2012" s="2889" t="s">
        <v>1636</v>
      </c>
      <c r="C2012" s="2889" t="s">
        <v>1581</v>
      </c>
      <c r="D2012" s="2889" t="s">
        <v>1559</v>
      </c>
      <c r="E2012" s="2889" t="s">
        <v>217</v>
      </c>
      <c r="F2012" s="3039">
        <v>1.7123567851558781E-2</v>
      </c>
      <c r="G2012" s="2890">
        <v>24.133145613258186</v>
      </c>
    </row>
    <row r="2013" spans="2:7" ht="15" hidden="1" outlineLevel="2">
      <c r="B2013" s="2889" t="s">
        <v>1637</v>
      </c>
      <c r="C2013" s="2889" t="s">
        <v>1581</v>
      </c>
      <c r="D2013" s="2889" t="s">
        <v>1559</v>
      </c>
      <c r="E2013" s="2889" t="s">
        <v>217</v>
      </c>
      <c r="F2013" s="3039">
        <v>3.588300416262722E-2</v>
      </c>
      <c r="G2013" s="2890">
        <v>50.72049882410824</v>
      </c>
    </row>
    <row r="2014" spans="2:7" ht="15" hidden="1" outlineLevel="2">
      <c r="B2014" s="2889" t="s">
        <v>1638</v>
      </c>
      <c r="C2014" s="2889" t="s">
        <v>1581</v>
      </c>
      <c r="D2014" s="2889" t="s">
        <v>1559</v>
      </c>
      <c r="E2014" s="2889" t="s">
        <v>217</v>
      </c>
      <c r="F2014" s="3039">
        <v>4.6191246574305116E-2</v>
      </c>
      <c r="G2014" s="2890">
        <v>65.445767438112313</v>
      </c>
    </row>
    <row r="2015" spans="2:7" ht="15" hidden="1" outlineLevel="2">
      <c r="B2015" s="2889" t="s">
        <v>1639</v>
      </c>
      <c r="C2015" s="2889" t="s">
        <v>1581</v>
      </c>
      <c r="D2015" s="2889" t="s">
        <v>1559</v>
      </c>
      <c r="E2015" s="2889" t="s">
        <v>217</v>
      </c>
      <c r="F2015" s="3039">
        <v>0.2181918792529248</v>
      </c>
      <c r="G2015" s="2890">
        <v>308.41335729708044</v>
      </c>
    </row>
    <row r="2016" spans="2:7" ht="15" hidden="1" outlineLevel="2">
      <c r="B2016" s="2889" t="s">
        <v>1640</v>
      </c>
      <c r="C2016" s="2889" t="s">
        <v>1581</v>
      </c>
      <c r="D2016" s="2889" t="s">
        <v>1559</v>
      </c>
      <c r="E2016" s="2889" t="s">
        <v>217</v>
      </c>
      <c r="F2016" s="3039">
        <v>4.6795073879666998E-2</v>
      </c>
      <c r="G2016" s="2890">
        <v>65.854844090840189</v>
      </c>
    </row>
    <row r="2017" spans="2:7" ht="15" hidden="1" outlineLevel="2">
      <c r="B2017" s="2889" t="s">
        <v>1641</v>
      </c>
      <c r="C2017" s="2889" t="s">
        <v>1581</v>
      </c>
      <c r="D2017" s="2889" t="s">
        <v>1559</v>
      </c>
      <c r="E2017" s="2889" t="s">
        <v>217</v>
      </c>
      <c r="F2017" s="3039">
        <v>9.6076896025881403E-2</v>
      </c>
      <c r="G2017" s="2890">
        <v>135.39105714105921</v>
      </c>
    </row>
    <row r="2018" spans="2:7" ht="15" hidden="1" outlineLevel="2">
      <c r="B2018" s="2889" t="s">
        <v>1642</v>
      </c>
      <c r="C2018" s="2889" t="s">
        <v>1581</v>
      </c>
      <c r="D2018" s="2889" t="s">
        <v>1559</v>
      </c>
      <c r="E2018" s="2889" t="s">
        <v>217</v>
      </c>
      <c r="F2018" s="3039">
        <v>0.28271563879219197</v>
      </c>
      <c r="G2018" s="2890">
        <v>398.40132594071628</v>
      </c>
    </row>
    <row r="2019" spans="2:7" ht="15" hidden="1" outlineLevel="2">
      <c r="B2019" s="2889" t="s">
        <v>1643</v>
      </c>
      <c r="C2019" s="2889" t="s">
        <v>1581</v>
      </c>
      <c r="D2019" s="2889" t="s">
        <v>1559</v>
      </c>
      <c r="E2019" s="2889" t="s">
        <v>217</v>
      </c>
      <c r="F2019" s="3039">
        <v>2.7562440839536153E-2</v>
      </c>
      <c r="G2019" s="2890">
        <v>38.779601672481157</v>
      </c>
    </row>
    <row r="2020" spans="2:7" ht="15" hidden="1" outlineLevel="2">
      <c r="B2020" s="2889" t="s">
        <v>1644</v>
      </c>
      <c r="C2020" s="2889" t="s">
        <v>1581</v>
      </c>
      <c r="D2020" s="2889" t="s">
        <v>1559</v>
      </c>
      <c r="E2020" s="2889" t="s">
        <v>217</v>
      </c>
      <c r="F2020" s="3039">
        <v>0.86177083214165207</v>
      </c>
      <c r="G2020" s="2890">
        <v>1218.1101139123061</v>
      </c>
    </row>
    <row r="2021" spans="2:7" ht="15" hidden="1" outlineLevel="2">
      <c r="B2021" s="2889" t="s">
        <v>1645</v>
      </c>
      <c r="C2021" s="2889" t="s">
        <v>1581</v>
      </c>
      <c r="D2021" s="2889" t="s">
        <v>1559</v>
      </c>
      <c r="E2021" s="2889" t="s">
        <v>217</v>
      </c>
      <c r="F2021" s="3039">
        <v>0.42104648856707638</v>
      </c>
      <c r="G2021" s="2890">
        <v>595.14775520075432</v>
      </c>
    </row>
    <row r="2022" spans="2:7" ht="15" hidden="1" outlineLevel="2">
      <c r="B2022" s="2889" t="s">
        <v>1646</v>
      </c>
      <c r="C2022" s="2889" t="s">
        <v>1581</v>
      </c>
      <c r="D2022" s="2889" t="s">
        <v>1559</v>
      </c>
      <c r="E2022" s="2889" t="s">
        <v>217</v>
      </c>
      <c r="F2022" s="3039">
        <v>2.7574941243579079E-2</v>
      </c>
      <c r="G2022" s="2890">
        <v>38.858443660890018</v>
      </c>
    </row>
    <row r="2023" spans="2:7" ht="15" hidden="1" outlineLevel="2">
      <c r="B2023" s="2889" t="s">
        <v>1647</v>
      </c>
      <c r="C2023" s="2889" t="s">
        <v>1581</v>
      </c>
      <c r="D2023" s="2889" t="s">
        <v>1559</v>
      </c>
      <c r="E2023" s="2889" t="s">
        <v>217</v>
      </c>
      <c r="F2023" s="3039">
        <v>2.1074758593260023E-2</v>
      </c>
      <c r="G2023" s="2890">
        <v>29.859646392866267</v>
      </c>
    </row>
    <row r="2024" spans="2:7" ht="15" hidden="1" outlineLevel="2">
      <c r="B2024" s="2889" t="s">
        <v>1648</v>
      </c>
      <c r="C2024" s="2889" t="s">
        <v>1581</v>
      </c>
      <c r="D2024" s="2889" t="s">
        <v>1559</v>
      </c>
      <c r="E2024" s="2889" t="s">
        <v>217</v>
      </c>
      <c r="F2024" s="3039">
        <v>4.6479952528606441E-2</v>
      </c>
      <c r="G2024" s="2890">
        <v>65.854844090840189</v>
      </c>
    </row>
    <row r="2025" spans="2:7" ht="15" hidden="1" outlineLevel="2">
      <c r="B2025" s="2889" t="s">
        <v>1649</v>
      </c>
      <c r="C2025" s="2889" t="s">
        <v>1581</v>
      </c>
      <c r="D2025" s="2889" t="s">
        <v>1559</v>
      </c>
      <c r="E2025" s="2889" t="s">
        <v>217</v>
      </c>
      <c r="F2025" s="3039">
        <v>4.5613880665873949E-2</v>
      </c>
      <c r="G2025" s="2890">
        <v>64.627737669444059</v>
      </c>
    </row>
    <row r="2026" spans="2:7" ht="15" hidden="1" outlineLevel="2">
      <c r="B2026" s="2889" t="s">
        <v>1650</v>
      </c>
      <c r="C2026" s="2889" t="s">
        <v>1581</v>
      </c>
      <c r="D2026" s="2889" t="s">
        <v>1559</v>
      </c>
      <c r="E2026" s="2889" t="s">
        <v>217</v>
      </c>
      <c r="F2026" s="3039">
        <v>6.5687482087436064E-2</v>
      </c>
      <c r="G2026" s="2890">
        <v>92.442158167683814</v>
      </c>
    </row>
    <row r="2027" spans="2:7" ht="15" hidden="1" outlineLevel="2">
      <c r="B2027" s="2889" t="s">
        <v>1651</v>
      </c>
      <c r="C2027" s="2889" t="s">
        <v>1581</v>
      </c>
      <c r="D2027" s="2889" t="s">
        <v>1559</v>
      </c>
      <c r="E2027" s="2889" t="s">
        <v>217</v>
      </c>
      <c r="F2027" s="3039">
        <v>2.9446929408748202E-2</v>
      </c>
      <c r="G2027" s="2890">
        <v>41.721690420725636</v>
      </c>
    </row>
    <row r="2028" spans="2:7" ht="15" hidden="1" outlineLevel="2">
      <c r="B2028" s="2889" t="s">
        <v>1652</v>
      </c>
      <c r="C2028" s="2889" t="s">
        <v>1581</v>
      </c>
      <c r="D2028" s="2889" t="s">
        <v>1559</v>
      </c>
      <c r="E2028" s="2889" t="s">
        <v>217</v>
      </c>
      <c r="F2028" s="3039">
        <v>4.6479952528141237E-2</v>
      </c>
      <c r="G2028" s="2890">
        <v>65.854844091248836</v>
      </c>
    </row>
    <row r="2029" spans="2:7" ht="15" hidden="1" outlineLevel="2">
      <c r="B2029" s="2889" t="s">
        <v>1653</v>
      </c>
      <c r="C2029" s="2889" t="s">
        <v>1581</v>
      </c>
      <c r="D2029" s="2889" t="s">
        <v>1559</v>
      </c>
      <c r="E2029" s="2889" t="s">
        <v>217</v>
      </c>
      <c r="F2029" s="3039">
        <v>5.2537513155171835E-2</v>
      </c>
      <c r="G2029" s="2890">
        <v>74.035576611266166</v>
      </c>
    </row>
    <row r="2030" spans="2:7" ht="15" hidden="1" outlineLevel="2">
      <c r="B2030" s="2889" t="s">
        <v>1407</v>
      </c>
      <c r="C2030" s="2889" t="s">
        <v>1582</v>
      </c>
      <c r="D2030" s="2889" t="s">
        <v>1559</v>
      </c>
      <c r="E2030" s="2889" t="s">
        <v>217</v>
      </c>
      <c r="F2030" s="3039">
        <v>1.0241550323163826E-2</v>
      </c>
      <c r="G2030" s="2890">
        <v>11.639181088941882</v>
      </c>
    </row>
    <row r="2031" spans="2:7" ht="15" hidden="1" outlineLevel="2">
      <c r="B2031" s="2889" t="s">
        <v>1631</v>
      </c>
      <c r="C2031" s="2889" t="s">
        <v>1582</v>
      </c>
      <c r="D2031" s="2889" t="s">
        <v>1559</v>
      </c>
      <c r="E2031" s="2889" t="s">
        <v>217</v>
      </c>
      <c r="F2031" s="3039">
        <v>0.49600760853637943</v>
      </c>
      <c r="G2031" s="2890">
        <v>557.74977159147943</v>
      </c>
    </row>
    <row r="2032" spans="2:7" ht="15" hidden="1" outlineLevel="2">
      <c r="B2032" s="2889" t="s">
        <v>1632</v>
      </c>
      <c r="C2032" s="2889" t="s">
        <v>1582</v>
      </c>
      <c r="D2032" s="2889" t="s">
        <v>1559</v>
      </c>
      <c r="E2032" s="2889" t="s">
        <v>217</v>
      </c>
      <c r="F2032" s="3039">
        <v>0.58912510252117078</v>
      </c>
      <c r="G2032" s="2890">
        <v>670.41695459837513</v>
      </c>
    </row>
    <row r="2033" spans="2:7" ht="15" hidden="1" outlineLevel="2">
      <c r="B2033" s="2889" t="s">
        <v>1633</v>
      </c>
      <c r="C2033" s="2889" t="s">
        <v>1582</v>
      </c>
      <c r="D2033" s="2889" t="s">
        <v>1559</v>
      </c>
      <c r="E2033" s="2889" t="s">
        <v>217</v>
      </c>
      <c r="F2033" s="3039">
        <v>3.5077236063405133E-2</v>
      </c>
      <c r="G2033" s="2890">
        <v>40.038808475626283</v>
      </c>
    </row>
    <row r="2034" spans="2:7" ht="15" hidden="1" outlineLevel="2">
      <c r="B2034" s="2889" t="s">
        <v>1634</v>
      </c>
      <c r="C2034" s="2889" t="s">
        <v>1582</v>
      </c>
      <c r="D2034" s="2889" t="s">
        <v>1559</v>
      </c>
      <c r="E2034" s="2889" t="s">
        <v>217</v>
      </c>
      <c r="F2034" s="3039">
        <v>1.0986711397004382E-2</v>
      </c>
      <c r="G2034" s="2890">
        <v>12.570324915851014</v>
      </c>
    </row>
    <row r="2035" spans="2:7" ht="15" hidden="1" outlineLevel="2">
      <c r="B2035" s="2889" t="s">
        <v>1635</v>
      </c>
      <c r="C2035" s="2889" t="s">
        <v>1582</v>
      </c>
      <c r="D2035" s="2889" t="s">
        <v>1559</v>
      </c>
      <c r="E2035" s="2889" t="s">
        <v>217</v>
      </c>
      <c r="F2035" s="2890">
        <v>0.18573804622913404</v>
      </c>
      <c r="G2035" s="2890">
        <v>211.36761257080076</v>
      </c>
    </row>
    <row r="2036" spans="2:7" ht="15" hidden="1" outlineLevel="2">
      <c r="B2036" s="2889" t="s">
        <v>1636</v>
      </c>
      <c r="C2036" s="2889" t="s">
        <v>1582</v>
      </c>
      <c r="D2036" s="2889" t="s">
        <v>1559</v>
      </c>
      <c r="E2036" s="2889" t="s">
        <v>217</v>
      </c>
      <c r="F2036" s="2890">
        <v>2.4135081813704617E-2</v>
      </c>
      <c r="G2036" s="2890">
        <v>27.468490089060108</v>
      </c>
    </row>
    <row r="2037" spans="2:7" ht="15" hidden="1" outlineLevel="2">
      <c r="B2037" s="2889" t="s">
        <v>1637</v>
      </c>
      <c r="C2037" s="2889" t="s">
        <v>1582</v>
      </c>
      <c r="D2037" s="2889" t="s">
        <v>1559</v>
      </c>
      <c r="E2037" s="2889" t="s">
        <v>217</v>
      </c>
      <c r="F2037" s="2890">
        <v>5.0576480465292825E-2</v>
      </c>
      <c r="G2037" s="2890">
        <v>57.73036129345271</v>
      </c>
    </row>
    <row r="2038" spans="2:7" ht="15" hidden="1" outlineLevel="2">
      <c r="B2038" s="2889" t="s">
        <v>1638</v>
      </c>
      <c r="C2038" s="2889" t="s">
        <v>1582</v>
      </c>
      <c r="D2038" s="2889" t="s">
        <v>1559</v>
      </c>
      <c r="E2038" s="2889" t="s">
        <v>217</v>
      </c>
      <c r="F2038" s="2890">
        <v>6.5106435671112461E-2</v>
      </c>
      <c r="G2038" s="2890">
        <v>74.490775807123867</v>
      </c>
    </row>
    <row r="2039" spans="2:7" ht="15" hidden="1" outlineLevel="2">
      <c r="B2039" s="2889" t="s">
        <v>1639</v>
      </c>
      <c r="C2039" s="2889" t="s">
        <v>1582</v>
      </c>
      <c r="D2039" s="2889" t="s">
        <v>1559</v>
      </c>
      <c r="E2039" s="2889" t="s">
        <v>217</v>
      </c>
      <c r="F2039" s="2890">
        <v>0.30753758794839586</v>
      </c>
      <c r="G2039" s="2890">
        <v>351.03778338959728</v>
      </c>
    </row>
    <row r="2040" spans="2:7" ht="15" hidden="1" outlineLevel="2">
      <c r="B2040" s="2889" t="s">
        <v>1640</v>
      </c>
      <c r="C2040" s="2889" t="s">
        <v>1582</v>
      </c>
      <c r="D2040" s="2889" t="s">
        <v>1559</v>
      </c>
      <c r="E2040" s="2889" t="s">
        <v>217</v>
      </c>
      <c r="F2040" s="2890">
        <v>6.5955597108701317E-2</v>
      </c>
      <c r="G2040" s="2890">
        <v>74.956371908910569</v>
      </c>
    </row>
    <row r="2041" spans="2:7" ht="15" hidden="1" outlineLevel="2">
      <c r="B2041" s="2889" t="s">
        <v>1641</v>
      </c>
      <c r="C2041" s="2889" t="s">
        <v>1582</v>
      </c>
      <c r="D2041" s="2889" t="s">
        <v>1559</v>
      </c>
      <c r="E2041" s="2889" t="s">
        <v>217</v>
      </c>
      <c r="F2041" s="2890">
        <v>0.13541697316793816</v>
      </c>
      <c r="G2041" s="2890">
        <v>154.10280049238017</v>
      </c>
    </row>
    <row r="2042" spans="2:7" ht="15" hidden="1" outlineLevel="2">
      <c r="B2042" s="2889" t="s">
        <v>1642</v>
      </c>
      <c r="C2042" s="2889" t="s">
        <v>1582</v>
      </c>
      <c r="D2042" s="2889" t="s">
        <v>1559</v>
      </c>
      <c r="E2042" s="2889" t="s">
        <v>217</v>
      </c>
      <c r="F2042" s="2890">
        <v>0.39847768386321464</v>
      </c>
      <c r="G2042" s="2890">
        <v>453.46279325130172</v>
      </c>
    </row>
    <row r="2043" spans="2:7" ht="15" hidden="1" outlineLevel="2">
      <c r="B2043" s="2889" t="s">
        <v>1643</v>
      </c>
      <c r="C2043" s="2889" t="s">
        <v>1582</v>
      </c>
      <c r="D2043" s="2889" t="s">
        <v>1559</v>
      </c>
      <c r="E2043" s="2889" t="s">
        <v>217</v>
      </c>
      <c r="F2043" s="2890">
        <v>3.8848027799850263E-2</v>
      </c>
      <c r="G2043" s="2890">
        <v>44.139170094018503</v>
      </c>
    </row>
    <row r="2044" spans="2:7" ht="15" hidden="1" outlineLevel="2">
      <c r="B2044" s="2889" t="s">
        <v>1644</v>
      </c>
      <c r="C2044" s="2889" t="s">
        <v>1582</v>
      </c>
      <c r="D2044" s="2889" t="s">
        <v>1559</v>
      </c>
      <c r="E2044" s="2889" t="s">
        <v>217</v>
      </c>
      <c r="F2044" s="2890">
        <v>1.2146515518764025</v>
      </c>
      <c r="G2044" s="2890">
        <v>1386.4592699974771</v>
      </c>
    </row>
    <row r="2045" spans="2:7" ht="15" hidden="1" outlineLevel="2">
      <c r="B2045" s="2889" t="s">
        <v>1645</v>
      </c>
      <c r="C2045" s="2889" t="s">
        <v>1582</v>
      </c>
      <c r="D2045" s="2889" t="s">
        <v>1559</v>
      </c>
      <c r="E2045" s="2889" t="s">
        <v>217</v>
      </c>
      <c r="F2045" s="2890">
        <v>0.59345782994561258</v>
      </c>
      <c r="G2045" s="2890">
        <v>677.40075170310331</v>
      </c>
    </row>
    <row r="2046" spans="2:7" ht="15" hidden="1" outlineLevel="2">
      <c r="B2046" s="2889" t="s">
        <v>1646</v>
      </c>
      <c r="C2046" s="2889" t="s">
        <v>1582</v>
      </c>
      <c r="D2046" s="2889" t="s">
        <v>1559</v>
      </c>
      <c r="E2046" s="2889" t="s">
        <v>217</v>
      </c>
      <c r="F2046" s="2890">
        <v>3.886589186089489E-2</v>
      </c>
      <c r="G2046" s="2890">
        <v>44.228913452733536</v>
      </c>
    </row>
    <row r="2047" spans="2:7" ht="15" hidden="1" outlineLevel="2">
      <c r="B2047" s="2889" t="s">
        <v>1647</v>
      </c>
      <c r="C2047" s="2889" t="s">
        <v>1582</v>
      </c>
      <c r="D2047" s="2889" t="s">
        <v>1559</v>
      </c>
      <c r="E2047" s="2889" t="s">
        <v>217</v>
      </c>
      <c r="F2047" s="2890">
        <v>2.970481958217908E-2</v>
      </c>
      <c r="G2047" s="2890">
        <v>33.986426437634897</v>
      </c>
    </row>
    <row r="2048" spans="2:7" ht="15" hidden="1" outlineLevel="2">
      <c r="B2048" s="2889" t="s">
        <v>1648</v>
      </c>
      <c r="C2048" s="2889" t="s">
        <v>1582</v>
      </c>
      <c r="D2048" s="2889" t="s">
        <v>1559</v>
      </c>
      <c r="E2048" s="2889" t="s">
        <v>217</v>
      </c>
      <c r="F2048" s="2890">
        <v>6.5513370316746214E-2</v>
      </c>
      <c r="G2048" s="2890">
        <v>74.956371908910569</v>
      </c>
    </row>
    <row r="2049" spans="2:7" ht="15" hidden="1" outlineLevel="2">
      <c r="B2049" s="2889" t="s">
        <v>1649</v>
      </c>
      <c r="C2049" s="2889" t="s">
        <v>1582</v>
      </c>
      <c r="D2049" s="2889" t="s">
        <v>1559</v>
      </c>
      <c r="E2049" s="2889" t="s">
        <v>217</v>
      </c>
      <c r="F2049" s="2890">
        <v>6.4292609449705621E-2</v>
      </c>
      <c r="G2049" s="2890">
        <v>73.559655215475701</v>
      </c>
    </row>
    <row r="2050" spans="2:7" ht="15" hidden="1" outlineLevel="2">
      <c r="B2050" s="2889" t="s">
        <v>1650</v>
      </c>
      <c r="C2050" s="2889" t="s">
        <v>1582</v>
      </c>
      <c r="D2050" s="2889" t="s">
        <v>1559</v>
      </c>
      <c r="E2050" s="2889" t="s">
        <v>217</v>
      </c>
      <c r="F2050" s="2890">
        <v>9.258361298386629E-2</v>
      </c>
      <c r="G2050" s="2890">
        <v>105.21827326427098</v>
      </c>
    </row>
    <row r="2051" spans="2:7" ht="15" hidden="1" outlineLevel="2">
      <c r="B2051" s="2889" t="s">
        <v>1651</v>
      </c>
      <c r="C2051" s="2889" t="s">
        <v>1582</v>
      </c>
      <c r="D2051" s="2889" t="s">
        <v>1559</v>
      </c>
      <c r="E2051" s="2889" t="s">
        <v>217</v>
      </c>
      <c r="F2051" s="2890">
        <v>4.150534620988889E-2</v>
      </c>
      <c r="G2051" s="2890">
        <v>47.487878947667582</v>
      </c>
    </row>
    <row r="2052" spans="2:7" ht="15" hidden="1" outlineLevel="2">
      <c r="B2052" s="2889" t="s">
        <v>1652</v>
      </c>
      <c r="C2052" s="2889" t="s">
        <v>1582</v>
      </c>
      <c r="D2052" s="2889" t="s">
        <v>1559</v>
      </c>
      <c r="E2052" s="2889" t="s">
        <v>217</v>
      </c>
      <c r="F2052" s="2890">
        <v>6.5513370320643111E-2</v>
      </c>
      <c r="G2052" s="2890">
        <v>74.956371908397784</v>
      </c>
    </row>
    <row r="2053" spans="2:7" ht="15" hidden="1" outlineLevel="2">
      <c r="B2053" s="2889" t="s">
        <v>1653</v>
      </c>
      <c r="C2053" s="2889" t="s">
        <v>1582</v>
      </c>
      <c r="D2053" s="2889" t="s">
        <v>1559</v>
      </c>
      <c r="E2053" s="2889" t="s">
        <v>217</v>
      </c>
      <c r="F2053" s="2890">
        <v>7.4049786390533556E-2</v>
      </c>
      <c r="G2053" s="2890">
        <v>84.267680280752941</v>
      </c>
    </row>
    <row r="2054" spans="2:7" ht="15" hidden="1" outlineLevel="2">
      <c r="B2054" s="2889" t="s">
        <v>1407</v>
      </c>
      <c r="C2054" s="2889" t="s">
        <v>1583</v>
      </c>
      <c r="D2054" s="2889" t="s">
        <v>1559</v>
      </c>
      <c r="E2054" s="2889" t="s">
        <v>217</v>
      </c>
      <c r="F2054" s="2890">
        <v>7.8928660814043747E-3</v>
      </c>
      <c r="G2054" s="2890">
        <v>5.4199677442692993</v>
      </c>
    </row>
    <row r="2055" spans="2:7" ht="15" hidden="1" outlineLevel="2">
      <c r="B2055" s="2889" t="s">
        <v>1631</v>
      </c>
      <c r="C2055" s="2889" t="s">
        <v>1583</v>
      </c>
      <c r="D2055" s="2889" t="s">
        <v>1559</v>
      </c>
      <c r="E2055" s="2889" t="s">
        <v>217</v>
      </c>
      <c r="F2055" s="3039">
        <v>0.38227593610605715</v>
      </c>
      <c r="G2055" s="2890">
        <v>259.72488130298979</v>
      </c>
    </row>
    <row r="2056" spans="2:7" ht="15" hidden="1" outlineLevel="2">
      <c r="B2056" s="2889" t="s">
        <v>1632</v>
      </c>
      <c r="C2056" s="2889" t="s">
        <v>1583</v>
      </c>
      <c r="D2056" s="2889" t="s">
        <v>1559</v>
      </c>
      <c r="E2056" s="2889" t="s">
        <v>217</v>
      </c>
      <c r="F2056" s="3039">
        <v>0.45401902928756116</v>
      </c>
      <c r="G2056" s="2890">
        <v>312.19012467063055</v>
      </c>
    </row>
    <row r="2057" spans="2:7" ht="15" hidden="1" outlineLevel="2">
      <c r="B2057" s="2889" t="s">
        <v>1633</v>
      </c>
      <c r="C2057" s="2889" t="s">
        <v>1583</v>
      </c>
      <c r="D2057" s="2889" t="s">
        <v>1559</v>
      </c>
      <c r="E2057" s="2889" t="s">
        <v>217</v>
      </c>
      <c r="F2057" s="3039">
        <v>2.7032506416204905E-2</v>
      </c>
      <c r="G2057" s="2890">
        <v>18.644694718609138</v>
      </c>
    </row>
    <row r="2058" spans="2:7" ht="15" hidden="1" outlineLevel="2">
      <c r="B2058" s="2889" t="s">
        <v>1634</v>
      </c>
      <c r="C2058" s="2889" t="s">
        <v>1583</v>
      </c>
      <c r="D2058" s="2889" t="s">
        <v>1559</v>
      </c>
      <c r="E2058" s="2889" t="s">
        <v>217</v>
      </c>
      <c r="F2058" s="3039">
        <v>8.4668921873851249E-3</v>
      </c>
      <c r="G2058" s="2890">
        <v>5.8535659276671765</v>
      </c>
    </row>
    <row r="2059" spans="2:7" ht="15" hidden="1" outlineLevel="2">
      <c r="B2059" s="2889" t="s">
        <v>1635</v>
      </c>
      <c r="C2059" s="2889" t="s">
        <v>1583</v>
      </c>
      <c r="D2059" s="2889" t="s">
        <v>1559</v>
      </c>
      <c r="E2059" s="2889" t="s">
        <v>217</v>
      </c>
      <c r="F2059" s="3039">
        <v>0.14314209881539638</v>
      </c>
      <c r="G2059" s="2890">
        <v>98.426584322437421</v>
      </c>
    </row>
    <row r="2060" spans="2:7" ht="15" hidden="1" outlineLevel="2">
      <c r="B2060" s="2889" t="s">
        <v>1636</v>
      </c>
      <c r="C2060" s="2889" t="s">
        <v>1583</v>
      </c>
      <c r="D2060" s="2889" t="s">
        <v>1559</v>
      </c>
      <c r="E2060" s="2889" t="s">
        <v>217</v>
      </c>
      <c r="F2060" s="3039">
        <v>1.8600090557698519E-2</v>
      </c>
      <c r="G2060" s="2890">
        <v>12.791118413965359</v>
      </c>
    </row>
    <row r="2061" spans="2:7" ht="15" hidden="1" outlineLevel="2">
      <c r="B2061" s="2889" t="s">
        <v>1637</v>
      </c>
      <c r="C2061" s="2889" t="s">
        <v>1583</v>
      </c>
      <c r="D2061" s="2889" t="s">
        <v>1559</v>
      </c>
      <c r="E2061" s="2889" t="s">
        <v>217</v>
      </c>
      <c r="F2061" s="3039">
        <v>3.8977085233674158E-2</v>
      </c>
      <c r="G2061" s="2890">
        <v>26.883034436553753</v>
      </c>
    </row>
    <row r="2062" spans="2:7" ht="15" hidden="1" outlineLevel="2">
      <c r="B2062" s="2889" t="s">
        <v>1638</v>
      </c>
      <c r="C2062" s="2889" t="s">
        <v>1583</v>
      </c>
      <c r="D2062" s="2889" t="s">
        <v>1559</v>
      </c>
      <c r="E2062" s="2889" t="s">
        <v>217</v>
      </c>
      <c r="F2062" s="2890">
        <v>5.0174180879656687E-2</v>
      </c>
      <c r="G2062" s="2890">
        <v>34.68778783790745</v>
      </c>
    </row>
    <row r="2063" spans="2:7" ht="15" hidden="1" outlineLevel="2">
      <c r="B2063" s="2889" t="s">
        <v>1639</v>
      </c>
      <c r="C2063" s="2889" t="s">
        <v>1583</v>
      </c>
      <c r="D2063" s="2889" t="s">
        <v>1559</v>
      </c>
      <c r="E2063" s="2889" t="s">
        <v>217</v>
      </c>
      <c r="F2063" s="2890">
        <v>0.23700582270768891</v>
      </c>
      <c r="G2063" s="2890">
        <v>163.46629571107277</v>
      </c>
    </row>
    <row r="2064" spans="2:7" ht="15" hidden="1" outlineLevel="2">
      <c r="B2064" s="2889" t="s">
        <v>1640</v>
      </c>
      <c r="C2064" s="2889" t="s">
        <v>1583</v>
      </c>
      <c r="D2064" s="2889" t="s">
        <v>1559</v>
      </c>
      <c r="E2064" s="2889" t="s">
        <v>217</v>
      </c>
      <c r="F2064" s="2890">
        <v>5.0830057737976247E-2</v>
      </c>
      <c r="G2064" s="2890">
        <v>34.904591492195131</v>
      </c>
    </row>
    <row r="2065" spans="2:7" ht="15" hidden="1" outlineLevel="2">
      <c r="B2065" s="2889" t="s">
        <v>1641</v>
      </c>
      <c r="C2065" s="2889" t="s">
        <v>1583</v>
      </c>
      <c r="D2065" s="2889" t="s">
        <v>1559</v>
      </c>
      <c r="E2065" s="2889" t="s">
        <v>217</v>
      </c>
      <c r="F2065" s="2890">
        <v>0.10436131972655602</v>
      </c>
      <c r="G2065" s="2890">
        <v>71.760375104417676</v>
      </c>
    </row>
    <row r="2066" spans="2:7" ht="15" hidden="1" outlineLevel="2">
      <c r="B2066" s="2889" t="s">
        <v>1642</v>
      </c>
      <c r="C2066" s="2889" t="s">
        <v>1583</v>
      </c>
      <c r="D2066" s="2889" t="s">
        <v>1559</v>
      </c>
      <c r="E2066" s="2889" t="s">
        <v>217</v>
      </c>
      <c r="F2066" s="2890">
        <v>0.30709334450282311</v>
      </c>
      <c r="G2066" s="2890">
        <v>211.16191218311207</v>
      </c>
    </row>
    <row r="2067" spans="2:7" ht="15" hidden="1" outlineLevel="2">
      <c r="B2067" s="2889" t="s">
        <v>1643</v>
      </c>
      <c r="C2067" s="2889" t="s">
        <v>1583</v>
      </c>
      <c r="D2067" s="2889" t="s">
        <v>1559</v>
      </c>
      <c r="E2067" s="2889" t="s">
        <v>217</v>
      </c>
      <c r="F2067" s="2890">
        <v>2.993907007343851E-2</v>
      </c>
      <c r="G2067" s="2890">
        <v>20.55407944725631</v>
      </c>
    </row>
    <row r="2068" spans="2:7" ht="15" hidden="1" outlineLevel="2">
      <c r="B2068" s="2889" t="s">
        <v>1644</v>
      </c>
      <c r="C2068" s="2889" t="s">
        <v>1583</v>
      </c>
      <c r="D2068" s="2889" t="s">
        <v>1559</v>
      </c>
      <c r="E2068" s="2889" t="s">
        <v>217</v>
      </c>
      <c r="F2068" s="2890">
        <v>0.93607878744153783</v>
      </c>
      <c r="G2068" s="2890">
        <v>645.62651435798011</v>
      </c>
    </row>
    <row r="2069" spans="2:7" ht="15" hidden="1" outlineLevel="2">
      <c r="B2069" s="2889" t="s">
        <v>1645</v>
      </c>
      <c r="C2069" s="2889" t="s">
        <v>1583</v>
      </c>
      <c r="D2069" s="2889" t="s">
        <v>1559</v>
      </c>
      <c r="E2069" s="2889" t="s">
        <v>217</v>
      </c>
      <c r="F2069" s="2890">
        <v>0.45735214180069833</v>
      </c>
      <c r="G2069" s="2890">
        <v>315.44206036977732</v>
      </c>
    </row>
    <row r="2070" spans="2:7" ht="15" hidden="1" outlineLevel="2">
      <c r="B2070" s="2889" t="s">
        <v>1646</v>
      </c>
      <c r="C2070" s="2889" t="s">
        <v>1583</v>
      </c>
      <c r="D2070" s="2889" t="s">
        <v>1559</v>
      </c>
      <c r="E2070" s="2889" t="s">
        <v>217</v>
      </c>
      <c r="F2070" s="2890">
        <v>2.9952639208379993E-2</v>
      </c>
      <c r="G2070" s="2890">
        <v>20.595875227278903</v>
      </c>
    </row>
    <row r="2071" spans="2:7" ht="15" hidden="1" outlineLevel="2">
      <c r="B2071" s="2889" t="s">
        <v>1647</v>
      </c>
      <c r="C2071" s="2889" t="s">
        <v>1583</v>
      </c>
      <c r="D2071" s="2889" t="s">
        <v>1559</v>
      </c>
      <c r="E2071" s="2889" t="s">
        <v>217</v>
      </c>
      <c r="F2071" s="2890">
        <v>2.2891973666352324E-2</v>
      </c>
      <c r="G2071" s="2890">
        <v>15.826310512441923</v>
      </c>
    </row>
    <row r="2072" spans="2:7" ht="15" hidden="1" outlineLevel="2">
      <c r="B2072" s="2889" t="s">
        <v>1648</v>
      </c>
      <c r="C2072" s="2889" t="s">
        <v>1583</v>
      </c>
      <c r="D2072" s="2889" t="s">
        <v>1559</v>
      </c>
      <c r="E2072" s="2889" t="s">
        <v>217</v>
      </c>
      <c r="F2072" s="2890">
        <v>5.048777552852711E-2</v>
      </c>
      <c r="G2072" s="2890">
        <v>34.904591492195131</v>
      </c>
    </row>
    <row r="2073" spans="2:7" ht="15" hidden="1" outlineLevel="2">
      <c r="B2073" s="2889" t="s">
        <v>1649</v>
      </c>
      <c r="C2073" s="2889" t="s">
        <v>1583</v>
      </c>
      <c r="D2073" s="2889" t="s">
        <v>1559</v>
      </c>
      <c r="E2073" s="2889" t="s">
        <v>217</v>
      </c>
      <c r="F2073" s="2890">
        <v>4.9547011095867996E-2</v>
      </c>
      <c r="G2073" s="2890">
        <v>34.254195095921581</v>
      </c>
    </row>
    <row r="2074" spans="2:7" ht="15" hidden="1" outlineLevel="2">
      <c r="B2074" s="2889" t="s">
        <v>1650</v>
      </c>
      <c r="C2074" s="2889" t="s">
        <v>1583</v>
      </c>
      <c r="D2074" s="2889" t="s">
        <v>1559</v>
      </c>
      <c r="E2074" s="2889" t="s">
        <v>217</v>
      </c>
      <c r="F2074" s="2890">
        <v>7.1351491600673764E-2</v>
      </c>
      <c r="G2074" s="2890">
        <v>48.996508013403641</v>
      </c>
    </row>
    <row r="2075" spans="2:7" ht="15" hidden="1" outlineLevel="2">
      <c r="B2075" s="2889" t="s">
        <v>1651</v>
      </c>
      <c r="C2075" s="2889" t="s">
        <v>1583</v>
      </c>
      <c r="D2075" s="2889" t="s">
        <v>1559</v>
      </c>
      <c r="E2075" s="2889" t="s">
        <v>217</v>
      </c>
      <c r="F2075" s="2890">
        <v>3.1986044539158813E-2</v>
      </c>
      <c r="G2075" s="2890">
        <v>22.113474074826183</v>
      </c>
    </row>
    <row r="2076" spans="2:7" ht="15" hidden="1" outlineLevel="2">
      <c r="B2076" s="2889" t="s">
        <v>1652</v>
      </c>
      <c r="C2076" s="2889" t="s">
        <v>1583</v>
      </c>
      <c r="D2076" s="2889" t="s">
        <v>1559</v>
      </c>
      <c r="E2076" s="2889" t="s">
        <v>217</v>
      </c>
      <c r="F2076" s="2890">
        <v>5.0487775528002182E-2</v>
      </c>
      <c r="G2076" s="2890">
        <v>34.904591494681355</v>
      </c>
    </row>
    <row r="2077" spans="2:7" ht="15" hidden="1" outlineLevel="2">
      <c r="B2077" s="2889" t="s">
        <v>1653</v>
      </c>
      <c r="C2077" s="2889" t="s">
        <v>1583</v>
      </c>
      <c r="D2077" s="2889" t="s">
        <v>1559</v>
      </c>
      <c r="E2077" s="2889" t="s">
        <v>217</v>
      </c>
      <c r="F2077" s="2890">
        <v>5.7067665192340918E-2</v>
      </c>
      <c r="G2077" s="2890">
        <v>39.24055564395362</v>
      </c>
    </row>
    <row r="2078" spans="2:7" ht="15" hidden="1" outlineLevel="2">
      <c r="B2078" s="2889" t="s">
        <v>1407</v>
      </c>
      <c r="C2078" s="2889" t="s">
        <v>1584</v>
      </c>
      <c r="D2078" s="2889" t="s">
        <v>1559</v>
      </c>
      <c r="E2078" s="2889" t="s">
        <v>217</v>
      </c>
      <c r="F2078" s="2890">
        <v>1.195011996534691</v>
      </c>
      <c r="G2078" s="2890">
        <v>1510.6664512089719</v>
      </c>
    </row>
    <row r="2079" spans="2:7" ht="15" hidden="1" outlineLevel="2">
      <c r="B2079" s="2889" t="s">
        <v>1631</v>
      </c>
      <c r="C2079" s="2889" t="s">
        <v>1584</v>
      </c>
      <c r="D2079" s="2889" t="s">
        <v>1559</v>
      </c>
      <c r="E2079" s="2889" t="s">
        <v>217</v>
      </c>
      <c r="F2079" s="2890">
        <v>7.1165482978162604</v>
      </c>
      <c r="G2079" s="2890">
        <v>8900.9507003110939</v>
      </c>
    </row>
    <row r="2080" spans="2:7" ht="15" hidden="1" outlineLevel="2">
      <c r="B2080" s="2889" t="s">
        <v>1632</v>
      </c>
      <c r="C2080" s="2889" t="s">
        <v>1584</v>
      </c>
      <c r="D2080" s="2889" t="s">
        <v>1559</v>
      </c>
      <c r="E2080" s="2889" t="s">
        <v>217</v>
      </c>
      <c r="F2080" s="2890">
        <v>11.650608660010258</v>
      </c>
      <c r="G2080" s="2890">
        <v>14747.916079618695</v>
      </c>
    </row>
    <row r="2081" spans="2:7" ht="15" hidden="1" outlineLevel="2">
      <c r="B2081" s="2889" t="s">
        <v>1633</v>
      </c>
      <c r="C2081" s="2889" t="s">
        <v>1584</v>
      </c>
      <c r="D2081" s="2889" t="s">
        <v>1559</v>
      </c>
      <c r="E2081" s="2889" t="s">
        <v>217</v>
      </c>
      <c r="F2081" s="2890">
        <v>1.0720969585110609</v>
      </c>
      <c r="G2081" s="2890">
        <v>1361.2175513152122</v>
      </c>
    </row>
    <row r="2082" spans="2:7" ht="15" hidden="1" outlineLevel="2">
      <c r="B2082" s="2889" t="s">
        <v>1634</v>
      </c>
      <c r="C2082" s="2889" t="s">
        <v>1584</v>
      </c>
      <c r="D2082" s="2889" t="s">
        <v>1559</v>
      </c>
      <c r="E2082" s="2889" t="s">
        <v>217</v>
      </c>
      <c r="F2082" s="2890">
        <v>0.44579207947581401</v>
      </c>
      <c r="G2082" s="2890">
        <v>567.35531194804105</v>
      </c>
    </row>
    <row r="2083" spans="2:7" ht="15" hidden="1" outlineLevel="2">
      <c r="B2083" s="2889" t="s">
        <v>1635</v>
      </c>
      <c r="C2083" s="2889" t="s">
        <v>1584</v>
      </c>
      <c r="D2083" s="2889" t="s">
        <v>1559</v>
      </c>
      <c r="E2083" s="2889" t="s">
        <v>217</v>
      </c>
      <c r="F2083" s="2890">
        <v>2.0774176949441649</v>
      </c>
      <c r="G2083" s="2890">
        <v>2629.6971067638769</v>
      </c>
    </row>
    <row r="2084" spans="2:7" ht="15" hidden="1" outlineLevel="2">
      <c r="B2084" s="2889" t="s">
        <v>1636</v>
      </c>
      <c r="C2084" s="2889" t="s">
        <v>1584</v>
      </c>
      <c r="D2084" s="2889" t="s">
        <v>1559</v>
      </c>
      <c r="E2084" s="2889" t="s">
        <v>217</v>
      </c>
      <c r="F2084" s="2890">
        <v>1.3179682021477612</v>
      </c>
      <c r="G2084" s="2890">
        <v>1668.5312795365742</v>
      </c>
    </row>
    <row r="2085" spans="2:7" ht="15" hidden="1" outlineLevel="2">
      <c r="B2085" s="2889" t="s">
        <v>1637</v>
      </c>
      <c r="C2085" s="2889" t="s">
        <v>1584</v>
      </c>
      <c r="D2085" s="2889" t="s">
        <v>1559</v>
      </c>
      <c r="E2085" s="2889" t="s">
        <v>217</v>
      </c>
      <c r="F2085" s="2890">
        <v>1.6980726188548483</v>
      </c>
      <c r="G2085" s="2890">
        <v>2156.0060527707142</v>
      </c>
    </row>
    <row r="2086" spans="2:7" ht="15" hidden="1" outlineLevel="2">
      <c r="B2086" s="2889" t="s">
        <v>1638</v>
      </c>
      <c r="C2086" s="2889" t="s">
        <v>1584</v>
      </c>
      <c r="D2086" s="2889" t="s">
        <v>1559</v>
      </c>
      <c r="E2086" s="2889" t="s">
        <v>217</v>
      </c>
      <c r="F2086" s="2890">
        <v>0.53570644194286676</v>
      </c>
      <c r="G2086" s="2890">
        <v>681.7885846632546</v>
      </c>
    </row>
    <row r="2087" spans="2:7" ht="15" hidden="1" outlineLevel="2">
      <c r="B2087" s="2889" t="s">
        <v>1639</v>
      </c>
      <c r="C2087" s="2889" t="s">
        <v>1584</v>
      </c>
      <c r="D2087" s="2889" t="s">
        <v>1559</v>
      </c>
      <c r="E2087" s="2889" t="s">
        <v>217</v>
      </c>
      <c r="F2087" s="2890">
        <v>2.8383300247772962</v>
      </c>
      <c r="G2087" s="2890">
        <v>3603.7668443362363</v>
      </c>
    </row>
    <row r="2088" spans="2:7" ht="15" hidden="1" outlineLevel="2">
      <c r="B2088" s="2889" t="s">
        <v>1640</v>
      </c>
      <c r="C2088" s="2889" t="s">
        <v>1584</v>
      </c>
      <c r="D2088" s="2889" t="s">
        <v>1559</v>
      </c>
      <c r="E2088" s="2889" t="s">
        <v>217</v>
      </c>
      <c r="F2088" s="2890">
        <v>0.62644835476493144</v>
      </c>
      <c r="G2088" s="2890">
        <v>791.92024624533917</v>
      </c>
    </row>
    <row r="2089" spans="2:7" ht="15" hidden="1" outlineLevel="2">
      <c r="B2089" s="2889" t="s">
        <v>1641</v>
      </c>
      <c r="C2089" s="2889" t="s">
        <v>1584</v>
      </c>
      <c r="D2089" s="2889" t="s">
        <v>1559</v>
      </c>
      <c r="E2089" s="2889" t="s">
        <v>217</v>
      </c>
      <c r="F2089" s="2890">
        <v>3.1679213214483326</v>
      </c>
      <c r="G2089" s="2890">
        <v>4010.1103225238126</v>
      </c>
    </row>
    <row r="2090" spans="2:7" ht="15" hidden="1" outlineLevel="2">
      <c r="B2090" s="2889" t="s">
        <v>1642</v>
      </c>
      <c r="C2090" s="2889" t="s">
        <v>1584</v>
      </c>
      <c r="D2090" s="2889" t="s">
        <v>1559</v>
      </c>
      <c r="E2090" s="2889" t="s">
        <v>217</v>
      </c>
      <c r="F2090" s="2890">
        <v>3.5310578554213126</v>
      </c>
      <c r="G2090" s="2890">
        <v>4469.7861974756388</v>
      </c>
    </row>
    <row r="2091" spans="2:7" ht="15" hidden="1" outlineLevel="2">
      <c r="B2091" s="2889" t="s">
        <v>1643</v>
      </c>
      <c r="C2091" s="2889" t="s">
        <v>1584</v>
      </c>
      <c r="D2091" s="2889" t="s">
        <v>1559</v>
      </c>
      <c r="E2091" s="2889" t="s">
        <v>217</v>
      </c>
      <c r="F2091" s="2890">
        <v>0.56235470343002703</v>
      </c>
      <c r="G2091" s="2890">
        <v>710.90330222529269</v>
      </c>
    </row>
    <row r="2092" spans="2:7" ht="15" hidden="1" outlineLevel="2">
      <c r="B2092" s="2889" t="s">
        <v>1644</v>
      </c>
      <c r="C2092" s="2889" t="s">
        <v>1584</v>
      </c>
      <c r="D2092" s="2889" t="s">
        <v>1559</v>
      </c>
      <c r="E2092" s="2889" t="s">
        <v>217</v>
      </c>
      <c r="F2092" s="2890">
        <v>12.572048433629616</v>
      </c>
      <c r="G2092" s="2890">
        <v>15962.454425927719</v>
      </c>
    </row>
    <row r="2093" spans="2:7" ht="15" hidden="1" outlineLevel="2">
      <c r="B2093" s="2889" t="s">
        <v>1645</v>
      </c>
      <c r="C2093" s="2889" t="s">
        <v>1584</v>
      </c>
      <c r="D2093" s="2889" t="s">
        <v>1559</v>
      </c>
      <c r="E2093" s="2889" t="s">
        <v>217</v>
      </c>
      <c r="F2093" s="2890">
        <v>11.25426698434277</v>
      </c>
      <c r="G2093" s="2890">
        <v>14289.30448952854</v>
      </c>
    </row>
    <row r="2094" spans="2:7" ht="15" hidden="1" outlineLevel="2">
      <c r="B2094" s="2889" t="s">
        <v>1646</v>
      </c>
      <c r="C2094" s="2889" t="s">
        <v>1584</v>
      </c>
      <c r="D2094" s="2889" t="s">
        <v>1559</v>
      </c>
      <c r="E2094" s="2889" t="s">
        <v>217</v>
      </c>
      <c r="F2094" s="3039">
        <v>0.64102394752360337</v>
      </c>
      <c r="G2094" s="2890">
        <v>811.4392655361936</v>
      </c>
    </row>
    <row r="2095" spans="2:7" ht="15" hidden="1" outlineLevel="2">
      <c r="B2095" s="2889" t="s">
        <v>1647</v>
      </c>
      <c r="C2095" s="2889" t="s">
        <v>1584</v>
      </c>
      <c r="D2095" s="2889" t="s">
        <v>1559</v>
      </c>
      <c r="E2095" s="2889" t="s">
        <v>217</v>
      </c>
      <c r="F2095" s="3039">
        <v>1.3025591158974654</v>
      </c>
      <c r="G2095" s="2890">
        <v>1657.7539391282301</v>
      </c>
    </row>
    <row r="2096" spans="2:7" ht="15" hidden="1" outlineLevel="2">
      <c r="B2096" s="2889" t="s">
        <v>1648</v>
      </c>
      <c r="C2096" s="2889" t="s">
        <v>1584</v>
      </c>
      <c r="D2096" s="2889" t="s">
        <v>1559</v>
      </c>
      <c r="E2096" s="2889" t="s">
        <v>217</v>
      </c>
      <c r="F2096" s="3039">
        <v>0.36543610316616648</v>
      </c>
      <c r="G2096" s="2890">
        <v>465.08712440586658</v>
      </c>
    </row>
    <row r="2097" spans="2:7" ht="15" hidden="1" outlineLevel="2">
      <c r="B2097" s="2889" t="s">
        <v>1649</v>
      </c>
      <c r="C2097" s="2889" t="s">
        <v>1584</v>
      </c>
      <c r="D2097" s="2889" t="s">
        <v>1559</v>
      </c>
      <c r="E2097" s="2889" t="s">
        <v>217</v>
      </c>
      <c r="F2097" s="3039">
        <v>0.62064177112519137</v>
      </c>
      <c r="G2097" s="2890">
        <v>789.88464638789674</v>
      </c>
    </row>
    <row r="2098" spans="2:7" ht="15" hidden="1" outlineLevel="2">
      <c r="B2098" s="2889" t="s">
        <v>1650</v>
      </c>
      <c r="C2098" s="2889" t="s">
        <v>1584</v>
      </c>
      <c r="D2098" s="2889" t="s">
        <v>1559</v>
      </c>
      <c r="E2098" s="2889" t="s">
        <v>217</v>
      </c>
      <c r="F2098" s="3039">
        <v>1.9854911789044694</v>
      </c>
      <c r="G2098" s="2890">
        <v>2509.9437120859293</v>
      </c>
    </row>
    <row r="2099" spans="2:7" ht="15" hidden="1" outlineLevel="2">
      <c r="B2099" s="2889" t="s">
        <v>1651</v>
      </c>
      <c r="C2099" s="2889" t="s">
        <v>1584</v>
      </c>
      <c r="D2099" s="2889" t="s">
        <v>1559</v>
      </c>
      <c r="E2099" s="2889" t="s">
        <v>217</v>
      </c>
      <c r="F2099" s="3039">
        <v>1.2942724285890759</v>
      </c>
      <c r="G2099" s="2890">
        <v>1647.208429746001</v>
      </c>
    </row>
    <row r="2100" spans="2:7" ht="15" hidden="1" outlineLevel="2">
      <c r="B2100" s="2889" t="s">
        <v>1652</v>
      </c>
      <c r="C2100" s="2889" t="s">
        <v>1584</v>
      </c>
      <c r="D2100" s="2889" t="s">
        <v>1559</v>
      </c>
      <c r="E2100" s="2889" t="s">
        <v>217</v>
      </c>
      <c r="F2100" s="3039">
        <v>1.7498407621255379</v>
      </c>
      <c r="G2100" s="2890">
        <v>2227.0066210709383</v>
      </c>
    </row>
    <row r="2101" spans="2:7" ht="15" hidden="1" outlineLevel="2">
      <c r="B2101" s="2889" t="s">
        <v>1653</v>
      </c>
      <c r="C2101" s="2889" t="s">
        <v>1584</v>
      </c>
      <c r="D2101" s="2889" t="s">
        <v>1559</v>
      </c>
      <c r="E2101" s="2889" t="s">
        <v>217</v>
      </c>
      <c r="F2101" s="2890">
        <v>10.825603944712267</v>
      </c>
      <c r="G2101" s="2890">
        <v>13703.578493284267</v>
      </c>
    </row>
    <row r="2102" spans="2:7" ht="15" hidden="1" outlineLevel="2">
      <c r="B2102" s="2889" t="s">
        <v>1407</v>
      </c>
      <c r="C2102" s="2889" t="s">
        <v>1585</v>
      </c>
      <c r="D2102" s="2889" t="s">
        <v>1559</v>
      </c>
      <c r="E2102" s="2889" t="s">
        <v>217</v>
      </c>
      <c r="F2102" s="2890">
        <v>9.8731820371513124E-2</v>
      </c>
      <c r="G2102" s="2890">
        <v>138.97454405505468</v>
      </c>
    </row>
    <row r="2103" spans="2:7" ht="15" hidden="1" outlineLevel="2">
      <c r="B2103" s="2889" t="s">
        <v>1631</v>
      </c>
      <c r="C2103" s="2889" t="s">
        <v>1585</v>
      </c>
      <c r="D2103" s="2889" t="s">
        <v>1559</v>
      </c>
      <c r="E2103" s="2889" t="s">
        <v>217</v>
      </c>
      <c r="F2103" s="2890">
        <v>4.7818887861999624</v>
      </c>
      <c r="G2103" s="2890">
        <v>6659.6603572267222</v>
      </c>
    </row>
    <row r="2104" spans="2:7" ht="15" hidden="1" outlineLevel="2">
      <c r="B2104" s="2889" t="s">
        <v>1632</v>
      </c>
      <c r="C2104" s="2889" t="s">
        <v>1585</v>
      </c>
      <c r="D2104" s="2889" t="s">
        <v>1559</v>
      </c>
      <c r="E2104" s="2889" t="s">
        <v>217</v>
      </c>
      <c r="F2104" s="3039">
        <v>5.6793234798267376</v>
      </c>
      <c r="G2104" s="2890">
        <v>8004.9319206476112</v>
      </c>
    </row>
    <row r="2105" spans="2:7" ht="15" hidden="1" outlineLevel="2">
      <c r="B2105" s="2889" t="s">
        <v>1633</v>
      </c>
      <c r="C2105" s="2889" t="s">
        <v>1585</v>
      </c>
      <c r="D2105" s="2889" t="s">
        <v>1559</v>
      </c>
      <c r="E2105" s="2889" t="s">
        <v>217</v>
      </c>
      <c r="F2105" s="2890">
        <v>0.3381494511895532</v>
      </c>
      <c r="G2105" s="2890">
        <v>478.0724568013826</v>
      </c>
    </row>
    <row r="2106" spans="2:7" ht="15" hidden="1" outlineLevel="2">
      <c r="B2106" s="2889" t="s">
        <v>1634</v>
      </c>
      <c r="C2106" s="2889" t="s">
        <v>1585</v>
      </c>
      <c r="D2106" s="2889" t="s">
        <v>1559</v>
      </c>
      <c r="E2106" s="2889" t="s">
        <v>217</v>
      </c>
      <c r="F2106" s="2890">
        <v>0.10591237308504443</v>
      </c>
      <c r="G2106" s="2890">
        <v>150.09252137617935</v>
      </c>
    </row>
    <row r="2107" spans="2:7" ht="15" hidden="1" outlineLevel="2">
      <c r="B2107" s="2889" t="s">
        <v>1635</v>
      </c>
      <c r="C2107" s="2889" t="s">
        <v>1585</v>
      </c>
      <c r="D2107" s="2889" t="s">
        <v>1559</v>
      </c>
      <c r="E2107" s="2889" t="s">
        <v>217</v>
      </c>
      <c r="F2107" s="3039">
        <v>1.7905649039918408</v>
      </c>
      <c r="G2107" s="2890">
        <v>2523.7771811154616</v>
      </c>
    </row>
    <row r="2108" spans="2:7" ht="15" hidden="1" outlineLevel="2">
      <c r="B2108" s="2889" t="s">
        <v>1636</v>
      </c>
      <c r="C2108" s="2889" t="s">
        <v>1585</v>
      </c>
      <c r="D2108" s="2889" t="s">
        <v>1559</v>
      </c>
      <c r="E2108" s="2889" t="s">
        <v>217</v>
      </c>
      <c r="F2108" s="2890">
        <v>0.23266843635139792</v>
      </c>
      <c r="G2108" s="2890">
        <v>327.97978264446658</v>
      </c>
    </row>
    <row r="2109" spans="2:7" ht="15" hidden="1" outlineLevel="2">
      <c r="B2109" s="2889" t="s">
        <v>1637</v>
      </c>
      <c r="C2109" s="2889" t="s">
        <v>1585</v>
      </c>
      <c r="D2109" s="2889" t="s">
        <v>1559</v>
      </c>
      <c r="E2109" s="2889" t="s">
        <v>217</v>
      </c>
      <c r="F2109" s="2890">
        <v>0.48756441859875083</v>
      </c>
      <c r="G2109" s="2890">
        <v>689.31295254540021</v>
      </c>
    </row>
    <row r="2110" spans="2:7" ht="15" hidden="1" outlineLevel="2">
      <c r="B2110" s="2889" t="s">
        <v>1638</v>
      </c>
      <c r="C2110" s="2889" t="s">
        <v>1585</v>
      </c>
      <c r="D2110" s="2889" t="s">
        <v>1559</v>
      </c>
      <c r="E2110" s="2889" t="s">
        <v>217</v>
      </c>
      <c r="F2110" s="2890">
        <v>0.62762888049849674</v>
      </c>
      <c r="G2110" s="2890">
        <v>889.43679942306335</v>
      </c>
    </row>
    <row r="2111" spans="2:7" ht="15" hidden="1" outlineLevel="2">
      <c r="B2111" s="2889" t="s">
        <v>1639</v>
      </c>
      <c r="C2111" s="2889" t="s">
        <v>1585</v>
      </c>
      <c r="D2111" s="2889" t="s">
        <v>1559</v>
      </c>
      <c r="E2111" s="2889" t="s">
        <v>217</v>
      </c>
      <c r="F2111" s="3039">
        <v>2.9647062438839535</v>
      </c>
      <c r="G2111" s="2890">
        <v>4191.4732417448495</v>
      </c>
    </row>
    <row r="2112" spans="2:7" ht="15" hidden="1" outlineLevel="2">
      <c r="B2112" s="2889" t="s">
        <v>1640</v>
      </c>
      <c r="C2112" s="2889" t="s">
        <v>1585</v>
      </c>
      <c r="D2112" s="2889" t="s">
        <v>1559</v>
      </c>
      <c r="E2112" s="2889" t="s">
        <v>217</v>
      </c>
      <c r="F2112" s="3039">
        <v>0.63583311339246396</v>
      </c>
      <c r="G2112" s="2890">
        <v>894.99592647328836</v>
      </c>
    </row>
    <row r="2113" spans="2:7" ht="15" hidden="1" outlineLevel="2">
      <c r="B2113" s="2889" t="s">
        <v>1641</v>
      </c>
      <c r="C2113" s="2889" t="s">
        <v>1585</v>
      </c>
      <c r="D2113" s="2889" t="s">
        <v>1559</v>
      </c>
      <c r="E2113" s="2889" t="s">
        <v>217</v>
      </c>
      <c r="F2113" s="3039">
        <v>1.3054550236245357</v>
      </c>
      <c r="G2113" s="2890">
        <v>1840.0212644375199</v>
      </c>
    </row>
    <row r="2114" spans="2:7" ht="15" hidden="1" outlineLevel="2">
      <c r="B2114" s="2889" t="s">
        <v>1642</v>
      </c>
      <c r="C2114" s="2889" t="s">
        <v>1585</v>
      </c>
      <c r="D2114" s="2889" t="s">
        <v>1559</v>
      </c>
      <c r="E2114" s="2889" t="s">
        <v>217</v>
      </c>
      <c r="F2114" s="2890">
        <v>3.8414314512493908</v>
      </c>
      <c r="G2114" s="2890">
        <v>5414.442191126418</v>
      </c>
    </row>
    <row r="2115" spans="2:7" ht="15" hidden="1" outlineLevel="2">
      <c r="B2115" s="2889" t="s">
        <v>1643</v>
      </c>
      <c r="C2115" s="2889" t="s">
        <v>1585</v>
      </c>
      <c r="D2115" s="2889" t="s">
        <v>1559</v>
      </c>
      <c r="E2115" s="2889" t="s">
        <v>217</v>
      </c>
      <c r="F2115" s="2890">
        <v>0.37450784594457687</v>
      </c>
      <c r="G2115" s="2890">
        <v>527.03121638476853</v>
      </c>
    </row>
    <row r="2116" spans="2:7" ht="15" hidden="1" outlineLevel="2">
      <c r="B2116" s="2889" t="s">
        <v>1644</v>
      </c>
      <c r="C2116" s="2889" t="s">
        <v>1585</v>
      </c>
      <c r="D2116" s="2889" t="s">
        <v>1559</v>
      </c>
      <c r="E2116" s="2889" t="s">
        <v>217</v>
      </c>
      <c r="F2116" s="2890">
        <v>11.709415169861535</v>
      </c>
      <c r="G2116" s="2890">
        <v>16554.635813954741</v>
      </c>
    </row>
    <row r="2117" spans="2:7" ht="15" hidden="1" outlineLevel="2">
      <c r="B2117" s="2889" t="s">
        <v>1645</v>
      </c>
      <c r="C2117" s="2889" t="s">
        <v>1585</v>
      </c>
      <c r="D2117" s="2889" t="s">
        <v>1559</v>
      </c>
      <c r="E2117" s="2889" t="s">
        <v>217</v>
      </c>
      <c r="F2117" s="2890">
        <v>5.7210165253943561</v>
      </c>
      <c r="G2117" s="2890">
        <v>8088.3208295379363</v>
      </c>
    </row>
    <row r="2118" spans="2:7" ht="15" hidden="1" outlineLevel="2">
      <c r="B2118" s="2889" t="s">
        <v>1646</v>
      </c>
      <c r="C2118" s="2889" t="s">
        <v>1585</v>
      </c>
      <c r="D2118" s="2889" t="s">
        <v>1559</v>
      </c>
      <c r="E2118" s="2889" t="s">
        <v>217</v>
      </c>
      <c r="F2118" s="2890">
        <v>0.37467760248391674</v>
      </c>
      <c r="G2118" s="2890">
        <v>528.10327636359659</v>
      </c>
    </row>
    <row r="2119" spans="2:7" ht="15" hidden="1" outlineLevel="2">
      <c r="B2119" s="2889" t="s">
        <v>1647</v>
      </c>
      <c r="C2119" s="2889" t="s">
        <v>1585</v>
      </c>
      <c r="D2119" s="2889" t="s">
        <v>1559</v>
      </c>
      <c r="E2119" s="2889" t="s">
        <v>217</v>
      </c>
      <c r="F2119" s="2890">
        <v>0.28635563477625053</v>
      </c>
      <c r="G2119" s="2890">
        <v>405.80544999664579</v>
      </c>
    </row>
    <row r="2120" spans="2:7" ht="15" hidden="1" outlineLevel="2">
      <c r="B2120" s="2889" t="s">
        <v>1648</v>
      </c>
      <c r="C2120" s="2889" t="s">
        <v>1585</v>
      </c>
      <c r="D2120" s="2889" t="s">
        <v>1559</v>
      </c>
      <c r="E2120" s="2889" t="s">
        <v>217</v>
      </c>
      <c r="F2120" s="2890">
        <v>0.63155137017914453</v>
      </c>
      <c r="G2120" s="2890">
        <v>894.99592647328836</v>
      </c>
    </row>
    <row r="2121" spans="2:7" ht="15" hidden="1" outlineLevel="2">
      <c r="B2121" s="2889" t="s">
        <v>1649</v>
      </c>
      <c r="C2121" s="2889" t="s">
        <v>1585</v>
      </c>
      <c r="D2121" s="2889" t="s">
        <v>1559</v>
      </c>
      <c r="E2121" s="2889" t="s">
        <v>217</v>
      </c>
      <c r="F2121" s="2890">
        <v>0.61978330191632403</v>
      </c>
      <c r="G2121" s="2890">
        <v>878.31897624463556</v>
      </c>
    </row>
    <row r="2122" spans="2:7" ht="15" hidden="1" outlineLevel="2">
      <c r="B2122" s="2889" t="s">
        <v>1650</v>
      </c>
      <c r="C2122" s="2889" t="s">
        <v>1585</v>
      </c>
      <c r="D2122" s="2889" t="s">
        <v>1559</v>
      </c>
      <c r="E2122" s="2889" t="s">
        <v>217</v>
      </c>
      <c r="F2122" s="2890">
        <v>0.89253630052877686</v>
      </c>
      <c r="G2122" s="2890">
        <v>1256.3293519711069</v>
      </c>
    </row>
    <row r="2123" spans="2:7" ht="15" hidden="1" outlineLevel="2">
      <c r="B2123" s="2889" t="s">
        <v>1651</v>
      </c>
      <c r="C2123" s="2889" t="s">
        <v>1585</v>
      </c>
      <c r="D2123" s="2889" t="s">
        <v>1559</v>
      </c>
      <c r="E2123" s="2889" t="s">
        <v>217</v>
      </c>
      <c r="F2123" s="2890">
        <v>0.40011343927687959</v>
      </c>
      <c r="G2123" s="2890">
        <v>567.01566853723773</v>
      </c>
    </row>
    <row r="2124" spans="2:7" ht="15" hidden="1" outlineLevel="2">
      <c r="B2124" s="2889" t="s">
        <v>1652</v>
      </c>
      <c r="C2124" s="2889" t="s">
        <v>1585</v>
      </c>
      <c r="D2124" s="2889" t="s">
        <v>1559</v>
      </c>
      <c r="E2124" s="2889" t="s">
        <v>217</v>
      </c>
      <c r="F2124" s="2890">
        <v>0.63155137013676532</v>
      </c>
      <c r="G2124" s="2890">
        <v>894.99592640877063</v>
      </c>
    </row>
    <row r="2125" spans="2:7" ht="15" hidden="1" outlineLevel="2">
      <c r="B2125" s="2889" t="s">
        <v>1653</v>
      </c>
      <c r="C2125" s="2889" t="s">
        <v>1585</v>
      </c>
      <c r="D2125" s="2889" t="s">
        <v>1559</v>
      </c>
      <c r="E2125" s="2889" t="s">
        <v>217</v>
      </c>
      <c r="F2125" s="3039">
        <v>0.71385943869658741</v>
      </c>
      <c r="G2125" s="2890">
        <v>1006.1756249925194</v>
      </c>
    </row>
    <row r="2126" spans="2:7" ht="15" hidden="1" outlineLevel="2">
      <c r="B2126" s="2889" t="s">
        <v>1407</v>
      </c>
      <c r="C2126" s="2889" t="s">
        <v>1586</v>
      </c>
      <c r="D2126" s="2889" t="s">
        <v>1559</v>
      </c>
      <c r="E2126" s="2889" t="s">
        <v>217</v>
      </c>
      <c r="F2126" s="3039">
        <v>1.111495915818419E-2</v>
      </c>
      <c r="G2126" s="2890">
        <v>23.267234694447765</v>
      </c>
    </row>
    <row r="2127" spans="2:7" ht="15" hidden="1" outlineLevel="2">
      <c r="B2127" s="2889" t="s">
        <v>1631</v>
      </c>
      <c r="C2127" s="2889" t="s">
        <v>1586</v>
      </c>
      <c r="D2127" s="2889" t="s">
        <v>1559</v>
      </c>
      <c r="E2127" s="2889" t="s">
        <v>217</v>
      </c>
      <c r="F2127" s="2890">
        <v>0.53825425033547436</v>
      </c>
      <c r="G2127" s="2890">
        <v>1114.9658312192089</v>
      </c>
    </row>
    <row r="2128" spans="2:7" ht="15" hidden="1" outlineLevel="2">
      <c r="B2128" s="2889" t="s">
        <v>1632</v>
      </c>
      <c r="C2128" s="2889" t="s">
        <v>1586</v>
      </c>
      <c r="D2128" s="2889" t="s">
        <v>1559</v>
      </c>
      <c r="E2128" s="2889" t="s">
        <v>217</v>
      </c>
      <c r="F2128" s="2890">
        <v>0.63937430061916989</v>
      </c>
      <c r="G2128" s="2890">
        <v>1340.1929573946832</v>
      </c>
    </row>
    <row r="2129" spans="2:7" ht="15" hidden="1" outlineLevel="2">
      <c r="B2129" s="2889" t="s">
        <v>1633</v>
      </c>
      <c r="C2129" s="2889" t="s">
        <v>1586</v>
      </c>
      <c r="D2129" s="2889" t="s">
        <v>1559</v>
      </c>
      <c r="E2129" s="2889" t="s">
        <v>217</v>
      </c>
      <c r="F2129" s="2890">
        <v>3.80702306582461E-2</v>
      </c>
      <c r="G2129" s="2890">
        <v>80.039269146183671</v>
      </c>
    </row>
    <row r="2130" spans="2:7" ht="15" hidden="1" outlineLevel="2">
      <c r="B2130" s="2889" t="s">
        <v>1634</v>
      </c>
      <c r="C2130" s="2889" t="s">
        <v>1586</v>
      </c>
      <c r="D2130" s="2889" t="s">
        <v>1559</v>
      </c>
      <c r="E2130" s="2889" t="s">
        <v>217</v>
      </c>
      <c r="F2130" s="2890">
        <v>1.192442424000179E-2</v>
      </c>
      <c r="G2130" s="2890">
        <v>25.128615121888387</v>
      </c>
    </row>
    <row r="2131" spans="2:7" ht="15" hidden="1" outlineLevel="2">
      <c r="B2131" s="2889" t="s">
        <v>1635</v>
      </c>
      <c r="C2131" s="2889" t="s">
        <v>1586</v>
      </c>
      <c r="D2131" s="2889" t="s">
        <v>1559</v>
      </c>
      <c r="E2131" s="2889" t="s">
        <v>217</v>
      </c>
      <c r="F2131" s="2890">
        <v>0.20158049864185737</v>
      </c>
      <c r="G2131" s="2890">
        <v>422.53287225050303</v>
      </c>
    </row>
    <row r="2132" spans="2:7" ht="15" hidden="1" outlineLevel="2">
      <c r="B2132" s="2889" t="s">
        <v>1636</v>
      </c>
      <c r="C2132" s="2889" t="s">
        <v>1586</v>
      </c>
      <c r="D2132" s="2889" t="s">
        <v>1559</v>
      </c>
      <c r="E2132" s="2889" t="s">
        <v>217</v>
      </c>
      <c r="F2132" s="2890">
        <v>2.6193693668600432E-2</v>
      </c>
      <c r="G2132" s="2890">
        <v>54.910670559544528</v>
      </c>
    </row>
    <row r="2133" spans="2:7" ht="15" hidden="1" outlineLevel="2">
      <c r="B2133" s="2889" t="s">
        <v>1637</v>
      </c>
      <c r="C2133" s="2889" t="s">
        <v>1586</v>
      </c>
      <c r="D2133" s="2889" t="s">
        <v>1559</v>
      </c>
      <c r="E2133" s="2889" t="s">
        <v>217</v>
      </c>
      <c r="F2133" s="2890">
        <v>5.4891951156968939E-2</v>
      </c>
      <c r="G2133" s="2890">
        <v>115.40551068013789</v>
      </c>
    </row>
    <row r="2134" spans="2:7" ht="15" hidden="1" outlineLevel="2">
      <c r="B2134" s="2889" t="s">
        <v>1638</v>
      </c>
      <c r="C2134" s="2889" t="s">
        <v>1586</v>
      </c>
      <c r="D2134" s="2889" t="s">
        <v>1559</v>
      </c>
      <c r="E2134" s="2889" t="s">
        <v>217</v>
      </c>
      <c r="F2134" s="2890">
        <v>7.0663275943811707E-2</v>
      </c>
      <c r="G2134" s="2890">
        <v>148.91035375745594</v>
      </c>
    </row>
    <row r="2135" spans="2:7" ht="15" hidden="1" outlineLevel="2">
      <c r="B2135" s="2889" t="s">
        <v>1639</v>
      </c>
      <c r="C2135" s="2889" t="s">
        <v>1586</v>
      </c>
      <c r="D2135" s="2889" t="s">
        <v>1559</v>
      </c>
      <c r="E2135" s="2889" t="s">
        <v>217</v>
      </c>
      <c r="F2135" s="2890">
        <v>0.33377839603271947</v>
      </c>
      <c r="G2135" s="2890">
        <v>701.73982459826391</v>
      </c>
    </row>
    <row r="2136" spans="2:7" ht="15" hidden="1" outlineLevel="2">
      <c r="B2136" s="2889" t="s">
        <v>1640</v>
      </c>
      <c r="C2136" s="2889" t="s">
        <v>1586</v>
      </c>
      <c r="D2136" s="2889" t="s">
        <v>1559</v>
      </c>
      <c r="E2136" s="2889" t="s">
        <v>217</v>
      </c>
      <c r="F2136" s="2890">
        <v>7.1580345296223938E-2</v>
      </c>
      <c r="G2136" s="2890">
        <v>149.84093283548589</v>
      </c>
    </row>
    <row r="2137" spans="2:7" ht="15" hidden="1" outlineLevel="2">
      <c r="B2137" s="2889" t="s">
        <v>1641</v>
      </c>
      <c r="C2137" s="2889" t="s">
        <v>1586</v>
      </c>
      <c r="D2137" s="2889" t="s">
        <v>1559</v>
      </c>
      <c r="E2137" s="2889" t="s">
        <v>217</v>
      </c>
      <c r="F2137" s="2890">
        <v>0.14696726950226877</v>
      </c>
      <c r="G2137" s="2890">
        <v>308.0581255130312</v>
      </c>
    </row>
    <row r="2138" spans="2:7" ht="15" hidden="1" outlineLevel="2">
      <c r="B2138" s="2889" t="s">
        <v>1642</v>
      </c>
      <c r="C2138" s="2889" t="s">
        <v>1586</v>
      </c>
      <c r="D2138" s="2889" t="s">
        <v>1559</v>
      </c>
      <c r="E2138" s="2889" t="s">
        <v>217</v>
      </c>
      <c r="F2138" s="2890">
        <v>0.43246570465736656</v>
      </c>
      <c r="G2138" s="2890">
        <v>906.49145017311707</v>
      </c>
    </row>
    <row r="2139" spans="2:7" ht="15" hidden="1" outlineLevel="2">
      <c r="B2139" s="2889" t="s">
        <v>1643</v>
      </c>
      <c r="C2139" s="2889" t="s">
        <v>1586</v>
      </c>
      <c r="D2139" s="2889" t="s">
        <v>1559</v>
      </c>
      <c r="E2139" s="2889" t="s">
        <v>217</v>
      </c>
      <c r="F2139" s="2890">
        <v>4.2160929082751916E-2</v>
      </c>
      <c r="G2139" s="2890">
        <v>88.236110226455764</v>
      </c>
    </row>
    <row r="2140" spans="2:7" ht="15" hidden="1" outlineLevel="2">
      <c r="B2140" s="2889" t="s">
        <v>1644</v>
      </c>
      <c r="C2140" s="2889" t="s">
        <v>1586</v>
      </c>
      <c r="D2140" s="2889" t="s">
        <v>1559</v>
      </c>
      <c r="E2140" s="2889" t="s">
        <v>217</v>
      </c>
      <c r="F2140" s="2890">
        <v>1.3182924372319673</v>
      </c>
      <c r="G2140" s="2890">
        <v>2771.5935124536718</v>
      </c>
    </row>
    <row r="2141" spans="2:7" ht="15" hidden="1" outlineLevel="2">
      <c r="B2141" s="2889" t="s">
        <v>1645</v>
      </c>
      <c r="C2141" s="2889" t="s">
        <v>1586</v>
      </c>
      <c r="D2141" s="2889" t="s">
        <v>1559</v>
      </c>
      <c r="E2141" s="2889" t="s">
        <v>217</v>
      </c>
      <c r="F2141" s="2890">
        <v>0.64409537570168574</v>
      </c>
      <c r="G2141" s="2890">
        <v>1354.1535765046028</v>
      </c>
    </row>
    <row r="2142" spans="2:7" ht="15" hidden="1" outlineLevel="2">
      <c r="B2142" s="2889" t="s">
        <v>1646</v>
      </c>
      <c r="C2142" s="2889" t="s">
        <v>1586</v>
      </c>
      <c r="D2142" s="2889" t="s">
        <v>1559</v>
      </c>
      <c r="E2142" s="2889" t="s">
        <v>217</v>
      </c>
      <c r="F2142" s="3039">
        <v>4.2180962039840342E-2</v>
      </c>
      <c r="G2142" s="2890">
        <v>88.41547822238465</v>
      </c>
    </row>
    <row r="2143" spans="2:7" ht="15" hidden="1" outlineLevel="2">
      <c r="B2143" s="2889" t="s">
        <v>1647</v>
      </c>
      <c r="C2143" s="2889" t="s">
        <v>1586</v>
      </c>
      <c r="D2143" s="2889" t="s">
        <v>1559</v>
      </c>
      <c r="E2143" s="2889" t="s">
        <v>217</v>
      </c>
      <c r="F2143" s="3039">
        <v>3.2240112843075611E-2</v>
      </c>
      <c r="G2143" s="2890">
        <v>67.940305769943521</v>
      </c>
    </row>
    <row r="2144" spans="2:7" ht="15" hidden="1" outlineLevel="2">
      <c r="B2144" s="2889" t="s">
        <v>1648</v>
      </c>
      <c r="C2144" s="2889" t="s">
        <v>1586</v>
      </c>
      <c r="D2144" s="2889" t="s">
        <v>1559</v>
      </c>
      <c r="E2144" s="2889" t="s">
        <v>217</v>
      </c>
      <c r="F2144" s="3039">
        <v>7.1104884639453053E-2</v>
      </c>
      <c r="G2144" s="2890">
        <v>149.84093283548589</v>
      </c>
    </row>
    <row r="2145" spans="2:7" ht="15" hidden="1" outlineLevel="2">
      <c r="B2145" s="2889" t="s">
        <v>1649</v>
      </c>
      <c r="C2145" s="2889" t="s">
        <v>1586</v>
      </c>
      <c r="D2145" s="2889" t="s">
        <v>1559</v>
      </c>
      <c r="E2145" s="2889" t="s">
        <v>217</v>
      </c>
      <c r="F2145" s="3039">
        <v>6.9779990908282477E-2</v>
      </c>
      <c r="G2145" s="2890">
        <v>147.04889192223163</v>
      </c>
    </row>
    <row r="2146" spans="2:7" ht="15" hidden="1" outlineLevel="2">
      <c r="B2146" s="2889" t="s">
        <v>1650</v>
      </c>
      <c r="C2146" s="2889" t="s">
        <v>1586</v>
      </c>
      <c r="D2146" s="2889" t="s">
        <v>1559</v>
      </c>
      <c r="E2146" s="2889" t="s">
        <v>217</v>
      </c>
      <c r="F2146" s="3039">
        <v>0.10047925675920505</v>
      </c>
      <c r="G2146" s="2890">
        <v>210.33576996412668</v>
      </c>
    </row>
    <row r="2147" spans="2:7" ht="15" hidden="1" outlineLevel="2">
      <c r="B2147" s="2889" t="s">
        <v>1651</v>
      </c>
      <c r="C2147" s="2889" t="s">
        <v>1586</v>
      </c>
      <c r="D2147" s="2889" t="s">
        <v>1559</v>
      </c>
      <c r="E2147" s="2889" t="s">
        <v>217</v>
      </c>
      <c r="F2147" s="3039">
        <v>4.5047840762684574E-2</v>
      </c>
      <c r="G2147" s="2890">
        <v>94.930315318806251</v>
      </c>
    </row>
    <row r="2148" spans="2:7" ht="15" hidden="1" outlineLevel="2">
      <c r="B2148" s="2889" t="s">
        <v>1652</v>
      </c>
      <c r="C2148" s="2889" t="s">
        <v>1586</v>
      </c>
      <c r="D2148" s="2889" t="s">
        <v>1559</v>
      </c>
      <c r="E2148" s="2889" t="s">
        <v>217</v>
      </c>
      <c r="F2148" s="3039">
        <v>7.1104884639037413E-2</v>
      </c>
      <c r="G2148" s="2890">
        <v>149.84093284011928</v>
      </c>
    </row>
    <row r="2149" spans="2:7" ht="15" hidden="1" outlineLevel="2">
      <c r="B2149" s="2889" t="s">
        <v>1653</v>
      </c>
      <c r="C2149" s="2889" t="s">
        <v>1586</v>
      </c>
      <c r="D2149" s="2889" t="s">
        <v>1559</v>
      </c>
      <c r="E2149" s="2889" t="s">
        <v>217</v>
      </c>
      <c r="F2149" s="3039">
        <v>8.0365826016787531E-2</v>
      </c>
      <c r="G2149" s="2890">
        <v>168.45476863086748</v>
      </c>
    </row>
    <row r="2150" spans="2:7" ht="15" hidden="1" outlineLevel="2">
      <c r="B2150" s="2889" t="s">
        <v>1407</v>
      </c>
      <c r="C2150" s="2889" t="s">
        <v>1587</v>
      </c>
      <c r="D2150" s="2889" t="s">
        <v>1559</v>
      </c>
      <c r="E2150" s="2889" t="s">
        <v>217</v>
      </c>
      <c r="F2150" s="3039">
        <v>0.30920262396960679</v>
      </c>
      <c r="G2150" s="2890">
        <v>448.34078988604381</v>
      </c>
    </row>
    <row r="2151" spans="2:7" ht="15" hidden="1" outlineLevel="2">
      <c r="B2151" s="2889" t="s">
        <v>1631</v>
      </c>
      <c r="C2151" s="2889" t="s">
        <v>1587</v>
      </c>
      <c r="D2151" s="2889" t="s">
        <v>1559</v>
      </c>
      <c r="E2151" s="2889" t="s">
        <v>217</v>
      </c>
      <c r="F2151" s="3039">
        <v>14.975636663005217</v>
      </c>
      <c r="G2151" s="2890">
        <v>21484.486960780298</v>
      </c>
    </row>
    <row r="2152" spans="2:7" ht="15" hidden="1" outlineLevel="2">
      <c r="B2152" s="2889" t="s">
        <v>1632</v>
      </c>
      <c r="C2152" s="2889" t="s">
        <v>1587</v>
      </c>
      <c r="D2152" s="2889" t="s">
        <v>1559</v>
      </c>
      <c r="E2152" s="2889" t="s">
        <v>217</v>
      </c>
      <c r="F2152" s="2890">
        <v>17.786171173856982</v>
      </c>
      <c r="G2152" s="2890">
        <v>25824.417351631822</v>
      </c>
    </row>
    <row r="2153" spans="2:7" ht="15" hidden="1" outlineLevel="2">
      <c r="B2153" s="2889" t="s">
        <v>1633</v>
      </c>
      <c r="C2153" s="2889" t="s">
        <v>1587</v>
      </c>
      <c r="D2153" s="2889" t="s">
        <v>1559</v>
      </c>
      <c r="E2153" s="2889" t="s">
        <v>217</v>
      </c>
      <c r="F2153" s="2890">
        <v>1.0589968067637747</v>
      </c>
      <c r="G2153" s="2890">
        <v>1542.2927073022538</v>
      </c>
    </row>
    <row r="2154" spans="2:7" ht="15" hidden="1" outlineLevel="2">
      <c r="B2154" s="2889" t="s">
        <v>1634</v>
      </c>
      <c r="C2154" s="2889" t="s">
        <v>1587</v>
      </c>
      <c r="D2154" s="2889" t="s">
        <v>1559</v>
      </c>
      <c r="E2154" s="2889" t="s">
        <v>217</v>
      </c>
      <c r="F2154" s="3039">
        <v>0.331690181808383</v>
      </c>
      <c r="G2154" s="2890">
        <v>484.20787475579505</v>
      </c>
    </row>
    <row r="2155" spans="2:7" ht="15" hidden="1" outlineLevel="2">
      <c r="B2155" s="2889" t="s">
        <v>1635</v>
      </c>
      <c r="C2155" s="2889" t="s">
        <v>1587</v>
      </c>
      <c r="D2155" s="2889" t="s">
        <v>1559</v>
      </c>
      <c r="E2155" s="2889" t="s">
        <v>217</v>
      </c>
      <c r="F2155" s="2890">
        <v>5.6075855770558851</v>
      </c>
      <c r="G2155" s="2890">
        <v>8141.8683241916942</v>
      </c>
    </row>
    <row r="2156" spans="2:7" ht="15" hidden="1" outlineLevel="2">
      <c r="B2156" s="2889" t="s">
        <v>1636</v>
      </c>
      <c r="C2156" s="2889" t="s">
        <v>1587</v>
      </c>
      <c r="D2156" s="2889" t="s">
        <v>1559</v>
      </c>
      <c r="E2156" s="2889" t="s">
        <v>217</v>
      </c>
      <c r="F2156" s="2890">
        <v>0.72865778340282439</v>
      </c>
      <c r="G2156" s="2890">
        <v>1058.084438920474</v>
      </c>
    </row>
    <row r="2157" spans="2:7" ht="15" hidden="1" outlineLevel="2">
      <c r="B2157" s="2889" t="s">
        <v>1637</v>
      </c>
      <c r="C2157" s="2889" t="s">
        <v>1587</v>
      </c>
      <c r="D2157" s="2889" t="s">
        <v>1559</v>
      </c>
      <c r="E2157" s="2889" t="s">
        <v>217</v>
      </c>
      <c r="F2157" s="2890">
        <v>1.526925745334281</v>
      </c>
      <c r="G2157" s="2890">
        <v>2223.7698673974814</v>
      </c>
    </row>
    <row r="2158" spans="2:7" ht="15" hidden="1" outlineLevel="2">
      <c r="B2158" s="2889" t="s">
        <v>1638</v>
      </c>
      <c r="C2158" s="2889" t="s">
        <v>1587</v>
      </c>
      <c r="D2158" s="2889" t="s">
        <v>1559</v>
      </c>
      <c r="E2158" s="2889" t="s">
        <v>217</v>
      </c>
      <c r="F2158" s="2890">
        <v>1.9655724865476574</v>
      </c>
      <c r="G2158" s="2890">
        <v>2869.3802728110709</v>
      </c>
    </row>
    <row r="2159" spans="2:7" ht="15" hidden="1" outlineLevel="2">
      <c r="B2159" s="2889" t="s">
        <v>1639</v>
      </c>
      <c r="C2159" s="2889" t="s">
        <v>1587</v>
      </c>
      <c r="D2159" s="2889" t="s">
        <v>1559</v>
      </c>
      <c r="E2159" s="2889" t="s">
        <v>217</v>
      </c>
      <c r="F2159" s="2890">
        <v>9.2846954933479999</v>
      </c>
      <c r="G2159" s="2890">
        <v>13521.951504251236</v>
      </c>
    </row>
    <row r="2160" spans="2:7" ht="15" hidden="1" outlineLevel="2">
      <c r="B2160" s="2889" t="s">
        <v>1640</v>
      </c>
      <c r="C2160" s="2889" t="s">
        <v>1587</v>
      </c>
      <c r="D2160" s="2889" t="s">
        <v>1559</v>
      </c>
      <c r="E2160" s="2889" t="s">
        <v>217</v>
      </c>
      <c r="F2160" s="2890">
        <v>1.9912658343330922</v>
      </c>
      <c r="G2160" s="2890">
        <v>2887.3139194418413</v>
      </c>
    </row>
    <row r="2161" spans="2:7" ht="15" hidden="1" outlineLevel="2">
      <c r="B2161" s="2889" t="s">
        <v>1641</v>
      </c>
      <c r="C2161" s="2889" t="s">
        <v>1587</v>
      </c>
      <c r="D2161" s="2889" t="s">
        <v>1559</v>
      </c>
      <c r="E2161" s="2889" t="s">
        <v>217</v>
      </c>
      <c r="F2161" s="2890">
        <v>4.0883491321572016</v>
      </c>
      <c r="G2161" s="2890">
        <v>5936.0305185143961</v>
      </c>
    </row>
    <row r="2162" spans="2:7" ht="15" hidden="1" outlineLevel="2">
      <c r="B2162" s="2889" t="s">
        <v>1642</v>
      </c>
      <c r="C2162" s="2889" t="s">
        <v>1587</v>
      </c>
      <c r="D2162" s="2889" t="s">
        <v>1559</v>
      </c>
      <c r="E2162" s="2889" t="s">
        <v>217</v>
      </c>
      <c r="F2162" s="2890">
        <v>12.030372964353038</v>
      </c>
      <c r="G2162" s="2890">
        <v>17467.351723492488</v>
      </c>
    </row>
    <row r="2163" spans="2:7" ht="15" hidden="1" outlineLevel="2">
      <c r="B2163" s="2889" t="s">
        <v>1643</v>
      </c>
      <c r="C2163" s="2889" t="s">
        <v>1587</v>
      </c>
      <c r="D2163" s="2889" t="s">
        <v>1559</v>
      </c>
      <c r="E2163" s="2889" t="s">
        <v>217</v>
      </c>
      <c r="F2163" s="2890">
        <v>1.1728622427297686</v>
      </c>
      <c r="G2163" s="2890">
        <v>1700.2374982243437</v>
      </c>
    </row>
    <row r="2164" spans="2:7" ht="15" hidden="1" outlineLevel="2">
      <c r="B2164" s="2889" t="s">
        <v>1644</v>
      </c>
      <c r="C2164" s="2889" t="s">
        <v>1587</v>
      </c>
      <c r="D2164" s="2889" t="s">
        <v>1559</v>
      </c>
      <c r="E2164" s="2889" t="s">
        <v>217</v>
      </c>
      <c r="F2164" s="2890">
        <v>36.670852629048511</v>
      </c>
      <c r="G2164" s="2890">
        <v>53406.353060423637</v>
      </c>
    </row>
    <row r="2165" spans="2:7" ht="15" hidden="1" outlineLevel="2">
      <c r="B2165" s="2889" t="s">
        <v>1645</v>
      </c>
      <c r="C2165" s="2889" t="s">
        <v>1587</v>
      </c>
      <c r="D2165" s="2889" t="s">
        <v>1559</v>
      </c>
      <c r="E2165" s="2889" t="s">
        <v>217</v>
      </c>
      <c r="F2165" s="2890">
        <v>17.916751636228618</v>
      </c>
      <c r="G2165" s="2890">
        <v>26093.420432488885</v>
      </c>
    </row>
    <row r="2166" spans="2:7" ht="15" hidden="1" outlineLevel="2">
      <c r="B2166" s="2889" t="s">
        <v>1646</v>
      </c>
      <c r="C2166" s="2889" t="s">
        <v>1587</v>
      </c>
      <c r="D2166" s="2889" t="s">
        <v>1559</v>
      </c>
      <c r="E2166" s="2889" t="s">
        <v>217</v>
      </c>
      <c r="F2166" s="2890">
        <v>1.1733934741531256</v>
      </c>
      <c r="G2166" s="2890">
        <v>1703.694372615621</v>
      </c>
    </row>
    <row r="2167" spans="2:7" ht="15" hidden="1" outlineLevel="2">
      <c r="B2167" s="2889" t="s">
        <v>1647</v>
      </c>
      <c r="C2167" s="2889" t="s">
        <v>1587</v>
      </c>
      <c r="D2167" s="2889" t="s">
        <v>1559</v>
      </c>
      <c r="E2167" s="2889" t="s">
        <v>217</v>
      </c>
      <c r="F2167" s="2890">
        <v>0.89679238519223126</v>
      </c>
      <c r="G2167" s="2890">
        <v>1309.1541839779509</v>
      </c>
    </row>
    <row r="2168" spans="2:7" ht="15" hidden="1" outlineLevel="2">
      <c r="B2168" s="2889" t="s">
        <v>1648</v>
      </c>
      <c r="C2168" s="2889" t="s">
        <v>1587</v>
      </c>
      <c r="D2168" s="2889" t="s">
        <v>1559</v>
      </c>
      <c r="E2168" s="2889" t="s">
        <v>217</v>
      </c>
      <c r="F2168" s="2890">
        <v>1.9778568648749124</v>
      </c>
      <c r="G2168" s="2890">
        <v>2887.3139194418413</v>
      </c>
    </row>
    <row r="2169" spans="2:7" ht="15" hidden="1" outlineLevel="2">
      <c r="B2169" s="2889" t="s">
        <v>1649</v>
      </c>
      <c r="C2169" s="2889" t="s">
        <v>1587</v>
      </c>
      <c r="D2169" s="2889" t="s">
        <v>1559</v>
      </c>
      <c r="E2169" s="2889" t="s">
        <v>217</v>
      </c>
      <c r="F2169" s="2890">
        <v>1.9410021448928103</v>
      </c>
      <c r="G2169" s="2890">
        <v>2833.513502546462</v>
      </c>
    </row>
    <row r="2170" spans="2:7" ht="15" hidden="1" outlineLevel="2">
      <c r="B2170" s="2889" t="s">
        <v>1650</v>
      </c>
      <c r="C2170" s="2889" t="s">
        <v>1587</v>
      </c>
      <c r="D2170" s="2889" t="s">
        <v>1559</v>
      </c>
      <c r="E2170" s="2889" t="s">
        <v>217</v>
      </c>
      <c r="F2170" s="2890">
        <v>2.7951918343631981</v>
      </c>
      <c r="G2170" s="2890">
        <v>4053.0020365206396</v>
      </c>
    </row>
    <row r="2171" spans="2:7" ht="15" hidden="1" outlineLevel="2">
      <c r="B2171" s="2889" t="s">
        <v>1651</v>
      </c>
      <c r="C2171" s="2889" t="s">
        <v>1587</v>
      </c>
      <c r="D2171" s="2889" t="s">
        <v>1559</v>
      </c>
      <c r="E2171" s="2889" t="s">
        <v>217</v>
      </c>
      <c r="F2171" s="2890">
        <v>1.2530520612754668</v>
      </c>
      <c r="G2171" s="2890">
        <v>1829.2295106599977</v>
      </c>
    </row>
    <row r="2172" spans="2:7" ht="15" hidden="1" outlineLevel="2">
      <c r="B2172" s="2889" t="s">
        <v>1652</v>
      </c>
      <c r="C2172" s="2889" t="s">
        <v>1587</v>
      </c>
      <c r="D2172" s="2889" t="s">
        <v>1559</v>
      </c>
      <c r="E2172" s="2889" t="s">
        <v>217</v>
      </c>
      <c r="F2172" s="2890">
        <v>1.9778568648833503</v>
      </c>
      <c r="G2172" s="2890">
        <v>2887.3139192750727</v>
      </c>
    </row>
    <row r="2173" spans="2:7" ht="15" hidden="1" outlineLevel="2">
      <c r="B2173" s="2889" t="s">
        <v>1653</v>
      </c>
      <c r="C2173" s="2889" t="s">
        <v>1587</v>
      </c>
      <c r="D2173" s="2889" t="s">
        <v>1559</v>
      </c>
      <c r="E2173" s="2889" t="s">
        <v>217</v>
      </c>
      <c r="F2173" s="2890">
        <v>2.2356230708927924</v>
      </c>
      <c r="G2173" s="2890">
        <v>3245.9874816045703</v>
      </c>
    </row>
    <row r="2174" spans="2:7" ht="15" hidden="1" outlineLevel="2">
      <c r="B2174" s="2889" t="s">
        <v>1407</v>
      </c>
      <c r="C2174" s="2889" t="s">
        <v>1588</v>
      </c>
      <c r="D2174" s="2889" t="s">
        <v>1559</v>
      </c>
      <c r="E2174" s="2889" t="s">
        <v>217</v>
      </c>
      <c r="F2174" s="2890">
        <v>6.8726367289984144E-2</v>
      </c>
      <c r="G2174" s="2890">
        <v>53.509703080186192</v>
      </c>
    </row>
    <row r="2175" spans="2:7" ht="15" hidden="1" outlineLevel="2">
      <c r="B2175" s="2889" t="s">
        <v>1631</v>
      </c>
      <c r="C2175" s="2889" t="s">
        <v>1588</v>
      </c>
      <c r="D2175" s="2889" t="s">
        <v>1559</v>
      </c>
      <c r="E2175" s="2889" t="s">
        <v>217</v>
      </c>
      <c r="F2175" s="3039">
        <v>0.40927422503684496</v>
      </c>
      <c r="G2175" s="2890">
        <v>315.28292510666802</v>
      </c>
    </row>
    <row r="2176" spans="2:7" ht="15" hidden="1" outlineLevel="2">
      <c r="B2176" s="2889" t="s">
        <v>1632</v>
      </c>
      <c r="C2176" s="2889" t="s">
        <v>1588</v>
      </c>
      <c r="D2176" s="2889" t="s">
        <v>1559</v>
      </c>
      <c r="E2176" s="2889" t="s">
        <v>217</v>
      </c>
      <c r="F2176" s="3039">
        <v>0.67003945368074913</v>
      </c>
      <c r="G2176" s="2890">
        <v>522.38982669108407</v>
      </c>
    </row>
    <row r="2177" spans="2:7" ht="15" hidden="1" outlineLevel="2">
      <c r="B2177" s="2889" t="s">
        <v>1633</v>
      </c>
      <c r="C2177" s="2889" t="s">
        <v>1588</v>
      </c>
      <c r="D2177" s="2889" t="s">
        <v>1559</v>
      </c>
      <c r="E2177" s="2889" t="s">
        <v>217</v>
      </c>
      <c r="F2177" s="3039">
        <v>6.1657740164469857E-2</v>
      </c>
      <c r="G2177" s="2890">
        <v>48.216078114368003</v>
      </c>
    </row>
    <row r="2178" spans="2:7" ht="15" hidden="1" outlineLevel="2">
      <c r="B2178" s="2889" t="s">
        <v>1634</v>
      </c>
      <c r="C2178" s="2889" t="s">
        <v>1588</v>
      </c>
      <c r="D2178" s="2889" t="s">
        <v>1559</v>
      </c>
      <c r="E2178" s="2889" t="s">
        <v>217</v>
      </c>
      <c r="F2178" s="3039">
        <v>2.5638186013993522E-2</v>
      </c>
      <c r="G2178" s="2890">
        <v>20.096449541203462</v>
      </c>
    </row>
    <row r="2179" spans="2:7" ht="15" hidden="1" outlineLevel="2">
      <c r="B2179" s="2889" t="s">
        <v>1635</v>
      </c>
      <c r="C2179" s="2889" t="s">
        <v>1588</v>
      </c>
      <c r="D2179" s="2889" t="s">
        <v>1559</v>
      </c>
      <c r="E2179" s="2889" t="s">
        <v>217</v>
      </c>
      <c r="F2179" s="3039">
        <v>0.11947457234266137</v>
      </c>
      <c r="G2179" s="2890">
        <v>93.147185913611963</v>
      </c>
    </row>
    <row r="2180" spans="2:7" ht="15" hidden="1" outlineLevel="2">
      <c r="B2180" s="2889" t="s">
        <v>1636</v>
      </c>
      <c r="C2180" s="2889" t="s">
        <v>1588</v>
      </c>
      <c r="D2180" s="2889" t="s">
        <v>1559</v>
      </c>
      <c r="E2180" s="2889" t="s">
        <v>217</v>
      </c>
      <c r="F2180" s="3039">
        <v>7.5797849030905862E-2</v>
      </c>
      <c r="G2180" s="2890">
        <v>59.101526911879311</v>
      </c>
    </row>
    <row r="2181" spans="2:7" ht="15" hidden="1" outlineLevel="2">
      <c r="B2181" s="2889" t="s">
        <v>1637</v>
      </c>
      <c r="C2181" s="2889" t="s">
        <v>1588</v>
      </c>
      <c r="D2181" s="2889" t="s">
        <v>1559</v>
      </c>
      <c r="E2181" s="2889" t="s">
        <v>217</v>
      </c>
      <c r="F2181" s="2890">
        <v>9.7658435921202283E-2</v>
      </c>
      <c r="G2181" s="2890">
        <v>76.368464145855214</v>
      </c>
    </row>
    <row r="2182" spans="2:7" ht="15" hidden="1" outlineLevel="2">
      <c r="B2182" s="2889" t="s">
        <v>1638</v>
      </c>
      <c r="C2182" s="2889" t="s">
        <v>1588</v>
      </c>
      <c r="D2182" s="2889" t="s">
        <v>1559</v>
      </c>
      <c r="E2182" s="2889" t="s">
        <v>217</v>
      </c>
      <c r="F2182" s="2890">
        <v>3.0809297293550322E-2</v>
      </c>
      <c r="G2182" s="2890">
        <v>24.149826207886115</v>
      </c>
    </row>
    <row r="2183" spans="2:7" ht="15" hidden="1" outlineLevel="2">
      <c r="B2183" s="2889" t="s">
        <v>1639</v>
      </c>
      <c r="C2183" s="2889" t="s">
        <v>1588</v>
      </c>
      <c r="D2183" s="2889" t="s">
        <v>1559</v>
      </c>
      <c r="E2183" s="2889" t="s">
        <v>217</v>
      </c>
      <c r="F2183" s="2890">
        <v>0.16323620283234916</v>
      </c>
      <c r="G2183" s="2890">
        <v>127.64991021435769</v>
      </c>
    </row>
    <row r="2184" spans="2:7" ht="15" hidden="1" outlineLevel="2">
      <c r="B2184" s="2889" t="s">
        <v>1640</v>
      </c>
      <c r="C2184" s="2889" t="s">
        <v>1588</v>
      </c>
      <c r="D2184" s="2889" t="s">
        <v>1559</v>
      </c>
      <c r="E2184" s="2889" t="s">
        <v>217</v>
      </c>
      <c r="F2184" s="2890">
        <v>3.6027682897020401E-2</v>
      </c>
      <c r="G2184" s="2890">
        <v>28.050810472310857</v>
      </c>
    </row>
    <row r="2185" spans="2:7" ht="15" hidden="1" outlineLevel="2">
      <c r="B2185" s="2889" t="s">
        <v>1641</v>
      </c>
      <c r="C2185" s="2889" t="s">
        <v>1588</v>
      </c>
      <c r="D2185" s="2889" t="s">
        <v>1559</v>
      </c>
      <c r="E2185" s="2889" t="s">
        <v>217</v>
      </c>
      <c r="F2185" s="2890">
        <v>0.18219070078210148</v>
      </c>
      <c r="G2185" s="2890">
        <v>142.04320846524183</v>
      </c>
    </row>
    <row r="2186" spans="2:7" ht="15" hidden="1" outlineLevel="2">
      <c r="B2186" s="2889" t="s">
        <v>1642</v>
      </c>
      <c r="C2186" s="2889" t="s">
        <v>1588</v>
      </c>
      <c r="D2186" s="2889" t="s">
        <v>1559</v>
      </c>
      <c r="E2186" s="2889" t="s">
        <v>217</v>
      </c>
      <c r="F2186" s="2890">
        <v>0.20307506337871153</v>
      </c>
      <c r="G2186" s="2890">
        <v>158.32549718093739</v>
      </c>
    </row>
    <row r="2187" spans="2:7" ht="15" hidden="1" outlineLevel="2">
      <c r="B2187" s="2889" t="s">
        <v>1643</v>
      </c>
      <c r="C2187" s="2889" t="s">
        <v>1588</v>
      </c>
      <c r="D2187" s="2889" t="s">
        <v>1559</v>
      </c>
      <c r="E2187" s="2889" t="s">
        <v>217</v>
      </c>
      <c r="F2187" s="2890">
        <v>3.2341587406442822E-2</v>
      </c>
      <c r="G2187" s="2890">
        <v>25.181111575125147</v>
      </c>
    </row>
    <row r="2188" spans="2:7" ht="15" hidden="1" outlineLevel="2">
      <c r="B2188" s="2889" t="s">
        <v>1644</v>
      </c>
      <c r="C2188" s="2889" t="s">
        <v>1588</v>
      </c>
      <c r="D2188" s="2889" t="s">
        <v>1559</v>
      </c>
      <c r="E2188" s="2889" t="s">
        <v>217</v>
      </c>
      <c r="F2188" s="2890">
        <v>0.72303531398203813</v>
      </c>
      <c r="G2188" s="2890">
        <v>565.41043309778502</v>
      </c>
    </row>
    <row r="2189" spans="2:7" ht="15" hidden="1" outlineLevel="2">
      <c r="B2189" s="2889" t="s">
        <v>1645</v>
      </c>
      <c r="C2189" s="2889" t="s">
        <v>1588</v>
      </c>
      <c r="D2189" s="2889" t="s">
        <v>1559</v>
      </c>
      <c r="E2189" s="2889" t="s">
        <v>217</v>
      </c>
      <c r="F2189" s="2890">
        <v>0.64724806274674718</v>
      </c>
      <c r="G2189" s="2890">
        <v>506.1451253619644</v>
      </c>
    </row>
    <row r="2190" spans="2:7" ht="15" hidden="1" outlineLevel="2">
      <c r="B2190" s="2889" t="s">
        <v>1646</v>
      </c>
      <c r="C2190" s="2889" t="s">
        <v>1588</v>
      </c>
      <c r="D2190" s="2889" t="s">
        <v>1559</v>
      </c>
      <c r="E2190" s="2889" t="s">
        <v>217</v>
      </c>
      <c r="F2190" s="2890">
        <v>3.6865999516488356E-2</v>
      </c>
      <c r="G2190" s="2890">
        <v>28.742216603192382</v>
      </c>
    </row>
    <row r="2191" spans="2:7" ht="15" hidden="1" outlineLevel="2">
      <c r="B2191" s="2889" t="s">
        <v>1647</v>
      </c>
      <c r="C2191" s="2889" t="s">
        <v>1588</v>
      </c>
      <c r="D2191" s="2889" t="s">
        <v>1559</v>
      </c>
      <c r="E2191" s="2889" t="s">
        <v>217</v>
      </c>
      <c r="F2191" s="2890">
        <v>7.4912145577684802E-2</v>
      </c>
      <c r="G2191" s="2890">
        <v>58.719765669655892</v>
      </c>
    </row>
    <row r="2192" spans="2:7" ht="15" hidden="1" outlineLevel="2">
      <c r="B2192" s="2889" t="s">
        <v>1648</v>
      </c>
      <c r="C2192" s="2889" t="s">
        <v>1588</v>
      </c>
      <c r="D2192" s="2889" t="s">
        <v>1559</v>
      </c>
      <c r="E2192" s="2889" t="s">
        <v>217</v>
      </c>
      <c r="F2192" s="2890">
        <v>2.101678535888642E-2</v>
      </c>
      <c r="G2192" s="2890">
        <v>16.473977918572302</v>
      </c>
    </row>
    <row r="2193" spans="2:7" ht="15" hidden="1" outlineLevel="2">
      <c r="B2193" s="2889" t="s">
        <v>1649</v>
      </c>
      <c r="C2193" s="2889" t="s">
        <v>1588</v>
      </c>
      <c r="D2193" s="2889" t="s">
        <v>1559</v>
      </c>
      <c r="E2193" s="2889" t="s">
        <v>217</v>
      </c>
      <c r="F2193" s="2890">
        <v>3.5694050067831766E-2</v>
      </c>
      <c r="G2193" s="2890">
        <v>27.97872876918802</v>
      </c>
    </row>
    <row r="2194" spans="2:7" ht="15" hidden="1" outlineLevel="2">
      <c r="B2194" s="2889" t="s">
        <v>1650</v>
      </c>
      <c r="C2194" s="2889" t="s">
        <v>1588</v>
      </c>
      <c r="D2194" s="2889" t="s">
        <v>1559</v>
      </c>
      <c r="E2194" s="2889" t="s">
        <v>217</v>
      </c>
      <c r="F2194" s="2890">
        <v>0.11418760942865759</v>
      </c>
      <c r="G2194" s="2890">
        <v>88.905371127196673</v>
      </c>
    </row>
    <row r="2195" spans="2:7" ht="15" hidden="1" outlineLevel="2">
      <c r="B2195" s="2889" t="s">
        <v>1651</v>
      </c>
      <c r="C2195" s="2889" t="s">
        <v>1588</v>
      </c>
      <c r="D2195" s="2889" t="s">
        <v>1559</v>
      </c>
      <c r="E2195" s="2889" t="s">
        <v>217</v>
      </c>
      <c r="F2195" s="2890">
        <v>7.4435594770321675E-2</v>
      </c>
      <c r="G2195" s="2890">
        <v>58.346234703400228</v>
      </c>
    </row>
    <row r="2196" spans="2:7" ht="15" hidden="1" outlineLevel="2">
      <c r="B2196" s="2889" t="s">
        <v>1652</v>
      </c>
      <c r="C2196" s="2889" t="s">
        <v>1588</v>
      </c>
      <c r="D2196" s="2889" t="s">
        <v>1559</v>
      </c>
      <c r="E2196" s="2889" t="s">
        <v>217</v>
      </c>
      <c r="F2196" s="2890">
        <v>0.1006360263666731</v>
      </c>
      <c r="G2196" s="2890">
        <v>78.883410923042575</v>
      </c>
    </row>
    <row r="2197" spans="2:7" ht="15" hidden="1" outlineLevel="2">
      <c r="B2197" s="2889" t="s">
        <v>1653</v>
      </c>
      <c r="C2197" s="2889" t="s">
        <v>1588</v>
      </c>
      <c r="D2197" s="2889" t="s">
        <v>1559</v>
      </c>
      <c r="E2197" s="2889" t="s">
        <v>217</v>
      </c>
      <c r="F2197" s="2890">
        <v>0.62259253158101036</v>
      </c>
      <c r="G2197" s="2890">
        <v>485.3982662338783</v>
      </c>
    </row>
    <row r="2198" spans="2:7" ht="15" hidden="1" outlineLevel="2">
      <c r="B2198" s="2889" t="s">
        <v>1407</v>
      </c>
      <c r="C2198" s="2889" t="s">
        <v>1589</v>
      </c>
      <c r="D2198" s="2889" t="s">
        <v>1559</v>
      </c>
      <c r="E2198" s="2889" t="s">
        <v>217</v>
      </c>
      <c r="F2198" s="2890">
        <v>1.7608283042233976E-2</v>
      </c>
      <c r="G2198" s="2890">
        <v>13.736981342543363</v>
      </c>
    </row>
    <row r="2199" spans="2:7" ht="15" hidden="1" outlineLevel="2">
      <c r="B2199" s="2889" t="s">
        <v>1631</v>
      </c>
      <c r="C2199" s="2889" t="s">
        <v>1589</v>
      </c>
      <c r="D2199" s="2889" t="s">
        <v>1559</v>
      </c>
      <c r="E2199" s="2889" t="s">
        <v>217</v>
      </c>
      <c r="F2199" s="2890">
        <v>0.85280623707817682</v>
      </c>
      <c r="G2199" s="2890">
        <v>658.27617020195044</v>
      </c>
    </row>
    <row r="2200" spans="2:7" ht="15" hidden="1" outlineLevel="2">
      <c r="B2200" s="2889" t="s">
        <v>1632</v>
      </c>
      <c r="C2200" s="2889" t="s">
        <v>1589</v>
      </c>
      <c r="D2200" s="2889" t="s">
        <v>1559</v>
      </c>
      <c r="E2200" s="2889" t="s">
        <v>217</v>
      </c>
      <c r="F2200" s="2890">
        <v>1.0128787465639524</v>
      </c>
      <c r="G2200" s="2890">
        <v>791.25005252487585</v>
      </c>
    </row>
    <row r="2201" spans="2:7" ht="15" hidden="1" outlineLevel="2">
      <c r="B2201" s="2889" t="s">
        <v>1633</v>
      </c>
      <c r="C2201" s="2889" t="s">
        <v>1589</v>
      </c>
      <c r="D2201" s="2889" t="s">
        <v>1559</v>
      </c>
      <c r="E2201" s="2889" t="s">
        <v>217</v>
      </c>
      <c r="F2201" s="2890">
        <v>6.0307625773725143E-2</v>
      </c>
      <c r="G2201" s="2890">
        <v>47.255200490427917</v>
      </c>
    </row>
    <row r="2202" spans="2:7" ht="15" hidden="1" outlineLevel="2">
      <c r="B2202" s="2889" t="s">
        <v>1634</v>
      </c>
      <c r="C2202" s="2889" t="s">
        <v>1589</v>
      </c>
      <c r="D2202" s="2889" t="s">
        <v>1559</v>
      </c>
      <c r="E2202" s="2889" t="s">
        <v>217</v>
      </c>
      <c r="F2202" s="2890">
        <v>1.8889142262268396E-2</v>
      </c>
      <c r="G2202" s="2890">
        <v>14.835935436598495</v>
      </c>
    </row>
    <row r="2203" spans="2:7" ht="15" hidden="1" outlineLevel="2">
      <c r="B2203" s="2889" t="s">
        <v>1635</v>
      </c>
      <c r="C2203" s="2889" t="s">
        <v>1589</v>
      </c>
      <c r="D2203" s="2889" t="s">
        <v>1559</v>
      </c>
      <c r="E2203" s="2889" t="s">
        <v>217</v>
      </c>
      <c r="F2203" s="2890">
        <v>0.31933814047043846</v>
      </c>
      <c r="G2203" s="2890">
        <v>249.46357296227399</v>
      </c>
    </row>
    <row r="2204" spans="2:7" ht="15" hidden="1" outlineLevel="2">
      <c r="B2204" s="2889" t="s">
        <v>1636</v>
      </c>
      <c r="C2204" s="2889" t="s">
        <v>1589</v>
      </c>
      <c r="D2204" s="2889" t="s">
        <v>1559</v>
      </c>
      <c r="E2204" s="2889" t="s">
        <v>217</v>
      </c>
      <c r="F2204" s="2890">
        <v>4.1495258994724761E-2</v>
      </c>
      <c r="G2204" s="2890">
        <v>32.419269805368188</v>
      </c>
    </row>
    <row r="2205" spans="2:7" ht="15" hidden="1" outlineLevel="2">
      <c r="B2205" s="2889" t="s">
        <v>1637</v>
      </c>
      <c r="C2205" s="2889" t="s">
        <v>1589</v>
      </c>
      <c r="D2205" s="2889" t="s">
        <v>1559</v>
      </c>
      <c r="E2205" s="2889" t="s">
        <v>217</v>
      </c>
      <c r="F2205" s="2890">
        <v>8.695519286900566E-2</v>
      </c>
      <c r="G2205" s="2890">
        <v>68.135432184299148</v>
      </c>
    </row>
    <row r="2206" spans="2:7" ht="15" hidden="1" outlineLevel="2">
      <c r="B2206" s="2889" t="s">
        <v>1638</v>
      </c>
      <c r="C2206" s="2889" t="s">
        <v>1589</v>
      </c>
      <c r="D2206" s="2889" t="s">
        <v>1559</v>
      </c>
      <c r="E2206" s="2889" t="s">
        <v>217</v>
      </c>
      <c r="F2206" s="2890">
        <v>0.1119356299376375</v>
      </c>
      <c r="G2206" s="2890">
        <v>87.916678724866927</v>
      </c>
    </row>
    <row r="2207" spans="2:7" ht="15" hidden="1" outlineLevel="2">
      <c r="B2207" s="2889" t="s">
        <v>1639</v>
      </c>
      <c r="C2207" s="2889" t="s">
        <v>1589</v>
      </c>
      <c r="D2207" s="2889" t="s">
        <v>1559</v>
      </c>
      <c r="E2207" s="2889" t="s">
        <v>217</v>
      </c>
      <c r="F2207" s="2890">
        <v>0.52874358683701306</v>
      </c>
      <c r="G2207" s="2890">
        <v>414.30732598064066</v>
      </c>
    </row>
    <row r="2208" spans="2:7" ht="15" hidden="1" outlineLevel="2">
      <c r="B2208" s="2889" t="s">
        <v>1640</v>
      </c>
      <c r="C2208" s="2889" t="s">
        <v>1589</v>
      </c>
      <c r="D2208" s="2889" t="s">
        <v>1559</v>
      </c>
      <c r="E2208" s="2889" t="s">
        <v>217</v>
      </c>
      <c r="F2208" s="2890">
        <v>0.11339734447697494</v>
      </c>
      <c r="G2208" s="2890">
        <v>88.466132832786045</v>
      </c>
    </row>
    <row r="2209" spans="2:7" ht="15" hidden="1" outlineLevel="2">
      <c r="B2209" s="2889" t="s">
        <v>1641</v>
      </c>
      <c r="C2209" s="2889" t="s">
        <v>1589</v>
      </c>
      <c r="D2209" s="2889" t="s">
        <v>1559</v>
      </c>
      <c r="E2209" s="2889" t="s">
        <v>217</v>
      </c>
      <c r="F2209" s="2890">
        <v>0.23282140248356795</v>
      </c>
      <c r="G2209" s="2890">
        <v>181.87756906277161</v>
      </c>
    </row>
    <row r="2210" spans="2:7" ht="15" hidden="1" outlineLevel="2">
      <c r="B2210" s="2889" t="s">
        <v>1642</v>
      </c>
      <c r="C2210" s="2889" t="s">
        <v>1589</v>
      </c>
      <c r="D2210" s="2889" t="s">
        <v>1559</v>
      </c>
      <c r="E2210" s="2889" t="s">
        <v>217</v>
      </c>
      <c r="F2210" s="2890">
        <v>0.68509993718676898</v>
      </c>
      <c r="G2210" s="2890">
        <v>535.19271554667137</v>
      </c>
    </row>
    <row r="2211" spans="2:7" ht="15" hidden="1" outlineLevel="2">
      <c r="B2211" s="2889" t="s">
        <v>1643</v>
      </c>
      <c r="C2211" s="2889" t="s">
        <v>1589</v>
      </c>
      <c r="D2211" s="2889" t="s">
        <v>1559</v>
      </c>
      <c r="E2211" s="2889" t="s">
        <v>217</v>
      </c>
      <c r="F2211" s="2890">
        <v>6.6791379319733876E-2</v>
      </c>
      <c r="G2211" s="2890">
        <v>52.094603800775246</v>
      </c>
    </row>
    <row r="2212" spans="2:7" ht="15" hidden="1" outlineLevel="2">
      <c r="B2212" s="2889" t="s">
        <v>1644</v>
      </c>
      <c r="C2212" s="2889" t="s">
        <v>1589</v>
      </c>
      <c r="D2212" s="2889" t="s">
        <v>1559</v>
      </c>
      <c r="E2212" s="2889" t="s">
        <v>217</v>
      </c>
      <c r="F2212" s="2890">
        <v>2.0883268067926104</v>
      </c>
      <c r="G2212" s="2890">
        <v>1636.3486047262375</v>
      </c>
    </row>
    <row r="2213" spans="2:7" ht="15" hidden="1" outlineLevel="2">
      <c r="B2213" s="2889" t="s">
        <v>1645</v>
      </c>
      <c r="C2213" s="2889" t="s">
        <v>1589</v>
      </c>
      <c r="D2213" s="2889" t="s">
        <v>1559</v>
      </c>
      <c r="E2213" s="2889" t="s">
        <v>217</v>
      </c>
      <c r="F2213" s="2890">
        <v>1.0203209726209621</v>
      </c>
      <c r="G2213" s="2890">
        <v>799.49231157691975</v>
      </c>
    </row>
    <row r="2214" spans="2:7" ht="15" hidden="1" outlineLevel="2">
      <c r="B2214" s="2889" t="s">
        <v>1646</v>
      </c>
      <c r="C2214" s="2889" t="s">
        <v>1589</v>
      </c>
      <c r="D2214" s="2889" t="s">
        <v>1559</v>
      </c>
      <c r="E2214" s="2889" t="s">
        <v>217</v>
      </c>
      <c r="F2214" s="2890">
        <v>6.6821869605947298E-2</v>
      </c>
      <c r="G2214" s="2890">
        <v>52.200511820278557</v>
      </c>
    </row>
    <row r="2215" spans="2:7" ht="15" hidden="1" outlineLevel="2">
      <c r="B2215" s="2889" t="s">
        <v>1647</v>
      </c>
      <c r="C2215" s="2889" t="s">
        <v>1589</v>
      </c>
      <c r="D2215" s="2889" t="s">
        <v>1559</v>
      </c>
      <c r="E2215" s="2889" t="s">
        <v>217</v>
      </c>
      <c r="F2215" s="2890">
        <v>5.1070636124202276E-2</v>
      </c>
      <c r="G2215" s="2890">
        <v>40.111993416865026</v>
      </c>
    </row>
    <row r="2216" spans="2:7" ht="15" hidden="1" outlineLevel="2">
      <c r="B2216" s="2889" t="s">
        <v>1648</v>
      </c>
      <c r="C2216" s="2889" t="s">
        <v>1589</v>
      </c>
      <c r="D2216" s="2889" t="s">
        <v>1559</v>
      </c>
      <c r="E2216" s="2889" t="s">
        <v>217</v>
      </c>
      <c r="F2216" s="2890">
        <v>0.11263522195926629</v>
      </c>
      <c r="G2216" s="2890">
        <v>88.466132832786045</v>
      </c>
    </row>
    <row r="2217" spans="2:7" ht="15" hidden="1" outlineLevel="2">
      <c r="B2217" s="2889" t="s">
        <v>1649</v>
      </c>
      <c r="C2217" s="2889" t="s">
        <v>1589</v>
      </c>
      <c r="D2217" s="2889" t="s">
        <v>1559</v>
      </c>
      <c r="E2217" s="2889" t="s">
        <v>217</v>
      </c>
      <c r="F2217" s="2890">
        <v>0.11053646429152569</v>
      </c>
      <c r="G2217" s="2890">
        <v>86.817712064334856</v>
      </c>
    </row>
    <row r="2218" spans="2:7" ht="15" hidden="1" outlineLevel="2">
      <c r="B2218" s="2889" t="s">
        <v>1650</v>
      </c>
      <c r="C2218" s="2889" t="s">
        <v>1589</v>
      </c>
      <c r="D2218" s="2889" t="s">
        <v>1559</v>
      </c>
      <c r="E2218" s="2889" t="s">
        <v>217</v>
      </c>
      <c r="F2218" s="2890">
        <v>0.15917885665927953</v>
      </c>
      <c r="G2218" s="2890">
        <v>124.1822842736166</v>
      </c>
    </row>
    <row r="2219" spans="2:7" ht="15" hidden="1" outlineLevel="2">
      <c r="B2219" s="2889" t="s">
        <v>1651</v>
      </c>
      <c r="C2219" s="2889" t="s">
        <v>1589</v>
      </c>
      <c r="D2219" s="2889" t="s">
        <v>1559</v>
      </c>
      <c r="E2219" s="2889" t="s">
        <v>217</v>
      </c>
      <c r="F2219" s="2890">
        <v>7.135896842742355E-2</v>
      </c>
      <c r="G2219" s="2890">
        <v>56.04687553950221</v>
      </c>
    </row>
    <row r="2220" spans="2:7" ht="15" hidden="1" outlineLevel="2">
      <c r="B2220" s="2889" t="s">
        <v>1652</v>
      </c>
      <c r="C2220" s="2889" t="s">
        <v>1589</v>
      </c>
      <c r="D2220" s="2889" t="s">
        <v>1559</v>
      </c>
      <c r="E2220" s="2889" t="s">
        <v>217</v>
      </c>
      <c r="F2220" s="2890">
        <v>0.11263522195858032</v>
      </c>
      <c r="G2220" s="2890">
        <v>88.466132829560266</v>
      </c>
    </row>
    <row r="2221" spans="2:7" ht="15" hidden="1" outlineLevel="2">
      <c r="B2221" s="2889" t="s">
        <v>1653</v>
      </c>
      <c r="C2221" s="2889" t="s">
        <v>1589</v>
      </c>
      <c r="D2221" s="2889" t="s">
        <v>1559</v>
      </c>
      <c r="E2221" s="2889" t="s">
        <v>217</v>
      </c>
      <c r="F2221" s="3039">
        <v>0.12731322867892916</v>
      </c>
      <c r="G2221" s="2890">
        <v>99.455725420276153</v>
      </c>
    </row>
    <row r="2222" spans="2:7" ht="15" hidden="1" outlineLevel="2">
      <c r="B2222" s="2889" t="s">
        <v>1407</v>
      </c>
      <c r="C2222" s="2889" t="s">
        <v>1409</v>
      </c>
      <c r="D2222" s="2889" t="s">
        <v>197</v>
      </c>
      <c r="E2222" s="2889" t="s">
        <v>217</v>
      </c>
      <c r="F2222" s="3039">
        <v>3.307231916091914E-4</v>
      </c>
      <c r="G2222" s="2890">
        <v>0.46402565820661557</v>
      </c>
    </row>
    <row r="2223" spans="2:7" ht="15" hidden="1" outlineLevel="2">
      <c r="B2223" s="2889" t="s">
        <v>1631</v>
      </c>
      <c r="C2223" s="2889" t="s">
        <v>1409</v>
      </c>
      <c r="D2223" s="2889" t="s">
        <v>197</v>
      </c>
      <c r="E2223" s="2889" t="s">
        <v>217</v>
      </c>
      <c r="F2223" s="3039">
        <v>6.21342149410344E-4</v>
      </c>
      <c r="G2223" s="2890">
        <v>0.86254777236149827</v>
      </c>
    </row>
    <row r="2224" spans="2:7" ht="15" hidden="1" outlineLevel="2">
      <c r="B2224" s="2889" t="s">
        <v>1632</v>
      </c>
      <c r="C2224" s="2889" t="s">
        <v>1409</v>
      </c>
      <c r="D2224" s="2889" t="s">
        <v>197</v>
      </c>
      <c r="E2224" s="2889" t="s">
        <v>217</v>
      </c>
      <c r="F2224" s="3039">
        <v>1.2559628782545362E-3</v>
      </c>
      <c r="G2224" s="2890">
        <v>1.7645618417897038</v>
      </c>
    </row>
    <row r="2225" spans="2:7" ht="15" hidden="1" outlineLevel="2">
      <c r="B2225" s="2889" t="s">
        <v>1633</v>
      </c>
      <c r="C2225" s="2889" t="s">
        <v>1409</v>
      </c>
      <c r="D2225" s="2889" t="s">
        <v>197</v>
      </c>
      <c r="E2225" s="2889" t="s">
        <v>217</v>
      </c>
      <c r="F2225" s="3039">
        <v>4.4061387803540417E-4</v>
      </c>
      <c r="G2225" s="2890">
        <v>0.62093132087088487</v>
      </c>
    </row>
    <row r="2226" spans="2:7" ht="15" hidden="1" outlineLevel="2">
      <c r="B2226" s="2889" t="s">
        <v>1634</v>
      </c>
      <c r="C2226" s="2889" t="s">
        <v>1409</v>
      </c>
      <c r="D2226" s="2889" t="s">
        <v>197</v>
      </c>
      <c r="E2226" s="2889" t="s">
        <v>217</v>
      </c>
      <c r="F2226" s="3039">
        <v>2.8612811836397738E-3</v>
      </c>
      <c r="G2226" s="2890">
        <v>4.0417838497035676</v>
      </c>
    </row>
    <row r="2227" spans="2:7" ht="15" hidden="1" outlineLevel="2">
      <c r="B2227" s="2889" t="s">
        <v>1635</v>
      </c>
      <c r="C2227" s="2889" t="s">
        <v>1409</v>
      </c>
      <c r="D2227" s="2889" t="s">
        <v>197</v>
      </c>
      <c r="E2227" s="2889" t="s">
        <v>217</v>
      </c>
      <c r="F2227" s="3039">
        <v>3.2558132127021113E-3</v>
      </c>
      <c r="G2227" s="2890">
        <v>4.5742440157680857</v>
      </c>
    </row>
    <row r="2228" spans="2:7" ht="15" hidden="1" outlineLevel="2">
      <c r="B2228" s="2889" t="s">
        <v>1636</v>
      </c>
      <c r="C2228" s="2889" t="s">
        <v>1409</v>
      </c>
      <c r="D2228" s="2889" t="s">
        <v>197</v>
      </c>
      <c r="E2228" s="2889" t="s">
        <v>217</v>
      </c>
      <c r="F2228" s="3039">
        <v>1.5830305359563134E-3</v>
      </c>
      <c r="G2228" s="2890">
        <v>2.2243248515943104</v>
      </c>
    </row>
    <row r="2229" spans="2:7" ht="15" hidden="1" outlineLevel="2">
      <c r="B2229" s="2889" t="s">
        <v>1637</v>
      </c>
      <c r="C2229" s="2889" t="s">
        <v>1409</v>
      </c>
      <c r="D2229" s="2889" t="s">
        <v>197</v>
      </c>
      <c r="E2229" s="2889" t="s">
        <v>217</v>
      </c>
      <c r="F2229" s="3039">
        <v>7.419459042913273E-4</v>
      </c>
      <c r="G2229" s="2890">
        <v>1.045581517904945</v>
      </c>
    </row>
    <row r="2230" spans="2:7" ht="15" hidden="1" outlineLevel="2">
      <c r="B2230" s="2889" t="s">
        <v>1638</v>
      </c>
      <c r="C2230" s="2889" t="s">
        <v>1409</v>
      </c>
      <c r="D2230" s="2889" t="s">
        <v>197</v>
      </c>
      <c r="E2230" s="2889" t="s">
        <v>217</v>
      </c>
      <c r="F2230" s="3039">
        <v>2.5821108789347768E-3</v>
      </c>
      <c r="G2230" s="2890">
        <v>3.6474341623808386</v>
      </c>
    </row>
    <row r="2231" spans="2:7" ht="15" hidden="1" outlineLevel="2">
      <c r="B2231" s="2889" t="s">
        <v>1639</v>
      </c>
      <c r="C2231" s="2889" t="s">
        <v>1409</v>
      </c>
      <c r="D2231" s="2889" t="s">
        <v>197</v>
      </c>
      <c r="E2231" s="2889" t="s">
        <v>217</v>
      </c>
      <c r="F2231" s="3039">
        <v>3.9491636078358879E-3</v>
      </c>
      <c r="G2231" s="2890">
        <v>5.5653279925763899</v>
      </c>
    </row>
    <row r="2232" spans="2:7" ht="15" hidden="1" outlineLevel="2">
      <c r="B2232" s="2889" t="s">
        <v>1640</v>
      </c>
      <c r="C2232" s="2889" t="s">
        <v>1409</v>
      </c>
      <c r="D2232" s="2889" t="s">
        <v>197</v>
      </c>
      <c r="E2232" s="2889" t="s">
        <v>217</v>
      </c>
      <c r="F2232" s="3039">
        <v>1.213250737124487E-3</v>
      </c>
      <c r="G2232" s="2890">
        <v>1.7022669932022918</v>
      </c>
    </row>
    <row r="2233" spans="2:7" ht="15" hidden="1" outlineLevel="2">
      <c r="B2233" s="2889" t="s">
        <v>1641</v>
      </c>
      <c r="C2233" s="2889" t="s">
        <v>1409</v>
      </c>
      <c r="D2233" s="2889" t="s">
        <v>197</v>
      </c>
      <c r="E2233" s="2889" t="s">
        <v>217</v>
      </c>
      <c r="F2233" s="3039">
        <v>1.4831093445569496E-3</v>
      </c>
      <c r="G2233" s="2890">
        <v>2.0836912360586655</v>
      </c>
    </row>
    <row r="2234" spans="2:7" ht="15" hidden="1" outlineLevel="2">
      <c r="B2234" s="2889" t="s">
        <v>1642</v>
      </c>
      <c r="C2234" s="2889" t="s">
        <v>1409</v>
      </c>
      <c r="D2234" s="2889" t="s">
        <v>197</v>
      </c>
      <c r="E2234" s="2889" t="s">
        <v>217</v>
      </c>
      <c r="F2234" s="3039">
        <v>6.7279425870099042E-4</v>
      </c>
      <c r="G2234" s="2890">
        <v>0.94524102416381095</v>
      </c>
    </row>
    <row r="2235" spans="2:7" ht="15" hidden="1" outlineLevel="2">
      <c r="B2235" s="2889" t="s">
        <v>1643</v>
      </c>
      <c r="C2235" s="2889" t="s">
        <v>1409</v>
      </c>
      <c r="D2235" s="2889" t="s">
        <v>197</v>
      </c>
      <c r="E2235" s="2889" t="s">
        <v>217</v>
      </c>
      <c r="F2235" s="3039">
        <v>3.2916884525917029E-3</v>
      </c>
      <c r="G2235" s="2890">
        <v>4.6172080796564359</v>
      </c>
    </row>
    <row r="2236" spans="2:7" ht="15" hidden="1" outlineLevel="2">
      <c r="B2236" s="2889" t="s">
        <v>1644</v>
      </c>
      <c r="C2236" s="2889" t="s">
        <v>1409</v>
      </c>
      <c r="D2236" s="2889" t="s">
        <v>197</v>
      </c>
      <c r="E2236" s="2889" t="s">
        <v>217</v>
      </c>
      <c r="F2236" s="3039">
        <v>1.4364349756927194E-3</v>
      </c>
      <c r="G2236" s="2890">
        <v>2.0242843753182562</v>
      </c>
    </row>
    <row r="2237" spans="2:7" ht="15" hidden="1" outlineLevel="2">
      <c r="B2237" s="2889" t="s">
        <v>1645</v>
      </c>
      <c r="C2237" s="2889" t="s">
        <v>1409</v>
      </c>
      <c r="D2237" s="2889" t="s">
        <v>197</v>
      </c>
      <c r="E2237" s="2889" t="s">
        <v>217</v>
      </c>
      <c r="F2237" s="3039">
        <v>5.6161512201095311E-4</v>
      </c>
      <c r="G2237" s="2890">
        <v>0.79145158689685846</v>
      </c>
    </row>
    <row r="2238" spans="2:7" ht="15" hidden="1" outlineLevel="2">
      <c r="B2238" s="2889" t="s">
        <v>1646</v>
      </c>
      <c r="C2238" s="2889" t="s">
        <v>1409</v>
      </c>
      <c r="D2238" s="2889" t="s">
        <v>197</v>
      </c>
      <c r="E2238" s="2889" t="s">
        <v>217</v>
      </c>
      <c r="F2238" s="3039">
        <v>4.0608758011232045E-3</v>
      </c>
      <c r="G2238" s="2890">
        <v>5.7053192347224719</v>
      </c>
    </row>
    <row r="2239" spans="2:7" ht="15" hidden="1" outlineLevel="2">
      <c r="B2239" s="2889" t="s">
        <v>1647</v>
      </c>
      <c r="C2239" s="2889" t="s">
        <v>1409</v>
      </c>
      <c r="D2239" s="2889" t="s">
        <v>197</v>
      </c>
      <c r="E2239" s="2889" t="s">
        <v>217</v>
      </c>
      <c r="F2239" s="3039">
        <v>1.1076615543168151E-3</v>
      </c>
      <c r="G2239" s="2890">
        <v>1.5646595563857857</v>
      </c>
    </row>
    <row r="2240" spans="2:7" ht="15" hidden="1" outlineLevel="2">
      <c r="B2240" s="2889" t="s">
        <v>1648</v>
      </c>
      <c r="C2240" s="2889" t="s">
        <v>1409</v>
      </c>
      <c r="D2240" s="2889" t="s">
        <v>197</v>
      </c>
      <c r="E2240" s="2889" t="s">
        <v>217</v>
      </c>
      <c r="F2240" s="3039">
        <v>1.1290134810229228E-3</v>
      </c>
      <c r="G2240" s="2890">
        <v>1.7793647067525642</v>
      </c>
    </row>
    <row r="2241" spans="2:7" ht="15" hidden="1" outlineLevel="2">
      <c r="B2241" s="2889" t="s">
        <v>1649</v>
      </c>
      <c r="C2241" s="2889" t="s">
        <v>1409</v>
      </c>
      <c r="D2241" s="2889" t="s">
        <v>197</v>
      </c>
      <c r="E2241" s="2889" t="s">
        <v>217</v>
      </c>
      <c r="F2241" s="3039">
        <v>2.6031381909864008E-3</v>
      </c>
      <c r="G2241" s="2890">
        <v>3.6771369343396452</v>
      </c>
    </row>
    <row r="2242" spans="2:7" ht="15" hidden="1" outlineLevel="2">
      <c r="B2242" s="2889" t="s">
        <v>1650</v>
      </c>
      <c r="C2242" s="2889" t="s">
        <v>1409</v>
      </c>
      <c r="D2242" s="2889" t="s">
        <v>197</v>
      </c>
      <c r="E2242" s="2889" t="s">
        <v>217</v>
      </c>
      <c r="F2242" s="3039">
        <v>2.395071938047819E-3</v>
      </c>
      <c r="G2242" s="2890">
        <v>3.3604376077039673</v>
      </c>
    </row>
    <row r="2243" spans="2:7" ht="15" hidden="1" outlineLevel="2">
      <c r="B2243" s="2889" t="s">
        <v>1651</v>
      </c>
      <c r="C2243" s="2889" t="s">
        <v>1409</v>
      </c>
      <c r="D2243" s="2889" t="s">
        <v>197</v>
      </c>
      <c r="E2243" s="2889" t="s">
        <v>217</v>
      </c>
      <c r="F2243" s="3039">
        <v>1.8273140724471722E-3</v>
      </c>
      <c r="G2243" s="2890">
        <v>2.5812258728068342</v>
      </c>
    </row>
    <row r="2244" spans="2:7" ht="15" hidden="1" outlineLevel="2">
      <c r="B2244" s="2889" t="s">
        <v>1652</v>
      </c>
      <c r="C2244" s="2889" t="s">
        <v>1409</v>
      </c>
      <c r="D2244" s="2889" t="s">
        <v>197</v>
      </c>
      <c r="E2244" s="2889" t="s">
        <v>217</v>
      </c>
      <c r="F2244" s="3039">
        <v>2.7780460947831372E-3</v>
      </c>
      <c r="G2244" s="2890">
        <v>3.924208145406566</v>
      </c>
    </row>
    <row r="2245" spans="2:7" ht="15" hidden="1" outlineLevel="2">
      <c r="B2245" s="2889" t="s">
        <v>1653</v>
      </c>
      <c r="C2245" s="2889" t="s">
        <v>1409</v>
      </c>
      <c r="D2245" s="2889" t="s">
        <v>197</v>
      </c>
      <c r="E2245" s="2889" t="s">
        <v>217</v>
      </c>
      <c r="F2245" s="3039">
        <v>3.2053891469483028E-35</v>
      </c>
      <c r="G2245" s="2890">
        <v>4.5034053800298448E-32</v>
      </c>
    </row>
    <row r="2246" spans="2:7" ht="15" hidden="1" outlineLevel="2">
      <c r="B2246" s="2889" t="s">
        <v>1407</v>
      </c>
      <c r="C2246" s="2889" t="s">
        <v>1410</v>
      </c>
      <c r="D2246" s="2889" t="s">
        <v>197</v>
      </c>
      <c r="E2246" s="2889" t="s">
        <v>217</v>
      </c>
      <c r="F2246" s="2890">
        <v>5.2828861422462463E-4</v>
      </c>
      <c r="G2246" s="2890">
        <v>1.8054964728112008</v>
      </c>
    </row>
    <row r="2247" spans="2:7" ht="15" hidden="1" outlineLevel="2">
      <c r="B2247" s="2889" t="s">
        <v>1631</v>
      </c>
      <c r="C2247" s="2889" t="s">
        <v>1410</v>
      </c>
      <c r="D2247" s="2889" t="s">
        <v>197</v>
      </c>
      <c r="E2247" s="2889" t="s">
        <v>217</v>
      </c>
      <c r="F2247" s="2890">
        <v>9.91776051435735E-4</v>
      </c>
      <c r="G2247" s="2890">
        <v>3.3561245917512377</v>
      </c>
    </row>
    <row r="2248" spans="2:7" ht="15" hidden="1" outlineLevel="2">
      <c r="B2248" s="2889" t="s">
        <v>1632</v>
      </c>
      <c r="C2248" s="2889" t="s">
        <v>1410</v>
      </c>
      <c r="D2248" s="2889" t="s">
        <v>197</v>
      </c>
      <c r="E2248" s="2889" t="s">
        <v>217</v>
      </c>
      <c r="F2248" s="2890">
        <v>2.0064326319665167E-3</v>
      </c>
      <c r="G2248" s="2890">
        <v>6.8658097540113587</v>
      </c>
    </row>
    <row r="2249" spans="2:7" ht="15" hidden="1" outlineLevel="2">
      <c r="B2249" s="2889" t="s">
        <v>1633</v>
      </c>
      <c r="C2249" s="2889" t="s">
        <v>1410</v>
      </c>
      <c r="D2249" s="2889" t="s">
        <v>197</v>
      </c>
      <c r="E2249" s="2889" t="s">
        <v>217</v>
      </c>
      <c r="F2249" s="2890">
        <v>7.0404290585165887E-4</v>
      </c>
      <c r="G2249" s="2890">
        <v>2.4160095702774931</v>
      </c>
    </row>
    <row r="2250" spans="2:7" ht="15" hidden="1" outlineLevel="2">
      <c r="B2250" s="2889" t="s">
        <v>1634</v>
      </c>
      <c r="C2250" s="2889" t="s">
        <v>1410</v>
      </c>
      <c r="D2250" s="2889" t="s">
        <v>197</v>
      </c>
      <c r="E2250" s="2889" t="s">
        <v>217</v>
      </c>
      <c r="F2250" s="2890">
        <v>4.5727184562497645E-3</v>
      </c>
      <c r="G2250" s="2890">
        <v>15.726351441532586</v>
      </c>
    </row>
    <row r="2251" spans="2:7" ht="15" hidden="1" outlineLevel="2">
      <c r="B2251" s="2889" t="s">
        <v>1635</v>
      </c>
      <c r="C2251" s="2889" t="s">
        <v>1410</v>
      </c>
      <c r="D2251" s="2889" t="s">
        <v>197</v>
      </c>
      <c r="E2251" s="2889" t="s">
        <v>217</v>
      </c>
      <c r="F2251" s="2890">
        <v>5.2721986214487194E-3</v>
      </c>
      <c r="G2251" s="2890">
        <v>18.040516502077104</v>
      </c>
    </row>
    <row r="2252" spans="2:7" ht="15" hidden="1" outlineLevel="2">
      <c r="B2252" s="2889" t="s">
        <v>1636</v>
      </c>
      <c r="C2252" s="2889" t="s">
        <v>1410</v>
      </c>
      <c r="D2252" s="2889" t="s">
        <v>197</v>
      </c>
      <c r="E2252" s="2889" t="s">
        <v>217</v>
      </c>
      <c r="F2252" s="2890">
        <v>2.5289518742556724E-3</v>
      </c>
      <c r="G2252" s="2890">
        <v>8.6547230257102932</v>
      </c>
    </row>
    <row r="2253" spans="2:7" ht="15" hidden="1" outlineLevel="2">
      <c r="B2253" s="2889" t="s">
        <v>1637</v>
      </c>
      <c r="C2253" s="2889" t="s">
        <v>1410</v>
      </c>
      <c r="D2253" s="2889" t="s">
        <v>197</v>
      </c>
      <c r="E2253" s="2889" t="s">
        <v>217</v>
      </c>
      <c r="F2253" s="2890">
        <v>1.1855330136133651E-3</v>
      </c>
      <c r="G2253" s="2890">
        <v>4.0683002402015331</v>
      </c>
    </row>
    <row r="2254" spans="2:7" ht="15" hidden="1" outlineLevel="2">
      <c r="B2254" s="2889" t="s">
        <v>1638</v>
      </c>
      <c r="C2254" s="2889" t="s">
        <v>1410</v>
      </c>
      <c r="D2254" s="2889" t="s">
        <v>197</v>
      </c>
      <c r="E2254" s="2889" t="s">
        <v>217</v>
      </c>
      <c r="F2254" s="2890">
        <v>4.1265657616612137E-3</v>
      </c>
      <c r="G2254" s="2890">
        <v>14.191960329025109</v>
      </c>
    </row>
    <row r="2255" spans="2:7" ht="15" hidden="1" outlineLevel="2">
      <c r="B2255" s="2889" t="s">
        <v>1639</v>
      </c>
      <c r="C2255" s="2889" t="s">
        <v>1410</v>
      </c>
      <c r="D2255" s="2889" t="s">
        <v>197</v>
      </c>
      <c r="E2255" s="2889" t="s">
        <v>217</v>
      </c>
      <c r="F2255" s="2890">
        <v>6.3102457595637538E-3</v>
      </c>
      <c r="G2255" s="2890">
        <v>21.654365801222575</v>
      </c>
    </row>
    <row r="2256" spans="2:7" ht="15" hidden="1" outlineLevel="2">
      <c r="B2256" s="2889" t="s">
        <v>1640</v>
      </c>
      <c r="C2256" s="2889" t="s">
        <v>1410</v>
      </c>
      <c r="D2256" s="2889" t="s">
        <v>197</v>
      </c>
      <c r="E2256" s="2889" t="s">
        <v>217</v>
      </c>
      <c r="F2256" s="2890">
        <v>1.9380152422837592E-3</v>
      </c>
      <c r="G2256" s="2890">
        <v>6.6234241203993509</v>
      </c>
    </row>
    <row r="2257" spans="2:7" ht="15" hidden="1" outlineLevel="2">
      <c r="B2257" s="2889" t="s">
        <v>1641</v>
      </c>
      <c r="C2257" s="2889" t="s">
        <v>1410</v>
      </c>
      <c r="D2257" s="2889" t="s">
        <v>197</v>
      </c>
      <c r="E2257" s="2889" t="s">
        <v>217</v>
      </c>
      <c r="F2257" s="2890">
        <v>2.3693045376474648E-3</v>
      </c>
      <c r="G2257" s="2890">
        <v>8.1075292361021845</v>
      </c>
    </row>
    <row r="2258" spans="2:7" ht="15" hidden="1" outlineLevel="2">
      <c r="B2258" s="2889" t="s">
        <v>1642</v>
      </c>
      <c r="C2258" s="2889" t="s">
        <v>1410</v>
      </c>
      <c r="D2258" s="2889" t="s">
        <v>197</v>
      </c>
      <c r="E2258" s="2889" t="s">
        <v>217</v>
      </c>
      <c r="F2258" s="2890">
        <v>1.0748056115748523E-3</v>
      </c>
      <c r="G2258" s="2890">
        <v>3.6778772791046763</v>
      </c>
    </row>
    <row r="2259" spans="2:7" ht="15" hidden="1" outlineLevel="2">
      <c r="B2259" s="2889" t="s">
        <v>1643</v>
      </c>
      <c r="C2259" s="2889" t="s">
        <v>1410</v>
      </c>
      <c r="D2259" s="2889" t="s">
        <v>197</v>
      </c>
      <c r="E2259" s="2889" t="s">
        <v>217</v>
      </c>
      <c r="F2259" s="2890">
        <v>5.2579593204454518E-3</v>
      </c>
      <c r="G2259" s="2890">
        <v>17.965296003351767</v>
      </c>
    </row>
    <row r="2260" spans="2:7" ht="15" hidden="1" outlineLevel="2">
      <c r="B2260" s="2889" t="s">
        <v>1644</v>
      </c>
      <c r="C2260" s="2889" t="s">
        <v>1410</v>
      </c>
      <c r="D2260" s="2889" t="s">
        <v>197</v>
      </c>
      <c r="E2260" s="2889" t="s">
        <v>217</v>
      </c>
      <c r="F2260" s="2890">
        <v>2.2952354431595434E-3</v>
      </c>
      <c r="G2260" s="2890">
        <v>7.8763691714869859</v>
      </c>
    </row>
    <row r="2261" spans="2:7" ht="15" hidden="1" outlineLevel="2">
      <c r="B2261" s="2889" t="s">
        <v>1645</v>
      </c>
      <c r="C2261" s="2889" t="s">
        <v>1410</v>
      </c>
      <c r="D2261" s="2889" t="s">
        <v>197</v>
      </c>
      <c r="E2261" s="2889" t="s">
        <v>217</v>
      </c>
      <c r="F2261" s="2890">
        <v>8.9738750846535481E-4</v>
      </c>
      <c r="G2261" s="2890">
        <v>3.0794944862783331</v>
      </c>
    </row>
    <row r="2262" spans="2:7" ht="15" hidden="1" outlineLevel="2">
      <c r="B2262" s="2889" t="s">
        <v>1646</v>
      </c>
      <c r="C2262" s="2889" t="s">
        <v>1410</v>
      </c>
      <c r="D2262" s="2889" t="s">
        <v>197</v>
      </c>
      <c r="E2262" s="2889" t="s">
        <v>217</v>
      </c>
      <c r="F2262" s="2890">
        <v>6.4873532194281444E-3</v>
      </c>
      <c r="G2262" s="2890">
        <v>22.199075422477559</v>
      </c>
    </row>
    <row r="2263" spans="2:7" ht="15" hidden="1" outlineLevel="2">
      <c r="B2263" s="2889" t="s">
        <v>1647</v>
      </c>
      <c r="C2263" s="2889" t="s">
        <v>1410</v>
      </c>
      <c r="D2263" s="2889" t="s">
        <v>197</v>
      </c>
      <c r="E2263" s="2889" t="s">
        <v>217</v>
      </c>
      <c r="F2263" s="2890">
        <v>1.7701946246596288E-3</v>
      </c>
      <c r="G2263" s="2890">
        <v>6.0880053664410454</v>
      </c>
    </row>
    <row r="2264" spans="2:7" ht="15" hidden="1" outlineLevel="2">
      <c r="B2264" s="2889" t="s">
        <v>1648</v>
      </c>
      <c r="C2264" s="2889" t="s">
        <v>1410</v>
      </c>
      <c r="D2264" s="2889" t="s">
        <v>197</v>
      </c>
      <c r="E2264" s="2889" t="s">
        <v>217</v>
      </c>
      <c r="F2264" s="2890">
        <v>2.0101872126722432E-3</v>
      </c>
      <c r="G2264" s="2890">
        <v>6.9233946740333785</v>
      </c>
    </row>
    <row r="2265" spans="2:7" ht="15" hidden="1" outlineLevel="2">
      <c r="B2265" s="2889" t="s">
        <v>1649</v>
      </c>
      <c r="C2265" s="2889" t="s">
        <v>1410</v>
      </c>
      <c r="D2265" s="2889" t="s">
        <v>197</v>
      </c>
      <c r="E2265" s="2889" t="s">
        <v>217</v>
      </c>
      <c r="F2265" s="2890">
        <v>4.1601694866194236E-3</v>
      </c>
      <c r="G2265" s="2890">
        <v>14.307536574203839</v>
      </c>
    </row>
    <row r="2266" spans="2:7" ht="15" hidden="1" outlineLevel="2">
      <c r="B2266" s="2889" t="s">
        <v>1650</v>
      </c>
      <c r="C2266" s="2889" t="s">
        <v>1410</v>
      </c>
      <c r="D2266" s="2889" t="s">
        <v>197</v>
      </c>
      <c r="E2266" s="2889" t="s">
        <v>217</v>
      </c>
      <c r="F2266" s="3039">
        <v>3.8258257755548809E-3</v>
      </c>
      <c r="G2266" s="2890">
        <v>13.075269687632064</v>
      </c>
    </row>
    <row r="2267" spans="2:7" ht="15" hidden="1" outlineLevel="2">
      <c r="B2267" s="2889" t="s">
        <v>1651</v>
      </c>
      <c r="C2267" s="2889" t="s">
        <v>1410</v>
      </c>
      <c r="D2267" s="2889" t="s">
        <v>197</v>
      </c>
      <c r="E2267" s="2889" t="s">
        <v>217</v>
      </c>
      <c r="F2267" s="3039">
        <v>2.920296600984348E-3</v>
      </c>
      <c r="G2267" s="2890">
        <v>10.043399929485441</v>
      </c>
    </row>
    <row r="2268" spans="2:7" ht="15" hidden="1" outlineLevel="2">
      <c r="B2268" s="2889" t="s">
        <v>1652</v>
      </c>
      <c r="C2268" s="2889" t="s">
        <v>1410</v>
      </c>
      <c r="D2268" s="2889" t="s">
        <v>197</v>
      </c>
      <c r="E2268" s="2889" t="s">
        <v>217</v>
      </c>
      <c r="F2268" s="3039">
        <v>4.439694420993236E-3</v>
      </c>
      <c r="G2268" s="2890">
        <v>15.268868643745213</v>
      </c>
    </row>
    <row r="2269" spans="2:7" ht="15" hidden="1" outlineLevel="2">
      <c r="B2269" s="2889" t="s">
        <v>1653</v>
      </c>
      <c r="C2269" s="2889" t="s">
        <v>1410</v>
      </c>
      <c r="D2269" s="2889" t="s">
        <v>197</v>
      </c>
      <c r="E2269" s="2889" t="s">
        <v>217</v>
      </c>
      <c r="F2269" s="3039">
        <v>3.6466111776779181E-34</v>
      </c>
      <c r="G2269" s="2890">
        <v>2.0506426766045641E-30</v>
      </c>
    </row>
    <row r="2270" spans="2:7" ht="15" hidden="1" outlineLevel="2">
      <c r="B2270" s="2889" t="s">
        <v>1407</v>
      </c>
      <c r="C2270" s="2889" t="s">
        <v>1411</v>
      </c>
      <c r="D2270" s="2889" t="s">
        <v>197</v>
      </c>
      <c r="E2270" s="2889" t="s">
        <v>217</v>
      </c>
      <c r="F2270" s="3039">
        <v>8.6766147210659216E-6</v>
      </c>
      <c r="G2270" s="2890">
        <v>1.1372059441536986E-2</v>
      </c>
    </row>
    <row r="2271" spans="2:7" ht="15" hidden="1" outlineLevel="2">
      <c r="B2271" s="2889" t="s">
        <v>1631</v>
      </c>
      <c r="C2271" s="2889" t="s">
        <v>1411</v>
      </c>
      <c r="D2271" s="2889" t="s">
        <v>197</v>
      </c>
      <c r="E2271" s="2889" t="s">
        <v>217</v>
      </c>
      <c r="F2271" s="3039">
        <v>1.6255472777299019E-5</v>
      </c>
      <c r="G2271" s="2890">
        <v>2.1138786807130064E-2</v>
      </c>
    </row>
    <row r="2272" spans="2:7" ht="15" hidden="1" outlineLevel="2">
      <c r="B2272" s="2889" t="s">
        <v>1632</v>
      </c>
      <c r="C2272" s="2889" t="s">
        <v>1411</v>
      </c>
      <c r="D2272" s="2889" t="s">
        <v>197</v>
      </c>
      <c r="E2272" s="2889" t="s">
        <v>217</v>
      </c>
      <c r="F2272" s="3039">
        <v>3.2962229421609667E-5</v>
      </c>
      <c r="G2272" s="2890">
        <v>4.3244840383316503E-2</v>
      </c>
    </row>
    <row r="2273" spans="2:7" ht="15" hidden="1" outlineLevel="2">
      <c r="B2273" s="2889" t="s">
        <v>1633</v>
      </c>
      <c r="C2273" s="2889" t="s">
        <v>1411</v>
      </c>
      <c r="D2273" s="2889" t="s">
        <v>197</v>
      </c>
      <c r="E2273" s="2889" t="s">
        <v>217</v>
      </c>
      <c r="F2273" s="2890">
        <v>1.1573073168326589E-5</v>
      </c>
      <c r="G2273" s="2890">
        <v>1.5217406963080615E-2</v>
      </c>
    </row>
    <row r="2274" spans="2:7" ht="15" hidden="1" outlineLevel="2">
      <c r="B2274" s="2889" t="s">
        <v>1634</v>
      </c>
      <c r="C2274" s="2889" t="s">
        <v>1411</v>
      </c>
      <c r="D2274" s="2889" t="s">
        <v>197</v>
      </c>
      <c r="E2274" s="2889" t="s">
        <v>217</v>
      </c>
      <c r="F2274" s="2890">
        <v>7.5201010928826732E-5</v>
      </c>
      <c r="G2274" s="2890">
        <v>9.9053599707410525E-2</v>
      </c>
    </row>
    <row r="2275" spans="2:7" ht="15" hidden="1" outlineLevel="2">
      <c r="B2275" s="2889" t="s">
        <v>1635</v>
      </c>
      <c r="C2275" s="2889" t="s">
        <v>1411</v>
      </c>
      <c r="D2275" s="2889" t="s">
        <v>197</v>
      </c>
      <c r="E2275" s="2889" t="s">
        <v>217</v>
      </c>
      <c r="F2275" s="2890">
        <v>8.5447524196979955E-5</v>
      </c>
      <c r="G2275" s="2890">
        <v>0.11210283411049547</v>
      </c>
    </row>
    <row r="2276" spans="2:7" ht="15" hidden="1" outlineLevel="2">
      <c r="B2276" s="2889" t="s">
        <v>1636</v>
      </c>
      <c r="C2276" s="2889" t="s">
        <v>1411</v>
      </c>
      <c r="D2276" s="2889" t="s">
        <v>197</v>
      </c>
      <c r="E2276" s="2889" t="s">
        <v>217</v>
      </c>
      <c r="F2276" s="2890">
        <v>4.1547234773168233E-5</v>
      </c>
      <c r="G2276" s="2890">
        <v>5.4512400616013243E-2</v>
      </c>
    </row>
    <row r="2277" spans="2:7" ht="15" hidden="1" outlineLevel="2">
      <c r="B2277" s="2889" t="s">
        <v>1637</v>
      </c>
      <c r="C2277" s="2889" t="s">
        <v>1411</v>
      </c>
      <c r="D2277" s="2889" t="s">
        <v>197</v>
      </c>
      <c r="E2277" s="2889" t="s">
        <v>217</v>
      </c>
      <c r="F2277" s="2890">
        <v>1.9487807655414429E-5</v>
      </c>
      <c r="G2277" s="2890">
        <v>2.5624474645200474E-2</v>
      </c>
    </row>
    <row r="2278" spans="2:7" ht="15" hidden="1" outlineLevel="2">
      <c r="B2278" s="2889" t="s">
        <v>1638</v>
      </c>
      <c r="C2278" s="2889" t="s">
        <v>1411</v>
      </c>
      <c r="D2278" s="2889" t="s">
        <v>197</v>
      </c>
      <c r="E2278" s="2889" t="s">
        <v>217</v>
      </c>
      <c r="F2278" s="2890">
        <v>6.7863777662427344E-5</v>
      </c>
      <c r="G2278" s="2890">
        <v>8.9389025898029245E-2</v>
      </c>
    </row>
    <row r="2279" spans="2:7" ht="15" hidden="1" outlineLevel="2">
      <c r="B2279" s="2889" t="s">
        <v>1639</v>
      </c>
      <c r="C2279" s="2889" t="s">
        <v>1411</v>
      </c>
      <c r="D2279" s="2889" t="s">
        <v>197</v>
      </c>
      <c r="E2279" s="2889" t="s">
        <v>217</v>
      </c>
      <c r="F2279" s="2890">
        <v>1.0372797624424983E-4</v>
      </c>
      <c r="G2279" s="2890">
        <v>0.13639168997419962</v>
      </c>
    </row>
    <row r="2280" spans="2:7" ht="15" hidden="1" outlineLevel="2">
      <c r="B2280" s="2889" t="s">
        <v>1640</v>
      </c>
      <c r="C2280" s="2889" t="s">
        <v>1411</v>
      </c>
      <c r="D2280" s="2889" t="s">
        <v>197</v>
      </c>
      <c r="E2280" s="2889" t="s">
        <v>217</v>
      </c>
      <c r="F2280" s="2890">
        <v>3.182996479893862E-5</v>
      </c>
      <c r="G2280" s="2890">
        <v>4.1718125737179965E-2</v>
      </c>
    </row>
    <row r="2281" spans="2:7" ht="15" hidden="1" outlineLevel="2">
      <c r="B2281" s="2889" t="s">
        <v>1641</v>
      </c>
      <c r="C2281" s="2889" t="s">
        <v>1411</v>
      </c>
      <c r="D2281" s="2889" t="s">
        <v>197</v>
      </c>
      <c r="E2281" s="2889" t="s">
        <v>217</v>
      </c>
      <c r="F2281" s="2890">
        <v>3.8923610385818956E-5</v>
      </c>
      <c r="G2281" s="2890">
        <v>5.1065834882100439E-2</v>
      </c>
    </row>
    <row r="2282" spans="2:7" ht="15" hidden="1" outlineLevel="2">
      <c r="B2282" s="2889" t="s">
        <v>1642</v>
      </c>
      <c r="C2282" s="2889" t="s">
        <v>1411</v>
      </c>
      <c r="D2282" s="2889" t="s">
        <v>197</v>
      </c>
      <c r="E2282" s="2889" t="s">
        <v>217</v>
      </c>
      <c r="F2282" s="2890">
        <v>1.7657206550038633E-5</v>
      </c>
      <c r="G2282" s="2890">
        <v>2.3165368847043403E-2</v>
      </c>
    </row>
    <row r="2283" spans="2:7" ht="15" hidden="1" outlineLevel="2">
      <c r="B2283" s="2889" t="s">
        <v>1643</v>
      </c>
      <c r="C2283" s="2889" t="s">
        <v>1411</v>
      </c>
      <c r="D2283" s="2889" t="s">
        <v>197</v>
      </c>
      <c r="E2283" s="2889" t="s">
        <v>217</v>
      </c>
      <c r="F2283" s="2890">
        <v>8.635227615885936E-5</v>
      </c>
      <c r="G2283" s="2890">
        <v>0.11315564886130366</v>
      </c>
    </row>
    <row r="2284" spans="2:7" ht="15" hidden="1" outlineLevel="2">
      <c r="B2284" s="2889" t="s">
        <v>1644</v>
      </c>
      <c r="C2284" s="2889" t="s">
        <v>1411</v>
      </c>
      <c r="D2284" s="2889" t="s">
        <v>197</v>
      </c>
      <c r="E2284" s="2889" t="s">
        <v>217</v>
      </c>
      <c r="F2284" s="2890">
        <v>3.7729147502074639E-5</v>
      </c>
      <c r="G2284" s="2890">
        <v>4.9609884143550664E-2</v>
      </c>
    </row>
    <row r="2285" spans="2:7" ht="15" hidden="1" outlineLevel="2">
      <c r="B2285" s="2889" t="s">
        <v>1645</v>
      </c>
      <c r="C2285" s="2889" t="s">
        <v>1411</v>
      </c>
      <c r="D2285" s="2889" t="s">
        <v>197</v>
      </c>
      <c r="E2285" s="2889" t="s">
        <v>217</v>
      </c>
      <c r="F2285" s="2890">
        <v>1.4751278886446963E-5</v>
      </c>
      <c r="G2285" s="2890">
        <v>1.9396420221807636E-2</v>
      </c>
    </row>
    <row r="2286" spans="2:7" ht="15" hidden="1" outlineLevel="2">
      <c r="B2286" s="2889" t="s">
        <v>1646</v>
      </c>
      <c r="C2286" s="2889" t="s">
        <v>1411</v>
      </c>
      <c r="D2286" s="2889" t="s">
        <v>197</v>
      </c>
      <c r="E2286" s="2889" t="s">
        <v>217</v>
      </c>
      <c r="F2286" s="2890">
        <v>1.0657599152028385E-4</v>
      </c>
      <c r="G2286" s="2890">
        <v>0.13982249711693656</v>
      </c>
    </row>
    <row r="2287" spans="2:7" ht="15" hidden="1" outlineLevel="2">
      <c r="B2287" s="2889" t="s">
        <v>1647</v>
      </c>
      <c r="C2287" s="2889" t="s">
        <v>1411</v>
      </c>
      <c r="D2287" s="2889" t="s">
        <v>197</v>
      </c>
      <c r="E2287" s="2889" t="s">
        <v>217</v>
      </c>
      <c r="F2287" s="2890">
        <v>2.9111875327015196E-5</v>
      </c>
      <c r="G2287" s="2890">
        <v>3.8345698941539143E-2</v>
      </c>
    </row>
    <row r="2288" spans="2:7" ht="15" hidden="1" outlineLevel="2">
      <c r="B2288" s="2889" t="s">
        <v>1648</v>
      </c>
      <c r="C2288" s="2889" t="s">
        <v>1411</v>
      </c>
      <c r="D2288" s="2889" t="s">
        <v>197</v>
      </c>
      <c r="E2288" s="2889" t="s">
        <v>217</v>
      </c>
      <c r="F2288" s="2890">
        <v>3.3068755568634801E-5</v>
      </c>
      <c r="G2288" s="2890">
        <v>4.3607578479223495E-2</v>
      </c>
    </row>
    <row r="2289" spans="2:7" ht="15" hidden="1" outlineLevel="2">
      <c r="B2289" s="2889" t="s">
        <v>1649</v>
      </c>
      <c r="C2289" s="2889" t="s">
        <v>1411</v>
      </c>
      <c r="D2289" s="2889" t="s">
        <v>197</v>
      </c>
      <c r="E2289" s="2889" t="s">
        <v>217</v>
      </c>
      <c r="F2289" s="2890">
        <v>6.841640743662543E-5</v>
      </c>
      <c r="G2289" s="2890">
        <v>9.0117014950568411E-2</v>
      </c>
    </row>
    <row r="2290" spans="2:7" ht="15" hidden="1" outlineLevel="2">
      <c r="B2290" s="2889" t="s">
        <v>1650</v>
      </c>
      <c r="C2290" s="2889" t="s">
        <v>1411</v>
      </c>
      <c r="D2290" s="2889" t="s">
        <v>197</v>
      </c>
      <c r="E2290" s="2889" t="s">
        <v>217</v>
      </c>
      <c r="F2290" s="2890">
        <v>6.283539442394502E-5</v>
      </c>
      <c r="G2290" s="2890">
        <v>8.2355532646229801E-2</v>
      </c>
    </row>
    <row r="2291" spans="2:7" ht="15" hidden="1" outlineLevel="2">
      <c r="B2291" s="2889" t="s">
        <v>1651</v>
      </c>
      <c r="C2291" s="2889" t="s">
        <v>1411</v>
      </c>
      <c r="D2291" s="2889" t="s">
        <v>197</v>
      </c>
      <c r="E2291" s="2889" t="s">
        <v>217</v>
      </c>
      <c r="F2291" s="2890">
        <v>4.8025984871774048E-5</v>
      </c>
      <c r="G2291" s="2890">
        <v>6.32590858247562E-2</v>
      </c>
    </row>
    <row r="2292" spans="2:7" ht="15" hidden="1" outlineLevel="2">
      <c r="B2292" s="2889" t="s">
        <v>1652</v>
      </c>
      <c r="C2292" s="2889" t="s">
        <v>1411</v>
      </c>
      <c r="D2292" s="2889" t="s">
        <v>197</v>
      </c>
      <c r="E2292" s="2889" t="s">
        <v>217</v>
      </c>
      <c r="F2292" s="2890">
        <v>7.3013400838222681E-5</v>
      </c>
      <c r="G2292" s="2890">
        <v>9.6172118095266768E-2</v>
      </c>
    </row>
    <row r="2293" spans="2:7" ht="15" hidden="1" outlineLevel="2">
      <c r="B2293" s="2889" t="s">
        <v>1653</v>
      </c>
      <c r="C2293" s="2889" t="s">
        <v>1411</v>
      </c>
      <c r="D2293" s="2889" t="s">
        <v>197</v>
      </c>
      <c r="E2293" s="2889" t="s">
        <v>217</v>
      </c>
      <c r="F2293" s="2890">
        <v>1.25115406112099E-40</v>
      </c>
      <c r="G2293" s="2890">
        <v>1.6424750101005877E-37</v>
      </c>
    </row>
    <row r="2294" spans="2:7" ht="15" hidden="1" outlineLevel="2">
      <c r="B2294" s="2889" t="s">
        <v>1407</v>
      </c>
      <c r="C2294" s="2889" t="s">
        <v>1412</v>
      </c>
      <c r="D2294" s="2889" t="s">
        <v>197</v>
      </c>
      <c r="E2294" s="2889" t="s">
        <v>217</v>
      </c>
      <c r="F2294" s="2890">
        <v>9.373399868776816E-4</v>
      </c>
      <c r="G2294" s="2890">
        <v>1.2275932206977453</v>
      </c>
    </row>
    <row r="2295" spans="2:7" ht="15" hidden="1" outlineLevel="2">
      <c r="B2295" s="2889" t="s">
        <v>1631</v>
      </c>
      <c r="C2295" s="2889" t="s">
        <v>1412</v>
      </c>
      <c r="D2295" s="2889" t="s">
        <v>197</v>
      </c>
      <c r="E2295" s="2889" t="s">
        <v>217</v>
      </c>
      <c r="F2295" s="2890">
        <v>1.7560881175287216E-3</v>
      </c>
      <c r="G2295" s="2890">
        <v>2.2818968435970044</v>
      </c>
    </row>
    <row r="2296" spans="2:7" ht="15" hidden="1" outlineLevel="2">
      <c r="B2296" s="2889" t="s">
        <v>1632</v>
      </c>
      <c r="C2296" s="2889" t="s">
        <v>1412</v>
      </c>
      <c r="D2296" s="2889" t="s">
        <v>197</v>
      </c>
      <c r="E2296" s="2889" t="s">
        <v>217</v>
      </c>
      <c r="F2296" s="2890">
        <v>3.5609314318175117E-3</v>
      </c>
      <c r="G2296" s="2890">
        <v>4.668202728453168</v>
      </c>
    </row>
    <row r="2297" spans="2:7" ht="15" hidden="1" outlineLevel="2">
      <c r="B2297" s="2889" t="s">
        <v>1633</v>
      </c>
      <c r="C2297" s="2889" t="s">
        <v>1412</v>
      </c>
      <c r="D2297" s="2889" t="s">
        <v>197</v>
      </c>
      <c r="E2297" s="2889" t="s">
        <v>217</v>
      </c>
      <c r="F2297" s="2890">
        <v>1.2502471976435069E-3</v>
      </c>
      <c r="G2297" s="2890">
        <v>1.642693811146843</v>
      </c>
    </row>
    <row r="2298" spans="2:7" ht="15" hidden="1" outlineLevel="2">
      <c r="B2298" s="2889" t="s">
        <v>1634</v>
      </c>
      <c r="C2298" s="2889" t="s">
        <v>1412</v>
      </c>
      <c r="D2298" s="2889" t="s">
        <v>197</v>
      </c>
      <c r="E2298" s="2889" t="s">
        <v>217</v>
      </c>
      <c r="F2298" s="2890">
        <v>8.1240110935279029E-3</v>
      </c>
      <c r="G2298" s="2890">
        <v>10.692673619835196</v>
      </c>
    </row>
    <row r="2299" spans="2:7" ht="15" hidden="1" outlineLevel="2">
      <c r="B2299" s="2889" t="s">
        <v>1635</v>
      </c>
      <c r="C2299" s="2889" t="s">
        <v>1412</v>
      </c>
      <c r="D2299" s="2889" t="s">
        <v>197</v>
      </c>
      <c r="E2299" s="2889" t="s">
        <v>217</v>
      </c>
      <c r="F2299" s="2890">
        <v>9.2309489215447495E-3</v>
      </c>
      <c r="G2299" s="2890">
        <v>12.10130374271878</v>
      </c>
    </row>
    <row r="2300" spans="2:7" ht="15" hidden="1" outlineLevel="2">
      <c r="B2300" s="2889" t="s">
        <v>1636</v>
      </c>
      <c r="C2300" s="2889" t="s">
        <v>1412</v>
      </c>
      <c r="D2300" s="2889" t="s">
        <v>197</v>
      </c>
      <c r="E2300" s="2889" t="s">
        <v>217</v>
      </c>
      <c r="F2300" s="2890">
        <v>4.4883742965749623E-3</v>
      </c>
      <c r="G2300" s="2890">
        <v>5.8845196237673356</v>
      </c>
    </row>
    <row r="2301" spans="2:7" ht="15" hidden="1" outlineLevel="2">
      <c r="B2301" s="2889" t="s">
        <v>1637</v>
      </c>
      <c r="C2301" s="2889" t="s">
        <v>1412</v>
      </c>
      <c r="D2301" s="2889" t="s">
        <v>197</v>
      </c>
      <c r="E2301" s="2889" t="s">
        <v>217</v>
      </c>
      <c r="F2301" s="2890">
        <v>2.105281549772204E-3</v>
      </c>
      <c r="G2301" s="2890">
        <v>2.7661162586444537</v>
      </c>
    </row>
    <row r="2302" spans="2:7" ht="15" hidden="1" outlineLevel="2">
      <c r="B2302" s="2889" t="s">
        <v>1638</v>
      </c>
      <c r="C2302" s="2889" t="s">
        <v>1412</v>
      </c>
      <c r="D2302" s="2889" t="s">
        <v>197</v>
      </c>
      <c r="E2302" s="2889" t="s">
        <v>217</v>
      </c>
      <c r="F2302" s="2890">
        <v>7.33137011268195E-3</v>
      </c>
      <c r="G2302" s="2890">
        <v>9.6493984808816453</v>
      </c>
    </row>
    <row r="2303" spans="2:7" ht="15" hidden="1" outlineLevel="2">
      <c r="B2303" s="2889" t="s">
        <v>1639</v>
      </c>
      <c r="C2303" s="2889" t="s">
        <v>1412</v>
      </c>
      <c r="D2303" s="2889" t="s">
        <v>197</v>
      </c>
      <c r="E2303" s="2889" t="s">
        <v>217</v>
      </c>
      <c r="F2303" s="2890">
        <v>1.1205801430358134E-2</v>
      </c>
      <c r="G2303" s="2890">
        <v>14.723232600856754</v>
      </c>
    </row>
    <row r="2304" spans="2:7" ht="15" hidden="1" outlineLevel="2">
      <c r="B2304" s="2889" t="s">
        <v>1640</v>
      </c>
      <c r="C2304" s="2889" t="s">
        <v>1412</v>
      </c>
      <c r="D2304" s="2889" t="s">
        <v>197</v>
      </c>
      <c r="E2304" s="2889" t="s">
        <v>217</v>
      </c>
      <c r="F2304" s="2890">
        <v>3.4386115687616583E-3</v>
      </c>
      <c r="G2304" s="2890">
        <v>4.5033994958714061</v>
      </c>
    </row>
    <row r="2305" spans="2:7" ht="15" hidden="1" outlineLevel="2">
      <c r="B2305" s="2889" t="s">
        <v>1641</v>
      </c>
      <c r="C2305" s="2889" t="s">
        <v>1412</v>
      </c>
      <c r="D2305" s="2889" t="s">
        <v>197</v>
      </c>
      <c r="E2305" s="2889" t="s">
        <v>217</v>
      </c>
      <c r="F2305" s="3039">
        <v>4.2049426131352593E-3</v>
      </c>
      <c r="G2305" s="2890">
        <v>5.5124692555893899</v>
      </c>
    </row>
    <row r="2306" spans="2:7" ht="15" hidden="1" outlineLevel="2">
      <c r="B2306" s="2889" t="s">
        <v>1642</v>
      </c>
      <c r="C2306" s="2889" t="s">
        <v>1412</v>
      </c>
      <c r="D2306" s="2889" t="s">
        <v>197</v>
      </c>
      <c r="E2306" s="2889" t="s">
        <v>217</v>
      </c>
      <c r="F2306" s="3039">
        <v>1.907519745497433E-3</v>
      </c>
      <c r="G2306" s="2890">
        <v>2.5006632126576469</v>
      </c>
    </row>
    <row r="2307" spans="2:7" ht="15" hidden="1" outlineLevel="2">
      <c r="B2307" s="2889" t="s">
        <v>1643</v>
      </c>
      <c r="C2307" s="2889" t="s">
        <v>1412</v>
      </c>
      <c r="D2307" s="2889" t="s">
        <v>197</v>
      </c>
      <c r="E2307" s="2889" t="s">
        <v>217</v>
      </c>
      <c r="F2307" s="3039">
        <v>9.3286939425509495E-3</v>
      </c>
      <c r="G2307" s="2890">
        <v>12.214960410761217</v>
      </c>
    </row>
    <row r="2308" spans="2:7" ht="15" hidden="1" outlineLevel="2">
      <c r="B2308" s="2889" t="s">
        <v>1644</v>
      </c>
      <c r="C2308" s="2889" t="s">
        <v>1412</v>
      </c>
      <c r="D2308" s="2889" t="s">
        <v>197</v>
      </c>
      <c r="E2308" s="2889" t="s">
        <v>217</v>
      </c>
      <c r="F2308" s="3039">
        <v>4.0759013273109117E-3</v>
      </c>
      <c r="G2308" s="2890">
        <v>5.3553061366746482</v>
      </c>
    </row>
    <row r="2309" spans="2:7" ht="15" hidden="1" outlineLevel="2">
      <c r="B2309" s="2889" t="s">
        <v>1645</v>
      </c>
      <c r="C2309" s="2889" t="s">
        <v>1412</v>
      </c>
      <c r="D2309" s="2889" t="s">
        <v>197</v>
      </c>
      <c r="E2309" s="2889" t="s">
        <v>217</v>
      </c>
      <c r="F2309" s="3039">
        <v>1.5935900939354603E-3</v>
      </c>
      <c r="G2309" s="2890">
        <v>2.0938095890717583</v>
      </c>
    </row>
    <row r="2310" spans="2:7" ht="15" hidden="1" outlineLevel="2">
      <c r="B2310" s="2889" t="s">
        <v>1646</v>
      </c>
      <c r="C2310" s="2889" t="s">
        <v>1412</v>
      </c>
      <c r="D2310" s="2889" t="s">
        <v>197</v>
      </c>
      <c r="E2310" s="2889" t="s">
        <v>217</v>
      </c>
      <c r="F2310" s="3039">
        <v>1.1513479615290086E-2</v>
      </c>
      <c r="G2310" s="2890">
        <v>15.093593859471019</v>
      </c>
    </row>
    <row r="2311" spans="2:7" ht="15" hidden="1" outlineLevel="2">
      <c r="B2311" s="2889" t="s">
        <v>1647</v>
      </c>
      <c r="C2311" s="2889" t="s">
        <v>1412</v>
      </c>
      <c r="D2311" s="2889" t="s">
        <v>197</v>
      </c>
      <c r="E2311" s="2889" t="s">
        <v>217</v>
      </c>
      <c r="F2311" s="3039">
        <v>3.1449747615885201E-3</v>
      </c>
      <c r="G2311" s="2890">
        <v>4.1393555625878005</v>
      </c>
    </row>
    <row r="2312" spans="2:7" ht="15" hidden="1" outlineLevel="2">
      <c r="B2312" s="2889" t="s">
        <v>1648</v>
      </c>
      <c r="C2312" s="2889" t="s">
        <v>1412</v>
      </c>
      <c r="D2312" s="2889" t="s">
        <v>197</v>
      </c>
      <c r="E2312" s="2889" t="s">
        <v>217</v>
      </c>
      <c r="F2312" s="2890">
        <v>3.5724403725154903E-3</v>
      </c>
      <c r="G2312" s="2890">
        <v>4.707361583349627</v>
      </c>
    </row>
    <row r="2313" spans="2:7" ht="15" hidden="1" outlineLevel="2">
      <c r="B2313" s="2889" t="s">
        <v>1649</v>
      </c>
      <c r="C2313" s="2889" t="s">
        <v>1412</v>
      </c>
      <c r="D2313" s="2889" t="s">
        <v>197</v>
      </c>
      <c r="E2313" s="2889" t="s">
        <v>217</v>
      </c>
      <c r="F2313" s="2890">
        <v>7.39107051508391E-3</v>
      </c>
      <c r="G2313" s="2890">
        <v>9.7279760086367464</v>
      </c>
    </row>
    <row r="2314" spans="2:7" ht="15" hidden="1" outlineLevel="2">
      <c r="B2314" s="2889" t="s">
        <v>1650</v>
      </c>
      <c r="C2314" s="2889" t="s">
        <v>1412</v>
      </c>
      <c r="D2314" s="2889" t="s">
        <v>197</v>
      </c>
      <c r="E2314" s="2889" t="s">
        <v>217</v>
      </c>
      <c r="F2314" s="2890">
        <v>6.7881454002035628E-3</v>
      </c>
      <c r="G2314" s="2890">
        <v>8.8901390289644162</v>
      </c>
    </row>
    <row r="2315" spans="2:7" ht="15" hidden="1" outlineLevel="2">
      <c r="B2315" s="2889" t="s">
        <v>1651</v>
      </c>
      <c r="C2315" s="2889" t="s">
        <v>1412</v>
      </c>
      <c r="D2315" s="2889" t="s">
        <v>197</v>
      </c>
      <c r="E2315" s="2889" t="s">
        <v>217</v>
      </c>
      <c r="F2315" s="3039">
        <v>5.1882796426460003E-3</v>
      </c>
      <c r="G2315" s="2890">
        <v>6.8287101244723001</v>
      </c>
    </row>
    <row r="2316" spans="2:7" ht="15" hidden="1" outlineLevel="2">
      <c r="B2316" s="2889" t="s">
        <v>1652</v>
      </c>
      <c r="C2316" s="2889" t="s">
        <v>1412</v>
      </c>
      <c r="D2316" s="2889" t="s">
        <v>197</v>
      </c>
      <c r="E2316" s="2889" t="s">
        <v>217</v>
      </c>
      <c r="F2316" s="2890">
        <v>7.887685661363171E-3</v>
      </c>
      <c r="G2316" s="2890">
        <v>10.38161656148235</v>
      </c>
    </row>
    <row r="2317" spans="2:7" ht="15" hidden="1" outlineLevel="2">
      <c r="B2317" s="2889" t="s">
        <v>1653</v>
      </c>
      <c r="C2317" s="2889" t="s">
        <v>1412</v>
      </c>
      <c r="D2317" s="2889" t="s">
        <v>197</v>
      </c>
      <c r="E2317" s="2889" t="s">
        <v>217</v>
      </c>
      <c r="F2317" s="2890">
        <v>1.0678882109993598E-36</v>
      </c>
      <c r="G2317" s="2890">
        <v>1.3999479659600153E-33</v>
      </c>
    </row>
    <row r="2318" spans="2:7" ht="15" hidden="1" outlineLevel="2">
      <c r="B2318" s="2889" t="s">
        <v>1407</v>
      </c>
      <c r="C2318" s="2889" t="s">
        <v>1413</v>
      </c>
      <c r="D2318" s="2889" t="s">
        <v>197</v>
      </c>
      <c r="E2318" s="2889" t="s">
        <v>217</v>
      </c>
      <c r="F2318" s="3039">
        <v>3.0885749659337384E-4</v>
      </c>
      <c r="G2318" s="2890">
        <v>0.38453548307281227</v>
      </c>
    </row>
    <row r="2319" spans="2:7" ht="15" hidden="1" outlineLevel="2">
      <c r="B2319" s="2889" t="s">
        <v>1631</v>
      </c>
      <c r="C2319" s="2889" t="s">
        <v>1413</v>
      </c>
      <c r="D2319" s="2889" t="s">
        <v>197</v>
      </c>
      <c r="E2319" s="2889" t="s">
        <v>217</v>
      </c>
      <c r="F2319" s="2890">
        <v>5.8026215994798032E-4</v>
      </c>
      <c r="G2319" s="2890">
        <v>0.71478876563541771</v>
      </c>
    </row>
    <row r="2320" spans="2:7" ht="15" hidden="1" outlineLevel="2">
      <c r="B2320" s="2889" t="s">
        <v>1632</v>
      </c>
      <c r="C2320" s="2889" t="s">
        <v>1413</v>
      </c>
      <c r="D2320" s="2889" t="s">
        <v>197</v>
      </c>
      <c r="E2320" s="2889" t="s">
        <v>217</v>
      </c>
      <c r="F2320" s="2890">
        <v>1.1729250395252765E-3</v>
      </c>
      <c r="G2320" s="2890">
        <v>1.4622828598574302</v>
      </c>
    </row>
    <row r="2321" spans="2:7" ht="15" hidden="1" outlineLevel="2">
      <c r="B2321" s="2889" t="s">
        <v>1633</v>
      </c>
      <c r="C2321" s="2889" t="s">
        <v>1413</v>
      </c>
      <c r="D2321" s="2889" t="s">
        <v>197</v>
      </c>
      <c r="E2321" s="2889" t="s">
        <v>217</v>
      </c>
      <c r="F2321" s="2890">
        <v>4.1148292787524188E-4</v>
      </c>
      <c r="G2321" s="2890">
        <v>0.51456270495308432</v>
      </c>
    </row>
    <row r="2322" spans="2:7" ht="15" hidden="1" outlineLevel="2">
      <c r="B2322" s="2889" t="s">
        <v>1634</v>
      </c>
      <c r="C2322" s="2889" t="s">
        <v>1413</v>
      </c>
      <c r="D2322" s="2889" t="s">
        <v>197</v>
      </c>
      <c r="E2322" s="2889" t="s">
        <v>217</v>
      </c>
      <c r="F2322" s="3039">
        <v>2.6721082589601401E-3</v>
      </c>
      <c r="G2322" s="2890">
        <v>3.3494065019859502</v>
      </c>
    </row>
    <row r="2323" spans="2:7" ht="15" hidden="1" outlineLevel="2">
      <c r="B2323" s="2889" t="s">
        <v>1635</v>
      </c>
      <c r="C2323" s="2889" t="s">
        <v>1413</v>
      </c>
      <c r="D2323" s="2889" t="s">
        <v>197</v>
      </c>
      <c r="E2323" s="2889" t="s">
        <v>217</v>
      </c>
      <c r="F2323" s="3039">
        <v>3.0405563600721889E-3</v>
      </c>
      <c r="G2323" s="2890">
        <v>3.7906547676807612</v>
      </c>
    </row>
    <row r="2324" spans="2:7" ht="15" hidden="1" outlineLevel="2">
      <c r="B2324" s="2889" t="s">
        <v>1636</v>
      </c>
      <c r="C2324" s="2889" t="s">
        <v>1413</v>
      </c>
      <c r="D2324" s="2889" t="s">
        <v>197</v>
      </c>
      <c r="E2324" s="2889" t="s">
        <v>217</v>
      </c>
      <c r="F2324" s="3039">
        <v>1.4783692129691705E-3</v>
      </c>
      <c r="G2324" s="2890">
        <v>1.8432858044636347</v>
      </c>
    </row>
    <row r="2325" spans="2:7" ht="15" hidden="1" outlineLevel="2">
      <c r="B2325" s="2889" t="s">
        <v>1637</v>
      </c>
      <c r="C2325" s="2889" t="s">
        <v>1413</v>
      </c>
      <c r="D2325" s="2889" t="s">
        <v>197</v>
      </c>
      <c r="E2325" s="2889" t="s">
        <v>217</v>
      </c>
      <c r="F2325" s="2890">
        <v>6.9289266586131256E-4</v>
      </c>
      <c r="G2325" s="2890">
        <v>0.86646796599019815</v>
      </c>
    </row>
    <row r="2326" spans="2:7" ht="15" hidden="1" outlineLevel="2">
      <c r="B2326" s="2889" t="s">
        <v>1638</v>
      </c>
      <c r="C2326" s="2889" t="s">
        <v>1413</v>
      </c>
      <c r="D2326" s="2889" t="s">
        <v>197</v>
      </c>
      <c r="E2326" s="2889" t="s">
        <v>217</v>
      </c>
      <c r="F2326" s="2890">
        <v>2.411395378397858E-3</v>
      </c>
      <c r="G2326" s="2890">
        <v>3.0226103097630568</v>
      </c>
    </row>
    <row r="2327" spans="2:7" ht="15" hidden="1" outlineLevel="2">
      <c r="B2327" s="2889" t="s">
        <v>1639</v>
      </c>
      <c r="C2327" s="2889" t="s">
        <v>1413</v>
      </c>
      <c r="D2327" s="2889" t="s">
        <v>197</v>
      </c>
      <c r="E2327" s="2889" t="s">
        <v>217</v>
      </c>
      <c r="F2327" s="2890">
        <v>3.6880659413534686E-3</v>
      </c>
      <c r="G2327" s="2890">
        <v>4.6119565112335579</v>
      </c>
    </row>
    <row r="2328" spans="2:7" ht="15" hidden="1" outlineLevel="2">
      <c r="B2328" s="2889" t="s">
        <v>1640</v>
      </c>
      <c r="C2328" s="2889" t="s">
        <v>1413</v>
      </c>
      <c r="D2328" s="2889" t="s">
        <v>197</v>
      </c>
      <c r="E2328" s="2889" t="s">
        <v>217</v>
      </c>
      <c r="F2328" s="2890">
        <v>1.1330365830021247E-3</v>
      </c>
      <c r="G2328" s="2890">
        <v>1.4106599890349791</v>
      </c>
    </row>
    <row r="2329" spans="2:7" ht="15" hidden="1" outlineLevel="2">
      <c r="B2329" s="2889" t="s">
        <v>1641</v>
      </c>
      <c r="C2329" s="2889" t="s">
        <v>1413</v>
      </c>
      <c r="D2329" s="2889" t="s">
        <v>197</v>
      </c>
      <c r="E2329" s="2889" t="s">
        <v>217</v>
      </c>
      <c r="F2329" s="2890">
        <v>1.3850541045637521E-3</v>
      </c>
      <c r="G2329" s="2890">
        <v>1.7267445394132335</v>
      </c>
    </row>
    <row r="2330" spans="2:7" ht="15" hidden="1" outlineLevel="2">
      <c r="B2330" s="2889" t="s">
        <v>1642</v>
      </c>
      <c r="C2330" s="2889" t="s">
        <v>1413</v>
      </c>
      <c r="D2330" s="2889" t="s">
        <v>197</v>
      </c>
      <c r="E2330" s="2889" t="s">
        <v>217</v>
      </c>
      <c r="F2330" s="2890">
        <v>6.2831250648130287E-4</v>
      </c>
      <c r="G2330" s="2890">
        <v>0.7833156219153764</v>
      </c>
    </row>
    <row r="2331" spans="2:7" ht="15" hidden="1" outlineLevel="2">
      <c r="B2331" s="2889" t="s">
        <v>1643</v>
      </c>
      <c r="C2331" s="2889" t="s">
        <v>1413</v>
      </c>
      <c r="D2331" s="2889" t="s">
        <v>197</v>
      </c>
      <c r="E2331" s="2889" t="s">
        <v>217</v>
      </c>
      <c r="F2331" s="2890">
        <v>3.0740599678214793E-3</v>
      </c>
      <c r="G2331" s="2890">
        <v>3.8262565709909659</v>
      </c>
    </row>
    <row r="2332" spans="2:7" ht="15" hidden="1" outlineLevel="2">
      <c r="B2332" s="2889" t="s">
        <v>1644</v>
      </c>
      <c r="C2332" s="2889" t="s">
        <v>1413</v>
      </c>
      <c r="D2332" s="2889" t="s">
        <v>197</v>
      </c>
      <c r="E2332" s="2889" t="s">
        <v>217</v>
      </c>
      <c r="F2332" s="2890">
        <v>1.3414657340488974E-3</v>
      </c>
      <c r="G2332" s="2890">
        <v>1.6775142610368468</v>
      </c>
    </row>
    <row r="2333" spans="2:7" ht="15" hidden="1" outlineLevel="2">
      <c r="B2333" s="2889" t="s">
        <v>1645</v>
      </c>
      <c r="C2333" s="2889" t="s">
        <v>1413</v>
      </c>
      <c r="D2333" s="2889" t="s">
        <v>197</v>
      </c>
      <c r="E2333" s="2889" t="s">
        <v>217</v>
      </c>
      <c r="F2333" s="2890">
        <v>5.2448425894817906E-4</v>
      </c>
      <c r="G2333" s="2890">
        <v>0.6558717520718037</v>
      </c>
    </row>
    <row r="2334" spans="2:7" ht="15" hidden="1" outlineLevel="2">
      <c r="B2334" s="2889" t="s">
        <v>1646</v>
      </c>
      <c r="C2334" s="2889" t="s">
        <v>1413</v>
      </c>
      <c r="D2334" s="2889" t="s">
        <v>197</v>
      </c>
      <c r="E2334" s="2889" t="s">
        <v>217</v>
      </c>
      <c r="F2334" s="2890">
        <v>3.7923923913146793E-3</v>
      </c>
      <c r="G2334" s="2890">
        <v>4.7279663763727804</v>
      </c>
    </row>
    <row r="2335" spans="2:7" ht="15" hidden="1" outlineLevel="2">
      <c r="B2335" s="2889" t="s">
        <v>1647</v>
      </c>
      <c r="C2335" s="2889" t="s">
        <v>1413</v>
      </c>
      <c r="D2335" s="2889" t="s">
        <v>197</v>
      </c>
      <c r="E2335" s="2889" t="s">
        <v>217</v>
      </c>
      <c r="F2335" s="2890">
        <v>1.0344291626603003E-3</v>
      </c>
      <c r="G2335" s="2890">
        <v>1.2966248314806292</v>
      </c>
    </row>
    <row r="2336" spans="2:7" ht="15" hidden="1" outlineLevel="2">
      <c r="B2336" s="2889" t="s">
        <v>1648</v>
      </c>
      <c r="C2336" s="2889" t="s">
        <v>1413</v>
      </c>
      <c r="D2336" s="2889" t="s">
        <v>197</v>
      </c>
      <c r="E2336" s="2889" t="s">
        <v>217</v>
      </c>
      <c r="F2336" s="3039">
        <v>1.174541507956911E-3</v>
      </c>
      <c r="G2336" s="2890">
        <v>1.4745485833354928</v>
      </c>
    </row>
    <row r="2337" spans="2:7" ht="15" hidden="1" outlineLevel="2">
      <c r="B2337" s="2889" t="s">
        <v>1649</v>
      </c>
      <c r="C2337" s="2889" t="s">
        <v>1413</v>
      </c>
      <c r="D2337" s="2889" t="s">
        <v>197</v>
      </c>
      <c r="E2337" s="2889" t="s">
        <v>217</v>
      </c>
      <c r="F2337" s="3039">
        <v>2.4310326030294979E-3</v>
      </c>
      <c r="G2337" s="2890">
        <v>3.0472241031264842</v>
      </c>
    </row>
    <row r="2338" spans="2:7" ht="15" hidden="1" outlineLevel="2">
      <c r="B2338" s="2889" t="s">
        <v>1650</v>
      </c>
      <c r="C2338" s="2889" t="s">
        <v>1413</v>
      </c>
      <c r="D2338" s="2889" t="s">
        <v>197</v>
      </c>
      <c r="E2338" s="2889" t="s">
        <v>217</v>
      </c>
      <c r="F2338" s="2890">
        <v>2.2367222338953454E-3</v>
      </c>
      <c r="G2338" s="2890">
        <v>2.7847758491560843</v>
      </c>
    </row>
    <row r="2339" spans="2:7" ht="15" hidden="1" outlineLevel="2">
      <c r="B2339" s="2889" t="s">
        <v>1651</v>
      </c>
      <c r="C2339" s="2889" t="s">
        <v>1413</v>
      </c>
      <c r="D2339" s="2889" t="s">
        <v>197</v>
      </c>
      <c r="E2339" s="2889" t="s">
        <v>217</v>
      </c>
      <c r="F2339" s="2890">
        <v>1.7065020640447885E-3</v>
      </c>
      <c r="G2339" s="2890">
        <v>2.1390476854942326</v>
      </c>
    </row>
    <row r="2340" spans="2:7" ht="15" hidden="1" outlineLevel="2">
      <c r="B2340" s="2889" t="s">
        <v>1652</v>
      </c>
      <c r="C2340" s="2889" t="s">
        <v>1413</v>
      </c>
      <c r="D2340" s="2889" t="s">
        <v>197</v>
      </c>
      <c r="E2340" s="2889" t="s">
        <v>217</v>
      </c>
      <c r="F2340" s="2890">
        <v>2.5943765226834415E-3</v>
      </c>
      <c r="G2340" s="2890">
        <v>3.2519704604813668</v>
      </c>
    </row>
    <row r="2341" spans="2:7" ht="15" hidden="1" outlineLevel="2">
      <c r="B2341" s="2889" t="s">
        <v>1653</v>
      </c>
      <c r="C2341" s="2889" t="s">
        <v>1413</v>
      </c>
      <c r="D2341" s="2889" t="s">
        <v>197</v>
      </c>
      <c r="E2341" s="2889" t="s">
        <v>217</v>
      </c>
      <c r="F2341" s="2890">
        <v>1.2721410398433914E-35</v>
      </c>
      <c r="G2341" s="2890">
        <v>1.4837036410084692E-32</v>
      </c>
    </row>
    <row r="2342" spans="2:7" ht="15" hidden="1" outlineLevel="2">
      <c r="B2342" s="2889" t="s">
        <v>1407</v>
      </c>
      <c r="C2342" s="2889" t="s">
        <v>1414</v>
      </c>
      <c r="D2342" s="2889" t="s">
        <v>197</v>
      </c>
      <c r="E2342" s="2889" t="s">
        <v>217</v>
      </c>
      <c r="F2342" s="2890">
        <v>4.0285334961292479E-3</v>
      </c>
      <c r="G2342" s="2890">
        <v>4.1772842770633227</v>
      </c>
    </row>
    <row r="2343" spans="2:7" ht="15" hidden="1" outlineLevel="2">
      <c r="B2343" s="2889" t="s">
        <v>1631</v>
      </c>
      <c r="C2343" s="2889" t="s">
        <v>1414</v>
      </c>
      <c r="D2343" s="2889" t="s">
        <v>197</v>
      </c>
      <c r="E2343" s="2889" t="s">
        <v>217</v>
      </c>
      <c r="F2343" s="2890">
        <v>7.5630146551103157E-3</v>
      </c>
      <c r="G2343" s="2890">
        <v>7.7648853358242462</v>
      </c>
    </row>
    <row r="2344" spans="2:7" ht="15" hidden="1" outlineLevel="2">
      <c r="B2344" s="2889" t="s">
        <v>1632</v>
      </c>
      <c r="C2344" s="2889" t="s">
        <v>1414</v>
      </c>
      <c r="D2344" s="2889" t="s">
        <v>197</v>
      </c>
      <c r="E2344" s="2889" t="s">
        <v>217</v>
      </c>
      <c r="F2344" s="2890">
        <v>1.5300286158764779E-2</v>
      </c>
      <c r="G2344" s="2890">
        <v>15.885064052815455</v>
      </c>
    </row>
    <row r="2345" spans="2:7" ht="15" hidden="1" outlineLevel="2">
      <c r="B2345" s="2889" t="s">
        <v>1633</v>
      </c>
      <c r="C2345" s="2889" t="s">
        <v>1414</v>
      </c>
      <c r="D2345" s="2889" t="s">
        <v>197</v>
      </c>
      <c r="E2345" s="2889" t="s">
        <v>217</v>
      </c>
      <c r="F2345" s="2890">
        <v>5.3687451205203561E-3</v>
      </c>
      <c r="G2345" s="2890">
        <v>5.5897922709828611</v>
      </c>
    </row>
    <row r="2346" spans="2:7" ht="15" hidden="1" outlineLevel="2">
      <c r="B2346" s="2889" t="s">
        <v>1634</v>
      </c>
      <c r="C2346" s="2889" t="s">
        <v>1414</v>
      </c>
      <c r="D2346" s="2889" t="s">
        <v>197</v>
      </c>
      <c r="E2346" s="2889" t="s">
        <v>217</v>
      </c>
      <c r="F2346" s="2890">
        <v>3.4869559580518981E-2</v>
      </c>
      <c r="G2346" s="2890">
        <v>36.385234552153698</v>
      </c>
    </row>
    <row r="2347" spans="2:7" ht="15" hidden="1" outlineLevel="2">
      <c r="B2347" s="2889" t="s">
        <v>1635</v>
      </c>
      <c r="C2347" s="2889" t="s">
        <v>1414</v>
      </c>
      <c r="D2347" s="2889" t="s">
        <v>197</v>
      </c>
      <c r="E2347" s="2889" t="s">
        <v>217</v>
      </c>
      <c r="F2347" s="2890">
        <v>3.9662689190984916E-2</v>
      </c>
      <c r="G2347" s="2890">
        <v>41.178602899261925</v>
      </c>
    </row>
    <row r="2348" spans="2:7" ht="15" hidden="1" outlineLevel="2">
      <c r="B2348" s="2889" t="s">
        <v>1636</v>
      </c>
      <c r="C2348" s="2889" t="s">
        <v>1414</v>
      </c>
      <c r="D2348" s="2889" t="s">
        <v>197</v>
      </c>
      <c r="E2348" s="2889" t="s">
        <v>217</v>
      </c>
      <c r="F2348" s="2890">
        <v>1.9284813428773723E-2</v>
      </c>
      <c r="G2348" s="2890">
        <v>20.023969960715004</v>
      </c>
    </row>
    <row r="2349" spans="2:7" ht="15" hidden="1" outlineLevel="2">
      <c r="B2349" s="2889" t="s">
        <v>1637</v>
      </c>
      <c r="C2349" s="2889" t="s">
        <v>1414</v>
      </c>
      <c r="D2349" s="2889" t="s">
        <v>197</v>
      </c>
      <c r="E2349" s="2889" t="s">
        <v>217</v>
      </c>
      <c r="F2349" s="2890">
        <v>9.0403869085305451E-3</v>
      </c>
      <c r="G2349" s="2890">
        <v>9.4126082279582217</v>
      </c>
    </row>
    <row r="2350" spans="2:7" ht="15" hidden="1" outlineLevel="2">
      <c r="B2350" s="2889" t="s">
        <v>1638</v>
      </c>
      <c r="C2350" s="2889" t="s">
        <v>1414</v>
      </c>
      <c r="D2350" s="2889" t="s">
        <v>197</v>
      </c>
      <c r="E2350" s="2889" t="s">
        <v>217</v>
      </c>
      <c r="F2350" s="2890">
        <v>3.1467382306889238E-2</v>
      </c>
      <c r="G2350" s="2890">
        <v>32.835192119010671</v>
      </c>
    </row>
    <row r="2351" spans="2:7" ht="15" hidden="1" outlineLevel="2">
      <c r="B2351" s="2889" t="s">
        <v>1639</v>
      </c>
      <c r="C2351" s="2889" t="s">
        <v>1414</v>
      </c>
      <c r="D2351" s="2889" t="s">
        <v>197</v>
      </c>
      <c r="E2351" s="2889" t="s">
        <v>217</v>
      </c>
      <c r="F2351" s="2890">
        <v>4.8119341281874339E-2</v>
      </c>
      <c r="G2351" s="2890">
        <v>50.100572749177601</v>
      </c>
    </row>
    <row r="2352" spans="2:7" ht="15" hidden="1" outlineLevel="2">
      <c r="B2352" s="2889" t="s">
        <v>1640</v>
      </c>
      <c r="C2352" s="2889" t="s">
        <v>1414</v>
      </c>
      <c r="D2352" s="2889" t="s">
        <v>197</v>
      </c>
      <c r="E2352" s="2889" t="s">
        <v>217</v>
      </c>
      <c r="F2352" s="2890">
        <v>1.4778583799093805E-2</v>
      </c>
      <c r="G2352" s="2890">
        <v>15.324270609494237</v>
      </c>
    </row>
    <row r="2353" spans="2:7" ht="15" hidden="1" outlineLevel="2">
      <c r="B2353" s="2889" t="s">
        <v>1641</v>
      </c>
      <c r="C2353" s="2889" t="s">
        <v>1414</v>
      </c>
      <c r="D2353" s="2889" t="s">
        <v>197</v>
      </c>
      <c r="E2353" s="2889" t="s">
        <v>217</v>
      </c>
      <c r="F2353" s="3039">
        <v>1.8067410270553891E-2</v>
      </c>
      <c r="G2353" s="2890">
        <v>18.757949143869368</v>
      </c>
    </row>
    <row r="2354" spans="2:7" ht="15" hidden="1" outlineLevel="2">
      <c r="B2354" s="2889" t="s">
        <v>1642</v>
      </c>
      <c r="C2354" s="2889" t="s">
        <v>1414</v>
      </c>
      <c r="D2354" s="2889" t="s">
        <v>197</v>
      </c>
      <c r="E2354" s="2889" t="s">
        <v>217</v>
      </c>
      <c r="F2354" s="3039">
        <v>8.1960559538365729E-3</v>
      </c>
      <c r="G2354" s="2890">
        <v>8.5093134761534923</v>
      </c>
    </row>
    <row r="2355" spans="2:7" ht="15" hidden="1" outlineLevel="2">
      <c r="B2355" s="2889" t="s">
        <v>1643</v>
      </c>
      <c r="C2355" s="2889" t="s">
        <v>1414</v>
      </c>
      <c r="D2355" s="2889" t="s">
        <v>197</v>
      </c>
      <c r="E2355" s="2889" t="s">
        <v>217</v>
      </c>
      <c r="F2355" s="3039">
        <v>4.0095269884675926E-2</v>
      </c>
      <c r="G2355" s="2890">
        <v>41.565346769197689</v>
      </c>
    </row>
    <row r="2356" spans="2:7" ht="15" hidden="1" outlineLevel="2">
      <c r="B2356" s="2889" t="s">
        <v>1644</v>
      </c>
      <c r="C2356" s="2889" t="s">
        <v>1414</v>
      </c>
      <c r="D2356" s="2889" t="s">
        <v>197</v>
      </c>
      <c r="E2356" s="2889" t="s">
        <v>217</v>
      </c>
      <c r="F2356" s="3039">
        <v>1.7502518150407449E-2</v>
      </c>
      <c r="G2356" s="2890">
        <v>18.223151866174312</v>
      </c>
    </row>
    <row r="2357" spans="2:7" ht="15" hidden="1" outlineLevel="2">
      <c r="B2357" s="2889" t="s">
        <v>1645</v>
      </c>
      <c r="C2357" s="2889" t="s">
        <v>1414</v>
      </c>
      <c r="D2357" s="2889" t="s">
        <v>197</v>
      </c>
      <c r="E2357" s="2889" t="s">
        <v>217</v>
      </c>
      <c r="F2357" s="3039">
        <v>6.8431073461608519E-3</v>
      </c>
      <c r="G2357" s="2890">
        <v>7.1248593543095451</v>
      </c>
    </row>
    <row r="2358" spans="2:7" ht="15" hidden="1" outlineLevel="2">
      <c r="B2358" s="2889" t="s">
        <v>1646</v>
      </c>
      <c r="C2358" s="2889" t="s">
        <v>1414</v>
      </c>
      <c r="D2358" s="2889" t="s">
        <v>197</v>
      </c>
      <c r="E2358" s="2889" t="s">
        <v>217</v>
      </c>
      <c r="F2358" s="3039">
        <v>4.9470071073057571E-2</v>
      </c>
      <c r="G2358" s="2890">
        <v>51.360815695897756</v>
      </c>
    </row>
    <row r="2359" spans="2:7" ht="15" hidden="1" outlineLevel="2">
      <c r="B2359" s="2889" t="s">
        <v>1647</v>
      </c>
      <c r="C2359" s="2889" t="s">
        <v>1414</v>
      </c>
      <c r="D2359" s="2889" t="s">
        <v>197</v>
      </c>
      <c r="E2359" s="2889" t="s">
        <v>217</v>
      </c>
      <c r="F2359" s="3039">
        <v>1.3498737490036128E-2</v>
      </c>
      <c r="G2359" s="2890">
        <v>14.085486023776323</v>
      </c>
    </row>
    <row r="2360" spans="2:7" ht="15" hidden="1" outlineLevel="2">
      <c r="B2360" s="2889" t="s">
        <v>1648</v>
      </c>
      <c r="C2360" s="2889" t="s">
        <v>1414</v>
      </c>
      <c r="D2360" s="2889" t="s">
        <v>197</v>
      </c>
      <c r="E2360" s="2889" t="s">
        <v>217</v>
      </c>
      <c r="F2360" s="3039">
        <v>1.5328790279751548E-2</v>
      </c>
      <c r="G2360" s="2890">
        <v>16.01831032055232</v>
      </c>
    </row>
    <row r="2361" spans="2:7" ht="15" hidden="1" outlineLevel="2">
      <c r="B2361" s="2889" t="s">
        <v>1649</v>
      </c>
      <c r="C2361" s="2889" t="s">
        <v>1414</v>
      </c>
      <c r="D2361" s="2889" t="s">
        <v>197</v>
      </c>
      <c r="E2361" s="2889" t="s">
        <v>217</v>
      </c>
      <c r="F2361" s="3039">
        <v>3.17236458417035E-2</v>
      </c>
      <c r="G2361" s="2890">
        <v>33.102579577477066</v>
      </c>
    </row>
    <row r="2362" spans="2:7" ht="15" hidden="1" outlineLevel="2">
      <c r="B2362" s="2889" t="s">
        <v>1650</v>
      </c>
      <c r="C2362" s="2889" t="s">
        <v>1414</v>
      </c>
      <c r="D2362" s="2889" t="s">
        <v>197</v>
      </c>
      <c r="E2362" s="2889" t="s">
        <v>217</v>
      </c>
      <c r="F2362" s="3039">
        <v>2.917433019709776E-2</v>
      </c>
      <c r="G2362" s="2890">
        <v>30.251556081785765</v>
      </c>
    </row>
    <row r="2363" spans="2:7" ht="15" hidden="1" outlineLevel="2">
      <c r="B2363" s="2889" t="s">
        <v>1651</v>
      </c>
      <c r="C2363" s="2889" t="s">
        <v>1414</v>
      </c>
      <c r="D2363" s="2889" t="s">
        <v>197</v>
      </c>
      <c r="E2363" s="2889" t="s">
        <v>217</v>
      </c>
      <c r="F2363" s="2890">
        <v>2.2268920797414347E-2</v>
      </c>
      <c r="G2363" s="2890">
        <v>23.236881716136118</v>
      </c>
    </row>
    <row r="2364" spans="2:7" ht="15" hidden="1" outlineLevel="2">
      <c r="B2364" s="2889" t="s">
        <v>1652</v>
      </c>
      <c r="C2364" s="2889" t="s">
        <v>1414</v>
      </c>
      <c r="D2364" s="2889" t="s">
        <v>197</v>
      </c>
      <c r="E2364" s="2889" t="s">
        <v>217</v>
      </c>
      <c r="F2364" s="2890">
        <v>3.3855200425178665E-2</v>
      </c>
      <c r="G2364" s="2890">
        <v>35.32679399798608</v>
      </c>
    </row>
    <row r="2365" spans="2:7" ht="15" hidden="1" outlineLevel="2">
      <c r="B2365" s="2889" t="s">
        <v>1653</v>
      </c>
      <c r="C2365" s="2889" t="s">
        <v>1414</v>
      </c>
      <c r="D2365" s="2889" t="s">
        <v>197</v>
      </c>
      <c r="E2365" s="2889" t="s">
        <v>217</v>
      </c>
      <c r="F2365" s="3039">
        <v>1.6597304970493812E-33</v>
      </c>
      <c r="G2365" s="2890">
        <v>2.1675830777834775E-30</v>
      </c>
    </row>
    <row r="2366" spans="2:7" ht="15" hidden="1" outlineLevel="2">
      <c r="B2366" s="2889" t="s">
        <v>1407</v>
      </c>
      <c r="C2366" s="2889" t="s">
        <v>1415</v>
      </c>
      <c r="D2366" s="2889" t="s">
        <v>197</v>
      </c>
      <c r="E2366" s="2889" t="s">
        <v>217</v>
      </c>
      <c r="F2366" s="2890">
        <v>1.3241117115386706E-2</v>
      </c>
      <c r="G2366" s="2890">
        <v>8.9540046803672304</v>
      </c>
    </row>
    <row r="2367" spans="2:7" ht="15" hidden="1" outlineLevel="2">
      <c r="B2367" s="2889" t="s">
        <v>1631</v>
      </c>
      <c r="C2367" s="2889" t="s">
        <v>1415</v>
      </c>
      <c r="D2367" s="2889" t="s">
        <v>197</v>
      </c>
      <c r="E2367" s="2889" t="s">
        <v>217</v>
      </c>
      <c r="F2367" s="2890">
        <v>2.4834482234941391E-2</v>
      </c>
      <c r="G2367" s="2890">
        <v>16.644039048352433</v>
      </c>
    </row>
    <row r="2368" spans="2:7" ht="15" hidden="1" outlineLevel="2">
      <c r="B2368" s="2889" t="s">
        <v>1632</v>
      </c>
      <c r="C2368" s="2889" t="s">
        <v>1415</v>
      </c>
      <c r="D2368" s="2889" t="s">
        <v>197</v>
      </c>
      <c r="E2368" s="2889" t="s">
        <v>217</v>
      </c>
      <c r="F2368" s="2890">
        <v>5.029563892653844E-2</v>
      </c>
      <c r="G2368" s="2890">
        <v>34.049648477356506</v>
      </c>
    </row>
    <row r="2369" spans="2:7" ht="15" hidden="1" outlineLevel="2">
      <c r="B2369" s="2889" t="s">
        <v>1633</v>
      </c>
      <c r="C2369" s="2889" t="s">
        <v>1415</v>
      </c>
      <c r="D2369" s="2889" t="s">
        <v>197</v>
      </c>
      <c r="E2369" s="2889" t="s">
        <v>217</v>
      </c>
      <c r="F2369" s="2890">
        <v>1.7653214269495492E-2</v>
      </c>
      <c r="G2369" s="2890">
        <v>11.981732881397019</v>
      </c>
    </row>
    <row r="2370" spans="2:7" ht="15" hidden="1" outlineLevel="2">
      <c r="B2370" s="2889" t="s">
        <v>1634</v>
      </c>
      <c r="C2370" s="2889" t="s">
        <v>1415</v>
      </c>
      <c r="D2370" s="2889" t="s">
        <v>197</v>
      </c>
      <c r="E2370" s="2889" t="s">
        <v>217</v>
      </c>
      <c r="F2370" s="2890">
        <v>0.11468091640277145</v>
      </c>
      <c r="G2370" s="2890">
        <v>77.991774755330084</v>
      </c>
    </row>
    <row r="2371" spans="2:7" ht="15" hidden="1" outlineLevel="2">
      <c r="B2371" s="2889" t="s">
        <v>1635</v>
      </c>
      <c r="C2371" s="2889" t="s">
        <v>1415</v>
      </c>
      <c r="D2371" s="2889" t="s">
        <v>197</v>
      </c>
      <c r="E2371" s="2889" t="s">
        <v>217</v>
      </c>
      <c r="F2371" s="2890">
        <v>0.13038060703548562</v>
      </c>
      <c r="G2371" s="2890">
        <v>88.266382977534363</v>
      </c>
    </row>
    <row r="2372" spans="2:7" ht="15" hidden="1" outlineLevel="2">
      <c r="B2372" s="2889" t="s">
        <v>1636</v>
      </c>
      <c r="C2372" s="2889" t="s">
        <v>1415</v>
      </c>
      <c r="D2372" s="2889" t="s">
        <v>197</v>
      </c>
      <c r="E2372" s="2889" t="s">
        <v>217</v>
      </c>
      <c r="F2372" s="2890">
        <v>6.3394373353471298E-2</v>
      </c>
      <c r="G2372" s="2890">
        <v>42.921398396968961</v>
      </c>
    </row>
    <row r="2373" spans="2:7" ht="15" hidden="1" outlineLevel="2">
      <c r="B2373" s="2889" t="s">
        <v>1637</v>
      </c>
      <c r="C2373" s="2889" t="s">
        <v>1415</v>
      </c>
      <c r="D2373" s="2889" t="s">
        <v>197</v>
      </c>
      <c r="E2373" s="2889" t="s">
        <v>217</v>
      </c>
      <c r="F2373" s="2890">
        <v>2.9726119619235349E-2</v>
      </c>
      <c r="G2373" s="2890">
        <v>20.175935659371035</v>
      </c>
    </row>
    <row r="2374" spans="2:7" ht="15" hidden="1" outlineLevel="2">
      <c r="B2374" s="2889" t="s">
        <v>1638</v>
      </c>
      <c r="C2374" s="2889" t="s">
        <v>1415</v>
      </c>
      <c r="D2374" s="2889" t="s">
        <v>197</v>
      </c>
      <c r="E2374" s="2889" t="s">
        <v>217</v>
      </c>
      <c r="F2374" s="2890">
        <v>0.10349171854710809</v>
      </c>
      <c r="G2374" s="2890">
        <v>70.382246672353133</v>
      </c>
    </row>
    <row r="2375" spans="2:7" ht="15" hidden="1" outlineLevel="2">
      <c r="B2375" s="2889" t="s">
        <v>1639</v>
      </c>
      <c r="C2375" s="2889" t="s">
        <v>1415</v>
      </c>
      <c r="D2375" s="2889" t="s">
        <v>197</v>
      </c>
      <c r="E2375" s="2889" t="s">
        <v>217</v>
      </c>
      <c r="F2375" s="2890">
        <v>0.15822353263029929</v>
      </c>
      <c r="G2375" s="2890">
        <v>107.39060647665133</v>
      </c>
    </row>
    <row r="2376" spans="2:7" ht="15" hidden="1" outlineLevel="2">
      <c r="B2376" s="2889" t="s">
        <v>1640</v>
      </c>
      <c r="C2376" s="2889" t="s">
        <v>1415</v>
      </c>
      <c r="D2376" s="2889" t="s">
        <v>197</v>
      </c>
      <c r="E2376" s="2889" t="s">
        <v>217</v>
      </c>
      <c r="F2376" s="2890">
        <v>4.857477310507187E-2</v>
      </c>
      <c r="G2376" s="2890">
        <v>32.847597261163898</v>
      </c>
    </row>
    <row r="2377" spans="2:7" ht="15" hidden="1" outlineLevel="2">
      <c r="B2377" s="2889" t="s">
        <v>1641</v>
      </c>
      <c r="C2377" s="2889" t="s">
        <v>1415</v>
      </c>
      <c r="D2377" s="2889" t="s">
        <v>197</v>
      </c>
      <c r="E2377" s="2889" t="s">
        <v>217</v>
      </c>
      <c r="F2377" s="2890">
        <v>5.9391841985835227E-2</v>
      </c>
      <c r="G2377" s="2890">
        <v>40.207691991214887</v>
      </c>
    </row>
    <row r="2378" spans="2:7" ht="15" hidden="1" outlineLevel="2">
      <c r="B2378" s="2889" t="s">
        <v>1642</v>
      </c>
      <c r="C2378" s="2889" t="s">
        <v>1415</v>
      </c>
      <c r="D2378" s="2889" t="s">
        <v>197</v>
      </c>
      <c r="E2378" s="2889" t="s">
        <v>217</v>
      </c>
      <c r="F2378" s="2890">
        <v>2.6942356916585523E-2</v>
      </c>
      <c r="G2378" s="2890">
        <v>18.239721171412143</v>
      </c>
    </row>
    <row r="2379" spans="2:7" ht="15" hidden="1" outlineLevel="2">
      <c r="B2379" s="2889" t="s">
        <v>1643</v>
      </c>
      <c r="C2379" s="2889" t="s">
        <v>1415</v>
      </c>
      <c r="D2379" s="2889" t="s">
        <v>197</v>
      </c>
      <c r="E2379" s="2889" t="s">
        <v>217</v>
      </c>
      <c r="F2379" s="2890">
        <v>0.13178336380759276</v>
      </c>
      <c r="G2379" s="2890">
        <v>89.095361805530487</v>
      </c>
    </row>
    <row r="2380" spans="2:7" ht="15" hidden="1" outlineLevel="2">
      <c r="B2380" s="2889" t="s">
        <v>1644</v>
      </c>
      <c r="C2380" s="2889" t="s">
        <v>1415</v>
      </c>
      <c r="D2380" s="2889" t="s">
        <v>197</v>
      </c>
      <c r="E2380" s="2889" t="s">
        <v>217</v>
      </c>
      <c r="F2380" s="2890">
        <v>5.7550897944251111E-2</v>
      </c>
      <c r="G2380" s="2890">
        <v>39.061338724013808</v>
      </c>
    </row>
    <row r="2381" spans="2:7" ht="15" hidden="1" outlineLevel="2">
      <c r="B2381" s="2889" t="s">
        <v>1645</v>
      </c>
      <c r="C2381" s="2889" t="s">
        <v>1415</v>
      </c>
      <c r="D2381" s="2889" t="s">
        <v>197</v>
      </c>
      <c r="E2381" s="2889" t="s">
        <v>217</v>
      </c>
      <c r="F2381" s="2890">
        <v>2.2501150080422909E-2</v>
      </c>
      <c r="G2381" s="2890">
        <v>15.272156507810053</v>
      </c>
    </row>
    <row r="2382" spans="2:7" ht="15" hidden="1" outlineLevel="2">
      <c r="B2382" s="2889" t="s">
        <v>1646</v>
      </c>
      <c r="C2382" s="2889" t="s">
        <v>1415</v>
      </c>
      <c r="D2382" s="2889" t="s">
        <v>197</v>
      </c>
      <c r="E2382" s="2889" t="s">
        <v>217</v>
      </c>
      <c r="F2382" s="2890">
        <v>0.16261972144537795</v>
      </c>
      <c r="G2382" s="2890">
        <v>110.09187011362901</v>
      </c>
    </row>
    <row r="2383" spans="2:7" ht="15" hidden="1" outlineLevel="2">
      <c r="B2383" s="2889" t="s">
        <v>1647</v>
      </c>
      <c r="C2383" s="2889" t="s">
        <v>1415</v>
      </c>
      <c r="D2383" s="2889" t="s">
        <v>197</v>
      </c>
      <c r="E2383" s="2889" t="s">
        <v>217</v>
      </c>
      <c r="F2383" s="2890">
        <v>4.4395387385369509E-2</v>
      </c>
      <c r="G2383" s="2890">
        <v>30.192255620822149</v>
      </c>
    </row>
    <row r="2384" spans="2:7" ht="15" hidden="1" outlineLevel="2">
      <c r="B2384" s="2889" t="s">
        <v>1648</v>
      </c>
      <c r="C2384" s="2889" t="s">
        <v>1415</v>
      </c>
      <c r="D2384" s="2889" t="s">
        <v>197</v>
      </c>
      <c r="E2384" s="2889" t="s">
        <v>217</v>
      </c>
      <c r="F2384" s="2890">
        <v>5.0421339997414646E-2</v>
      </c>
      <c r="G2384" s="2890">
        <v>34.335270738461595</v>
      </c>
    </row>
    <row r="2385" spans="2:7" ht="15" hidden="1" outlineLevel="2">
      <c r="B2385" s="2889" t="s">
        <v>1649</v>
      </c>
      <c r="C2385" s="2889" t="s">
        <v>1415</v>
      </c>
      <c r="D2385" s="2889" t="s">
        <v>197</v>
      </c>
      <c r="E2385" s="2889" t="s">
        <v>217</v>
      </c>
      <c r="F2385" s="2890">
        <v>0.1043344968080278</v>
      </c>
      <c r="G2385" s="2890">
        <v>70.955437534597422</v>
      </c>
    </row>
    <row r="2386" spans="2:7" ht="15" hidden="1" outlineLevel="2">
      <c r="B2386" s="2889" t="s">
        <v>1650</v>
      </c>
      <c r="C2386" s="2889" t="s">
        <v>1415</v>
      </c>
      <c r="D2386" s="2889" t="s">
        <v>197</v>
      </c>
      <c r="E2386" s="2889" t="s">
        <v>217</v>
      </c>
      <c r="F2386" s="3039">
        <v>9.589122851983109E-2</v>
      </c>
      <c r="G2386" s="2890">
        <v>64.844232202589751</v>
      </c>
    </row>
    <row r="2387" spans="2:7" ht="15" hidden="1" outlineLevel="2">
      <c r="B2387" s="2889" t="s">
        <v>1651</v>
      </c>
      <c r="C2387" s="2889" t="s">
        <v>1415</v>
      </c>
      <c r="D2387" s="2889" t="s">
        <v>197</v>
      </c>
      <c r="E2387" s="2889" t="s">
        <v>217</v>
      </c>
      <c r="F2387" s="3039">
        <v>7.3239258185491332E-2</v>
      </c>
      <c r="G2387" s="2890">
        <v>49.808282798379317</v>
      </c>
    </row>
    <row r="2388" spans="2:7" ht="15" hidden="1" outlineLevel="2">
      <c r="B2388" s="2889" t="s">
        <v>1652</v>
      </c>
      <c r="C2388" s="2889" t="s">
        <v>1415</v>
      </c>
      <c r="D2388" s="2889" t="s">
        <v>197</v>
      </c>
      <c r="E2388" s="2889" t="s">
        <v>217</v>
      </c>
      <c r="F2388" s="3039">
        <v>0.11134485324987248</v>
      </c>
      <c r="G2388" s="2890">
        <v>75.723021232441809</v>
      </c>
    </row>
    <row r="2389" spans="2:7" ht="15" hidden="1" outlineLevel="2">
      <c r="B2389" s="2889" t="s">
        <v>1653</v>
      </c>
      <c r="C2389" s="2889" t="s">
        <v>1415</v>
      </c>
      <c r="D2389" s="2889" t="s">
        <v>197</v>
      </c>
      <c r="E2389" s="2889" t="s">
        <v>217</v>
      </c>
      <c r="F2389" s="3039">
        <v>3.2387271652855731E-33</v>
      </c>
      <c r="G2389" s="2890">
        <v>2.1925866068221845E-30</v>
      </c>
    </row>
    <row r="2390" spans="2:7" ht="15" hidden="1" outlineLevel="2">
      <c r="B2390" s="2889" t="s">
        <v>1407</v>
      </c>
      <c r="C2390" s="2889" t="s">
        <v>1416</v>
      </c>
      <c r="D2390" s="2889" t="s">
        <v>197</v>
      </c>
      <c r="E2390" s="2889" t="s">
        <v>217</v>
      </c>
      <c r="F2390" s="3039">
        <v>1.4874603130603078E-3</v>
      </c>
      <c r="G2390" s="2890">
        <v>1.9480616581416537</v>
      </c>
    </row>
    <row r="2391" spans="2:7" ht="15" hidden="1" outlineLevel="2">
      <c r="B2391" s="2889" t="s">
        <v>1631</v>
      </c>
      <c r="C2391" s="2889" t="s">
        <v>1416</v>
      </c>
      <c r="D2391" s="2889" t="s">
        <v>197</v>
      </c>
      <c r="E2391" s="2889" t="s">
        <v>217</v>
      </c>
      <c r="F2391" s="3039">
        <v>2.7867262661299174E-3</v>
      </c>
      <c r="G2391" s="2890">
        <v>3.6211278552893913</v>
      </c>
    </row>
    <row r="2392" spans="2:7" ht="15" hidden="1" outlineLevel="2">
      <c r="B2392" s="2889" t="s">
        <v>1632</v>
      </c>
      <c r="C2392" s="2889" t="s">
        <v>1416</v>
      </c>
      <c r="D2392" s="2889" t="s">
        <v>197</v>
      </c>
      <c r="E2392" s="2889" t="s">
        <v>217</v>
      </c>
      <c r="F2392" s="2890">
        <v>5.6508224740235164E-3</v>
      </c>
      <c r="G2392" s="2890">
        <v>7.4079452945079707</v>
      </c>
    </row>
    <row r="2393" spans="2:7" ht="15" hidden="1" outlineLevel="2">
      <c r="B2393" s="2889" t="s">
        <v>1633</v>
      </c>
      <c r="C2393" s="2889" t="s">
        <v>1416</v>
      </c>
      <c r="D2393" s="2889" t="s">
        <v>197</v>
      </c>
      <c r="E2393" s="2889" t="s">
        <v>217</v>
      </c>
      <c r="F2393" s="2890">
        <v>1.9840091501422052E-3</v>
      </c>
      <c r="G2393" s="2890">
        <v>2.6067809643422444</v>
      </c>
    </row>
    <row r="2394" spans="2:7" ht="15" hidden="1" outlineLevel="2">
      <c r="B2394" s="2889" t="s">
        <v>1634</v>
      </c>
      <c r="C2394" s="2889" t="s">
        <v>1416</v>
      </c>
      <c r="D2394" s="2889" t="s">
        <v>197</v>
      </c>
      <c r="E2394" s="2889" t="s">
        <v>217</v>
      </c>
      <c r="F2394" s="2890">
        <v>1.2891951052548228E-2</v>
      </c>
      <c r="G2394" s="2890">
        <v>16.968123570809578</v>
      </c>
    </row>
    <row r="2395" spans="2:7" ht="15" hidden="1" outlineLevel="2">
      <c r="B2395" s="2889" t="s">
        <v>1635</v>
      </c>
      <c r="C2395" s="2889" t="s">
        <v>1416</v>
      </c>
      <c r="D2395" s="2889" t="s">
        <v>197</v>
      </c>
      <c r="E2395" s="2889" t="s">
        <v>217</v>
      </c>
      <c r="F2395" s="2890">
        <v>1.464853929319033E-2</v>
      </c>
      <c r="G2395" s="2890">
        <v>19.203503086775562</v>
      </c>
    </row>
    <row r="2396" spans="2:7" ht="15" hidden="1" outlineLevel="2">
      <c r="B2396" s="2889" t="s">
        <v>1636</v>
      </c>
      <c r="C2396" s="2889" t="s">
        <v>1416</v>
      </c>
      <c r="D2396" s="2889" t="s">
        <v>197</v>
      </c>
      <c r="E2396" s="2889" t="s">
        <v>217</v>
      </c>
      <c r="F2396" s="2890">
        <v>7.1225733854141261E-3</v>
      </c>
      <c r="G2396" s="2890">
        <v>9.3381137691202678</v>
      </c>
    </row>
    <row r="2397" spans="2:7" ht="15" hidden="1" outlineLevel="2">
      <c r="B2397" s="2889" t="s">
        <v>1637</v>
      </c>
      <c r="C2397" s="2889" t="s">
        <v>1416</v>
      </c>
      <c r="D2397" s="2889" t="s">
        <v>197</v>
      </c>
      <c r="E2397" s="2889" t="s">
        <v>217</v>
      </c>
      <c r="F2397" s="2890">
        <v>3.3408586747085012E-3</v>
      </c>
      <c r="G2397" s="2890">
        <v>4.3895371853479501</v>
      </c>
    </row>
    <row r="2398" spans="2:7" ht="15" hidden="1" outlineLevel="2">
      <c r="B2398" s="2889" t="s">
        <v>1638</v>
      </c>
      <c r="C2398" s="2889" t="s">
        <v>1416</v>
      </c>
      <c r="D2398" s="2889" t="s">
        <v>197</v>
      </c>
      <c r="E2398" s="2889" t="s">
        <v>217</v>
      </c>
      <c r="F2398" s="2890">
        <v>1.1634102916539364E-2</v>
      </c>
      <c r="G2398" s="2890">
        <v>15.312572825631575</v>
      </c>
    </row>
    <row r="2399" spans="2:7" ht="15" hidden="1" outlineLevel="2">
      <c r="B2399" s="2889" t="s">
        <v>1639</v>
      </c>
      <c r="C2399" s="2889" t="s">
        <v>1416</v>
      </c>
      <c r="D2399" s="2889" t="s">
        <v>197</v>
      </c>
      <c r="E2399" s="2889" t="s">
        <v>217</v>
      </c>
      <c r="F2399" s="2890">
        <v>1.7782416882123453E-2</v>
      </c>
      <c r="G2399" s="2890">
        <v>23.364221528448127</v>
      </c>
    </row>
    <row r="2400" spans="2:7" ht="15" hidden="1" outlineLevel="2">
      <c r="B2400" s="2889" t="s">
        <v>1640</v>
      </c>
      <c r="C2400" s="2889" t="s">
        <v>1416</v>
      </c>
      <c r="D2400" s="2889" t="s">
        <v>197</v>
      </c>
      <c r="E2400" s="2889" t="s">
        <v>217</v>
      </c>
      <c r="F2400" s="2890">
        <v>5.4567147002255326E-3</v>
      </c>
      <c r="G2400" s="2890">
        <v>7.1464210982750052</v>
      </c>
    </row>
    <row r="2401" spans="2:7" ht="15" hidden="1" outlineLevel="2">
      <c r="B2401" s="2889" t="s">
        <v>1641</v>
      </c>
      <c r="C2401" s="2889" t="s">
        <v>1416</v>
      </c>
      <c r="D2401" s="2889" t="s">
        <v>197</v>
      </c>
      <c r="E2401" s="2889" t="s">
        <v>217</v>
      </c>
      <c r="F2401" s="2890">
        <v>6.6727953699173021E-3</v>
      </c>
      <c r="G2401" s="2890">
        <v>8.7477080344205067</v>
      </c>
    </row>
    <row r="2402" spans="2:7" ht="15" hidden="1" outlineLevel="2">
      <c r="B2402" s="2889" t="s">
        <v>1642</v>
      </c>
      <c r="C2402" s="2889" t="s">
        <v>1416</v>
      </c>
      <c r="D2402" s="2889" t="s">
        <v>197</v>
      </c>
      <c r="E2402" s="2889" t="s">
        <v>217</v>
      </c>
      <c r="F2402" s="2890">
        <v>3.0270320949908449E-3</v>
      </c>
      <c r="G2402" s="2890">
        <v>3.9682871461072908</v>
      </c>
    </row>
    <row r="2403" spans="2:7" ht="15" hidden="1" outlineLevel="2">
      <c r="B2403" s="2889" t="s">
        <v>1643</v>
      </c>
      <c r="C2403" s="2889" t="s">
        <v>1416</v>
      </c>
      <c r="D2403" s="2889" t="s">
        <v>197</v>
      </c>
      <c r="E2403" s="2889" t="s">
        <v>217</v>
      </c>
      <c r="F2403" s="2890">
        <v>1.4803643191125569E-2</v>
      </c>
      <c r="G2403" s="2890">
        <v>19.383859592415597</v>
      </c>
    </row>
    <row r="2404" spans="2:7" ht="15" hidden="1" outlineLevel="2">
      <c r="B2404" s="2889" t="s">
        <v>1644</v>
      </c>
      <c r="C2404" s="2889" t="s">
        <v>1416</v>
      </c>
      <c r="D2404" s="2889" t="s">
        <v>197</v>
      </c>
      <c r="E2404" s="2889" t="s">
        <v>217</v>
      </c>
      <c r="F2404" s="2890">
        <v>6.4680239181768781E-3</v>
      </c>
      <c r="G2404" s="2890">
        <v>8.4983040958436575</v>
      </c>
    </row>
    <row r="2405" spans="2:7" ht="15" hidden="1" outlineLevel="2">
      <c r="B2405" s="2889" t="s">
        <v>1645</v>
      </c>
      <c r="C2405" s="2889" t="s">
        <v>1416</v>
      </c>
      <c r="D2405" s="2889" t="s">
        <v>197</v>
      </c>
      <c r="E2405" s="2889" t="s">
        <v>217</v>
      </c>
      <c r="F2405" s="2890">
        <v>2.5288582676869609E-3</v>
      </c>
      <c r="G2405" s="2890">
        <v>3.3226547161907241</v>
      </c>
    </row>
    <row r="2406" spans="2:7" ht="15" hidden="1" outlineLevel="2">
      <c r="B2406" s="2889" t="s">
        <v>1646</v>
      </c>
      <c r="C2406" s="2889" t="s">
        <v>1416</v>
      </c>
      <c r="D2406" s="2889" t="s">
        <v>197</v>
      </c>
      <c r="E2406" s="2889" t="s">
        <v>217</v>
      </c>
      <c r="F2406" s="2890">
        <v>1.8270670175817405E-2</v>
      </c>
      <c r="G2406" s="2890">
        <v>23.951939243276328</v>
      </c>
    </row>
    <row r="2407" spans="2:7" ht="15" hidden="1" outlineLevel="2">
      <c r="B2407" s="2889" t="s">
        <v>1647</v>
      </c>
      <c r="C2407" s="2889" t="s">
        <v>1416</v>
      </c>
      <c r="D2407" s="2889" t="s">
        <v>197</v>
      </c>
      <c r="E2407" s="2889" t="s">
        <v>217</v>
      </c>
      <c r="F2407" s="2890">
        <v>4.9907448448321635E-3</v>
      </c>
      <c r="G2407" s="2890">
        <v>6.568718095452768</v>
      </c>
    </row>
    <row r="2408" spans="2:7" ht="15" hidden="1" outlineLevel="2">
      <c r="B2408" s="2889" t="s">
        <v>1648</v>
      </c>
      <c r="C2408" s="2889" t="s">
        <v>1416</v>
      </c>
      <c r="D2408" s="2889" t="s">
        <v>197</v>
      </c>
      <c r="E2408" s="2889" t="s">
        <v>217</v>
      </c>
      <c r="F2408" s="2890">
        <v>5.6690849032878616E-3</v>
      </c>
      <c r="G2408" s="2890">
        <v>6.6953415830537093</v>
      </c>
    </row>
    <row r="2409" spans="2:7" ht="15" hidden="1" outlineLevel="2">
      <c r="B2409" s="2889" t="s">
        <v>1649</v>
      </c>
      <c r="C2409" s="2889" t="s">
        <v>1416</v>
      </c>
      <c r="D2409" s="2889" t="s">
        <v>197</v>
      </c>
      <c r="E2409" s="2889" t="s">
        <v>217</v>
      </c>
      <c r="F2409" s="2890">
        <v>1.172885058721109E-2</v>
      </c>
      <c r="G2409" s="2890">
        <v>15.43726916626974</v>
      </c>
    </row>
    <row r="2410" spans="2:7" ht="15" hidden="1" outlineLevel="2">
      <c r="B2410" s="2889" t="s">
        <v>1650</v>
      </c>
      <c r="C2410" s="2889" t="s">
        <v>1416</v>
      </c>
      <c r="D2410" s="2889" t="s">
        <v>197</v>
      </c>
      <c r="E2410" s="2889" t="s">
        <v>217</v>
      </c>
      <c r="F2410" s="2890">
        <v>1.077206701464356E-2</v>
      </c>
      <c r="G2410" s="2890">
        <v>14.107712605452319</v>
      </c>
    </row>
    <row r="2411" spans="2:7" ht="15" hidden="1" outlineLevel="2">
      <c r="B2411" s="2889" t="s">
        <v>1651</v>
      </c>
      <c r="C2411" s="2889" t="s">
        <v>1416</v>
      </c>
      <c r="D2411" s="2889" t="s">
        <v>197</v>
      </c>
      <c r="E2411" s="2889" t="s">
        <v>217</v>
      </c>
      <c r="F2411" s="2890">
        <v>8.2332517713019828E-3</v>
      </c>
      <c r="G2411" s="2890">
        <v>10.836435626843578</v>
      </c>
    </row>
    <row r="2412" spans="2:7" ht="15" hidden="1" outlineLevel="2">
      <c r="B2412" s="2889" t="s">
        <v>1652</v>
      </c>
      <c r="C2412" s="2889" t="s">
        <v>1416</v>
      </c>
      <c r="D2412" s="2889" t="s">
        <v>197</v>
      </c>
      <c r="E2412" s="2889" t="s">
        <v>217</v>
      </c>
      <c r="F2412" s="2890">
        <v>1.2516919994073655E-2</v>
      </c>
      <c r="G2412" s="2890">
        <v>16.474525303320039</v>
      </c>
    </row>
    <row r="2413" spans="2:7" ht="15" hidden="1" outlineLevel="2">
      <c r="B2413" s="2889" t="s">
        <v>1653</v>
      </c>
      <c r="C2413" s="2889" t="s">
        <v>1416</v>
      </c>
      <c r="D2413" s="2889" t="s">
        <v>197</v>
      </c>
      <c r="E2413" s="2889" t="s">
        <v>217</v>
      </c>
      <c r="F2413" s="2890">
        <v>1.7007358932577879E-34</v>
      </c>
      <c r="G2413" s="2890">
        <v>2.2295797325932862E-31</v>
      </c>
    </row>
    <row r="2414" spans="2:7" ht="15" hidden="1" outlineLevel="2">
      <c r="B2414" s="2889" t="s">
        <v>1407</v>
      </c>
      <c r="C2414" s="2889" t="s">
        <v>1417</v>
      </c>
      <c r="D2414" s="2889" t="s">
        <v>197</v>
      </c>
      <c r="E2414" s="2889" t="s">
        <v>217</v>
      </c>
      <c r="F2414" s="2890">
        <v>2.215066134150906E-3</v>
      </c>
      <c r="G2414" s="2890">
        <v>2.8207847020052514</v>
      </c>
    </row>
    <row r="2415" spans="2:7" ht="15" hidden="1" outlineLevel="2">
      <c r="B2415" s="2889" t="s">
        <v>1631</v>
      </c>
      <c r="C2415" s="2889" t="s">
        <v>1417</v>
      </c>
      <c r="D2415" s="2889" t="s">
        <v>197</v>
      </c>
      <c r="E2415" s="2889" t="s">
        <v>217</v>
      </c>
      <c r="F2415" s="2890">
        <v>4.1530530340291695E-3</v>
      </c>
      <c r="G2415" s="2890">
        <v>5.2433787179537683</v>
      </c>
    </row>
    <row r="2416" spans="2:7" ht="15" hidden="1" outlineLevel="2">
      <c r="B2416" s="2889" t="s">
        <v>1632</v>
      </c>
      <c r="C2416" s="2889" t="s">
        <v>1417</v>
      </c>
      <c r="D2416" s="2889" t="s">
        <v>197</v>
      </c>
      <c r="E2416" s="2889" t="s">
        <v>217</v>
      </c>
      <c r="F2416" s="2890">
        <v>8.4141668842201006E-3</v>
      </c>
      <c r="G2416" s="2890">
        <v>10.726676957534073</v>
      </c>
    </row>
    <row r="2417" spans="2:7" ht="15" hidden="1" outlineLevel="2">
      <c r="B2417" s="2889" t="s">
        <v>1633</v>
      </c>
      <c r="C2417" s="2889" t="s">
        <v>1417</v>
      </c>
      <c r="D2417" s="2889" t="s">
        <v>197</v>
      </c>
      <c r="E2417" s="2889" t="s">
        <v>217</v>
      </c>
      <c r="F2417" s="2890">
        <v>2.9535746899304691E-3</v>
      </c>
      <c r="G2417" s="2890">
        <v>3.7746094324456823</v>
      </c>
    </row>
    <row r="2418" spans="2:7" ht="15" hidden="1" outlineLevel="2">
      <c r="B2418" s="2889" t="s">
        <v>1634</v>
      </c>
      <c r="C2418" s="2889" t="s">
        <v>1417</v>
      </c>
      <c r="D2418" s="2889" t="s">
        <v>197</v>
      </c>
      <c r="E2418" s="2889" t="s">
        <v>217</v>
      </c>
      <c r="F2418" s="2890">
        <v>1.9188828980499208E-2</v>
      </c>
      <c r="G2418" s="2890">
        <v>24.569786478312889</v>
      </c>
    </row>
    <row r="2419" spans="2:7" ht="15" hidden="1" outlineLevel="2">
      <c r="B2419" s="2889" t="s">
        <v>1635</v>
      </c>
      <c r="C2419" s="2889" t="s">
        <v>1417</v>
      </c>
      <c r="D2419" s="2889" t="s">
        <v>197</v>
      </c>
      <c r="E2419" s="2889" t="s">
        <v>217</v>
      </c>
      <c r="F2419" s="2890">
        <v>2.1811909129497094E-2</v>
      </c>
      <c r="G2419" s="2890">
        <v>27.806594654742522</v>
      </c>
    </row>
    <row r="2420" spans="2:7" ht="15" hidden="1" outlineLevel="2">
      <c r="B2420" s="2889" t="s">
        <v>1636</v>
      </c>
      <c r="C2420" s="2889" t="s">
        <v>1417</v>
      </c>
      <c r="D2420" s="2889" t="s">
        <v>197</v>
      </c>
      <c r="E2420" s="2889" t="s">
        <v>217</v>
      </c>
      <c r="F2420" s="2890">
        <v>1.0605546606865548E-2</v>
      </c>
      <c r="G2420" s="2890">
        <v>13.521540582852717</v>
      </c>
    </row>
    <row r="2421" spans="2:7" ht="15" hidden="1" outlineLevel="2">
      <c r="B2421" s="2889" t="s">
        <v>1637</v>
      </c>
      <c r="C2421" s="2889" t="s">
        <v>1417</v>
      </c>
      <c r="D2421" s="2889" t="s">
        <v>197</v>
      </c>
      <c r="E2421" s="2889" t="s">
        <v>217</v>
      </c>
      <c r="F2421" s="2890">
        <v>4.9735003324586488E-3</v>
      </c>
      <c r="G2421" s="2890">
        <v>6.3560321941518616</v>
      </c>
    </row>
    <row r="2422" spans="2:7" ht="15" hidden="1" outlineLevel="2">
      <c r="B2422" s="2889" t="s">
        <v>1638</v>
      </c>
      <c r="C2422" s="2889" t="s">
        <v>1417</v>
      </c>
      <c r="D2422" s="2889" t="s">
        <v>197</v>
      </c>
      <c r="E2422" s="2889" t="s">
        <v>217</v>
      </c>
      <c r="F2422" s="2890">
        <v>1.7316604904831764E-2</v>
      </c>
      <c r="G2422" s="2890">
        <v>22.172550741020299</v>
      </c>
    </row>
    <row r="2423" spans="2:7" ht="15" hidden="1" outlineLevel="2">
      <c r="B2423" s="2889" t="s">
        <v>1639</v>
      </c>
      <c r="C2423" s="2889" t="s">
        <v>1417</v>
      </c>
      <c r="D2423" s="2889" t="s">
        <v>197</v>
      </c>
      <c r="E2423" s="2889" t="s">
        <v>217</v>
      </c>
      <c r="F2423" s="2890">
        <v>2.6472490329112645E-2</v>
      </c>
      <c r="G2423" s="2890">
        <v>33.831321364383861</v>
      </c>
    </row>
    <row r="2424" spans="2:7" ht="15" hidden="1" outlineLevel="2">
      <c r="B2424" s="2889" t="s">
        <v>1640</v>
      </c>
      <c r="C2424" s="2889" t="s">
        <v>1417</v>
      </c>
      <c r="D2424" s="2889" t="s">
        <v>197</v>
      </c>
      <c r="E2424" s="2889" t="s">
        <v>217</v>
      </c>
      <c r="F2424" s="2890">
        <v>8.1259207032454359E-3</v>
      </c>
      <c r="G2424" s="2890">
        <v>10.347987776003336</v>
      </c>
    </row>
    <row r="2425" spans="2:7" ht="15" hidden="1" outlineLevel="2">
      <c r="B2425" s="2889" t="s">
        <v>1641</v>
      </c>
      <c r="C2425" s="2889" t="s">
        <v>1417</v>
      </c>
      <c r="D2425" s="2889" t="s">
        <v>197</v>
      </c>
      <c r="E2425" s="2889" t="s">
        <v>217</v>
      </c>
      <c r="F2425" s="2890">
        <v>9.9359073527342783E-3</v>
      </c>
      <c r="G2425" s="2890">
        <v>12.666645351755795</v>
      </c>
    </row>
    <row r="2426" spans="2:7" ht="15" hidden="1" outlineLevel="2">
      <c r="B2426" s="2889" t="s">
        <v>1642</v>
      </c>
      <c r="C2426" s="2889" t="s">
        <v>1417</v>
      </c>
      <c r="D2426" s="2889" t="s">
        <v>197</v>
      </c>
      <c r="E2426" s="2889" t="s">
        <v>217</v>
      </c>
      <c r="F2426" s="2890">
        <v>4.5072996671934751E-3</v>
      </c>
      <c r="G2426" s="2890">
        <v>5.7460663877013589</v>
      </c>
    </row>
    <row r="2427" spans="2:7" ht="15" hidden="1" outlineLevel="2">
      <c r="B2427" s="2889" t="s">
        <v>1643</v>
      </c>
      <c r="C2427" s="2889" t="s">
        <v>1417</v>
      </c>
      <c r="D2427" s="2889" t="s">
        <v>197</v>
      </c>
      <c r="E2427" s="2889" t="s">
        <v>217</v>
      </c>
      <c r="F2427" s="2890">
        <v>2.2045427173263826E-2</v>
      </c>
      <c r="G2427" s="2890">
        <v>28.067751329447976</v>
      </c>
    </row>
    <row r="2428" spans="2:7" ht="15" hidden="1" outlineLevel="2">
      <c r="B2428" s="2889" t="s">
        <v>1644</v>
      </c>
      <c r="C2428" s="2889" t="s">
        <v>1417</v>
      </c>
      <c r="D2428" s="2889" t="s">
        <v>197</v>
      </c>
      <c r="E2428" s="2889" t="s">
        <v>217</v>
      </c>
      <c r="F2428" s="2890">
        <v>9.628881013856453E-3</v>
      </c>
      <c r="G2428" s="2890">
        <v>12.305508742284458</v>
      </c>
    </row>
    <row r="2429" spans="2:7" ht="15" hidden="1" outlineLevel="2">
      <c r="B2429" s="2889" t="s">
        <v>1645</v>
      </c>
      <c r="C2429" s="2889" t="s">
        <v>1417</v>
      </c>
      <c r="D2429" s="2889" t="s">
        <v>197</v>
      </c>
      <c r="E2429" s="2889" t="s">
        <v>217</v>
      </c>
      <c r="F2429" s="2890">
        <v>3.7646825324488364E-3</v>
      </c>
      <c r="G2429" s="2890">
        <v>4.8111892509149765</v>
      </c>
    </row>
    <row r="2430" spans="2:7" ht="15" hidden="1" outlineLevel="2">
      <c r="B2430" s="2889" t="s">
        <v>1646</v>
      </c>
      <c r="C2430" s="2889" t="s">
        <v>1417</v>
      </c>
      <c r="D2430" s="2889" t="s">
        <v>197</v>
      </c>
      <c r="E2430" s="2889" t="s">
        <v>217</v>
      </c>
      <c r="F2430" s="2890">
        <v>2.720534114247768E-2</v>
      </c>
      <c r="G2430" s="2890">
        <v>34.682310343300664</v>
      </c>
    </row>
    <row r="2431" spans="2:7" ht="15" hidden="1" outlineLevel="2">
      <c r="B2431" s="2889" t="s">
        <v>1647</v>
      </c>
      <c r="C2431" s="2889" t="s">
        <v>1417</v>
      </c>
      <c r="D2431" s="2889" t="s">
        <v>197</v>
      </c>
      <c r="E2431" s="2889" t="s">
        <v>217</v>
      </c>
      <c r="F2431" s="2890">
        <v>7.428399535118731E-3</v>
      </c>
      <c r="G2431" s="2890">
        <v>9.5114765486622712</v>
      </c>
    </row>
    <row r="2432" spans="2:7" ht="15" hidden="1" outlineLevel="2">
      <c r="B2432" s="2889" t="s">
        <v>1648</v>
      </c>
      <c r="C2432" s="2889" t="s">
        <v>1417</v>
      </c>
      <c r="D2432" s="2889" t="s">
        <v>197</v>
      </c>
      <c r="E2432" s="2889" t="s">
        <v>217</v>
      </c>
      <c r="F2432" s="3039">
        <v>7.5715937509626642E-3</v>
      </c>
      <c r="G2432" s="2890">
        <v>8.5730082798359035</v>
      </c>
    </row>
    <row r="2433" spans="2:7" ht="15" hidden="1" outlineLevel="2">
      <c r="B2433" s="2889" t="s">
        <v>1649</v>
      </c>
      <c r="C2433" s="2889" t="s">
        <v>1417</v>
      </c>
      <c r="D2433" s="2889" t="s">
        <v>197</v>
      </c>
      <c r="E2433" s="2889" t="s">
        <v>217</v>
      </c>
      <c r="F2433" s="3039">
        <v>1.7457624912638796E-2</v>
      </c>
      <c r="G2433" s="2890">
        <v>22.353118224096185</v>
      </c>
    </row>
    <row r="2434" spans="2:7" ht="15" hidden="1" outlineLevel="2">
      <c r="B2434" s="2889" t="s">
        <v>1650</v>
      </c>
      <c r="C2434" s="2889" t="s">
        <v>1417</v>
      </c>
      <c r="D2434" s="2889" t="s">
        <v>197</v>
      </c>
      <c r="E2434" s="2889" t="s">
        <v>217</v>
      </c>
      <c r="F2434" s="3039">
        <v>1.604133709323198E-2</v>
      </c>
      <c r="G2434" s="2890">
        <v>20.42791543649243</v>
      </c>
    </row>
    <row r="2435" spans="2:7" ht="15" hidden="1" outlineLevel="2">
      <c r="B2435" s="2889" t="s">
        <v>1651</v>
      </c>
      <c r="C2435" s="2889" t="s">
        <v>1417</v>
      </c>
      <c r="D2435" s="2889" t="s">
        <v>197</v>
      </c>
      <c r="E2435" s="2889" t="s">
        <v>217</v>
      </c>
      <c r="F2435" s="3039">
        <v>1.2254659862426078E-2</v>
      </c>
      <c r="G2435" s="2890">
        <v>15.691121547798108</v>
      </c>
    </row>
    <row r="2436" spans="2:7" ht="15" hidden="1" outlineLevel="2">
      <c r="B2436" s="2889" t="s">
        <v>1652</v>
      </c>
      <c r="C2436" s="2889" t="s">
        <v>1417</v>
      </c>
      <c r="D2436" s="2889" t="s">
        <v>197</v>
      </c>
      <c r="E2436" s="2889" t="s">
        <v>217</v>
      </c>
      <c r="F2436" s="3039">
        <v>1.863062901487457E-2</v>
      </c>
      <c r="G2436" s="2890">
        <v>23.85504873765078</v>
      </c>
    </row>
    <row r="2437" spans="2:7" ht="15" hidden="1" outlineLevel="2">
      <c r="B2437" s="2889" t="s">
        <v>1653</v>
      </c>
      <c r="C2437" s="2889" t="s">
        <v>1417</v>
      </c>
      <c r="D2437" s="2889" t="s">
        <v>197</v>
      </c>
      <c r="E2437" s="2889" t="s">
        <v>217</v>
      </c>
      <c r="F2437" s="3039">
        <v>2.3561475446602918E-34</v>
      </c>
      <c r="G2437" s="2890">
        <v>2.6850061911512384E-31</v>
      </c>
    </row>
    <row r="2438" spans="2:7" ht="15" hidden="1" outlineLevel="2">
      <c r="B2438" s="2889" t="s">
        <v>1407</v>
      </c>
      <c r="C2438" s="2889" t="s">
        <v>1418</v>
      </c>
      <c r="D2438" s="2889" t="s">
        <v>197</v>
      </c>
      <c r="E2438" s="2889" t="s">
        <v>217</v>
      </c>
      <c r="F2438" s="3039">
        <v>4.4449912074997843E-4</v>
      </c>
      <c r="G2438" s="2890">
        <v>3.129223420369053</v>
      </c>
    </row>
    <row r="2439" spans="2:7" ht="15" hidden="1" outlineLevel="2">
      <c r="B2439" s="2889" t="s">
        <v>1631</v>
      </c>
      <c r="C2439" s="2889" t="s">
        <v>1418</v>
      </c>
      <c r="D2439" s="2889" t="s">
        <v>197</v>
      </c>
      <c r="E2439" s="2889" t="s">
        <v>217</v>
      </c>
      <c r="F2439" s="3039">
        <v>8.3457628209423389E-4</v>
      </c>
      <c r="G2439" s="2890">
        <v>5.8167145025079812</v>
      </c>
    </row>
    <row r="2440" spans="2:7" ht="15" hidden="1" outlineLevel="2">
      <c r="B2440" s="2889" t="s">
        <v>1632</v>
      </c>
      <c r="C2440" s="2889" t="s">
        <v>1418</v>
      </c>
      <c r="D2440" s="2889" t="s">
        <v>197</v>
      </c>
      <c r="E2440" s="2889" t="s">
        <v>217</v>
      </c>
      <c r="F2440" s="3039">
        <v>1.6881750385983781E-3</v>
      </c>
      <c r="G2440" s="2890">
        <v>11.899581978210328</v>
      </c>
    </row>
    <row r="2441" spans="2:7" ht="15" hidden="1" outlineLevel="2">
      <c r="B2441" s="2889" t="s">
        <v>1633</v>
      </c>
      <c r="C2441" s="2889" t="s">
        <v>1418</v>
      </c>
      <c r="D2441" s="2889" t="s">
        <v>197</v>
      </c>
      <c r="E2441" s="2889" t="s">
        <v>217</v>
      </c>
      <c r="F2441" s="3039">
        <v>5.9234838741472533E-4</v>
      </c>
      <c r="G2441" s="2890">
        <v>4.1873434930372451</v>
      </c>
    </row>
    <row r="2442" spans="2:7" ht="15" hidden="1" outlineLevel="2">
      <c r="B2442" s="2889" t="s">
        <v>1634</v>
      </c>
      <c r="C2442" s="2889" t="s">
        <v>1418</v>
      </c>
      <c r="D2442" s="2889" t="s">
        <v>197</v>
      </c>
      <c r="E2442" s="2889" t="s">
        <v>217</v>
      </c>
      <c r="F2442" s="3039">
        <v>3.8471621167354688E-3</v>
      </c>
      <c r="G2442" s="2890">
        <v>27.25636303716583</v>
      </c>
    </row>
    <row r="2443" spans="2:7" ht="15" hidden="1" outlineLevel="2">
      <c r="B2443" s="2889" t="s">
        <v>1635</v>
      </c>
      <c r="C2443" s="2889" t="s">
        <v>1418</v>
      </c>
      <c r="D2443" s="2889" t="s">
        <v>197</v>
      </c>
      <c r="E2443" s="2889" t="s">
        <v>217</v>
      </c>
      <c r="F2443" s="3039">
        <v>4.3762310881543063E-3</v>
      </c>
      <c r="G2443" s="2890">
        <v>30.847111523556972</v>
      </c>
    </row>
    <row r="2444" spans="2:7" ht="15" hidden="1" outlineLevel="2">
      <c r="B2444" s="2889" t="s">
        <v>1636</v>
      </c>
      <c r="C2444" s="2889" t="s">
        <v>1418</v>
      </c>
      <c r="D2444" s="2889" t="s">
        <v>197</v>
      </c>
      <c r="E2444" s="2889" t="s">
        <v>217</v>
      </c>
      <c r="F2444" s="3039">
        <v>2.1278104747260501E-3</v>
      </c>
      <c r="G2444" s="2890">
        <v>15.000063888257623</v>
      </c>
    </row>
    <row r="2445" spans="2:7" ht="15" hidden="1" outlineLevel="2">
      <c r="B2445" s="2889" t="s">
        <v>1637</v>
      </c>
      <c r="C2445" s="2889" t="s">
        <v>1418</v>
      </c>
      <c r="D2445" s="2889" t="s">
        <v>197</v>
      </c>
      <c r="E2445" s="2889" t="s">
        <v>217</v>
      </c>
      <c r="F2445" s="3039">
        <v>9.974506877164697E-4</v>
      </c>
      <c r="G2445" s="2890">
        <v>7.0510309630512324</v>
      </c>
    </row>
    <row r="2446" spans="2:7" ht="15" hidden="1" outlineLevel="2">
      <c r="B2446" s="2889" t="s">
        <v>1638</v>
      </c>
      <c r="C2446" s="2889" t="s">
        <v>1418</v>
      </c>
      <c r="D2446" s="2889" t="s">
        <v>197</v>
      </c>
      <c r="E2446" s="2889" t="s">
        <v>217</v>
      </c>
      <c r="F2446" s="3039">
        <v>3.4717997838224724E-3</v>
      </c>
      <c r="G2446" s="2890">
        <v>24.596996143310914</v>
      </c>
    </row>
    <row r="2447" spans="2:7" ht="15" hidden="1" outlineLevel="2">
      <c r="B2447" s="2889" t="s">
        <v>1639</v>
      </c>
      <c r="C2447" s="2889" t="s">
        <v>1418</v>
      </c>
      <c r="D2447" s="2889" t="s">
        <v>197</v>
      </c>
      <c r="E2447" s="2889" t="s">
        <v>217</v>
      </c>
      <c r="F2447" s="3039">
        <v>5.3091400005009642E-3</v>
      </c>
      <c r="G2447" s="2890">
        <v>37.530605524804635</v>
      </c>
    </row>
    <row r="2448" spans="2:7" ht="15" hidden="1" outlineLevel="2">
      <c r="B2448" s="2889" t="s">
        <v>1640</v>
      </c>
      <c r="C2448" s="2889" t="s">
        <v>1418</v>
      </c>
      <c r="D2448" s="2889" t="s">
        <v>197</v>
      </c>
      <c r="E2448" s="2889" t="s">
        <v>217</v>
      </c>
      <c r="F2448" s="3039">
        <v>1.6306349034603403E-3</v>
      </c>
      <c r="G2448" s="2890">
        <v>11.479493797516158</v>
      </c>
    </row>
    <row r="2449" spans="2:7" ht="15" hidden="1" outlineLevel="2">
      <c r="B2449" s="2889" t="s">
        <v>1641</v>
      </c>
      <c r="C2449" s="2889" t="s">
        <v>1418</v>
      </c>
      <c r="D2449" s="2889" t="s">
        <v>197</v>
      </c>
      <c r="E2449" s="2889" t="s">
        <v>217</v>
      </c>
      <c r="F2449" s="3039">
        <v>1.9934896140208127E-3</v>
      </c>
      <c r="G2449" s="2890">
        <v>14.051677346743503</v>
      </c>
    </row>
    <row r="2450" spans="2:7" ht="15" hidden="1" outlineLevel="2">
      <c r="B2450" s="2889" t="s">
        <v>1642</v>
      </c>
      <c r="C2450" s="2889" t="s">
        <v>1418</v>
      </c>
      <c r="D2450" s="2889" t="s">
        <v>197</v>
      </c>
      <c r="E2450" s="2889" t="s">
        <v>217</v>
      </c>
      <c r="F2450" s="3039">
        <v>9.0432163889985883E-4</v>
      </c>
      <c r="G2450" s="2890">
        <v>6.3743677794465228</v>
      </c>
    </row>
    <row r="2451" spans="2:7" ht="15" hidden="1" outlineLevel="2">
      <c r="B2451" s="2889" t="s">
        <v>1643</v>
      </c>
      <c r="C2451" s="2889" t="s">
        <v>1418</v>
      </c>
      <c r="D2451" s="2889" t="s">
        <v>197</v>
      </c>
      <c r="E2451" s="2889" t="s">
        <v>217</v>
      </c>
      <c r="F2451" s="3039">
        <v>4.4240322393461415E-3</v>
      </c>
      <c r="G2451" s="2890">
        <v>31.136822167006891</v>
      </c>
    </row>
    <row r="2452" spans="2:7" ht="15" hidden="1" outlineLevel="2">
      <c r="B2452" s="2889" t="s">
        <v>1644</v>
      </c>
      <c r="C2452" s="2889" t="s">
        <v>1418</v>
      </c>
      <c r="D2452" s="2889" t="s">
        <v>197</v>
      </c>
      <c r="E2452" s="2889" t="s">
        <v>217</v>
      </c>
      <c r="F2452" s="3039">
        <v>1.9311010803236787E-3</v>
      </c>
      <c r="G2452" s="2890">
        <v>13.65107123640853</v>
      </c>
    </row>
    <row r="2453" spans="2:7" ht="15" hidden="1" outlineLevel="2">
      <c r="B2453" s="2889" t="s">
        <v>1645</v>
      </c>
      <c r="C2453" s="2889" t="s">
        <v>1418</v>
      </c>
      <c r="D2453" s="2889" t="s">
        <v>197</v>
      </c>
      <c r="E2453" s="2889" t="s">
        <v>217</v>
      </c>
      <c r="F2453" s="3039">
        <v>7.5501911501571473E-4</v>
      </c>
      <c r="G2453" s="2890">
        <v>5.3372720479562723</v>
      </c>
    </row>
    <row r="2454" spans="2:7" ht="15" hidden="1" outlineLevel="2">
      <c r="B2454" s="2889" t="s">
        <v>1646</v>
      </c>
      <c r="C2454" s="2889" t="s">
        <v>1418</v>
      </c>
      <c r="D2454" s="2889" t="s">
        <v>197</v>
      </c>
      <c r="E2454" s="2889" t="s">
        <v>217</v>
      </c>
      <c r="F2454" s="3039">
        <v>5.4583376137682721E-3</v>
      </c>
      <c r="G2454" s="2890">
        <v>38.474657890932569</v>
      </c>
    </row>
    <row r="2455" spans="2:7" ht="15" hidden="1" outlineLevel="2">
      <c r="B2455" s="2889" t="s">
        <v>1647</v>
      </c>
      <c r="C2455" s="2889" t="s">
        <v>1418</v>
      </c>
      <c r="D2455" s="2889" t="s">
        <v>197</v>
      </c>
      <c r="E2455" s="2889" t="s">
        <v>217</v>
      </c>
      <c r="F2455" s="3039">
        <v>1.4893164136066518E-3</v>
      </c>
      <c r="G2455" s="2890">
        <v>10.551507874477634</v>
      </c>
    </row>
    <row r="2456" spans="2:7" ht="15" hidden="1" outlineLevel="2">
      <c r="B2456" s="2889" t="s">
        <v>1648</v>
      </c>
      <c r="C2456" s="2889" t="s">
        <v>1418</v>
      </c>
      <c r="D2456" s="2889" t="s">
        <v>197</v>
      </c>
      <c r="E2456" s="2889" t="s">
        <v>217</v>
      </c>
      <c r="F2456" s="3039">
        <v>1.3448523921790363E-3</v>
      </c>
      <c r="G2456" s="2890">
        <v>9.5104189969686743</v>
      </c>
    </row>
    <row r="2457" spans="2:7" ht="15" hidden="1" outlineLevel="2">
      <c r="B2457" s="2889" t="s">
        <v>1649</v>
      </c>
      <c r="C2457" s="2889" t="s">
        <v>1418</v>
      </c>
      <c r="D2457" s="2889" t="s">
        <v>197</v>
      </c>
      <c r="E2457" s="2889" t="s">
        <v>217</v>
      </c>
      <c r="F2457" s="2890">
        <v>3.5000728076189165E-3</v>
      </c>
      <c r="G2457" s="2890">
        <v>24.797311481424781</v>
      </c>
    </row>
    <row r="2458" spans="2:7" ht="15" hidden="1" outlineLevel="2">
      <c r="B2458" s="2889" t="s">
        <v>1650</v>
      </c>
      <c r="C2458" s="2889" t="s">
        <v>1418</v>
      </c>
      <c r="D2458" s="2889" t="s">
        <v>197</v>
      </c>
      <c r="E2458" s="2889" t="s">
        <v>217</v>
      </c>
      <c r="F2458" s="2890">
        <v>3.2190292266454971E-3</v>
      </c>
      <c r="G2458" s="2890">
        <v>22.661605327077275</v>
      </c>
    </row>
    <row r="2459" spans="2:7" ht="15" hidden="1" outlineLevel="2">
      <c r="B2459" s="2889" t="s">
        <v>1651</v>
      </c>
      <c r="C2459" s="2889" t="s">
        <v>1418</v>
      </c>
      <c r="D2459" s="2889" t="s">
        <v>197</v>
      </c>
      <c r="E2459" s="2889" t="s">
        <v>217</v>
      </c>
      <c r="F2459" s="2890">
        <v>2.4569309679864579E-3</v>
      </c>
      <c r="G2459" s="2890">
        <v>17.406867636016941</v>
      </c>
    </row>
    <row r="2460" spans="2:7" ht="15" hidden="1" outlineLevel="2">
      <c r="B2460" s="2889" t="s">
        <v>1652</v>
      </c>
      <c r="C2460" s="2889" t="s">
        <v>1418</v>
      </c>
      <c r="D2460" s="2889" t="s">
        <v>197</v>
      </c>
      <c r="E2460" s="2889" t="s">
        <v>217</v>
      </c>
      <c r="F2460" s="2890">
        <v>3.7352456640570601E-3</v>
      </c>
      <c r="G2460" s="2890">
        <v>26.463470714495809</v>
      </c>
    </row>
    <row r="2461" spans="2:7" ht="15" hidden="1" outlineLevel="2">
      <c r="B2461" s="2889" t="s">
        <v>1653</v>
      </c>
      <c r="C2461" s="2889" t="s">
        <v>1418</v>
      </c>
      <c r="D2461" s="2889" t="s">
        <v>197</v>
      </c>
      <c r="E2461" s="2889" t="s">
        <v>217</v>
      </c>
      <c r="F2461" s="2890">
        <v>1.5305193420695929E-34</v>
      </c>
      <c r="G2461" s="2890">
        <v>4.470290073252037E-31</v>
      </c>
    </row>
    <row r="2462" spans="2:7" ht="15" hidden="1" outlineLevel="2">
      <c r="B2462" s="2889" t="s">
        <v>1407</v>
      </c>
      <c r="C2462" s="2889" t="s">
        <v>1444</v>
      </c>
      <c r="D2462" s="2889" t="s">
        <v>1105</v>
      </c>
      <c r="E2462" s="2889" t="s">
        <v>217</v>
      </c>
      <c r="F2462" s="2890">
        <v>0.62825220434420115</v>
      </c>
      <c r="G2462" s="2890">
        <v>751.78071449730828</v>
      </c>
    </row>
    <row r="2463" spans="2:7" ht="15" hidden="1" outlineLevel="2">
      <c r="B2463" s="2889" t="s">
        <v>1631</v>
      </c>
      <c r="C2463" s="2889" t="s">
        <v>1444</v>
      </c>
      <c r="D2463" s="2889" t="s">
        <v>1105</v>
      </c>
      <c r="E2463" s="2889" t="s">
        <v>217</v>
      </c>
      <c r="F2463" s="2890">
        <v>6.4354998010768583</v>
      </c>
      <c r="G2463" s="2890">
        <v>7621.9013444893426</v>
      </c>
    </row>
    <row r="2464" spans="2:7" ht="15" hidden="1" outlineLevel="2">
      <c r="B2464" s="2889" t="s">
        <v>1632</v>
      </c>
      <c r="C2464" s="2889" t="s">
        <v>1444</v>
      </c>
      <c r="D2464" s="2889" t="s">
        <v>1105</v>
      </c>
      <c r="E2464" s="2889" t="s">
        <v>217</v>
      </c>
      <c r="F2464" s="2890">
        <v>9.6965335318887647</v>
      </c>
      <c r="G2464" s="2890">
        <v>11658.386264400582</v>
      </c>
    </row>
    <row r="2465" spans="2:7" ht="15" hidden="1" outlineLevel="2">
      <c r="B2465" s="2889" t="s">
        <v>1633</v>
      </c>
      <c r="C2465" s="2889" t="s">
        <v>1444</v>
      </c>
      <c r="D2465" s="2889" t="s">
        <v>1105</v>
      </c>
      <c r="E2465" s="2889" t="s">
        <v>217</v>
      </c>
      <c r="F2465" s="2890">
        <v>0.35416536636019125</v>
      </c>
      <c r="G2465" s="2890">
        <v>427.93657245233669</v>
      </c>
    </row>
    <row r="2466" spans="2:7" ht="15" hidden="1" outlineLevel="2">
      <c r="B2466" s="2889" t="s">
        <v>1634</v>
      </c>
      <c r="C2466" s="2889" t="s">
        <v>1444</v>
      </c>
      <c r="D2466" s="2889" t="s">
        <v>1105</v>
      </c>
      <c r="E2466" s="2889" t="s">
        <v>217</v>
      </c>
      <c r="F2466" s="2890">
        <v>0.24860644678291369</v>
      </c>
      <c r="G2466" s="2890">
        <v>300.71207051577574</v>
      </c>
    </row>
    <row r="2467" spans="2:7" ht="15" hidden="1" outlineLevel="2">
      <c r="B2467" s="2889" t="s">
        <v>1635</v>
      </c>
      <c r="C2467" s="2889" t="s">
        <v>1444</v>
      </c>
      <c r="D2467" s="2889" t="s">
        <v>1105</v>
      </c>
      <c r="E2467" s="2889" t="s">
        <v>217</v>
      </c>
      <c r="F2467" s="2890">
        <v>1.5968497854374291</v>
      </c>
      <c r="G2467" s="2890">
        <v>1919.9325559359677</v>
      </c>
    </row>
    <row r="2468" spans="2:7" ht="15" hidden="1" outlineLevel="2">
      <c r="B2468" s="2889" t="s">
        <v>1636</v>
      </c>
      <c r="C2468" s="2889" t="s">
        <v>1444</v>
      </c>
      <c r="D2468" s="2889" t="s">
        <v>1105</v>
      </c>
      <c r="E2468" s="2889" t="s">
        <v>217</v>
      </c>
      <c r="F2468" s="2890">
        <v>0.61559558776163514</v>
      </c>
      <c r="G2468" s="2890">
        <v>740.21458407732689</v>
      </c>
    </row>
    <row r="2469" spans="2:7" ht="15" hidden="1" outlineLevel="2">
      <c r="B2469" s="2889" t="s">
        <v>1637</v>
      </c>
      <c r="C2469" s="2889" t="s">
        <v>1444</v>
      </c>
      <c r="D2469" s="2889" t="s">
        <v>1105</v>
      </c>
      <c r="E2469" s="2889" t="s">
        <v>217</v>
      </c>
      <c r="F2469" s="2890">
        <v>0.72747499964226536</v>
      </c>
      <c r="G2469" s="2890">
        <v>879.00518713362874</v>
      </c>
    </row>
    <row r="2470" spans="2:7" ht="15" hidden="1" outlineLevel="2">
      <c r="B2470" s="2889" t="s">
        <v>1638</v>
      </c>
      <c r="C2470" s="2889" t="s">
        <v>1444</v>
      </c>
      <c r="D2470" s="2889" t="s">
        <v>1105</v>
      </c>
      <c r="E2470" s="2889" t="s">
        <v>217</v>
      </c>
      <c r="F2470" s="2890">
        <v>0.44940399512051776</v>
      </c>
      <c r="G2470" s="2890">
        <v>543.59512816606787</v>
      </c>
    </row>
    <row r="2471" spans="2:7" ht="15" hidden="1" outlineLevel="2">
      <c r="B2471" s="2889" t="s">
        <v>1639</v>
      </c>
      <c r="C2471" s="2889" t="s">
        <v>1444</v>
      </c>
      <c r="D2471" s="2889" t="s">
        <v>1105</v>
      </c>
      <c r="E2471" s="2889" t="s">
        <v>217</v>
      </c>
      <c r="F2471" s="2890">
        <v>2.239856582100658</v>
      </c>
      <c r="G2471" s="2890">
        <v>2706.4098410537913</v>
      </c>
    </row>
    <row r="2472" spans="2:7" ht="15" hidden="1" outlineLevel="2">
      <c r="B2472" s="2889" t="s">
        <v>1640</v>
      </c>
      <c r="C2472" s="2889" t="s">
        <v>1444</v>
      </c>
      <c r="D2472" s="2889" t="s">
        <v>1105</v>
      </c>
      <c r="E2472" s="2889" t="s">
        <v>217</v>
      </c>
      <c r="F2472" s="2890">
        <v>0.33828954759941277</v>
      </c>
      <c r="G2472" s="2890">
        <v>404.80491708942435</v>
      </c>
    </row>
    <row r="2473" spans="2:7" ht="15" hidden="1" outlineLevel="2">
      <c r="B2473" s="2889" t="s">
        <v>1641</v>
      </c>
      <c r="C2473" s="2889" t="s">
        <v>1444</v>
      </c>
      <c r="D2473" s="2889" t="s">
        <v>1105</v>
      </c>
      <c r="E2473" s="2889" t="s">
        <v>217</v>
      </c>
      <c r="F2473" s="2890">
        <v>2.1644044118430013</v>
      </c>
      <c r="G2473" s="2890">
        <v>2602.3189237116594</v>
      </c>
    </row>
    <row r="2474" spans="2:7" ht="15" hidden="1" outlineLevel="2">
      <c r="B2474" s="2889" t="s">
        <v>1642</v>
      </c>
      <c r="C2474" s="2889" t="s">
        <v>1444</v>
      </c>
      <c r="D2474" s="2889" t="s">
        <v>1105</v>
      </c>
      <c r="E2474" s="2889" t="s">
        <v>217</v>
      </c>
      <c r="F2474" s="2890">
        <v>5.7525051347264373</v>
      </c>
      <c r="G2474" s="2890">
        <v>6916.3820597916174</v>
      </c>
    </row>
    <row r="2475" spans="2:7" ht="15" hidden="1" outlineLevel="2">
      <c r="B2475" s="2889" t="s">
        <v>1643</v>
      </c>
      <c r="C2475" s="2889" t="s">
        <v>1444</v>
      </c>
      <c r="D2475" s="2889" t="s">
        <v>1105</v>
      </c>
      <c r="E2475" s="2889" t="s">
        <v>217</v>
      </c>
      <c r="F2475" s="2890">
        <v>0.35673373902265876</v>
      </c>
      <c r="G2475" s="2890">
        <v>428.19913844278261</v>
      </c>
    </row>
    <row r="2476" spans="2:7" ht="15" hidden="1" outlineLevel="2">
      <c r="B2476" s="2889" t="s">
        <v>1644</v>
      </c>
      <c r="C2476" s="2889" t="s">
        <v>1444</v>
      </c>
      <c r="D2476" s="2889" t="s">
        <v>1105</v>
      </c>
      <c r="E2476" s="2889" t="s">
        <v>217</v>
      </c>
      <c r="F2476" s="2890">
        <v>8.4329644053797512</v>
      </c>
      <c r="G2476" s="2890">
        <v>10189.5209592059</v>
      </c>
    </row>
    <row r="2477" spans="2:7" ht="15" hidden="1" outlineLevel="2">
      <c r="B2477" s="2889" t="s">
        <v>1645</v>
      </c>
      <c r="C2477" s="2889" t="s">
        <v>1444</v>
      </c>
      <c r="D2477" s="2889" t="s">
        <v>1105</v>
      </c>
      <c r="E2477" s="2889" t="s">
        <v>217</v>
      </c>
      <c r="F2477" s="3039">
        <v>6.4419821077171537</v>
      </c>
      <c r="G2477" s="2890">
        <v>7783.8205391545462</v>
      </c>
    </row>
    <row r="2478" spans="2:7" ht="15" hidden="1" outlineLevel="2">
      <c r="B2478" s="2889" t="s">
        <v>1646</v>
      </c>
      <c r="C2478" s="2889" t="s">
        <v>1444</v>
      </c>
      <c r="D2478" s="2889" t="s">
        <v>1105</v>
      </c>
      <c r="E2478" s="2889" t="s">
        <v>217</v>
      </c>
      <c r="F2478" s="3039">
        <v>0.75994646202777494</v>
      </c>
      <c r="G2478" s="2890">
        <v>913.70271961065737</v>
      </c>
    </row>
    <row r="2479" spans="2:7" ht="15" hidden="1" outlineLevel="2">
      <c r="B2479" s="2889" t="s">
        <v>1647</v>
      </c>
      <c r="C2479" s="2889" t="s">
        <v>1444</v>
      </c>
      <c r="D2479" s="2889" t="s">
        <v>1105</v>
      </c>
      <c r="E2479" s="2889" t="s">
        <v>217</v>
      </c>
      <c r="F2479" s="3039">
        <v>0.34422444894639931</v>
      </c>
      <c r="G2479" s="2890">
        <v>416.37081979628192</v>
      </c>
    </row>
    <row r="2480" spans="2:7" ht="15" hidden="1" outlineLevel="2">
      <c r="B2480" s="2889" t="s">
        <v>1648</v>
      </c>
      <c r="C2480" s="2889" t="s">
        <v>1444</v>
      </c>
      <c r="D2480" s="2889" t="s">
        <v>1105</v>
      </c>
      <c r="E2480" s="2889" t="s">
        <v>217</v>
      </c>
      <c r="F2480" s="3039">
        <v>0.1434268115230245</v>
      </c>
      <c r="G2480" s="2890">
        <v>173.48773106205579</v>
      </c>
    </row>
    <row r="2481" spans="2:7" ht="15" hidden="1" outlineLevel="2">
      <c r="B2481" s="2889" t="s">
        <v>1649</v>
      </c>
      <c r="C2481" s="2889" t="s">
        <v>1444</v>
      </c>
      <c r="D2481" s="2889" t="s">
        <v>1105</v>
      </c>
      <c r="E2481" s="2889" t="s">
        <v>217</v>
      </c>
      <c r="F2481" s="3039">
        <v>0.64063980464410519</v>
      </c>
      <c r="G2481" s="2890">
        <v>774.91198827606638</v>
      </c>
    </row>
    <row r="2482" spans="2:7" ht="15" hidden="1" outlineLevel="2">
      <c r="B2482" s="2889" t="s">
        <v>1650</v>
      </c>
      <c r="C2482" s="2889" t="s">
        <v>1444</v>
      </c>
      <c r="D2482" s="2889" t="s">
        <v>1105</v>
      </c>
      <c r="E2482" s="2889" t="s">
        <v>217</v>
      </c>
      <c r="F2482" s="3039">
        <v>1.4594780424414191</v>
      </c>
      <c r="G2482" s="2890">
        <v>1746.4451665843728</v>
      </c>
    </row>
    <row r="2483" spans="2:7" ht="15" hidden="1" outlineLevel="2">
      <c r="B2483" s="2889" t="s">
        <v>1651</v>
      </c>
      <c r="C2483" s="2889" t="s">
        <v>1444</v>
      </c>
      <c r="D2483" s="2889" t="s">
        <v>1105</v>
      </c>
      <c r="E2483" s="2889" t="s">
        <v>217</v>
      </c>
      <c r="F2483" s="3039">
        <v>1.2525941779097507</v>
      </c>
      <c r="G2483" s="2890">
        <v>1515.1277760483033</v>
      </c>
    </row>
    <row r="2484" spans="2:7" ht="15" hidden="1" outlineLevel="2">
      <c r="B2484" s="2889" t="s">
        <v>1652</v>
      </c>
      <c r="C2484" s="2889" t="s">
        <v>1444</v>
      </c>
      <c r="D2484" s="2889" t="s">
        <v>1105</v>
      </c>
      <c r="E2484" s="2889" t="s">
        <v>217</v>
      </c>
      <c r="F2484" s="2890">
        <v>0.7840665293224568</v>
      </c>
      <c r="G2484" s="2890">
        <v>948.40026910526331</v>
      </c>
    </row>
    <row r="2485" spans="2:7" ht="15" hidden="1" outlineLevel="2">
      <c r="B2485" s="2889" t="s">
        <v>1653</v>
      </c>
      <c r="C2485" s="2889" t="s">
        <v>1444</v>
      </c>
      <c r="D2485" s="2889" t="s">
        <v>1105</v>
      </c>
      <c r="E2485" s="2889" t="s">
        <v>217</v>
      </c>
      <c r="F2485" s="2890">
        <v>6.1180506136403068</v>
      </c>
      <c r="G2485" s="2890">
        <v>7355.8860654933478</v>
      </c>
    </row>
    <row r="2486" spans="2:7" ht="15" hidden="1" outlineLevel="2">
      <c r="B2486" s="2889" t="s">
        <v>1407</v>
      </c>
      <c r="C2486" s="2889" t="s">
        <v>1445</v>
      </c>
      <c r="D2486" s="2889" t="s">
        <v>1105</v>
      </c>
      <c r="E2486" s="2889" t="s">
        <v>217</v>
      </c>
      <c r="F2486" s="2890">
        <v>0.13522090382010343</v>
      </c>
      <c r="G2486" s="2890">
        <v>188.12547563539894</v>
      </c>
    </row>
    <row r="2487" spans="2:7" ht="15" hidden="1" outlineLevel="2">
      <c r="B2487" s="2889" t="s">
        <v>1631</v>
      </c>
      <c r="C2487" s="2889" t="s">
        <v>1445</v>
      </c>
      <c r="D2487" s="2889" t="s">
        <v>1105</v>
      </c>
      <c r="E2487" s="2889" t="s">
        <v>217</v>
      </c>
      <c r="F2487" s="2890">
        <v>1.3849621021815595</v>
      </c>
      <c r="G2487" s="2890">
        <v>1907.3054832559583</v>
      </c>
    </row>
    <row r="2488" spans="2:7" ht="15" hidden="1" outlineLevel="2">
      <c r="B2488" s="2889" t="s">
        <v>1632</v>
      </c>
      <c r="C2488" s="2889" t="s">
        <v>1445</v>
      </c>
      <c r="D2488" s="2889" t="s">
        <v>1105</v>
      </c>
      <c r="E2488" s="2889" t="s">
        <v>217</v>
      </c>
      <c r="F2488" s="2890">
        <v>2.087139642350635</v>
      </c>
      <c r="G2488" s="2890">
        <v>2917.395559776568</v>
      </c>
    </row>
    <row r="2489" spans="2:7" ht="15" hidden="1" outlineLevel="2">
      <c r="B2489" s="2889" t="s">
        <v>1633</v>
      </c>
      <c r="C2489" s="2889" t="s">
        <v>1445</v>
      </c>
      <c r="D2489" s="2889" t="s">
        <v>1105</v>
      </c>
      <c r="E2489" s="2889" t="s">
        <v>217</v>
      </c>
      <c r="F2489" s="2890">
        <v>7.6237286928608039E-2</v>
      </c>
      <c r="G2489" s="2890">
        <v>107.08697777272873</v>
      </c>
    </row>
    <row r="2490" spans="2:7" ht="15" hidden="1" outlineLevel="2">
      <c r="B2490" s="2889" t="s">
        <v>1634</v>
      </c>
      <c r="C2490" s="2889" t="s">
        <v>1445</v>
      </c>
      <c r="D2490" s="2889" t="s">
        <v>1105</v>
      </c>
      <c r="E2490" s="2889" t="s">
        <v>217</v>
      </c>
      <c r="F2490" s="2890">
        <v>5.3515464293503526E-2</v>
      </c>
      <c r="G2490" s="2890">
        <v>75.250280374770213</v>
      </c>
    </row>
    <row r="2491" spans="2:7" ht="15" hidden="1" outlineLevel="2">
      <c r="B2491" s="2889" t="s">
        <v>1635</v>
      </c>
      <c r="C2491" s="2889" t="s">
        <v>1445</v>
      </c>
      <c r="D2491" s="2889" t="s">
        <v>1105</v>
      </c>
      <c r="E2491" s="2889" t="s">
        <v>217</v>
      </c>
      <c r="F2491" s="2890">
        <v>0.34371550348272156</v>
      </c>
      <c r="G2491" s="2890">
        <v>480.44395599023773</v>
      </c>
    </row>
    <row r="2492" spans="2:7" ht="15" hidden="1" outlineLevel="2">
      <c r="B2492" s="2889" t="s">
        <v>1636</v>
      </c>
      <c r="C2492" s="2889" t="s">
        <v>1445</v>
      </c>
      <c r="D2492" s="2889" t="s">
        <v>1105</v>
      </c>
      <c r="E2492" s="2889" t="s">
        <v>217</v>
      </c>
      <c r="F2492" s="2890">
        <v>0.13250461589580495</v>
      </c>
      <c r="G2492" s="2890">
        <v>185.23145121031641</v>
      </c>
    </row>
    <row r="2493" spans="2:7" ht="15" hidden="1" outlineLevel="2">
      <c r="B2493" s="2889" t="s">
        <v>1637</v>
      </c>
      <c r="C2493" s="2889" t="s">
        <v>1445</v>
      </c>
      <c r="D2493" s="2889" t="s">
        <v>1105</v>
      </c>
      <c r="E2493" s="2889" t="s">
        <v>217</v>
      </c>
      <c r="F2493" s="2890">
        <v>0.15659551811736472</v>
      </c>
      <c r="G2493" s="2890">
        <v>219.96237579573284</v>
      </c>
    </row>
    <row r="2494" spans="2:7" ht="15" hidden="1" outlineLevel="2">
      <c r="B2494" s="2889" t="s">
        <v>1638</v>
      </c>
      <c r="C2494" s="2889" t="s">
        <v>1445</v>
      </c>
      <c r="D2494" s="2889" t="s">
        <v>1105</v>
      </c>
      <c r="E2494" s="2889" t="s">
        <v>217</v>
      </c>
      <c r="F2494" s="2890">
        <v>9.6739513430686278E-2</v>
      </c>
      <c r="G2494" s="2890">
        <v>136.02944878800878</v>
      </c>
    </row>
    <row r="2495" spans="2:7" ht="15" hidden="1" outlineLevel="2">
      <c r="B2495" s="2889" t="s">
        <v>1639</v>
      </c>
      <c r="C2495" s="2889" t="s">
        <v>1445</v>
      </c>
      <c r="D2495" s="2889" t="s">
        <v>1105</v>
      </c>
      <c r="E2495" s="2889" t="s">
        <v>217</v>
      </c>
      <c r="F2495" s="2890">
        <v>0.48214943366195656</v>
      </c>
      <c r="G2495" s="2890">
        <v>677.25202512335488</v>
      </c>
    </row>
    <row r="2496" spans="2:7" ht="15" hidden="1" outlineLevel="2">
      <c r="B2496" s="2889" t="s">
        <v>1640</v>
      </c>
      <c r="C2496" s="2889" t="s">
        <v>1445</v>
      </c>
      <c r="D2496" s="2889" t="s">
        <v>1105</v>
      </c>
      <c r="E2496" s="2889" t="s">
        <v>217</v>
      </c>
      <c r="F2496" s="2890">
        <v>7.2811237666009221E-2</v>
      </c>
      <c r="G2496" s="2890">
        <v>101.29843723796694</v>
      </c>
    </row>
    <row r="2497" spans="2:7" ht="15" hidden="1" outlineLevel="2">
      <c r="B2497" s="2889" t="s">
        <v>1641</v>
      </c>
      <c r="C2497" s="2889" t="s">
        <v>1445</v>
      </c>
      <c r="D2497" s="2889" t="s">
        <v>1105</v>
      </c>
      <c r="E2497" s="2889" t="s">
        <v>217</v>
      </c>
      <c r="F2497" s="2890">
        <v>0.46587932309584934</v>
      </c>
      <c r="G2497" s="2890">
        <v>651.20414578015641</v>
      </c>
    </row>
    <row r="2498" spans="2:7" ht="15" hidden="1" outlineLevel="2">
      <c r="B2498" s="2889" t="s">
        <v>1642</v>
      </c>
      <c r="C2498" s="2889" t="s">
        <v>1445</v>
      </c>
      <c r="D2498" s="2889" t="s">
        <v>1105</v>
      </c>
      <c r="E2498" s="2889" t="s">
        <v>217</v>
      </c>
      <c r="F2498" s="2890">
        <v>1.2382039938822023</v>
      </c>
      <c r="G2498" s="2890">
        <v>1730.7553653662535</v>
      </c>
    </row>
    <row r="2499" spans="2:7" ht="15" hidden="1" outlineLevel="2">
      <c r="B2499" s="2889" t="s">
        <v>1643</v>
      </c>
      <c r="C2499" s="2889" t="s">
        <v>1445</v>
      </c>
      <c r="D2499" s="2889" t="s">
        <v>1105</v>
      </c>
      <c r="E2499" s="2889" t="s">
        <v>217</v>
      </c>
      <c r="F2499" s="2890">
        <v>7.6783915928831464E-2</v>
      </c>
      <c r="G2499" s="2890">
        <v>107.15252720643366</v>
      </c>
    </row>
    <row r="2500" spans="2:7" ht="15" hidden="1" outlineLevel="2">
      <c r="B2500" s="2889" t="s">
        <v>1644</v>
      </c>
      <c r="C2500" s="2889" t="s">
        <v>1445</v>
      </c>
      <c r="D2500" s="2889" t="s">
        <v>1105</v>
      </c>
      <c r="E2500" s="2889" t="s">
        <v>217</v>
      </c>
      <c r="F2500" s="2890">
        <v>1.8152710420546403</v>
      </c>
      <c r="G2500" s="2890">
        <v>2549.8262045980073</v>
      </c>
    </row>
    <row r="2501" spans="2:7" ht="15" hidden="1" outlineLevel="2">
      <c r="B2501" s="2889" t="s">
        <v>1645</v>
      </c>
      <c r="C2501" s="2889" t="s">
        <v>1445</v>
      </c>
      <c r="D2501" s="2889" t="s">
        <v>1105</v>
      </c>
      <c r="E2501" s="2889" t="s">
        <v>217</v>
      </c>
      <c r="F2501" s="2890">
        <v>1.386693922478782</v>
      </c>
      <c r="G2501" s="2890">
        <v>1947.8227184046455</v>
      </c>
    </row>
    <row r="2502" spans="2:7" ht="15" hidden="1" outlineLevel="2">
      <c r="B2502" s="2889" t="s">
        <v>1646</v>
      </c>
      <c r="C2502" s="2889" t="s">
        <v>1445</v>
      </c>
      <c r="D2502" s="2889" t="s">
        <v>1105</v>
      </c>
      <c r="E2502" s="2889" t="s">
        <v>217</v>
      </c>
      <c r="F2502" s="2890">
        <v>0.16357541052000124</v>
      </c>
      <c r="G2502" s="2890">
        <v>228.64512447361099</v>
      </c>
    </row>
    <row r="2503" spans="2:7" ht="15" hidden="1" outlineLevel="2">
      <c r="B2503" s="2889" t="s">
        <v>1647</v>
      </c>
      <c r="C2503" s="2889" t="s">
        <v>1445</v>
      </c>
      <c r="D2503" s="2889" t="s">
        <v>1105</v>
      </c>
      <c r="E2503" s="2889" t="s">
        <v>217</v>
      </c>
      <c r="F2503" s="2890">
        <v>7.4098348554754001E-2</v>
      </c>
      <c r="G2503" s="2890">
        <v>104.19269446692651</v>
      </c>
    </row>
    <row r="2504" spans="2:7" ht="15" hidden="1" outlineLevel="2">
      <c r="B2504" s="2889" t="s">
        <v>1648</v>
      </c>
      <c r="C2504" s="2889" t="s">
        <v>1445</v>
      </c>
      <c r="D2504" s="2889" t="s">
        <v>1105</v>
      </c>
      <c r="E2504" s="2889" t="s">
        <v>217</v>
      </c>
      <c r="F2504" s="2890">
        <v>3.0874311894483707E-2</v>
      </c>
      <c r="G2504" s="2890">
        <v>43.413609175826792</v>
      </c>
    </row>
    <row r="2505" spans="2:7" ht="15" hidden="1" outlineLevel="2">
      <c r="B2505" s="2889" t="s">
        <v>1649</v>
      </c>
      <c r="C2505" s="2889" t="s">
        <v>1445</v>
      </c>
      <c r="D2505" s="2889" t="s">
        <v>1105</v>
      </c>
      <c r="E2505" s="2889" t="s">
        <v>217</v>
      </c>
      <c r="F2505" s="2890">
        <v>0.13790525199731937</v>
      </c>
      <c r="G2505" s="2890">
        <v>193.91405372997039</v>
      </c>
    </row>
    <row r="2506" spans="2:7" ht="15" hidden="1" outlineLevel="2">
      <c r="B2506" s="2889" t="s">
        <v>1650</v>
      </c>
      <c r="C2506" s="2889" t="s">
        <v>1445</v>
      </c>
      <c r="D2506" s="2889" t="s">
        <v>1105</v>
      </c>
      <c r="E2506" s="2889" t="s">
        <v>217</v>
      </c>
      <c r="F2506" s="2890">
        <v>0.31412858399018823</v>
      </c>
      <c r="G2506" s="2890">
        <v>437.03053738508902</v>
      </c>
    </row>
    <row r="2507" spans="2:7" ht="15" hidden="1" outlineLevel="2">
      <c r="B2507" s="2889" t="s">
        <v>1651</v>
      </c>
      <c r="C2507" s="2889" t="s">
        <v>1445</v>
      </c>
      <c r="D2507" s="2889" t="s">
        <v>1105</v>
      </c>
      <c r="E2507" s="2889" t="s">
        <v>217</v>
      </c>
      <c r="F2507" s="2890">
        <v>0.26963576758023999</v>
      </c>
      <c r="G2507" s="2890">
        <v>379.14557351045181</v>
      </c>
    </row>
    <row r="2508" spans="2:7" ht="15" hidden="1" outlineLevel="2">
      <c r="B2508" s="2889" t="s">
        <v>1652</v>
      </c>
      <c r="C2508" s="2889" t="s">
        <v>1445</v>
      </c>
      <c r="D2508" s="2889" t="s">
        <v>1105</v>
      </c>
      <c r="E2508" s="2889" t="s">
        <v>217</v>
      </c>
      <c r="F2508" s="2890">
        <v>0.1687795568083493</v>
      </c>
      <c r="G2508" s="2890">
        <v>237.32778677854199</v>
      </c>
    </row>
    <row r="2509" spans="2:7" ht="15" hidden="1" outlineLevel="2">
      <c r="B2509" s="2889" t="s">
        <v>1653</v>
      </c>
      <c r="C2509" s="2889" t="s">
        <v>1445</v>
      </c>
      <c r="D2509" s="2889" t="s">
        <v>1105</v>
      </c>
      <c r="E2509" s="2889" t="s">
        <v>217</v>
      </c>
      <c r="F2509" s="2890">
        <v>1.3168854816368287</v>
      </c>
      <c r="G2509" s="2890">
        <v>1840.7379650521693</v>
      </c>
    </row>
    <row r="2510" spans="2:7" ht="15" hidden="1" outlineLevel="2">
      <c r="B2510" s="2889" t="s">
        <v>1407</v>
      </c>
      <c r="C2510" s="2889" t="s">
        <v>1446</v>
      </c>
      <c r="D2510" s="2889" t="s">
        <v>1105</v>
      </c>
      <c r="E2510" s="2889" t="s">
        <v>217</v>
      </c>
      <c r="F2510" s="2890">
        <v>6.2416764107243512E-2</v>
      </c>
      <c r="G2510" s="2890">
        <v>99.761567778925709</v>
      </c>
    </row>
    <row r="2511" spans="2:7" ht="15" hidden="1" outlineLevel="2">
      <c r="B2511" s="2889" t="s">
        <v>1631</v>
      </c>
      <c r="C2511" s="2889" t="s">
        <v>1446</v>
      </c>
      <c r="D2511" s="2889" t="s">
        <v>1105</v>
      </c>
      <c r="E2511" s="2889" t="s">
        <v>217</v>
      </c>
      <c r="F2511" s="2890">
        <v>0.63925898419780991</v>
      </c>
      <c r="G2511" s="2890">
        <v>1011.4286580449817</v>
      </c>
    </row>
    <row r="2512" spans="2:7" ht="15" hidden="1" outlineLevel="2">
      <c r="B2512" s="2889" t="s">
        <v>1632</v>
      </c>
      <c r="C2512" s="2889" t="s">
        <v>1446</v>
      </c>
      <c r="D2512" s="2889" t="s">
        <v>1105</v>
      </c>
      <c r="E2512" s="2889" t="s">
        <v>217</v>
      </c>
      <c r="F2512" s="2890">
        <v>0.9634243155897495</v>
      </c>
      <c r="G2512" s="2890">
        <v>1547.0711299458567</v>
      </c>
    </row>
    <row r="2513" spans="2:7" ht="15" hidden="1" outlineLevel="2">
      <c r="B2513" s="2889" t="s">
        <v>1633</v>
      </c>
      <c r="C2513" s="2889" t="s">
        <v>1446</v>
      </c>
      <c r="D2513" s="2889" t="s">
        <v>1105</v>
      </c>
      <c r="E2513" s="2889" t="s">
        <v>217</v>
      </c>
      <c r="F2513" s="2890">
        <v>3.5191875018602263E-2</v>
      </c>
      <c r="G2513" s="2890">
        <v>56.787343104586185</v>
      </c>
    </row>
    <row r="2514" spans="2:7" ht="15" hidden="1" outlineLevel="2">
      <c r="B2514" s="2889" t="s">
        <v>1634</v>
      </c>
      <c r="C2514" s="2889" t="s">
        <v>1446</v>
      </c>
      <c r="D2514" s="2889" t="s">
        <v>1105</v>
      </c>
      <c r="E2514" s="2889" t="s">
        <v>217</v>
      </c>
      <c r="F2514" s="2890">
        <v>2.4703389359723295E-2</v>
      </c>
      <c r="G2514" s="2890">
        <v>39.904626975997559</v>
      </c>
    </row>
    <row r="2515" spans="2:7" ht="15" hidden="1" outlineLevel="2">
      <c r="B2515" s="2889" t="s">
        <v>1635</v>
      </c>
      <c r="C2515" s="2889" t="s">
        <v>1446</v>
      </c>
      <c r="D2515" s="2889" t="s">
        <v>1105</v>
      </c>
      <c r="E2515" s="2889" t="s">
        <v>217</v>
      </c>
      <c r="F2515" s="2890">
        <v>0.15865918845652613</v>
      </c>
      <c r="G2515" s="2890">
        <v>254.77564134257565</v>
      </c>
    </row>
    <row r="2516" spans="2:7" ht="15" hidden="1" outlineLevel="2">
      <c r="B2516" s="2889" t="s">
        <v>1636</v>
      </c>
      <c r="C2516" s="2889" t="s">
        <v>1446</v>
      </c>
      <c r="D2516" s="2889" t="s">
        <v>1105</v>
      </c>
      <c r="E2516" s="2889" t="s">
        <v>217</v>
      </c>
      <c r="F2516" s="3039">
        <v>6.1164191227447796E-2</v>
      </c>
      <c r="G2516" s="2890">
        <v>98.22678187904684</v>
      </c>
    </row>
    <row r="2517" spans="2:7" ht="15" hidden="1" outlineLevel="2">
      <c r="B2517" s="2889" t="s">
        <v>1637</v>
      </c>
      <c r="C2517" s="2889" t="s">
        <v>1446</v>
      </c>
      <c r="D2517" s="2889" t="s">
        <v>1105</v>
      </c>
      <c r="E2517" s="2889" t="s">
        <v>217</v>
      </c>
      <c r="F2517" s="3039">
        <v>7.2286021513749632E-2</v>
      </c>
      <c r="G2517" s="2890">
        <v>116.64419679347615</v>
      </c>
    </row>
    <row r="2518" spans="2:7" ht="15" hidden="1" outlineLevel="2">
      <c r="B2518" s="2889" t="s">
        <v>1638</v>
      </c>
      <c r="C2518" s="2889" t="s">
        <v>1446</v>
      </c>
      <c r="D2518" s="2889" t="s">
        <v>1105</v>
      </c>
      <c r="E2518" s="2889" t="s">
        <v>217</v>
      </c>
      <c r="F2518" s="3039">
        <v>4.4656108838234801E-2</v>
      </c>
      <c r="G2518" s="2890">
        <v>72.135289792686592</v>
      </c>
    </row>
    <row r="2519" spans="2:7" ht="15" hidden="1" outlineLevel="2">
      <c r="B2519" s="2889" t="s">
        <v>1639</v>
      </c>
      <c r="C2519" s="2889" t="s">
        <v>1446</v>
      </c>
      <c r="D2519" s="2889" t="s">
        <v>1105</v>
      </c>
      <c r="E2519" s="2889" t="s">
        <v>217</v>
      </c>
      <c r="F2519" s="3039">
        <v>0.22256491920155413</v>
      </c>
      <c r="G2519" s="2890">
        <v>359.14144837552897</v>
      </c>
    </row>
    <row r="2520" spans="2:7" ht="15" hidden="1" outlineLevel="2">
      <c r="B2520" s="2889" t="s">
        <v>1640</v>
      </c>
      <c r="C2520" s="2889" t="s">
        <v>1446</v>
      </c>
      <c r="D2520" s="2889" t="s">
        <v>1105</v>
      </c>
      <c r="E2520" s="2889" t="s">
        <v>217</v>
      </c>
      <c r="F2520" s="3039">
        <v>3.3609021293821942E-2</v>
      </c>
      <c r="G2520" s="2890">
        <v>53.717778350960415</v>
      </c>
    </row>
    <row r="2521" spans="2:7" ht="15" hidden="1" outlineLevel="2">
      <c r="B2521" s="2889" t="s">
        <v>1641</v>
      </c>
      <c r="C2521" s="2889" t="s">
        <v>1446</v>
      </c>
      <c r="D2521" s="2889" t="s">
        <v>1105</v>
      </c>
      <c r="E2521" s="2889" t="s">
        <v>217</v>
      </c>
      <c r="F2521" s="3039">
        <v>0.21505005314771897</v>
      </c>
      <c r="G2521" s="2890">
        <v>345.32852670924314</v>
      </c>
    </row>
    <row r="2522" spans="2:7" ht="15" hidden="1" outlineLevel="2">
      <c r="B2522" s="2889" t="s">
        <v>1642</v>
      </c>
      <c r="C2522" s="2889" t="s">
        <v>1446</v>
      </c>
      <c r="D2522" s="2889" t="s">
        <v>1105</v>
      </c>
      <c r="E2522" s="2889" t="s">
        <v>217</v>
      </c>
      <c r="F2522" s="3039">
        <v>0.57155510546904886</v>
      </c>
      <c r="G2522" s="2890">
        <v>917.80655488408775</v>
      </c>
    </row>
    <row r="2523" spans="2:7" ht="15" hidden="1" outlineLevel="2">
      <c r="B2523" s="2889" t="s">
        <v>1643</v>
      </c>
      <c r="C2523" s="2889" t="s">
        <v>1446</v>
      </c>
      <c r="D2523" s="2889" t="s">
        <v>1105</v>
      </c>
      <c r="E2523" s="2889" t="s">
        <v>217</v>
      </c>
      <c r="F2523" s="2890">
        <v>3.5443237065293259E-2</v>
      </c>
      <c r="G2523" s="2890">
        <v>56.822147707017933</v>
      </c>
    </row>
    <row r="2524" spans="2:7" ht="15" hidden="1" outlineLevel="2">
      <c r="B2524" s="2889" t="s">
        <v>1644</v>
      </c>
      <c r="C2524" s="2889" t="s">
        <v>1446</v>
      </c>
      <c r="D2524" s="2889" t="s">
        <v>1105</v>
      </c>
      <c r="E2524" s="2889" t="s">
        <v>217</v>
      </c>
      <c r="F2524" s="2890">
        <v>0.83794719732797318</v>
      </c>
      <c r="G2524" s="2890">
        <v>1352.1526291709292</v>
      </c>
    </row>
    <row r="2525" spans="2:7" ht="15" hidden="1" outlineLevel="2">
      <c r="B2525" s="2889" t="s">
        <v>1645</v>
      </c>
      <c r="C2525" s="2889" t="s">
        <v>1446</v>
      </c>
      <c r="D2525" s="2889" t="s">
        <v>1105</v>
      </c>
      <c r="E2525" s="2889" t="s">
        <v>217</v>
      </c>
      <c r="F2525" s="2890">
        <v>0.64011188036513567</v>
      </c>
      <c r="G2525" s="2890">
        <v>1032.9162570947967</v>
      </c>
    </row>
    <row r="2526" spans="2:7" ht="15" hidden="1" outlineLevel="2">
      <c r="B2526" s="2889" t="s">
        <v>1646</v>
      </c>
      <c r="C2526" s="2889" t="s">
        <v>1446</v>
      </c>
      <c r="D2526" s="2889" t="s">
        <v>1105</v>
      </c>
      <c r="E2526" s="2889" t="s">
        <v>217</v>
      </c>
      <c r="F2526" s="3039">
        <v>7.5506474242336266E-2</v>
      </c>
      <c r="G2526" s="2890">
        <v>121.24863966101067</v>
      </c>
    </row>
    <row r="2527" spans="2:7" ht="15" hidden="1" outlineLevel="2">
      <c r="B2527" s="2889" t="s">
        <v>1647</v>
      </c>
      <c r="C2527" s="2889" t="s">
        <v>1446</v>
      </c>
      <c r="D2527" s="2889" t="s">
        <v>1105</v>
      </c>
      <c r="E2527" s="2889" t="s">
        <v>217</v>
      </c>
      <c r="F2527" s="2890">
        <v>3.4204688948351325E-2</v>
      </c>
      <c r="G2527" s="2890">
        <v>55.25254305238127</v>
      </c>
    </row>
    <row r="2528" spans="2:7" ht="15" hidden="1" outlineLevel="2">
      <c r="B2528" s="2889" t="s">
        <v>1648</v>
      </c>
      <c r="C2528" s="2889" t="s">
        <v>1446</v>
      </c>
      <c r="D2528" s="2889" t="s">
        <v>1105</v>
      </c>
      <c r="E2528" s="2889" t="s">
        <v>217</v>
      </c>
      <c r="F2528" s="2890">
        <v>1.4251953919227468E-2</v>
      </c>
      <c r="G2528" s="2890">
        <v>23.021901071385656</v>
      </c>
    </row>
    <row r="2529" spans="2:7" ht="15" hidden="1" outlineLevel="2">
      <c r="B2529" s="2889" t="s">
        <v>1649</v>
      </c>
      <c r="C2529" s="2889" t="s">
        <v>1446</v>
      </c>
      <c r="D2529" s="2889" t="s">
        <v>1105</v>
      </c>
      <c r="E2529" s="2889" t="s">
        <v>217</v>
      </c>
      <c r="F2529" s="3039">
        <v>6.3658728113471078E-2</v>
      </c>
      <c r="G2529" s="2890">
        <v>102.83117428343876</v>
      </c>
    </row>
    <row r="2530" spans="2:7" ht="15" hidden="1" outlineLevel="2">
      <c r="B2530" s="2889" t="s">
        <v>1650</v>
      </c>
      <c r="C2530" s="2889" t="s">
        <v>1446</v>
      </c>
      <c r="D2530" s="2889" t="s">
        <v>1105</v>
      </c>
      <c r="E2530" s="2889" t="s">
        <v>217</v>
      </c>
      <c r="F2530" s="2890">
        <v>0.14499893087046081</v>
      </c>
      <c r="G2530" s="2890">
        <v>231.75382334130677</v>
      </c>
    </row>
    <row r="2531" spans="2:7" ht="15" hidden="1" outlineLevel="2">
      <c r="B2531" s="2889" t="s">
        <v>1651</v>
      </c>
      <c r="C2531" s="2889" t="s">
        <v>1446</v>
      </c>
      <c r="D2531" s="2889" t="s">
        <v>1105</v>
      </c>
      <c r="E2531" s="2889" t="s">
        <v>217</v>
      </c>
      <c r="F2531" s="2890">
        <v>0.12446704519310667</v>
      </c>
      <c r="G2531" s="2890">
        <v>201.05802446795116</v>
      </c>
    </row>
    <row r="2532" spans="2:7" ht="15" hidden="1" outlineLevel="2">
      <c r="B2532" s="2889" t="s">
        <v>1652</v>
      </c>
      <c r="C2532" s="2889" t="s">
        <v>1446</v>
      </c>
      <c r="D2532" s="2889" t="s">
        <v>1105</v>
      </c>
      <c r="E2532" s="2889" t="s">
        <v>217</v>
      </c>
      <c r="F2532" s="2890">
        <v>7.7910682995426889E-2</v>
      </c>
      <c r="G2532" s="2890">
        <v>125.85307544649778</v>
      </c>
    </row>
    <row r="2533" spans="2:7" ht="15" hidden="1" outlineLevel="2">
      <c r="B2533" s="2889" t="s">
        <v>1653</v>
      </c>
      <c r="C2533" s="2889" t="s">
        <v>1446</v>
      </c>
      <c r="D2533" s="2889" t="s">
        <v>1105</v>
      </c>
      <c r="E2533" s="2889" t="s">
        <v>217</v>
      </c>
      <c r="F2533" s="3039">
        <v>0.60787476836765519</v>
      </c>
      <c r="G2533" s="2890">
        <v>976.12844458231825</v>
      </c>
    </row>
    <row r="2534" spans="2:7" ht="15" hidden="1" outlineLevel="2">
      <c r="B2534" s="2889" t="s">
        <v>1407</v>
      </c>
      <c r="C2534" s="2889" t="s">
        <v>1447</v>
      </c>
      <c r="D2534" s="2889" t="s">
        <v>1105</v>
      </c>
      <c r="E2534" s="2889" t="s">
        <v>217</v>
      </c>
      <c r="F2534" s="3039">
        <v>0.14383021169032278</v>
      </c>
      <c r="G2534" s="2890">
        <v>214.05211103029106</v>
      </c>
    </row>
    <row r="2535" spans="2:7" ht="15" hidden="1" outlineLevel="2">
      <c r="B2535" s="2889" t="s">
        <v>1631</v>
      </c>
      <c r="C2535" s="2889" t="s">
        <v>1447</v>
      </c>
      <c r="D2535" s="2889" t="s">
        <v>1105</v>
      </c>
      <c r="E2535" s="2889" t="s">
        <v>217</v>
      </c>
      <c r="F2535" s="3039">
        <v>1.4731857228006735</v>
      </c>
      <c r="G2535" s="2890">
        <v>2170.1600656973615</v>
      </c>
    </row>
    <row r="2536" spans="2:7" ht="15" hidden="1" outlineLevel="2">
      <c r="B2536" s="2889" t="s">
        <v>1632</v>
      </c>
      <c r="C2536" s="2889" t="s">
        <v>1447</v>
      </c>
      <c r="D2536" s="2889" t="s">
        <v>1105</v>
      </c>
      <c r="E2536" s="2889" t="s">
        <v>217</v>
      </c>
      <c r="F2536" s="2890">
        <v>2.2199933029878864</v>
      </c>
      <c r="G2536" s="2890">
        <v>3319.4559034055983</v>
      </c>
    </row>
    <row r="2537" spans="2:7" ht="15" hidden="1" outlineLevel="2">
      <c r="B2537" s="2889" t="s">
        <v>1633</v>
      </c>
      <c r="C2537" s="2889" t="s">
        <v>1447</v>
      </c>
      <c r="D2537" s="2889" t="s">
        <v>1105</v>
      </c>
      <c r="E2537" s="2889" t="s">
        <v>217</v>
      </c>
      <c r="F2537" s="2890">
        <v>8.1088857052143304E-2</v>
      </c>
      <c r="G2537" s="2890">
        <v>121.84503430042093</v>
      </c>
    </row>
    <row r="2538" spans="2:7" ht="15" hidden="1" outlineLevel="2">
      <c r="B2538" s="2889" t="s">
        <v>1634</v>
      </c>
      <c r="C2538" s="2889" t="s">
        <v>1447</v>
      </c>
      <c r="D2538" s="2889" t="s">
        <v>1105</v>
      </c>
      <c r="E2538" s="2889" t="s">
        <v>217</v>
      </c>
      <c r="F2538" s="2890">
        <v>5.6920914715594961E-2</v>
      </c>
      <c r="G2538" s="2890">
        <v>85.620825559936463</v>
      </c>
    </row>
    <row r="2539" spans="2:7" ht="15" hidden="1" outlineLevel="2">
      <c r="B2539" s="2889" t="s">
        <v>1635</v>
      </c>
      <c r="C2539" s="2889" t="s">
        <v>1447</v>
      </c>
      <c r="D2539" s="2889" t="s">
        <v>1105</v>
      </c>
      <c r="E2539" s="2889" t="s">
        <v>217</v>
      </c>
      <c r="F2539" s="2890">
        <v>0.36559419984828079</v>
      </c>
      <c r="G2539" s="2890">
        <v>546.6563137025538</v>
      </c>
    </row>
    <row r="2540" spans="2:7" ht="15" hidden="1" outlineLevel="2">
      <c r="B2540" s="2889" t="s">
        <v>1636</v>
      </c>
      <c r="C2540" s="2889" t="s">
        <v>1447</v>
      </c>
      <c r="D2540" s="2889" t="s">
        <v>1105</v>
      </c>
      <c r="E2540" s="2889" t="s">
        <v>217</v>
      </c>
      <c r="F2540" s="2890">
        <v>0.14093893559249601</v>
      </c>
      <c r="G2540" s="2890">
        <v>210.75909828079961</v>
      </c>
    </row>
    <row r="2541" spans="2:7" ht="15" hidden="1" outlineLevel="2">
      <c r="B2541" s="2889" t="s">
        <v>1637</v>
      </c>
      <c r="C2541" s="2889" t="s">
        <v>1447</v>
      </c>
      <c r="D2541" s="2889" t="s">
        <v>1105</v>
      </c>
      <c r="E2541" s="2889" t="s">
        <v>217</v>
      </c>
      <c r="F2541" s="2890">
        <v>0.16656087015012072</v>
      </c>
      <c r="G2541" s="2890">
        <v>250.27638965328114</v>
      </c>
    </row>
    <row r="2542" spans="2:7" ht="15" hidden="1" outlineLevel="2">
      <c r="B2542" s="2889" t="s">
        <v>1638</v>
      </c>
      <c r="C2542" s="2889" t="s">
        <v>1447</v>
      </c>
      <c r="D2542" s="2889" t="s">
        <v>1105</v>
      </c>
      <c r="E2542" s="2889" t="s">
        <v>217</v>
      </c>
      <c r="F2542" s="2890">
        <v>0.10289544200947633</v>
      </c>
      <c r="G2542" s="2890">
        <v>154.77617555257081</v>
      </c>
    </row>
    <row r="2543" spans="2:7" ht="15" hidden="1" outlineLevel="2">
      <c r="B2543" s="2889" t="s">
        <v>1639</v>
      </c>
      <c r="C2543" s="2889" t="s">
        <v>1447</v>
      </c>
      <c r="D2543" s="2889" t="s">
        <v>1105</v>
      </c>
      <c r="E2543" s="2889" t="s">
        <v>217</v>
      </c>
      <c r="F2543" s="2890">
        <v>0.51283233404281592</v>
      </c>
      <c r="G2543" s="2890">
        <v>770.58814050435888</v>
      </c>
    </row>
    <row r="2544" spans="2:7" ht="15" hidden="1" outlineLevel="2">
      <c r="B2544" s="2889" t="s">
        <v>1640</v>
      </c>
      <c r="C2544" s="2889" t="s">
        <v>1447</v>
      </c>
      <c r="D2544" s="2889" t="s">
        <v>1105</v>
      </c>
      <c r="E2544" s="2889" t="s">
        <v>217</v>
      </c>
      <c r="F2544" s="2890">
        <v>7.7447056589120711E-2</v>
      </c>
      <c r="G2544" s="2890">
        <v>115.2589278892364</v>
      </c>
    </row>
    <row r="2545" spans="2:7" ht="15" hidden="1" outlineLevel="2">
      <c r="B2545" s="2889" t="s">
        <v>1641</v>
      </c>
      <c r="C2545" s="2889" t="s">
        <v>1447</v>
      </c>
      <c r="D2545" s="2889" t="s">
        <v>1105</v>
      </c>
      <c r="E2545" s="2889" t="s">
        <v>217</v>
      </c>
      <c r="F2545" s="2890">
        <v>0.49553419167077961</v>
      </c>
      <c r="G2545" s="2890">
        <v>740.94993506092646</v>
      </c>
    </row>
    <row r="2546" spans="2:7" ht="15" hidden="1" outlineLevel="2">
      <c r="B2546" s="2889" t="s">
        <v>1642</v>
      </c>
      <c r="C2546" s="2889" t="s">
        <v>1447</v>
      </c>
      <c r="D2546" s="2889" t="s">
        <v>1105</v>
      </c>
      <c r="E2546" s="2889" t="s">
        <v>217</v>
      </c>
      <c r="F2546" s="2890">
        <v>1.317020106687121</v>
      </c>
      <c r="G2546" s="2890">
        <v>1969.2802490318973</v>
      </c>
    </row>
    <row r="2547" spans="2:7" ht="15" hidden="1" outlineLevel="2">
      <c r="B2547" s="2889" t="s">
        <v>1643</v>
      </c>
      <c r="C2547" s="2889" t="s">
        <v>1447</v>
      </c>
      <c r="D2547" s="2889" t="s">
        <v>1105</v>
      </c>
      <c r="E2547" s="2889" t="s">
        <v>217</v>
      </c>
      <c r="F2547" s="3039">
        <v>8.1671922425588184E-2</v>
      </c>
      <c r="G2547" s="2890">
        <v>121.91973657939863</v>
      </c>
    </row>
    <row r="2548" spans="2:7" ht="15" hidden="1" outlineLevel="2">
      <c r="B2548" s="2889" t="s">
        <v>1644</v>
      </c>
      <c r="C2548" s="2889" t="s">
        <v>1447</v>
      </c>
      <c r="D2548" s="2889" t="s">
        <v>1105</v>
      </c>
      <c r="E2548" s="2889" t="s">
        <v>217</v>
      </c>
      <c r="F2548" s="3039">
        <v>1.9307916426153819</v>
      </c>
      <c r="G2548" s="2890">
        <v>2901.2304510351387</v>
      </c>
    </row>
    <row r="2549" spans="2:7" ht="15" hidden="1" outlineLevel="2">
      <c r="B2549" s="2889" t="s">
        <v>1645</v>
      </c>
      <c r="C2549" s="2889" t="s">
        <v>1447</v>
      </c>
      <c r="D2549" s="2889" t="s">
        <v>1105</v>
      </c>
      <c r="E2549" s="2889" t="s">
        <v>217</v>
      </c>
      <c r="F2549" s="2890">
        <v>1.4749403806671226</v>
      </c>
      <c r="G2549" s="2890">
        <v>2216.2633736554017</v>
      </c>
    </row>
    <row r="2550" spans="2:7" ht="15" hidden="1" outlineLevel="2">
      <c r="B2550" s="2889" t="s">
        <v>1646</v>
      </c>
      <c r="C2550" s="2889" t="s">
        <v>1447</v>
      </c>
      <c r="D2550" s="2889" t="s">
        <v>1105</v>
      </c>
      <c r="E2550" s="2889" t="s">
        <v>217</v>
      </c>
      <c r="F2550" s="2890">
        <v>0.17398757882652927</v>
      </c>
      <c r="G2550" s="2890">
        <v>260.15560875552171</v>
      </c>
    </row>
    <row r="2551" spans="2:7" ht="15" hidden="1" outlineLevel="2">
      <c r="B2551" s="2889" t="s">
        <v>1647</v>
      </c>
      <c r="C2551" s="2889" t="s">
        <v>1447</v>
      </c>
      <c r="D2551" s="2889" t="s">
        <v>1105</v>
      </c>
      <c r="E2551" s="2889" t="s">
        <v>217</v>
      </c>
      <c r="F2551" s="2890">
        <v>7.8813589588410476E-2</v>
      </c>
      <c r="G2551" s="2890">
        <v>118.55187680576191</v>
      </c>
    </row>
    <row r="2552" spans="2:7" ht="15" hidden="1" outlineLevel="2">
      <c r="B2552" s="2889" t="s">
        <v>1648</v>
      </c>
      <c r="C2552" s="2889" t="s">
        <v>1447</v>
      </c>
      <c r="D2552" s="2889" t="s">
        <v>1105</v>
      </c>
      <c r="E2552" s="2889" t="s">
        <v>217</v>
      </c>
      <c r="F2552" s="2890">
        <v>3.2838998701065943E-2</v>
      </c>
      <c r="G2552" s="2890">
        <v>49.396644477034144</v>
      </c>
    </row>
    <row r="2553" spans="2:7" ht="15" hidden="1" outlineLevel="2">
      <c r="B2553" s="2889" t="s">
        <v>1649</v>
      </c>
      <c r="C2553" s="2889" t="s">
        <v>1447</v>
      </c>
      <c r="D2553" s="2889" t="s">
        <v>1105</v>
      </c>
      <c r="E2553" s="2889" t="s">
        <v>217</v>
      </c>
      <c r="F2553" s="2890">
        <v>0.14668078929074529</v>
      </c>
      <c r="G2553" s="2890">
        <v>220.63834412112848</v>
      </c>
    </row>
    <row r="2554" spans="2:7" ht="15" hidden="1" outlineLevel="2">
      <c r="B2554" s="2889" t="s">
        <v>1650</v>
      </c>
      <c r="C2554" s="2889" t="s">
        <v>1447</v>
      </c>
      <c r="D2554" s="2889" t="s">
        <v>1105</v>
      </c>
      <c r="E2554" s="2889" t="s">
        <v>217</v>
      </c>
      <c r="F2554" s="2890">
        <v>0.33412861213816575</v>
      </c>
      <c r="G2554" s="2890">
        <v>497.25966103150762</v>
      </c>
    </row>
    <row r="2555" spans="2:7" ht="15" hidden="1" outlineLevel="2">
      <c r="B2555" s="2889" t="s">
        <v>1651</v>
      </c>
      <c r="C2555" s="2889" t="s">
        <v>1447</v>
      </c>
      <c r="D2555" s="2889" t="s">
        <v>1105</v>
      </c>
      <c r="E2555" s="2889" t="s">
        <v>217</v>
      </c>
      <c r="F2555" s="2890">
        <v>0.28679385297718296</v>
      </c>
      <c r="G2555" s="2890">
        <v>431.39743494108751</v>
      </c>
    </row>
    <row r="2556" spans="2:7" ht="15" hidden="1" outlineLevel="2">
      <c r="B2556" s="2889" t="s">
        <v>1652</v>
      </c>
      <c r="C2556" s="2889" t="s">
        <v>1447</v>
      </c>
      <c r="D2556" s="2889" t="s">
        <v>1105</v>
      </c>
      <c r="E2556" s="2889" t="s">
        <v>217</v>
      </c>
      <c r="F2556" s="2890">
        <v>0.17951986564079098</v>
      </c>
      <c r="G2556" s="2890">
        <v>270.03503580500643</v>
      </c>
    </row>
    <row r="2557" spans="2:7" ht="15" hidden="1" outlineLevel="2">
      <c r="B2557" s="2889" t="s">
        <v>1653</v>
      </c>
      <c r="C2557" s="2889" t="s">
        <v>1447</v>
      </c>
      <c r="D2557" s="2889" t="s">
        <v>1105</v>
      </c>
      <c r="E2557" s="2889" t="s">
        <v>217</v>
      </c>
      <c r="F2557" s="2890">
        <v>1.4007102895760024</v>
      </c>
      <c r="G2557" s="2890">
        <v>2094.4194370128689</v>
      </c>
    </row>
    <row r="2558" spans="2:7" ht="15" hidden="1" outlineLevel="2">
      <c r="B2558" s="2889" t="s">
        <v>1407</v>
      </c>
      <c r="C2558" s="2889" t="s">
        <v>1448</v>
      </c>
      <c r="D2558" s="2889" t="s">
        <v>1105</v>
      </c>
      <c r="E2558" s="2889" t="s">
        <v>217</v>
      </c>
      <c r="F2558" s="2890">
        <v>0.27166171761358199</v>
      </c>
      <c r="G2558" s="2890">
        <v>337.22070169515143</v>
      </c>
    </row>
    <row r="2559" spans="2:7" ht="15" hidden="1" outlineLevel="2">
      <c r="B2559" s="2889" t="s">
        <v>1631</v>
      </c>
      <c r="C2559" s="2889" t="s">
        <v>1448</v>
      </c>
      <c r="D2559" s="2889" t="s">
        <v>1105</v>
      </c>
      <c r="E2559" s="2889" t="s">
        <v>217</v>
      </c>
      <c r="F2559" s="2890">
        <v>2.7827754777491314</v>
      </c>
      <c r="G2559" s="2890">
        <v>3418.8975955506776</v>
      </c>
    </row>
    <row r="2560" spans="2:7" ht="15" hidden="1" outlineLevel="2">
      <c r="B2560" s="2889" t="s">
        <v>1632</v>
      </c>
      <c r="C2560" s="2889" t="s">
        <v>1448</v>
      </c>
      <c r="D2560" s="2889" t="s">
        <v>1105</v>
      </c>
      <c r="E2560" s="2889" t="s">
        <v>217</v>
      </c>
      <c r="F2560" s="2890">
        <v>4.1928603075270461</v>
      </c>
      <c r="G2560" s="2890">
        <v>5229.5111581098772</v>
      </c>
    </row>
    <row r="2561" spans="2:7" ht="15" hidden="1" outlineLevel="2">
      <c r="B2561" s="2889" t="s">
        <v>1633</v>
      </c>
      <c r="C2561" s="2889" t="s">
        <v>1448</v>
      </c>
      <c r="D2561" s="2889" t="s">
        <v>1105</v>
      </c>
      <c r="E2561" s="2889" t="s">
        <v>217</v>
      </c>
      <c r="F2561" s="2890">
        <v>0.15314380399161515</v>
      </c>
      <c r="G2561" s="2890">
        <v>191.95625433998825</v>
      </c>
    </row>
    <row r="2562" spans="2:7" ht="15" hidden="1" outlineLevel="2">
      <c r="B2562" s="2889" t="s">
        <v>1634</v>
      </c>
      <c r="C2562" s="2889" t="s">
        <v>1448</v>
      </c>
      <c r="D2562" s="2889" t="s">
        <v>1105</v>
      </c>
      <c r="E2562" s="2889" t="s">
        <v>217</v>
      </c>
      <c r="F2562" s="2890">
        <v>0.1074992685860421</v>
      </c>
      <c r="G2562" s="2890">
        <v>134.88819874619705</v>
      </c>
    </row>
    <row r="2563" spans="2:7" ht="15" hidden="1" outlineLevel="2">
      <c r="B2563" s="2889" t="s">
        <v>1635</v>
      </c>
      <c r="C2563" s="2889" t="s">
        <v>1448</v>
      </c>
      <c r="D2563" s="2889" t="s">
        <v>1105</v>
      </c>
      <c r="E2563" s="2889" t="s">
        <v>217</v>
      </c>
      <c r="F2563" s="2890">
        <v>0.69049082898012282</v>
      </c>
      <c r="G2563" s="2890">
        <v>861.20957486736324</v>
      </c>
    </row>
    <row r="2564" spans="2:7" ht="15" hidden="1" outlineLevel="2">
      <c r="B2564" s="2889" t="s">
        <v>1636</v>
      </c>
      <c r="C2564" s="2889" t="s">
        <v>1448</v>
      </c>
      <c r="D2564" s="2889" t="s">
        <v>1105</v>
      </c>
      <c r="E2564" s="2889" t="s">
        <v>217</v>
      </c>
      <c r="F2564" s="3039">
        <v>0.26618859834949959</v>
      </c>
      <c r="G2564" s="2890">
        <v>332.03260134701856</v>
      </c>
    </row>
    <row r="2565" spans="2:7" ht="15" hidden="1" outlineLevel="2">
      <c r="B2565" s="2889" t="s">
        <v>1637</v>
      </c>
      <c r="C2565" s="2889" t="s">
        <v>1448</v>
      </c>
      <c r="D2565" s="2889" t="s">
        <v>1105</v>
      </c>
      <c r="E2565" s="2889" t="s">
        <v>217</v>
      </c>
      <c r="F2565" s="3039">
        <v>0.31456564551731547</v>
      </c>
      <c r="G2565" s="2890">
        <v>394.28869209894185</v>
      </c>
    </row>
    <row r="2566" spans="2:7" ht="15" hidden="1" outlineLevel="2">
      <c r="B2566" s="2889" t="s">
        <v>1638</v>
      </c>
      <c r="C2566" s="2889" t="s">
        <v>1448</v>
      </c>
      <c r="D2566" s="2889" t="s">
        <v>1105</v>
      </c>
      <c r="E2566" s="2889" t="s">
        <v>217</v>
      </c>
      <c r="F2566" s="3039">
        <v>0.19432560743005151</v>
      </c>
      <c r="G2566" s="2890">
        <v>243.83653898268093</v>
      </c>
    </row>
    <row r="2567" spans="2:7" ht="15" hidden="1" outlineLevel="2">
      <c r="B2567" s="2889" t="s">
        <v>1639</v>
      </c>
      <c r="C2567" s="2889" t="s">
        <v>1448</v>
      </c>
      <c r="D2567" s="2889" t="s">
        <v>1105</v>
      </c>
      <c r="E2567" s="2889" t="s">
        <v>217</v>
      </c>
      <c r="F2567" s="3039">
        <v>0.96853124357559817</v>
      </c>
      <c r="G2567" s="2890">
        <v>1213.9942719704384</v>
      </c>
    </row>
    <row r="2568" spans="2:7" ht="15" hidden="1" outlineLevel="2">
      <c r="B2568" s="2889" t="s">
        <v>1640</v>
      </c>
      <c r="C2568" s="2889" t="s">
        <v>1448</v>
      </c>
      <c r="D2568" s="2889" t="s">
        <v>1105</v>
      </c>
      <c r="E2568" s="2889" t="s">
        <v>217</v>
      </c>
      <c r="F2568" s="3039">
        <v>0.14627938465953266</v>
      </c>
      <c r="G2568" s="2890">
        <v>181.5803948812293</v>
      </c>
    </row>
    <row r="2569" spans="2:7" ht="15" hidden="1" outlineLevel="2">
      <c r="B2569" s="2889" t="s">
        <v>1641</v>
      </c>
      <c r="C2569" s="2889" t="s">
        <v>1448</v>
      </c>
      <c r="D2569" s="2889" t="s">
        <v>1105</v>
      </c>
      <c r="E2569" s="2889" t="s">
        <v>217</v>
      </c>
      <c r="F2569" s="3039">
        <v>0.93590642091496123</v>
      </c>
      <c r="G2569" s="2890">
        <v>1167.3019448411928</v>
      </c>
    </row>
    <row r="2570" spans="2:7" ht="15" hidden="1" outlineLevel="2">
      <c r="B2570" s="2889" t="s">
        <v>1642</v>
      </c>
      <c r="C2570" s="2889" t="s">
        <v>1448</v>
      </c>
      <c r="D2570" s="2889" t="s">
        <v>1105</v>
      </c>
      <c r="E2570" s="2889" t="s">
        <v>217</v>
      </c>
      <c r="F2570" s="3039">
        <v>2.4874314326763627</v>
      </c>
      <c r="G2570" s="2890">
        <v>3102.4304220529284</v>
      </c>
    </row>
    <row r="2571" spans="2:7" ht="15" hidden="1" outlineLevel="2">
      <c r="B2571" s="2889" t="s">
        <v>1643</v>
      </c>
      <c r="C2571" s="2889" t="s">
        <v>1448</v>
      </c>
      <c r="D2571" s="2889" t="s">
        <v>1105</v>
      </c>
      <c r="E2571" s="2889" t="s">
        <v>217</v>
      </c>
      <c r="F2571" s="3039">
        <v>0.15425464245185572</v>
      </c>
      <c r="G2571" s="2890">
        <v>192.07402631619459</v>
      </c>
    </row>
    <row r="2572" spans="2:7" ht="15" hidden="1" outlineLevel="2">
      <c r="B2572" s="2889" t="s">
        <v>1644</v>
      </c>
      <c r="C2572" s="2889" t="s">
        <v>1448</v>
      </c>
      <c r="D2572" s="2889" t="s">
        <v>1105</v>
      </c>
      <c r="E2572" s="2889" t="s">
        <v>217</v>
      </c>
      <c r="F2572" s="3039">
        <v>3.6464778276617857</v>
      </c>
      <c r="G2572" s="2890">
        <v>4570.6352909658926</v>
      </c>
    </row>
    <row r="2573" spans="2:7" ht="15" hidden="1" outlineLevel="2">
      <c r="B2573" s="2889" t="s">
        <v>1645</v>
      </c>
      <c r="C2573" s="2889" t="s">
        <v>1448</v>
      </c>
      <c r="D2573" s="2889" t="s">
        <v>1105</v>
      </c>
      <c r="E2573" s="2889" t="s">
        <v>217</v>
      </c>
      <c r="F2573" s="3039">
        <v>2.7855611929633168</v>
      </c>
      <c r="G2573" s="2890">
        <v>3491.5301087410762</v>
      </c>
    </row>
    <row r="2574" spans="2:7" ht="15" hidden="1" outlineLevel="2">
      <c r="B2574" s="2889" t="s">
        <v>1646</v>
      </c>
      <c r="C2574" s="2889" t="s">
        <v>1448</v>
      </c>
      <c r="D2574" s="2889" t="s">
        <v>1105</v>
      </c>
      <c r="E2574" s="2889" t="s">
        <v>217</v>
      </c>
      <c r="F2574" s="2890">
        <v>0.32860710657978875</v>
      </c>
      <c r="G2574" s="2890">
        <v>409.85242677404693</v>
      </c>
    </row>
    <row r="2575" spans="2:7" ht="15" hidden="1" outlineLevel="2">
      <c r="B2575" s="2889" t="s">
        <v>1647</v>
      </c>
      <c r="C2575" s="2889" t="s">
        <v>1448</v>
      </c>
      <c r="D2575" s="2889" t="s">
        <v>1105</v>
      </c>
      <c r="E2575" s="2889" t="s">
        <v>217</v>
      </c>
      <c r="F2575" s="2890">
        <v>0.14884514215540387</v>
      </c>
      <c r="G2575" s="2890">
        <v>186.76818593676472</v>
      </c>
    </row>
    <row r="2576" spans="2:7" ht="15" hidden="1" outlineLevel="2">
      <c r="B2576" s="2889" t="s">
        <v>1648</v>
      </c>
      <c r="C2576" s="2889" t="s">
        <v>1448</v>
      </c>
      <c r="D2576" s="2889" t="s">
        <v>1105</v>
      </c>
      <c r="E2576" s="2889" t="s">
        <v>217</v>
      </c>
      <c r="F2576" s="3039">
        <v>6.2018813596753569E-2</v>
      </c>
      <c r="G2576" s="2890">
        <v>77.820125626903021</v>
      </c>
    </row>
    <row r="2577" spans="2:7" ht="15" hidden="1" outlineLevel="2">
      <c r="B2577" s="2889" t="s">
        <v>1649</v>
      </c>
      <c r="C2577" s="2889" t="s">
        <v>1448</v>
      </c>
      <c r="D2577" s="2889" t="s">
        <v>1105</v>
      </c>
      <c r="E2577" s="2889" t="s">
        <v>217</v>
      </c>
      <c r="F2577" s="2890">
        <v>0.2770173420855857</v>
      </c>
      <c r="G2577" s="2890">
        <v>347.59643894986755</v>
      </c>
    </row>
    <row r="2578" spans="2:7" ht="15" hidden="1" outlineLevel="2">
      <c r="B2578" s="2889" t="s">
        <v>1650</v>
      </c>
      <c r="C2578" s="2889" t="s">
        <v>1448</v>
      </c>
      <c r="D2578" s="2889" t="s">
        <v>1105</v>
      </c>
      <c r="E2578" s="2889" t="s">
        <v>217</v>
      </c>
      <c r="F2578" s="2890">
        <v>0.63109104046865494</v>
      </c>
      <c r="G2578" s="2890">
        <v>839.9627993340473</v>
      </c>
    </row>
    <row r="2579" spans="2:7" ht="15" hidden="1" outlineLevel="2">
      <c r="B2579" s="2889" t="s">
        <v>1651</v>
      </c>
      <c r="C2579" s="2889" t="s">
        <v>1448</v>
      </c>
      <c r="D2579" s="2889" t="s">
        <v>1105</v>
      </c>
      <c r="E2579" s="2889" t="s">
        <v>217</v>
      </c>
      <c r="F2579" s="2890">
        <v>0.54163096415622658</v>
      </c>
      <c r="G2579" s="2890">
        <v>679.62908687562094</v>
      </c>
    </row>
    <row r="2580" spans="2:7" ht="15" hidden="1" outlineLevel="2">
      <c r="B2580" s="2889" t="s">
        <v>1652</v>
      </c>
      <c r="C2580" s="2889" t="s">
        <v>1448</v>
      </c>
      <c r="D2580" s="2889" t="s">
        <v>1105</v>
      </c>
      <c r="E2580" s="2889" t="s">
        <v>217</v>
      </c>
      <c r="F2580" s="2890">
        <v>0.33903614549757299</v>
      </c>
      <c r="G2580" s="2890">
        <v>425.41668256838119</v>
      </c>
    </row>
    <row r="2581" spans="2:7" ht="15" hidden="1" outlineLevel="2">
      <c r="B2581" s="2889" t="s">
        <v>1653</v>
      </c>
      <c r="C2581" s="2889" t="s">
        <v>1448</v>
      </c>
      <c r="D2581" s="2889" t="s">
        <v>1105</v>
      </c>
      <c r="E2581" s="2889" t="s">
        <v>217</v>
      </c>
      <c r="F2581" s="2890">
        <v>2.6454950497395657</v>
      </c>
      <c r="G2581" s="2890">
        <v>3299.5742241188864</v>
      </c>
    </row>
    <row r="2582" spans="2:7" ht="15" hidden="1" outlineLevel="2">
      <c r="B2582" s="2889" t="s">
        <v>1407</v>
      </c>
      <c r="C2582" s="2889" t="s">
        <v>1449</v>
      </c>
      <c r="D2582" s="2889" t="s">
        <v>1105</v>
      </c>
      <c r="E2582" s="2889" t="s">
        <v>217</v>
      </c>
      <c r="F2582" s="2890">
        <v>1.1565134777539565E-2</v>
      </c>
      <c r="G2582" s="2890">
        <v>15.860966418852914</v>
      </c>
    </row>
    <row r="2583" spans="2:7" ht="15" hidden="1" outlineLevel="2">
      <c r="B2583" s="2889" t="s">
        <v>1631</v>
      </c>
      <c r="C2583" s="2889" t="s">
        <v>1449</v>
      </c>
      <c r="D2583" s="2889" t="s">
        <v>1105</v>
      </c>
      <c r="E2583" s="2889" t="s">
        <v>217</v>
      </c>
      <c r="F2583" s="2890">
        <v>0.11846688800462295</v>
      </c>
      <c r="G2583" s="2890">
        <v>160.80583685890625</v>
      </c>
    </row>
    <row r="2584" spans="2:7" ht="15" hidden="1" outlineLevel="2">
      <c r="B2584" s="2889" t="s">
        <v>1632</v>
      </c>
      <c r="C2584" s="2889" t="s">
        <v>1449</v>
      </c>
      <c r="D2584" s="2889" t="s">
        <v>1105</v>
      </c>
      <c r="E2584" s="2889" t="s">
        <v>217</v>
      </c>
      <c r="F2584" s="2890">
        <v>0.17849838683746341</v>
      </c>
      <c r="G2584" s="2890">
        <v>245.96709721365178</v>
      </c>
    </row>
    <row r="2585" spans="2:7" ht="15" hidden="1" outlineLevel="2">
      <c r="B2585" s="2889" t="s">
        <v>1633</v>
      </c>
      <c r="C2585" s="2889" t="s">
        <v>1449</v>
      </c>
      <c r="D2585" s="2889" t="s">
        <v>1105</v>
      </c>
      <c r="E2585" s="2889" t="s">
        <v>217</v>
      </c>
      <c r="F2585" s="2890">
        <v>6.5196598144264773E-3</v>
      </c>
      <c r="G2585" s="2890">
        <v>9.0285559139728306</v>
      </c>
    </row>
    <row r="2586" spans="2:7" ht="15" hidden="1" outlineLevel="2">
      <c r="B2586" s="2889" t="s">
        <v>1634</v>
      </c>
      <c r="C2586" s="2889" t="s">
        <v>1449</v>
      </c>
      <c r="D2586" s="2889" t="s">
        <v>1105</v>
      </c>
      <c r="E2586" s="2889" t="s">
        <v>217</v>
      </c>
      <c r="F2586" s="2890">
        <v>4.5764779604096882E-3</v>
      </c>
      <c r="G2586" s="2890">
        <v>6.3443900229961221</v>
      </c>
    </row>
    <row r="2587" spans="2:7" ht="15" hidden="1" outlineLevel="2">
      <c r="B2587" s="2889" t="s">
        <v>1635</v>
      </c>
      <c r="C2587" s="2889" t="s">
        <v>1449</v>
      </c>
      <c r="D2587" s="2889" t="s">
        <v>1105</v>
      </c>
      <c r="E2587" s="2889" t="s">
        <v>217</v>
      </c>
      <c r="F2587" s="2890">
        <v>2.9395560416299052E-2</v>
      </c>
      <c r="G2587" s="2890">
        <v>40.506502265385294</v>
      </c>
    </row>
    <row r="2588" spans="2:7" ht="15" hidden="1" outlineLevel="2">
      <c r="B2588" s="2889" t="s">
        <v>1636</v>
      </c>
      <c r="C2588" s="2889" t="s">
        <v>1449</v>
      </c>
      <c r="D2588" s="2889" t="s">
        <v>1105</v>
      </c>
      <c r="E2588" s="2889" t="s">
        <v>217</v>
      </c>
      <c r="F2588" s="2890">
        <v>1.1332175635057546E-2</v>
      </c>
      <c r="G2588" s="2890">
        <v>15.616966404101557</v>
      </c>
    </row>
    <row r="2589" spans="2:7" ht="15" hidden="1" outlineLevel="2">
      <c r="B2589" s="2889" t="s">
        <v>1637</v>
      </c>
      <c r="C2589" s="2889" t="s">
        <v>1449</v>
      </c>
      <c r="D2589" s="2889" t="s">
        <v>1105</v>
      </c>
      <c r="E2589" s="2889" t="s">
        <v>217</v>
      </c>
      <c r="F2589" s="2890">
        <v>1.3391730923369885E-2</v>
      </c>
      <c r="G2589" s="2890">
        <v>18.545142022193009</v>
      </c>
    </row>
    <row r="2590" spans="2:7" ht="15" hidden="1" outlineLevel="2">
      <c r="B2590" s="2889" t="s">
        <v>1638</v>
      </c>
      <c r="C2590" s="2889" t="s">
        <v>1449</v>
      </c>
      <c r="D2590" s="2889" t="s">
        <v>1105</v>
      </c>
      <c r="E2590" s="2889" t="s">
        <v>217</v>
      </c>
      <c r="F2590" s="2890">
        <v>8.2728634297405054E-3</v>
      </c>
      <c r="G2590" s="2890">
        <v>11.46870366904267</v>
      </c>
    </row>
    <row r="2591" spans="2:7" ht="15" hidden="1" outlineLevel="2">
      <c r="B2591" s="2889" t="s">
        <v>1639</v>
      </c>
      <c r="C2591" s="2889" t="s">
        <v>1449</v>
      </c>
      <c r="D2591" s="2889" t="s">
        <v>1105</v>
      </c>
      <c r="E2591" s="2889" t="s">
        <v>217</v>
      </c>
      <c r="F2591" s="2890">
        <v>4.1232440009336686E-2</v>
      </c>
      <c r="G2591" s="2890">
        <v>57.099512826849697</v>
      </c>
    </row>
    <row r="2592" spans="2:7" ht="15" hidden="1" outlineLevel="2">
      <c r="B2592" s="2889" t="s">
        <v>1640</v>
      </c>
      <c r="C2592" s="2889" t="s">
        <v>1449</v>
      </c>
      <c r="D2592" s="2889" t="s">
        <v>1105</v>
      </c>
      <c r="E2592" s="2889" t="s">
        <v>217</v>
      </c>
      <c r="F2592" s="2890">
        <v>6.2273813898424974E-3</v>
      </c>
      <c r="G2592" s="2890">
        <v>8.5405242930944851</v>
      </c>
    </row>
    <row r="2593" spans="2:7" ht="15" hidden="1" outlineLevel="2">
      <c r="B2593" s="2889" t="s">
        <v>1641</v>
      </c>
      <c r="C2593" s="2889" t="s">
        <v>1449</v>
      </c>
      <c r="D2593" s="2889" t="s">
        <v>1105</v>
      </c>
      <c r="E2593" s="2889" t="s">
        <v>217</v>
      </c>
      <c r="F2593" s="2890">
        <v>3.9843379563300828E-2</v>
      </c>
      <c r="G2593" s="2890">
        <v>54.903380383993714</v>
      </c>
    </row>
    <row r="2594" spans="2:7" ht="15" hidden="1" outlineLevel="2">
      <c r="B2594" s="2889" t="s">
        <v>1642</v>
      </c>
      <c r="C2594" s="2889" t="s">
        <v>1449</v>
      </c>
      <c r="D2594" s="2889" t="s">
        <v>1105</v>
      </c>
      <c r="E2594" s="2889" t="s">
        <v>217</v>
      </c>
      <c r="F2594" s="2890">
        <v>0.10589484503523743</v>
      </c>
      <c r="G2594" s="2890">
        <v>145.92091777535475</v>
      </c>
    </row>
    <row r="2595" spans="2:7" ht="15" hidden="1" outlineLevel="2">
      <c r="B2595" s="2889" t="s">
        <v>1643</v>
      </c>
      <c r="C2595" s="2889" t="s">
        <v>1449</v>
      </c>
      <c r="D2595" s="2889" t="s">
        <v>1105</v>
      </c>
      <c r="E2595" s="2889" t="s">
        <v>217</v>
      </c>
      <c r="F2595" s="2890">
        <v>6.566916609476457E-3</v>
      </c>
      <c r="G2595" s="2890">
        <v>9.0340883773261424</v>
      </c>
    </row>
    <row r="2596" spans="2:7" ht="15" hidden="1" outlineLevel="2">
      <c r="B2596" s="2889" t="s">
        <v>1644</v>
      </c>
      <c r="C2596" s="2889" t="s">
        <v>1449</v>
      </c>
      <c r="D2596" s="2889" t="s">
        <v>1105</v>
      </c>
      <c r="E2596" s="2889" t="s">
        <v>217</v>
      </c>
      <c r="F2596" s="2890">
        <v>0.15523835936171626</v>
      </c>
      <c r="G2596" s="2890">
        <v>214.97737739323549</v>
      </c>
    </row>
    <row r="2597" spans="2:7" ht="15" hidden="1" outlineLevel="2">
      <c r="B2597" s="2889" t="s">
        <v>1645</v>
      </c>
      <c r="C2597" s="2889" t="s">
        <v>1449</v>
      </c>
      <c r="D2597" s="2889" t="s">
        <v>1105</v>
      </c>
      <c r="E2597" s="2889" t="s">
        <v>217</v>
      </c>
      <c r="F2597" s="3039">
        <v>0.11858730079874923</v>
      </c>
      <c r="G2597" s="2890">
        <v>164.22215945919541</v>
      </c>
    </row>
    <row r="2598" spans="2:7" ht="15" hidden="1" outlineLevel="2">
      <c r="B2598" s="2889" t="s">
        <v>1646</v>
      </c>
      <c r="C2598" s="2889" t="s">
        <v>1449</v>
      </c>
      <c r="D2598" s="2889" t="s">
        <v>1105</v>
      </c>
      <c r="E2598" s="2889" t="s">
        <v>217</v>
      </c>
      <c r="F2598" s="3039">
        <v>1.3989451211373211E-2</v>
      </c>
      <c r="G2598" s="2890">
        <v>19.277202222636564</v>
      </c>
    </row>
    <row r="2599" spans="2:7" ht="15" hidden="1" outlineLevel="2">
      <c r="B2599" s="2889" t="s">
        <v>1647</v>
      </c>
      <c r="C2599" s="2889" t="s">
        <v>1449</v>
      </c>
      <c r="D2599" s="2889" t="s">
        <v>1105</v>
      </c>
      <c r="E2599" s="2889" t="s">
        <v>217</v>
      </c>
      <c r="F2599" s="3039">
        <v>6.3366638853253072E-3</v>
      </c>
      <c r="G2599" s="2890">
        <v>8.7845364724666837</v>
      </c>
    </row>
    <row r="2600" spans="2:7" ht="15" hidden="1" outlineLevel="2">
      <c r="B2600" s="2889" t="s">
        <v>1648</v>
      </c>
      <c r="C2600" s="2889" t="s">
        <v>1449</v>
      </c>
      <c r="D2600" s="2889" t="s">
        <v>1105</v>
      </c>
      <c r="E2600" s="2889" t="s">
        <v>217</v>
      </c>
      <c r="F2600" s="3039">
        <v>2.6402760360310527E-3</v>
      </c>
      <c r="G2600" s="2890">
        <v>3.6602271369017094</v>
      </c>
    </row>
    <row r="2601" spans="2:7" ht="15" hidden="1" outlineLevel="2">
      <c r="B2601" s="2889" t="s">
        <v>1649</v>
      </c>
      <c r="C2601" s="2889" t="s">
        <v>1449</v>
      </c>
      <c r="D2601" s="2889" t="s">
        <v>1105</v>
      </c>
      <c r="E2601" s="2889" t="s">
        <v>217</v>
      </c>
      <c r="F2601" s="3039">
        <v>1.1793231427693214E-2</v>
      </c>
      <c r="G2601" s="2890">
        <v>16.349008527257443</v>
      </c>
    </row>
    <row r="2602" spans="2:7" ht="15" hidden="1" outlineLevel="2">
      <c r="B2602" s="2889" t="s">
        <v>1650</v>
      </c>
      <c r="C2602" s="2889" t="s">
        <v>1449</v>
      </c>
      <c r="D2602" s="2889" t="s">
        <v>1105</v>
      </c>
      <c r="E2602" s="2889" t="s">
        <v>217</v>
      </c>
      <c r="F2602" s="3039">
        <v>2.8867518778119786E-2</v>
      </c>
      <c r="G2602" s="2890">
        <v>36.846251604707561</v>
      </c>
    </row>
    <row r="2603" spans="2:7" ht="15" hidden="1" outlineLevel="2">
      <c r="B2603" s="2889" t="s">
        <v>1651</v>
      </c>
      <c r="C2603" s="2889" t="s">
        <v>1449</v>
      </c>
      <c r="D2603" s="2889" t="s">
        <v>1105</v>
      </c>
      <c r="E2603" s="2889" t="s">
        <v>217</v>
      </c>
      <c r="F2603" s="2890">
        <v>2.3058406444197398E-2</v>
      </c>
      <c r="G2603" s="2890">
        <v>31.965955225755881</v>
      </c>
    </row>
    <row r="2604" spans="2:7" ht="15" hidden="1" outlineLevel="2">
      <c r="B2604" s="2889" t="s">
        <v>1652</v>
      </c>
      <c r="C2604" s="2889" t="s">
        <v>1449</v>
      </c>
      <c r="D2604" s="2889" t="s">
        <v>1105</v>
      </c>
      <c r="E2604" s="2889" t="s">
        <v>217</v>
      </c>
      <c r="F2604" s="2890">
        <v>1.4433512177440563E-2</v>
      </c>
      <c r="G2604" s="2890">
        <v>20.009223602078375</v>
      </c>
    </row>
    <row r="2605" spans="2:7" ht="15" hidden="1" outlineLevel="2">
      <c r="B2605" s="2889" t="s">
        <v>1653</v>
      </c>
      <c r="C2605" s="2889" t="s">
        <v>1449</v>
      </c>
      <c r="D2605" s="2889" t="s">
        <v>1105</v>
      </c>
      <c r="E2605" s="2889" t="s">
        <v>217</v>
      </c>
      <c r="F2605" s="2890">
        <v>0.11262397568025019</v>
      </c>
      <c r="G2605" s="2890">
        <v>155.19359822644017</v>
      </c>
    </row>
    <row r="2606" spans="2:7" ht="15" hidden="1" outlineLevel="2">
      <c r="B2606" s="2889" t="s">
        <v>1407</v>
      </c>
      <c r="C2606" s="2889" t="s">
        <v>1600</v>
      </c>
      <c r="D2606" s="2889" t="s">
        <v>1599</v>
      </c>
      <c r="E2606" s="2889" t="s">
        <v>217</v>
      </c>
      <c r="F2606" s="2890">
        <v>4.3932917690746628E-2</v>
      </c>
      <c r="G2606" s="2890">
        <v>48.410055519617352</v>
      </c>
    </row>
    <row r="2607" spans="2:7" ht="15" hidden="1" outlineLevel="2">
      <c r="B2607" s="2889" t="s">
        <v>1631</v>
      </c>
      <c r="C2607" s="2889" t="s">
        <v>1600</v>
      </c>
      <c r="D2607" s="2889" t="s">
        <v>1599</v>
      </c>
      <c r="E2607" s="2889" t="s">
        <v>217</v>
      </c>
      <c r="F2607" s="2890">
        <v>4.0610596693594618E-2</v>
      </c>
      <c r="G2607" s="2890">
        <v>44.293366034735534</v>
      </c>
    </row>
    <row r="2608" spans="2:7" ht="15" hidden="1" outlineLevel="2">
      <c r="B2608" s="2889" t="s">
        <v>1632</v>
      </c>
      <c r="C2608" s="2889" t="s">
        <v>1600</v>
      </c>
      <c r="D2608" s="2889" t="s">
        <v>1599</v>
      </c>
      <c r="E2608" s="2889" t="s">
        <v>217</v>
      </c>
      <c r="F2608" s="2890">
        <v>2.2274529922454607E-2</v>
      </c>
      <c r="G2608" s="2890">
        <v>24.660648562510556</v>
      </c>
    </row>
    <row r="2609" spans="2:7" ht="15" hidden="1" outlineLevel="2">
      <c r="B2609" s="2889" t="s">
        <v>1633</v>
      </c>
      <c r="C2609" s="2889" t="s">
        <v>1600</v>
      </c>
      <c r="D2609" s="2889" t="s">
        <v>1599</v>
      </c>
      <c r="E2609" s="2889" t="s">
        <v>217</v>
      </c>
      <c r="F2609" s="2890">
        <v>2.5934898142718384E-2</v>
      </c>
      <c r="G2609" s="2890">
        <v>28.85477464646366</v>
      </c>
    </row>
    <row r="2610" spans="2:7" ht="15" hidden="1" outlineLevel="2">
      <c r="B2610" s="2889" t="s">
        <v>1634</v>
      </c>
      <c r="C2610" s="2889" t="s">
        <v>1600</v>
      </c>
      <c r="D2610" s="2889" t="s">
        <v>1599</v>
      </c>
      <c r="E2610" s="2889" t="s">
        <v>217</v>
      </c>
      <c r="F2610" s="2890">
        <v>1.7873230677792975E-2</v>
      </c>
      <c r="G2610" s="2890">
        <v>19.906658788828786</v>
      </c>
    </row>
    <row r="2611" spans="2:7" ht="15" hidden="1" outlineLevel="2">
      <c r="B2611" s="2889" t="s">
        <v>1635</v>
      </c>
      <c r="C2611" s="2889" t="s">
        <v>1600</v>
      </c>
      <c r="D2611" s="2889" t="s">
        <v>1599</v>
      </c>
      <c r="E2611" s="2889" t="s">
        <v>217</v>
      </c>
      <c r="F2611" s="2890">
        <v>1.6775728059978678E-2</v>
      </c>
      <c r="G2611" s="2890">
        <v>18.572803174133043</v>
      </c>
    </row>
    <row r="2612" spans="2:7" ht="15" hidden="1" outlineLevel="2">
      <c r="B2612" s="2889" t="s">
        <v>1636</v>
      </c>
      <c r="C2612" s="2889" t="s">
        <v>1600</v>
      </c>
      <c r="D2612" s="2889" t="s">
        <v>1599</v>
      </c>
      <c r="E2612" s="2889" t="s">
        <v>217</v>
      </c>
      <c r="F2612" s="2890">
        <v>1.7046453660849914E-3</v>
      </c>
      <c r="G2612" s="2890">
        <v>1.8874282448024666</v>
      </c>
    </row>
    <row r="2613" spans="2:7" ht="15" hidden="1" outlineLevel="2">
      <c r="B2613" s="2889" t="s">
        <v>1637</v>
      </c>
      <c r="C2613" s="2889" t="s">
        <v>1600</v>
      </c>
      <c r="D2613" s="2889" t="s">
        <v>1599</v>
      </c>
      <c r="E2613" s="2889" t="s">
        <v>217</v>
      </c>
      <c r="F2613" s="2890">
        <v>6.6761790859171874E-2</v>
      </c>
      <c r="G2613" s="2890">
        <v>74.278167198310612</v>
      </c>
    </row>
    <row r="2614" spans="2:7" ht="15" hidden="1" outlineLevel="2">
      <c r="B2614" s="2889" t="s">
        <v>1638</v>
      </c>
      <c r="C2614" s="2889" t="s">
        <v>1600</v>
      </c>
      <c r="D2614" s="2889" t="s">
        <v>1599</v>
      </c>
      <c r="E2614" s="2889" t="s">
        <v>217</v>
      </c>
      <c r="F2614" s="2890">
        <v>5.4966730400959472E-2</v>
      </c>
      <c r="G2614" s="2890">
        <v>61.220242182149455</v>
      </c>
    </row>
    <row r="2615" spans="2:7" ht="15" hidden="1" outlineLevel="2">
      <c r="B2615" s="2889" t="s">
        <v>1639</v>
      </c>
      <c r="C2615" s="2889" t="s">
        <v>1600</v>
      </c>
      <c r="D2615" s="2889" t="s">
        <v>1599</v>
      </c>
      <c r="E2615" s="2889" t="s">
        <v>217</v>
      </c>
      <c r="F2615" s="2890">
        <v>9.3750397099323906E-3</v>
      </c>
      <c r="G2615" s="2890">
        <v>10.430526808111262</v>
      </c>
    </row>
    <row r="2616" spans="2:7" ht="15" hidden="1" outlineLevel="2">
      <c r="B2616" s="2889" t="s">
        <v>1640</v>
      </c>
      <c r="C2616" s="2889" t="s">
        <v>1600</v>
      </c>
      <c r="D2616" s="2889" t="s">
        <v>1599</v>
      </c>
      <c r="E2616" s="2889" t="s">
        <v>217</v>
      </c>
      <c r="F2616" s="2890">
        <v>9.6239845148255843E-2</v>
      </c>
      <c r="G2616" s="2890">
        <v>106.04759075359736</v>
      </c>
    </row>
    <row r="2617" spans="2:7" ht="15" hidden="1" outlineLevel="2">
      <c r="B2617" s="2889" t="s">
        <v>1641</v>
      </c>
      <c r="C2617" s="2889" t="s">
        <v>1600</v>
      </c>
      <c r="D2617" s="2889" t="s">
        <v>1599</v>
      </c>
      <c r="E2617" s="2889" t="s">
        <v>217</v>
      </c>
      <c r="F2617" s="2890">
        <v>2.5340829349000948E-2</v>
      </c>
      <c r="G2617" s="2890">
        <v>28.055431404671388</v>
      </c>
    </row>
    <row r="2618" spans="2:7" ht="15" hidden="1" outlineLevel="2">
      <c r="B2618" s="2889" t="s">
        <v>1642</v>
      </c>
      <c r="C2618" s="2889" t="s">
        <v>1600</v>
      </c>
      <c r="D2618" s="2889" t="s">
        <v>1599</v>
      </c>
      <c r="E2618" s="2889" t="s">
        <v>217</v>
      </c>
      <c r="F2618" s="2890">
        <v>1.1429937194822184E-2</v>
      </c>
      <c r="G2618" s="2890">
        <v>12.654360139635537</v>
      </c>
    </row>
    <row r="2619" spans="2:7" ht="15" hidden="1" outlineLevel="2">
      <c r="B2619" s="2889" t="s">
        <v>1643</v>
      </c>
      <c r="C2619" s="2889" t="s">
        <v>1600</v>
      </c>
      <c r="D2619" s="2889" t="s">
        <v>1599</v>
      </c>
      <c r="E2619" s="2889" t="s">
        <v>217</v>
      </c>
      <c r="F2619" s="2890">
        <v>1.3729674779309871E-2</v>
      </c>
      <c r="G2619" s="2890">
        <v>15.175440506680722</v>
      </c>
    </row>
    <row r="2620" spans="2:7" ht="15" hidden="1" outlineLevel="2">
      <c r="B2620" s="2889" t="s">
        <v>1644</v>
      </c>
      <c r="C2620" s="2889" t="s">
        <v>1600</v>
      </c>
      <c r="D2620" s="2889" t="s">
        <v>1599</v>
      </c>
      <c r="E2620" s="2889" t="s">
        <v>217</v>
      </c>
      <c r="F2620" s="2890">
        <v>7.1403258042166641E-3</v>
      </c>
      <c r="G2620" s="2890">
        <v>7.9442156402234207</v>
      </c>
    </row>
    <row r="2621" spans="2:7" ht="15" hidden="1" outlineLevel="2">
      <c r="B2621" s="2889" t="s">
        <v>1645</v>
      </c>
      <c r="C2621" s="2889" t="s">
        <v>1600</v>
      </c>
      <c r="D2621" s="2889" t="s">
        <v>1599</v>
      </c>
      <c r="E2621" s="2889" t="s">
        <v>217</v>
      </c>
      <c r="F2621" s="2890">
        <v>2.714881356159362E-2</v>
      </c>
      <c r="G2621" s="2890">
        <v>30.205350399230664</v>
      </c>
    </row>
    <row r="2622" spans="2:7" ht="15" hidden="1" outlineLevel="2">
      <c r="B2622" s="2889" t="s">
        <v>1646</v>
      </c>
      <c r="C2622" s="2889" t="s">
        <v>1600</v>
      </c>
      <c r="D2622" s="2889" t="s">
        <v>1599</v>
      </c>
      <c r="E2622" s="2889" t="s">
        <v>217</v>
      </c>
      <c r="F2622" s="2890">
        <v>1.8679037591598099E-2</v>
      </c>
      <c r="G2622" s="2890">
        <v>20.680005077299526</v>
      </c>
    </row>
    <row r="2623" spans="2:7" ht="15" hidden="1" outlineLevel="2">
      <c r="B2623" s="2889" t="s">
        <v>1647</v>
      </c>
      <c r="C2623" s="2889" t="s">
        <v>1600</v>
      </c>
      <c r="D2623" s="2889" t="s">
        <v>1599</v>
      </c>
      <c r="E2623" s="2889" t="s">
        <v>217</v>
      </c>
      <c r="F2623" s="2890">
        <v>3.8188481784736023E-2</v>
      </c>
      <c r="G2623" s="2890">
        <v>42.533151416600106</v>
      </c>
    </row>
    <row r="2624" spans="2:7" ht="15" hidden="1" outlineLevel="2">
      <c r="B2624" s="2889" t="s">
        <v>1648</v>
      </c>
      <c r="C2624" s="2889" t="s">
        <v>1600</v>
      </c>
      <c r="D2624" s="2889" t="s">
        <v>1599</v>
      </c>
      <c r="E2624" s="2889" t="s">
        <v>217</v>
      </c>
      <c r="F2624" s="2890">
        <v>3.372557576535281E-2</v>
      </c>
      <c r="G2624" s="2890">
        <v>37.562514977707025</v>
      </c>
    </row>
    <row r="2625" spans="2:7" ht="15" hidden="1" outlineLevel="2">
      <c r="B2625" s="2889" t="s">
        <v>1649</v>
      </c>
      <c r="C2625" s="2889" t="s">
        <v>1600</v>
      </c>
      <c r="D2625" s="2889" t="s">
        <v>1599</v>
      </c>
      <c r="E2625" s="2889" t="s">
        <v>217</v>
      </c>
      <c r="F2625" s="2890">
        <v>2.0524469044164627E-2</v>
      </c>
      <c r="G2625" s="2890">
        <v>22.859516119742452</v>
      </c>
    </row>
    <row r="2626" spans="2:7" ht="15" hidden="1" outlineLevel="2">
      <c r="B2626" s="2889" t="s">
        <v>1650</v>
      </c>
      <c r="C2626" s="2889" t="s">
        <v>1600</v>
      </c>
      <c r="D2626" s="2889" t="s">
        <v>1599</v>
      </c>
      <c r="E2626" s="2889" t="s">
        <v>217</v>
      </c>
      <c r="F2626" s="2890">
        <v>8.7272366448715982E-3</v>
      </c>
      <c r="G2626" s="2890">
        <v>9.6166205374446019</v>
      </c>
    </row>
    <row r="2627" spans="2:7" ht="15" hidden="1" outlineLevel="2">
      <c r="B2627" s="2889" t="s">
        <v>1651</v>
      </c>
      <c r="C2627" s="2889" t="s">
        <v>1600</v>
      </c>
      <c r="D2627" s="2889" t="s">
        <v>1599</v>
      </c>
      <c r="E2627" s="2889" t="s">
        <v>217</v>
      </c>
      <c r="F2627" s="2890">
        <v>7.9688703159370697E-2</v>
      </c>
      <c r="G2627" s="2890">
        <v>88.754870885745817</v>
      </c>
    </row>
    <row r="2628" spans="2:7" ht="15" hidden="1" outlineLevel="2">
      <c r="B2628" s="2889" t="s">
        <v>1652</v>
      </c>
      <c r="C2628" s="2889" t="s">
        <v>1600</v>
      </c>
      <c r="D2628" s="2889" t="s">
        <v>1599</v>
      </c>
      <c r="E2628" s="2889" t="s">
        <v>217</v>
      </c>
      <c r="F2628" s="2890">
        <v>6.7107547458934796E-2</v>
      </c>
      <c r="G2628" s="2890">
        <v>74.742326799445806</v>
      </c>
    </row>
    <row r="2629" spans="2:7" ht="15" hidden="1" outlineLevel="2">
      <c r="B2629" s="2889" t="s">
        <v>1653</v>
      </c>
      <c r="C2629" s="2889" t="s">
        <v>1600</v>
      </c>
      <c r="D2629" s="2889" t="s">
        <v>1599</v>
      </c>
      <c r="E2629" s="2889" t="s">
        <v>217</v>
      </c>
      <c r="F2629" s="2890">
        <v>2.7422756183907537E-35</v>
      </c>
      <c r="G2629" s="2890">
        <v>3.0433135541203165E-32</v>
      </c>
    </row>
    <row r="2630" spans="2:7" ht="15" hidden="1" outlineLevel="2">
      <c r="B2630" s="2889" t="s">
        <v>1407</v>
      </c>
      <c r="C2630" s="2889" t="s">
        <v>1601</v>
      </c>
      <c r="D2630" s="2889" t="s">
        <v>1599</v>
      </c>
      <c r="E2630" s="2889" t="s">
        <v>217</v>
      </c>
      <c r="F2630" s="2890">
        <v>4.506754532866608E-4</v>
      </c>
      <c r="G2630" s="2890">
        <v>0.56870855026738631</v>
      </c>
    </row>
    <row r="2631" spans="2:7" ht="15" hidden="1" outlineLevel="2">
      <c r="B2631" s="2889" t="s">
        <v>1631</v>
      </c>
      <c r="C2631" s="2889" t="s">
        <v>1601</v>
      </c>
      <c r="D2631" s="2889" t="s">
        <v>1599</v>
      </c>
      <c r="E2631" s="2889" t="s">
        <v>217</v>
      </c>
      <c r="F2631" s="2890">
        <v>4.1662536772323777E-4</v>
      </c>
      <c r="G2631" s="2890">
        <v>0.52034692557121331</v>
      </c>
    </row>
    <row r="2632" spans="2:7" ht="15" hidden="1" outlineLevel="2">
      <c r="B2632" s="2889" t="s">
        <v>1632</v>
      </c>
      <c r="C2632" s="2889" t="s">
        <v>1601</v>
      </c>
      <c r="D2632" s="2889" t="s">
        <v>1599</v>
      </c>
      <c r="E2632" s="2889" t="s">
        <v>217</v>
      </c>
      <c r="F2632" s="2890">
        <v>2.2848997185984319E-4</v>
      </c>
      <c r="G2632" s="2890">
        <v>0.2897068269145161</v>
      </c>
    </row>
    <row r="2633" spans="2:7" ht="15" hidden="1" outlineLevel="2">
      <c r="B2633" s="2889" t="s">
        <v>1633</v>
      </c>
      <c r="C2633" s="2889" t="s">
        <v>1601</v>
      </c>
      <c r="D2633" s="2889" t="s">
        <v>1599</v>
      </c>
      <c r="E2633" s="2889" t="s">
        <v>217</v>
      </c>
      <c r="F2633" s="2890">
        <v>2.6602808760549244E-4</v>
      </c>
      <c r="G2633" s="2890">
        <v>0.33897815073037474</v>
      </c>
    </row>
    <row r="2634" spans="2:7" ht="15" hidden="1" outlineLevel="2">
      <c r="B2634" s="2889" t="s">
        <v>1634</v>
      </c>
      <c r="C2634" s="2889" t="s">
        <v>1601</v>
      </c>
      <c r="D2634" s="2889" t="s">
        <v>1599</v>
      </c>
      <c r="E2634" s="2889" t="s">
        <v>217</v>
      </c>
      <c r="F2634" s="2890">
        <v>1.8333373851871893E-4</v>
      </c>
      <c r="G2634" s="2890">
        <v>0.23385788500093374</v>
      </c>
    </row>
    <row r="2635" spans="2:7" ht="15" hidden="1" outlineLevel="2">
      <c r="B2635" s="2889" t="s">
        <v>1635</v>
      </c>
      <c r="C2635" s="2889" t="s">
        <v>1601</v>
      </c>
      <c r="D2635" s="2889" t="s">
        <v>1599</v>
      </c>
      <c r="E2635" s="2889" t="s">
        <v>217</v>
      </c>
      <c r="F2635" s="2890">
        <v>1.7208390357525036E-4</v>
      </c>
      <c r="G2635" s="2890">
        <v>0.21818829305700377</v>
      </c>
    </row>
    <row r="2636" spans="2:7" ht="15" hidden="1" outlineLevel="2">
      <c r="B2636" s="2889" t="s">
        <v>1636</v>
      </c>
      <c r="C2636" s="2889" t="s">
        <v>1601</v>
      </c>
      <c r="D2636" s="2889" t="s">
        <v>1599</v>
      </c>
      <c r="E2636" s="2889" t="s">
        <v>217</v>
      </c>
      <c r="F2636" s="2890">
        <v>1.7486093662297707E-5</v>
      </c>
      <c r="G2636" s="2890">
        <v>2.217300846743216E-2</v>
      </c>
    </row>
    <row r="2637" spans="2:7" ht="15" hidden="1" outlineLevel="2">
      <c r="B2637" s="2889" t="s">
        <v>1637</v>
      </c>
      <c r="C2637" s="2889" t="s">
        <v>1601</v>
      </c>
      <c r="D2637" s="2889" t="s">
        <v>1599</v>
      </c>
      <c r="E2637" s="2889" t="s">
        <v>217</v>
      </c>
      <c r="F2637" s="2890">
        <v>6.8481112773233124E-4</v>
      </c>
      <c r="G2637" s="2890">
        <v>0.87260008312126625</v>
      </c>
    </row>
    <row r="2638" spans="2:7" ht="15" hidden="1" outlineLevel="2">
      <c r="B2638" s="2889" t="s">
        <v>1638</v>
      </c>
      <c r="C2638" s="2889" t="s">
        <v>1601</v>
      </c>
      <c r="D2638" s="2889" t="s">
        <v>1599</v>
      </c>
      <c r="E2638" s="2889" t="s">
        <v>217</v>
      </c>
      <c r="F2638" s="2890">
        <v>5.6381861580635643E-4</v>
      </c>
      <c r="G2638" s="2890">
        <v>0.71919917025353108</v>
      </c>
    </row>
    <row r="2639" spans="2:7" ht="15" hidden="1" outlineLevel="2">
      <c r="B2639" s="2889" t="s">
        <v>1639</v>
      </c>
      <c r="C2639" s="2889" t="s">
        <v>1601</v>
      </c>
      <c r="D2639" s="2889" t="s">
        <v>1599</v>
      </c>
      <c r="E2639" s="2889" t="s">
        <v>217</v>
      </c>
      <c r="F2639" s="2890">
        <v>9.6164850911426304E-5</v>
      </c>
      <c r="G2639" s="2890">
        <v>0.12253502307584513</v>
      </c>
    </row>
    <row r="2640" spans="2:7" ht="15" hidden="1" outlineLevel="2">
      <c r="B2640" s="2889" t="s">
        <v>1640</v>
      </c>
      <c r="C2640" s="2889" t="s">
        <v>1601</v>
      </c>
      <c r="D2640" s="2889" t="s">
        <v>1599</v>
      </c>
      <c r="E2640" s="2889" t="s">
        <v>217</v>
      </c>
      <c r="F2640" s="2890">
        <v>9.8725345452104906E-4</v>
      </c>
      <c r="G2640" s="2890">
        <v>1.2458187384261799</v>
      </c>
    </row>
    <row r="2641" spans="2:7" ht="15" hidden="1" outlineLevel="2">
      <c r="B2641" s="2889" t="s">
        <v>1641</v>
      </c>
      <c r="C2641" s="2889" t="s">
        <v>1601</v>
      </c>
      <c r="D2641" s="2889" t="s">
        <v>1599</v>
      </c>
      <c r="E2641" s="2889" t="s">
        <v>217</v>
      </c>
      <c r="F2641" s="2890">
        <v>2.5994387737406229E-4</v>
      </c>
      <c r="G2641" s="2890">
        <v>0.32958794679184233</v>
      </c>
    </row>
    <row r="2642" spans="2:7" ht="15" hidden="1" outlineLevel="2">
      <c r="B2642" s="2889" t="s">
        <v>1642</v>
      </c>
      <c r="C2642" s="2889" t="s">
        <v>1601</v>
      </c>
      <c r="D2642" s="2889" t="s">
        <v>1599</v>
      </c>
      <c r="E2642" s="2889" t="s">
        <v>217</v>
      </c>
      <c r="F2642" s="2890">
        <v>1.1724719176993185E-4</v>
      </c>
      <c r="G2642" s="2890">
        <v>0.14865998504741065</v>
      </c>
    </row>
    <row r="2643" spans="2:7" ht="15" hidden="1" outlineLevel="2">
      <c r="B2643" s="2889" t="s">
        <v>1643</v>
      </c>
      <c r="C2643" s="2889" t="s">
        <v>1601</v>
      </c>
      <c r="D2643" s="2889" t="s">
        <v>1599</v>
      </c>
      <c r="E2643" s="2889" t="s">
        <v>217</v>
      </c>
      <c r="F2643" s="3039">
        <v>1.408394347768649E-4</v>
      </c>
      <c r="G2643" s="2890">
        <v>0.17827706609388086</v>
      </c>
    </row>
    <row r="2644" spans="2:7" ht="15" hidden="1" outlineLevel="2">
      <c r="B2644" s="2889" t="s">
        <v>1644</v>
      </c>
      <c r="C2644" s="2889" t="s">
        <v>1601</v>
      </c>
      <c r="D2644" s="2889" t="s">
        <v>1599</v>
      </c>
      <c r="E2644" s="2889" t="s">
        <v>217</v>
      </c>
      <c r="F2644" s="3039">
        <v>7.3242126924426645E-5</v>
      </c>
      <c r="G2644" s="2890">
        <v>9.3326475797485542E-2</v>
      </c>
    </row>
    <row r="2645" spans="2:7" ht="15" hidden="1" outlineLevel="2">
      <c r="B2645" s="2889" t="s">
        <v>1645</v>
      </c>
      <c r="C2645" s="2889" t="s">
        <v>1601</v>
      </c>
      <c r="D2645" s="2889" t="s">
        <v>1599</v>
      </c>
      <c r="E2645" s="2889" t="s">
        <v>217</v>
      </c>
      <c r="F2645" s="3039">
        <v>2.7847994546511547E-4</v>
      </c>
      <c r="G2645" s="2890">
        <v>0.35484456008728227</v>
      </c>
    </row>
    <row r="2646" spans="2:7" ht="15" hidden="1" outlineLevel="2">
      <c r="B2646" s="2889" t="s">
        <v>1646</v>
      </c>
      <c r="C2646" s="2889" t="s">
        <v>1601</v>
      </c>
      <c r="D2646" s="2889" t="s">
        <v>1599</v>
      </c>
      <c r="E2646" s="2889" t="s">
        <v>217</v>
      </c>
      <c r="F2646" s="3039">
        <v>1.9160783910620856E-4</v>
      </c>
      <c r="G2646" s="2890">
        <v>0.24294332202182825</v>
      </c>
    </row>
    <row r="2647" spans="2:7" ht="15" hidden="1" outlineLevel="2">
      <c r="B2647" s="2889" t="s">
        <v>1647</v>
      </c>
      <c r="C2647" s="2889" t="s">
        <v>1601</v>
      </c>
      <c r="D2647" s="2889" t="s">
        <v>1599</v>
      </c>
      <c r="E2647" s="2889" t="s">
        <v>217</v>
      </c>
      <c r="F2647" s="3039">
        <v>3.9171671382828008E-4</v>
      </c>
      <c r="G2647" s="2890">
        <v>0.49966810797494776</v>
      </c>
    </row>
    <row r="2648" spans="2:7" ht="15" hidden="1" outlineLevel="2">
      <c r="B2648" s="2889" t="s">
        <v>1648</v>
      </c>
      <c r="C2648" s="2889" t="s">
        <v>1601</v>
      </c>
      <c r="D2648" s="2889" t="s">
        <v>1599</v>
      </c>
      <c r="E2648" s="2889" t="s">
        <v>217</v>
      </c>
      <c r="F2648" s="3039">
        <v>3.4593869688454595E-4</v>
      </c>
      <c r="G2648" s="2890">
        <v>0.44127437750524556</v>
      </c>
    </row>
    <row r="2649" spans="2:7" ht="15" hidden="1" outlineLevel="2">
      <c r="B2649" s="2889" t="s">
        <v>1649</v>
      </c>
      <c r="C2649" s="2889" t="s">
        <v>1601</v>
      </c>
      <c r="D2649" s="2889" t="s">
        <v>1599</v>
      </c>
      <c r="E2649" s="2889" t="s">
        <v>217</v>
      </c>
      <c r="F2649" s="3039">
        <v>2.1052892333692542E-4</v>
      </c>
      <c r="G2649" s="2890">
        <v>0.26854744744134029</v>
      </c>
    </row>
    <row r="2650" spans="2:7" ht="15" hidden="1" outlineLevel="2">
      <c r="B2650" s="2889" t="s">
        <v>1650</v>
      </c>
      <c r="C2650" s="2889" t="s">
        <v>1601</v>
      </c>
      <c r="D2650" s="2889" t="s">
        <v>1599</v>
      </c>
      <c r="E2650" s="2889" t="s">
        <v>217</v>
      </c>
      <c r="F2650" s="3039">
        <v>8.9526281437277952E-5</v>
      </c>
      <c r="G2650" s="2890">
        <v>0.1048150160741104</v>
      </c>
    </row>
    <row r="2651" spans="2:7" ht="15" hidden="1" outlineLevel="2">
      <c r="B2651" s="2889" t="s">
        <v>1651</v>
      </c>
      <c r="C2651" s="2889" t="s">
        <v>1601</v>
      </c>
      <c r="D2651" s="2889" t="s">
        <v>1599</v>
      </c>
      <c r="E2651" s="2889" t="s">
        <v>217</v>
      </c>
      <c r="F2651" s="3039">
        <v>8.1740297001954879E-4</v>
      </c>
      <c r="G2651" s="2890">
        <v>1.0426679063467732</v>
      </c>
    </row>
    <row r="2652" spans="2:7" ht="15" hidden="1" outlineLevel="2">
      <c r="B2652" s="2889" t="s">
        <v>1652</v>
      </c>
      <c r="C2652" s="2889" t="s">
        <v>1601</v>
      </c>
      <c r="D2652" s="2889" t="s">
        <v>1599</v>
      </c>
      <c r="E2652" s="2889" t="s">
        <v>217</v>
      </c>
      <c r="F2652" s="3039">
        <v>6.8835252685713023E-4</v>
      </c>
      <c r="G2652" s="2890">
        <v>0.8780533944369604</v>
      </c>
    </row>
    <row r="2653" spans="2:7" ht="15" hidden="1" outlineLevel="2">
      <c r="B2653" s="2889" t="s">
        <v>1653</v>
      </c>
      <c r="C2653" s="2889" t="s">
        <v>1601</v>
      </c>
      <c r="D2653" s="2889" t="s">
        <v>1599</v>
      </c>
      <c r="E2653" s="2889" t="s">
        <v>217</v>
      </c>
      <c r="F2653" s="3039">
        <v>3.1357877272552823E-37</v>
      </c>
      <c r="G2653" s="2890">
        <v>4.3186769967087623E-34</v>
      </c>
    </row>
    <row r="2654" spans="2:7" ht="15" hidden="1" outlineLevel="2">
      <c r="B2654" s="2889" t="s">
        <v>1407</v>
      </c>
      <c r="C2654" s="2889" t="s">
        <v>1436</v>
      </c>
      <c r="D2654" s="2889" t="s">
        <v>1437</v>
      </c>
      <c r="E2654" s="2889" t="s">
        <v>217</v>
      </c>
      <c r="F2654" s="3039">
        <v>2.6027026481861473E-34</v>
      </c>
      <c r="G2654" s="2890">
        <v>1.7109690376180409E-30</v>
      </c>
    </row>
    <row r="2655" spans="2:7" ht="15" hidden="1" outlineLevel="2">
      <c r="B2655" s="2889" t="s">
        <v>1631</v>
      </c>
      <c r="C2655" s="2889" t="s">
        <v>1436</v>
      </c>
      <c r="D2655" s="2889" t="s">
        <v>1437</v>
      </c>
      <c r="E2655" s="2889" t="s">
        <v>217</v>
      </c>
      <c r="F2655" s="3039">
        <v>0.10608789328470504</v>
      </c>
      <c r="G2655" s="2890">
        <v>303.62439702372995</v>
      </c>
    </row>
    <row r="2656" spans="2:7" ht="15" hidden="1" outlineLevel="2">
      <c r="B2656" s="2889" t="s">
        <v>1632</v>
      </c>
      <c r="C2656" s="2889" t="s">
        <v>1436</v>
      </c>
      <c r="D2656" s="2889" t="s">
        <v>1437</v>
      </c>
      <c r="E2656" s="2889" t="s">
        <v>217</v>
      </c>
      <c r="F2656" s="3039">
        <v>7.5074450865664661E-5</v>
      </c>
      <c r="G2656" s="2890">
        <v>0.21800921633107243</v>
      </c>
    </row>
    <row r="2657" spans="2:7" ht="15" hidden="1" outlineLevel="2">
      <c r="B2657" s="2889" t="s">
        <v>1633</v>
      </c>
      <c r="C2657" s="2889" t="s">
        <v>1436</v>
      </c>
      <c r="D2657" s="2889" t="s">
        <v>1437</v>
      </c>
      <c r="E2657" s="2889" t="s">
        <v>217</v>
      </c>
      <c r="F2657" s="3039">
        <v>2.6757713009941471E-34</v>
      </c>
      <c r="G2657" s="2890">
        <v>6.539019983539831E-31</v>
      </c>
    </row>
    <row r="2658" spans="2:7" ht="15" hidden="1" outlineLevel="2">
      <c r="B2658" s="2889" t="s">
        <v>1634</v>
      </c>
      <c r="C2658" s="2889" t="s">
        <v>1436</v>
      </c>
      <c r="D2658" s="2889" t="s">
        <v>1437</v>
      </c>
      <c r="E2658" s="2889" t="s">
        <v>217</v>
      </c>
      <c r="F2658" s="3039">
        <v>1.2726620208700038E-33</v>
      </c>
      <c r="G2658" s="2890">
        <v>2.548002157498148E-30</v>
      </c>
    </row>
    <row r="2659" spans="2:7" ht="15" hidden="1" outlineLevel="2">
      <c r="B2659" s="2889" t="s">
        <v>1635</v>
      </c>
      <c r="C2659" s="2889" t="s">
        <v>1436</v>
      </c>
      <c r="D2659" s="2889" t="s">
        <v>1437</v>
      </c>
      <c r="E2659" s="2889" t="s">
        <v>217</v>
      </c>
      <c r="F2659" s="3039">
        <v>2.8331664148189346E-5</v>
      </c>
      <c r="G2659" s="2890">
        <v>8.2272473986186881E-2</v>
      </c>
    </row>
    <row r="2660" spans="2:7" ht="15" hidden="1" outlineLevel="2">
      <c r="B2660" s="2889" t="s">
        <v>1636</v>
      </c>
      <c r="C2660" s="2889" t="s">
        <v>1436</v>
      </c>
      <c r="D2660" s="2889" t="s">
        <v>1437</v>
      </c>
      <c r="E2660" s="2889" t="s">
        <v>217</v>
      </c>
      <c r="F2660" s="3039">
        <v>3.8952874951531652E-34</v>
      </c>
      <c r="G2660" s="2890">
        <v>6.1605054560983056E-31</v>
      </c>
    </row>
    <row r="2661" spans="2:7" ht="15" hidden="1" outlineLevel="2">
      <c r="B2661" s="2889" t="s">
        <v>1637</v>
      </c>
      <c r="C2661" s="2889" t="s">
        <v>1436</v>
      </c>
      <c r="D2661" s="2889" t="s">
        <v>1437</v>
      </c>
      <c r="E2661" s="2889" t="s">
        <v>217</v>
      </c>
      <c r="F2661" s="3039">
        <v>3.6481196869676405E-36</v>
      </c>
      <c r="G2661" s="2890">
        <v>5.1032962245437871E-32</v>
      </c>
    </row>
    <row r="2662" spans="2:7" ht="15" hidden="1" outlineLevel="2">
      <c r="B2662" s="2889" t="s">
        <v>1638</v>
      </c>
      <c r="C2662" s="2889" t="s">
        <v>1436</v>
      </c>
      <c r="D2662" s="2889" t="s">
        <v>1437</v>
      </c>
      <c r="E2662" s="2889" t="s">
        <v>217</v>
      </c>
      <c r="F2662" s="3039">
        <v>2.3991914587645556E-6</v>
      </c>
      <c r="G2662" s="2890">
        <v>7.0074351444588375E-3</v>
      </c>
    </row>
    <row r="2663" spans="2:7" ht="15" hidden="1" outlineLevel="2">
      <c r="B2663" s="2889" t="s">
        <v>1639</v>
      </c>
      <c r="C2663" s="2889" t="s">
        <v>1436</v>
      </c>
      <c r="D2663" s="2889" t="s">
        <v>1437</v>
      </c>
      <c r="E2663" s="2889" t="s">
        <v>217</v>
      </c>
      <c r="F2663" s="3039">
        <v>3.0242949543144318E-5</v>
      </c>
      <c r="G2663" s="2890">
        <v>8.8241725961892573E-2</v>
      </c>
    </row>
    <row r="2664" spans="2:7" ht="15" hidden="1" outlineLevel="2">
      <c r="B2664" s="2889" t="s">
        <v>1640</v>
      </c>
      <c r="C2664" s="2889" t="s">
        <v>1436</v>
      </c>
      <c r="D2664" s="2889" t="s">
        <v>1437</v>
      </c>
      <c r="E2664" s="2889" t="s">
        <v>217</v>
      </c>
      <c r="F2664" s="3039">
        <v>1.7957041227941505E-6</v>
      </c>
      <c r="G2664" s="2890">
        <v>5.190695610299445E-3</v>
      </c>
    </row>
    <row r="2665" spans="2:7" ht="15" hidden="1" outlineLevel="2">
      <c r="B2665" s="2889" t="s">
        <v>1641</v>
      </c>
      <c r="C2665" s="2889" t="s">
        <v>1436</v>
      </c>
      <c r="D2665" s="2889" t="s">
        <v>1437</v>
      </c>
      <c r="E2665" s="2889" t="s">
        <v>217</v>
      </c>
      <c r="F2665" s="3039">
        <v>9.7425381139052297E-34</v>
      </c>
      <c r="G2665" s="2890">
        <v>6.5488706385837996E-30</v>
      </c>
    </row>
    <row r="2666" spans="2:7" ht="15" hidden="1" outlineLevel="2">
      <c r="B2666" s="2889" t="s">
        <v>1642</v>
      </c>
      <c r="C2666" s="2889" t="s">
        <v>1436</v>
      </c>
      <c r="D2666" s="2889" t="s">
        <v>1437</v>
      </c>
      <c r="E2666" s="2889" t="s">
        <v>217</v>
      </c>
      <c r="F2666" s="3039">
        <v>2.6842632411043145E-34</v>
      </c>
      <c r="G2666" s="2890">
        <v>1.4108141940538616E-30</v>
      </c>
    </row>
    <row r="2667" spans="2:7" ht="15" hidden="1" outlineLevel="2">
      <c r="B2667" s="2889" t="s">
        <v>1643</v>
      </c>
      <c r="C2667" s="2889" t="s">
        <v>1436</v>
      </c>
      <c r="D2667" s="2889" t="s">
        <v>1437</v>
      </c>
      <c r="E2667" s="2889" t="s">
        <v>217</v>
      </c>
      <c r="F2667" s="3039">
        <v>2.2886705725982671E-34</v>
      </c>
      <c r="G2667" s="2890">
        <v>3.4391137315468474E-31</v>
      </c>
    </row>
    <row r="2668" spans="2:7" ht="15" hidden="1" outlineLevel="2">
      <c r="B2668" s="2889" t="s">
        <v>1644</v>
      </c>
      <c r="C2668" s="2889" t="s">
        <v>1436</v>
      </c>
      <c r="D2668" s="2889" t="s">
        <v>1437</v>
      </c>
      <c r="E2668" s="2889" t="s">
        <v>217</v>
      </c>
      <c r="F2668" s="2890">
        <v>6.2264890773870382E-5</v>
      </c>
      <c r="G2668" s="2890">
        <v>0.18167435383544203</v>
      </c>
    </row>
    <row r="2669" spans="2:7" ht="15" hidden="1" outlineLevel="2">
      <c r="B2669" s="2889" t="s">
        <v>1645</v>
      </c>
      <c r="C2669" s="2889" t="s">
        <v>1436</v>
      </c>
      <c r="D2669" s="2889" t="s">
        <v>1437</v>
      </c>
      <c r="E2669" s="2889" t="s">
        <v>217</v>
      </c>
      <c r="F2669" s="2890">
        <v>4.0916936318717795E-6</v>
      </c>
      <c r="G2669" s="2890">
        <v>1.1938599343622174E-2</v>
      </c>
    </row>
    <row r="2670" spans="2:7" ht="15" hidden="1" outlineLevel="2">
      <c r="B2670" s="2889" t="s">
        <v>1646</v>
      </c>
      <c r="C2670" s="2889" t="s">
        <v>1436</v>
      </c>
      <c r="D2670" s="2889" t="s">
        <v>1437</v>
      </c>
      <c r="E2670" s="2889" t="s">
        <v>217</v>
      </c>
      <c r="F2670" s="2890">
        <v>6.6137027373922643E-6</v>
      </c>
      <c r="G2670" s="2890">
        <v>1.9205561446003747E-2</v>
      </c>
    </row>
    <row r="2671" spans="2:7" ht="15" hidden="1" outlineLevel="2">
      <c r="B2671" s="2889" t="s">
        <v>1647</v>
      </c>
      <c r="C2671" s="2889" t="s">
        <v>1436</v>
      </c>
      <c r="D2671" s="2889" t="s">
        <v>1437</v>
      </c>
      <c r="E2671" s="2889" t="s">
        <v>217</v>
      </c>
      <c r="F2671" s="2890">
        <v>1.4306285918916574E-5</v>
      </c>
      <c r="G2671" s="2890">
        <v>4.1785077518369469E-2</v>
      </c>
    </row>
    <row r="2672" spans="2:7" ht="15" hidden="1" outlineLevel="2">
      <c r="B2672" s="2889" t="s">
        <v>1648</v>
      </c>
      <c r="C2672" s="2889" t="s">
        <v>1436</v>
      </c>
      <c r="D2672" s="2889" t="s">
        <v>1437</v>
      </c>
      <c r="E2672" s="2889" t="s">
        <v>217</v>
      </c>
      <c r="F2672" s="2890">
        <v>8.4600258055354856E-35</v>
      </c>
      <c r="G2672" s="2890">
        <v>1.4522433112864399E-31</v>
      </c>
    </row>
    <row r="2673" spans="2:7" ht="15" hidden="1" outlineLevel="2">
      <c r="B2673" s="2889" t="s">
        <v>1649</v>
      </c>
      <c r="C2673" s="2889" t="s">
        <v>1436</v>
      </c>
      <c r="D2673" s="2889" t="s">
        <v>1437</v>
      </c>
      <c r="E2673" s="2889" t="s">
        <v>217</v>
      </c>
      <c r="F2673" s="2890">
        <v>8.8858917893321879E-5</v>
      </c>
      <c r="G2673" s="2890">
        <v>0.25953448303135218</v>
      </c>
    </row>
    <row r="2674" spans="2:7" ht="15" hidden="1" outlineLevel="2">
      <c r="B2674" s="2889" t="s">
        <v>1650</v>
      </c>
      <c r="C2674" s="2889" t="s">
        <v>1436</v>
      </c>
      <c r="D2674" s="2889" t="s">
        <v>1437</v>
      </c>
      <c r="E2674" s="2889" t="s">
        <v>217</v>
      </c>
      <c r="F2674" s="2890">
        <v>4.9085982753307848E-4</v>
      </c>
      <c r="G2674" s="2890">
        <v>1.5156812504459787</v>
      </c>
    </row>
    <row r="2675" spans="2:7" ht="15" hidden="1" outlineLevel="2">
      <c r="B2675" s="2889" t="s">
        <v>1651</v>
      </c>
      <c r="C2675" s="2889" t="s">
        <v>1436</v>
      </c>
      <c r="D2675" s="2889" t="s">
        <v>1437</v>
      </c>
      <c r="E2675" s="2889" t="s">
        <v>217</v>
      </c>
      <c r="F2675" s="2890">
        <v>2.1290600677037856E-3</v>
      </c>
      <c r="G2675" s="2890">
        <v>6.2184481965325373</v>
      </c>
    </row>
    <row r="2676" spans="2:7" ht="15" hidden="1" outlineLevel="2">
      <c r="B2676" s="2889" t="s">
        <v>1652</v>
      </c>
      <c r="C2676" s="2889" t="s">
        <v>1436</v>
      </c>
      <c r="D2676" s="2889" t="s">
        <v>1437</v>
      </c>
      <c r="E2676" s="2889" t="s">
        <v>217</v>
      </c>
      <c r="F2676" s="2890">
        <v>2.63116075488244E-34</v>
      </c>
      <c r="G2676" s="2890">
        <v>3.4472761091999997E-31</v>
      </c>
    </row>
    <row r="2677" spans="2:7" ht="15" hidden="1" outlineLevel="2">
      <c r="B2677" s="2889" t="s">
        <v>1653</v>
      </c>
      <c r="C2677" s="2889" t="s">
        <v>1436</v>
      </c>
      <c r="D2677" s="2889" t="s">
        <v>1437</v>
      </c>
      <c r="E2677" s="2889" t="s">
        <v>217</v>
      </c>
      <c r="F2677" s="2890">
        <v>2.0593414926510195E-34</v>
      </c>
      <c r="G2677" s="2890">
        <v>1.3405188215545494E-30</v>
      </c>
    </row>
    <row r="2678" spans="2:7" ht="15" hidden="1" outlineLevel="2">
      <c r="B2678" s="2889" t="s">
        <v>1407</v>
      </c>
      <c r="C2678" s="2889" t="s">
        <v>1603</v>
      </c>
      <c r="D2678" s="2889" t="s">
        <v>1604</v>
      </c>
      <c r="E2678" s="2889" t="s">
        <v>217</v>
      </c>
      <c r="F2678" s="2890">
        <v>6.3625560135058758E-36</v>
      </c>
      <c r="G2678" s="2890">
        <v>7.370579327563089E-33</v>
      </c>
    </row>
    <row r="2679" spans="2:7" ht="15" hidden="1" outlineLevel="2">
      <c r="B2679" s="2889" t="s">
        <v>1631</v>
      </c>
      <c r="C2679" s="2889" t="s">
        <v>1603</v>
      </c>
      <c r="D2679" s="2889" t="s">
        <v>1604</v>
      </c>
      <c r="E2679" s="2889" t="s">
        <v>217</v>
      </c>
      <c r="F2679" s="2890">
        <v>1.083038714440662E-33</v>
      </c>
      <c r="G2679" s="2890">
        <v>1.3540678341841603E-30</v>
      </c>
    </row>
    <row r="2680" spans="2:7" ht="15" hidden="1" outlineLevel="2">
      <c r="B2680" s="2889" t="s">
        <v>1632</v>
      </c>
      <c r="C2680" s="2889" t="s">
        <v>1603</v>
      </c>
      <c r="D2680" s="2889" t="s">
        <v>1604</v>
      </c>
      <c r="E2680" s="2889" t="s">
        <v>217</v>
      </c>
      <c r="F2680" s="2890">
        <v>1.6685691472936203E-2</v>
      </c>
      <c r="G2680" s="2890">
        <v>20.088329130503634</v>
      </c>
    </row>
    <row r="2681" spans="2:7" ht="15" hidden="1" outlineLevel="2">
      <c r="B2681" s="2889" t="s">
        <v>1633</v>
      </c>
      <c r="C2681" s="2889" t="s">
        <v>1603</v>
      </c>
      <c r="D2681" s="2889" t="s">
        <v>1604</v>
      </c>
      <c r="E2681" s="2889" t="s">
        <v>217</v>
      </c>
      <c r="F2681" s="2890">
        <v>4.3350506462682783E-36</v>
      </c>
      <c r="G2681" s="2890">
        <v>5.5241704489547512E-33</v>
      </c>
    </row>
    <row r="2682" spans="2:7" ht="15" hidden="1" outlineLevel="2">
      <c r="B2682" s="2889" t="s">
        <v>1634</v>
      </c>
      <c r="C2682" s="2889" t="s">
        <v>1603</v>
      </c>
      <c r="D2682" s="2889" t="s">
        <v>1604</v>
      </c>
      <c r="E2682" s="2889" t="s">
        <v>217</v>
      </c>
      <c r="F2682" s="2890">
        <v>8.5898610198684103E-35</v>
      </c>
      <c r="G2682" s="2890">
        <v>1.0190821470877713E-31</v>
      </c>
    </row>
    <row r="2683" spans="2:7" ht="15" hidden="1" outlineLevel="2">
      <c r="B2683" s="2889" t="s">
        <v>1635</v>
      </c>
      <c r="C2683" s="2889" t="s">
        <v>1603</v>
      </c>
      <c r="D2683" s="2889" t="s">
        <v>1604</v>
      </c>
      <c r="E2683" s="2889" t="s">
        <v>217</v>
      </c>
      <c r="F2683" s="2890">
        <v>1.6685691472936203E-2</v>
      </c>
      <c r="G2683" s="2890">
        <v>20.088329130503634</v>
      </c>
    </row>
    <row r="2684" spans="2:7" ht="15" hidden="1" outlineLevel="2">
      <c r="B2684" s="2889" t="s">
        <v>1636</v>
      </c>
      <c r="C2684" s="2889" t="s">
        <v>1603</v>
      </c>
      <c r="D2684" s="2889" t="s">
        <v>1604</v>
      </c>
      <c r="E2684" s="2889" t="s">
        <v>217</v>
      </c>
      <c r="F2684" s="2890">
        <v>2.8661987182845824E-34</v>
      </c>
      <c r="G2684" s="2890">
        <v>3.3224387853505758E-31</v>
      </c>
    </row>
    <row r="2685" spans="2:7" ht="15" hidden="1" outlineLevel="2">
      <c r="B2685" s="2889" t="s">
        <v>1637</v>
      </c>
      <c r="C2685" s="2889" t="s">
        <v>1603</v>
      </c>
      <c r="D2685" s="2889" t="s">
        <v>1604</v>
      </c>
      <c r="E2685" s="2889" t="s">
        <v>217</v>
      </c>
      <c r="F2685" s="2890">
        <v>8.8078438118890436E-35</v>
      </c>
      <c r="G2685" s="2890">
        <v>1.0440683611184075E-31</v>
      </c>
    </row>
    <row r="2686" spans="2:7" ht="15" hidden="1" outlineLevel="2">
      <c r="B2686" s="2889" t="s">
        <v>1638</v>
      </c>
      <c r="C2686" s="2889" t="s">
        <v>1603</v>
      </c>
      <c r="D2686" s="2889" t="s">
        <v>1604</v>
      </c>
      <c r="E2686" s="2889" t="s">
        <v>217</v>
      </c>
      <c r="F2686" s="2890">
        <v>1.3847646596244949E-33</v>
      </c>
      <c r="G2686" s="2890">
        <v>1.6437961088360134E-30</v>
      </c>
    </row>
    <row r="2687" spans="2:7" ht="15" hidden="1" outlineLevel="2">
      <c r="B2687" s="2889" t="s">
        <v>1639</v>
      </c>
      <c r="C2687" s="2889" t="s">
        <v>1603</v>
      </c>
      <c r="D2687" s="2889" t="s">
        <v>1604</v>
      </c>
      <c r="E2687" s="2889" t="s">
        <v>217</v>
      </c>
      <c r="F2687" s="2890">
        <v>8.5993545433003732E-35</v>
      </c>
      <c r="G2687" s="2890">
        <v>1.0190821488480301E-31</v>
      </c>
    </row>
    <row r="2688" spans="2:7" ht="15" hidden="1" outlineLevel="2">
      <c r="B2688" s="2889" t="s">
        <v>1640</v>
      </c>
      <c r="C2688" s="2889" t="s">
        <v>1603</v>
      </c>
      <c r="D2688" s="2889" t="s">
        <v>1604</v>
      </c>
      <c r="E2688" s="2889" t="s">
        <v>217</v>
      </c>
      <c r="F2688" s="3039">
        <v>6.406622441749647E-37</v>
      </c>
      <c r="G2688" s="2890">
        <v>7.6822854802757556E-34</v>
      </c>
    </row>
    <row r="2689" spans="2:7" ht="15" hidden="1" outlineLevel="2">
      <c r="B2689" s="2889" t="s">
        <v>1641</v>
      </c>
      <c r="C2689" s="2889" t="s">
        <v>1603</v>
      </c>
      <c r="D2689" s="2889" t="s">
        <v>1604</v>
      </c>
      <c r="E2689" s="2889" t="s">
        <v>217</v>
      </c>
      <c r="F2689" s="3039">
        <v>7.5844068785508633E-3</v>
      </c>
      <c r="G2689" s="2890">
        <v>9.1310573255514811</v>
      </c>
    </row>
    <row r="2690" spans="2:7" ht="15" hidden="1" outlineLevel="2">
      <c r="B2690" s="2889" t="s">
        <v>1642</v>
      </c>
      <c r="C2690" s="2889" t="s">
        <v>1603</v>
      </c>
      <c r="D2690" s="2889" t="s">
        <v>1604</v>
      </c>
      <c r="E2690" s="2889" t="s">
        <v>217</v>
      </c>
      <c r="F2690" s="3039">
        <v>6.0675241775003143E-3</v>
      </c>
      <c r="G2690" s="2890">
        <v>7.3048477072746651</v>
      </c>
    </row>
    <row r="2691" spans="2:7" ht="15" hidden="1" outlineLevel="2">
      <c r="B2691" s="2889" t="s">
        <v>1643</v>
      </c>
      <c r="C2691" s="2889" t="s">
        <v>1603</v>
      </c>
      <c r="D2691" s="2889" t="s">
        <v>1604</v>
      </c>
      <c r="E2691" s="2889" t="s">
        <v>217</v>
      </c>
      <c r="F2691" s="3039">
        <v>2.2566889688663539E-2</v>
      </c>
      <c r="G2691" s="2890">
        <v>27.11119230094592</v>
      </c>
    </row>
    <row r="2692" spans="2:7" ht="15" hidden="1" outlineLevel="2">
      <c r="B2692" s="2889" t="s">
        <v>1644</v>
      </c>
      <c r="C2692" s="2889" t="s">
        <v>1603</v>
      </c>
      <c r="D2692" s="2889" t="s">
        <v>1604</v>
      </c>
      <c r="E2692" s="2889" t="s">
        <v>217</v>
      </c>
      <c r="F2692" s="3039">
        <v>1.1887021458895242E-33</v>
      </c>
      <c r="G2692" s="2890">
        <v>1.390752821155065E-30</v>
      </c>
    </row>
    <row r="2693" spans="2:7" ht="15" hidden="1" outlineLevel="2">
      <c r="B2693" s="2889" t="s">
        <v>1645</v>
      </c>
      <c r="C2693" s="2889" t="s">
        <v>1603</v>
      </c>
      <c r="D2693" s="2889" t="s">
        <v>1604</v>
      </c>
      <c r="E2693" s="2889" t="s">
        <v>217</v>
      </c>
      <c r="F2693" s="3039">
        <v>2.1844146577000001E-33</v>
      </c>
      <c r="G2693" s="2890">
        <v>2.6641730390000002E-30</v>
      </c>
    </row>
    <row r="2694" spans="2:7" ht="15" hidden="1" outlineLevel="2">
      <c r="B2694" s="2889" t="s">
        <v>1646</v>
      </c>
      <c r="C2694" s="2889" t="s">
        <v>1603</v>
      </c>
      <c r="D2694" s="2889" t="s">
        <v>1604</v>
      </c>
      <c r="E2694" s="2889" t="s">
        <v>217</v>
      </c>
      <c r="F2694" s="3039">
        <v>3.5159328099357565E-38</v>
      </c>
      <c r="G2694" s="2890">
        <v>4.2522794678666422E-35</v>
      </c>
    </row>
    <row r="2695" spans="2:7" ht="15" hidden="1" outlineLevel="2">
      <c r="B2695" s="2889" t="s">
        <v>1647</v>
      </c>
      <c r="C2695" s="2889" t="s">
        <v>1603</v>
      </c>
      <c r="D2695" s="2889" t="s">
        <v>1604</v>
      </c>
      <c r="E2695" s="2889" t="s">
        <v>217</v>
      </c>
      <c r="F2695" s="2890">
        <v>1.1308463101756586E-35</v>
      </c>
      <c r="G2695" s="2890">
        <v>1.3633235801716551E-32</v>
      </c>
    </row>
    <row r="2696" spans="2:7" ht="15" hidden="1" outlineLevel="2">
      <c r="B2696" s="2889" t="s">
        <v>1648</v>
      </c>
      <c r="C2696" s="2889" t="s">
        <v>1603</v>
      </c>
      <c r="D2696" s="2889" t="s">
        <v>1604</v>
      </c>
      <c r="E2696" s="2889" t="s">
        <v>217</v>
      </c>
      <c r="F2696" s="2890">
        <v>1.2846700037536762E-33</v>
      </c>
      <c r="G2696" s="2890">
        <v>1.5042958365886881E-30</v>
      </c>
    </row>
    <row r="2697" spans="2:7" ht="15" hidden="1" outlineLevel="2">
      <c r="B2697" s="2889" t="s">
        <v>1649</v>
      </c>
      <c r="C2697" s="2889" t="s">
        <v>1603</v>
      </c>
      <c r="D2697" s="2889" t="s">
        <v>1604</v>
      </c>
      <c r="E2697" s="2889" t="s">
        <v>217</v>
      </c>
      <c r="F2697" s="2890">
        <v>1.0379941144339633E-33</v>
      </c>
      <c r="G2697" s="2890">
        <v>1.3260307253321559E-30</v>
      </c>
    </row>
    <row r="2698" spans="2:7" ht="15" hidden="1" outlineLevel="2">
      <c r="B2698" s="2889" t="s">
        <v>1650</v>
      </c>
      <c r="C2698" s="2889" t="s">
        <v>1603</v>
      </c>
      <c r="D2698" s="2889" t="s">
        <v>1604</v>
      </c>
      <c r="E2698" s="2889" t="s">
        <v>217</v>
      </c>
      <c r="F2698" s="2890">
        <v>6.0932519104968698E-3</v>
      </c>
      <c r="G2698" s="2890">
        <v>7.3048477072746651</v>
      </c>
    </row>
    <row r="2699" spans="2:7" ht="15" hidden="1" outlineLevel="2">
      <c r="B2699" s="2889" t="s">
        <v>1651</v>
      </c>
      <c r="C2699" s="2889" t="s">
        <v>1603</v>
      </c>
      <c r="D2699" s="2889" t="s">
        <v>1604</v>
      </c>
      <c r="E2699" s="2889" t="s">
        <v>217</v>
      </c>
      <c r="F2699" s="2890">
        <v>7.598663754000002E-36</v>
      </c>
      <c r="G2699" s="2890">
        <v>8.85375392E-33</v>
      </c>
    </row>
    <row r="2700" spans="2:7" ht="15" hidden="1" outlineLevel="2">
      <c r="B2700" s="2889" t="s">
        <v>1652</v>
      </c>
      <c r="C2700" s="2889" t="s">
        <v>1603</v>
      </c>
      <c r="D2700" s="2889" t="s">
        <v>1604</v>
      </c>
      <c r="E2700" s="2889" t="s">
        <v>217</v>
      </c>
      <c r="F2700" s="2890">
        <v>1.7136401028999999E-35</v>
      </c>
      <c r="G2700" s="2890">
        <v>1.9967684263999999E-32</v>
      </c>
    </row>
    <row r="2701" spans="2:7" ht="15" hidden="1" outlineLevel="2">
      <c r="B2701" s="2889" t="s">
        <v>1653</v>
      </c>
      <c r="C2701" s="2889" t="s">
        <v>1603</v>
      </c>
      <c r="D2701" s="2889" t="s">
        <v>1604</v>
      </c>
      <c r="E2701" s="2889" t="s">
        <v>217</v>
      </c>
      <c r="F2701" s="2890">
        <v>1.6685691472936203E-2</v>
      </c>
      <c r="G2701" s="2890">
        <v>20.088329130503634</v>
      </c>
    </row>
    <row r="2702" spans="2:7" ht="15" hidden="1" outlineLevel="2">
      <c r="B2702" s="2889" t="s">
        <v>1407</v>
      </c>
      <c r="C2702" s="2889" t="s">
        <v>1607</v>
      </c>
      <c r="D2702" s="2889" t="s">
        <v>1608</v>
      </c>
      <c r="E2702" s="2889" t="s">
        <v>217</v>
      </c>
      <c r="F2702" s="2890">
        <v>0.80587668172606619</v>
      </c>
      <c r="G2702" s="2890">
        <v>662.21116533065538</v>
      </c>
    </row>
    <row r="2703" spans="2:7" ht="15" hidden="1" outlineLevel="2">
      <c r="B2703" s="2889" t="s">
        <v>1631</v>
      </c>
      <c r="C2703" s="2889" t="s">
        <v>1607</v>
      </c>
      <c r="D2703" s="2889" t="s">
        <v>1608</v>
      </c>
      <c r="E2703" s="2889" t="s">
        <v>217</v>
      </c>
      <c r="F2703" s="2890">
        <v>9.2437073020179188</v>
      </c>
      <c r="G2703" s="2890">
        <v>7585.3273372182566</v>
      </c>
    </row>
    <row r="2704" spans="2:7" ht="15" hidden="1" outlineLevel="2">
      <c r="B2704" s="2889" t="s">
        <v>1632</v>
      </c>
      <c r="C2704" s="2889" t="s">
        <v>1607</v>
      </c>
      <c r="D2704" s="2889" t="s">
        <v>1608</v>
      </c>
      <c r="E2704" s="2889" t="s">
        <v>217</v>
      </c>
      <c r="F2704" s="2890">
        <v>7.1076087153032175</v>
      </c>
      <c r="G2704" s="2890">
        <v>5839.4975347680975</v>
      </c>
    </row>
    <row r="2705" spans="2:7" ht="15" hidden="1" outlineLevel="2">
      <c r="B2705" s="2889" t="s">
        <v>1633</v>
      </c>
      <c r="C2705" s="2889" t="s">
        <v>1607</v>
      </c>
      <c r="D2705" s="2889" t="s">
        <v>1608</v>
      </c>
      <c r="E2705" s="2889" t="s">
        <v>217</v>
      </c>
      <c r="F2705" s="2890">
        <v>6.2283171292572517</v>
      </c>
      <c r="G2705" s="2890">
        <v>5117.0857672819175</v>
      </c>
    </row>
    <row r="2706" spans="2:7" ht="15" hidden="1" outlineLevel="2">
      <c r="B2706" s="2889" t="s">
        <v>1634</v>
      </c>
      <c r="C2706" s="2889" t="s">
        <v>1607</v>
      </c>
      <c r="D2706" s="2889" t="s">
        <v>1608</v>
      </c>
      <c r="E2706" s="2889" t="s">
        <v>217</v>
      </c>
      <c r="F2706" s="2890">
        <v>1.0989225367991728</v>
      </c>
      <c r="G2706" s="2890">
        <v>903.01526456314411</v>
      </c>
    </row>
    <row r="2707" spans="2:7" ht="15" hidden="1" outlineLevel="2">
      <c r="B2707" s="2889" t="s">
        <v>1635</v>
      </c>
      <c r="C2707" s="2889" t="s">
        <v>1607</v>
      </c>
      <c r="D2707" s="2889" t="s">
        <v>1608</v>
      </c>
      <c r="E2707" s="2889" t="s">
        <v>217</v>
      </c>
      <c r="F2707" s="2890">
        <v>0.58619466546712795</v>
      </c>
      <c r="G2707" s="2890">
        <v>481.60821273105205</v>
      </c>
    </row>
    <row r="2708" spans="2:7" ht="15" hidden="1" outlineLevel="2">
      <c r="B2708" s="2889" t="s">
        <v>1636</v>
      </c>
      <c r="C2708" s="2889" t="s">
        <v>1607</v>
      </c>
      <c r="D2708" s="2889" t="s">
        <v>1608</v>
      </c>
      <c r="E2708" s="2889" t="s">
        <v>217</v>
      </c>
      <c r="F2708" s="2890">
        <v>7.0343344674886792</v>
      </c>
      <c r="G2708" s="2890">
        <v>5779.2967433866179</v>
      </c>
    </row>
    <row r="2709" spans="2:7" ht="15" hidden="1" outlineLevel="2">
      <c r="B2709" s="2889" t="s">
        <v>1637</v>
      </c>
      <c r="C2709" s="2889" t="s">
        <v>1607</v>
      </c>
      <c r="D2709" s="2889" t="s">
        <v>1608</v>
      </c>
      <c r="E2709" s="2889" t="s">
        <v>217</v>
      </c>
      <c r="F2709" s="2890">
        <v>7.3274306966454112</v>
      </c>
      <c r="G2709" s="2890">
        <v>6020.1000629458349</v>
      </c>
    </row>
    <row r="2710" spans="2:7" ht="15" hidden="1" outlineLevel="2">
      <c r="B2710" s="2889" t="s">
        <v>1638</v>
      </c>
      <c r="C2710" s="2889" t="s">
        <v>1607</v>
      </c>
      <c r="D2710" s="2889" t="s">
        <v>1608</v>
      </c>
      <c r="E2710" s="2889" t="s">
        <v>217</v>
      </c>
      <c r="F2710" s="2890">
        <v>23.004115641085797</v>
      </c>
      <c r="G2710" s="2890">
        <v>18903.113341444572</v>
      </c>
    </row>
    <row r="2711" spans="2:7" ht="15" hidden="1" outlineLevel="2">
      <c r="B2711" s="2889" t="s">
        <v>1639</v>
      </c>
      <c r="C2711" s="2889" t="s">
        <v>1607</v>
      </c>
      <c r="D2711" s="2889" t="s">
        <v>1608</v>
      </c>
      <c r="E2711" s="2889" t="s">
        <v>217</v>
      </c>
      <c r="F2711" s="2890">
        <v>0.87929188289685734</v>
      </c>
      <c r="G2711" s="2890">
        <v>722.41218389483186</v>
      </c>
    </row>
    <row r="2712" spans="2:7" ht="15" hidden="1" outlineLevel="2">
      <c r="B2712" s="2889" t="s">
        <v>1640</v>
      </c>
      <c r="C2712" s="2889" t="s">
        <v>1607</v>
      </c>
      <c r="D2712" s="2889" t="s">
        <v>1608</v>
      </c>
      <c r="E2712" s="2889" t="s">
        <v>217</v>
      </c>
      <c r="F2712" s="2890">
        <v>1.5384917242285603</v>
      </c>
      <c r="G2712" s="2890">
        <v>1264.221425508676</v>
      </c>
    </row>
    <row r="2713" spans="2:7" ht="15" hidden="1" outlineLevel="2">
      <c r="B2713" s="2889" t="s">
        <v>1641</v>
      </c>
      <c r="C2713" s="2889" t="s">
        <v>1607</v>
      </c>
      <c r="D2713" s="2889" t="s">
        <v>1608</v>
      </c>
      <c r="E2713" s="2889" t="s">
        <v>217</v>
      </c>
      <c r="F2713" s="2890">
        <v>5.4222999331956645</v>
      </c>
      <c r="G2713" s="2890">
        <v>4454.8750399629271</v>
      </c>
    </row>
    <row r="2714" spans="2:7" ht="15" hidden="1" outlineLevel="2">
      <c r="B2714" s="2889" t="s">
        <v>1642</v>
      </c>
      <c r="C2714" s="2889" t="s">
        <v>1607</v>
      </c>
      <c r="D2714" s="2889" t="s">
        <v>1608</v>
      </c>
      <c r="E2714" s="2889" t="s">
        <v>217</v>
      </c>
      <c r="F2714" s="2890">
        <v>0.29309728493696025</v>
      </c>
      <c r="G2714" s="2890">
        <v>240.80410474911892</v>
      </c>
    </row>
    <row r="2715" spans="2:7" ht="15" hidden="1" outlineLevel="2">
      <c r="B2715" s="2889" t="s">
        <v>1643</v>
      </c>
      <c r="C2715" s="2889" t="s">
        <v>1607</v>
      </c>
      <c r="D2715" s="2889" t="s">
        <v>1608</v>
      </c>
      <c r="E2715" s="2889" t="s">
        <v>217</v>
      </c>
      <c r="F2715" s="2890">
        <v>10.840889353403078</v>
      </c>
      <c r="G2715" s="2890">
        <v>8906.9758584332849</v>
      </c>
    </row>
    <row r="2716" spans="2:7" ht="15" hidden="1" outlineLevel="2">
      <c r="B2716" s="2889" t="s">
        <v>1644</v>
      </c>
      <c r="C2716" s="2889" t="s">
        <v>1607</v>
      </c>
      <c r="D2716" s="2889" t="s">
        <v>1608</v>
      </c>
      <c r="E2716" s="2889" t="s">
        <v>217</v>
      </c>
      <c r="F2716" s="2890">
        <v>2.1982293795386298</v>
      </c>
      <c r="G2716" s="2890">
        <v>1806.0306274049431</v>
      </c>
    </row>
    <row r="2717" spans="2:7" ht="15" hidden="1" outlineLevel="2">
      <c r="B2717" s="2889" t="s">
        <v>1645</v>
      </c>
      <c r="C2717" s="2889" t="s">
        <v>1607</v>
      </c>
      <c r="D2717" s="2889" t="s">
        <v>1608</v>
      </c>
      <c r="E2717" s="2889" t="s">
        <v>217</v>
      </c>
      <c r="F2717" s="2890">
        <v>2.4913268220116276</v>
      </c>
      <c r="G2717" s="2890">
        <v>2046.8345687168089</v>
      </c>
    </row>
    <row r="2718" spans="2:7" ht="15" hidden="1" outlineLevel="2">
      <c r="B2718" s="2889" t="s">
        <v>1646</v>
      </c>
      <c r="C2718" s="2889" t="s">
        <v>1607</v>
      </c>
      <c r="D2718" s="2889" t="s">
        <v>1608</v>
      </c>
      <c r="E2718" s="2889" t="s">
        <v>217</v>
      </c>
      <c r="F2718" s="2890">
        <v>6.8877848610785088</v>
      </c>
      <c r="G2718" s="2890">
        <v>5658.8955671568156</v>
      </c>
    </row>
    <row r="2719" spans="2:7" ht="15" hidden="1" outlineLevel="2">
      <c r="B2719" s="2889" t="s">
        <v>1647</v>
      </c>
      <c r="C2719" s="2889" t="s">
        <v>1607</v>
      </c>
      <c r="D2719" s="2889" t="s">
        <v>1608</v>
      </c>
      <c r="E2719" s="2889" t="s">
        <v>217</v>
      </c>
      <c r="F2719" s="2890">
        <v>14.579042235892407</v>
      </c>
      <c r="G2719" s="2890">
        <v>11980.001689264287</v>
      </c>
    </row>
    <row r="2720" spans="2:7" ht="15" hidden="1" outlineLevel="2">
      <c r="B2720" s="2889" t="s">
        <v>1648</v>
      </c>
      <c r="C2720" s="2889" t="s">
        <v>1607</v>
      </c>
      <c r="D2720" s="2889" t="s">
        <v>1608</v>
      </c>
      <c r="E2720" s="2889" t="s">
        <v>217</v>
      </c>
      <c r="F2720" s="2890">
        <v>11.795102989506848</v>
      </c>
      <c r="G2720" s="2890">
        <v>9692.3628318309929</v>
      </c>
    </row>
    <row r="2721" spans="2:7" ht="15" hidden="1" outlineLevel="2">
      <c r="B2721" s="2889" t="s">
        <v>1649</v>
      </c>
      <c r="C2721" s="2889" t="s">
        <v>1607</v>
      </c>
      <c r="D2721" s="2889" t="s">
        <v>1608</v>
      </c>
      <c r="E2721" s="2889" t="s">
        <v>217</v>
      </c>
      <c r="F2721" s="2890">
        <v>13.333593116487345</v>
      </c>
      <c r="G2721" s="2890">
        <v>10956.584922687398</v>
      </c>
    </row>
    <row r="2722" spans="2:7" ht="15" hidden="1" outlineLevel="2">
      <c r="B2722" s="2889" t="s">
        <v>1650</v>
      </c>
      <c r="C2722" s="2889" t="s">
        <v>1607</v>
      </c>
      <c r="D2722" s="2889" t="s">
        <v>1608</v>
      </c>
      <c r="E2722" s="2889" t="s">
        <v>217</v>
      </c>
      <c r="F2722" s="2890">
        <v>1.7582760929188515</v>
      </c>
      <c r="G2722" s="2890">
        <v>1444.8244916845877</v>
      </c>
    </row>
    <row r="2723" spans="2:7" ht="15" hidden="1" outlineLevel="2">
      <c r="B2723" s="2889" t="s">
        <v>1651</v>
      </c>
      <c r="C2723" s="2889" t="s">
        <v>1607</v>
      </c>
      <c r="D2723" s="2889" t="s">
        <v>1608</v>
      </c>
      <c r="E2723" s="2889" t="s">
        <v>217</v>
      </c>
      <c r="F2723" s="2890">
        <v>3.2235064731661458</v>
      </c>
      <c r="G2723" s="2890">
        <v>2648.8446339886632</v>
      </c>
    </row>
    <row r="2724" spans="2:7" ht="15" hidden="1" outlineLevel="2">
      <c r="B2724" s="2889" t="s">
        <v>1652</v>
      </c>
      <c r="C2724" s="2889" t="s">
        <v>1607</v>
      </c>
      <c r="D2724" s="2889" t="s">
        <v>1608</v>
      </c>
      <c r="E2724" s="2889" t="s">
        <v>217</v>
      </c>
      <c r="F2724" s="2890">
        <v>23.736735306350074</v>
      </c>
      <c r="G2724" s="2890">
        <v>19505.127604044599</v>
      </c>
    </row>
    <row r="2725" spans="2:7" ht="15" hidden="1" outlineLevel="2">
      <c r="B2725" s="2889" t="s">
        <v>1653</v>
      </c>
      <c r="C2725" s="2889" t="s">
        <v>1607</v>
      </c>
      <c r="D2725" s="2889" t="s">
        <v>1608</v>
      </c>
      <c r="E2725" s="2889" t="s">
        <v>217</v>
      </c>
      <c r="F2725" s="2890">
        <v>2.271504020724989</v>
      </c>
      <c r="G2725" s="2890">
        <v>1866.2316841987492</v>
      </c>
    </row>
    <row r="2726" spans="2:7" ht="15" hidden="1" outlineLevel="2">
      <c r="B2726" s="2889" t="s">
        <v>1407</v>
      </c>
      <c r="C2726" s="2889" t="s">
        <v>1609</v>
      </c>
      <c r="D2726" s="2889" t="s">
        <v>1608</v>
      </c>
      <c r="E2726" s="2889" t="s">
        <v>217</v>
      </c>
      <c r="F2726" s="2890">
        <v>0.3509163969734993</v>
      </c>
      <c r="G2726" s="2890">
        <v>279.45138027706378</v>
      </c>
    </row>
    <row r="2727" spans="2:7" ht="15" hidden="1" outlineLevel="2">
      <c r="B2727" s="2889" t="s">
        <v>1631</v>
      </c>
      <c r="C2727" s="2889" t="s">
        <v>1609</v>
      </c>
      <c r="D2727" s="2889" t="s">
        <v>1608</v>
      </c>
      <c r="E2727" s="2889" t="s">
        <v>217</v>
      </c>
      <c r="F2727" s="3039">
        <v>4.0251407272833433</v>
      </c>
      <c r="G2727" s="2890">
        <v>3200.9890977144969</v>
      </c>
    </row>
    <row r="2728" spans="2:7" ht="15" hidden="1" outlineLevel="2">
      <c r="B2728" s="2889" t="s">
        <v>1632</v>
      </c>
      <c r="C2728" s="2889" t="s">
        <v>1609</v>
      </c>
      <c r="D2728" s="2889" t="s">
        <v>1608</v>
      </c>
      <c r="E2728" s="2889" t="s">
        <v>217</v>
      </c>
      <c r="F2728" s="3039">
        <v>3.0949859989511554</v>
      </c>
      <c r="G2728" s="2890">
        <v>2464.2524142530174</v>
      </c>
    </row>
    <row r="2729" spans="2:7" ht="15" hidden="1" outlineLevel="2">
      <c r="B2729" s="2889" t="s">
        <v>1633</v>
      </c>
      <c r="C2729" s="2889" t="s">
        <v>1609</v>
      </c>
      <c r="D2729" s="2889" t="s">
        <v>1608</v>
      </c>
      <c r="E2729" s="2889" t="s">
        <v>217</v>
      </c>
      <c r="F2729" s="3039">
        <v>2.7121005455023885</v>
      </c>
      <c r="G2729" s="2890">
        <v>2159.3961232926822</v>
      </c>
    </row>
    <row r="2730" spans="2:7" ht="15" hidden="1" outlineLevel="2">
      <c r="B2730" s="2889" t="s">
        <v>1634</v>
      </c>
      <c r="C2730" s="2889" t="s">
        <v>1609</v>
      </c>
      <c r="D2730" s="2889" t="s">
        <v>1608</v>
      </c>
      <c r="E2730" s="2889" t="s">
        <v>217</v>
      </c>
      <c r="F2730" s="3039">
        <v>0.4785223989994386</v>
      </c>
      <c r="G2730" s="2890">
        <v>381.06987319204728</v>
      </c>
    </row>
    <row r="2731" spans="2:7" ht="15" hidden="1" outlineLevel="2">
      <c r="B2731" s="2889" t="s">
        <v>1635</v>
      </c>
      <c r="C2731" s="2889" t="s">
        <v>1609</v>
      </c>
      <c r="D2731" s="2889" t="s">
        <v>1608</v>
      </c>
      <c r="E2731" s="2889" t="s">
        <v>217</v>
      </c>
      <c r="F2731" s="3039">
        <v>0.25525656317273515</v>
      </c>
      <c r="G2731" s="2890">
        <v>203.23733091254712</v>
      </c>
    </row>
    <row r="2732" spans="2:7" ht="15" hidden="1" outlineLevel="2">
      <c r="B2732" s="2889" t="s">
        <v>1636</v>
      </c>
      <c r="C2732" s="2889" t="s">
        <v>1609</v>
      </c>
      <c r="D2732" s="2889" t="s">
        <v>1608</v>
      </c>
      <c r="E2732" s="2889" t="s">
        <v>217</v>
      </c>
      <c r="F2732" s="3039">
        <v>3.0630789223590771</v>
      </c>
      <c r="G2732" s="2890">
        <v>2438.8475198854912</v>
      </c>
    </row>
    <row r="2733" spans="2:7" ht="15" hidden="1" outlineLevel="2">
      <c r="B2733" s="2889" t="s">
        <v>1637</v>
      </c>
      <c r="C2733" s="2889" t="s">
        <v>1609</v>
      </c>
      <c r="D2733" s="2889" t="s">
        <v>1608</v>
      </c>
      <c r="E2733" s="2889" t="s">
        <v>217</v>
      </c>
      <c r="F2733" s="3039">
        <v>3.1907073927139171</v>
      </c>
      <c r="G2733" s="2890">
        <v>2540.4676175299824</v>
      </c>
    </row>
    <row r="2734" spans="2:7" ht="15" hidden="1" outlineLevel="2">
      <c r="B2734" s="2889" t="s">
        <v>1638</v>
      </c>
      <c r="C2734" s="2889" t="s">
        <v>1609</v>
      </c>
      <c r="D2734" s="2889" t="s">
        <v>1608</v>
      </c>
      <c r="E2734" s="2889" t="s">
        <v>217</v>
      </c>
      <c r="F2734" s="2890">
        <v>10.017068120120912</v>
      </c>
      <c r="G2734" s="2890">
        <v>7977.066758033774</v>
      </c>
    </row>
    <row r="2735" spans="2:7" ht="15" hidden="1" outlineLevel="2">
      <c r="B2735" s="2889" t="s">
        <v>1639</v>
      </c>
      <c r="C2735" s="2889" t="s">
        <v>1609</v>
      </c>
      <c r="D2735" s="2889" t="s">
        <v>1608</v>
      </c>
      <c r="E2735" s="2889" t="s">
        <v>217</v>
      </c>
      <c r="F2735" s="2890">
        <v>0.38288492219890946</v>
      </c>
      <c r="G2735" s="2890">
        <v>304.85604972604676</v>
      </c>
    </row>
    <row r="2736" spans="2:7" ht="15" hidden="1" outlineLevel="2">
      <c r="B2736" s="2889" t="s">
        <v>1640</v>
      </c>
      <c r="C2736" s="2889" t="s">
        <v>1609</v>
      </c>
      <c r="D2736" s="2889" t="s">
        <v>1608</v>
      </c>
      <c r="E2736" s="2889" t="s">
        <v>217</v>
      </c>
      <c r="F2736" s="2890">
        <v>0.66993133104476443</v>
      </c>
      <c r="G2736" s="2890">
        <v>533.49793345347916</v>
      </c>
    </row>
    <row r="2737" spans="2:7" ht="15" hidden="1" outlineLevel="2">
      <c r="B2737" s="2889" t="s">
        <v>1641</v>
      </c>
      <c r="C2737" s="2889" t="s">
        <v>1609</v>
      </c>
      <c r="D2737" s="2889" t="s">
        <v>1608</v>
      </c>
      <c r="E2737" s="2889" t="s">
        <v>217</v>
      </c>
      <c r="F2737" s="3039">
        <v>2.3611231345648216</v>
      </c>
      <c r="G2737" s="2890">
        <v>1879.9455050463882</v>
      </c>
    </row>
    <row r="2738" spans="2:7" ht="15" hidden="1" outlineLevel="2">
      <c r="B2738" s="2889" t="s">
        <v>1642</v>
      </c>
      <c r="C2738" s="2889" t="s">
        <v>1609</v>
      </c>
      <c r="D2738" s="2889" t="s">
        <v>1608</v>
      </c>
      <c r="E2738" s="2889" t="s">
        <v>217</v>
      </c>
      <c r="F2738" s="2890">
        <v>0.12762822120313036</v>
      </c>
      <c r="G2738" s="2890">
        <v>101.61869835598395</v>
      </c>
    </row>
    <row r="2739" spans="2:7" ht="15" hidden="1" outlineLevel="2">
      <c r="B2739" s="2889" t="s">
        <v>1643</v>
      </c>
      <c r="C2739" s="2889" t="s">
        <v>1609</v>
      </c>
      <c r="D2739" s="2889" t="s">
        <v>1608</v>
      </c>
      <c r="E2739" s="2889" t="s">
        <v>217</v>
      </c>
      <c r="F2739" s="2890">
        <v>4.7206308137515229</v>
      </c>
      <c r="G2739" s="2890">
        <v>3758.7205178569257</v>
      </c>
    </row>
    <row r="2740" spans="2:7" ht="15" hidden="1" outlineLevel="2">
      <c r="B2740" s="2889" t="s">
        <v>1644</v>
      </c>
      <c r="C2740" s="2889" t="s">
        <v>1609</v>
      </c>
      <c r="D2740" s="2889" t="s">
        <v>1608</v>
      </c>
      <c r="E2740" s="2889" t="s">
        <v>217</v>
      </c>
      <c r="F2740" s="3039">
        <v>0.95721208843369088</v>
      </c>
      <c r="G2740" s="2890">
        <v>762.14015301691666</v>
      </c>
    </row>
    <row r="2741" spans="2:7" ht="15" hidden="1" outlineLevel="2">
      <c r="B2741" s="2889" t="s">
        <v>1645</v>
      </c>
      <c r="C2741" s="2889" t="s">
        <v>1609</v>
      </c>
      <c r="D2741" s="2889" t="s">
        <v>1608</v>
      </c>
      <c r="E2741" s="2889" t="s">
        <v>217</v>
      </c>
      <c r="F2741" s="2890">
        <v>1.0848401219767652</v>
      </c>
      <c r="G2741" s="2890">
        <v>863.75867379838689</v>
      </c>
    </row>
    <row r="2742" spans="2:7" ht="15" hidden="1" outlineLevel="2">
      <c r="B2742" s="2889" t="s">
        <v>1646</v>
      </c>
      <c r="C2742" s="2889" t="s">
        <v>1609</v>
      </c>
      <c r="D2742" s="2889" t="s">
        <v>1608</v>
      </c>
      <c r="E2742" s="2889" t="s">
        <v>217</v>
      </c>
      <c r="F2742" s="2890">
        <v>2.9992643496934219</v>
      </c>
      <c r="G2742" s="2890">
        <v>2388.0395303941291</v>
      </c>
    </row>
    <row r="2743" spans="2:7" ht="15" hidden="1" outlineLevel="2">
      <c r="B2743" s="2889" t="s">
        <v>1647</v>
      </c>
      <c r="C2743" s="2889" t="s">
        <v>1609</v>
      </c>
      <c r="D2743" s="2889" t="s">
        <v>1608</v>
      </c>
      <c r="E2743" s="2889" t="s">
        <v>217</v>
      </c>
      <c r="F2743" s="2890">
        <v>6.3483957103297444</v>
      </c>
      <c r="G2743" s="2890">
        <v>5055.5280300105369</v>
      </c>
    </row>
    <row r="2744" spans="2:7" ht="15" hidden="1" outlineLevel="2">
      <c r="B2744" s="2889" t="s">
        <v>1648</v>
      </c>
      <c r="C2744" s="2889" t="s">
        <v>1609</v>
      </c>
      <c r="D2744" s="2889" t="s">
        <v>1608</v>
      </c>
      <c r="E2744" s="2889" t="s">
        <v>217</v>
      </c>
      <c r="F2744" s="3039">
        <v>5.1361397253253971</v>
      </c>
      <c r="G2744" s="2890">
        <v>4090.1511692792328</v>
      </c>
    </row>
    <row r="2745" spans="2:7" ht="15" hidden="1" outlineLevel="2">
      <c r="B2745" s="2889" t="s">
        <v>1649</v>
      </c>
      <c r="C2745" s="2889" t="s">
        <v>1609</v>
      </c>
      <c r="D2745" s="2889" t="s">
        <v>1608</v>
      </c>
      <c r="E2745" s="2889" t="s">
        <v>217</v>
      </c>
      <c r="F2745" s="3039">
        <v>5.8060704263270972</v>
      </c>
      <c r="G2745" s="2890">
        <v>4623.6503748659443</v>
      </c>
    </row>
    <row r="2746" spans="2:7" ht="15" hidden="1" outlineLevel="2">
      <c r="B2746" s="2889" t="s">
        <v>1650</v>
      </c>
      <c r="C2746" s="2889" t="s">
        <v>1609</v>
      </c>
      <c r="D2746" s="2889" t="s">
        <v>1608</v>
      </c>
      <c r="E2746" s="2889" t="s">
        <v>217</v>
      </c>
      <c r="F2746" s="3039">
        <v>0.76563549214764848</v>
      </c>
      <c r="G2746" s="2890">
        <v>609.71196406233901</v>
      </c>
    </row>
    <row r="2747" spans="2:7" ht="15" hidden="1" outlineLevel="2">
      <c r="B2747" s="2889" t="s">
        <v>1651</v>
      </c>
      <c r="C2747" s="2889" t="s">
        <v>1609</v>
      </c>
      <c r="D2747" s="2889" t="s">
        <v>1608</v>
      </c>
      <c r="E2747" s="2889" t="s">
        <v>217</v>
      </c>
      <c r="F2747" s="2890">
        <v>1.403665457647967</v>
      </c>
      <c r="G2747" s="2890">
        <v>1117.8052808221689</v>
      </c>
    </row>
    <row r="2748" spans="2:7" ht="15" hidden="1" outlineLevel="2">
      <c r="B2748" s="2889" t="s">
        <v>1652</v>
      </c>
      <c r="C2748" s="2889" t="s">
        <v>1609</v>
      </c>
      <c r="D2748" s="2889" t="s">
        <v>1608</v>
      </c>
      <c r="E2748" s="2889" t="s">
        <v>217</v>
      </c>
      <c r="F2748" s="2890">
        <v>10.336082574179949</v>
      </c>
      <c r="G2748" s="2890">
        <v>8231.1171777936634</v>
      </c>
    </row>
    <row r="2749" spans="2:7" ht="15" hidden="1" outlineLevel="2">
      <c r="B2749" s="2889" t="s">
        <v>1653</v>
      </c>
      <c r="C2749" s="2889" t="s">
        <v>1609</v>
      </c>
      <c r="D2749" s="2889" t="s">
        <v>1608</v>
      </c>
      <c r="E2749" s="2889" t="s">
        <v>217</v>
      </c>
      <c r="F2749" s="2890">
        <v>0.98911918285216072</v>
      </c>
      <c r="G2749" s="2890">
        <v>787.54455160586838</v>
      </c>
    </row>
    <row r="2750" spans="2:7" ht="15" hidden="1" outlineLevel="2">
      <c r="B2750" s="2889" t="s">
        <v>1407</v>
      </c>
      <c r="C2750" s="2889" t="s">
        <v>1610</v>
      </c>
      <c r="D2750" s="2889" t="s">
        <v>1608</v>
      </c>
      <c r="E2750" s="2889" t="s">
        <v>217</v>
      </c>
      <c r="F2750" s="2890">
        <v>0.13415825553750715</v>
      </c>
      <c r="G2750" s="2890">
        <v>208.58859402845923</v>
      </c>
    </row>
    <row r="2751" spans="2:7" ht="15" hidden="1" outlineLevel="2">
      <c r="B2751" s="2889" t="s">
        <v>1631</v>
      </c>
      <c r="C2751" s="2889" t="s">
        <v>1610</v>
      </c>
      <c r="D2751" s="2889" t="s">
        <v>1608</v>
      </c>
      <c r="E2751" s="2889" t="s">
        <v>217</v>
      </c>
      <c r="F2751" s="2890">
        <v>3.9833981758278356</v>
      </c>
      <c r="G2751" s="2890">
        <v>6124.9216596624119</v>
      </c>
    </row>
    <row r="2752" spans="2:7" ht="15" hidden="1" outlineLevel="2">
      <c r="B2752" s="2889" t="s">
        <v>1632</v>
      </c>
      <c r="C2752" s="2889" t="s">
        <v>1610</v>
      </c>
      <c r="D2752" s="2889" t="s">
        <v>1608</v>
      </c>
      <c r="E2752" s="2889" t="s">
        <v>217</v>
      </c>
      <c r="F2752" s="2890">
        <v>2.2571553120952896</v>
      </c>
      <c r="G2752" s="2890">
        <v>3508.0833305223769</v>
      </c>
    </row>
    <row r="2753" spans="2:7" ht="15" hidden="1" outlineLevel="2">
      <c r="B2753" s="2889" t="s">
        <v>1633</v>
      </c>
      <c r="C2753" s="2889" t="s">
        <v>1610</v>
      </c>
      <c r="D2753" s="2889" t="s">
        <v>1608</v>
      </c>
      <c r="E2753" s="2889" t="s">
        <v>217</v>
      </c>
      <c r="F2753" s="2890">
        <v>2.7544996421134371</v>
      </c>
      <c r="G2753" s="2890">
        <v>4285.5479385561366</v>
      </c>
    </row>
    <row r="2754" spans="2:7" ht="15" hidden="1" outlineLevel="2">
      <c r="B2754" s="2889" t="s">
        <v>1634</v>
      </c>
      <c r="C2754" s="2889" t="s">
        <v>1610</v>
      </c>
      <c r="D2754" s="2889" t="s">
        <v>1608</v>
      </c>
      <c r="E2754" s="2889" t="s">
        <v>217</v>
      </c>
      <c r="F2754" s="2890">
        <v>0.18233972419148145</v>
      </c>
      <c r="G2754" s="2890">
        <v>284.43911204410654</v>
      </c>
    </row>
    <row r="2755" spans="2:7" ht="15" hidden="1" outlineLevel="2">
      <c r="B2755" s="2889" t="s">
        <v>1635</v>
      </c>
      <c r="C2755" s="2889" t="s">
        <v>1610</v>
      </c>
      <c r="D2755" s="2889" t="s">
        <v>1608</v>
      </c>
      <c r="E2755" s="2889" t="s">
        <v>217</v>
      </c>
      <c r="F2755" s="2890">
        <v>9.7606730679074077E-2</v>
      </c>
      <c r="G2755" s="2890">
        <v>151.70079478872543</v>
      </c>
    </row>
    <row r="2756" spans="2:7" ht="15" hidden="1" outlineLevel="2">
      <c r="B2756" s="2889" t="s">
        <v>1636</v>
      </c>
      <c r="C2756" s="2889" t="s">
        <v>1610</v>
      </c>
      <c r="D2756" s="2889" t="s">
        <v>1608</v>
      </c>
      <c r="E2756" s="2889" t="s">
        <v>217</v>
      </c>
      <c r="F2756" s="2890">
        <v>2.1231589967119904</v>
      </c>
      <c r="G2756" s="2890">
        <v>3299.493271157954</v>
      </c>
    </row>
    <row r="2757" spans="2:7" ht="15" hidden="1" outlineLevel="2">
      <c r="B2757" s="2889" t="s">
        <v>1637</v>
      </c>
      <c r="C2757" s="2889" t="s">
        <v>1610</v>
      </c>
      <c r="D2757" s="2889" t="s">
        <v>1608</v>
      </c>
      <c r="E2757" s="2889" t="s">
        <v>217</v>
      </c>
      <c r="F2757" s="2890">
        <v>3.6442280134271723</v>
      </c>
      <c r="G2757" s="2890">
        <v>5669.8183289864992</v>
      </c>
    </row>
    <row r="2758" spans="2:7" ht="15" hidden="1" outlineLevel="2">
      <c r="B2758" s="2889" t="s">
        <v>1638</v>
      </c>
      <c r="C2758" s="2889" t="s">
        <v>1610</v>
      </c>
      <c r="D2758" s="2889" t="s">
        <v>1608</v>
      </c>
      <c r="E2758" s="2889" t="s">
        <v>217</v>
      </c>
      <c r="F2758" s="3039">
        <v>9.3601044426790345</v>
      </c>
      <c r="G2758" s="2890">
        <v>14601.202317451567</v>
      </c>
    </row>
    <row r="2759" spans="2:7" ht="15" hidden="1" outlineLevel="2">
      <c r="B2759" s="2889" t="s">
        <v>1639</v>
      </c>
      <c r="C2759" s="2889" t="s">
        <v>1610</v>
      </c>
      <c r="D2759" s="2889" t="s">
        <v>1608</v>
      </c>
      <c r="E2759" s="2889" t="s">
        <v>217</v>
      </c>
      <c r="F2759" s="3039">
        <v>0.14625669141683662</v>
      </c>
      <c r="G2759" s="2890">
        <v>227.55128585916324</v>
      </c>
    </row>
    <row r="2760" spans="2:7" ht="15" hidden="1" outlineLevel="2">
      <c r="B2760" s="2889" t="s">
        <v>1640</v>
      </c>
      <c r="C2760" s="2889" t="s">
        <v>1610</v>
      </c>
      <c r="D2760" s="2889" t="s">
        <v>1608</v>
      </c>
      <c r="E2760" s="2889" t="s">
        <v>217</v>
      </c>
      <c r="F2760" s="2890">
        <v>0.25612021791110795</v>
      </c>
      <c r="G2760" s="2890">
        <v>398.21466700189478</v>
      </c>
    </row>
    <row r="2761" spans="2:7" ht="15" hidden="1" outlineLevel="2">
      <c r="B2761" s="2889" t="s">
        <v>1641</v>
      </c>
      <c r="C2761" s="2889" t="s">
        <v>1610</v>
      </c>
      <c r="D2761" s="2889" t="s">
        <v>1608</v>
      </c>
      <c r="E2761" s="2889" t="s">
        <v>217</v>
      </c>
      <c r="F2761" s="2890">
        <v>2.0375406560530274</v>
      </c>
      <c r="G2761" s="2890">
        <v>3166.7553217182731</v>
      </c>
    </row>
    <row r="2762" spans="2:7" ht="15" hidden="1" outlineLevel="2">
      <c r="B2762" s="2889" t="s">
        <v>1642</v>
      </c>
      <c r="C2762" s="2889" t="s">
        <v>1610</v>
      </c>
      <c r="D2762" s="2889" t="s">
        <v>1608</v>
      </c>
      <c r="E2762" s="2889" t="s">
        <v>217</v>
      </c>
      <c r="F2762" s="2890">
        <v>4.8803357747145955E-2</v>
      </c>
      <c r="G2762" s="2890">
        <v>75.850442801661288</v>
      </c>
    </row>
    <row r="2763" spans="2:7" ht="15" hidden="1" outlineLevel="2">
      <c r="B2763" s="2889" t="s">
        <v>1643</v>
      </c>
      <c r="C2763" s="2889" t="s">
        <v>1610</v>
      </c>
      <c r="D2763" s="2889" t="s">
        <v>1608</v>
      </c>
      <c r="E2763" s="2889" t="s">
        <v>217</v>
      </c>
      <c r="F2763" s="2890">
        <v>5.0930171915541598</v>
      </c>
      <c r="G2763" s="2890">
        <v>7903.5576067553338</v>
      </c>
    </row>
    <row r="2764" spans="2:7" ht="15" hidden="1" outlineLevel="2">
      <c r="B2764" s="2889" t="s">
        <v>1644</v>
      </c>
      <c r="C2764" s="2889" t="s">
        <v>1610</v>
      </c>
      <c r="D2764" s="2889" t="s">
        <v>1608</v>
      </c>
      <c r="E2764" s="2889" t="s">
        <v>217</v>
      </c>
      <c r="F2764" s="2890">
        <v>0.36564167633053946</v>
      </c>
      <c r="G2764" s="2890">
        <v>568.87827791595441</v>
      </c>
    </row>
    <row r="2765" spans="2:7" ht="15" hidden="1" outlineLevel="2">
      <c r="B2765" s="2889" t="s">
        <v>1645</v>
      </c>
      <c r="C2765" s="2889" t="s">
        <v>1610</v>
      </c>
      <c r="D2765" s="2889" t="s">
        <v>1608</v>
      </c>
      <c r="E2765" s="2889" t="s">
        <v>217</v>
      </c>
      <c r="F2765" s="2890">
        <v>0.41439380982024698</v>
      </c>
      <c r="G2765" s="2890">
        <v>644.72865848592994</v>
      </c>
    </row>
    <row r="2766" spans="2:7" ht="15" hidden="1" outlineLevel="2">
      <c r="B2766" s="2889" t="s">
        <v>1646</v>
      </c>
      <c r="C2766" s="2889" t="s">
        <v>1610</v>
      </c>
      <c r="D2766" s="2889" t="s">
        <v>1608</v>
      </c>
      <c r="E2766" s="2889" t="s">
        <v>217</v>
      </c>
      <c r="F2766" s="2890">
        <v>3.0624103999620766</v>
      </c>
      <c r="G2766" s="2890">
        <v>4759.6141277090555</v>
      </c>
    </row>
    <row r="2767" spans="2:7" ht="15" hidden="1" outlineLevel="2">
      <c r="B2767" s="2889" t="s">
        <v>1647</v>
      </c>
      <c r="C2767" s="2889" t="s">
        <v>1610</v>
      </c>
      <c r="D2767" s="2889" t="s">
        <v>1608</v>
      </c>
      <c r="E2767" s="2889" t="s">
        <v>217</v>
      </c>
      <c r="F2767" s="2890">
        <v>7.9378572573603519</v>
      </c>
      <c r="G2767" s="2890">
        <v>12382.58433968568</v>
      </c>
    </row>
    <row r="2768" spans="2:7" ht="15" hidden="1" outlineLevel="2">
      <c r="B2768" s="2889" t="s">
        <v>1648</v>
      </c>
      <c r="C2768" s="2889" t="s">
        <v>1610</v>
      </c>
      <c r="D2768" s="2889" t="s">
        <v>1608</v>
      </c>
      <c r="E2768" s="2889" t="s">
        <v>217</v>
      </c>
      <c r="F2768" s="2890">
        <v>5.944273433474863</v>
      </c>
      <c r="G2768" s="2890">
        <v>9272.7171184878116</v>
      </c>
    </row>
    <row r="2769" spans="2:7" ht="15" hidden="1" outlineLevel="2">
      <c r="B2769" s="2889" t="s">
        <v>1649</v>
      </c>
      <c r="C2769" s="2889" t="s">
        <v>1610</v>
      </c>
      <c r="D2769" s="2889" t="s">
        <v>1608</v>
      </c>
      <c r="E2769" s="2889" t="s">
        <v>217</v>
      </c>
      <c r="F2769" s="2890">
        <v>5.1176676937540151</v>
      </c>
      <c r="G2769" s="2890">
        <v>7983.2554946947093</v>
      </c>
    </row>
    <row r="2770" spans="2:7" ht="15" hidden="1" outlineLevel="2">
      <c r="B2770" s="2889" t="s">
        <v>1650</v>
      </c>
      <c r="C2770" s="2889" t="s">
        <v>1610</v>
      </c>
      <c r="D2770" s="2889" t="s">
        <v>1608</v>
      </c>
      <c r="E2770" s="2889" t="s">
        <v>217</v>
      </c>
      <c r="F2770" s="2890">
        <v>0.29270895092112043</v>
      </c>
      <c r="G2770" s="2890">
        <v>455.1025108856644</v>
      </c>
    </row>
    <row r="2771" spans="2:7" ht="15" hidden="1" outlineLevel="2">
      <c r="B2771" s="2889" t="s">
        <v>1651</v>
      </c>
      <c r="C2771" s="2889" t="s">
        <v>1610</v>
      </c>
      <c r="D2771" s="2889" t="s">
        <v>1608</v>
      </c>
      <c r="E2771" s="2889" t="s">
        <v>217</v>
      </c>
      <c r="F2771" s="2890">
        <v>0.75367087697340085</v>
      </c>
      <c r="G2771" s="2890">
        <v>1175.6815847397349</v>
      </c>
    </row>
    <row r="2772" spans="2:7" ht="15" hidden="1" outlineLevel="2">
      <c r="B2772" s="2889" t="s">
        <v>1652</v>
      </c>
      <c r="C2772" s="2889" t="s">
        <v>1610</v>
      </c>
      <c r="D2772" s="2889" t="s">
        <v>1608</v>
      </c>
      <c r="E2772" s="2889" t="s">
        <v>217</v>
      </c>
      <c r="F2772" s="2890">
        <v>6.9653800587568364</v>
      </c>
      <c r="G2772" s="2890">
        <v>10865.572704358185</v>
      </c>
    </row>
    <row r="2773" spans="2:7" ht="15" hidden="1" outlineLevel="2">
      <c r="B2773" s="2889" t="s">
        <v>1653</v>
      </c>
      <c r="C2773" s="2889" t="s">
        <v>1610</v>
      </c>
      <c r="D2773" s="2889" t="s">
        <v>1608</v>
      </c>
      <c r="E2773" s="2889" t="s">
        <v>217</v>
      </c>
      <c r="F2773" s="2890">
        <v>0.56123871673317005</v>
      </c>
      <c r="G2773" s="2890">
        <v>872.27995492148671</v>
      </c>
    </row>
    <row r="2774" spans="2:7" ht="15" hidden="1" outlineLevel="2">
      <c r="B2774" s="2889" t="s">
        <v>1407</v>
      </c>
      <c r="C2774" s="2889" t="s">
        <v>1616</v>
      </c>
      <c r="D2774" s="2889" t="s">
        <v>1615</v>
      </c>
      <c r="E2774" s="2889" t="s">
        <v>217</v>
      </c>
      <c r="F2774" s="2890">
        <v>4.006977402499631E-3</v>
      </c>
      <c r="G2774" s="2890">
        <v>5.3863819128015242</v>
      </c>
    </row>
    <row r="2775" spans="2:7" ht="15" hidden="1" outlineLevel="2">
      <c r="B2775" s="2889" t="s">
        <v>1631</v>
      </c>
      <c r="C2775" s="2889" t="s">
        <v>1616</v>
      </c>
      <c r="D2775" s="2889" t="s">
        <v>1615</v>
      </c>
      <c r="E2775" s="2889" t="s">
        <v>217</v>
      </c>
      <c r="F2775" s="3039">
        <v>5.0202942664993883E-3</v>
      </c>
      <c r="G2775" s="2890">
        <v>6.6796687042765832</v>
      </c>
    </row>
    <row r="2776" spans="2:7" ht="15" hidden="1" outlineLevel="2">
      <c r="B2776" s="2889" t="s">
        <v>1632</v>
      </c>
      <c r="C2776" s="2889" t="s">
        <v>1616</v>
      </c>
      <c r="D2776" s="2889" t="s">
        <v>1615</v>
      </c>
      <c r="E2776" s="2889" t="s">
        <v>217</v>
      </c>
      <c r="F2776" s="3039">
        <v>9.5496988495790414E-3</v>
      </c>
      <c r="G2776" s="2890">
        <v>12.898062595711068</v>
      </c>
    </row>
    <row r="2777" spans="2:7" ht="15" hidden="1" outlineLevel="2">
      <c r="B2777" s="2889" t="s">
        <v>1633</v>
      </c>
      <c r="C2777" s="2889" t="s">
        <v>1616</v>
      </c>
      <c r="D2777" s="2889" t="s">
        <v>1615</v>
      </c>
      <c r="E2777" s="2889" t="s">
        <v>217</v>
      </c>
      <c r="F2777" s="3039">
        <v>1.004667680530274E-34</v>
      </c>
      <c r="G2777" s="2890">
        <v>1.3798314681467387E-31</v>
      </c>
    </row>
    <row r="2778" spans="2:7" ht="15" hidden="1" outlineLevel="2">
      <c r="B2778" s="2889" t="s">
        <v>1634</v>
      </c>
      <c r="C2778" s="2889" t="s">
        <v>1616</v>
      </c>
      <c r="D2778" s="2889" t="s">
        <v>1615</v>
      </c>
      <c r="E2778" s="2889" t="s">
        <v>217</v>
      </c>
      <c r="F2778" s="3039">
        <v>2.7324095556541653E-34</v>
      </c>
      <c r="G2778" s="2890">
        <v>3.5099562988835953E-31</v>
      </c>
    </row>
    <row r="2779" spans="2:7" ht="15" hidden="1" outlineLevel="2">
      <c r="B2779" s="2889" t="s">
        <v>1635</v>
      </c>
      <c r="C2779" s="2889" t="s">
        <v>1616</v>
      </c>
      <c r="D2779" s="2889" t="s">
        <v>1615</v>
      </c>
      <c r="E2779" s="2889" t="s">
        <v>217</v>
      </c>
      <c r="F2779" s="3039">
        <v>2.7381262544486753E-3</v>
      </c>
      <c r="G2779" s="2890">
        <v>3.6981801216152719</v>
      </c>
    </row>
    <row r="2780" spans="2:7" ht="15" hidden="1" outlineLevel="2">
      <c r="B2780" s="2889" t="s">
        <v>1636</v>
      </c>
      <c r="C2780" s="2889" t="s">
        <v>1616</v>
      </c>
      <c r="D2780" s="2889" t="s">
        <v>1615</v>
      </c>
      <c r="E2780" s="2889" t="s">
        <v>217</v>
      </c>
      <c r="F2780" s="3039">
        <v>4.9571956221965497E-3</v>
      </c>
      <c r="G2780" s="2890">
        <v>6.6959496749326117</v>
      </c>
    </row>
    <row r="2781" spans="2:7" ht="15" hidden="1" outlineLevel="2">
      <c r="B2781" s="2889" t="s">
        <v>1637</v>
      </c>
      <c r="C2781" s="2889" t="s">
        <v>1616</v>
      </c>
      <c r="D2781" s="2889" t="s">
        <v>1615</v>
      </c>
      <c r="E2781" s="2889" t="s">
        <v>217</v>
      </c>
      <c r="F2781" s="3039">
        <v>1.1275301803991817E-4</v>
      </c>
      <c r="G2781" s="2890">
        <v>0.15304114882938344</v>
      </c>
    </row>
    <row r="2782" spans="2:7" ht="15" hidden="1" outlineLevel="2">
      <c r="B2782" s="2889" t="s">
        <v>1638</v>
      </c>
      <c r="C2782" s="2889" t="s">
        <v>1616</v>
      </c>
      <c r="D2782" s="2889" t="s">
        <v>1615</v>
      </c>
      <c r="E2782" s="2889" t="s">
        <v>217</v>
      </c>
      <c r="F2782" s="3039">
        <v>1.4296641266448002E-35</v>
      </c>
      <c r="G2782" s="2890">
        <v>1.9649166645629601E-32</v>
      </c>
    </row>
    <row r="2783" spans="2:7" ht="15" hidden="1" outlineLevel="2">
      <c r="B2783" s="2889" t="s">
        <v>1639</v>
      </c>
      <c r="C2783" s="2889" t="s">
        <v>1616</v>
      </c>
      <c r="D2783" s="2889" t="s">
        <v>1615</v>
      </c>
      <c r="E2783" s="2889" t="s">
        <v>217</v>
      </c>
      <c r="F2783" s="3039">
        <v>1.1461768754320322E-2</v>
      </c>
      <c r="G2783" s="2890">
        <v>15.557212689125251</v>
      </c>
    </row>
    <row r="2784" spans="2:7" ht="15" hidden="1" outlineLevel="2">
      <c r="B2784" s="2889" t="s">
        <v>1640</v>
      </c>
      <c r="C2784" s="2889" t="s">
        <v>1616</v>
      </c>
      <c r="D2784" s="2889" t="s">
        <v>1615</v>
      </c>
      <c r="E2784" s="2889" t="s">
        <v>217</v>
      </c>
      <c r="F2784" s="3039">
        <v>6.2397171240423572E-4</v>
      </c>
      <c r="G2784" s="2890">
        <v>0.83877504476520182</v>
      </c>
    </row>
    <row r="2785" spans="2:7" ht="15" hidden="1" outlineLevel="2">
      <c r="B2785" s="2889" t="s">
        <v>1641</v>
      </c>
      <c r="C2785" s="2889" t="s">
        <v>1616</v>
      </c>
      <c r="D2785" s="2889" t="s">
        <v>1615</v>
      </c>
      <c r="E2785" s="2889" t="s">
        <v>217</v>
      </c>
      <c r="F2785" s="2890">
        <v>4.998382277272298E-3</v>
      </c>
      <c r="G2785" s="2890">
        <v>6.750932011967139</v>
      </c>
    </row>
    <row r="2786" spans="2:7" ht="15" hidden="1" outlineLevel="2">
      <c r="B2786" s="2889" t="s">
        <v>1642</v>
      </c>
      <c r="C2786" s="2889" t="s">
        <v>1616</v>
      </c>
      <c r="D2786" s="2889" t="s">
        <v>1615</v>
      </c>
      <c r="E2786" s="2889" t="s">
        <v>217</v>
      </c>
      <c r="F2786" s="2890">
        <v>6.2766772549652473E-3</v>
      </c>
      <c r="G2786" s="2890">
        <v>8.4774355555770704</v>
      </c>
    </row>
    <row r="2787" spans="2:7" ht="15" hidden="1" outlineLevel="2">
      <c r="B2787" s="2889" t="s">
        <v>1643</v>
      </c>
      <c r="C2787" s="2889" t="s">
        <v>1616</v>
      </c>
      <c r="D2787" s="2889" t="s">
        <v>1615</v>
      </c>
      <c r="E2787" s="2889" t="s">
        <v>217</v>
      </c>
      <c r="F2787" s="3039">
        <v>1.8024355299800121E-33</v>
      </c>
      <c r="G2787" s="2890">
        <v>2.5055075951912425E-30</v>
      </c>
    </row>
    <row r="2788" spans="2:7" ht="15" hidden="1" outlineLevel="2">
      <c r="B2788" s="2889" t="s">
        <v>1644</v>
      </c>
      <c r="C2788" s="2889" t="s">
        <v>1616</v>
      </c>
      <c r="D2788" s="2889" t="s">
        <v>1615</v>
      </c>
      <c r="E2788" s="2889" t="s">
        <v>217</v>
      </c>
      <c r="F2788" s="2890">
        <v>7.4628050578419269E-3</v>
      </c>
      <c r="G2788" s="2890">
        <v>10.129353351378866</v>
      </c>
    </row>
    <row r="2789" spans="2:7" ht="15" hidden="1" outlineLevel="2">
      <c r="B2789" s="2889" t="s">
        <v>1645</v>
      </c>
      <c r="C2789" s="2889" t="s">
        <v>1616</v>
      </c>
      <c r="D2789" s="2889" t="s">
        <v>1615</v>
      </c>
      <c r="E2789" s="2889" t="s">
        <v>217</v>
      </c>
      <c r="F2789" s="2890">
        <v>4.8833825772056014E-3</v>
      </c>
      <c r="G2789" s="2890">
        <v>6.628275164213294</v>
      </c>
    </row>
    <row r="2790" spans="2:7" ht="15" hidden="1" outlineLevel="2">
      <c r="B2790" s="2889" t="s">
        <v>1646</v>
      </c>
      <c r="C2790" s="2889" t="s">
        <v>1616</v>
      </c>
      <c r="D2790" s="2889" t="s">
        <v>1615</v>
      </c>
      <c r="E2790" s="2889" t="s">
        <v>217</v>
      </c>
      <c r="F2790" s="2890">
        <v>1.009667838308136E-34</v>
      </c>
      <c r="G2790" s="2890">
        <v>1.3798314681467367E-31</v>
      </c>
    </row>
    <row r="2791" spans="2:7" ht="15" hidden="1" outlineLevel="2">
      <c r="B2791" s="2889" t="s">
        <v>1647</v>
      </c>
      <c r="C2791" s="2889" t="s">
        <v>1616</v>
      </c>
      <c r="D2791" s="2889" t="s">
        <v>1615</v>
      </c>
      <c r="E2791" s="2889" t="s">
        <v>217</v>
      </c>
      <c r="F2791" s="2890">
        <v>3.5648020414616141E-36</v>
      </c>
      <c r="G2791" s="2890">
        <v>4.8941940554863511E-33</v>
      </c>
    </row>
    <row r="2792" spans="2:7" ht="15" hidden="1" outlineLevel="2">
      <c r="B2792" s="2889" t="s">
        <v>1648</v>
      </c>
      <c r="C2792" s="2889" t="s">
        <v>1616</v>
      </c>
      <c r="D2792" s="2889" t="s">
        <v>1615</v>
      </c>
      <c r="E2792" s="2889" t="s">
        <v>217</v>
      </c>
      <c r="F2792" s="2890">
        <v>5.7322654762894346E-5</v>
      </c>
      <c r="G2792" s="2890">
        <v>7.7888305189482809E-2</v>
      </c>
    </row>
    <row r="2793" spans="2:7" ht="15" hidden="1" outlineLevel="2">
      <c r="B2793" s="2889" t="s">
        <v>1649</v>
      </c>
      <c r="C2793" s="2889" t="s">
        <v>1616</v>
      </c>
      <c r="D2793" s="2889" t="s">
        <v>1615</v>
      </c>
      <c r="E2793" s="2889" t="s">
        <v>217</v>
      </c>
      <c r="F2793" s="2890">
        <v>1.4296641266448002E-35</v>
      </c>
      <c r="G2793" s="2890">
        <v>1.9649166645629601E-32</v>
      </c>
    </row>
    <row r="2794" spans="2:7" ht="15" hidden="1" outlineLevel="2">
      <c r="B2794" s="2889" t="s">
        <v>1650</v>
      </c>
      <c r="C2794" s="2889" t="s">
        <v>1616</v>
      </c>
      <c r="D2794" s="2889" t="s">
        <v>1615</v>
      </c>
      <c r="E2794" s="2889" t="s">
        <v>217</v>
      </c>
      <c r="F2794" s="2890">
        <v>5.8245920189223307E-3</v>
      </c>
      <c r="G2794" s="2890">
        <v>7.8296999392866011</v>
      </c>
    </row>
    <row r="2795" spans="2:7" ht="15" hidden="1" outlineLevel="2">
      <c r="B2795" s="2889" t="s">
        <v>1651</v>
      </c>
      <c r="C2795" s="2889" t="s">
        <v>1616</v>
      </c>
      <c r="D2795" s="2889" t="s">
        <v>1615</v>
      </c>
      <c r="E2795" s="2889" t="s">
        <v>217</v>
      </c>
      <c r="F2795" s="2890">
        <v>1.2418145592836338E-4</v>
      </c>
      <c r="G2795" s="2890">
        <v>0.16873380542616212</v>
      </c>
    </row>
    <row r="2796" spans="2:7" ht="15" hidden="1" outlineLevel="2">
      <c r="B2796" s="2889" t="s">
        <v>1652</v>
      </c>
      <c r="C2796" s="2889" t="s">
        <v>1616</v>
      </c>
      <c r="D2796" s="2889" t="s">
        <v>1615</v>
      </c>
      <c r="E2796" s="2889" t="s">
        <v>217</v>
      </c>
      <c r="F2796" s="2890">
        <v>5.7322654772868091E-5</v>
      </c>
      <c r="G2796" s="2890">
        <v>7.7888305185286236E-2</v>
      </c>
    </row>
    <row r="2797" spans="2:7" ht="15" hidden="1" outlineLevel="2">
      <c r="B2797" s="2889" t="s">
        <v>1653</v>
      </c>
      <c r="C2797" s="2889" t="s">
        <v>1616</v>
      </c>
      <c r="D2797" s="2889" t="s">
        <v>1615</v>
      </c>
      <c r="E2797" s="2889" t="s">
        <v>217</v>
      </c>
      <c r="F2797" s="2890">
        <v>4.8649242329520974E-3</v>
      </c>
      <c r="G2797" s="2890">
        <v>6.5706869497414058</v>
      </c>
    </row>
    <row r="2798" spans="2:7" ht="15" outlineLevel="1" collapsed="1">
      <c r="B2798" s="2889"/>
      <c r="C2798" s="2889"/>
      <c r="D2798" s="2889"/>
      <c r="E2798" s="3042" t="s">
        <v>1654</v>
      </c>
      <c r="F2798" s="2890">
        <f>SUBTOTAL(9,F330:F2797)</f>
        <v>1218.0977114867603</v>
      </c>
      <c r="G2798" s="2890">
        <f>SUBTOTAL(9,G330:G2797)</f>
        <v>1194330.697541289</v>
      </c>
    </row>
    <row r="2799" spans="2:7" ht="15" hidden="1" outlineLevel="2">
      <c r="B2799" s="2889" t="s">
        <v>1407</v>
      </c>
      <c r="C2799" s="2889" t="s">
        <v>1627</v>
      </c>
      <c r="D2799" s="2889" t="s">
        <v>1619</v>
      </c>
      <c r="E2799" s="2889" t="s">
        <v>1420</v>
      </c>
      <c r="F2799" s="2890">
        <v>4.2912131950305875E-3</v>
      </c>
      <c r="G2799" s="2890">
        <v>7.1692385698538557</v>
      </c>
    </row>
    <row r="2800" spans="2:7" ht="15" hidden="1" outlineLevel="2">
      <c r="B2800" s="2889" t="s">
        <v>1631</v>
      </c>
      <c r="C2800" s="2889" t="s">
        <v>1627</v>
      </c>
      <c r="D2800" s="2889" t="s">
        <v>1619</v>
      </c>
      <c r="E2800" s="2889" t="s">
        <v>1420</v>
      </c>
      <c r="F2800" s="2890">
        <v>8.5824269271227577E-3</v>
      </c>
      <c r="G2800" s="2890">
        <v>14.338478267024716</v>
      </c>
    </row>
    <row r="2801" spans="2:7" ht="15" hidden="1" outlineLevel="2">
      <c r="B2801" s="2889" t="s">
        <v>1632</v>
      </c>
      <c r="C2801" s="2889" t="s">
        <v>1627</v>
      </c>
      <c r="D2801" s="2889" t="s">
        <v>1619</v>
      </c>
      <c r="E2801" s="2889" t="s">
        <v>1420</v>
      </c>
      <c r="F2801" s="2890">
        <v>4.2912131950305875E-3</v>
      </c>
      <c r="G2801" s="2890">
        <v>7.1692385698538557</v>
      </c>
    </row>
    <row r="2802" spans="2:7" ht="15" hidden="1" outlineLevel="2">
      <c r="B2802" s="2889" t="s">
        <v>1633</v>
      </c>
      <c r="C2802" s="2889" t="s">
        <v>1627</v>
      </c>
      <c r="D2802" s="2889" t="s">
        <v>1619</v>
      </c>
      <c r="E2802" s="2889" t="s">
        <v>1420</v>
      </c>
      <c r="F2802" s="2890">
        <v>1.9010908880696712E-35</v>
      </c>
      <c r="G2802" s="2890">
        <v>3.1761120668295189E-32</v>
      </c>
    </row>
    <row r="2803" spans="2:7" ht="15" hidden="1" outlineLevel="2">
      <c r="B2803" s="2889" t="s">
        <v>1634</v>
      </c>
      <c r="C2803" s="2889" t="s">
        <v>1627</v>
      </c>
      <c r="D2803" s="2889" t="s">
        <v>1619</v>
      </c>
      <c r="E2803" s="2889" t="s">
        <v>1420</v>
      </c>
      <c r="F2803" s="2890">
        <v>4.2912131950305875E-3</v>
      </c>
      <c r="G2803" s="2890">
        <v>7.1692385698538557</v>
      </c>
    </row>
    <row r="2804" spans="2:7" ht="15" hidden="1" outlineLevel="2">
      <c r="B2804" s="2889" t="s">
        <v>1635</v>
      </c>
      <c r="C2804" s="2889" t="s">
        <v>1627</v>
      </c>
      <c r="D2804" s="2889" t="s">
        <v>1619</v>
      </c>
      <c r="E2804" s="2889" t="s">
        <v>1420</v>
      </c>
      <c r="F2804" s="2890">
        <v>4.2912131950305875E-3</v>
      </c>
      <c r="G2804" s="2890">
        <v>7.1692385698538557</v>
      </c>
    </row>
    <row r="2805" spans="2:7" ht="15" hidden="1" outlineLevel="2">
      <c r="B2805" s="2889" t="s">
        <v>1636</v>
      </c>
      <c r="C2805" s="2889" t="s">
        <v>1627</v>
      </c>
      <c r="D2805" s="2889" t="s">
        <v>1619</v>
      </c>
      <c r="E2805" s="2889" t="s">
        <v>1420</v>
      </c>
      <c r="F2805" s="2890">
        <v>1.1443235182431401E-2</v>
      </c>
      <c r="G2805" s="2890">
        <v>19.117966778259756</v>
      </c>
    </row>
    <row r="2806" spans="2:7" ht="15" hidden="1" outlineLevel="2">
      <c r="B2806" s="2889" t="s">
        <v>1637</v>
      </c>
      <c r="C2806" s="2889" t="s">
        <v>1627</v>
      </c>
      <c r="D2806" s="2889" t="s">
        <v>1619</v>
      </c>
      <c r="E2806" s="2889" t="s">
        <v>1420</v>
      </c>
      <c r="F2806" s="2890">
        <v>4.2912131950305875E-3</v>
      </c>
      <c r="G2806" s="2890">
        <v>7.1692385698538557</v>
      </c>
    </row>
    <row r="2807" spans="2:7" ht="15" hidden="1" outlineLevel="2">
      <c r="B2807" s="2889" t="s">
        <v>1638</v>
      </c>
      <c r="C2807" s="2889" t="s">
        <v>1627</v>
      </c>
      <c r="D2807" s="2889" t="s">
        <v>1619</v>
      </c>
      <c r="E2807" s="2889" t="s">
        <v>1420</v>
      </c>
      <c r="F2807" s="2890">
        <v>1.4304042678230688E-3</v>
      </c>
      <c r="G2807" s="2890">
        <v>2.389745619463544</v>
      </c>
    </row>
    <row r="2808" spans="2:7" ht="15" hidden="1" outlineLevel="2">
      <c r="B2808" s="2889" t="s">
        <v>1639</v>
      </c>
      <c r="C2808" s="2889" t="s">
        <v>1627</v>
      </c>
      <c r="D2808" s="2889" t="s">
        <v>1619</v>
      </c>
      <c r="E2808" s="2889" t="s">
        <v>1420</v>
      </c>
      <c r="F2808" s="2890">
        <v>4.2912131950305875E-3</v>
      </c>
      <c r="G2808" s="2890">
        <v>7.1692385698538557</v>
      </c>
    </row>
    <row r="2809" spans="2:7" ht="15" hidden="1" outlineLevel="2">
      <c r="B2809" s="2889" t="s">
        <v>1640</v>
      </c>
      <c r="C2809" s="2889" t="s">
        <v>1627</v>
      </c>
      <c r="D2809" s="2889" t="s">
        <v>1619</v>
      </c>
      <c r="E2809" s="2889" t="s">
        <v>1420</v>
      </c>
      <c r="F2809" s="3039">
        <v>4.2912131950305875E-3</v>
      </c>
      <c r="G2809" s="2890">
        <v>7.1692385698538557</v>
      </c>
    </row>
    <row r="2810" spans="2:7" ht="15" hidden="1" outlineLevel="2">
      <c r="B2810" s="2889" t="s">
        <v>1641</v>
      </c>
      <c r="C2810" s="2889" t="s">
        <v>1627</v>
      </c>
      <c r="D2810" s="2889" t="s">
        <v>1619</v>
      </c>
      <c r="E2810" s="2889" t="s">
        <v>1420</v>
      </c>
      <c r="F2810" s="3039">
        <v>7.1520215805905268E-3</v>
      </c>
      <c r="G2810" s="2890">
        <v>11.948725799974781</v>
      </c>
    </row>
    <row r="2811" spans="2:7" ht="15" hidden="1" outlineLevel="2">
      <c r="B2811" s="2889" t="s">
        <v>1642</v>
      </c>
      <c r="C2811" s="2889" t="s">
        <v>1627</v>
      </c>
      <c r="D2811" s="2889" t="s">
        <v>1619</v>
      </c>
      <c r="E2811" s="2889" t="s">
        <v>1420</v>
      </c>
      <c r="F2811" s="3039">
        <v>1.5221035770581089E-3</v>
      </c>
      <c r="G2811" s="2890">
        <v>2.542945650020723</v>
      </c>
    </row>
    <row r="2812" spans="2:7" ht="15" hidden="1" outlineLevel="2">
      <c r="B2812" s="2889" t="s">
        <v>1643</v>
      </c>
      <c r="C2812" s="2889" t="s">
        <v>1627</v>
      </c>
      <c r="D2812" s="2889" t="s">
        <v>1619</v>
      </c>
      <c r="E2812" s="2889" t="s">
        <v>1420</v>
      </c>
      <c r="F2812" s="3039">
        <v>6.5857109872361061E-3</v>
      </c>
      <c r="G2812" s="2890">
        <v>11.002608735574404</v>
      </c>
    </row>
    <row r="2813" spans="2:7" ht="15" hidden="1" outlineLevel="2">
      <c r="B2813" s="2889" t="s">
        <v>1644</v>
      </c>
      <c r="C2813" s="2889" t="s">
        <v>1627</v>
      </c>
      <c r="D2813" s="2889" t="s">
        <v>1619</v>
      </c>
      <c r="E2813" s="2889" t="s">
        <v>1420</v>
      </c>
      <c r="F2813" s="3039">
        <v>8.5824269271227577E-3</v>
      </c>
      <c r="G2813" s="2890">
        <v>14.338478267024716</v>
      </c>
    </row>
    <row r="2814" spans="2:7" ht="15" hidden="1" outlineLevel="2">
      <c r="B2814" s="2889" t="s">
        <v>1645</v>
      </c>
      <c r="C2814" s="2889" t="s">
        <v>1627</v>
      </c>
      <c r="D2814" s="2889" t="s">
        <v>1619</v>
      </c>
      <c r="E2814" s="2889" t="s">
        <v>1420</v>
      </c>
      <c r="F2814" s="3039">
        <v>4.2912131951980698E-3</v>
      </c>
      <c r="G2814" s="2890">
        <v>7.169238569826927</v>
      </c>
    </row>
    <row r="2815" spans="2:7" ht="15" hidden="1" outlineLevel="2">
      <c r="B2815" s="2889" t="s">
        <v>1646</v>
      </c>
      <c r="C2815" s="2889" t="s">
        <v>1627</v>
      </c>
      <c r="D2815" s="2889" t="s">
        <v>1619</v>
      </c>
      <c r="E2815" s="2889" t="s">
        <v>1420</v>
      </c>
      <c r="F2815" s="2890">
        <v>2.8608091219981288E-3</v>
      </c>
      <c r="G2815" s="2890">
        <v>4.7794929595290334</v>
      </c>
    </row>
    <row r="2816" spans="2:7" ht="15" hidden="1" outlineLevel="2">
      <c r="B2816" s="2889" t="s">
        <v>1647</v>
      </c>
      <c r="C2816" s="2889" t="s">
        <v>1627</v>
      </c>
      <c r="D2816" s="2889" t="s">
        <v>1619</v>
      </c>
      <c r="E2816" s="2889" t="s">
        <v>1420</v>
      </c>
      <c r="F2816" s="2890">
        <v>2.8608091219981336E-3</v>
      </c>
      <c r="G2816" s="2890">
        <v>4.7794929595290441</v>
      </c>
    </row>
    <row r="2817" spans="2:7" ht="15" hidden="1" outlineLevel="2">
      <c r="B2817" s="2889" t="s">
        <v>1648</v>
      </c>
      <c r="C2817" s="2889" t="s">
        <v>1627</v>
      </c>
      <c r="D2817" s="2889" t="s">
        <v>1619</v>
      </c>
      <c r="E2817" s="2889" t="s">
        <v>1420</v>
      </c>
      <c r="F2817" s="2890">
        <v>1.9010908880696712E-35</v>
      </c>
      <c r="G2817" s="2890">
        <v>3.1761120668295189E-32</v>
      </c>
    </row>
    <row r="2818" spans="2:7" ht="15" hidden="1" outlineLevel="2">
      <c r="B2818" s="2889" t="s">
        <v>1649</v>
      </c>
      <c r="C2818" s="2889" t="s">
        <v>1627</v>
      </c>
      <c r="D2818" s="2889" t="s">
        <v>1619</v>
      </c>
      <c r="E2818" s="2889" t="s">
        <v>1420</v>
      </c>
      <c r="F2818" s="2890">
        <v>1.9010908880696712E-35</v>
      </c>
      <c r="G2818" s="2890">
        <v>3.1761120668295189E-32</v>
      </c>
    </row>
    <row r="2819" spans="2:7" ht="15" hidden="1" outlineLevel="2">
      <c r="B2819" s="2889" t="s">
        <v>1650</v>
      </c>
      <c r="C2819" s="2889" t="s">
        <v>1627</v>
      </c>
      <c r="D2819" s="2889" t="s">
        <v>1619</v>
      </c>
      <c r="E2819" s="2889" t="s">
        <v>1420</v>
      </c>
      <c r="F2819" s="2890">
        <v>4.2912131950305875E-3</v>
      </c>
      <c r="G2819" s="2890">
        <v>7.1692385698538557</v>
      </c>
    </row>
    <row r="2820" spans="2:7" ht="15" hidden="1" outlineLevel="2">
      <c r="B2820" s="2889" t="s">
        <v>1651</v>
      </c>
      <c r="C2820" s="2889" t="s">
        <v>1627</v>
      </c>
      <c r="D2820" s="2889" t="s">
        <v>1619</v>
      </c>
      <c r="E2820" s="2889" t="s">
        <v>1420</v>
      </c>
      <c r="F2820" s="2890">
        <v>4.2912131951980698E-3</v>
      </c>
      <c r="G2820" s="2890">
        <v>7.169238569826927</v>
      </c>
    </row>
    <row r="2821" spans="2:7" ht="15" hidden="1" outlineLevel="2">
      <c r="B2821" s="2889" t="s">
        <v>1652</v>
      </c>
      <c r="C2821" s="2889" t="s">
        <v>1627</v>
      </c>
      <c r="D2821" s="2889" t="s">
        <v>1619</v>
      </c>
      <c r="E2821" s="2889" t="s">
        <v>1420</v>
      </c>
      <c r="F2821" s="2890">
        <v>5.7216187382967583E-3</v>
      </c>
      <c r="G2821" s="2890">
        <v>9.5589829727909787</v>
      </c>
    </row>
    <row r="2822" spans="2:7" ht="15" hidden="1" outlineLevel="2">
      <c r="B2822" s="2889" t="s">
        <v>1653</v>
      </c>
      <c r="C2822" s="2889" t="s">
        <v>1627</v>
      </c>
      <c r="D2822" s="2889" t="s">
        <v>1619</v>
      </c>
      <c r="E2822" s="2889" t="s">
        <v>1420</v>
      </c>
      <c r="F2822" s="2890">
        <v>1.9010908880696712E-35</v>
      </c>
      <c r="G2822" s="2890">
        <v>3.1761120668295189E-32</v>
      </c>
    </row>
    <row r="2823" spans="2:7" ht="15" hidden="1" outlineLevel="2">
      <c r="B2823" s="2889" t="s">
        <v>1407</v>
      </c>
      <c r="C2823" s="2889" t="s">
        <v>1491</v>
      </c>
      <c r="D2823" s="2889" t="s">
        <v>1054</v>
      </c>
      <c r="E2823" s="2889" t="s">
        <v>1420</v>
      </c>
      <c r="F2823" s="2890">
        <v>1.4724494478168359E-4</v>
      </c>
      <c r="G2823" s="2890">
        <v>0.69717689105758507</v>
      </c>
    </row>
    <row r="2824" spans="2:7" ht="15" hidden="1" outlineLevel="2">
      <c r="B2824" s="2889" t="s">
        <v>1631</v>
      </c>
      <c r="C2824" s="2889" t="s">
        <v>1491</v>
      </c>
      <c r="D2824" s="2889" t="s">
        <v>1054</v>
      </c>
      <c r="E2824" s="2889" t="s">
        <v>1420</v>
      </c>
      <c r="F2824" s="2890">
        <v>2.4435071069017823E-3</v>
      </c>
      <c r="G2824" s="2890">
        <v>11.569540446650805</v>
      </c>
    </row>
    <row r="2825" spans="2:7" ht="15" hidden="1" outlineLevel="2">
      <c r="B2825" s="2889" t="s">
        <v>1632</v>
      </c>
      <c r="C2825" s="2889" t="s">
        <v>1491</v>
      </c>
      <c r="D2825" s="2889" t="s">
        <v>1054</v>
      </c>
      <c r="E2825" s="2889" t="s">
        <v>1420</v>
      </c>
      <c r="F2825" s="2890">
        <v>5.6599289147902312E-3</v>
      </c>
      <c r="G2825" s="2890">
        <v>26.798697969955285</v>
      </c>
    </row>
    <row r="2826" spans="2:7" ht="15" hidden="1" outlineLevel="2">
      <c r="B2826" s="2889" t="s">
        <v>1633</v>
      </c>
      <c r="C2826" s="2889" t="s">
        <v>1491</v>
      </c>
      <c r="D2826" s="2889" t="s">
        <v>1054</v>
      </c>
      <c r="E2826" s="2889" t="s">
        <v>1420</v>
      </c>
      <c r="F2826" s="2890">
        <v>4.5931528132420023E-4</v>
      </c>
      <c r="G2826" s="2890">
        <v>2.1747716882966084</v>
      </c>
    </row>
    <row r="2827" spans="2:7" ht="15" hidden="1" outlineLevel="2">
      <c r="B2827" s="2889" t="s">
        <v>1634</v>
      </c>
      <c r="C2827" s="2889" t="s">
        <v>1491</v>
      </c>
      <c r="D2827" s="2889" t="s">
        <v>1054</v>
      </c>
      <c r="E2827" s="2889" t="s">
        <v>1420</v>
      </c>
      <c r="F2827" s="2890">
        <v>8.5132778316998874E-5</v>
      </c>
      <c r="G2827" s="2890">
        <v>0.40308772513238816</v>
      </c>
    </row>
    <row r="2828" spans="2:7" ht="15" hidden="1" outlineLevel="2">
      <c r="B2828" s="2889" t="s">
        <v>1635</v>
      </c>
      <c r="C2828" s="2889" t="s">
        <v>1491</v>
      </c>
      <c r="D2828" s="2889" t="s">
        <v>1054</v>
      </c>
      <c r="E2828" s="2889" t="s">
        <v>1420</v>
      </c>
      <c r="F2828" s="2890">
        <v>7.1806796638343917E-4</v>
      </c>
      <c r="G2828" s="2890">
        <v>3.3999168930975436</v>
      </c>
    </row>
    <row r="2829" spans="2:7" ht="15" hidden="1" outlineLevel="2">
      <c r="B2829" s="2889" t="s">
        <v>1636</v>
      </c>
      <c r="C2829" s="2889" t="s">
        <v>1491</v>
      </c>
      <c r="D2829" s="2889" t="s">
        <v>1054</v>
      </c>
      <c r="E2829" s="2889" t="s">
        <v>1420</v>
      </c>
      <c r="F2829" s="2890">
        <v>6.3035370887999924E-4</v>
      </c>
      <c r="G2829" s="2890">
        <v>2.9846060372141054</v>
      </c>
    </row>
    <row r="2830" spans="2:7" ht="15" hidden="1" outlineLevel="2">
      <c r="B2830" s="2889" t="s">
        <v>1637</v>
      </c>
      <c r="C2830" s="2889" t="s">
        <v>1491</v>
      </c>
      <c r="D2830" s="2889" t="s">
        <v>1054</v>
      </c>
      <c r="E2830" s="2889" t="s">
        <v>1420</v>
      </c>
      <c r="F2830" s="2890">
        <v>1.0468685675725138E-3</v>
      </c>
      <c r="G2830" s="2890">
        <v>4.9567263154733725</v>
      </c>
    </row>
    <row r="2831" spans="2:7" ht="15" hidden="1" outlineLevel="2">
      <c r="B2831" s="2889" t="s">
        <v>1638</v>
      </c>
      <c r="C2831" s="2889" t="s">
        <v>1491</v>
      </c>
      <c r="D2831" s="2889" t="s">
        <v>1054</v>
      </c>
      <c r="E2831" s="2889" t="s">
        <v>1420</v>
      </c>
      <c r="F2831" s="2890">
        <v>1.3664726924562321E-4</v>
      </c>
      <c r="G2831" s="2890">
        <v>0.64699937685515652</v>
      </c>
    </row>
    <row r="2832" spans="2:7" ht="15" hidden="1" outlineLevel="2">
      <c r="B2832" s="2889" t="s">
        <v>1639</v>
      </c>
      <c r="C2832" s="2889" t="s">
        <v>1491</v>
      </c>
      <c r="D2832" s="2889" t="s">
        <v>1054</v>
      </c>
      <c r="E2832" s="2889" t="s">
        <v>1420</v>
      </c>
      <c r="F2832" s="2890">
        <v>1.2563388776244007E-3</v>
      </c>
      <c r="G2832" s="2890">
        <v>5.9485304918367419</v>
      </c>
    </row>
    <row r="2833" spans="2:7" ht="15" hidden="1" outlineLevel="2">
      <c r="B2833" s="2889" t="s">
        <v>1640</v>
      </c>
      <c r="C2833" s="2889" t="s">
        <v>1491</v>
      </c>
      <c r="D2833" s="2889" t="s">
        <v>1054</v>
      </c>
      <c r="E2833" s="2889" t="s">
        <v>1420</v>
      </c>
      <c r="F2833" s="2890">
        <v>2.9537619237653725E-4</v>
      </c>
      <c r="G2833" s="2890">
        <v>1.3985514635914611</v>
      </c>
    </row>
    <row r="2834" spans="2:7" ht="15" hidden="1" outlineLevel="2">
      <c r="B2834" s="2889" t="s">
        <v>1641</v>
      </c>
      <c r="C2834" s="2889" t="s">
        <v>1491</v>
      </c>
      <c r="D2834" s="2889" t="s">
        <v>1054</v>
      </c>
      <c r="E2834" s="2889" t="s">
        <v>1420</v>
      </c>
      <c r="F2834" s="2890">
        <v>1.5130262354407058E-3</v>
      </c>
      <c r="G2834" s="2890">
        <v>7.1638924642857136</v>
      </c>
    </row>
    <row r="2835" spans="2:7" ht="15" hidden="1" outlineLevel="2">
      <c r="B2835" s="2889" t="s">
        <v>1642</v>
      </c>
      <c r="C2835" s="2889" t="s">
        <v>1491</v>
      </c>
      <c r="D2835" s="2889" t="s">
        <v>1054</v>
      </c>
      <c r="E2835" s="2889" t="s">
        <v>1420</v>
      </c>
      <c r="F2835" s="2890">
        <v>1.0860266367174324E-3</v>
      </c>
      <c r="G2835" s="2890">
        <v>5.1421316035408235</v>
      </c>
    </row>
    <row r="2836" spans="2:7" ht="15" hidden="1" outlineLevel="2">
      <c r="B2836" s="2889" t="s">
        <v>1643</v>
      </c>
      <c r="C2836" s="2889" t="s">
        <v>1491</v>
      </c>
      <c r="D2836" s="2889" t="s">
        <v>1054</v>
      </c>
      <c r="E2836" s="2889" t="s">
        <v>1420</v>
      </c>
      <c r="F2836" s="2890">
        <v>1.6056764232426197E-4</v>
      </c>
      <c r="G2836" s="2890">
        <v>0.7602573989089717</v>
      </c>
    </row>
    <row r="2837" spans="2:7" ht="15" hidden="1" outlineLevel="2">
      <c r="B2837" s="2889" t="s">
        <v>1644</v>
      </c>
      <c r="C2837" s="2889" t="s">
        <v>1491</v>
      </c>
      <c r="D2837" s="2889" t="s">
        <v>1054</v>
      </c>
      <c r="E2837" s="2889" t="s">
        <v>1420</v>
      </c>
      <c r="F2837" s="2890">
        <v>3.5351632835687479E-3</v>
      </c>
      <c r="G2837" s="2890">
        <v>16.738345831867786</v>
      </c>
    </row>
    <row r="2838" spans="2:7" ht="15" hidden="1" outlineLevel="2">
      <c r="B2838" s="2889" t="s">
        <v>1645</v>
      </c>
      <c r="C2838" s="2889" t="s">
        <v>1491</v>
      </c>
      <c r="D2838" s="2889" t="s">
        <v>1054</v>
      </c>
      <c r="E2838" s="2889" t="s">
        <v>1420</v>
      </c>
      <c r="F2838" s="2890">
        <v>4.0372676904417981E-3</v>
      </c>
      <c r="G2838" s="2890">
        <v>19.115701903041526</v>
      </c>
    </row>
    <row r="2839" spans="2:7" ht="15" hidden="1" outlineLevel="2">
      <c r="B2839" s="2889" t="s">
        <v>1646</v>
      </c>
      <c r="C2839" s="2889" t="s">
        <v>1491</v>
      </c>
      <c r="D2839" s="2889" t="s">
        <v>1054</v>
      </c>
      <c r="E2839" s="2889" t="s">
        <v>1420</v>
      </c>
      <c r="F2839" s="2890">
        <v>2.3608933797217741E-4</v>
      </c>
      <c r="G2839" s="2890">
        <v>1.1178389158044668</v>
      </c>
    </row>
    <row r="2840" spans="2:7" ht="15" hidden="1" outlineLevel="2">
      <c r="B2840" s="2889" t="s">
        <v>1647</v>
      </c>
      <c r="C2840" s="2889" t="s">
        <v>1491</v>
      </c>
      <c r="D2840" s="2889" t="s">
        <v>1054</v>
      </c>
      <c r="E2840" s="2889" t="s">
        <v>1420</v>
      </c>
      <c r="F2840" s="2890">
        <v>5.8932585297641696E-4</v>
      </c>
      <c r="G2840" s="2890">
        <v>2.7903471672134463</v>
      </c>
    </row>
    <row r="2841" spans="2:7" ht="15" hidden="1" outlineLevel="2">
      <c r="B2841" s="2889" t="s">
        <v>1648</v>
      </c>
      <c r="C2841" s="2889" t="s">
        <v>1491</v>
      </c>
      <c r="D2841" s="2889" t="s">
        <v>1054</v>
      </c>
      <c r="E2841" s="2889" t="s">
        <v>1420</v>
      </c>
      <c r="F2841" s="2890">
        <v>6.607032552082256E-5</v>
      </c>
      <c r="G2841" s="2890">
        <v>0.31283075785195441</v>
      </c>
    </row>
    <row r="2842" spans="2:7" ht="15" hidden="1" outlineLevel="2">
      <c r="B2842" s="2889" t="s">
        <v>1649</v>
      </c>
      <c r="C2842" s="2889" t="s">
        <v>1491</v>
      </c>
      <c r="D2842" s="2889" t="s">
        <v>1054</v>
      </c>
      <c r="E2842" s="2889" t="s">
        <v>1420</v>
      </c>
      <c r="F2842" s="2890">
        <v>3.133916607174495E-4</v>
      </c>
      <c r="G2842" s="2890">
        <v>1.4838503703926957</v>
      </c>
    </row>
    <row r="2843" spans="2:7" ht="15" hidden="1" outlineLevel="2">
      <c r="B2843" s="2889" t="s">
        <v>1650</v>
      </c>
      <c r="C2843" s="2889" t="s">
        <v>1491</v>
      </c>
      <c r="D2843" s="2889" t="s">
        <v>1054</v>
      </c>
      <c r="E2843" s="2889" t="s">
        <v>1420</v>
      </c>
      <c r="F2843" s="2890">
        <v>7.8302178555353873E-4</v>
      </c>
      <c r="G2843" s="2890">
        <v>3.707463470091668</v>
      </c>
    </row>
    <row r="2844" spans="2:7" ht="15" hidden="1" outlineLevel="2">
      <c r="B2844" s="2889" t="s">
        <v>1651</v>
      </c>
      <c r="C2844" s="2889" t="s">
        <v>1491</v>
      </c>
      <c r="D2844" s="2889" t="s">
        <v>1054</v>
      </c>
      <c r="E2844" s="2889" t="s">
        <v>1420</v>
      </c>
      <c r="F2844" s="2890">
        <v>4.2841426433953752E-4</v>
      </c>
      <c r="G2844" s="2890">
        <v>2.0284615008197178</v>
      </c>
    </row>
    <row r="2845" spans="2:7" ht="15" hidden="1" outlineLevel="2">
      <c r="B2845" s="2889" t="s">
        <v>1652</v>
      </c>
      <c r="C2845" s="2889" t="s">
        <v>1491</v>
      </c>
      <c r="D2845" s="2889" t="s">
        <v>1054</v>
      </c>
      <c r="E2845" s="2889" t="s">
        <v>1420</v>
      </c>
      <c r="F2845" s="2890">
        <v>4.7043648881658147E-4</v>
      </c>
      <c r="G2845" s="2890">
        <v>2.2274284625250695</v>
      </c>
    </row>
    <row r="2846" spans="2:7" ht="15" hidden="1" outlineLevel="2">
      <c r="B2846" s="2889" t="s">
        <v>1653</v>
      </c>
      <c r="C2846" s="2889" t="s">
        <v>1491</v>
      </c>
      <c r="D2846" s="2889" t="s">
        <v>1054</v>
      </c>
      <c r="E2846" s="2889" t="s">
        <v>1420</v>
      </c>
      <c r="F2846" s="2890">
        <v>6.4109261635202507E-35</v>
      </c>
      <c r="G2846" s="2890">
        <v>4.5061821783692092E-31</v>
      </c>
    </row>
    <row r="2847" spans="2:7" ht="15" hidden="1" outlineLevel="2">
      <c r="B2847" s="2889" t="s">
        <v>1407</v>
      </c>
      <c r="C2847" s="2889" t="s">
        <v>1492</v>
      </c>
      <c r="D2847" s="2889" t="s">
        <v>1054</v>
      </c>
      <c r="E2847" s="2889" t="s">
        <v>1420</v>
      </c>
      <c r="F2847" s="2890">
        <v>1.0945712378554294E-4</v>
      </c>
      <c r="G2847" s="2890">
        <v>1.1699954006757545</v>
      </c>
    </row>
    <row r="2848" spans="2:7" ht="15" hidden="1" outlineLevel="2">
      <c r="B2848" s="2889" t="s">
        <v>1631</v>
      </c>
      <c r="C2848" s="2889" t="s">
        <v>1492</v>
      </c>
      <c r="D2848" s="2889" t="s">
        <v>1054</v>
      </c>
      <c r="E2848" s="2889" t="s">
        <v>1420</v>
      </c>
      <c r="F2848" s="2890">
        <v>1.8164231031035745E-3</v>
      </c>
      <c r="G2848" s="2890">
        <v>19.415865343743292</v>
      </c>
    </row>
    <row r="2849" spans="2:7" ht="15" hidden="1" outlineLevel="2">
      <c r="B2849" s="2889" t="s">
        <v>1632</v>
      </c>
      <c r="C2849" s="2889" t="s">
        <v>1492</v>
      </c>
      <c r="D2849" s="2889" t="s">
        <v>1054</v>
      </c>
      <c r="E2849" s="2889" t="s">
        <v>1420</v>
      </c>
      <c r="F2849" s="2890">
        <v>4.2074083354541403E-3</v>
      </c>
      <c r="G2849" s="2890">
        <v>44.973264451792168</v>
      </c>
    </row>
    <row r="2850" spans="2:7" ht="15" hidden="1" outlineLevel="2">
      <c r="B2850" s="2889" t="s">
        <v>1633</v>
      </c>
      <c r="C2850" s="2889" t="s">
        <v>1492</v>
      </c>
      <c r="D2850" s="2889" t="s">
        <v>1054</v>
      </c>
      <c r="E2850" s="2889" t="s">
        <v>1420</v>
      </c>
      <c r="F2850" s="2890">
        <v>3.4144008246168357E-4</v>
      </c>
      <c r="G2850" s="2890">
        <v>3.6496764829857766</v>
      </c>
    </row>
    <row r="2851" spans="2:7" ht="15" hidden="1" outlineLevel="2">
      <c r="B2851" s="2889" t="s">
        <v>1634</v>
      </c>
      <c r="C2851" s="2889" t="s">
        <v>1492</v>
      </c>
      <c r="D2851" s="2889" t="s">
        <v>1054</v>
      </c>
      <c r="E2851" s="2889" t="s">
        <v>1420</v>
      </c>
      <c r="F2851" s="2890">
        <v>6.3284953510433627E-5</v>
      </c>
      <c r="G2851" s="2890">
        <v>0.67645709697436929</v>
      </c>
    </row>
    <row r="2852" spans="2:7" ht="15" hidden="1" outlineLevel="2">
      <c r="B2852" s="2889" t="s">
        <v>1635</v>
      </c>
      <c r="C2852" s="2889" t="s">
        <v>1492</v>
      </c>
      <c r="D2852" s="2889" t="s">
        <v>1054</v>
      </c>
      <c r="E2852" s="2889" t="s">
        <v>1420</v>
      </c>
      <c r="F2852" s="2890">
        <v>5.3378850509563545E-4</v>
      </c>
      <c r="G2852" s="2890">
        <v>5.7057012455714418</v>
      </c>
    </row>
    <row r="2853" spans="2:7" ht="15" hidden="1" outlineLevel="2">
      <c r="B2853" s="2889" t="s">
        <v>1636</v>
      </c>
      <c r="C2853" s="2889" t="s">
        <v>1492</v>
      </c>
      <c r="D2853" s="2889" t="s">
        <v>1054</v>
      </c>
      <c r="E2853" s="2889" t="s">
        <v>1420</v>
      </c>
      <c r="F2853" s="2890">
        <v>4.6858459907692665E-4</v>
      </c>
      <c r="G2853" s="2890">
        <v>5.0087309989832756</v>
      </c>
    </row>
    <row r="2854" spans="2:7" ht="15" hidden="1" outlineLevel="2">
      <c r="B2854" s="2889" t="s">
        <v>1637</v>
      </c>
      <c r="C2854" s="2889" t="s">
        <v>1492</v>
      </c>
      <c r="D2854" s="2889" t="s">
        <v>1054</v>
      </c>
      <c r="E2854" s="2889" t="s">
        <v>1420</v>
      </c>
      <c r="F2854" s="2890">
        <v>7.7820826848781809E-4</v>
      </c>
      <c r="G2854" s="2890">
        <v>8.3183208707594076</v>
      </c>
    </row>
    <row r="2855" spans="2:7" ht="15" hidden="1" outlineLevel="2">
      <c r="B2855" s="2889" t="s">
        <v>1638</v>
      </c>
      <c r="C2855" s="2889" t="s">
        <v>1492</v>
      </c>
      <c r="D2855" s="2889" t="s">
        <v>1054</v>
      </c>
      <c r="E2855" s="2889" t="s">
        <v>1420</v>
      </c>
      <c r="F2855" s="3039">
        <v>1.0157919226015414E-4</v>
      </c>
      <c r="G2855" s="2890">
        <v>1.0857866984202986</v>
      </c>
    </row>
    <row r="2856" spans="2:7" ht="15" hidden="1" outlineLevel="2">
      <c r="B2856" s="2889" t="s">
        <v>1639</v>
      </c>
      <c r="C2856" s="2889" t="s">
        <v>1492</v>
      </c>
      <c r="D2856" s="2889" t="s">
        <v>1054</v>
      </c>
      <c r="E2856" s="2889" t="s">
        <v>1420</v>
      </c>
      <c r="F2856" s="3039">
        <v>9.3392202024349721E-4</v>
      </c>
      <c r="G2856" s="2890">
        <v>9.9827509121441853</v>
      </c>
    </row>
    <row r="2857" spans="2:7" ht="15" hidden="1" outlineLevel="2">
      <c r="B2857" s="2889" t="s">
        <v>1640</v>
      </c>
      <c r="C2857" s="2889" t="s">
        <v>1492</v>
      </c>
      <c r="D2857" s="2889" t="s">
        <v>1054</v>
      </c>
      <c r="E2857" s="2889" t="s">
        <v>1420</v>
      </c>
      <c r="F2857" s="3039">
        <v>2.195731276639831E-4</v>
      </c>
      <c r="G2857" s="2890">
        <v>2.3470318924262781</v>
      </c>
    </row>
    <row r="2858" spans="2:7" ht="15" hidden="1" outlineLevel="2">
      <c r="B2858" s="2889" t="s">
        <v>1641</v>
      </c>
      <c r="C2858" s="2889" t="s">
        <v>1492</v>
      </c>
      <c r="D2858" s="2889" t="s">
        <v>1054</v>
      </c>
      <c r="E2858" s="2889" t="s">
        <v>1420</v>
      </c>
      <c r="F2858" s="3039">
        <v>1.1247343896218461E-3</v>
      </c>
      <c r="G2858" s="2890">
        <v>12.022362132269512</v>
      </c>
    </row>
    <row r="2859" spans="2:7" ht="15" hidden="1" outlineLevel="2">
      <c r="B2859" s="2889" t="s">
        <v>1642</v>
      </c>
      <c r="C2859" s="2889" t="s">
        <v>1492</v>
      </c>
      <c r="D2859" s="2889" t="s">
        <v>1054</v>
      </c>
      <c r="E2859" s="2889" t="s">
        <v>1420</v>
      </c>
      <c r="F2859" s="3039">
        <v>8.07317167463835E-4</v>
      </c>
      <c r="G2859" s="2890">
        <v>8.6294668810548778</v>
      </c>
    </row>
    <row r="2860" spans="2:7" ht="15" hidden="1" outlineLevel="2">
      <c r="B2860" s="2889" t="s">
        <v>1643</v>
      </c>
      <c r="C2860" s="2889" t="s">
        <v>1492</v>
      </c>
      <c r="D2860" s="2889" t="s">
        <v>1054</v>
      </c>
      <c r="E2860" s="2889" t="s">
        <v>1420</v>
      </c>
      <c r="F2860" s="3039">
        <v>1.1936076600204007E-4</v>
      </c>
      <c r="G2860" s="2890">
        <v>1.2758555336715427</v>
      </c>
    </row>
    <row r="2861" spans="2:7" ht="15" hidden="1" outlineLevel="2">
      <c r="B2861" s="2889" t="s">
        <v>1644</v>
      </c>
      <c r="C2861" s="2889" t="s">
        <v>1492</v>
      </c>
      <c r="D2861" s="2889" t="s">
        <v>1054</v>
      </c>
      <c r="E2861" s="2889" t="s">
        <v>1420</v>
      </c>
      <c r="F2861" s="3039">
        <v>2.6279268749185248E-3</v>
      </c>
      <c r="G2861" s="2890">
        <v>28.090078927595236</v>
      </c>
    </row>
    <row r="2862" spans="2:7" ht="15" hidden="1" outlineLevel="2">
      <c r="B2862" s="2889" t="s">
        <v>1645</v>
      </c>
      <c r="C2862" s="2889" t="s">
        <v>1492</v>
      </c>
      <c r="D2862" s="2889" t="s">
        <v>1054</v>
      </c>
      <c r="E2862" s="2889" t="s">
        <v>1420</v>
      </c>
      <c r="F2862" s="3039">
        <v>3.0011760625375393E-3</v>
      </c>
      <c r="G2862" s="2890">
        <v>32.079750328051951</v>
      </c>
    </row>
    <row r="2863" spans="2:7" ht="15" hidden="1" outlineLevel="2">
      <c r="B2863" s="2889" t="s">
        <v>1646</v>
      </c>
      <c r="C2863" s="2889" t="s">
        <v>1492</v>
      </c>
      <c r="D2863" s="2889" t="s">
        <v>1054</v>
      </c>
      <c r="E2863" s="2889" t="s">
        <v>1420</v>
      </c>
      <c r="F2863" s="3039">
        <v>1.7550119298132975E-4</v>
      </c>
      <c r="G2863" s="2890">
        <v>1.8759443372812226</v>
      </c>
    </row>
    <row r="2864" spans="2:7" ht="15" hidden="1" outlineLevel="2">
      <c r="B2864" s="2889" t="s">
        <v>1647</v>
      </c>
      <c r="C2864" s="2889" t="s">
        <v>1492</v>
      </c>
      <c r="D2864" s="2889" t="s">
        <v>1054</v>
      </c>
      <c r="E2864" s="2889" t="s">
        <v>1420</v>
      </c>
      <c r="F2864" s="3039">
        <v>4.3808574253531503E-4</v>
      </c>
      <c r="G2864" s="2890">
        <v>4.6827295468043717</v>
      </c>
    </row>
    <row r="2865" spans="2:7" ht="15" hidden="1" outlineLevel="2">
      <c r="B2865" s="2889" t="s">
        <v>1648</v>
      </c>
      <c r="C2865" s="2889" t="s">
        <v>1492</v>
      </c>
      <c r="D2865" s="2889" t="s">
        <v>1054</v>
      </c>
      <c r="E2865" s="2889" t="s">
        <v>1420</v>
      </c>
      <c r="F2865" s="3039">
        <v>4.9114568311686235E-5</v>
      </c>
      <c r="G2865" s="2890">
        <v>0.52498864764635944</v>
      </c>
    </row>
    <row r="2866" spans="2:7" ht="15" hidden="1" outlineLevel="2">
      <c r="B2866" s="2889" t="s">
        <v>1649</v>
      </c>
      <c r="C2866" s="2889" t="s">
        <v>1492</v>
      </c>
      <c r="D2866" s="2889" t="s">
        <v>1054</v>
      </c>
      <c r="E2866" s="2889" t="s">
        <v>1420</v>
      </c>
      <c r="F2866" s="3039">
        <v>2.3296528139548684E-4</v>
      </c>
      <c r="G2866" s="2890">
        <v>2.4901807224240695</v>
      </c>
    </row>
    <row r="2867" spans="2:7" ht="15" hidden="1" outlineLevel="2">
      <c r="B2867" s="2889" t="s">
        <v>1650</v>
      </c>
      <c r="C2867" s="2889" t="s">
        <v>1492</v>
      </c>
      <c r="D2867" s="2889" t="s">
        <v>1054</v>
      </c>
      <c r="E2867" s="2889" t="s">
        <v>1420</v>
      </c>
      <c r="F2867" s="3039">
        <v>5.8207334608071618E-4</v>
      </c>
      <c r="G2867" s="2890">
        <v>6.2218208425736297</v>
      </c>
    </row>
    <row r="2868" spans="2:7" ht="15" hidden="1" outlineLevel="2">
      <c r="B2868" s="2889" t="s">
        <v>1651</v>
      </c>
      <c r="C2868" s="2889" t="s">
        <v>1492</v>
      </c>
      <c r="D2868" s="2889" t="s">
        <v>1054</v>
      </c>
      <c r="E2868" s="2889" t="s">
        <v>1420</v>
      </c>
      <c r="F2868" s="3039">
        <v>3.1846949036357634E-4</v>
      </c>
      <c r="G2868" s="2890">
        <v>3.4041395554532841</v>
      </c>
    </row>
    <row r="2869" spans="2:7" ht="15" hidden="1" outlineLevel="2">
      <c r="B2869" s="2889" t="s">
        <v>1652</v>
      </c>
      <c r="C2869" s="2889" t="s">
        <v>1492</v>
      </c>
      <c r="D2869" s="2889" t="s">
        <v>1054</v>
      </c>
      <c r="E2869" s="2889" t="s">
        <v>1420</v>
      </c>
      <c r="F2869" s="3039">
        <v>3.4970733919950593E-4</v>
      </c>
      <c r="G2869" s="2890">
        <v>3.7380442499467272</v>
      </c>
    </row>
    <row r="2870" spans="2:7" ht="15" hidden="1" outlineLevel="2">
      <c r="B2870" s="2889" t="s">
        <v>1653</v>
      </c>
      <c r="C2870" s="2889" t="s">
        <v>1492</v>
      </c>
      <c r="D2870" s="2889" t="s">
        <v>1054</v>
      </c>
      <c r="E2870" s="2889" t="s">
        <v>1420</v>
      </c>
      <c r="F2870" s="3039">
        <v>6.3495751445360996E-35</v>
      </c>
      <c r="G2870" s="2890">
        <v>5.5876112040841091E-31</v>
      </c>
    </row>
    <row r="2871" spans="2:7" ht="15" hidden="1" outlineLevel="2">
      <c r="B2871" s="2889" t="s">
        <v>1407</v>
      </c>
      <c r="C2871" s="2889" t="s">
        <v>1493</v>
      </c>
      <c r="D2871" s="2889" t="s">
        <v>1054</v>
      </c>
      <c r="E2871" s="2889" t="s">
        <v>1420</v>
      </c>
      <c r="F2871" s="3039">
        <v>8.1051147315854347E-5</v>
      </c>
      <c r="G2871" s="2890">
        <v>0.1935521460979861</v>
      </c>
    </row>
    <row r="2872" spans="2:7" ht="15" hidden="1" outlineLevel="2">
      <c r="B2872" s="2889" t="s">
        <v>1631</v>
      </c>
      <c r="C2872" s="2889" t="s">
        <v>1493</v>
      </c>
      <c r="D2872" s="2889" t="s">
        <v>1054</v>
      </c>
      <c r="E2872" s="2889" t="s">
        <v>1420</v>
      </c>
      <c r="F2872" s="3039">
        <v>1.3450307972903185E-3</v>
      </c>
      <c r="G2872" s="2890">
        <v>3.2119668811962843</v>
      </c>
    </row>
    <row r="2873" spans="2:7" ht="15" hidden="1" outlineLevel="2">
      <c r="B2873" s="2889" t="s">
        <v>1632</v>
      </c>
      <c r="C2873" s="2889" t="s">
        <v>1493</v>
      </c>
      <c r="D2873" s="2889" t="s">
        <v>1054</v>
      </c>
      <c r="E2873" s="2889" t="s">
        <v>1420</v>
      </c>
      <c r="F2873" s="3039">
        <v>3.1155142952454091E-3</v>
      </c>
      <c r="G2873" s="2890">
        <v>7.4399290363535435</v>
      </c>
    </row>
    <row r="2874" spans="2:7" ht="15" hidden="1" outlineLevel="2">
      <c r="B2874" s="2889" t="s">
        <v>1633</v>
      </c>
      <c r="C2874" s="2889" t="s">
        <v>1493</v>
      </c>
      <c r="D2874" s="2889" t="s">
        <v>1054</v>
      </c>
      <c r="E2874" s="2889" t="s">
        <v>1420</v>
      </c>
      <c r="F2874" s="3039">
        <v>2.5283074213370605E-4</v>
      </c>
      <c r="G2874" s="2890">
        <v>0.60376596217702327</v>
      </c>
    </row>
    <row r="2875" spans="2:7" ht="15" hidden="1" outlineLevel="2">
      <c r="B2875" s="2889" t="s">
        <v>1634</v>
      </c>
      <c r="C2875" s="2889" t="s">
        <v>1493</v>
      </c>
      <c r="D2875" s="2889" t="s">
        <v>1054</v>
      </c>
      <c r="E2875" s="2889" t="s">
        <v>1420</v>
      </c>
      <c r="F2875" s="3039">
        <v>4.6861432037902379E-5</v>
      </c>
      <c r="G2875" s="2890">
        <v>0.11190623076785181</v>
      </c>
    </row>
    <row r="2876" spans="2:7" ht="15" hidden="1" outlineLevel="2">
      <c r="B2876" s="2889" t="s">
        <v>1635</v>
      </c>
      <c r="C2876" s="2889" t="s">
        <v>1493</v>
      </c>
      <c r="D2876" s="2889" t="s">
        <v>1054</v>
      </c>
      <c r="E2876" s="2889" t="s">
        <v>1420</v>
      </c>
      <c r="F2876" s="3039">
        <v>3.9526149650110905E-4</v>
      </c>
      <c r="G2876" s="2890">
        <v>0.94389414363819613</v>
      </c>
    </row>
    <row r="2877" spans="2:7" ht="15" hidden="1" outlineLevel="2">
      <c r="B2877" s="2889" t="s">
        <v>1636</v>
      </c>
      <c r="C2877" s="2889" t="s">
        <v>1493</v>
      </c>
      <c r="D2877" s="2889" t="s">
        <v>1054</v>
      </c>
      <c r="E2877" s="2889" t="s">
        <v>1420</v>
      </c>
      <c r="F2877" s="3039">
        <v>3.4697894077065936E-4</v>
      </c>
      <c r="G2877" s="2890">
        <v>0.8285940199278955</v>
      </c>
    </row>
    <row r="2878" spans="2:7" ht="15" hidden="1" outlineLevel="2">
      <c r="B2878" s="2889" t="s">
        <v>1637</v>
      </c>
      <c r="C2878" s="2889" t="s">
        <v>1493</v>
      </c>
      <c r="D2878" s="2889" t="s">
        <v>1054</v>
      </c>
      <c r="E2878" s="2889" t="s">
        <v>1420</v>
      </c>
      <c r="F2878" s="3039">
        <v>5.7625011761688351E-4</v>
      </c>
      <c r="G2878" s="2890">
        <v>1.3760993402650965</v>
      </c>
    </row>
    <row r="2879" spans="2:7" ht="15" hidden="1" outlineLevel="2">
      <c r="B2879" s="2889" t="s">
        <v>1638</v>
      </c>
      <c r="C2879" s="2889" t="s">
        <v>1493</v>
      </c>
      <c r="D2879" s="2889" t="s">
        <v>1054</v>
      </c>
      <c r="E2879" s="2889" t="s">
        <v>1420</v>
      </c>
      <c r="F2879" s="3039">
        <v>7.5217689267648811E-5</v>
      </c>
      <c r="G2879" s="2890">
        <v>0.17962161239839833</v>
      </c>
    </row>
    <row r="2880" spans="2:7" ht="15" hidden="1" outlineLevel="2">
      <c r="B2880" s="2889" t="s">
        <v>1639</v>
      </c>
      <c r="C2880" s="2889" t="s">
        <v>1493</v>
      </c>
      <c r="D2880" s="2889" t="s">
        <v>1054</v>
      </c>
      <c r="E2880" s="2889" t="s">
        <v>1420</v>
      </c>
      <c r="F2880" s="2890">
        <v>6.9155352134421001E-4</v>
      </c>
      <c r="G2880" s="2890">
        <v>1.6514472222388212</v>
      </c>
    </row>
    <row r="2881" spans="2:7" ht="15" hidden="1" outlineLevel="2">
      <c r="B2881" s="2889" t="s">
        <v>1640</v>
      </c>
      <c r="C2881" s="2889" t="s">
        <v>1493</v>
      </c>
      <c r="D2881" s="2889" t="s">
        <v>1054</v>
      </c>
      <c r="E2881" s="2889" t="s">
        <v>1420</v>
      </c>
      <c r="F2881" s="2890">
        <v>1.6259025144889448E-4</v>
      </c>
      <c r="G2881" s="2890">
        <v>0.3882694257251329</v>
      </c>
    </row>
    <row r="2882" spans="2:7" ht="15" hidden="1" outlineLevel="2">
      <c r="B2882" s="2889" t="s">
        <v>1641</v>
      </c>
      <c r="C2882" s="2889" t="s">
        <v>1493</v>
      </c>
      <c r="D2882" s="2889" t="s">
        <v>1054</v>
      </c>
      <c r="E2882" s="2889" t="s">
        <v>1420</v>
      </c>
      <c r="F2882" s="2890">
        <v>8.3284729768302803E-4</v>
      </c>
      <c r="G2882" s="2890">
        <v>1.9888586877675323</v>
      </c>
    </row>
    <row r="2883" spans="2:7" ht="15" hidden="1" outlineLevel="2">
      <c r="B2883" s="2889" t="s">
        <v>1642</v>
      </c>
      <c r="C2883" s="2889" t="s">
        <v>1493</v>
      </c>
      <c r="D2883" s="2889" t="s">
        <v>1054</v>
      </c>
      <c r="E2883" s="2889" t="s">
        <v>1420</v>
      </c>
      <c r="F2883" s="2890">
        <v>5.9780462467077383E-4</v>
      </c>
      <c r="G2883" s="2890">
        <v>1.4275724310949889</v>
      </c>
    </row>
    <row r="2884" spans="2:7" ht="15" hidden="1" outlineLevel="2">
      <c r="B2884" s="2889" t="s">
        <v>1643</v>
      </c>
      <c r="C2884" s="2889" t="s">
        <v>1493</v>
      </c>
      <c r="D2884" s="2889" t="s">
        <v>1054</v>
      </c>
      <c r="E2884" s="2889" t="s">
        <v>1420</v>
      </c>
      <c r="F2884" s="2890">
        <v>8.8384650327506391E-5</v>
      </c>
      <c r="G2884" s="2890">
        <v>0.21106460523387602</v>
      </c>
    </row>
    <row r="2885" spans="2:7" ht="15" hidden="1" outlineLevel="2">
      <c r="B2885" s="2889" t="s">
        <v>1644</v>
      </c>
      <c r="C2885" s="2889" t="s">
        <v>1493</v>
      </c>
      <c r="D2885" s="2889" t="s">
        <v>1054</v>
      </c>
      <c r="E2885" s="2889" t="s">
        <v>1420</v>
      </c>
      <c r="F2885" s="2890">
        <v>1.9459350621036226E-3</v>
      </c>
      <c r="G2885" s="2890">
        <v>4.6469395992144955</v>
      </c>
    </row>
    <row r="2886" spans="2:7" ht="15" hidden="1" outlineLevel="2">
      <c r="B2886" s="2889" t="s">
        <v>1645</v>
      </c>
      <c r="C2886" s="2889" t="s">
        <v>1493</v>
      </c>
      <c r="D2886" s="2889" t="s">
        <v>1054</v>
      </c>
      <c r="E2886" s="2889" t="s">
        <v>1420</v>
      </c>
      <c r="F2886" s="2890">
        <v>2.2223190897344247E-3</v>
      </c>
      <c r="G2886" s="2890">
        <v>5.306953160014193</v>
      </c>
    </row>
    <row r="2887" spans="2:7" ht="15" hidden="1" outlineLevel="2">
      <c r="B2887" s="2889" t="s">
        <v>1646</v>
      </c>
      <c r="C2887" s="2889" t="s">
        <v>1493</v>
      </c>
      <c r="D2887" s="2889" t="s">
        <v>1054</v>
      </c>
      <c r="E2887" s="2889" t="s">
        <v>1420</v>
      </c>
      <c r="F2887" s="2890">
        <v>1.2995571054126465E-4</v>
      </c>
      <c r="G2887" s="2890">
        <v>0.31033741896608463</v>
      </c>
    </row>
    <row r="2888" spans="2:7" ht="15" hidden="1" outlineLevel="2">
      <c r="B2888" s="2889" t="s">
        <v>1647</v>
      </c>
      <c r="C2888" s="2889" t="s">
        <v>1493</v>
      </c>
      <c r="D2888" s="2889" t="s">
        <v>1054</v>
      </c>
      <c r="E2888" s="2889" t="s">
        <v>1420</v>
      </c>
      <c r="F2888" s="2890">
        <v>3.2439519633044371E-4</v>
      </c>
      <c r="G2888" s="2890">
        <v>0.7746636682359338</v>
      </c>
    </row>
    <row r="2889" spans="2:7" ht="15" hidden="1" outlineLevel="2">
      <c r="B2889" s="2889" t="s">
        <v>1648</v>
      </c>
      <c r="C2889" s="2889" t="s">
        <v>1493</v>
      </c>
      <c r="D2889" s="2889" t="s">
        <v>1054</v>
      </c>
      <c r="E2889" s="2889" t="s">
        <v>1420</v>
      </c>
      <c r="F2889" s="2890">
        <v>3.6368514001814603E-5</v>
      </c>
      <c r="G2889" s="2890">
        <v>8.6848893426328219E-2</v>
      </c>
    </row>
    <row r="2890" spans="2:7" ht="15" hidden="1" outlineLevel="2">
      <c r="B2890" s="2889" t="s">
        <v>1649</v>
      </c>
      <c r="C2890" s="2889" t="s">
        <v>1493</v>
      </c>
      <c r="D2890" s="2889" t="s">
        <v>1054</v>
      </c>
      <c r="E2890" s="2889" t="s">
        <v>1420</v>
      </c>
      <c r="F2890" s="2890">
        <v>1.7250681264537352E-4</v>
      </c>
      <c r="G2890" s="2890">
        <v>0.41195053288000055</v>
      </c>
    </row>
    <row r="2891" spans="2:7" ht="15" hidden="1" outlineLevel="2">
      <c r="B2891" s="2889" t="s">
        <v>1650</v>
      </c>
      <c r="C2891" s="2889" t="s">
        <v>1493</v>
      </c>
      <c r="D2891" s="2889" t="s">
        <v>1054</v>
      </c>
      <c r="E2891" s="2889" t="s">
        <v>1420</v>
      </c>
      <c r="F2891" s="2890">
        <v>4.3101552815088287E-4</v>
      </c>
      <c r="G2891" s="2890">
        <v>1.0292750520081704</v>
      </c>
    </row>
    <row r="2892" spans="2:7" ht="15" hidden="1" outlineLevel="2">
      <c r="B2892" s="2889" t="s">
        <v>1651</v>
      </c>
      <c r="C2892" s="2889" t="s">
        <v>1493</v>
      </c>
      <c r="D2892" s="2889" t="s">
        <v>1054</v>
      </c>
      <c r="E2892" s="2889" t="s">
        <v>1420</v>
      </c>
      <c r="F2892" s="2890">
        <v>2.3582128492283575E-4</v>
      </c>
      <c r="G2892" s="2890">
        <v>0.56314684559623673</v>
      </c>
    </row>
    <row r="2893" spans="2:7" ht="15" hidden="1" outlineLevel="2">
      <c r="B2893" s="2889" t="s">
        <v>1652</v>
      </c>
      <c r="C2893" s="2889" t="s">
        <v>1493</v>
      </c>
      <c r="D2893" s="2889" t="s">
        <v>1054</v>
      </c>
      <c r="E2893" s="2889" t="s">
        <v>1420</v>
      </c>
      <c r="F2893" s="2890">
        <v>2.5895240602888278E-4</v>
      </c>
      <c r="G2893" s="2890">
        <v>0.61838456883572468</v>
      </c>
    </row>
    <row r="2894" spans="2:7" ht="15" hidden="1" outlineLevel="2">
      <c r="B2894" s="2889" t="s">
        <v>1653</v>
      </c>
      <c r="C2894" s="2889" t="s">
        <v>1493</v>
      </c>
      <c r="D2894" s="2889" t="s">
        <v>1054</v>
      </c>
      <c r="E2894" s="2889" t="s">
        <v>1420</v>
      </c>
      <c r="F2894" s="2890">
        <v>1.3931299995213113E-36</v>
      </c>
      <c r="G2894" s="2890">
        <v>3.5520604857606628E-33</v>
      </c>
    </row>
    <row r="2895" spans="2:7" ht="15" hidden="1" outlineLevel="2">
      <c r="B2895" s="2889" t="s">
        <v>1407</v>
      </c>
      <c r="C2895" s="2889" t="s">
        <v>1494</v>
      </c>
      <c r="D2895" s="2889" t="s">
        <v>1054</v>
      </c>
      <c r="E2895" s="2889" t="s">
        <v>1420</v>
      </c>
      <c r="F2895" s="2890">
        <v>2.2100911348229906E-5</v>
      </c>
      <c r="G2895" s="2890">
        <v>0.12128413991516737</v>
      </c>
    </row>
    <row r="2896" spans="2:7" ht="15" hidden="1" outlineLevel="2">
      <c r="B2896" s="2889" t="s">
        <v>1631</v>
      </c>
      <c r="C2896" s="2889" t="s">
        <v>1494</v>
      </c>
      <c r="D2896" s="2889" t="s">
        <v>1054</v>
      </c>
      <c r="E2896" s="2889" t="s">
        <v>1420</v>
      </c>
      <c r="F2896" s="2890">
        <v>3.6676107427986211E-4</v>
      </c>
      <c r="G2896" s="2890">
        <v>2.0126903422817954</v>
      </c>
    </row>
    <row r="2897" spans="2:7" ht="15" hidden="1" outlineLevel="2">
      <c r="B2897" s="2889" t="s">
        <v>1632</v>
      </c>
      <c r="C2897" s="2889" t="s">
        <v>1494</v>
      </c>
      <c r="D2897" s="2889" t="s">
        <v>1054</v>
      </c>
      <c r="E2897" s="2889" t="s">
        <v>1420</v>
      </c>
      <c r="F2897" s="2890">
        <v>8.4953396602479442E-4</v>
      </c>
      <c r="G2897" s="2890">
        <v>4.6620241763043149</v>
      </c>
    </row>
    <row r="2898" spans="2:7" ht="15" hidden="1" outlineLevel="2">
      <c r="B2898" s="2889" t="s">
        <v>1633</v>
      </c>
      <c r="C2898" s="2889" t="s">
        <v>1494</v>
      </c>
      <c r="D2898" s="2889" t="s">
        <v>1054</v>
      </c>
      <c r="E2898" s="2889" t="s">
        <v>1420</v>
      </c>
      <c r="F2898" s="2890">
        <v>6.8941511736013105E-5</v>
      </c>
      <c r="G2898" s="2890">
        <v>0.37833327722272347</v>
      </c>
    </row>
    <row r="2899" spans="2:7" ht="15" hidden="1" outlineLevel="2">
      <c r="B2899" s="2889" t="s">
        <v>1634</v>
      </c>
      <c r="C2899" s="2889" t="s">
        <v>1494</v>
      </c>
      <c r="D2899" s="2889" t="s">
        <v>1054</v>
      </c>
      <c r="E2899" s="2889" t="s">
        <v>1420</v>
      </c>
      <c r="F2899" s="2890">
        <v>1.2778108607428869E-5</v>
      </c>
      <c r="G2899" s="2890">
        <v>7.0122983860609486E-2</v>
      </c>
    </row>
    <row r="2900" spans="2:7" ht="15" hidden="1" outlineLevel="2">
      <c r="B2900" s="2889" t="s">
        <v>1635</v>
      </c>
      <c r="C2900" s="2889" t="s">
        <v>1494</v>
      </c>
      <c r="D2900" s="2889" t="s">
        <v>1054</v>
      </c>
      <c r="E2900" s="2889" t="s">
        <v>1420</v>
      </c>
      <c r="F2900" s="3039">
        <v>1.0777935817745574E-4</v>
      </c>
      <c r="G2900" s="2890">
        <v>0.59146518038698903</v>
      </c>
    </row>
    <row r="2901" spans="2:7" ht="15" hidden="1" outlineLevel="2">
      <c r="B2901" s="2889" t="s">
        <v>1636</v>
      </c>
      <c r="C2901" s="2889" t="s">
        <v>1494</v>
      </c>
      <c r="D2901" s="2889" t="s">
        <v>1054</v>
      </c>
      <c r="E2901" s="2889" t="s">
        <v>1420</v>
      </c>
      <c r="F2901" s="3039">
        <v>9.461372264385289E-5</v>
      </c>
      <c r="G2901" s="2890">
        <v>0.51921569726230021</v>
      </c>
    </row>
    <row r="2902" spans="2:7" ht="15" hidden="1" outlineLevel="2">
      <c r="B2902" s="2889" t="s">
        <v>1637</v>
      </c>
      <c r="C2902" s="2889" t="s">
        <v>1494</v>
      </c>
      <c r="D2902" s="2889" t="s">
        <v>1054</v>
      </c>
      <c r="E2902" s="2889" t="s">
        <v>1420</v>
      </c>
      <c r="F2902" s="3039">
        <v>1.5713111956916395E-4</v>
      </c>
      <c r="G2902" s="2890">
        <v>0.86229436308473117</v>
      </c>
    </row>
    <row r="2903" spans="2:7" ht="15" hidden="1" outlineLevel="2">
      <c r="B2903" s="2889" t="s">
        <v>1638</v>
      </c>
      <c r="C2903" s="2889" t="s">
        <v>1494</v>
      </c>
      <c r="D2903" s="2889" t="s">
        <v>1054</v>
      </c>
      <c r="E2903" s="2889" t="s">
        <v>1420</v>
      </c>
      <c r="F2903" s="3039">
        <v>2.0510255393466448E-5</v>
      </c>
      <c r="G2903" s="2890">
        <v>0.1125549813190045</v>
      </c>
    </row>
    <row r="2904" spans="2:7" ht="15" hidden="1" outlineLevel="2">
      <c r="B2904" s="2889" t="s">
        <v>1639</v>
      </c>
      <c r="C2904" s="2889" t="s">
        <v>1494</v>
      </c>
      <c r="D2904" s="2889" t="s">
        <v>1054</v>
      </c>
      <c r="E2904" s="2889" t="s">
        <v>1420</v>
      </c>
      <c r="F2904" s="3039">
        <v>1.8857181640860945E-4</v>
      </c>
      <c r="G2904" s="2890">
        <v>1.0348336099008859</v>
      </c>
    </row>
    <row r="2905" spans="2:7" ht="15" hidden="1" outlineLevel="2">
      <c r="B2905" s="2889" t="s">
        <v>1640</v>
      </c>
      <c r="C2905" s="2889" t="s">
        <v>1494</v>
      </c>
      <c r="D2905" s="2889" t="s">
        <v>1054</v>
      </c>
      <c r="E2905" s="2889" t="s">
        <v>1420</v>
      </c>
      <c r="F2905" s="3039">
        <v>4.433486884162038E-5</v>
      </c>
      <c r="G2905" s="2890">
        <v>0.24329823428661518</v>
      </c>
    </row>
    <row r="2906" spans="2:7" ht="15" hidden="1" outlineLevel="2">
      <c r="B2906" s="2889" t="s">
        <v>1641</v>
      </c>
      <c r="C2906" s="2889" t="s">
        <v>1494</v>
      </c>
      <c r="D2906" s="2889" t="s">
        <v>1054</v>
      </c>
      <c r="E2906" s="2889" t="s">
        <v>1420</v>
      </c>
      <c r="F2906" s="3039">
        <v>2.2709946775811602E-4</v>
      </c>
      <c r="G2906" s="2890">
        <v>1.2462636425712066</v>
      </c>
    </row>
    <row r="2907" spans="2:7" ht="15" hidden="1" outlineLevel="2">
      <c r="B2907" s="2889" t="s">
        <v>1642</v>
      </c>
      <c r="C2907" s="2889" t="s">
        <v>1494</v>
      </c>
      <c r="D2907" s="2889" t="s">
        <v>1054</v>
      </c>
      <c r="E2907" s="2889" t="s">
        <v>1420</v>
      </c>
      <c r="F2907" s="2890">
        <v>1.630086186425722E-4</v>
      </c>
      <c r="G2907" s="2890">
        <v>0.89454877247612841</v>
      </c>
    </row>
    <row r="2908" spans="2:7" ht="15" hidden="1" outlineLevel="2">
      <c r="B2908" s="2889" t="s">
        <v>1643</v>
      </c>
      <c r="C2908" s="2889" t="s">
        <v>1494</v>
      </c>
      <c r="D2908" s="2889" t="s">
        <v>1054</v>
      </c>
      <c r="E2908" s="2889" t="s">
        <v>1420</v>
      </c>
      <c r="F2908" s="2890">
        <v>2.4100591627977199E-5</v>
      </c>
      <c r="G2908" s="2890">
        <v>0.13225783721178017</v>
      </c>
    </row>
    <row r="2909" spans="2:7" ht="15" hidden="1" outlineLevel="2">
      <c r="B2909" s="2889" t="s">
        <v>1644</v>
      </c>
      <c r="C2909" s="2889" t="s">
        <v>1494</v>
      </c>
      <c r="D2909" s="2889" t="s">
        <v>1054</v>
      </c>
      <c r="E2909" s="2889" t="s">
        <v>1420</v>
      </c>
      <c r="F2909" s="2890">
        <v>5.3061472364418559E-4</v>
      </c>
      <c r="G2909" s="2890">
        <v>2.9118767048264109</v>
      </c>
    </row>
    <row r="2910" spans="2:7" ht="15" hidden="1" outlineLevel="2">
      <c r="B2910" s="2889" t="s">
        <v>1645</v>
      </c>
      <c r="C2910" s="2889" t="s">
        <v>1494</v>
      </c>
      <c r="D2910" s="2889" t="s">
        <v>1054</v>
      </c>
      <c r="E2910" s="2889" t="s">
        <v>1420</v>
      </c>
      <c r="F2910" s="2890">
        <v>6.0597878674622683E-4</v>
      </c>
      <c r="G2910" s="2890">
        <v>3.3254547455024253</v>
      </c>
    </row>
    <row r="2911" spans="2:7" ht="15" hidden="1" outlineLevel="2">
      <c r="B2911" s="2889" t="s">
        <v>1646</v>
      </c>
      <c r="C2911" s="2889" t="s">
        <v>1494</v>
      </c>
      <c r="D2911" s="2889" t="s">
        <v>1054</v>
      </c>
      <c r="E2911" s="2889" t="s">
        <v>1420</v>
      </c>
      <c r="F2911" s="2890">
        <v>3.5436137779463197E-5</v>
      </c>
      <c r="G2911" s="2890">
        <v>0.19446432570965158</v>
      </c>
    </row>
    <row r="2912" spans="2:7" ht="15" hidden="1" outlineLevel="2">
      <c r="B2912" s="2889" t="s">
        <v>1647</v>
      </c>
      <c r="C2912" s="2889" t="s">
        <v>1494</v>
      </c>
      <c r="D2912" s="2889" t="s">
        <v>1054</v>
      </c>
      <c r="E2912" s="2889" t="s">
        <v>1420</v>
      </c>
      <c r="F2912" s="2890">
        <v>8.8455637919478207E-5</v>
      </c>
      <c r="G2912" s="2890">
        <v>0.48542166858749047</v>
      </c>
    </row>
    <row r="2913" spans="2:7" ht="15" hidden="1" outlineLevel="2">
      <c r="B2913" s="2889" t="s">
        <v>1648</v>
      </c>
      <c r="C2913" s="2889" t="s">
        <v>1494</v>
      </c>
      <c r="D2913" s="2889" t="s">
        <v>1054</v>
      </c>
      <c r="E2913" s="2889" t="s">
        <v>1420</v>
      </c>
      <c r="F2913" s="2890">
        <v>9.9169122066727977E-6</v>
      </c>
      <c r="G2913" s="2890">
        <v>5.4421465723648067E-2</v>
      </c>
    </row>
    <row r="2914" spans="2:7" ht="15" hidden="1" outlineLevel="2">
      <c r="B2914" s="2889" t="s">
        <v>1649</v>
      </c>
      <c r="C2914" s="2889" t="s">
        <v>1494</v>
      </c>
      <c r="D2914" s="2889" t="s">
        <v>1054</v>
      </c>
      <c r="E2914" s="2889" t="s">
        <v>1420</v>
      </c>
      <c r="F2914" s="2890">
        <v>4.7038911916732481E-5</v>
      </c>
      <c r="G2914" s="2890">
        <v>0.25813735633087181</v>
      </c>
    </row>
    <row r="2915" spans="2:7" ht="15" hidden="1" outlineLevel="2">
      <c r="B2915" s="2889" t="s">
        <v>1650</v>
      </c>
      <c r="C2915" s="2889" t="s">
        <v>1494</v>
      </c>
      <c r="D2915" s="2889" t="s">
        <v>1054</v>
      </c>
      <c r="E2915" s="2889" t="s">
        <v>1420</v>
      </c>
      <c r="F2915" s="2890">
        <v>1.1752867941621485E-4</v>
      </c>
      <c r="G2915" s="2890">
        <v>0.64496703379540599</v>
      </c>
    </row>
    <row r="2916" spans="2:7" ht="15" hidden="1" outlineLevel="2">
      <c r="B2916" s="2889" t="s">
        <v>1651</v>
      </c>
      <c r="C2916" s="2889" t="s">
        <v>1494</v>
      </c>
      <c r="D2916" s="2889" t="s">
        <v>1054</v>
      </c>
      <c r="E2916" s="2889" t="s">
        <v>1420</v>
      </c>
      <c r="F2916" s="2890">
        <v>6.4303409818046548E-5</v>
      </c>
      <c r="G2916" s="2890">
        <v>0.35288049630769525</v>
      </c>
    </row>
    <row r="2917" spans="2:7" ht="15" hidden="1" outlineLevel="2">
      <c r="B2917" s="2889" t="s">
        <v>1652</v>
      </c>
      <c r="C2917" s="2889" t="s">
        <v>1494</v>
      </c>
      <c r="D2917" s="2889" t="s">
        <v>1054</v>
      </c>
      <c r="E2917" s="2889" t="s">
        <v>1420</v>
      </c>
      <c r="F2917" s="2890">
        <v>7.0610754680556874E-5</v>
      </c>
      <c r="G2917" s="2890">
        <v>0.38749353505467266</v>
      </c>
    </row>
    <row r="2918" spans="2:7" ht="15" hidden="1" outlineLevel="2">
      <c r="B2918" s="2889" t="s">
        <v>1653</v>
      </c>
      <c r="C2918" s="2889" t="s">
        <v>1494</v>
      </c>
      <c r="D2918" s="2889" t="s">
        <v>1054</v>
      </c>
      <c r="E2918" s="2889" t="s">
        <v>1420</v>
      </c>
      <c r="F2918" s="2890">
        <v>5.0263454186658089E-35</v>
      </c>
      <c r="G2918" s="2890">
        <v>4.4770586099014243E-31</v>
      </c>
    </row>
    <row r="2919" spans="2:7" ht="15" hidden="1" outlineLevel="2">
      <c r="B2919" s="2889" t="s">
        <v>1407</v>
      </c>
      <c r="C2919" s="2889" t="s">
        <v>1495</v>
      </c>
      <c r="D2919" s="2889" t="s">
        <v>1054</v>
      </c>
      <c r="E2919" s="2889" t="s">
        <v>1420</v>
      </c>
      <c r="F2919" s="2890">
        <v>4.7827884455283295E-4</v>
      </c>
      <c r="G2919" s="2890">
        <v>2.1463188069936194</v>
      </c>
    </row>
    <row r="2920" spans="2:7" ht="15" hidden="1" outlineLevel="2">
      <c r="B2920" s="2889" t="s">
        <v>1631</v>
      </c>
      <c r="C2920" s="2889" t="s">
        <v>1495</v>
      </c>
      <c r="D2920" s="2889" t="s">
        <v>1054</v>
      </c>
      <c r="E2920" s="2889" t="s">
        <v>1420</v>
      </c>
      <c r="F2920" s="2890">
        <v>7.9369587344715262E-3</v>
      </c>
      <c r="G2920" s="2890">
        <v>35.6178058716512</v>
      </c>
    </row>
    <row r="2921" spans="2:7" ht="15" hidden="1" outlineLevel="2">
      <c r="B2921" s="2889" t="s">
        <v>1632</v>
      </c>
      <c r="C2921" s="2889" t="s">
        <v>1495</v>
      </c>
      <c r="D2921" s="2889" t="s">
        <v>1054</v>
      </c>
      <c r="E2921" s="2889" t="s">
        <v>1420</v>
      </c>
      <c r="F2921" s="2890">
        <v>1.8384498214086192E-2</v>
      </c>
      <c r="G2921" s="2890">
        <v>82.50204707244967</v>
      </c>
    </row>
    <row r="2922" spans="2:7" ht="15" hidden="1" outlineLevel="2">
      <c r="B2922" s="2889" t="s">
        <v>1633</v>
      </c>
      <c r="C2922" s="2889" t="s">
        <v>1495</v>
      </c>
      <c r="D2922" s="2889" t="s">
        <v>1054</v>
      </c>
      <c r="E2922" s="2889" t="s">
        <v>1420</v>
      </c>
      <c r="F2922" s="2890">
        <v>1.4919414481158783E-3</v>
      </c>
      <c r="G2922" s="2890">
        <v>6.6952182587353493</v>
      </c>
    </row>
    <row r="2923" spans="2:7" ht="15" hidden="1" outlineLevel="2">
      <c r="B2923" s="2889" t="s">
        <v>1634</v>
      </c>
      <c r="C2923" s="2889" t="s">
        <v>1495</v>
      </c>
      <c r="D2923" s="2889" t="s">
        <v>1054</v>
      </c>
      <c r="E2923" s="2889" t="s">
        <v>1420</v>
      </c>
      <c r="F2923" s="2890">
        <v>2.7652699220664738E-4</v>
      </c>
      <c r="G2923" s="2890">
        <v>1.2409395160481702</v>
      </c>
    </row>
    <row r="2924" spans="2:7" ht="15" hidden="1" outlineLevel="2">
      <c r="B2924" s="2889" t="s">
        <v>1635</v>
      </c>
      <c r="C2924" s="2889" t="s">
        <v>1495</v>
      </c>
      <c r="D2924" s="2889" t="s">
        <v>1054</v>
      </c>
      <c r="E2924" s="2889" t="s">
        <v>1420</v>
      </c>
      <c r="F2924" s="2890">
        <v>2.3324185299534407E-3</v>
      </c>
      <c r="G2924" s="2890">
        <v>10.466928938205188</v>
      </c>
    </row>
    <row r="2925" spans="2:7" ht="15" hidden="1" outlineLevel="2">
      <c r="B2925" s="2889" t="s">
        <v>1636</v>
      </c>
      <c r="C2925" s="2889" t="s">
        <v>1495</v>
      </c>
      <c r="D2925" s="2889" t="s">
        <v>1054</v>
      </c>
      <c r="E2925" s="2889" t="s">
        <v>1420</v>
      </c>
      <c r="F2925" s="2890">
        <v>2.0475060023723516E-3</v>
      </c>
      <c r="G2925" s="2890">
        <v>9.1883611253191386</v>
      </c>
    </row>
    <row r="2926" spans="2:7" ht="15" hidden="1" outlineLevel="2">
      <c r="B2926" s="2889" t="s">
        <v>1637</v>
      </c>
      <c r="C2926" s="2889" t="s">
        <v>1495</v>
      </c>
      <c r="D2926" s="2889" t="s">
        <v>1054</v>
      </c>
      <c r="E2926" s="2889" t="s">
        <v>1420</v>
      </c>
      <c r="F2926" s="2890">
        <v>3.4004231535545324E-3</v>
      </c>
      <c r="G2926" s="2890">
        <v>15.25969747884319</v>
      </c>
    </row>
    <row r="2927" spans="2:7" ht="15" hidden="1" outlineLevel="2">
      <c r="B2927" s="2889" t="s">
        <v>1638</v>
      </c>
      <c r="C2927" s="2889" t="s">
        <v>1495</v>
      </c>
      <c r="D2927" s="2889" t="s">
        <v>1054</v>
      </c>
      <c r="E2927" s="2889" t="s">
        <v>1420</v>
      </c>
      <c r="F2927" s="2890">
        <v>4.43855809655459E-4</v>
      </c>
      <c r="G2927" s="2890">
        <v>1.9918421817186147</v>
      </c>
    </row>
    <row r="2928" spans="2:7" ht="15" hidden="1" outlineLevel="2">
      <c r="B2928" s="2889" t="s">
        <v>1639</v>
      </c>
      <c r="C2928" s="2889" t="s">
        <v>1495</v>
      </c>
      <c r="D2928" s="2889" t="s">
        <v>1054</v>
      </c>
      <c r="E2928" s="2889" t="s">
        <v>1420</v>
      </c>
      <c r="F2928" s="2890">
        <v>4.0808233031935691E-3</v>
      </c>
      <c r="G2928" s="2890">
        <v>18.313047344589354</v>
      </c>
    </row>
    <row r="2929" spans="2:7" ht="15" hidden="1" outlineLevel="2">
      <c r="B2929" s="2889" t="s">
        <v>1640</v>
      </c>
      <c r="C2929" s="2889" t="s">
        <v>1495</v>
      </c>
      <c r="D2929" s="2889" t="s">
        <v>1054</v>
      </c>
      <c r="E2929" s="2889" t="s">
        <v>1420</v>
      </c>
      <c r="F2929" s="2890">
        <v>9.5943685812261694E-4</v>
      </c>
      <c r="G2929" s="2890">
        <v>4.3055558079881671</v>
      </c>
    </row>
    <row r="2930" spans="2:7" ht="15" hidden="1" outlineLevel="2">
      <c r="B2930" s="2889" t="s">
        <v>1641</v>
      </c>
      <c r="C2930" s="2889" t="s">
        <v>1495</v>
      </c>
      <c r="D2930" s="2889" t="s">
        <v>1054</v>
      </c>
      <c r="E2930" s="2889" t="s">
        <v>1420</v>
      </c>
      <c r="F2930" s="2890">
        <v>4.9145871474715348E-3</v>
      </c>
      <c r="G2930" s="2890">
        <v>22.054640761238225</v>
      </c>
    </row>
    <row r="2931" spans="2:7" ht="15" hidden="1" outlineLevel="2">
      <c r="B2931" s="2889" t="s">
        <v>1642</v>
      </c>
      <c r="C2931" s="2889" t="s">
        <v>1495</v>
      </c>
      <c r="D2931" s="2889" t="s">
        <v>1054</v>
      </c>
      <c r="E2931" s="2889" t="s">
        <v>1420</v>
      </c>
      <c r="F2931" s="2890">
        <v>3.5276153784559502E-3</v>
      </c>
      <c r="G2931" s="2890">
        <v>15.830488440696387</v>
      </c>
    </row>
    <row r="2932" spans="2:7" ht="15" hidden="1" outlineLevel="2">
      <c r="B2932" s="2889" t="s">
        <v>1643</v>
      </c>
      <c r="C2932" s="2889" t="s">
        <v>1495</v>
      </c>
      <c r="D2932" s="2889" t="s">
        <v>1054</v>
      </c>
      <c r="E2932" s="2889" t="s">
        <v>1420</v>
      </c>
      <c r="F2932" s="2890">
        <v>5.2155340400668662E-4</v>
      </c>
      <c r="G2932" s="2890">
        <v>2.3405166621381257</v>
      </c>
    </row>
    <row r="2933" spans="2:7" ht="15" hidden="1" outlineLevel="2">
      <c r="B2933" s="2889" t="s">
        <v>1644</v>
      </c>
      <c r="C2933" s="2889" t="s">
        <v>1495</v>
      </c>
      <c r="D2933" s="2889" t="s">
        <v>1054</v>
      </c>
      <c r="E2933" s="2889" t="s">
        <v>1420</v>
      </c>
      <c r="F2933" s="2890">
        <v>1.1482867118741887E-2</v>
      </c>
      <c r="G2933" s="2890">
        <v>51.530379321853275</v>
      </c>
    </row>
    <row r="2934" spans="2:7" ht="15" hidden="1" outlineLevel="2">
      <c r="B2934" s="2889" t="s">
        <v>1645</v>
      </c>
      <c r="C2934" s="2889" t="s">
        <v>1495</v>
      </c>
      <c r="D2934" s="2889" t="s">
        <v>1054</v>
      </c>
      <c r="E2934" s="2889" t="s">
        <v>1420</v>
      </c>
      <c r="F2934" s="2890">
        <v>1.3113800447251059E-2</v>
      </c>
      <c r="G2934" s="2890">
        <v>58.849315100366567</v>
      </c>
    </row>
    <row r="2935" spans="2:7" ht="15" hidden="1" outlineLevel="2">
      <c r="B2935" s="2889" t="s">
        <v>1646</v>
      </c>
      <c r="C2935" s="2889" t="s">
        <v>1495</v>
      </c>
      <c r="D2935" s="2889" t="s">
        <v>1054</v>
      </c>
      <c r="E2935" s="2889" t="s">
        <v>1420</v>
      </c>
      <c r="F2935" s="2890">
        <v>7.6686204388195687E-4</v>
      </c>
      <c r="G2935" s="2890">
        <v>3.4413602633579008</v>
      </c>
    </row>
    <row r="2936" spans="2:7" ht="15" hidden="1" outlineLevel="2">
      <c r="B2936" s="2889" t="s">
        <v>1647</v>
      </c>
      <c r="C2936" s="2889" t="s">
        <v>1495</v>
      </c>
      <c r="D2936" s="2889" t="s">
        <v>1054</v>
      </c>
      <c r="E2936" s="2889" t="s">
        <v>1420</v>
      </c>
      <c r="F2936" s="2890">
        <v>1.9142394976093644E-3</v>
      </c>
      <c r="G2936" s="2890">
        <v>8.5903207259974508</v>
      </c>
    </row>
    <row r="2937" spans="2:7" ht="15" hidden="1" outlineLevel="2">
      <c r="B2937" s="2889" t="s">
        <v>1648</v>
      </c>
      <c r="C2937" s="2889" t="s">
        <v>1495</v>
      </c>
      <c r="D2937" s="2889" t="s">
        <v>1054</v>
      </c>
      <c r="E2937" s="2889" t="s">
        <v>1420</v>
      </c>
      <c r="F2937" s="2890">
        <v>2.1460868245343009E-4</v>
      </c>
      <c r="G2937" s="2890">
        <v>0.96307553958602587</v>
      </c>
    </row>
    <row r="2938" spans="2:7" ht="15" hidden="1" outlineLevel="2">
      <c r="B2938" s="2889" t="s">
        <v>1649</v>
      </c>
      <c r="C2938" s="2889" t="s">
        <v>1495</v>
      </c>
      <c r="D2938" s="2889" t="s">
        <v>1054</v>
      </c>
      <c r="E2938" s="2889" t="s">
        <v>1420</v>
      </c>
      <c r="F2938" s="2890">
        <v>1.0179541769035736E-3</v>
      </c>
      <c r="G2938" s="2890">
        <v>4.5681591980850049</v>
      </c>
    </row>
    <row r="2939" spans="2:7" ht="15" hidden="1" outlineLevel="2">
      <c r="B2939" s="2889" t="s">
        <v>1650</v>
      </c>
      <c r="C2939" s="2889" t="s">
        <v>1495</v>
      </c>
      <c r="D2939" s="2889" t="s">
        <v>1054</v>
      </c>
      <c r="E2939" s="2889" t="s">
        <v>1420</v>
      </c>
      <c r="F2939" s="3039">
        <v>2.543401335560005E-3</v>
      </c>
      <c r="G2939" s="2890">
        <v>11.413736252394688</v>
      </c>
    </row>
    <row r="2940" spans="2:7" ht="15" hidden="1" outlineLevel="2">
      <c r="B2940" s="2889" t="s">
        <v>1651</v>
      </c>
      <c r="C2940" s="2889" t="s">
        <v>1495</v>
      </c>
      <c r="D2940" s="2889" t="s">
        <v>1054</v>
      </c>
      <c r="E2940" s="2889" t="s">
        <v>1420</v>
      </c>
      <c r="F2940" s="3039">
        <v>1.3915694299473211E-3</v>
      </c>
      <c r="G2940" s="2890">
        <v>6.244789903577443</v>
      </c>
    </row>
    <row r="2941" spans="2:7" ht="15" hidden="1" outlineLevel="2">
      <c r="B2941" s="2889" t="s">
        <v>1652</v>
      </c>
      <c r="C2941" s="2889" t="s">
        <v>1495</v>
      </c>
      <c r="D2941" s="2889" t="s">
        <v>1054</v>
      </c>
      <c r="E2941" s="2889" t="s">
        <v>1420</v>
      </c>
      <c r="F2941" s="3039">
        <v>1.5280645764433991E-3</v>
      </c>
      <c r="G2941" s="2890">
        <v>6.8573264204614732</v>
      </c>
    </row>
    <row r="2942" spans="2:7" ht="15" hidden="1" outlineLevel="2">
      <c r="B2942" s="2889" t="s">
        <v>1653</v>
      </c>
      <c r="C2942" s="2889" t="s">
        <v>1495</v>
      </c>
      <c r="D2942" s="2889" t="s">
        <v>1054</v>
      </c>
      <c r="E2942" s="2889" t="s">
        <v>1420</v>
      </c>
      <c r="F2942" s="3039">
        <v>1.5455633489338472E-34</v>
      </c>
      <c r="G2942" s="2890">
        <v>2.4976966426871716E-30</v>
      </c>
    </row>
    <row r="2943" spans="2:7" ht="15" hidden="1" outlineLevel="2">
      <c r="B2943" s="2889" t="s">
        <v>1407</v>
      </c>
      <c r="C2943" s="2889" t="s">
        <v>1496</v>
      </c>
      <c r="D2943" s="2889" t="s">
        <v>1054</v>
      </c>
      <c r="E2943" s="2889" t="s">
        <v>1420</v>
      </c>
      <c r="F2943" s="3039">
        <v>4.3390917736020151E-4</v>
      </c>
      <c r="G2943" s="2890">
        <v>0.77279812565908512</v>
      </c>
    </row>
    <row r="2944" spans="2:7" ht="15" hidden="1" outlineLevel="2">
      <c r="B2944" s="2889" t="s">
        <v>1631</v>
      </c>
      <c r="C2944" s="2889" t="s">
        <v>1496</v>
      </c>
      <c r="D2944" s="2889" t="s">
        <v>1054</v>
      </c>
      <c r="E2944" s="2889" t="s">
        <v>1420</v>
      </c>
      <c r="F2944" s="3039">
        <v>7.2006534639395521E-3</v>
      </c>
      <c r="G2944" s="2890">
        <v>12.824461713536497</v>
      </c>
    </row>
    <row r="2945" spans="2:7" ht="15" hidden="1" outlineLevel="2">
      <c r="B2945" s="2889" t="s">
        <v>1632</v>
      </c>
      <c r="C2945" s="2889" t="s">
        <v>1496</v>
      </c>
      <c r="D2945" s="2889" t="s">
        <v>1054</v>
      </c>
      <c r="E2945" s="2889" t="s">
        <v>1420</v>
      </c>
      <c r="F2945" s="3039">
        <v>1.6678981022697353E-2</v>
      </c>
      <c r="G2945" s="2890">
        <v>29.705481581034668</v>
      </c>
    </row>
    <row r="2946" spans="2:7" ht="15" hidden="1" outlineLevel="2">
      <c r="B2946" s="2889" t="s">
        <v>1633</v>
      </c>
      <c r="C2946" s="2889" t="s">
        <v>1496</v>
      </c>
      <c r="D2946" s="2889" t="s">
        <v>1054</v>
      </c>
      <c r="E2946" s="2889" t="s">
        <v>1420</v>
      </c>
      <c r="F2946" s="2890">
        <v>1.3535349013253069E-3</v>
      </c>
      <c r="G2946" s="2890">
        <v>2.4106643013359346</v>
      </c>
    </row>
    <row r="2947" spans="2:7" ht="15" hidden="1" outlineLevel="2">
      <c r="B2947" s="2889" t="s">
        <v>1634</v>
      </c>
      <c r="C2947" s="2889" t="s">
        <v>1496</v>
      </c>
      <c r="D2947" s="2889" t="s">
        <v>1054</v>
      </c>
      <c r="E2947" s="2889" t="s">
        <v>1420</v>
      </c>
      <c r="F2947" s="2890">
        <v>2.5087372210056059E-4</v>
      </c>
      <c r="G2947" s="2890">
        <v>0.44680961155282217</v>
      </c>
    </row>
    <row r="2948" spans="2:7" ht="15" hidden="1" outlineLevel="2">
      <c r="B2948" s="2889" t="s">
        <v>1635</v>
      </c>
      <c r="C2948" s="2889" t="s">
        <v>1496</v>
      </c>
      <c r="D2948" s="2889" t="s">
        <v>1054</v>
      </c>
      <c r="E2948" s="2889" t="s">
        <v>1420</v>
      </c>
      <c r="F2948" s="2890">
        <v>2.1160414205367824E-3</v>
      </c>
      <c r="G2948" s="2890">
        <v>3.7686975915218905</v>
      </c>
    </row>
    <row r="2949" spans="2:7" ht="15" hidden="1" outlineLevel="2">
      <c r="B2949" s="2889" t="s">
        <v>1636</v>
      </c>
      <c r="C2949" s="2889" t="s">
        <v>1496</v>
      </c>
      <c r="D2949" s="2889" t="s">
        <v>1054</v>
      </c>
      <c r="E2949" s="2889" t="s">
        <v>1420</v>
      </c>
      <c r="F2949" s="3039">
        <v>1.857560090550146E-3</v>
      </c>
      <c r="G2949" s="2890">
        <v>3.3083396339472642</v>
      </c>
    </row>
    <row r="2950" spans="2:7" ht="15" hidden="1" outlineLevel="2">
      <c r="B2950" s="2889" t="s">
        <v>1637</v>
      </c>
      <c r="C2950" s="2889" t="s">
        <v>1496</v>
      </c>
      <c r="D2950" s="2889" t="s">
        <v>1054</v>
      </c>
      <c r="E2950" s="2889" t="s">
        <v>1420</v>
      </c>
      <c r="F2950" s="2890">
        <v>3.0849679718256071E-3</v>
      </c>
      <c r="G2950" s="2890">
        <v>5.4943682702634584</v>
      </c>
    </row>
    <row r="2951" spans="2:7" ht="15" hidden="1" outlineLevel="2">
      <c r="B2951" s="2889" t="s">
        <v>1638</v>
      </c>
      <c r="C2951" s="2889" t="s">
        <v>1496</v>
      </c>
      <c r="D2951" s="2889" t="s">
        <v>1054</v>
      </c>
      <c r="E2951" s="2889" t="s">
        <v>1420</v>
      </c>
      <c r="F2951" s="2890">
        <v>4.0267954055890664E-4</v>
      </c>
      <c r="G2951" s="2890">
        <v>0.71717783882943131</v>
      </c>
    </row>
    <row r="2952" spans="2:7" ht="15" hidden="1" outlineLevel="2">
      <c r="B2952" s="2889" t="s">
        <v>1639</v>
      </c>
      <c r="C2952" s="2889" t="s">
        <v>1496</v>
      </c>
      <c r="D2952" s="2889" t="s">
        <v>1054</v>
      </c>
      <c r="E2952" s="2889" t="s">
        <v>1420</v>
      </c>
      <c r="F2952" s="3039">
        <v>3.7022471679474221E-3</v>
      </c>
      <c r="G2952" s="2890">
        <v>6.5937521591186243</v>
      </c>
    </row>
    <row r="2953" spans="2:7" ht="15" hidden="1" outlineLevel="2">
      <c r="B2953" s="2889" t="s">
        <v>1640</v>
      </c>
      <c r="C2953" s="2889" t="s">
        <v>1496</v>
      </c>
      <c r="D2953" s="2889" t="s">
        <v>1054</v>
      </c>
      <c r="E2953" s="2889" t="s">
        <v>1420</v>
      </c>
      <c r="F2953" s="2890">
        <v>8.7043106745456999E-4</v>
      </c>
      <c r="G2953" s="2890">
        <v>1.5502490137128364</v>
      </c>
    </row>
    <row r="2954" spans="2:7" ht="15" hidden="1" outlineLevel="2">
      <c r="B2954" s="2889" t="s">
        <v>1641</v>
      </c>
      <c r="C2954" s="2889" t="s">
        <v>1496</v>
      </c>
      <c r="D2954" s="2889" t="s">
        <v>1054</v>
      </c>
      <c r="E2954" s="2889" t="s">
        <v>1420</v>
      </c>
      <c r="F2954" s="2890">
        <v>4.4586651636066652E-3</v>
      </c>
      <c r="G2954" s="2890">
        <v>7.9409400726807311</v>
      </c>
    </row>
    <row r="2955" spans="2:7" ht="15" hidden="1" outlineLevel="2">
      <c r="B2955" s="2889" t="s">
        <v>1642</v>
      </c>
      <c r="C2955" s="2889" t="s">
        <v>1496</v>
      </c>
      <c r="D2955" s="2889" t="s">
        <v>1054</v>
      </c>
      <c r="E2955" s="2889" t="s">
        <v>1420</v>
      </c>
      <c r="F2955" s="2890">
        <v>3.200361539108723E-3</v>
      </c>
      <c r="G2955" s="2890">
        <v>5.6998865179857141</v>
      </c>
    </row>
    <row r="2956" spans="2:7" ht="15" hidden="1" outlineLevel="2">
      <c r="B2956" s="2889" t="s">
        <v>1643</v>
      </c>
      <c r="C2956" s="2889" t="s">
        <v>1496</v>
      </c>
      <c r="D2956" s="2889" t="s">
        <v>1054</v>
      </c>
      <c r="E2956" s="2889" t="s">
        <v>1420</v>
      </c>
      <c r="F2956" s="3039">
        <v>4.731692473334139E-4</v>
      </c>
      <c r="G2956" s="2890">
        <v>0.84272082199204301</v>
      </c>
    </row>
    <row r="2957" spans="2:7" ht="15" hidden="1" outlineLevel="2">
      <c r="B2957" s="2889" t="s">
        <v>1644</v>
      </c>
      <c r="C2957" s="2889" t="s">
        <v>1496</v>
      </c>
      <c r="D2957" s="2889" t="s">
        <v>1054</v>
      </c>
      <c r="E2957" s="2889" t="s">
        <v>1420</v>
      </c>
      <c r="F2957" s="3039">
        <v>1.0417608015189114E-2</v>
      </c>
      <c r="G2957" s="2890">
        <v>18.55390989155298</v>
      </c>
    </row>
    <row r="2958" spans="2:7" ht="15" hidden="1" outlineLevel="2">
      <c r="B2958" s="2889" t="s">
        <v>1645</v>
      </c>
      <c r="C2958" s="2889" t="s">
        <v>1496</v>
      </c>
      <c r="D2958" s="2889" t="s">
        <v>1054</v>
      </c>
      <c r="E2958" s="2889" t="s">
        <v>1420</v>
      </c>
      <c r="F2958" s="3039">
        <v>1.1897238442763206E-2</v>
      </c>
      <c r="G2958" s="2890">
        <v>21.189139707261539</v>
      </c>
    </row>
    <row r="2959" spans="2:7" ht="15" hidden="1" outlineLevel="2">
      <c r="B2959" s="2889" t="s">
        <v>1646</v>
      </c>
      <c r="C2959" s="2889" t="s">
        <v>1496</v>
      </c>
      <c r="D2959" s="2889" t="s">
        <v>1054</v>
      </c>
      <c r="E2959" s="2889" t="s">
        <v>1420</v>
      </c>
      <c r="F2959" s="2890">
        <v>6.9572099285788449E-4</v>
      </c>
      <c r="G2959" s="2890">
        <v>1.2390878977874078</v>
      </c>
    </row>
    <row r="2960" spans="2:7" ht="15" hidden="1" outlineLevel="2">
      <c r="B2960" s="2889" t="s">
        <v>1647</v>
      </c>
      <c r="C2960" s="2889" t="s">
        <v>1496</v>
      </c>
      <c r="D2960" s="2889" t="s">
        <v>1054</v>
      </c>
      <c r="E2960" s="2889" t="s">
        <v>1420</v>
      </c>
      <c r="F2960" s="2890">
        <v>1.7366575941608012E-3</v>
      </c>
      <c r="G2960" s="2890">
        <v>3.0930104515017298</v>
      </c>
    </row>
    <row r="2961" spans="2:7" ht="15" hidden="1" outlineLevel="2">
      <c r="B2961" s="2889" t="s">
        <v>1648</v>
      </c>
      <c r="C2961" s="2889" t="s">
        <v>1496</v>
      </c>
      <c r="D2961" s="2889" t="s">
        <v>1054</v>
      </c>
      <c r="E2961" s="2889" t="s">
        <v>1420</v>
      </c>
      <c r="F2961" s="2890">
        <v>1.9469954952875838E-4</v>
      </c>
      <c r="G2961" s="2890">
        <v>0.34676264104854809</v>
      </c>
    </row>
    <row r="2962" spans="2:7" ht="15" hidden="1" outlineLevel="2">
      <c r="B2962" s="2889" t="s">
        <v>1649</v>
      </c>
      <c r="C2962" s="2889" t="s">
        <v>1496</v>
      </c>
      <c r="D2962" s="2889" t="s">
        <v>1054</v>
      </c>
      <c r="E2962" s="2889" t="s">
        <v>1420</v>
      </c>
      <c r="F2962" s="2890">
        <v>9.2351878305848786E-4</v>
      </c>
      <c r="G2962" s="2890">
        <v>1.6447999715606909</v>
      </c>
    </row>
    <row r="2963" spans="2:7" ht="15" hidden="1" outlineLevel="2">
      <c r="B2963" s="2889" t="s">
        <v>1650</v>
      </c>
      <c r="C2963" s="2889" t="s">
        <v>1496</v>
      </c>
      <c r="D2963" s="2889" t="s">
        <v>1054</v>
      </c>
      <c r="E2963" s="2889" t="s">
        <v>1420</v>
      </c>
      <c r="F2963" s="2890">
        <v>2.3074505815177219E-3</v>
      </c>
      <c r="G2963" s="2890">
        <v>4.109602070530407</v>
      </c>
    </row>
    <row r="2964" spans="2:7" ht="15" hidden="1" outlineLevel="2">
      <c r="B2964" s="2889" t="s">
        <v>1651</v>
      </c>
      <c r="C2964" s="2889" t="s">
        <v>1496</v>
      </c>
      <c r="D2964" s="2889" t="s">
        <v>1054</v>
      </c>
      <c r="E2964" s="2889" t="s">
        <v>1420</v>
      </c>
      <c r="F2964" s="2890">
        <v>1.2624742695856739E-3</v>
      </c>
      <c r="G2964" s="2890">
        <v>2.2484836408553095</v>
      </c>
    </row>
    <row r="2965" spans="2:7" ht="15" hidden="1" outlineLevel="2">
      <c r="B2965" s="2889" t="s">
        <v>1652</v>
      </c>
      <c r="C2965" s="2889" t="s">
        <v>1496</v>
      </c>
      <c r="D2965" s="2889" t="s">
        <v>1054</v>
      </c>
      <c r="E2965" s="2889" t="s">
        <v>1420</v>
      </c>
      <c r="F2965" s="2890">
        <v>1.3863074495958877E-3</v>
      </c>
      <c r="G2965" s="2890">
        <v>2.4690320022559962</v>
      </c>
    </row>
    <row r="2966" spans="2:7" ht="15" hidden="1" outlineLevel="2">
      <c r="B2966" s="2889" t="s">
        <v>1653</v>
      </c>
      <c r="C2966" s="2889" t="s">
        <v>1496</v>
      </c>
      <c r="D2966" s="2889" t="s">
        <v>1054</v>
      </c>
      <c r="E2966" s="2889" t="s">
        <v>1420</v>
      </c>
      <c r="F2966" s="2890">
        <v>5.1446058839019298E-34</v>
      </c>
      <c r="G2966" s="2890">
        <v>8.9750478892751075E-31</v>
      </c>
    </row>
    <row r="2967" spans="2:7" ht="15" hidden="1" outlineLevel="2">
      <c r="B2967" s="2889" t="s">
        <v>1407</v>
      </c>
      <c r="C2967" s="2889" t="s">
        <v>1497</v>
      </c>
      <c r="D2967" s="2889" t="s">
        <v>1054</v>
      </c>
      <c r="E2967" s="2889" t="s">
        <v>1420</v>
      </c>
      <c r="F2967" s="2890">
        <v>1.2038978425747801E-4</v>
      </c>
      <c r="G2967" s="2890">
        <v>1.985689365911584</v>
      </c>
    </row>
    <row r="2968" spans="2:7" ht="15" hidden="1" outlineLevel="2">
      <c r="B2968" s="2889" t="s">
        <v>1631</v>
      </c>
      <c r="C2968" s="2889" t="s">
        <v>1497</v>
      </c>
      <c r="D2968" s="2889" t="s">
        <v>1054</v>
      </c>
      <c r="E2968" s="2889" t="s">
        <v>1420</v>
      </c>
      <c r="F2968" s="2890">
        <v>1.997849793368341E-3</v>
      </c>
      <c r="G2968" s="2890">
        <v>32.952172705121257</v>
      </c>
    </row>
    <row r="2969" spans="2:7" ht="15" hidden="1" outlineLevel="2">
      <c r="B2969" s="2889" t="s">
        <v>1632</v>
      </c>
      <c r="C2969" s="2889" t="s">
        <v>1497</v>
      </c>
      <c r="D2969" s="2889" t="s">
        <v>1054</v>
      </c>
      <c r="E2969" s="2889" t="s">
        <v>1420</v>
      </c>
      <c r="F2969" s="2890">
        <v>4.6276491021284101E-3</v>
      </c>
      <c r="G2969" s="2890">
        <v>76.327631890619003</v>
      </c>
    </row>
    <row r="2970" spans="2:7" ht="15" hidden="1" outlineLevel="2">
      <c r="B2970" s="2889" t="s">
        <v>1633</v>
      </c>
      <c r="C2970" s="2889" t="s">
        <v>1497</v>
      </c>
      <c r="D2970" s="2889" t="s">
        <v>1054</v>
      </c>
      <c r="E2970" s="2889" t="s">
        <v>1420</v>
      </c>
      <c r="F2970" s="3039">
        <v>3.7554367300154039E-4</v>
      </c>
      <c r="G2970" s="2890">
        <v>6.1941515531103324</v>
      </c>
    </row>
    <row r="2971" spans="2:7" ht="15" hidden="1" outlineLevel="2">
      <c r="B2971" s="2889" t="s">
        <v>1634</v>
      </c>
      <c r="C2971" s="2889" t="s">
        <v>1497</v>
      </c>
      <c r="D2971" s="2889" t="s">
        <v>1054</v>
      </c>
      <c r="E2971" s="2889" t="s">
        <v>1420</v>
      </c>
      <c r="F2971" s="3039">
        <v>6.9605945154472843E-5</v>
      </c>
      <c r="G2971" s="2890">
        <v>1.1480677869131977</v>
      </c>
    </row>
    <row r="2972" spans="2:7" ht="15" hidden="1" outlineLevel="2">
      <c r="B2972" s="2889" t="s">
        <v>1635</v>
      </c>
      <c r="C2972" s="2889" t="s">
        <v>1497</v>
      </c>
      <c r="D2972" s="2889" t="s">
        <v>1054</v>
      </c>
      <c r="E2972" s="2889" t="s">
        <v>1420</v>
      </c>
      <c r="F2972" s="2890">
        <v>5.8710401740726267E-4</v>
      </c>
      <c r="G2972" s="2890">
        <v>9.6835872711472959</v>
      </c>
    </row>
    <row r="2973" spans="2:7" ht="15" hidden="1" outlineLevel="2">
      <c r="B2973" s="2889" t="s">
        <v>1636</v>
      </c>
      <c r="C2973" s="2889" t="s">
        <v>1497</v>
      </c>
      <c r="D2973" s="2889" t="s">
        <v>1054</v>
      </c>
      <c r="E2973" s="2889" t="s">
        <v>1420</v>
      </c>
      <c r="F2973" s="2890">
        <v>5.1538724822974618E-4</v>
      </c>
      <c r="G2973" s="2890">
        <v>8.5007086479590672</v>
      </c>
    </row>
    <row r="2974" spans="2:7" ht="15" hidden="1" outlineLevel="2">
      <c r="B2974" s="2889" t="s">
        <v>1637</v>
      </c>
      <c r="C2974" s="2889" t="s">
        <v>1497</v>
      </c>
      <c r="D2974" s="2889" t="s">
        <v>1054</v>
      </c>
      <c r="E2974" s="2889" t="s">
        <v>1420</v>
      </c>
      <c r="F2974" s="2890">
        <v>8.5593718360413794E-4</v>
      </c>
      <c r="G2974" s="2890">
        <v>14.117667403841851</v>
      </c>
    </row>
    <row r="2975" spans="2:7" ht="15" hidden="1" outlineLevel="2">
      <c r="B2975" s="2889" t="s">
        <v>1638</v>
      </c>
      <c r="C2975" s="2889" t="s">
        <v>1497</v>
      </c>
      <c r="D2975" s="2889" t="s">
        <v>1054</v>
      </c>
      <c r="E2975" s="2889" t="s">
        <v>1420</v>
      </c>
      <c r="F2975" s="2890">
        <v>1.1172508900300163E-4</v>
      </c>
      <c r="G2975" s="2890">
        <v>1.842773250616915</v>
      </c>
    </row>
    <row r="2976" spans="2:7" ht="15" hidden="1" outlineLevel="2">
      <c r="B2976" s="2889" t="s">
        <v>1639</v>
      </c>
      <c r="C2976" s="2889" t="s">
        <v>1497</v>
      </c>
      <c r="D2976" s="2889" t="s">
        <v>1054</v>
      </c>
      <c r="E2976" s="2889" t="s">
        <v>1420</v>
      </c>
      <c r="F2976" s="2890">
        <v>1.0272031955651021E-3</v>
      </c>
      <c r="G2976" s="2890">
        <v>16.942511363142351</v>
      </c>
    </row>
    <row r="2977" spans="2:7" ht="15" hidden="1" outlineLevel="2">
      <c r="B2977" s="2889" t="s">
        <v>1640</v>
      </c>
      <c r="C2977" s="2889" t="s">
        <v>1497</v>
      </c>
      <c r="D2977" s="2889" t="s">
        <v>1054</v>
      </c>
      <c r="E2977" s="2889" t="s">
        <v>1420</v>
      </c>
      <c r="F2977" s="2890">
        <v>2.4150436061693724E-4</v>
      </c>
      <c r="G2977" s="2890">
        <v>3.9833312563131358</v>
      </c>
    </row>
    <row r="2978" spans="2:7" ht="15" hidden="1" outlineLevel="2">
      <c r="B2978" s="2889" t="s">
        <v>1641</v>
      </c>
      <c r="C2978" s="2889" t="s">
        <v>1497</v>
      </c>
      <c r="D2978" s="2889" t="s">
        <v>1054</v>
      </c>
      <c r="E2978" s="2889" t="s">
        <v>1420</v>
      </c>
      <c r="F2978" s="2890">
        <v>1.2370740350387294E-3</v>
      </c>
      <c r="G2978" s="2890">
        <v>20.404074122770382</v>
      </c>
    </row>
    <row r="2979" spans="2:7" ht="15" hidden="1" outlineLevel="2">
      <c r="B2979" s="2889" t="s">
        <v>1642</v>
      </c>
      <c r="C2979" s="2889" t="s">
        <v>1497</v>
      </c>
      <c r="D2979" s="2889" t="s">
        <v>1054</v>
      </c>
      <c r="E2979" s="2889" t="s">
        <v>1420</v>
      </c>
      <c r="F2979" s="2890">
        <v>8.8795248524781449E-4</v>
      </c>
      <c r="G2979" s="2890">
        <v>14.645735117544724</v>
      </c>
    </row>
    <row r="2980" spans="2:7" ht="15" hidden="1" outlineLevel="2">
      <c r="B2980" s="2889" t="s">
        <v>1643</v>
      </c>
      <c r="C2980" s="2889" t="s">
        <v>1497</v>
      </c>
      <c r="D2980" s="2889" t="s">
        <v>1054</v>
      </c>
      <c r="E2980" s="2889" t="s">
        <v>1420</v>
      </c>
      <c r="F2980" s="2890">
        <v>1.3128263528162134E-4</v>
      </c>
      <c r="G2980" s="2890">
        <v>2.165352975601825</v>
      </c>
    </row>
    <row r="2981" spans="2:7" ht="15" hidden="1" outlineLevel="2">
      <c r="B2981" s="2889" t="s">
        <v>1644</v>
      </c>
      <c r="C2981" s="2889" t="s">
        <v>1497</v>
      </c>
      <c r="D2981" s="2889" t="s">
        <v>1054</v>
      </c>
      <c r="E2981" s="2889" t="s">
        <v>1420</v>
      </c>
      <c r="F2981" s="2890">
        <v>2.8904080474766967E-3</v>
      </c>
      <c r="G2981" s="2890">
        <v>47.673853612350918</v>
      </c>
    </row>
    <row r="2982" spans="2:7" ht="15" hidden="1" outlineLevel="2">
      <c r="B2982" s="2889" t="s">
        <v>1645</v>
      </c>
      <c r="C2982" s="2889" t="s">
        <v>1497</v>
      </c>
      <c r="D2982" s="2889" t="s">
        <v>1054</v>
      </c>
      <c r="E2982" s="2889" t="s">
        <v>1420</v>
      </c>
      <c r="F2982" s="2890">
        <v>3.3009351290839554E-3</v>
      </c>
      <c r="G2982" s="2890">
        <v>54.445051288217073</v>
      </c>
    </row>
    <row r="2983" spans="2:7" ht="15" hidden="1" outlineLevel="2">
      <c r="B2983" s="2889" t="s">
        <v>1646</v>
      </c>
      <c r="C2983" s="2889" t="s">
        <v>1497</v>
      </c>
      <c r="D2983" s="2889" t="s">
        <v>1054</v>
      </c>
      <c r="E2983" s="2889" t="s">
        <v>1420</v>
      </c>
      <c r="F2983" s="2890">
        <v>1.9303048581571325E-4</v>
      </c>
      <c r="G2983" s="2890">
        <v>3.1838116406986194</v>
      </c>
    </row>
    <row r="2984" spans="2:7" ht="15" hidden="1" outlineLevel="2">
      <c r="B2984" s="2889" t="s">
        <v>1647</v>
      </c>
      <c r="C2984" s="2889" t="s">
        <v>1497</v>
      </c>
      <c r="D2984" s="2889" t="s">
        <v>1054</v>
      </c>
      <c r="E2984" s="2889" t="s">
        <v>1420</v>
      </c>
      <c r="F2984" s="2890">
        <v>4.8184249121345187E-4</v>
      </c>
      <c r="G2984" s="2890">
        <v>7.9474245446040248</v>
      </c>
    </row>
    <row r="2985" spans="2:7" ht="15" hidden="1" outlineLevel="2">
      <c r="B2985" s="2889" t="s">
        <v>1648</v>
      </c>
      <c r="C2985" s="2889" t="s">
        <v>1497</v>
      </c>
      <c r="D2985" s="2889" t="s">
        <v>1054</v>
      </c>
      <c r="E2985" s="2889" t="s">
        <v>1420</v>
      </c>
      <c r="F2985" s="2890">
        <v>5.40201789845248E-5</v>
      </c>
      <c r="G2985" s="2890">
        <v>0.8910001013494383</v>
      </c>
    </row>
    <row r="2986" spans="2:7" ht="15" hidden="1" outlineLevel="2">
      <c r="B2986" s="2889" t="s">
        <v>1649</v>
      </c>
      <c r="C2986" s="2889" t="s">
        <v>1497</v>
      </c>
      <c r="D2986" s="2889" t="s">
        <v>1054</v>
      </c>
      <c r="E2986" s="2889" t="s">
        <v>1420</v>
      </c>
      <c r="F2986" s="2890">
        <v>2.562339851851615E-4</v>
      </c>
      <c r="G2986" s="2890">
        <v>4.2262795168249143</v>
      </c>
    </row>
    <row r="2987" spans="2:7" ht="15" hidden="1" outlineLevel="2">
      <c r="B2987" s="2889" t="s">
        <v>1650</v>
      </c>
      <c r="C2987" s="2889" t="s">
        <v>1497</v>
      </c>
      <c r="D2987" s="2889" t="s">
        <v>1054</v>
      </c>
      <c r="E2987" s="2889" t="s">
        <v>1420</v>
      </c>
      <c r="F2987" s="3039">
        <v>6.4021142093971788E-4</v>
      </c>
      <c r="G2987" s="2890">
        <v>10.559537474261422</v>
      </c>
    </row>
    <row r="2988" spans="2:7" ht="15" hidden="1" outlineLevel="2">
      <c r="B2988" s="2889" t="s">
        <v>1651</v>
      </c>
      <c r="C2988" s="2889" t="s">
        <v>1497</v>
      </c>
      <c r="D2988" s="2889" t="s">
        <v>1054</v>
      </c>
      <c r="E2988" s="2889" t="s">
        <v>1420</v>
      </c>
      <c r="F2988" s="3039">
        <v>3.5027854667896651E-4</v>
      </c>
      <c r="G2988" s="2890">
        <v>5.7774329502054016</v>
      </c>
    </row>
    <row r="2989" spans="2:7" ht="15" hidden="1" outlineLevel="2">
      <c r="B2989" s="2889" t="s">
        <v>1652</v>
      </c>
      <c r="C2989" s="2889" t="s">
        <v>1497</v>
      </c>
      <c r="D2989" s="2889" t="s">
        <v>1054</v>
      </c>
      <c r="E2989" s="2889" t="s">
        <v>1420</v>
      </c>
      <c r="F2989" s="3039">
        <v>3.8463640510953657E-4</v>
      </c>
      <c r="G2989" s="2890">
        <v>6.3441257662699648</v>
      </c>
    </row>
    <row r="2990" spans="2:7" ht="15" hidden="1" outlineLevel="2">
      <c r="B2990" s="2889" t="s">
        <v>1653</v>
      </c>
      <c r="C2990" s="2889" t="s">
        <v>1497</v>
      </c>
      <c r="D2990" s="2889" t="s">
        <v>1054</v>
      </c>
      <c r="E2990" s="2889" t="s">
        <v>1420</v>
      </c>
      <c r="F2990" s="3039">
        <v>3.4206548151183186E-37</v>
      </c>
      <c r="G2990" s="2890">
        <v>6.4615878927369862E-33</v>
      </c>
    </row>
    <row r="2991" spans="2:7" ht="15" hidden="1" outlineLevel="2">
      <c r="B2991" s="2889" t="s">
        <v>1407</v>
      </c>
      <c r="C2991" s="2889" t="s">
        <v>1498</v>
      </c>
      <c r="D2991" s="2889" t="s">
        <v>1054</v>
      </c>
      <c r="E2991" s="2889" t="s">
        <v>1420</v>
      </c>
      <c r="F2991" s="3039">
        <v>3.2908137132080007E-4</v>
      </c>
      <c r="G2991" s="2890">
        <v>0.79087859166600727</v>
      </c>
    </row>
    <row r="2992" spans="2:7" ht="15" hidden="1" outlineLevel="2">
      <c r="B2992" s="2889" t="s">
        <v>1631</v>
      </c>
      <c r="C2992" s="2889" t="s">
        <v>1498</v>
      </c>
      <c r="D2992" s="2889" t="s">
        <v>1054</v>
      </c>
      <c r="E2992" s="2889" t="s">
        <v>1420</v>
      </c>
      <c r="F2992" s="3039">
        <v>5.4610541127784358E-3</v>
      </c>
      <c r="G2992" s="2890">
        <v>13.124499515856058</v>
      </c>
    </row>
    <row r="2993" spans="2:7" ht="15" hidden="1" outlineLevel="2">
      <c r="B2993" s="2889" t="s">
        <v>1632</v>
      </c>
      <c r="C2993" s="2889" t="s">
        <v>1498</v>
      </c>
      <c r="D2993" s="2889" t="s">
        <v>1054</v>
      </c>
      <c r="E2993" s="2889" t="s">
        <v>1420</v>
      </c>
      <c r="F2993" s="3039">
        <v>1.2649519286572125E-2</v>
      </c>
      <c r="G2993" s="2890">
        <v>30.40047111913</v>
      </c>
    </row>
    <row r="2994" spans="2:7" ht="15" hidden="1" outlineLevel="2">
      <c r="B2994" s="2889" t="s">
        <v>1633</v>
      </c>
      <c r="C2994" s="2889" t="s">
        <v>1498</v>
      </c>
      <c r="D2994" s="2889" t="s">
        <v>1054</v>
      </c>
      <c r="E2994" s="2889" t="s">
        <v>1420</v>
      </c>
      <c r="F2994" s="3039">
        <v>1.0265356866156529E-3</v>
      </c>
      <c r="G2994" s="2890">
        <v>2.4670635894609112</v>
      </c>
    </row>
    <row r="2995" spans="2:7" ht="15" hidden="1" outlineLevel="2">
      <c r="B2995" s="2889" t="s">
        <v>1634</v>
      </c>
      <c r="C2995" s="2889" t="s">
        <v>1498</v>
      </c>
      <c r="D2995" s="2889" t="s">
        <v>1054</v>
      </c>
      <c r="E2995" s="2889" t="s">
        <v>1420</v>
      </c>
      <c r="F2995" s="3039">
        <v>1.9026528187644505E-4</v>
      </c>
      <c r="G2995" s="2890">
        <v>0.45726306868716315</v>
      </c>
    </row>
    <row r="2996" spans="2:7" ht="15" hidden="1" outlineLevel="2">
      <c r="B2996" s="2889" t="s">
        <v>1635</v>
      </c>
      <c r="C2996" s="2889" t="s">
        <v>1498</v>
      </c>
      <c r="D2996" s="2889" t="s">
        <v>1054</v>
      </c>
      <c r="E2996" s="2889" t="s">
        <v>1420</v>
      </c>
      <c r="F2996" s="3039">
        <v>1.6048280847340724E-3</v>
      </c>
      <c r="G2996" s="2890">
        <v>3.8568699241875768</v>
      </c>
    </row>
    <row r="2997" spans="2:7" ht="15" hidden="1" outlineLevel="2">
      <c r="B2997" s="2889" t="s">
        <v>1636</v>
      </c>
      <c r="C2997" s="2889" t="s">
        <v>1498</v>
      </c>
      <c r="D2997" s="2889" t="s">
        <v>1054</v>
      </c>
      <c r="E2997" s="2889" t="s">
        <v>1420</v>
      </c>
      <c r="F2997" s="2890">
        <v>1.4087937431657128E-3</v>
      </c>
      <c r="G2997" s="2890">
        <v>3.3298057575020943</v>
      </c>
    </row>
    <row r="2998" spans="2:7" ht="15" hidden="1" outlineLevel="2">
      <c r="B2998" s="2889" t="s">
        <v>1637</v>
      </c>
      <c r="C2998" s="2889" t="s">
        <v>1498</v>
      </c>
      <c r="D2998" s="2889" t="s">
        <v>1054</v>
      </c>
      <c r="E2998" s="2889" t="s">
        <v>1420</v>
      </c>
      <c r="F2998" s="2890">
        <v>2.3396731575651719E-3</v>
      </c>
      <c r="G2998" s="2890">
        <v>5.6229159543255118</v>
      </c>
    </row>
    <row r="2999" spans="2:7" ht="15" hidden="1" outlineLevel="2">
      <c r="B2999" s="2889" t="s">
        <v>1638</v>
      </c>
      <c r="C2999" s="2889" t="s">
        <v>1498</v>
      </c>
      <c r="D2999" s="2889" t="s">
        <v>1054</v>
      </c>
      <c r="E2999" s="2889" t="s">
        <v>1420</v>
      </c>
      <c r="F2999" s="3039">
        <v>3.0539654689813647E-4</v>
      </c>
      <c r="G2999" s="2890">
        <v>0.73395690135890856</v>
      </c>
    </row>
    <row r="3000" spans="2:7" ht="15" hidden="1" outlineLevel="2">
      <c r="B3000" s="2889" t="s">
        <v>1639</v>
      </c>
      <c r="C3000" s="2889" t="s">
        <v>1498</v>
      </c>
      <c r="D3000" s="2889" t="s">
        <v>1054</v>
      </c>
      <c r="E3000" s="2889" t="s">
        <v>1420</v>
      </c>
      <c r="F3000" s="2890">
        <v>2.8078241829473821E-3</v>
      </c>
      <c r="G3000" s="2890">
        <v>6.7480209334450594</v>
      </c>
    </row>
    <row r="3001" spans="2:7" ht="15" hidden="1" outlineLevel="2">
      <c r="B3001" s="2889" t="s">
        <v>1640</v>
      </c>
      <c r="C3001" s="2889" t="s">
        <v>1498</v>
      </c>
      <c r="D3001" s="2889" t="s">
        <v>1054</v>
      </c>
      <c r="E3001" s="2889" t="s">
        <v>1420</v>
      </c>
      <c r="F3001" s="2890">
        <v>6.6014365236063922E-4</v>
      </c>
      <c r="G3001" s="2890">
        <v>1.5865184614993781</v>
      </c>
    </row>
    <row r="3002" spans="2:7" ht="15" hidden="1" outlineLevel="2">
      <c r="B3002" s="2889" t="s">
        <v>1641</v>
      </c>
      <c r="C3002" s="2889" t="s">
        <v>1498</v>
      </c>
      <c r="D3002" s="2889" t="s">
        <v>1054</v>
      </c>
      <c r="E3002" s="2889" t="s">
        <v>1420</v>
      </c>
      <c r="F3002" s="2890">
        <v>3.3814995732835158E-3</v>
      </c>
      <c r="G3002" s="2890">
        <v>8.1267285344898497</v>
      </c>
    </row>
    <row r="3003" spans="2:7" ht="15" hidden="1" outlineLevel="2">
      <c r="B3003" s="2889" t="s">
        <v>1642</v>
      </c>
      <c r="C3003" s="2889" t="s">
        <v>1498</v>
      </c>
      <c r="D3003" s="2889" t="s">
        <v>1054</v>
      </c>
      <c r="E3003" s="2889" t="s">
        <v>1420</v>
      </c>
      <c r="F3003" s="2890">
        <v>2.427188819656007E-3</v>
      </c>
      <c r="G3003" s="2890">
        <v>5.8332406334452145</v>
      </c>
    </row>
    <row r="3004" spans="2:7" ht="15" hidden="1" outlineLevel="2">
      <c r="B3004" s="2889" t="s">
        <v>1643</v>
      </c>
      <c r="C3004" s="2889" t="s">
        <v>1498</v>
      </c>
      <c r="D3004" s="2889" t="s">
        <v>1054</v>
      </c>
      <c r="E3004" s="2889" t="s">
        <v>1420</v>
      </c>
      <c r="F3004" s="2890">
        <v>3.5885661935300601E-4</v>
      </c>
      <c r="G3004" s="2890">
        <v>0.86243697692195154</v>
      </c>
    </row>
    <row r="3005" spans="2:7" ht="15" hidden="1" outlineLevel="2">
      <c r="B3005" s="2889" t="s">
        <v>1644</v>
      </c>
      <c r="C3005" s="2889" t="s">
        <v>1498</v>
      </c>
      <c r="D3005" s="2889" t="s">
        <v>1054</v>
      </c>
      <c r="E3005" s="2889" t="s">
        <v>1420</v>
      </c>
      <c r="F3005" s="2890">
        <v>7.9008238799975102E-3</v>
      </c>
      <c r="G3005" s="2890">
        <v>18.987984992498866</v>
      </c>
    </row>
    <row r="3006" spans="2:7" ht="15" hidden="1" outlineLevel="2">
      <c r="B3006" s="2889" t="s">
        <v>1645</v>
      </c>
      <c r="C3006" s="2889" t="s">
        <v>1498</v>
      </c>
      <c r="D3006" s="2889" t="s">
        <v>1054</v>
      </c>
      <c r="E3006" s="2889" t="s">
        <v>1420</v>
      </c>
      <c r="F3006" s="2890">
        <v>9.0229942582440714E-3</v>
      </c>
      <c r="G3006" s="2890">
        <v>21.684878112376325</v>
      </c>
    </row>
    <row r="3007" spans="2:7" ht="15" hidden="1" outlineLevel="2">
      <c r="B3007" s="2889" t="s">
        <v>1646</v>
      </c>
      <c r="C3007" s="2889" t="s">
        <v>1498</v>
      </c>
      <c r="D3007" s="2889" t="s">
        <v>1054</v>
      </c>
      <c r="E3007" s="2889" t="s">
        <v>1420</v>
      </c>
      <c r="F3007" s="2890">
        <v>5.2764218091916272E-4</v>
      </c>
      <c r="G3007" s="2890">
        <v>1.2680786430598392</v>
      </c>
    </row>
    <row r="3008" spans="2:7" ht="15" hidden="1" outlineLevel="2">
      <c r="B3008" s="2889" t="s">
        <v>1647</v>
      </c>
      <c r="C3008" s="2889" t="s">
        <v>1498</v>
      </c>
      <c r="D3008" s="2889" t="s">
        <v>1054</v>
      </c>
      <c r="E3008" s="2889" t="s">
        <v>1420</v>
      </c>
      <c r="F3008" s="2890">
        <v>1.3170996808128761E-3</v>
      </c>
      <c r="G3008" s="2890">
        <v>3.16537477112389</v>
      </c>
    </row>
    <row r="3009" spans="2:7" ht="15" hidden="1" outlineLevel="2">
      <c r="B3009" s="2889" t="s">
        <v>1648</v>
      </c>
      <c r="C3009" s="2889" t="s">
        <v>1498</v>
      </c>
      <c r="D3009" s="2889" t="s">
        <v>1054</v>
      </c>
      <c r="E3009" s="2889" t="s">
        <v>1420</v>
      </c>
      <c r="F3009" s="2890">
        <v>1.4766236869622162E-4</v>
      </c>
      <c r="G3009" s="2890">
        <v>0.35487559685357623</v>
      </c>
    </row>
    <row r="3010" spans="2:7" ht="15" hidden="1" outlineLevel="2">
      <c r="B3010" s="2889" t="s">
        <v>1649</v>
      </c>
      <c r="C3010" s="2889" t="s">
        <v>1498</v>
      </c>
      <c r="D3010" s="2889" t="s">
        <v>1054</v>
      </c>
      <c r="E3010" s="2889" t="s">
        <v>1420</v>
      </c>
      <c r="F3010" s="2890">
        <v>7.0040717728497089E-4</v>
      </c>
      <c r="G3010" s="2890">
        <v>1.6832824419443024</v>
      </c>
    </row>
    <row r="3011" spans="2:7" ht="15" hidden="1" outlineLevel="2">
      <c r="B3011" s="2889" t="s">
        <v>1650</v>
      </c>
      <c r="C3011" s="2889" t="s">
        <v>1498</v>
      </c>
      <c r="D3011" s="2889" t="s">
        <v>1054</v>
      </c>
      <c r="E3011" s="2889" t="s">
        <v>1420</v>
      </c>
      <c r="F3011" s="2890">
        <v>1.7499964131050399E-3</v>
      </c>
      <c r="G3011" s="2890">
        <v>4.2057504991155881</v>
      </c>
    </row>
    <row r="3012" spans="2:7" ht="15" hidden="1" outlineLevel="2">
      <c r="B3012" s="2889" t="s">
        <v>1651</v>
      </c>
      <c r="C3012" s="2889" t="s">
        <v>1498</v>
      </c>
      <c r="D3012" s="2889" t="s">
        <v>1054</v>
      </c>
      <c r="E3012" s="2889" t="s">
        <v>1420</v>
      </c>
      <c r="F3012" s="2890">
        <v>9.5747414047953354E-4</v>
      </c>
      <c r="G3012" s="2890">
        <v>2.3010895943824243</v>
      </c>
    </row>
    <row r="3013" spans="2:7" ht="15" hidden="1" outlineLevel="2">
      <c r="B3013" s="2889" t="s">
        <v>1652</v>
      </c>
      <c r="C3013" s="2889" t="s">
        <v>1498</v>
      </c>
      <c r="D3013" s="2889" t="s">
        <v>1054</v>
      </c>
      <c r="E3013" s="2889" t="s">
        <v>1420</v>
      </c>
      <c r="F3013" s="2890">
        <v>1.0513905312791662E-3</v>
      </c>
      <c r="G3013" s="2890">
        <v>2.6920039620918246</v>
      </c>
    </row>
    <row r="3014" spans="2:7" ht="15" hidden="1" outlineLevel="2">
      <c r="B3014" s="2889" t="s">
        <v>1653</v>
      </c>
      <c r="C3014" s="2889" t="s">
        <v>1498</v>
      </c>
      <c r="D3014" s="2889" t="s">
        <v>1054</v>
      </c>
      <c r="E3014" s="2889" t="s">
        <v>1420</v>
      </c>
      <c r="F3014" s="2890">
        <v>8.9880013977959222E-35</v>
      </c>
      <c r="G3014" s="2890">
        <v>2.1532901516339633E-31</v>
      </c>
    </row>
    <row r="3015" spans="2:7" ht="15" hidden="1" outlineLevel="2">
      <c r="B3015" s="2889" t="s">
        <v>1407</v>
      </c>
      <c r="C3015" s="2889" t="s">
        <v>1499</v>
      </c>
      <c r="D3015" s="2889" t="s">
        <v>1054</v>
      </c>
      <c r="E3015" s="2889" t="s">
        <v>1420</v>
      </c>
      <c r="F3015" s="2890">
        <v>5.0259717809454929E-5</v>
      </c>
      <c r="G3015" s="2890">
        <v>0.12726389617623471</v>
      </c>
    </row>
    <row r="3016" spans="2:7" ht="15" hidden="1" outlineLevel="2">
      <c r="B3016" s="2889" t="s">
        <v>1631</v>
      </c>
      <c r="C3016" s="2889" t="s">
        <v>1499</v>
      </c>
      <c r="D3016" s="2889" t="s">
        <v>1054</v>
      </c>
      <c r="E3016" s="2889" t="s">
        <v>1420</v>
      </c>
      <c r="F3016" s="2890">
        <v>8.3405253239465251E-4</v>
      </c>
      <c r="G3016" s="2890">
        <v>2.1119246133467899</v>
      </c>
    </row>
    <row r="3017" spans="2:7" ht="15" hidden="1" outlineLevel="2">
      <c r="B3017" s="2889" t="s">
        <v>1632</v>
      </c>
      <c r="C3017" s="2889" t="s">
        <v>1499</v>
      </c>
      <c r="D3017" s="2889" t="s">
        <v>1054</v>
      </c>
      <c r="E3017" s="2889" t="s">
        <v>1420</v>
      </c>
      <c r="F3017" s="2890">
        <v>1.9319274794825964E-3</v>
      </c>
      <c r="G3017" s="2890">
        <v>4.8918821258522911</v>
      </c>
    </row>
    <row r="3018" spans="2:7" ht="15" hidden="1" outlineLevel="2">
      <c r="B3018" s="2889" t="s">
        <v>1633</v>
      </c>
      <c r="C3018" s="2889" t="s">
        <v>1499</v>
      </c>
      <c r="D3018" s="2889" t="s">
        <v>1054</v>
      </c>
      <c r="E3018" s="2889" t="s">
        <v>1420</v>
      </c>
      <c r="F3018" s="2890">
        <v>1.567800138920246E-4</v>
      </c>
      <c r="G3018" s="2890">
        <v>0.39698658345554466</v>
      </c>
    </row>
    <row r="3019" spans="2:7" ht="15" hidden="1" outlineLevel="2">
      <c r="B3019" s="2889" t="s">
        <v>1634</v>
      </c>
      <c r="C3019" s="2889" t="s">
        <v>1499</v>
      </c>
      <c r="D3019" s="2889" t="s">
        <v>1054</v>
      </c>
      <c r="E3019" s="2889" t="s">
        <v>1420</v>
      </c>
      <c r="F3019" s="2890">
        <v>2.9058739266679836E-5</v>
      </c>
      <c r="G3019" s="2890">
        <v>7.3580342063450876E-2</v>
      </c>
    </row>
    <row r="3020" spans="2:7" ht="15" hidden="1" outlineLevel="2">
      <c r="B3020" s="2889" t="s">
        <v>1635</v>
      </c>
      <c r="C3020" s="2889" t="s">
        <v>1499</v>
      </c>
      <c r="D3020" s="2889" t="s">
        <v>1054</v>
      </c>
      <c r="E3020" s="2889" t="s">
        <v>1420</v>
      </c>
      <c r="F3020" s="3039">
        <v>2.4510130434040353E-4</v>
      </c>
      <c r="G3020" s="2890">
        <v>0.62062671928165292</v>
      </c>
    </row>
    <row r="3021" spans="2:7" ht="15" hidden="1" outlineLevel="2">
      <c r="B3021" s="2889" t="s">
        <v>1636</v>
      </c>
      <c r="C3021" s="2889" t="s">
        <v>1499</v>
      </c>
      <c r="D3021" s="2889" t="s">
        <v>1054</v>
      </c>
      <c r="E3021" s="2889" t="s">
        <v>1420</v>
      </c>
      <c r="F3021" s="3039">
        <v>2.1160673362665279E-4</v>
      </c>
      <c r="G3021" s="2890">
        <v>0.54481524858311581</v>
      </c>
    </row>
    <row r="3022" spans="2:7" ht="15" hidden="1" outlineLevel="2">
      <c r="B3022" s="2889" t="s">
        <v>1637</v>
      </c>
      <c r="C3022" s="2889" t="s">
        <v>1499</v>
      </c>
      <c r="D3022" s="2889" t="s">
        <v>1054</v>
      </c>
      <c r="E3022" s="2889" t="s">
        <v>1420</v>
      </c>
      <c r="F3022" s="3039">
        <v>3.5733217891199641E-4</v>
      </c>
      <c r="G3022" s="2890">
        <v>0.90480919734597931</v>
      </c>
    </row>
    <row r="3023" spans="2:7" ht="15" hidden="1" outlineLevel="2">
      <c r="B3023" s="2889" t="s">
        <v>1638</v>
      </c>
      <c r="C3023" s="2889" t="s">
        <v>1499</v>
      </c>
      <c r="D3023" s="2889" t="s">
        <v>1054</v>
      </c>
      <c r="E3023" s="2889" t="s">
        <v>1420</v>
      </c>
      <c r="F3023" s="3039">
        <v>4.6642425040518683E-5</v>
      </c>
      <c r="G3023" s="2890">
        <v>0.11810441694945482</v>
      </c>
    </row>
    <row r="3024" spans="2:7" ht="15" hidden="1" outlineLevel="2">
      <c r="B3024" s="2889" t="s">
        <v>1639</v>
      </c>
      <c r="C3024" s="2889" t="s">
        <v>1499</v>
      </c>
      <c r="D3024" s="2889" t="s">
        <v>1054</v>
      </c>
      <c r="E3024" s="2889" t="s">
        <v>1420</v>
      </c>
      <c r="F3024" s="3039">
        <v>4.2883166759629223E-4</v>
      </c>
      <c r="G3024" s="2890">
        <v>1.0858552198073586</v>
      </c>
    </row>
    <row r="3025" spans="2:7" ht="15" hidden="1" outlineLevel="2">
      <c r="B3025" s="2889" t="s">
        <v>1640</v>
      </c>
      <c r="C3025" s="2889" t="s">
        <v>1499</v>
      </c>
      <c r="D3025" s="2889" t="s">
        <v>1054</v>
      </c>
      <c r="E3025" s="2889" t="s">
        <v>1420</v>
      </c>
      <c r="F3025" s="3039">
        <v>1.0082198689260377E-4</v>
      </c>
      <c r="G3025" s="2890">
        <v>0.25529393872532447</v>
      </c>
    </row>
    <row r="3026" spans="2:7" ht="15" hidden="1" outlineLevel="2">
      <c r="B3026" s="2889" t="s">
        <v>1641</v>
      </c>
      <c r="C3026" s="2889" t="s">
        <v>1499</v>
      </c>
      <c r="D3026" s="2889" t="s">
        <v>1054</v>
      </c>
      <c r="E3026" s="2889" t="s">
        <v>1420</v>
      </c>
      <c r="F3026" s="2890">
        <v>5.1644756675154897E-4</v>
      </c>
      <c r="G3026" s="2890">
        <v>1.307709499402848</v>
      </c>
    </row>
    <row r="3027" spans="2:7" ht="15" hidden="1" outlineLevel="2">
      <c r="B3027" s="2889" t="s">
        <v>1642</v>
      </c>
      <c r="C3027" s="2889" t="s">
        <v>1499</v>
      </c>
      <c r="D3027" s="2889" t="s">
        <v>1054</v>
      </c>
      <c r="E3027" s="2889" t="s">
        <v>1420</v>
      </c>
      <c r="F3027" s="2890">
        <v>3.7069818280237348E-4</v>
      </c>
      <c r="G3027" s="2890">
        <v>0.93865392355230381</v>
      </c>
    </row>
    <row r="3028" spans="2:7" ht="15" hidden="1" outlineLevel="2">
      <c r="B3028" s="2889" t="s">
        <v>1643</v>
      </c>
      <c r="C3028" s="2889" t="s">
        <v>1499</v>
      </c>
      <c r="D3028" s="2889" t="s">
        <v>1054</v>
      </c>
      <c r="E3028" s="2889" t="s">
        <v>1420</v>
      </c>
      <c r="F3028" s="2890">
        <v>5.4807239287307334E-5</v>
      </c>
      <c r="G3028" s="2890">
        <v>0.13877874142979385</v>
      </c>
    </row>
    <row r="3029" spans="2:7" ht="15" hidden="1" outlineLevel="2">
      <c r="B3029" s="2889" t="s">
        <v>1644</v>
      </c>
      <c r="C3029" s="2889" t="s">
        <v>1499</v>
      </c>
      <c r="D3029" s="2889" t="s">
        <v>1054</v>
      </c>
      <c r="E3029" s="2889" t="s">
        <v>1420</v>
      </c>
      <c r="F3029" s="2890">
        <v>1.2066723080553126E-3</v>
      </c>
      <c r="G3029" s="2890">
        <v>3.0554459384701942</v>
      </c>
    </row>
    <row r="3030" spans="2:7" ht="15" hidden="1" outlineLevel="2">
      <c r="B3030" s="2889" t="s">
        <v>1645</v>
      </c>
      <c r="C3030" s="2889" t="s">
        <v>1499</v>
      </c>
      <c r="D3030" s="2889" t="s">
        <v>1054</v>
      </c>
      <c r="E3030" s="2889" t="s">
        <v>1420</v>
      </c>
      <c r="F3030" s="2890">
        <v>1.3780582172519438E-3</v>
      </c>
      <c r="G3030" s="2890">
        <v>3.4894153374824302</v>
      </c>
    </row>
    <row r="3031" spans="2:7" ht="15" hidden="1" outlineLevel="2">
      <c r="B3031" s="2889" t="s">
        <v>1646</v>
      </c>
      <c r="C3031" s="2889" t="s">
        <v>1499</v>
      </c>
      <c r="D3031" s="2889" t="s">
        <v>1054</v>
      </c>
      <c r="E3031" s="2889" t="s">
        <v>1420</v>
      </c>
      <c r="F3031" s="2890">
        <v>8.0585429639697329E-5</v>
      </c>
      <c r="G3031" s="2890">
        <v>0.20405229643734488</v>
      </c>
    </row>
    <row r="3032" spans="2:7" ht="15" hidden="1" outlineLevel="2">
      <c r="B3032" s="2889" t="s">
        <v>1647</v>
      </c>
      <c r="C3032" s="2889" t="s">
        <v>1499</v>
      </c>
      <c r="D3032" s="2889" t="s">
        <v>1054</v>
      </c>
      <c r="E3032" s="2889" t="s">
        <v>1420</v>
      </c>
      <c r="F3032" s="2890">
        <v>2.0115715894421227E-4</v>
      </c>
      <c r="G3032" s="2890">
        <v>0.50935495185648827</v>
      </c>
    </row>
    <row r="3033" spans="2:7" ht="15" hidden="1" outlineLevel="2">
      <c r="B3033" s="2889" t="s">
        <v>1648</v>
      </c>
      <c r="C3033" s="2889" t="s">
        <v>1499</v>
      </c>
      <c r="D3033" s="2889" t="s">
        <v>1054</v>
      </c>
      <c r="E3033" s="2889" t="s">
        <v>1420</v>
      </c>
      <c r="F3033" s="2890">
        <v>2.2552066001132985E-5</v>
      </c>
      <c r="G3033" s="2890">
        <v>5.710465302195035E-2</v>
      </c>
    </row>
    <row r="3034" spans="2:7" ht="15" hidden="1" outlineLevel="2">
      <c r="B3034" s="2889" t="s">
        <v>1649</v>
      </c>
      <c r="C3034" s="2889" t="s">
        <v>1499</v>
      </c>
      <c r="D3034" s="2889" t="s">
        <v>1054</v>
      </c>
      <c r="E3034" s="2889" t="s">
        <v>1420</v>
      </c>
      <c r="F3034" s="2890">
        <v>1.0697128766543203E-4</v>
      </c>
      <c r="G3034" s="2890">
        <v>0.27086460026297643</v>
      </c>
    </row>
    <row r="3035" spans="2:7" ht="15" hidden="1" outlineLevel="2">
      <c r="B3035" s="2889" t="s">
        <v>1650</v>
      </c>
      <c r="C3035" s="2889" t="s">
        <v>1499</v>
      </c>
      <c r="D3035" s="2889" t="s">
        <v>1054</v>
      </c>
      <c r="E3035" s="2889" t="s">
        <v>1420</v>
      </c>
      <c r="F3035" s="2890">
        <v>2.6727222534427757E-4</v>
      </c>
      <c r="G3035" s="2890">
        <v>0.67676683962131667</v>
      </c>
    </row>
    <row r="3036" spans="2:7" ht="15" hidden="1" outlineLevel="2">
      <c r="B3036" s="2889" t="s">
        <v>1651</v>
      </c>
      <c r="C3036" s="2889" t="s">
        <v>1499</v>
      </c>
      <c r="D3036" s="2889" t="s">
        <v>1054</v>
      </c>
      <c r="E3036" s="2889" t="s">
        <v>1420</v>
      </c>
      <c r="F3036" s="2890">
        <v>1.462325070447592E-4</v>
      </c>
      <c r="G3036" s="2890">
        <v>0.37027893154606556</v>
      </c>
    </row>
    <row r="3037" spans="2:7" ht="15" hidden="1" outlineLevel="2">
      <c r="B3037" s="2889" t="s">
        <v>1652</v>
      </c>
      <c r="C3037" s="2889" t="s">
        <v>1499</v>
      </c>
      <c r="D3037" s="2889" t="s">
        <v>1054</v>
      </c>
      <c r="E3037" s="2889" t="s">
        <v>1420</v>
      </c>
      <c r="F3037" s="2890">
        <v>1.7107484498610846E-4</v>
      </c>
      <c r="G3037" s="2890">
        <v>0.43318263392723899</v>
      </c>
    </row>
    <row r="3038" spans="2:7" ht="15" hidden="1" outlineLevel="2">
      <c r="B3038" s="2889" t="s">
        <v>1653</v>
      </c>
      <c r="C3038" s="2889" t="s">
        <v>1499</v>
      </c>
      <c r="D3038" s="2889" t="s">
        <v>1054</v>
      </c>
      <c r="E3038" s="2889" t="s">
        <v>1420</v>
      </c>
      <c r="F3038" s="2890">
        <v>6.8279870837335869E-38</v>
      </c>
      <c r="G3038" s="2890">
        <v>1.7289290835431349E-34</v>
      </c>
    </row>
    <row r="3039" spans="2:7" ht="15" hidden="1" outlineLevel="2">
      <c r="B3039" s="2889" t="s">
        <v>1407</v>
      </c>
      <c r="C3039" s="2889" t="s">
        <v>1500</v>
      </c>
      <c r="D3039" s="2889" t="s">
        <v>1054</v>
      </c>
      <c r="E3039" s="2889" t="s">
        <v>1420</v>
      </c>
      <c r="F3039" s="2890">
        <v>3.6404105112430103E-4</v>
      </c>
      <c r="G3039" s="2890">
        <v>1.3767187810923898</v>
      </c>
    </row>
    <row r="3040" spans="2:7" ht="15" hidden="1" outlineLevel="2">
      <c r="B3040" s="2889" t="s">
        <v>1631</v>
      </c>
      <c r="C3040" s="2889" t="s">
        <v>1500</v>
      </c>
      <c r="D3040" s="2889" t="s">
        <v>1054</v>
      </c>
      <c r="E3040" s="2889" t="s">
        <v>1420</v>
      </c>
      <c r="F3040" s="2890">
        <v>6.0412024094079501E-3</v>
      </c>
      <c r="G3040" s="2890">
        <v>22.846420749796103</v>
      </c>
    </row>
    <row r="3041" spans="2:7" ht="15" hidden="1" outlineLevel="2">
      <c r="B3041" s="2889" t="s">
        <v>1632</v>
      </c>
      <c r="C3041" s="2889" t="s">
        <v>1500</v>
      </c>
      <c r="D3041" s="2889" t="s">
        <v>1054</v>
      </c>
      <c r="E3041" s="2889" t="s">
        <v>1420</v>
      </c>
      <c r="F3041" s="2890">
        <v>1.3993331017006306E-2</v>
      </c>
      <c r="G3041" s="2890">
        <v>52.919499204101001</v>
      </c>
    </row>
    <row r="3042" spans="2:7" ht="15" hidden="1" outlineLevel="2">
      <c r="B3042" s="2889" t="s">
        <v>1633</v>
      </c>
      <c r="C3042" s="2889" t="s">
        <v>1500</v>
      </c>
      <c r="D3042" s="2889" t="s">
        <v>1054</v>
      </c>
      <c r="E3042" s="2889" t="s">
        <v>1420</v>
      </c>
      <c r="F3042" s="2890">
        <v>1.1355888048201503E-3</v>
      </c>
      <c r="G3042" s="2890">
        <v>4.2945296749417174</v>
      </c>
    </row>
    <row r="3043" spans="2:7" ht="15" hidden="1" outlineLevel="2">
      <c r="B3043" s="2889" t="s">
        <v>1634</v>
      </c>
      <c r="C3043" s="2889" t="s">
        <v>1500</v>
      </c>
      <c r="D3043" s="2889" t="s">
        <v>1054</v>
      </c>
      <c r="E3043" s="2889" t="s">
        <v>1420</v>
      </c>
      <c r="F3043" s="2890">
        <v>2.1047807196368826E-4</v>
      </c>
      <c r="G3043" s="2890">
        <v>0.79597937712849631</v>
      </c>
    </row>
    <row r="3044" spans="2:7" ht="15" hidden="1" outlineLevel="2">
      <c r="B3044" s="2889" t="s">
        <v>1635</v>
      </c>
      <c r="C3044" s="2889" t="s">
        <v>1500</v>
      </c>
      <c r="D3044" s="2889" t="s">
        <v>1054</v>
      </c>
      <c r="E3044" s="2889" t="s">
        <v>1420</v>
      </c>
      <c r="F3044" s="2890">
        <v>1.7753156980772492E-3</v>
      </c>
      <c r="G3044" s="2890">
        <v>6.7138275554230757</v>
      </c>
    </row>
    <row r="3045" spans="2:7" ht="15" hidden="1" outlineLevel="2">
      <c r="B3045" s="2889" t="s">
        <v>1636</v>
      </c>
      <c r="C3045" s="2889" t="s">
        <v>1500</v>
      </c>
      <c r="D3045" s="2889" t="s">
        <v>1054</v>
      </c>
      <c r="E3045" s="2889" t="s">
        <v>1420</v>
      </c>
      <c r="F3045" s="2890">
        <v>1.5584547704402592E-3</v>
      </c>
      <c r="G3045" s="2890">
        <v>5.8937138081063516</v>
      </c>
    </row>
    <row r="3046" spans="2:7" ht="15" hidden="1" outlineLevel="2">
      <c r="B3046" s="2889" t="s">
        <v>1637</v>
      </c>
      <c r="C3046" s="2889" t="s">
        <v>1500</v>
      </c>
      <c r="D3046" s="2889" t="s">
        <v>1054</v>
      </c>
      <c r="E3046" s="2889" t="s">
        <v>1420</v>
      </c>
      <c r="F3046" s="2890">
        <v>2.5882255354278214E-3</v>
      </c>
      <c r="G3046" s="2890">
        <v>9.7880655307719273</v>
      </c>
    </row>
    <row r="3047" spans="2:7" ht="15" hidden="1" outlineLevel="2">
      <c r="B3047" s="2889" t="s">
        <v>1638</v>
      </c>
      <c r="C3047" s="2889" t="s">
        <v>1500</v>
      </c>
      <c r="D3047" s="2889" t="s">
        <v>1054</v>
      </c>
      <c r="E3047" s="2889" t="s">
        <v>1420</v>
      </c>
      <c r="F3047" s="2890">
        <v>3.3784004127753256E-4</v>
      </c>
      <c r="G3047" s="2890">
        <v>1.2776323886423049</v>
      </c>
    </row>
    <row r="3048" spans="2:7" ht="15" hidden="1" outlineLevel="2">
      <c r="B3048" s="2889" t="s">
        <v>1639</v>
      </c>
      <c r="C3048" s="2889" t="s">
        <v>1500</v>
      </c>
      <c r="D3048" s="2889" t="s">
        <v>1054</v>
      </c>
      <c r="E3048" s="2889" t="s">
        <v>1420</v>
      </c>
      <c r="F3048" s="2890">
        <v>3.106110388361053E-3</v>
      </c>
      <c r="G3048" s="2890">
        <v>11.746587015665447</v>
      </c>
    </row>
    <row r="3049" spans="2:7" ht="15" hidden="1" outlineLevel="2">
      <c r="B3049" s="2889" t="s">
        <v>1640</v>
      </c>
      <c r="C3049" s="2889" t="s">
        <v>1500</v>
      </c>
      <c r="D3049" s="2889" t="s">
        <v>1054</v>
      </c>
      <c r="E3049" s="2889" t="s">
        <v>1420</v>
      </c>
      <c r="F3049" s="2890">
        <v>7.3027389725954979E-4</v>
      </c>
      <c r="G3049" s="2890">
        <v>2.7617234846437051</v>
      </c>
    </row>
    <row r="3050" spans="2:7" ht="15" hidden="1" outlineLevel="2">
      <c r="B3050" s="2889" t="s">
        <v>1641</v>
      </c>
      <c r="C3050" s="2889" t="s">
        <v>1500</v>
      </c>
      <c r="D3050" s="2889" t="s">
        <v>1054</v>
      </c>
      <c r="E3050" s="2889" t="s">
        <v>1420</v>
      </c>
      <c r="F3050" s="2890">
        <v>3.7407303370075124E-3</v>
      </c>
      <c r="G3050" s="2890">
        <v>14.146565452900001</v>
      </c>
    </row>
    <row r="3051" spans="2:7" ht="15" hidden="1" outlineLevel="2">
      <c r="B3051" s="2889" t="s">
        <v>1642</v>
      </c>
      <c r="C3051" s="2889" t="s">
        <v>1500</v>
      </c>
      <c r="D3051" s="2889" t="s">
        <v>1054</v>
      </c>
      <c r="E3051" s="2889" t="s">
        <v>1420</v>
      </c>
      <c r="F3051" s="2890">
        <v>2.6850381020046498E-3</v>
      </c>
      <c r="G3051" s="2890">
        <v>10.154186140490271</v>
      </c>
    </row>
    <row r="3052" spans="2:7" ht="15" hidden="1" outlineLevel="2">
      <c r="B3052" s="2889" t="s">
        <v>1643</v>
      </c>
      <c r="C3052" s="2889" t="s">
        <v>1500</v>
      </c>
      <c r="D3052" s="2889" t="s">
        <v>1054</v>
      </c>
      <c r="E3052" s="2889" t="s">
        <v>1420</v>
      </c>
      <c r="F3052" s="2890">
        <v>3.9697934003714741E-4</v>
      </c>
      <c r="G3052" s="2890">
        <v>1.5012830079229338</v>
      </c>
    </row>
    <row r="3053" spans="2:7" ht="15" hidden="1" outlineLevel="2">
      <c r="B3053" s="2889" t="s">
        <v>1644</v>
      </c>
      <c r="C3053" s="2889" t="s">
        <v>1500</v>
      </c>
      <c r="D3053" s="2889" t="s">
        <v>1054</v>
      </c>
      <c r="E3053" s="2889" t="s">
        <v>1420</v>
      </c>
      <c r="F3053" s="2890">
        <v>8.7401652128789222E-3</v>
      </c>
      <c r="G3053" s="2890">
        <v>33.053253711468102</v>
      </c>
    </row>
    <row r="3054" spans="2:7" ht="15" hidden="1" outlineLevel="2">
      <c r="B3054" s="2889" t="s">
        <v>1645</v>
      </c>
      <c r="C3054" s="2889" t="s">
        <v>1500</v>
      </c>
      <c r="D3054" s="2889" t="s">
        <v>1054</v>
      </c>
      <c r="E3054" s="2889" t="s">
        <v>1420</v>
      </c>
      <c r="F3054" s="2890">
        <v>9.9815440061412943E-3</v>
      </c>
      <c r="G3054" s="2890">
        <v>37.747868040945349</v>
      </c>
    </row>
    <row r="3055" spans="2:7" ht="15" hidden="1" outlineLevel="2">
      <c r="B3055" s="2889" t="s">
        <v>1646</v>
      </c>
      <c r="C3055" s="2889" t="s">
        <v>1500</v>
      </c>
      <c r="D3055" s="2889" t="s">
        <v>1054</v>
      </c>
      <c r="E3055" s="2889" t="s">
        <v>1420</v>
      </c>
      <c r="F3055" s="2890">
        <v>5.8369579392739319E-4</v>
      </c>
      <c r="G3055" s="2890">
        <v>2.2074004973738268</v>
      </c>
    </row>
    <row r="3056" spans="2:7" ht="15" hidden="1" outlineLevel="2">
      <c r="B3056" s="2889" t="s">
        <v>1647</v>
      </c>
      <c r="C3056" s="2889" t="s">
        <v>1500</v>
      </c>
      <c r="D3056" s="2889" t="s">
        <v>1054</v>
      </c>
      <c r="E3056" s="2889" t="s">
        <v>1420</v>
      </c>
      <c r="F3056" s="2890">
        <v>1.4570204596389416E-3</v>
      </c>
      <c r="G3056" s="2890">
        <v>5.5101098572289331</v>
      </c>
    </row>
    <row r="3057" spans="2:7" ht="15" hidden="1" outlineLevel="2">
      <c r="B3057" s="2889" t="s">
        <v>1648</v>
      </c>
      <c r="C3057" s="2889" t="s">
        <v>1500</v>
      </c>
      <c r="D3057" s="2889" t="s">
        <v>1054</v>
      </c>
      <c r="E3057" s="2889" t="s">
        <v>1420</v>
      </c>
      <c r="F3057" s="2890">
        <v>1.6334897825841179E-4</v>
      </c>
      <c r="G3057" s="2890">
        <v>0.61774738012124719</v>
      </c>
    </row>
    <row r="3058" spans="2:7" ht="15" hidden="1" outlineLevel="2">
      <c r="B3058" s="2889" t="s">
        <v>1649</v>
      </c>
      <c r="C3058" s="2889" t="s">
        <v>1500</v>
      </c>
      <c r="D3058" s="2889" t="s">
        <v>1054</v>
      </c>
      <c r="E3058" s="2889" t="s">
        <v>1420</v>
      </c>
      <c r="F3058" s="2890">
        <v>7.7481424533937075E-4</v>
      </c>
      <c r="G3058" s="2890">
        <v>2.9301650864013449</v>
      </c>
    </row>
    <row r="3059" spans="2:7" ht="15" hidden="1" outlineLevel="2">
      <c r="B3059" s="2889" t="s">
        <v>1650</v>
      </c>
      <c r="C3059" s="2889" t="s">
        <v>1500</v>
      </c>
      <c r="D3059" s="2889" t="s">
        <v>1054</v>
      </c>
      <c r="E3059" s="2889" t="s">
        <v>1420</v>
      </c>
      <c r="F3059" s="2890">
        <v>1.935905482471439E-3</v>
      </c>
      <c r="G3059" s="2890">
        <v>7.3211354359169372</v>
      </c>
    </row>
    <row r="3060" spans="2:7" ht="15" hidden="1" outlineLevel="2">
      <c r="B3060" s="2889" t="s">
        <v>1651</v>
      </c>
      <c r="C3060" s="2889" t="s">
        <v>1500</v>
      </c>
      <c r="D3060" s="2889" t="s">
        <v>1054</v>
      </c>
      <c r="E3060" s="2889" t="s">
        <v>1420</v>
      </c>
      <c r="F3060" s="2890">
        <v>1.0591903452740585E-3</v>
      </c>
      <c r="G3060" s="2890">
        <v>4.0056111393972351</v>
      </c>
    </row>
    <row r="3061" spans="2:7" ht="15" hidden="1" outlineLevel="2">
      <c r="B3061" s="2889" t="s">
        <v>1652</v>
      </c>
      <c r="C3061" s="2889" t="s">
        <v>1500</v>
      </c>
      <c r="D3061" s="2889" t="s">
        <v>1054</v>
      </c>
      <c r="E3061" s="2889" t="s">
        <v>1420</v>
      </c>
      <c r="F3061" s="2890">
        <v>1.2391286123747283E-3</v>
      </c>
      <c r="G3061" s="2890">
        <v>4.3985117104174858</v>
      </c>
    </row>
    <row r="3062" spans="2:7" ht="15" hidden="1" outlineLevel="2">
      <c r="B3062" s="2889" t="s">
        <v>1653</v>
      </c>
      <c r="C3062" s="2889" t="s">
        <v>1500</v>
      </c>
      <c r="D3062" s="2889" t="s">
        <v>1054</v>
      </c>
      <c r="E3062" s="2889" t="s">
        <v>1420</v>
      </c>
      <c r="F3062" s="2890">
        <v>3.4244957661155564E-35</v>
      </c>
      <c r="G3062" s="2890">
        <v>1.2469494268793718E-31</v>
      </c>
    </row>
    <row r="3063" spans="2:7" ht="15" hidden="1" outlineLevel="2">
      <c r="B3063" s="2889" t="s">
        <v>1407</v>
      </c>
      <c r="C3063" s="2889" t="s">
        <v>1501</v>
      </c>
      <c r="D3063" s="2889" t="s">
        <v>1054</v>
      </c>
      <c r="E3063" s="2889" t="s">
        <v>1420</v>
      </c>
      <c r="F3063" s="2890">
        <v>4.5658662558795338E-4</v>
      </c>
      <c r="G3063" s="2890">
        <v>3.3523799833484489</v>
      </c>
    </row>
    <row r="3064" spans="2:7" ht="15" hidden="1" outlineLevel="2">
      <c r="B3064" s="2889" t="s">
        <v>1631</v>
      </c>
      <c r="C3064" s="2889" t="s">
        <v>1501</v>
      </c>
      <c r="D3064" s="2889" t="s">
        <v>1054</v>
      </c>
      <c r="E3064" s="2889" t="s">
        <v>1420</v>
      </c>
      <c r="F3064" s="2890">
        <v>7.5769772877128973E-3</v>
      </c>
      <c r="G3064" s="2890">
        <v>55.632209370459151</v>
      </c>
    </row>
    <row r="3065" spans="2:7" ht="15" hidden="1" outlineLevel="2">
      <c r="B3065" s="2889" t="s">
        <v>1632</v>
      </c>
      <c r="C3065" s="2889" t="s">
        <v>1501</v>
      </c>
      <c r="D3065" s="2889" t="s">
        <v>1054</v>
      </c>
      <c r="E3065" s="2889" t="s">
        <v>1420</v>
      </c>
      <c r="F3065" s="2890">
        <v>1.7550667659350542E-2</v>
      </c>
      <c r="G3065" s="2890">
        <v>128.86175975732479</v>
      </c>
    </row>
    <row r="3066" spans="2:7" ht="15" hidden="1" outlineLevel="2">
      <c r="B3066" s="2889" t="s">
        <v>1633</v>
      </c>
      <c r="C3066" s="2889" t="s">
        <v>1501</v>
      </c>
      <c r="D3066" s="2889" t="s">
        <v>1054</v>
      </c>
      <c r="E3066" s="2889" t="s">
        <v>1420</v>
      </c>
      <c r="F3066" s="3039">
        <v>1.42427452557231E-3</v>
      </c>
      <c r="G3066" s="2890">
        <v>10.457401306292217</v>
      </c>
    </row>
    <row r="3067" spans="2:7" ht="15" hidden="1" outlineLevel="2">
      <c r="B3067" s="2889" t="s">
        <v>1634</v>
      </c>
      <c r="C3067" s="2889" t="s">
        <v>1501</v>
      </c>
      <c r="D3067" s="2889" t="s">
        <v>1054</v>
      </c>
      <c r="E3067" s="2889" t="s">
        <v>1420</v>
      </c>
      <c r="F3067" s="3039">
        <v>2.6398519366642957E-4</v>
      </c>
      <c r="G3067" s="2890">
        <v>1.9382490063988145</v>
      </c>
    </row>
    <row r="3068" spans="2:7" ht="15" hidden="1" outlineLevel="2">
      <c r="B3068" s="2889" t="s">
        <v>1635</v>
      </c>
      <c r="C3068" s="2889" t="s">
        <v>1501</v>
      </c>
      <c r="D3068" s="2889" t="s">
        <v>1054</v>
      </c>
      <c r="E3068" s="2889" t="s">
        <v>1420</v>
      </c>
      <c r="F3068" s="3039">
        <v>2.2266302933148115E-3</v>
      </c>
      <c r="G3068" s="2890">
        <v>16.348522726070037</v>
      </c>
    </row>
    <row r="3069" spans="2:7" ht="15" hidden="1" outlineLevel="2">
      <c r="B3069" s="2889" t="s">
        <v>1636</v>
      </c>
      <c r="C3069" s="2889" t="s">
        <v>1501</v>
      </c>
      <c r="D3069" s="2889" t="s">
        <v>1054</v>
      </c>
      <c r="E3069" s="2889" t="s">
        <v>1420</v>
      </c>
      <c r="F3069" s="3039">
        <v>1.9546397217534875E-3</v>
      </c>
      <c r="G3069" s="2890">
        <v>14.351503685548487</v>
      </c>
    </row>
    <row r="3070" spans="2:7" ht="15" hidden="1" outlineLevel="2">
      <c r="B3070" s="2889" t="s">
        <v>1637</v>
      </c>
      <c r="C3070" s="2889" t="s">
        <v>1501</v>
      </c>
      <c r="D3070" s="2889" t="s">
        <v>1054</v>
      </c>
      <c r="E3070" s="2889" t="s">
        <v>1420</v>
      </c>
      <c r="F3070" s="3039">
        <v>3.2461958749929595E-3</v>
      </c>
      <c r="G3070" s="2890">
        <v>23.834447922980527</v>
      </c>
    </row>
    <row r="3071" spans="2:7" ht="15" hidden="1" outlineLevel="2">
      <c r="B3071" s="2889" t="s">
        <v>1638</v>
      </c>
      <c r="C3071" s="2889" t="s">
        <v>1501</v>
      </c>
      <c r="D3071" s="2889" t="s">
        <v>1054</v>
      </c>
      <c r="E3071" s="2889" t="s">
        <v>1420</v>
      </c>
      <c r="F3071" s="3039">
        <v>4.2372463146505911E-4</v>
      </c>
      <c r="G3071" s="2890">
        <v>3.111100461850655</v>
      </c>
    </row>
    <row r="3072" spans="2:7" ht="15" hidden="1" outlineLevel="2">
      <c r="B3072" s="2889" t="s">
        <v>1639</v>
      </c>
      <c r="C3072" s="2889" t="s">
        <v>1501</v>
      </c>
      <c r="D3072" s="2889" t="s">
        <v>1054</v>
      </c>
      <c r="E3072" s="2889" t="s">
        <v>1420</v>
      </c>
      <c r="F3072" s="3039">
        <v>3.8957360662861765E-3</v>
      </c>
      <c r="G3072" s="2890">
        <v>28.603542226911873</v>
      </c>
    </row>
    <row r="3073" spans="2:7" ht="15" hidden="1" outlineLevel="2">
      <c r="B3073" s="2889" t="s">
        <v>1640</v>
      </c>
      <c r="C3073" s="2889" t="s">
        <v>1501</v>
      </c>
      <c r="D3073" s="2889" t="s">
        <v>1054</v>
      </c>
      <c r="E3073" s="2889" t="s">
        <v>1420</v>
      </c>
      <c r="F3073" s="3039">
        <v>9.1592141229117493E-4</v>
      </c>
      <c r="G3073" s="2890">
        <v>6.7249405773358175</v>
      </c>
    </row>
    <row r="3074" spans="2:7" ht="15" hidden="1" outlineLevel="2">
      <c r="B3074" s="2889" t="s">
        <v>1641</v>
      </c>
      <c r="C3074" s="2889" t="s">
        <v>1501</v>
      </c>
      <c r="D3074" s="2889" t="s">
        <v>1054</v>
      </c>
      <c r="E3074" s="2889" t="s">
        <v>1420</v>
      </c>
      <c r="F3074" s="3039">
        <v>4.6916856699225134E-3</v>
      </c>
      <c r="G3074" s="2890">
        <v>34.447614323168551</v>
      </c>
    </row>
    <row r="3075" spans="2:7" ht="15" hidden="1" outlineLevel="2">
      <c r="B3075" s="2889" t="s">
        <v>1642</v>
      </c>
      <c r="C3075" s="2889" t="s">
        <v>1501</v>
      </c>
      <c r="D3075" s="2889" t="s">
        <v>1054</v>
      </c>
      <c r="E3075" s="2889" t="s">
        <v>1420</v>
      </c>
      <c r="F3075" s="3039">
        <v>3.3676192295026049E-3</v>
      </c>
      <c r="G3075" s="2890">
        <v>24.725970665304938</v>
      </c>
    </row>
    <row r="3076" spans="2:7" ht="15" hidden="1" outlineLevel="2">
      <c r="B3076" s="2889" t="s">
        <v>1643</v>
      </c>
      <c r="C3076" s="2889" t="s">
        <v>1501</v>
      </c>
      <c r="D3076" s="2889" t="s">
        <v>1054</v>
      </c>
      <c r="E3076" s="2889" t="s">
        <v>1420</v>
      </c>
      <c r="F3076" s="3039">
        <v>4.9789813030910637E-4</v>
      </c>
      <c r="G3076" s="2890">
        <v>3.6557021231478997</v>
      </c>
    </row>
    <row r="3077" spans="2:7" ht="15" hidden="1" outlineLevel="2">
      <c r="B3077" s="2889" t="s">
        <v>1644</v>
      </c>
      <c r="C3077" s="2889" t="s">
        <v>1501</v>
      </c>
      <c r="D3077" s="2889" t="s">
        <v>1054</v>
      </c>
      <c r="E3077" s="2889" t="s">
        <v>1420</v>
      </c>
      <c r="F3077" s="3039">
        <v>1.0962060272839259E-2</v>
      </c>
      <c r="G3077" s="2890">
        <v>80.486413875279922</v>
      </c>
    </row>
    <row r="3078" spans="2:7" ht="15" hidden="1" outlineLevel="2">
      <c r="B3078" s="2889" t="s">
        <v>1645</v>
      </c>
      <c r="C3078" s="2889" t="s">
        <v>1501</v>
      </c>
      <c r="D3078" s="2889" t="s">
        <v>1054</v>
      </c>
      <c r="E3078" s="2889" t="s">
        <v>1420</v>
      </c>
      <c r="F3078" s="3039">
        <v>1.25190193133778E-2</v>
      </c>
      <c r="G3078" s="2890">
        <v>91.917947081502746</v>
      </c>
    </row>
    <row r="3079" spans="2:7" ht="15" hidden="1" outlineLevel="2">
      <c r="B3079" s="2889" t="s">
        <v>1646</v>
      </c>
      <c r="C3079" s="2889" t="s">
        <v>1501</v>
      </c>
      <c r="D3079" s="2889" t="s">
        <v>1054</v>
      </c>
      <c r="E3079" s="2889" t="s">
        <v>1420</v>
      </c>
      <c r="F3079" s="3039">
        <v>7.3208080467443968E-4</v>
      </c>
      <c r="G3079" s="2890">
        <v>5.3751369460617378</v>
      </c>
    </row>
    <row r="3080" spans="2:7" ht="15" hidden="1" outlineLevel="2">
      <c r="B3080" s="2889" t="s">
        <v>1647</v>
      </c>
      <c r="C3080" s="2889" t="s">
        <v>1501</v>
      </c>
      <c r="D3080" s="2889" t="s">
        <v>1054</v>
      </c>
      <c r="E3080" s="2889" t="s">
        <v>1420</v>
      </c>
      <c r="F3080" s="3039">
        <v>1.82741995925798E-3</v>
      </c>
      <c r="G3080" s="2890">
        <v>13.417398739980204</v>
      </c>
    </row>
    <row r="3081" spans="2:7" ht="15" hidden="1" outlineLevel="2">
      <c r="B3081" s="2889" t="s">
        <v>1648</v>
      </c>
      <c r="C3081" s="2889" t="s">
        <v>1501</v>
      </c>
      <c r="D3081" s="2889" t="s">
        <v>1054</v>
      </c>
      <c r="E3081" s="2889" t="s">
        <v>1420</v>
      </c>
      <c r="F3081" s="3039">
        <v>2.0487516742625676E-4</v>
      </c>
      <c r="G3081" s="2890">
        <v>1.5042479826206698</v>
      </c>
    </row>
    <row r="3082" spans="2:7" ht="15" hidden="1" outlineLevel="2">
      <c r="B3082" s="2889" t="s">
        <v>1649</v>
      </c>
      <c r="C3082" s="2889" t="s">
        <v>1501</v>
      </c>
      <c r="D3082" s="2889" t="s">
        <v>1054</v>
      </c>
      <c r="E3082" s="2889" t="s">
        <v>1420</v>
      </c>
      <c r="F3082" s="3039">
        <v>9.7178477804968279E-4</v>
      </c>
      <c r="G3082" s="2890">
        <v>7.1351043069035081</v>
      </c>
    </row>
    <row r="3083" spans="2:7" ht="15" hidden="1" outlineLevel="2">
      <c r="B3083" s="2889" t="s">
        <v>1650</v>
      </c>
      <c r="C3083" s="2889" t="s">
        <v>1501</v>
      </c>
      <c r="D3083" s="2889" t="s">
        <v>1054</v>
      </c>
      <c r="E3083" s="2889" t="s">
        <v>1420</v>
      </c>
      <c r="F3083" s="3039">
        <v>2.4280452171224483E-3</v>
      </c>
      <c r="G3083" s="2890">
        <v>17.827356479308854</v>
      </c>
    </row>
    <row r="3084" spans="2:7" ht="15" hidden="1" outlineLevel="2">
      <c r="B3084" s="2889" t="s">
        <v>1651</v>
      </c>
      <c r="C3084" s="2889" t="s">
        <v>1501</v>
      </c>
      <c r="D3084" s="2889" t="s">
        <v>1054</v>
      </c>
      <c r="E3084" s="2889" t="s">
        <v>1420</v>
      </c>
      <c r="F3084" s="3039">
        <v>1.3284539190730003E-3</v>
      </c>
      <c r="G3084" s="2890">
        <v>9.7538638907069615</v>
      </c>
    </row>
    <row r="3085" spans="2:7" ht="15" hidden="1" outlineLevel="2">
      <c r="B3085" s="2889" t="s">
        <v>1652</v>
      </c>
      <c r="C3085" s="2889" t="s">
        <v>1501</v>
      </c>
      <c r="D3085" s="2889" t="s">
        <v>1054</v>
      </c>
      <c r="E3085" s="2889" t="s">
        <v>1420</v>
      </c>
      <c r="F3085" s="3039">
        <v>1.4587596367087524E-3</v>
      </c>
      <c r="G3085" s="2890">
        <v>10.710602175802613</v>
      </c>
    </row>
    <row r="3086" spans="2:7" ht="15" hidden="1" outlineLevel="2">
      <c r="B3086" s="2889" t="s">
        <v>1653</v>
      </c>
      <c r="C3086" s="2889" t="s">
        <v>1501</v>
      </c>
      <c r="D3086" s="2889" t="s">
        <v>1054</v>
      </c>
      <c r="E3086" s="2889" t="s">
        <v>1420</v>
      </c>
      <c r="F3086" s="3039">
        <v>2.9678452413219394E-36</v>
      </c>
      <c r="G3086" s="2890">
        <v>5.3996220933115452E-32</v>
      </c>
    </row>
    <row r="3087" spans="2:7" ht="15" hidden="1" outlineLevel="2">
      <c r="B3087" s="2889" t="s">
        <v>1407</v>
      </c>
      <c r="C3087" s="2889" t="s">
        <v>1502</v>
      </c>
      <c r="D3087" s="2889" t="s">
        <v>1054</v>
      </c>
      <c r="E3087" s="2889" t="s">
        <v>1420</v>
      </c>
      <c r="F3087" s="3039">
        <v>3.1858397912640682E-5</v>
      </c>
      <c r="G3087" s="2890">
        <v>0.35019436064044152</v>
      </c>
    </row>
    <row r="3088" spans="2:7" ht="15" hidden="1" outlineLevel="2">
      <c r="B3088" s="2889" t="s">
        <v>1631</v>
      </c>
      <c r="C3088" s="2889" t="s">
        <v>1502</v>
      </c>
      <c r="D3088" s="2889" t="s">
        <v>1054</v>
      </c>
      <c r="E3088" s="2889" t="s">
        <v>1420</v>
      </c>
      <c r="F3088" s="3039">
        <v>5.2868502714368756E-4</v>
      </c>
      <c r="G3088" s="2890">
        <v>5.8114202908787949</v>
      </c>
    </row>
    <row r="3089" spans="2:7" ht="15" hidden="1" outlineLevel="2">
      <c r="B3089" s="2889" t="s">
        <v>1632</v>
      </c>
      <c r="C3089" s="2889" t="s">
        <v>1502</v>
      </c>
      <c r="D3089" s="2889" t="s">
        <v>1054</v>
      </c>
      <c r="E3089" s="2889" t="s">
        <v>1420</v>
      </c>
      <c r="F3089" s="3039">
        <v>1.2246009446005386E-3</v>
      </c>
      <c r="G3089" s="2890">
        <v>13.461075001237262</v>
      </c>
    </row>
    <row r="3090" spans="2:7" ht="15" hidden="1" outlineLevel="2">
      <c r="B3090" s="2889" t="s">
        <v>1633</v>
      </c>
      <c r="C3090" s="2889" t="s">
        <v>1502</v>
      </c>
      <c r="D3090" s="2889" t="s">
        <v>1054</v>
      </c>
      <c r="E3090" s="2889" t="s">
        <v>1420</v>
      </c>
      <c r="F3090" s="3039">
        <v>9.9378969178009504E-5</v>
      </c>
      <c r="G3090" s="2890">
        <v>1.0923949375813187</v>
      </c>
    </row>
    <row r="3091" spans="2:7" ht="15" hidden="1" outlineLevel="2">
      <c r="B3091" s="2889" t="s">
        <v>1634</v>
      </c>
      <c r="C3091" s="2889" t="s">
        <v>1502</v>
      </c>
      <c r="D3091" s="2889" t="s">
        <v>1054</v>
      </c>
      <c r="E3091" s="2889" t="s">
        <v>1420</v>
      </c>
      <c r="F3091" s="2890">
        <v>1.8419613563257453E-5</v>
      </c>
      <c r="G3091" s="2890">
        <v>0.20247225907005181</v>
      </c>
    </row>
    <row r="3092" spans="2:7" ht="15" hidden="1" outlineLevel="2">
      <c r="B3092" s="2889" t="s">
        <v>1635</v>
      </c>
      <c r="C3092" s="2889" t="s">
        <v>1502</v>
      </c>
      <c r="D3092" s="2889" t="s">
        <v>1054</v>
      </c>
      <c r="E3092" s="2889" t="s">
        <v>1420</v>
      </c>
      <c r="F3092" s="2890">
        <v>1.5536360707432535E-4</v>
      </c>
      <c r="G3092" s="2890">
        <v>1.7077889604604892</v>
      </c>
    </row>
    <row r="3093" spans="2:7" ht="15" hidden="1" outlineLevel="2">
      <c r="B3093" s="2889" t="s">
        <v>1636</v>
      </c>
      <c r="C3093" s="2889" t="s">
        <v>1502</v>
      </c>
      <c r="D3093" s="2889" t="s">
        <v>1054</v>
      </c>
      <c r="E3093" s="2889" t="s">
        <v>1420</v>
      </c>
      <c r="F3093" s="2890">
        <v>1.3638538311997505E-4</v>
      </c>
      <c r="G3093" s="2890">
        <v>1.4991777156190711</v>
      </c>
    </row>
    <row r="3094" spans="2:7" ht="15" hidden="1" outlineLevel="2">
      <c r="B3094" s="2889" t="s">
        <v>1637</v>
      </c>
      <c r="C3094" s="2889" t="s">
        <v>1502</v>
      </c>
      <c r="D3094" s="2889" t="s">
        <v>1054</v>
      </c>
      <c r="E3094" s="2889" t="s">
        <v>1420</v>
      </c>
      <c r="F3094" s="2890">
        <v>2.2650394227638056E-4</v>
      </c>
      <c r="G3094" s="2890">
        <v>2.489780213601521</v>
      </c>
    </row>
    <row r="3095" spans="2:7" ht="15" hidden="1" outlineLevel="2">
      <c r="B3095" s="2889" t="s">
        <v>1638</v>
      </c>
      <c r="C3095" s="2889" t="s">
        <v>1502</v>
      </c>
      <c r="D3095" s="2889" t="s">
        <v>1054</v>
      </c>
      <c r="E3095" s="2889" t="s">
        <v>1420</v>
      </c>
      <c r="F3095" s="2890">
        <v>2.9565467424393095E-5</v>
      </c>
      <c r="G3095" s="2890">
        <v>0.32498986067897845</v>
      </c>
    </row>
    <row r="3096" spans="2:7" ht="15" hidden="1" outlineLevel="2">
      <c r="B3096" s="2889" t="s">
        <v>1639</v>
      </c>
      <c r="C3096" s="2889" t="s">
        <v>1502</v>
      </c>
      <c r="D3096" s="2889" t="s">
        <v>1054</v>
      </c>
      <c r="E3096" s="2889" t="s">
        <v>1420</v>
      </c>
      <c r="F3096" s="2890">
        <v>2.7182573988675305E-4</v>
      </c>
      <c r="G3096" s="2890">
        <v>2.9879665168966354</v>
      </c>
    </row>
    <row r="3097" spans="2:7" ht="15" hidden="1" outlineLevel="2">
      <c r="B3097" s="2889" t="s">
        <v>1640</v>
      </c>
      <c r="C3097" s="2889" t="s">
        <v>1502</v>
      </c>
      <c r="D3097" s="2889" t="s">
        <v>1054</v>
      </c>
      <c r="E3097" s="2889" t="s">
        <v>1420</v>
      </c>
      <c r="F3097" s="2890">
        <v>6.3908601644696789E-5</v>
      </c>
      <c r="G3097" s="2890">
        <v>0.70249692597257596</v>
      </c>
    </row>
    <row r="3098" spans="2:7" ht="15" hidden="1" outlineLevel="2">
      <c r="B3098" s="2889" t="s">
        <v>1641</v>
      </c>
      <c r="C3098" s="2889" t="s">
        <v>1502</v>
      </c>
      <c r="D3098" s="2889" t="s">
        <v>1054</v>
      </c>
      <c r="E3098" s="2889" t="s">
        <v>1420</v>
      </c>
      <c r="F3098" s="2890">
        <v>3.2736315883036997E-4</v>
      </c>
      <c r="G3098" s="2890">
        <v>3.5984452966113158</v>
      </c>
    </row>
    <row r="3099" spans="2:7" ht="15" hidden="1" outlineLevel="2">
      <c r="B3099" s="2889" t="s">
        <v>1642</v>
      </c>
      <c r="C3099" s="2889" t="s">
        <v>1502</v>
      </c>
      <c r="D3099" s="2889" t="s">
        <v>1054</v>
      </c>
      <c r="E3099" s="2889" t="s">
        <v>1420</v>
      </c>
      <c r="F3099" s="2890">
        <v>2.3497622658381412E-4</v>
      </c>
      <c r="G3099" s="2890">
        <v>2.5829094474643943</v>
      </c>
    </row>
    <row r="3100" spans="2:7" ht="15" hidden="1" outlineLevel="2">
      <c r="B3100" s="2889" t="s">
        <v>1643</v>
      </c>
      <c r="C3100" s="2889" t="s">
        <v>1502</v>
      </c>
      <c r="D3100" s="2889" t="s">
        <v>1054</v>
      </c>
      <c r="E3100" s="2889" t="s">
        <v>1420</v>
      </c>
      <c r="F3100" s="2890">
        <v>3.4740957858142842E-5</v>
      </c>
      <c r="G3100" s="2890">
        <v>0.38187981544007316</v>
      </c>
    </row>
    <row r="3101" spans="2:7" ht="15" hidden="1" outlineLevel="2">
      <c r="B3101" s="2889" t="s">
        <v>1644</v>
      </c>
      <c r="C3101" s="2889" t="s">
        <v>1502</v>
      </c>
      <c r="D3101" s="2889" t="s">
        <v>1054</v>
      </c>
      <c r="E3101" s="2889" t="s">
        <v>1420</v>
      </c>
      <c r="F3101" s="2890">
        <v>7.6487970531827969E-4</v>
      </c>
      <c r="G3101" s="2890">
        <v>8.4077184017403539</v>
      </c>
    </row>
    <row r="3102" spans="2:7" ht="15" hidden="1" outlineLevel="2">
      <c r="B3102" s="2889" t="s">
        <v>1645</v>
      </c>
      <c r="C3102" s="2889" t="s">
        <v>1502</v>
      </c>
      <c r="D3102" s="2889" t="s">
        <v>1054</v>
      </c>
      <c r="E3102" s="2889" t="s">
        <v>1420</v>
      </c>
      <c r="F3102" s="2890">
        <v>8.7351680582700936E-4</v>
      </c>
      <c r="G3102" s="2890">
        <v>9.6018810944133115</v>
      </c>
    </row>
    <row r="3103" spans="2:7" ht="15" hidden="1" outlineLevel="2">
      <c r="B3103" s="2889" t="s">
        <v>1646</v>
      </c>
      <c r="C3103" s="2889" t="s">
        <v>1502</v>
      </c>
      <c r="D3103" s="2889" t="s">
        <v>1054</v>
      </c>
      <c r="E3103" s="2889" t="s">
        <v>1420</v>
      </c>
      <c r="F3103" s="2890">
        <v>5.1081081904668311E-5</v>
      </c>
      <c r="G3103" s="2890">
        <v>0.56149434600610026</v>
      </c>
    </row>
    <row r="3104" spans="2:7" ht="15" hidden="1" outlineLevel="2">
      <c r="B3104" s="2889" t="s">
        <v>1647</v>
      </c>
      <c r="C3104" s="2889" t="s">
        <v>1502</v>
      </c>
      <c r="D3104" s="2889" t="s">
        <v>1054</v>
      </c>
      <c r="E3104" s="2889" t="s">
        <v>1420</v>
      </c>
      <c r="F3104" s="2890">
        <v>1.2750850668305036E-4</v>
      </c>
      <c r="G3104" s="2890">
        <v>1.4016000847357786</v>
      </c>
    </row>
    <row r="3105" spans="2:7" ht="15" hidden="1" outlineLevel="2">
      <c r="B3105" s="2889" t="s">
        <v>1648</v>
      </c>
      <c r="C3105" s="2889" t="s">
        <v>1502</v>
      </c>
      <c r="D3105" s="2889" t="s">
        <v>1054</v>
      </c>
      <c r="E3105" s="2889" t="s">
        <v>1420</v>
      </c>
      <c r="F3105" s="2890">
        <v>1.4295194322069257E-5</v>
      </c>
      <c r="G3105" s="2890">
        <v>0.15713582052495223</v>
      </c>
    </row>
    <row r="3106" spans="2:7" ht="15" hidden="1" outlineLevel="2">
      <c r="B3106" s="2889" t="s">
        <v>1649</v>
      </c>
      <c r="C3106" s="2889" t="s">
        <v>1502</v>
      </c>
      <c r="D3106" s="2889" t="s">
        <v>1054</v>
      </c>
      <c r="E3106" s="2889" t="s">
        <v>1420</v>
      </c>
      <c r="F3106" s="2890">
        <v>6.7806459282625421E-5</v>
      </c>
      <c r="G3106" s="2890">
        <v>0.74534304171379406</v>
      </c>
    </row>
    <row r="3107" spans="2:7" ht="15" hidden="1" outlineLevel="2">
      <c r="B3107" s="2889" t="s">
        <v>1650</v>
      </c>
      <c r="C3107" s="2889" t="s">
        <v>1502</v>
      </c>
      <c r="D3107" s="2889" t="s">
        <v>1054</v>
      </c>
      <c r="E3107" s="2889" t="s">
        <v>1420</v>
      </c>
      <c r="F3107" s="2890">
        <v>1.6941724517277005E-4</v>
      </c>
      <c r="G3107" s="2890">
        <v>1.8622701917411764</v>
      </c>
    </row>
    <row r="3108" spans="2:7" ht="15" hidden="1" outlineLevel="2">
      <c r="B3108" s="2889" t="s">
        <v>1651</v>
      </c>
      <c r="C3108" s="2889" t="s">
        <v>1502</v>
      </c>
      <c r="D3108" s="2889" t="s">
        <v>1054</v>
      </c>
      <c r="E3108" s="2889" t="s">
        <v>1420</v>
      </c>
      <c r="F3108" s="2890">
        <v>9.2693154642369373E-5</v>
      </c>
      <c r="G3108" s="2890">
        <v>1.0189024248582901</v>
      </c>
    </row>
    <row r="3109" spans="2:7" ht="15" hidden="1" outlineLevel="2">
      <c r="B3109" s="2889" t="s">
        <v>1652</v>
      </c>
      <c r="C3109" s="2889" t="s">
        <v>1502</v>
      </c>
      <c r="D3109" s="2889" t="s">
        <v>1054</v>
      </c>
      <c r="E3109" s="2889" t="s">
        <v>1420</v>
      </c>
      <c r="F3109" s="2890">
        <v>1.017852299817551E-4</v>
      </c>
      <c r="G3109" s="2890">
        <v>1.1188445865047394</v>
      </c>
    </row>
    <row r="3110" spans="2:7" ht="15" hidden="1" outlineLevel="2">
      <c r="B3110" s="2889" t="s">
        <v>1653</v>
      </c>
      <c r="C3110" s="2889" t="s">
        <v>1502</v>
      </c>
      <c r="D3110" s="2889" t="s">
        <v>1054</v>
      </c>
      <c r="E3110" s="2889" t="s">
        <v>1420</v>
      </c>
      <c r="F3110" s="2890">
        <v>6.1973739076226069E-36</v>
      </c>
      <c r="G3110" s="2890">
        <v>6.5262886993729976E-32</v>
      </c>
    </row>
    <row r="3111" spans="2:7" ht="15" hidden="1" outlineLevel="2">
      <c r="B3111" s="2889" t="s">
        <v>1407</v>
      </c>
      <c r="C3111" s="2889" t="s">
        <v>1503</v>
      </c>
      <c r="D3111" s="2889" t="s">
        <v>1054</v>
      </c>
      <c r="E3111" s="2889" t="s">
        <v>1420</v>
      </c>
      <c r="F3111" s="3039">
        <v>1.0506606430807563E-3</v>
      </c>
      <c r="G3111" s="2890">
        <v>2.9008818485955983</v>
      </c>
    </row>
    <row r="3112" spans="2:7" ht="15" hidden="1" outlineLevel="2">
      <c r="B3112" s="2889" t="s">
        <v>1631</v>
      </c>
      <c r="C3112" s="2889" t="s">
        <v>1503</v>
      </c>
      <c r="D3112" s="2889" t="s">
        <v>1054</v>
      </c>
      <c r="E3112" s="2889" t="s">
        <v>1420</v>
      </c>
      <c r="F3112" s="3039">
        <v>1.7435543102257797E-2</v>
      </c>
      <c r="G3112" s="2890">
        <v>48.139681210220779</v>
      </c>
    </row>
    <row r="3113" spans="2:7" ht="15" hidden="1" outlineLevel="2">
      <c r="B3113" s="2889" t="s">
        <v>1632</v>
      </c>
      <c r="C3113" s="2889" t="s">
        <v>1503</v>
      </c>
      <c r="D3113" s="2889" t="s">
        <v>1054</v>
      </c>
      <c r="E3113" s="2889" t="s">
        <v>1420</v>
      </c>
      <c r="F3113" s="3039">
        <v>4.0386219545652649E-2</v>
      </c>
      <c r="G3113" s="2890">
        <v>111.50667410764954</v>
      </c>
    </row>
    <row r="3114" spans="2:7" ht="15" hidden="1" outlineLevel="2">
      <c r="B3114" s="2889" t="s">
        <v>1633</v>
      </c>
      <c r="C3114" s="2889" t="s">
        <v>1503</v>
      </c>
      <c r="D3114" s="2889" t="s">
        <v>1054</v>
      </c>
      <c r="E3114" s="2889" t="s">
        <v>1420</v>
      </c>
      <c r="F3114" s="3039">
        <v>3.2774270429408738E-3</v>
      </c>
      <c r="G3114" s="2890">
        <v>9.0490032501563018</v>
      </c>
    </row>
    <row r="3115" spans="2:7" ht="15" hidden="1" outlineLevel="2">
      <c r="B3115" s="2889" t="s">
        <v>1634</v>
      </c>
      <c r="C3115" s="2889" t="s">
        <v>1503</v>
      </c>
      <c r="D3115" s="2889" t="s">
        <v>1054</v>
      </c>
      <c r="E3115" s="2889" t="s">
        <v>1420</v>
      </c>
      <c r="F3115" s="3039">
        <v>6.0746175875626258E-4</v>
      </c>
      <c r="G3115" s="2890">
        <v>1.6772065555300562</v>
      </c>
    </row>
    <row r="3116" spans="2:7" ht="15" hidden="1" outlineLevel="2">
      <c r="B3116" s="2889" t="s">
        <v>1635</v>
      </c>
      <c r="C3116" s="2889" t="s">
        <v>1503</v>
      </c>
      <c r="D3116" s="2889" t="s">
        <v>1054</v>
      </c>
      <c r="E3116" s="2889" t="s">
        <v>1420</v>
      </c>
      <c r="F3116" s="3039">
        <v>5.1237465869072886E-3</v>
      </c>
      <c r="G3116" s="2890">
        <v>14.146704860029178</v>
      </c>
    </row>
    <row r="3117" spans="2:7" ht="15" hidden="1" outlineLevel="2">
      <c r="B3117" s="2889" t="s">
        <v>1636</v>
      </c>
      <c r="C3117" s="2889" t="s">
        <v>1503</v>
      </c>
      <c r="D3117" s="2889" t="s">
        <v>1054</v>
      </c>
      <c r="E3117" s="2889" t="s">
        <v>1420</v>
      </c>
      <c r="F3117" s="3039">
        <v>4.4978654958864623E-3</v>
      </c>
      <c r="G3117" s="2890">
        <v>12.418642371629225</v>
      </c>
    </row>
    <row r="3118" spans="2:7" ht="15" hidden="1" outlineLevel="2">
      <c r="B3118" s="2889" t="s">
        <v>1637</v>
      </c>
      <c r="C3118" s="2889" t="s">
        <v>1503</v>
      </c>
      <c r="D3118" s="2889" t="s">
        <v>1054</v>
      </c>
      <c r="E3118" s="2889" t="s">
        <v>1420</v>
      </c>
      <c r="F3118" s="2890">
        <v>7.4698920924879024E-3</v>
      </c>
      <c r="G3118" s="2890">
        <v>20.62442563688138</v>
      </c>
    </row>
    <row r="3119" spans="2:7" ht="15" hidden="1" outlineLevel="2">
      <c r="B3119" s="2889" t="s">
        <v>1638</v>
      </c>
      <c r="C3119" s="2889" t="s">
        <v>1503</v>
      </c>
      <c r="D3119" s="2889" t="s">
        <v>1054</v>
      </c>
      <c r="E3119" s="2889" t="s">
        <v>1420</v>
      </c>
      <c r="F3119" s="2890">
        <v>9.7504183512891194E-4</v>
      </c>
      <c r="G3119" s="2890">
        <v>2.6920984114286202</v>
      </c>
    </row>
    <row r="3120" spans="2:7" ht="15" hidden="1" outlineLevel="2">
      <c r="B3120" s="2889" t="s">
        <v>1639</v>
      </c>
      <c r="C3120" s="2889" t="s">
        <v>1503</v>
      </c>
      <c r="D3120" s="2889" t="s">
        <v>1054</v>
      </c>
      <c r="E3120" s="2889" t="s">
        <v>1420</v>
      </c>
      <c r="F3120" s="2890">
        <v>8.9645614501096867E-3</v>
      </c>
      <c r="G3120" s="2890">
        <v>24.751223381194901</v>
      </c>
    </row>
    <row r="3121" spans="2:7" ht="15" hidden="1" outlineLevel="2">
      <c r="B3121" s="2889" t="s">
        <v>1640</v>
      </c>
      <c r="C3121" s="2889" t="s">
        <v>1503</v>
      </c>
      <c r="D3121" s="2889" t="s">
        <v>1054</v>
      </c>
      <c r="E3121" s="2889" t="s">
        <v>1420</v>
      </c>
      <c r="F3121" s="2890">
        <v>2.1076457417873347E-3</v>
      </c>
      <c r="G3121" s="2890">
        <v>5.8192276201211088</v>
      </c>
    </row>
    <row r="3122" spans="2:7" ht="15" hidden="1" outlineLevel="2">
      <c r="B3122" s="2889" t="s">
        <v>1641</v>
      </c>
      <c r="C3122" s="2889" t="s">
        <v>1503</v>
      </c>
      <c r="D3122" s="2889" t="s">
        <v>1054</v>
      </c>
      <c r="E3122" s="2889" t="s">
        <v>1420</v>
      </c>
      <c r="F3122" s="2890">
        <v>1.0796137447477575E-2</v>
      </c>
      <c r="G3122" s="2890">
        <v>29.808220795102628</v>
      </c>
    </row>
    <row r="3123" spans="2:7" ht="15" hidden="1" outlineLevel="2">
      <c r="B3123" s="2889" t="s">
        <v>1642</v>
      </c>
      <c r="C3123" s="2889" t="s">
        <v>1503</v>
      </c>
      <c r="D3123" s="2889" t="s">
        <v>1054</v>
      </c>
      <c r="E3123" s="2889" t="s">
        <v>1420</v>
      </c>
      <c r="F3123" s="2890">
        <v>7.7493027594397173E-3</v>
      </c>
      <c r="G3123" s="2890">
        <v>21.39588338591885</v>
      </c>
    </row>
    <row r="3124" spans="2:7" ht="15" hidden="1" outlineLevel="2">
      <c r="B3124" s="2889" t="s">
        <v>1643</v>
      </c>
      <c r="C3124" s="2889" t="s">
        <v>1503</v>
      </c>
      <c r="D3124" s="2889" t="s">
        <v>1054</v>
      </c>
      <c r="E3124" s="2889" t="s">
        <v>1420</v>
      </c>
      <c r="F3124" s="2890">
        <v>1.1457240018577634E-3</v>
      </c>
      <c r="G3124" s="2890">
        <v>3.1633539043877423</v>
      </c>
    </row>
    <row r="3125" spans="2:7" ht="15" hidden="1" outlineLevel="2">
      <c r="B3125" s="2889" t="s">
        <v>1644</v>
      </c>
      <c r="C3125" s="2889" t="s">
        <v>1503</v>
      </c>
      <c r="D3125" s="2889" t="s">
        <v>1054</v>
      </c>
      <c r="E3125" s="2889" t="s">
        <v>1420</v>
      </c>
      <c r="F3125" s="2890">
        <v>2.5225029580156974E-2</v>
      </c>
      <c r="G3125" s="2890">
        <v>69.646510712822348</v>
      </c>
    </row>
    <row r="3126" spans="2:7" ht="15" hidden="1" outlineLevel="2">
      <c r="B3126" s="2889" t="s">
        <v>1645</v>
      </c>
      <c r="C3126" s="2889" t="s">
        <v>1503</v>
      </c>
      <c r="D3126" s="2889" t="s">
        <v>1054</v>
      </c>
      <c r="E3126" s="2889" t="s">
        <v>1420</v>
      </c>
      <c r="F3126" s="2890">
        <v>2.8807789416624648E-2</v>
      </c>
      <c r="G3126" s="2890">
        <v>79.538491945031438</v>
      </c>
    </row>
    <row r="3127" spans="2:7" ht="15" hidden="1" outlineLevel="2">
      <c r="B3127" s="2889" t="s">
        <v>1646</v>
      </c>
      <c r="C3127" s="2889" t="s">
        <v>1503</v>
      </c>
      <c r="D3127" s="2889" t="s">
        <v>1054</v>
      </c>
      <c r="E3127" s="2889" t="s">
        <v>1420</v>
      </c>
      <c r="F3127" s="2890">
        <v>1.6846074023102822E-3</v>
      </c>
      <c r="G3127" s="2890">
        <v>4.6512135284501657</v>
      </c>
    </row>
    <row r="3128" spans="2:7" ht="15" hidden="1" outlineLevel="2">
      <c r="B3128" s="2889" t="s">
        <v>1647</v>
      </c>
      <c r="C3128" s="2889" t="s">
        <v>1503</v>
      </c>
      <c r="D3128" s="2889" t="s">
        <v>1054</v>
      </c>
      <c r="E3128" s="2889" t="s">
        <v>1420</v>
      </c>
      <c r="F3128" s="2890">
        <v>4.2051133819282988E-3</v>
      </c>
      <c r="G3128" s="2890">
        <v>11.610352354417277</v>
      </c>
    </row>
    <row r="3129" spans="2:7" ht="15" hidden="1" outlineLevel="2">
      <c r="B3129" s="2889" t="s">
        <v>1648</v>
      </c>
      <c r="C3129" s="2889" t="s">
        <v>1503</v>
      </c>
      <c r="D3129" s="2889" t="s">
        <v>1054</v>
      </c>
      <c r="E3129" s="2889" t="s">
        <v>1420</v>
      </c>
      <c r="F3129" s="2890">
        <v>4.7144251071071805E-4</v>
      </c>
      <c r="G3129" s="2890">
        <v>1.3016564443123093</v>
      </c>
    </row>
    <row r="3130" spans="2:7" ht="15" hidden="1" outlineLevel="2">
      <c r="B3130" s="2889" t="s">
        <v>1649</v>
      </c>
      <c r="C3130" s="2889" t="s">
        <v>1503</v>
      </c>
      <c r="D3130" s="2889" t="s">
        <v>1054</v>
      </c>
      <c r="E3130" s="2889" t="s">
        <v>1420</v>
      </c>
      <c r="F3130" s="2890">
        <v>2.2361952610810082E-3</v>
      </c>
      <c r="G3130" s="2890">
        <v>6.1741503179400006</v>
      </c>
    </row>
    <row r="3131" spans="2:7" ht="15" hidden="1" outlineLevel="2">
      <c r="B3131" s="2889" t="s">
        <v>1650</v>
      </c>
      <c r="C3131" s="2889" t="s">
        <v>1503</v>
      </c>
      <c r="D3131" s="2889" t="s">
        <v>1054</v>
      </c>
      <c r="E3131" s="2889" t="s">
        <v>1420</v>
      </c>
      <c r="F3131" s="2890">
        <v>5.58722544955204E-3</v>
      </c>
      <c r="G3131" s="2890">
        <v>15.42637097715399</v>
      </c>
    </row>
    <row r="3132" spans="2:7" ht="15" hidden="1" outlineLevel="2">
      <c r="B3132" s="2889" t="s">
        <v>1651</v>
      </c>
      <c r="C3132" s="2889" t="s">
        <v>1503</v>
      </c>
      <c r="D3132" s="2889" t="s">
        <v>1054</v>
      </c>
      <c r="E3132" s="2889" t="s">
        <v>1420</v>
      </c>
      <c r="F3132" s="2890">
        <v>3.0569346889818289E-3</v>
      </c>
      <c r="G3132" s="2890">
        <v>8.4402226135949192</v>
      </c>
    </row>
    <row r="3133" spans="2:7" ht="15" hidden="1" outlineLevel="2">
      <c r="B3133" s="2889" t="s">
        <v>1652</v>
      </c>
      <c r="C3133" s="2889" t="s">
        <v>1503</v>
      </c>
      <c r="D3133" s="2889" t="s">
        <v>1054</v>
      </c>
      <c r="E3133" s="2889" t="s">
        <v>1420</v>
      </c>
      <c r="F3133" s="2890">
        <v>3.3567827987697934E-3</v>
      </c>
      <c r="G3133" s="2890">
        <v>9.2681039280145487</v>
      </c>
    </row>
    <row r="3134" spans="2:7" ht="15" hidden="1" outlineLevel="2">
      <c r="B3134" s="2889" t="s">
        <v>1653</v>
      </c>
      <c r="C3134" s="2889" t="s">
        <v>1503</v>
      </c>
      <c r="D3134" s="2889" t="s">
        <v>1054</v>
      </c>
      <c r="E3134" s="2889" t="s">
        <v>1420</v>
      </c>
      <c r="F3134" s="2890">
        <v>1.2247076726416674E-35</v>
      </c>
      <c r="G3134" s="2890">
        <v>2.7481169934555332E-32</v>
      </c>
    </row>
    <row r="3135" spans="2:7" ht="15" hidden="1" outlineLevel="2">
      <c r="B3135" s="2889" t="s">
        <v>1407</v>
      </c>
      <c r="C3135" s="2889" t="s">
        <v>1504</v>
      </c>
      <c r="D3135" s="2889" t="s">
        <v>1054</v>
      </c>
      <c r="E3135" s="2889" t="s">
        <v>1420</v>
      </c>
      <c r="F3135" s="2890">
        <v>5.419616215420781E-4</v>
      </c>
      <c r="G3135" s="2890">
        <v>1.1996342157668611</v>
      </c>
    </row>
    <row r="3136" spans="2:7" ht="15" hidden="1" outlineLevel="2">
      <c r="B3136" s="2889" t="s">
        <v>1631</v>
      </c>
      <c r="C3136" s="2889" t="s">
        <v>1504</v>
      </c>
      <c r="D3136" s="2889" t="s">
        <v>1054</v>
      </c>
      <c r="E3136" s="2889" t="s">
        <v>1420</v>
      </c>
      <c r="F3136" s="2890">
        <v>8.9937562856983125E-3</v>
      </c>
      <c r="G3136" s="2890">
        <v>19.907754856203077</v>
      </c>
    </row>
    <row r="3137" spans="2:7" ht="15" hidden="1" outlineLevel="2">
      <c r="B3137" s="2889" t="s">
        <v>1632</v>
      </c>
      <c r="C3137" s="2889" t="s">
        <v>1504</v>
      </c>
      <c r="D3137" s="2889" t="s">
        <v>1054</v>
      </c>
      <c r="E3137" s="2889" t="s">
        <v>1420</v>
      </c>
      <c r="F3137" s="2890">
        <v>2.0832367998534444E-2</v>
      </c>
      <c r="G3137" s="2890">
        <v>46.112633988313753</v>
      </c>
    </row>
    <row r="3138" spans="2:7" ht="15" hidden="1" outlineLevel="2">
      <c r="B3138" s="2889" t="s">
        <v>1633</v>
      </c>
      <c r="C3138" s="2889" t="s">
        <v>1504</v>
      </c>
      <c r="D3138" s="2889" t="s">
        <v>1054</v>
      </c>
      <c r="E3138" s="2889" t="s">
        <v>1420</v>
      </c>
      <c r="F3138" s="2890">
        <v>1.690591369785885E-3</v>
      </c>
      <c r="G3138" s="2890">
        <v>3.7421391875076311</v>
      </c>
    </row>
    <row r="3139" spans="2:7" ht="15" hidden="1" outlineLevel="2">
      <c r="B3139" s="2889" t="s">
        <v>1634</v>
      </c>
      <c r="C3139" s="2889" t="s">
        <v>1504</v>
      </c>
      <c r="D3139" s="2889" t="s">
        <v>1054</v>
      </c>
      <c r="E3139" s="2889" t="s">
        <v>1420</v>
      </c>
      <c r="F3139" s="2890">
        <v>3.1334633674544619E-4</v>
      </c>
      <c r="G3139" s="2890">
        <v>0.69359496764939677</v>
      </c>
    </row>
    <row r="3140" spans="2:7" ht="15" hidden="1" outlineLevel="2">
      <c r="B3140" s="2889" t="s">
        <v>1635</v>
      </c>
      <c r="C3140" s="2889" t="s">
        <v>1504</v>
      </c>
      <c r="D3140" s="2889" t="s">
        <v>1054</v>
      </c>
      <c r="E3140" s="2889" t="s">
        <v>1420</v>
      </c>
      <c r="F3140" s="2890">
        <v>2.6429767665317842E-3</v>
      </c>
      <c r="G3140" s="2890">
        <v>5.8502511801540313</v>
      </c>
    </row>
    <row r="3141" spans="2:7" ht="15" hidden="1" outlineLevel="2">
      <c r="B3141" s="2889" t="s">
        <v>1636</v>
      </c>
      <c r="C3141" s="2889" t="s">
        <v>1504</v>
      </c>
      <c r="D3141" s="2889" t="s">
        <v>1054</v>
      </c>
      <c r="E3141" s="2889" t="s">
        <v>1420</v>
      </c>
      <c r="F3141" s="2890">
        <v>2.3201289246222228E-3</v>
      </c>
      <c r="G3141" s="2890">
        <v>5.1356241463332513</v>
      </c>
    </row>
    <row r="3142" spans="2:7" ht="15" hidden="1" outlineLevel="2">
      <c r="B3142" s="2889" t="s">
        <v>1637</v>
      </c>
      <c r="C3142" s="2889" t="s">
        <v>1504</v>
      </c>
      <c r="D3142" s="2889" t="s">
        <v>1054</v>
      </c>
      <c r="E3142" s="2889" t="s">
        <v>1420</v>
      </c>
      <c r="F3142" s="2890">
        <v>3.8531867722628277E-3</v>
      </c>
      <c r="G3142" s="2890">
        <v>8.5290622387662811</v>
      </c>
    </row>
    <row r="3143" spans="2:7" ht="15" hidden="1" outlineLevel="2">
      <c r="B3143" s="2889" t="s">
        <v>1638</v>
      </c>
      <c r="C3143" s="2889" t="s">
        <v>1504</v>
      </c>
      <c r="D3143" s="2889" t="s">
        <v>1054</v>
      </c>
      <c r="E3143" s="2889" t="s">
        <v>1420</v>
      </c>
      <c r="F3143" s="2890">
        <v>5.0295461325746934E-4</v>
      </c>
      <c r="G3143" s="2890">
        <v>1.1132944830208209</v>
      </c>
    </row>
    <row r="3144" spans="2:7" ht="15" hidden="1" outlineLevel="2">
      <c r="B3144" s="2889" t="s">
        <v>1639</v>
      </c>
      <c r="C3144" s="2889" t="s">
        <v>1504</v>
      </c>
      <c r="D3144" s="2889" t="s">
        <v>1054</v>
      </c>
      <c r="E3144" s="2889" t="s">
        <v>1420</v>
      </c>
      <c r="F3144" s="2890">
        <v>4.6241793579882796E-3</v>
      </c>
      <c r="G3144" s="2890">
        <v>10.235659276976234</v>
      </c>
    </row>
    <row r="3145" spans="2:7" ht="15" hidden="1" outlineLevel="2">
      <c r="B3145" s="2889" t="s">
        <v>1640</v>
      </c>
      <c r="C3145" s="2889" t="s">
        <v>1504</v>
      </c>
      <c r="D3145" s="2889" t="s">
        <v>1054</v>
      </c>
      <c r="E3145" s="2889" t="s">
        <v>1420</v>
      </c>
      <c r="F3145" s="2890">
        <v>1.0871847357242694E-3</v>
      </c>
      <c r="G3145" s="2890">
        <v>2.406493336467733</v>
      </c>
    </row>
    <row r="3146" spans="2:7" ht="15" hidden="1" outlineLevel="2">
      <c r="B3146" s="2889" t="s">
        <v>1641</v>
      </c>
      <c r="C3146" s="2889" t="s">
        <v>1504</v>
      </c>
      <c r="D3146" s="2889" t="s">
        <v>1054</v>
      </c>
      <c r="E3146" s="2889" t="s">
        <v>1420</v>
      </c>
      <c r="F3146" s="2890">
        <v>5.5689581247559423E-3</v>
      </c>
      <c r="G3146" s="2890">
        <v>12.326947350576637</v>
      </c>
    </row>
    <row r="3147" spans="2:7" ht="15" hidden="1" outlineLevel="2">
      <c r="B3147" s="2889" t="s">
        <v>1642</v>
      </c>
      <c r="C3147" s="2889" t="s">
        <v>1504</v>
      </c>
      <c r="D3147" s="2889" t="s">
        <v>1054</v>
      </c>
      <c r="E3147" s="2889" t="s">
        <v>1420</v>
      </c>
      <c r="F3147" s="2890">
        <v>3.9973129307513833E-3</v>
      </c>
      <c r="G3147" s="2890">
        <v>8.8480900073985023</v>
      </c>
    </row>
    <row r="3148" spans="2:7" ht="15" hidden="1" outlineLevel="2">
      <c r="B3148" s="2889" t="s">
        <v>1643</v>
      </c>
      <c r="C3148" s="2889" t="s">
        <v>1504</v>
      </c>
      <c r="D3148" s="2889" t="s">
        <v>1054</v>
      </c>
      <c r="E3148" s="2889" t="s">
        <v>1420</v>
      </c>
      <c r="F3148" s="2890">
        <v>5.9099733279262289E-4</v>
      </c>
      <c r="G3148" s="2890">
        <v>1.3081784705955768</v>
      </c>
    </row>
    <row r="3149" spans="2:7" ht="15" hidden="1" outlineLevel="2">
      <c r="B3149" s="2889" t="s">
        <v>1644</v>
      </c>
      <c r="C3149" s="2889" t="s">
        <v>1504</v>
      </c>
      <c r="D3149" s="2889" t="s">
        <v>1054</v>
      </c>
      <c r="E3149" s="2889" t="s">
        <v>1420</v>
      </c>
      <c r="F3149" s="2890">
        <v>1.3011802293871118E-2</v>
      </c>
      <c r="G3149" s="2890">
        <v>28.801723640383369</v>
      </c>
    </row>
    <row r="3150" spans="2:7" ht="15" hidden="1" outlineLevel="2">
      <c r="B3150" s="2889" t="s">
        <v>1645</v>
      </c>
      <c r="C3150" s="2889" t="s">
        <v>1504</v>
      </c>
      <c r="D3150" s="2889" t="s">
        <v>1054</v>
      </c>
      <c r="E3150" s="2889" t="s">
        <v>1420</v>
      </c>
      <c r="F3150" s="3039">
        <v>1.4859883754257378E-2</v>
      </c>
      <c r="G3150" s="2890">
        <v>32.892469063302165</v>
      </c>
    </row>
    <row r="3151" spans="2:7" ht="15" hidden="1" outlineLevel="2">
      <c r="B3151" s="2889" t="s">
        <v>1646</v>
      </c>
      <c r="C3151" s="2889" t="s">
        <v>1504</v>
      </c>
      <c r="D3151" s="2889" t="s">
        <v>1054</v>
      </c>
      <c r="E3151" s="2889" t="s">
        <v>1420</v>
      </c>
      <c r="F3151" s="3039">
        <v>8.6896885393872411E-4</v>
      </c>
      <c r="G3151" s="2890">
        <v>1.9234701997945758</v>
      </c>
    </row>
    <row r="3152" spans="2:7" ht="15" hidden="1" outlineLevel="2">
      <c r="B3152" s="2889" t="s">
        <v>1647</v>
      </c>
      <c r="C3152" s="2889" t="s">
        <v>1504</v>
      </c>
      <c r="D3152" s="2889" t="s">
        <v>1054</v>
      </c>
      <c r="E3152" s="2889" t="s">
        <v>1420</v>
      </c>
      <c r="F3152" s="3039">
        <v>2.1691192027921409E-3</v>
      </c>
      <c r="G3152" s="2890">
        <v>4.8013626000361374</v>
      </c>
    </row>
    <row r="3153" spans="2:7" ht="15" hidden="1" outlineLevel="2">
      <c r="B3153" s="2889" t="s">
        <v>1648</v>
      </c>
      <c r="C3153" s="2889" t="s">
        <v>1504</v>
      </c>
      <c r="D3153" s="2889" t="s">
        <v>1054</v>
      </c>
      <c r="E3153" s="2889" t="s">
        <v>1420</v>
      </c>
      <c r="F3153" s="3039">
        <v>2.4318361933864369E-4</v>
      </c>
      <c r="G3153" s="2890">
        <v>0.53828894085336332</v>
      </c>
    </row>
    <row r="3154" spans="2:7" ht="15" hidden="1" outlineLevel="2">
      <c r="B3154" s="2889" t="s">
        <v>1649</v>
      </c>
      <c r="C3154" s="2889" t="s">
        <v>1504</v>
      </c>
      <c r="D3154" s="2889" t="s">
        <v>1054</v>
      </c>
      <c r="E3154" s="2889" t="s">
        <v>1420</v>
      </c>
      <c r="F3154" s="3039">
        <v>1.153494114234136E-3</v>
      </c>
      <c r="G3154" s="2890">
        <v>2.5532688866615625</v>
      </c>
    </row>
    <row r="3155" spans="2:7" ht="15" hidden="1" outlineLevel="2">
      <c r="B3155" s="2889" t="s">
        <v>1650</v>
      </c>
      <c r="C3155" s="2889" t="s">
        <v>1504</v>
      </c>
      <c r="D3155" s="2889" t="s">
        <v>1054</v>
      </c>
      <c r="E3155" s="2889" t="s">
        <v>1420</v>
      </c>
      <c r="F3155" s="3039">
        <v>2.882051126998574E-3</v>
      </c>
      <c r="G3155" s="2890">
        <v>6.3794454850704918</v>
      </c>
    </row>
    <row r="3156" spans="2:7" ht="15" hidden="1" outlineLevel="2">
      <c r="B3156" s="2889" t="s">
        <v>1651</v>
      </c>
      <c r="C3156" s="2889" t="s">
        <v>1504</v>
      </c>
      <c r="D3156" s="2889" t="s">
        <v>1054</v>
      </c>
      <c r="E3156" s="2889" t="s">
        <v>1420</v>
      </c>
      <c r="F3156" s="3039">
        <v>1.5768547756311142E-3</v>
      </c>
      <c r="G3156" s="2890">
        <v>3.4903824005292177</v>
      </c>
    </row>
    <row r="3157" spans="2:7" ht="15" hidden="1" outlineLevel="2">
      <c r="B3157" s="2889" t="s">
        <v>1652</v>
      </c>
      <c r="C3157" s="2889" t="s">
        <v>1504</v>
      </c>
      <c r="D3157" s="2889" t="s">
        <v>1054</v>
      </c>
      <c r="E3157" s="2889" t="s">
        <v>1420</v>
      </c>
      <c r="F3157" s="2890">
        <v>1.7315242288392547E-3</v>
      </c>
      <c r="G3157" s="2890">
        <v>3.832745449839702</v>
      </c>
    </row>
    <row r="3158" spans="2:7" ht="15" hidden="1" outlineLevel="2">
      <c r="B3158" s="2889" t="s">
        <v>1653</v>
      </c>
      <c r="C3158" s="2889" t="s">
        <v>1504</v>
      </c>
      <c r="D3158" s="2889" t="s">
        <v>1054</v>
      </c>
      <c r="E3158" s="2889" t="s">
        <v>1420</v>
      </c>
      <c r="F3158" s="2890">
        <v>7.4995456310312559E-34</v>
      </c>
      <c r="G3158" s="2890">
        <v>1.6600302959676247E-30</v>
      </c>
    </row>
    <row r="3159" spans="2:7" ht="15" hidden="1" outlineLevel="2">
      <c r="B3159" s="2889" t="s">
        <v>1407</v>
      </c>
      <c r="C3159" s="2889" t="s">
        <v>1540</v>
      </c>
      <c r="D3159" s="2889" t="s">
        <v>1106</v>
      </c>
      <c r="E3159" s="2889" t="s">
        <v>1420</v>
      </c>
      <c r="F3159" s="2890">
        <v>1.6829863942939813E-2</v>
      </c>
      <c r="G3159" s="2890">
        <v>40.840492336706774</v>
      </c>
    </row>
    <row r="3160" spans="2:7" ht="15" hidden="1" outlineLevel="2">
      <c r="B3160" s="2889" t="s">
        <v>1631</v>
      </c>
      <c r="C3160" s="2889" t="s">
        <v>1540</v>
      </c>
      <c r="D3160" s="2889" t="s">
        <v>1106</v>
      </c>
      <c r="E3160" s="2889" t="s">
        <v>1420</v>
      </c>
      <c r="F3160" s="3039">
        <v>7.1311467527524999E-2</v>
      </c>
      <c r="G3160" s="2890">
        <v>173.04953761016941</v>
      </c>
    </row>
    <row r="3161" spans="2:7" ht="15" hidden="1" outlineLevel="2">
      <c r="B3161" s="2889" t="s">
        <v>1632</v>
      </c>
      <c r="C3161" s="2889" t="s">
        <v>1540</v>
      </c>
      <c r="D3161" s="2889" t="s">
        <v>1106</v>
      </c>
      <c r="E3161" s="2889" t="s">
        <v>1420</v>
      </c>
      <c r="F3161" s="2890">
        <v>0.13050580945821066</v>
      </c>
      <c r="G3161" s="2890">
        <v>316.69431884363593</v>
      </c>
    </row>
    <row r="3162" spans="2:7" ht="15" hidden="1" outlineLevel="2">
      <c r="B3162" s="2889" t="s">
        <v>1633</v>
      </c>
      <c r="C3162" s="2889" t="s">
        <v>1540</v>
      </c>
      <c r="D3162" s="2889" t="s">
        <v>1106</v>
      </c>
      <c r="E3162" s="2889" t="s">
        <v>1420</v>
      </c>
      <c r="F3162" s="2890">
        <v>3.4921202048535734E-3</v>
      </c>
      <c r="G3162" s="2890">
        <v>8.4742151460665447</v>
      </c>
    </row>
    <row r="3163" spans="2:7" ht="15" hidden="1" outlineLevel="2">
      <c r="B3163" s="2889" t="s">
        <v>1634</v>
      </c>
      <c r="C3163" s="2889" t="s">
        <v>1540</v>
      </c>
      <c r="D3163" s="2889" t="s">
        <v>1106</v>
      </c>
      <c r="E3163" s="2889" t="s">
        <v>1420</v>
      </c>
      <c r="F3163" s="3039">
        <v>8.4610778910747357E-3</v>
      </c>
      <c r="G3163" s="2890">
        <v>20.532238056335729</v>
      </c>
    </row>
    <row r="3164" spans="2:7" ht="15" hidden="1" outlineLevel="2">
      <c r="B3164" s="2889" t="s">
        <v>1635</v>
      </c>
      <c r="C3164" s="2889" t="s">
        <v>1540</v>
      </c>
      <c r="D3164" s="2889" t="s">
        <v>1106</v>
      </c>
      <c r="E3164" s="2889" t="s">
        <v>1420</v>
      </c>
      <c r="F3164" s="2890">
        <v>1.8188770734358001E-2</v>
      </c>
      <c r="G3164" s="2890">
        <v>44.138073361205642</v>
      </c>
    </row>
    <row r="3165" spans="2:7" ht="15" hidden="1" outlineLevel="2">
      <c r="B3165" s="2889" t="s">
        <v>1636</v>
      </c>
      <c r="C3165" s="2889" t="s">
        <v>1540</v>
      </c>
      <c r="D3165" s="2889" t="s">
        <v>1106</v>
      </c>
      <c r="E3165" s="2889" t="s">
        <v>1420</v>
      </c>
      <c r="F3165" s="2890">
        <v>1.6588842660710541E-2</v>
      </c>
      <c r="G3165" s="2890">
        <v>40.255614039022973</v>
      </c>
    </row>
    <row r="3166" spans="2:7" ht="15" hidden="1" outlineLevel="2">
      <c r="B3166" s="2889" t="s">
        <v>1637</v>
      </c>
      <c r="C3166" s="2889" t="s">
        <v>1540</v>
      </c>
      <c r="D3166" s="2889" t="s">
        <v>1106</v>
      </c>
      <c r="E3166" s="2889" t="s">
        <v>1420</v>
      </c>
      <c r="F3166" s="2890">
        <v>5.7663558551410247E-3</v>
      </c>
      <c r="G3166" s="2890">
        <v>13.993033509882629</v>
      </c>
    </row>
    <row r="3167" spans="2:7" ht="15" hidden="1" outlineLevel="2">
      <c r="B3167" s="2889" t="s">
        <v>1638</v>
      </c>
      <c r="C3167" s="2889" t="s">
        <v>1540</v>
      </c>
      <c r="D3167" s="2889" t="s">
        <v>1106</v>
      </c>
      <c r="E3167" s="2889" t="s">
        <v>1420</v>
      </c>
      <c r="F3167" s="3039">
        <v>1.1669009559080155E-2</v>
      </c>
      <c r="G3167" s="2890">
        <v>28.31680961693684</v>
      </c>
    </row>
    <row r="3168" spans="2:7" ht="15" hidden="1" outlineLevel="2">
      <c r="B3168" s="2889" t="s">
        <v>1639</v>
      </c>
      <c r="C3168" s="2889" t="s">
        <v>1540</v>
      </c>
      <c r="D3168" s="2889" t="s">
        <v>1106</v>
      </c>
      <c r="E3168" s="2889" t="s">
        <v>1420</v>
      </c>
      <c r="F3168" s="3039">
        <v>4.4013011623678155E-2</v>
      </c>
      <c r="G3168" s="2890">
        <v>106.80496310097892</v>
      </c>
    </row>
    <row r="3169" spans="2:7" ht="15" hidden="1" outlineLevel="2">
      <c r="B3169" s="2889" t="s">
        <v>1640</v>
      </c>
      <c r="C3169" s="2889" t="s">
        <v>1540</v>
      </c>
      <c r="D3169" s="2889" t="s">
        <v>1106</v>
      </c>
      <c r="E3169" s="2889" t="s">
        <v>1420</v>
      </c>
      <c r="F3169" s="3039">
        <v>4.3254081799267013E-3</v>
      </c>
      <c r="G3169" s="2890">
        <v>10.496336026259673</v>
      </c>
    </row>
    <row r="3170" spans="2:7" ht="15" hidden="1" outlineLevel="2">
      <c r="B3170" s="2889" t="s">
        <v>1641</v>
      </c>
      <c r="C3170" s="2889" t="s">
        <v>1540</v>
      </c>
      <c r="D3170" s="2889" t="s">
        <v>1106</v>
      </c>
      <c r="E3170" s="2889" t="s">
        <v>1420</v>
      </c>
      <c r="F3170" s="2890">
        <v>2.9372781034484555E-2</v>
      </c>
      <c r="G3170" s="2890">
        <v>71.277985785095211</v>
      </c>
    </row>
    <row r="3171" spans="2:7" ht="15" hidden="1" outlineLevel="2">
      <c r="B3171" s="2889" t="s">
        <v>1642</v>
      </c>
      <c r="C3171" s="2889" t="s">
        <v>1540</v>
      </c>
      <c r="D3171" s="2889" t="s">
        <v>1106</v>
      </c>
      <c r="E3171" s="2889" t="s">
        <v>1420</v>
      </c>
      <c r="F3171" s="2890">
        <v>3.9892720446140041E-2</v>
      </c>
      <c r="G3171" s="2890">
        <v>96.806416048824445</v>
      </c>
    </row>
    <row r="3172" spans="2:7" ht="15" hidden="1" outlineLevel="2">
      <c r="B3172" s="2889" t="s">
        <v>1643</v>
      </c>
      <c r="C3172" s="2889" t="s">
        <v>1540</v>
      </c>
      <c r="D3172" s="2889" t="s">
        <v>1106</v>
      </c>
      <c r="E3172" s="2889" t="s">
        <v>1420</v>
      </c>
      <c r="F3172" s="2890">
        <v>5.3678450638991685E-3</v>
      </c>
      <c r="G3172" s="2890">
        <v>13.0259819531119</v>
      </c>
    </row>
    <row r="3173" spans="2:7" ht="15" hidden="1" outlineLevel="2">
      <c r="B3173" s="2889" t="s">
        <v>1644</v>
      </c>
      <c r="C3173" s="2889" t="s">
        <v>1540</v>
      </c>
      <c r="D3173" s="2889" t="s">
        <v>1106</v>
      </c>
      <c r="E3173" s="2889" t="s">
        <v>1420</v>
      </c>
      <c r="F3173" s="2890">
        <v>7.383971435484217E-2</v>
      </c>
      <c r="G3173" s="2890">
        <v>179.18405288603662</v>
      </c>
    </row>
    <row r="3174" spans="2:7" ht="15" hidden="1" outlineLevel="2">
      <c r="B3174" s="2889" t="s">
        <v>1645</v>
      </c>
      <c r="C3174" s="2889" t="s">
        <v>1540</v>
      </c>
      <c r="D3174" s="2889" t="s">
        <v>1106</v>
      </c>
      <c r="E3174" s="2889" t="s">
        <v>1420</v>
      </c>
      <c r="F3174" s="2890">
        <v>5.421501868855666E-2</v>
      </c>
      <c r="G3174" s="2890">
        <v>131.56191213173574</v>
      </c>
    </row>
    <row r="3175" spans="2:7" ht="15" hidden="1" outlineLevel="2">
      <c r="B3175" s="2889" t="s">
        <v>1646</v>
      </c>
      <c r="C3175" s="2889" t="s">
        <v>1540</v>
      </c>
      <c r="D3175" s="2889" t="s">
        <v>1106</v>
      </c>
      <c r="E3175" s="2889" t="s">
        <v>1420</v>
      </c>
      <c r="F3175" s="2890">
        <v>4.4407843579916126E-3</v>
      </c>
      <c r="G3175" s="2890">
        <v>10.776319439406468</v>
      </c>
    </row>
    <row r="3176" spans="2:7" ht="15" hidden="1" outlineLevel="2">
      <c r="B3176" s="2889" t="s">
        <v>1647</v>
      </c>
      <c r="C3176" s="2889" t="s">
        <v>1540</v>
      </c>
      <c r="D3176" s="2889" t="s">
        <v>1106</v>
      </c>
      <c r="E3176" s="2889" t="s">
        <v>1420</v>
      </c>
      <c r="F3176" s="2890">
        <v>2.3921796283224283E-3</v>
      </c>
      <c r="G3176" s="2890">
        <v>5.8050236076506891</v>
      </c>
    </row>
    <row r="3177" spans="2:7" ht="15" hidden="1" outlineLevel="2">
      <c r="B3177" s="2889" t="s">
        <v>1648</v>
      </c>
      <c r="C3177" s="2889" t="s">
        <v>1540</v>
      </c>
      <c r="D3177" s="2889" t="s">
        <v>1106</v>
      </c>
      <c r="E3177" s="2889" t="s">
        <v>1420</v>
      </c>
      <c r="F3177" s="2890">
        <v>1.6281175781729365E-3</v>
      </c>
      <c r="G3177" s="2890">
        <v>3.9509019946379302</v>
      </c>
    </row>
    <row r="3178" spans="2:7" ht="15" hidden="1" outlineLevel="2">
      <c r="B3178" s="2889" t="s">
        <v>1649</v>
      </c>
      <c r="C3178" s="2889" t="s">
        <v>1540</v>
      </c>
      <c r="D3178" s="2889" t="s">
        <v>1106</v>
      </c>
      <c r="E3178" s="2889" t="s">
        <v>1420</v>
      </c>
      <c r="F3178" s="2890">
        <v>1.1440405210910186E-2</v>
      </c>
      <c r="G3178" s="2890">
        <v>27.762087493217734</v>
      </c>
    </row>
    <row r="3179" spans="2:7" ht="15" hidden="1" outlineLevel="2">
      <c r="B3179" s="2889" t="s">
        <v>1650</v>
      </c>
      <c r="C3179" s="2889" t="s">
        <v>1540</v>
      </c>
      <c r="D3179" s="2889" t="s">
        <v>1106</v>
      </c>
      <c r="E3179" s="2889" t="s">
        <v>1420</v>
      </c>
      <c r="F3179" s="2890">
        <v>4.1074718861622048E-2</v>
      </c>
      <c r="G3179" s="2890">
        <v>99.674694471250533</v>
      </c>
    </row>
    <row r="3180" spans="2:7" ht="15" hidden="1" outlineLevel="2">
      <c r="B3180" s="2889" t="s">
        <v>1651</v>
      </c>
      <c r="C3180" s="2889" t="s">
        <v>1540</v>
      </c>
      <c r="D3180" s="2889" t="s">
        <v>1106</v>
      </c>
      <c r="E3180" s="2889" t="s">
        <v>1420</v>
      </c>
      <c r="F3180" s="2890">
        <v>2.0757850449514097E-2</v>
      </c>
      <c r="G3180" s="2890">
        <v>50.372438933102387</v>
      </c>
    </row>
    <row r="3181" spans="2:7" ht="15" hidden="1" outlineLevel="2">
      <c r="B3181" s="2889" t="s">
        <v>1652</v>
      </c>
      <c r="C3181" s="2889" t="s">
        <v>1540</v>
      </c>
      <c r="D3181" s="2889" t="s">
        <v>1106</v>
      </c>
      <c r="E3181" s="2889" t="s">
        <v>1420</v>
      </c>
      <c r="F3181" s="3039">
        <v>5.430477497400138E-3</v>
      </c>
      <c r="G3181" s="2890">
        <v>13.177951153121224</v>
      </c>
    </row>
    <row r="3182" spans="2:7" ht="15" hidden="1" outlineLevel="2">
      <c r="B3182" s="2889" t="s">
        <v>1653</v>
      </c>
      <c r="C3182" s="2889" t="s">
        <v>1540</v>
      </c>
      <c r="D3182" s="2889" t="s">
        <v>1106</v>
      </c>
      <c r="E3182" s="2889" t="s">
        <v>1420</v>
      </c>
      <c r="F3182" s="3039">
        <v>9.9017798106393398E-2</v>
      </c>
      <c r="G3182" s="2890">
        <v>240.28327087222627</v>
      </c>
    </row>
    <row r="3183" spans="2:7" ht="15" hidden="1" outlineLevel="2">
      <c r="B3183" s="2889" t="s">
        <v>1407</v>
      </c>
      <c r="C3183" s="2889" t="s">
        <v>1541</v>
      </c>
      <c r="D3183" s="2889" t="s">
        <v>1106</v>
      </c>
      <c r="E3183" s="2889" t="s">
        <v>1420</v>
      </c>
      <c r="F3183" s="2890">
        <v>0.49046167252809003</v>
      </c>
      <c r="G3183" s="2890">
        <v>3610.9267438831225</v>
      </c>
    </row>
    <row r="3184" spans="2:7" ht="15" hidden="1" outlineLevel="2">
      <c r="B3184" s="2889" t="s">
        <v>1631</v>
      </c>
      <c r="C3184" s="2889" t="s">
        <v>1541</v>
      </c>
      <c r="D3184" s="2889" t="s">
        <v>1106</v>
      </c>
      <c r="E3184" s="2889" t="s">
        <v>1420</v>
      </c>
      <c r="F3184" s="2890">
        <v>2.0781860740434253</v>
      </c>
      <c r="G3184" s="2890">
        <v>15300.23373785902</v>
      </c>
    </row>
    <row r="3185" spans="2:7" ht="15" hidden="1" outlineLevel="2">
      <c r="B3185" s="2889" t="s">
        <v>1632</v>
      </c>
      <c r="C3185" s="2889" t="s">
        <v>1541</v>
      </c>
      <c r="D3185" s="2889" t="s">
        <v>1106</v>
      </c>
      <c r="E3185" s="2889" t="s">
        <v>1420</v>
      </c>
      <c r="F3185" s="2890">
        <v>3.8032456814703237</v>
      </c>
      <c r="G3185" s="2890">
        <v>28000.665075367171</v>
      </c>
    </row>
    <row r="3186" spans="2:7" ht="15" hidden="1" outlineLevel="2">
      <c r="B3186" s="2889" t="s">
        <v>1633</v>
      </c>
      <c r="C3186" s="2889" t="s">
        <v>1541</v>
      </c>
      <c r="D3186" s="2889" t="s">
        <v>1106</v>
      </c>
      <c r="E3186" s="2889" t="s">
        <v>1420</v>
      </c>
      <c r="F3186" s="2890">
        <v>0.10176856754011748</v>
      </c>
      <c r="G3186" s="2890">
        <v>749.25106335855753</v>
      </c>
    </row>
    <row r="3187" spans="2:7" ht="15" hidden="1" outlineLevel="2">
      <c r="B3187" s="2889" t="s">
        <v>1634</v>
      </c>
      <c r="C3187" s="2889" t="s">
        <v>1541</v>
      </c>
      <c r="D3187" s="2889" t="s">
        <v>1106</v>
      </c>
      <c r="E3187" s="2889" t="s">
        <v>1420</v>
      </c>
      <c r="F3187" s="2890">
        <v>0.24657585295971471</v>
      </c>
      <c r="G3187" s="2890">
        <v>1815.3658548215199</v>
      </c>
    </row>
    <row r="3188" spans="2:7" ht="15" hidden="1" outlineLevel="2">
      <c r="B3188" s="2889" t="s">
        <v>1635</v>
      </c>
      <c r="C3188" s="2889" t="s">
        <v>1541</v>
      </c>
      <c r="D3188" s="2889" t="s">
        <v>1106</v>
      </c>
      <c r="E3188" s="2889" t="s">
        <v>1420</v>
      </c>
      <c r="F3188" s="2890">
        <v>0.53006343595363592</v>
      </c>
      <c r="G3188" s="2890">
        <v>3902.487693211131</v>
      </c>
    </row>
    <row r="3189" spans="2:7" ht="15" hidden="1" outlineLevel="2">
      <c r="B3189" s="2889" t="s">
        <v>1636</v>
      </c>
      <c r="C3189" s="2889" t="s">
        <v>1541</v>
      </c>
      <c r="D3189" s="2889" t="s">
        <v>1106</v>
      </c>
      <c r="E3189" s="2889" t="s">
        <v>1420</v>
      </c>
      <c r="F3189" s="2890">
        <v>0.48343816729823702</v>
      </c>
      <c r="G3189" s="2890">
        <v>3559.2190575800587</v>
      </c>
    </row>
    <row r="3190" spans="2:7" ht="15" hidden="1" outlineLevel="2">
      <c r="B3190" s="2889" t="s">
        <v>1637</v>
      </c>
      <c r="C3190" s="2889" t="s">
        <v>1541</v>
      </c>
      <c r="D3190" s="2889" t="s">
        <v>1106</v>
      </c>
      <c r="E3190" s="2889" t="s">
        <v>1420</v>
      </c>
      <c r="F3190" s="2890">
        <v>0.16804520000692319</v>
      </c>
      <c r="G3190" s="2890">
        <v>1237.199990567354</v>
      </c>
    </row>
    <row r="3191" spans="2:7" ht="15" hidden="1" outlineLevel="2">
      <c r="B3191" s="2889" t="s">
        <v>1638</v>
      </c>
      <c r="C3191" s="2889" t="s">
        <v>1541</v>
      </c>
      <c r="D3191" s="2889" t="s">
        <v>1106</v>
      </c>
      <c r="E3191" s="2889" t="s">
        <v>1420</v>
      </c>
      <c r="F3191" s="2890">
        <v>0.34006254006987363</v>
      </c>
      <c r="G3191" s="2890">
        <v>2503.6424056226451</v>
      </c>
    </row>
    <row r="3192" spans="2:7" ht="15" hidden="1" outlineLevel="2">
      <c r="B3192" s="2889" t="s">
        <v>1639</v>
      </c>
      <c r="C3192" s="2889" t="s">
        <v>1541</v>
      </c>
      <c r="D3192" s="2889" t="s">
        <v>1106</v>
      </c>
      <c r="E3192" s="2889" t="s">
        <v>1420</v>
      </c>
      <c r="F3192" s="2890">
        <v>1.2826429374488209</v>
      </c>
      <c r="G3192" s="2890">
        <v>9443.204891356505</v>
      </c>
    </row>
    <row r="3193" spans="2:7" ht="15" hidden="1" outlineLevel="2">
      <c r="B3193" s="2889" t="s">
        <v>1640</v>
      </c>
      <c r="C3193" s="2889" t="s">
        <v>1541</v>
      </c>
      <c r="D3193" s="2889" t="s">
        <v>1106</v>
      </c>
      <c r="E3193" s="2889" t="s">
        <v>1420</v>
      </c>
      <c r="F3193" s="2890">
        <v>0.12605253904340688</v>
      </c>
      <c r="G3193" s="2890">
        <v>928.03727143853496</v>
      </c>
    </row>
    <row r="3194" spans="2:7" ht="15" hidden="1" outlineLevel="2">
      <c r="B3194" s="2889" t="s">
        <v>1641</v>
      </c>
      <c r="C3194" s="2889" t="s">
        <v>1541</v>
      </c>
      <c r="D3194" s="2889" t="s">
        <v>1106</v>
      </c>
      <c r="E3194" s="2889" t="s">
        <v>1420</v>
      </c>
      <c r="F3194" s="2890">
        <v>0.85599163135381018</v>
      </c>
      <c r="G3194" s="2890">
        <v>6302.0711690303615</v>
      </c>
    </row>
    <row r="3195" spans="2:7" ht="15" hidden="1" outlineLevel="2">
      <c r="B3195" s="2889" t="s">
        <v>1642</v>
      </c>
      <c r="C3195" s="2889" t="s">
        <v>1541</v>
      </c>
      <c r="D3195" s="2889" t="s">
        <v>1106</v>
      </c>
      <c r="E3195" s="2889" t="s">
        <v>1420</v>
      </c>
      <c r="F3195" s="2890">
        <v>1.1625678232194829</v>
      </c>
      <c r="G3195" s="2890">
        <v>8559.1757442013059</v>
      </c>
    </row>
    <row r="3196" spans="2:7" ht="15" hidden="1" outlineLevel="2">
      <c r="B3196" s="2889" t="s">
        <v>1643</v>
      </c>
      <c r="C3196" s="2889" t="s">
        <v>1541</v>
      </c>
      <c r="D3196" s="2889" t="s">
        <v>1106</v>
      </c>
      <c r="E3196" s="2889" t="s">
        <v>1420</v>
      </c>
      <c r="F3196" s="2890">
        <v>0.15643161639613287</v>
      </c>
      <c r="G3196" s="2890">
        <v>1151.6971029543286</v>
      </c>
    </row>
    <row r="3197" spans="2:7" ht="15" hidden="1" outlineLevel="2">
      <c r="B3197" s="2889" t="s">
        <v>1644</v>
      </c>
      <c r="C3197" s="2889" t="s">
        <v>1541</v>
      </c>
      <c r="D3197" s="2889" t="s">
        <v>1106</v>
      </c>
      <c r="E3197" s="2889" t="s">
        <v>1420</v>
      </c>
      <c r="F3197" s="2890">
        <v>2.1518602007222092</v>
      </c>
      <c r="G3197" s="2890">
        <v>15842.649600742825</v>
      </c>
    </row>
    <row r="3198" spans="2:7" ht="15" hidden="1" outlineLevel="2">
      <c r="B3198" s="2889" t="s">
        <v>1645</v>
      </c>
      <c r="C3198" s="2889" t="s">
        <v>1541</v>
      </c>
      <c r="D3198" s="2889" t="s">
        <v>1106</v>
      </c>
      <c r="E3198" s="2889" t="s">
        <v>1420</v>
      </c>
      <c r="F3198" s="3039">
        <v>1.5799529286285863</v>
      </c>
      <c r="G3198" s="2890">
        <v>11632.090134036021</v>
      </c>
    </row>
    <row r="3199" spans="2:7" ht="15" hidden="1" outlineLevel="2">
      <c r="B3199" s="2889" t="s">
        <v>1646</v>
      </c>
      <c r="C3199" s="2889" t="s">
        <v>1541</v>
      </c>
      <c r="D3199" s="2889" t="s">
        <v>1106</v>
      </c>
      <c r="E3199" s="2889" t="s">
        <v>1420</v>
      </c>
      <c r="F3199" s="3039">
        <v>0.12941497346061553</v>
      </c>
      <c r="G3199" s="2890">
        <v>952.79175273595547</v>
      </c>
    </row>
    <row r="3200" spans="2:7" ht="15" hidden="1" outlineLevel="2">
      <c r="B3200" s="2889" t="s">
        <v>1647</v>
      </c>
      <c r="C3200" s="2889" t="s">
        <v>1541</v>
      </c>
      <c r="D3200" s="2889" t="s">
        <v>1106</v>
      </c>
      <c r="E3200" s="2889" t="s">
        <v>1420</v>
      </c>
      <c r="F3200" s="3039">
        <v>6.9713717234819214E-2</v>
      </c>
      <c r="G3200" s="2890">
        <v>513.25351143596197</v>
      </c>
    </row>
    <row r="3201" spans="2:7" ht="15" hidden="1" outlineLevel="2">
      <c r="B3201" s="2889" t="s">
        <v>1648</v>
      </c>
      <c r="C3201" s="2889" t="s">
        <v>1541</v>
      </c>
      <c r="D3201" s="2889" t="s">
        <v>1106</v>
      </c>
      <c r="E3201" s="2889" t="s">
        <v>1420</v>
      </c>
      <c r="F3201" s="3039">
        <v>4.7447162702092288E-2</v>
      </c>
      <c r="G3201" s="2890">
        <v>349.3204265122759</v>
      </c>
    </row>
    <row r="3202" spans="2:7" ht="15" hidden="1" outlineLevel="2">
      <c r="B3202" s="2889" t="s">
        <v>1649</v>
      </c>
      <c r="C3202" s="2889" t="s">
        <v>1541</v>
      </c>
      <c r="D3202" s="2889" t="s">
        <v>1106</v>
      </c>
      <c r="E3202" s="2889" t="s">
        <v>1420</v>
      </c>
      <c r="F3202" s="3039">
        <v>0.33340033149680687</v>
      </c>
      <c r="G3202" s="2890">
        <v>2454.5966148854045</v>
      </c>
    </row>
    <row r="3203" spans="2:7" ht="15" hidden="1" outlineLevel="2">
      <c r="B3203" s="2889" t="s">
        <v>1650</v>
      </c>
      <c r="C3203" s="2889" t="s">
        <v>1541</v>
      </c>
      <c r="D3203" s="2889" t="s">
        <v>1106</v>
      </c>
      <c r="E3203" s="2889" t="s">
        <v>1420</v>
      </c>
      <c r="F3203" s="3039">
        <v>1.1970137801713574</v>
      </c>
      <c r="G3203" s="2890">
        <v>8812.7770496633439</v>
      </c>
    </row>
    <row r="3204" spans="2:7" ht="15" hidden="1" outlineLevel="2">
      <c r="B3204" s="2889" t="s">
        <v>1651</v>
      </c>
      <c r="C3204" s="2889" t="s">
        <v>1541</v>
      </c>
      <c r="D3204" s="2889" t="s">
        <v>1106</v>
      </c>
      <c r="E3204" s="2889" t="s">
        <v>1420</v>
      </c>
      <c r="F3204" s="3039">
        <v>0.60493278448590626</v>
      </c>
      <c r="G3204" s="2890">
        <v>4453.6990742271319</v>
      </c>
    </row>
    <row r="3205" spans="2:7" ht="15" hidden="1" outlineLevel="2">
      <c r="B3205" s="2889" t="s">
        <v>1652</v>
      </c>
      <c r="C3205" s="2889" t="s">
        <v>1541</v>
      </c>
      <c r="D3205" s="2889" t="s">
        <v>1106</v>
      </c>
      <c r="E3205" s="2889" t="s">
        <v>1420</v>
      </c>
      <c r="F3205" s="3039">
        <v>0.15825684174835072</v>
      </c>
      <c r="G3205" s="2890">
        <v>1165.1351279114042</v>
      </c>
    </row>
    <row r="3206" spans="2:7" ht="15" hidden="1" outlineLevel="2">
      <c r="B3206" s="2889" t="s">
        <v>1653</v>
      </c>
      <c r="C3206" s="2889" t="s">
        <v>1541</v>
      </c>
      <c r="D3206" s="2889" t="s">
        <v>1106</v>
      </c>
      <c r="E3206" s="2889" t="s">
        <v>1420</v>
      </c>
      <c r="F3206" s="3039">
        <v>2.8856085524843293</v>
      </c>
      <c r="G3206" s="2890">
        <v>21244.725851189654</v>
      </c>
    </row>
    <row r="3207" spans="2:7" ht="15" hidden="1" outlineLevel="2">
      <c r="B3207" s="2889" t="s">
        <v>1407</v>
      </c>
      <c r="C3207" s="2889" t="s">
        <v>1542</v>
      </c>
      <c r="D3207" s="2889" t="s">
        <v>1106</v>
      </c>
      <c r="E3207" s="2889" t="s">
        <v>1420</v>
      </c>
      <c r="F3207" s="3039">
        <v>2.3855812318781494E-3</v>
      </c>
      <c r="G3207" s="2890">
        <v>27.298695493587068</v>
      </c>
    </row>
    <row r="3208" spans="2:7" ht="15" hidden="1" outlineLevel="2">
      <c r="B3208" s="2889" t="s">
        <v>1631</v>
      </c>
      <c r="C3208" s="2889" t="s">
        <v>1542</v>
      </c>
      <c r="D3208" s="2889" t="s">
        <v>1106</v>
      </c>
      <c r="E3208" s="2889" t="s">
        <v>1420</v>
      </c>
      <c r="F3208" s="2890">
        <v>1.0108175199944737E-2</v>
      </c>
      <c r="G3208" s="2890">
        <v>115.670140503507</v>
      </c>
    </row>
    <row r="3209" spans="2:7" ht="15" hidden="1" outlineLevel="2">
      <c r="B3209" s="2889" t="s">
        <v>1632</v>
      </c>
      <c r="C3209" s="2889" t="s">
        <v>1542</v>
      </c>
      <c r="D3209" s="2889" t="s">
        <v>1106</v>
      </c>
      <c r="E3209" s="2889" t="s">
        <v>1420</v>
      </c>
      <c r="F3209" s="2890">
        <v>1.8498777830948668E-2</v>
      </c>
      <c r="G3209" s="2890">
        <v>211.68556849804608</v>
      </c>
    </row>
    <row r="3210" spans="2:7" ht="15" hidden="1" outlineLevel="2">
      <c r="B3210" s="2889" t="s">
        <v>1633</v>
      </c>
      <c r="C3210" s="2889" t="s">
        <v>1542</v>
      </c>
      <c r="D3210" s="2889" t="s">
        <v>1106</v>
      </c>
      <c r="E3210" s="2889" t="s">
        <v>1420</v>
      </c>
      <c r="F3210" s="3039">
        <v>4.9499665603211767E-4</v>
      </c>
      <c r="G3210" s="2890">
        <v>5.6643547122757489</v>
      </c>
    </row>
    <row r="3211" spans="2:7" ht="15" hidden="1" outlineLevel="2">
      <c r="B3211" s="2889" t="s">
        <v>1634</v>
      </c>
      <c r="C3211" s="2889" t="s">
        <v>1542</v>
      </c>
      <c r="D3211" s="2889" t="s">
        <v>1106</v>
      </c>
      <c r="E3211" s="2889" t="s">
        <v>1420</v>
      </c>
      <c r="F3211" s="2890">
        <v>1.1993313133291236E-3</v>
      </c>
      <c r="G3211" s="2890">
        <v>13.724196100194657</v>
      </c>
    </row>
    <row r="3212" spans="2:7" ht="15" hidden="1" outlineLevel="2">
      <c r="B3212" s="2889" t="s">
        <v>1635</v>
      </c>
      <c r="C3212" s="2889" t="s">
        <v>1542</v>
      </c>
      <c r="D3212" s="2889" t="s">
        <v>1106</v>
      </c>
      <c r="E3212" s="2889" t="s">
        <v>1420</v>
      </c>
      <c r="F3212" s="2890">
        <v>2.5782013150601009E-3</v>
      </c>
      <c r="G3212" s="2890">
        <v>29.502904387653061</v>
      </c>
    </row>
    <row r="3213" spans="2:7" ht="15" hidden="1" outlineLevel="2">
      <c r="B3213" s="2889" t="s">
        <v>1636</v>
      </c>
      <c r="C3213" s="2889" t="s">
        <v>1542</v>
      </c>
      <c r="D3213" s="2889" t="s">
        <v>1106</v>
      </c>
      <c r="E3213" s="2889" t="s">
        <v>1420</v>
      </c>
      <c r="F3213" s="2890">
        <v>2.3514146227456012E-3</v>
      </c>
      <c r="G3213" s="2890">
        <v>26.907772250030781</v>
      </c>
    </row>
    <row r="3214" spans="2:7" ht="15" hidden="1" outlineLevel="2">
      <c r="B3214" s="2889" t="s">
        <v>1637</v>
      </c>
      <c r="C3214" s="2889" t="s">
        <v>1542</v>
      </c>
      <c r="D3214" s="2889" t="s">
        <v>1106</v>
      </c>
      <c r="E3214" s="2889" t="s">
        <v>1420</v>
      </c>
      <c r="F3214" s="2890">
        <v>8.173619197144969E-4</v>
      </c>
      <c r="G3214" s="2890">
        <v>9.3532533369181419</v>
      </c>
    </row>
    <row r="3215" spans="2:7" ht="15" hidden="1" outlineLevel="2">
      <c r="B3215" s="2889" t="s">
        <v>1638</v>
      </c>
      <c r="C3215" s="2889" t="s">
        <v>1542</v>
      </c>
      <c r="D3215" s="2889" t="s">
        <v>1106</v>
      </c>
      <c r="E3215" s="2889" t="s">
        <v>1420</v>
      </c>
      <c r="F3215" s="2890">
        <v>1.6757923809407552E-3</v>
      </c>
      <c r="G3215" s="2890">
        <v>19.176478209783888</v>
      </c>
    </row>
    <row r="3216" spans="2:7" ht="15" hidden="1" outlineLevel="2">
      <c r="B3216" s="2889" t="s">
        <v>1639</v>
      </c>
      <c r="C3216" s="2889" t="s">
        <v>1542</v>
      </c>
      <c r="D3216" s="2889" t="s">
        <v>1106</v>
      </c>
      <c r="E3216" s="2889" t="s">
        <v>1420</v>
      </c>
      <c r="F3216" s="2890">
        <v>6.2387013173175561E-3</v>
      </c>
      <c r="G3216" s="2890">
        <v>71.390835777169869</v>
      </c>
    </row>
    <row r="3217" spans="2:7" ht="15" hidden="1" outlineLevel="2">
      <c r="B3217" s="2889" t="s">
        <v>1640</v>
      </c>
      <c r="C3217" s="2889" t="s">
        <v>1542</v>
      </c>
      <c r="D3217" s="2889" t="s">
        <v>1106</v>
      </c>
      <c r="E3217" s="2889" t="s">
        <v>1420</v>
      </c>
      <c r="F3217" s="2890">
        <v>6.1311264292078331E-4</v>
      </c>
      <c r="G3217" s="2890">
        <v>7.0159816734079632</v>
      </c>
    </row>
    <row r="3218" spans="2:7" ht="15" hidden="1" outlineLevel="2">
      <c r="B3218" s="2889" t="s">
        <v>1641</v>
      </c>
      <c r="C3218" s="2889" t="s">
        <v>1542</v>
      </c>
      <c r="D3218" s="2889" t="s">
        <v>1106</v>
      </c>
      <c r="E3218" s="2889" t="s">
        <v>1420</v>
      </c>
      <c r="F3218" s="2890">
        <v>4.1634972241179251E-3</v>
      </c>
      <c r="G3218" s="2890">
        <v>47.643789211216948</v>
      </c>
    </row>
    <row r="3219" spans="2:7" ht="15" hidden="1" outlineLevel="2">
      <c r="B3219" s="2889" t="s">
        <v>1642</v>
      </c>
      <c r="C3219" s="2889" t="s">
        <v>1542</v>
      </c>
      <c r="D3219" s="2889" t="s">
        <v>1106</v>
      </c>
      <c r="E3219" s="2889" t="s">
        <v>1420</v>
      </c>
      <c r="F3219" s="2890">
        <v>5.6546630784697263E-3</v>
      </c>
      <c r="G3219" s="2890">
        <v>64.707562138844494</v>
      </c>
    </row>
    <row r="3220" spans="2:7" ht="15" hidden="1" outlineLevel="2">
      <c r="B3220" s="2889" t="s">
        <v>1643</v>
      </c>
      <c r="C3220" s="2889" t="s">
        <v>1542</v>
      </c>
      <c r="D3220" s="2889" t="s">
        <v>1106</v>
      </c>
      <c r="E3220" s="2889" t="s">
        <v>1420</v>
      </c>
      <c r="F3220" s="2890">
        <v>7.6087460770295678E-4</v>
      </c>
      <c r="G3220" s="2890">
        <v>8.7068572931426154</v>
      </c>
    </row>
    <row r="3221" spans="2:7" ht="15" hidden="1" outlineLevel="2">
      <c r="B3221" s="2889" t="s">
        <v>1644</v>
      </c>
      <c r="C3221" s="2889" t="s">
        <v>1542</v>
      </c>
      <c r="D3221" s="2889" t="s">
        <v>1106</v>
      </c>
      <c r="E3221" s="2889" t="s">
        <v>1420</v>
      </c>
      <c r="F3221" s="2890">
        <v>1.0466526282762678E-2</v>
      </c>
      <c r="G3221" s="2890">
        <v>119.77074958424072</v>
      </c>
    </row>
    <row r="3222" spans="2:7" ht="15" hidden="1" outlineLevel="2">
      <c r="B3222" s="2889" t="s">
        <v>1645</v>
      </c>
      <c r="C3222" s="2889" t="s">
        <v>1542</v>
      </c>
      <c r="D3222" s="2889" t="s">
        <v>1106</v>
      </c>
      <c r="E3222" s="2889" t="s">
        <v>1420</v>
      </c>
      <c r="F3222" s="2890">
        <v>7.684805720649379E-3</v>
      </c>
      <c r="G3222" s="2890">
        <v>87.938894821083608</v>
      </c>
    </row>
    <row r="3223" spans="2:7" ht="15" hidden="1" outlineLevel="2">
      <c r="B3223" s="2889" t="s">
        <v>1646</v>
      </c>
      <c r="C3223" s="2889" t="s">
        <v>1542</v>
      </c>
      <c r="D3223" s="2889" t="s">
        <v>1106</v>
      </c>
      <c r="E3223" s="2889" t="s">
        <v>1420</v>
      </c>
      <c r="F3223" s="2890">
        <v>6.2946669002454029E-4</v>
      </c>
      <c r="G3223" s="2890">
        <v>7.2031293184143594</v>
      </c>
    </row>
    <row r="3224" spans="2:7" ht="15" hidden="1" outlineLevel="2">
      <c r="B3224" s="2889" t="s">
        <v>1647</v>
      </c>
      <c r="C3224" s="2889" t="s">
        <v>1542</v>
      </c>
      <c r="D3224" s="2889" t="s">
        <v>1106</v>
      </c>
      <c r="E3224" s="2889" t="s">
        <v>1420</v>
      </c>
      <c r="F3224" s="2890">
        <v>3.3908342031709055E-4</v>
      </c>
      <c r="G3224" s="2890">
        <v>3.8802086909968949</v>
      </c>
    </row>
    <row r="3225" spans="2:7" ht="15" hidden="1" outlineLevel="2">
      <c r="B3225" s="2889" t="s">
        <v>1648</v>
      </c>
      <c r="C3225" s="2889" t="s">
        <v>1542</v>
      </c>
      <c r="D3225" s="2889" t="s">
        <v>1106</v>
      </c>
      <c r="E3225" s="2889" t="s">
        <v>1420</v>
      </c>
      <c r="F3225" s="2890">
        <v>2.3078033902864024E-4</v>
      </c>
      <c r="G3225" s="2890">
        <v>2.6408710452683293</v>
      </c>
    </row>
    <row r="3226" spans="2:7" ht="15" hidden="1" outlineLevel="2">
      <c r="B3226" s="2889" t="s">
        <v>1649</v>
      </c>
      <c r="C3226" s="2889" t="s">
        <v>1542</v>
      </c>
      <c r="D3226" s="2889" t="s">
        <v>1106</v>
      </c>
      <c r="E3226" s="2889" t="s">
        <v>1420</v>
      </c>
      <c r="F3226" s="2890">
        <v>1.6216409522084745E-3</v>
      </c>
      <c r="G3226" s="2890">
        <v>18.556800159928262</v>
      </c>
    </row>
    <row r="3227" spans="2:7" ht="15" hidden="1" outlineLevel="2">
      <c r="B3227" s="2889" t="s">
        <v>1650</v>
      </c>
      <c r="C3227" s="2889" t="s">
        <v>1542</v>
      </c>
      <c r="D3227" s="2889" t="s">
        <v>1106</v>
      </c>
      <c r="E3227" s="2889" t="s">
        <v>1420</v>
      </c>
      <c r="F3227" s="2890">
        <v>5.8222033510104852E-3</v>
      </c>
      <c r="G3227" s="2890">
        <v>66.624785694858318</v>
      </c>
    </row>
    <row r="3228" spans="2:7" ht="15" hidden="1" outlineLevel="2">
      <c r="B3228" s="2889" t="s">
        <v>1651</v>
      </c>
      <c r="C3228" s="2889" t="s">
        <v>1542</v>
      </c>
      <c r="D3228" s="2889" t="s">
        <v>1106</v>
      </c>
      <c r="E3228" s="2889" t="s">
        <v>1420</v>
      </c>
      <c r="F3228" s="2890">
        <v>2.942358987565636E-3</v>
      </c>
      <c r="G3228" s="2890">
        <v>33.670065367858257</v>
      </c>
    </row>
    <row r="3229" spans="2:7" ht="15" hidden="1" outlineLevel="2">
      <c r="B3229" s="2889" t="s">
        <v>1652</v>
      </c>
      <c r="C3229" s="2889" t="s">
        <v>1542</v>
      </c>
      <c r="D3229" s="2889" t="s">
        <v>1106</v>
      </c>
      <c r="E3229" s="2889" t="s">
        <v>1420</v>
      </c>
      <c r="F3229" s="2890">
        <v>7.697521687407273E-4</v>
      </c>
      <c r="G3229" s="2890">
        <v>8.8084455105374921</v>
      </c>
    </row>
    <row r="3230" spans="2:7" ht="15" hidden="1" outlineLevel="2">
      <c r="B3230" s="2889" t="s">
        <v>1653</v>
      </c>
      <c r="C3230" s="2889" t="s">
        <v>1542</v>
      </c>
      <c r="D3230" s="2889" t="s">
        <v>1106</v>
      </c>
      <c r="E3230" s="2889" t="s">
        <v>1420</v>
      </c>
      <c r="F3230" s="2890">
        <v>1.4035448353310087E-2</v>
      </c>
      <c r="G3230" s="2890">
        <v>160.61064696722323</v>
      </c>
    </row>
    <row r="3231" spans="2:7" ht="15" hidden="1" outlineLevel="2">
      <c r="B3231" s="2889" t="s">
        <v>1407</v>
      </c>
      <c r="C3231" s="2889" t="s">
        <v>1543</v>
      </c>
      <c r="D3231" s="2889" t="s">
        <v>1106</v>
      </c>
      <c r="E3231" s="2889" t="s">
        <v>1420</v>
      </c>
      <c r="F3231" s="3039">
        <v>8.6447508423933791E-4</v>
      </c>
      <c r="G3231" s="2890">
        <v>8.4613329321624224</v>
      </c>
    </row>
    <row r="3232" spans="2:7" ht="15" hidden="1" outlineLevel="2">
      <c r="B3232" s="2889" t="s">
        <v>1631</v>
      </c>
      <c r="C3232" s="2889" t="s">
        <v>1543</v>
      </c>
      <c r="D3232" s="2889" t="s">
        <v>1106</v>
      </c>
      <c r="E3232" s="2889" t="s">
        <v>1420</v>
      </c>
      <c r="F3232" s="3039">
        <v>3.6629580724601659E-3</v>
      </c>
      <c r="G3232" s="2890">
        <v>35.852387243204284</v>
      </c>
    </row>
    <row r="3233" spans="2:7" ht="15" hidden="1" outlineLevel="2">
      <c r="B3233" s="2889" t="s">
        <v>1632</v>
      </c>
      <c r="C3233" s="2889" t="s">
        <v>1543</v>
      </c>
      <c r="D3233" s="2889" t="s">
        <v>1106</v>
      </c>
      <c r="E3233" s="2889" t="s">
        <v>1420</v>
      </c>
      <c r="F3233" s="3039">
        <v>6.7035007594920364E-3</v>
      </c>
      <c r="G3233" s="2890">
        <v>65.612711760304393</v>
      </c>
    </row>
    <row r="3234" spans="2:7" ht="15" hidden="1" outlineLevel="2">
      <c r="B3234" s="2889" t="s">
        <v>1633</v>
      </c>
      <c r="C3234" s="2889" t="s">
        <v>1543</v>
      </c>
      <c r="D3234" s="2889" t="s">
        <v>1106</v>
      </c>
      <c r="E3234" s="2889" t="s">
        <v>1420</v>
      </c>
      <c r="F3234" s="3039">
        <v>1.7937462793672393E-4</v>
      </c>
      <c r="G3234" s="2890">
        <v>1.7556900306118084</v>
      </c>
    </row>
    <row r="3235" spans="2:7" ht="15" hidden="1" outlineLevel="2">
      <c r="B3235" s="2889" t="s">
        <v>1634</v>
      </c>
      <c r="C3235" s="2889" t="s">
        <v>1543</v>
      </c>
      <c r="D3235" s="2889" t="s">
        <v>1106</v>
      </c>
      <c r="E3235" s="2889" t="s">
        <v>1420</v>
      </c>
      <c r="F3235" s="3039">
        <v>4.3460826028303564E-4</v>
      </c>
      <c r="G3235" s="2890">
        <v>4.2538685178079199</v>
      </c>
    </row>
    <row r="3236" spans="2:7" ht="15" hidden="1" outlineLevel="2">
      <c r="B3236" s="2889" t="s">
        <v>1635</v>
      </c>
      <c r="C3236" s="2889" t="s">
        <v>1543</v>
      </c>
      <c r="D3236" s="2889" t="s">
        <v>1106</v>
      </c>
      <c r="E3236" s="2889" t="s">
        <v>1420</v>
      </c>
      <c r="F3236" s="3039">
        <v>9.3427560436663945E-4</v>
      </c>
      <c r="G3236" s="2890">
        <v>9.1445300139070014</v>
      </c>
    </row>
    <row r="3237" spans="2:7" ht="15" hidden="1" outlineLevel="2">
      <c r="B3237" s="2889" t="s">
        <v>1636</v>
      </c>
      <c r="C3237" s="2889" t="s">
        <v>1543</v>
      </c>
      <c r="D3237" s="2889" t="s">
        <v>1106</v>
      </c>
      <c r="E3237" s="2889" t="s">
        <v>1420</v>
      </c>
      <c r="F3237" s="2890">
        <v>8.5209500953712584E-4</v>
      </c>
      <c r="G3237" s="2890">
        <v>8.3401602296176041</v>
      </c>
    </row>
    <row r="3238" spans="2:7" ht="15" hidden="1" outlineLevel="2">
      <c r="B3238" s="2889" t="s">
        <v>1637</v>
      </c>
      <c r="C3238" s="2889" t="s">
        <v>1543</v>
      </c>
      <c r="D3238" s="2889" t="s">
        <v>1106</v>
      </c>
      <c r="E3238" s="2889" t="s">
        <v>1420</v>
      </c>
      <c r="F3238" s="2890">
        <v>2.9619177637818544E-4</v>
      </c>
      <c r="G3238" s="2890">
        <v>2.8990767306870553</v>
      </c>
    </row>
    <row r="3239" spans="2:7" ht="15" hidden="1" outlineLevel="2">
      <c r="B3239" s="2889" t="s">
        <v>1638</v>
      </c>
      <c r="C3239" s="2889" t="s">
        <v>1543</v>
      </c>
      <c r="D3239" s="2889" t="s">
        <v>1106</v>
      </c>
      <c r="E3239" s="2889" t="s">
        <v>1420</v>
      </c>
      <c r="F3239" s="2890">
        <v>6.0726603593287427E-4</v>
      </c>
      <c r="G3239" s="2890">
        <v>5.9438144746150563</v>
      </c>
    </row>
    <row r="3240" spans="2:7" ht="15" hidden="1" outlineLevel="2">
      <c r="B3240" s="2889" t="s">
        <v>1639</v>
      </c>
      <c r="C3240" s="2889" t="s">
        <v>1543</v>
      </c>
      <c r="D3240" s="2889" t="s">
        <v>1106</v>
      </c>
      <c r="E3240" s="2889" t="s">
        <v>1420</v>
      </c>
      <c r="F3240" s="2890">
        <v>2.2607525413261232E-3</v>
      </c>
      <c r="G3240" s="2890">
        <v>22.127855621367129</v>
      </c>
    </row>
    <row r="3241" spans="2:7" ht="15" hidden="1" outlineLevel="2">
      <c r="B3241" s="2889" t="s">
        <v>1640</v>
      </c>
      <c r="C3241" s="2889" t="s">
        <v>1543</v>
      </c>
      <c r="D3241" s="2889" t="s">
        <v>1106</v>
      </c>
      <c r="E3241" s="2889" t="s">
        <v>1420</v>
      </c>
      <c r="F3241" s="2890">
        <v>2.2217695737063707E-4</v>
      </c>
      <c r="G3241" s="2890">
        <v>2.1746295248166079</v>
      </c>
    </row>
    <row r="3242" spans="2:7" ht="15" hidden="1" outlineLevel="2">
      <c r="B3242" s="2889" t="s">
        <v>1641</v>
      </c>
      <c r="C3242" s="2889" t="s">
        <v>1543</v>
      </c>
      <c r="D3242" s="2889" t="s">
        <v>1106</v>
      </c>
      <c r="E3242" s="2889" t="s">
        <v>1420</v>
      </c>
      <c r="F3242" s="2890">
        <v>1.5087482904487047E-3</v>
      </c>
      <c r="G3242" s="2890">
        <v>14.767377802840413</v>
      </c>
    </row>
    <row r="3243" spans="2:7" ht="15" hidden="1" outlineLevel="2">
      <c r="B3243" s="2889" t="s">
        <v>1642</v>
      </c>
      <c r="C3243" s="2889" t="s">
        <v>1543</v>
      </c>
      <c r="D3243" s="2889" t="s">
        <v>1106</v>
      </c>
      <c r="E3243" s="2889" t="s">
        <v>1420</v>
      </c>
      <c r="F3243" s="2890">
        <v>2.0491119082669401E-3</v>
      </c>
      <c r="G3243" s="2890">
        <v>20.056360963778129</v>
      </c>
    </row>
    <row r="3244" spans="2:7" ht="15" hidden="1" outlineLevel="2">
      <c r="B3244" s="2889" t="s">
        <v>1643</v>
      </c>
      <c r="C3244" s="2889" t="s">
        <v>1543</v>
      </c>
      <c r="D3244" s="2889" t="s">
        <v>1106</v>
      </c>
      <c r="E3244" s="2889" t="s">
        <v>1420</v>
      </c>
      <c r="F3244" s="2890">
        <v>2.7572237382223326E-4</v>
      </c>
      <c r="G3244" s="2890">
        <v>2.6987227778912408</v>
      </c>
    </row>
    <row r="3245" spans="2:7" ht="15" hidden="1" outlineLevel="2">
      <c r="B3245" s="2889" t="s">
        <v>1644</v>
      </c>
      <c r="C3245" s="2889" t="s">
        <v>1543</v>
      </c>
      <c r="D3245" s="2889" t="s">
        <v>1106</v>
      </c>
      <c r="E3245" s="2889" t="s">
        <v>1420</v>
      </c>
      <c r="F3245" s="2890">
        <v>3.7928102515697205E-3</v>
      </c>
      <c r="G3245" s="2890">
        <v>37.123385677538877</v>
      </c>
    </row>
    <row r="3246" spans="2:7" ht="15" hidden="1" outlineLevel="2">
      <c r="B3246" s="2889" t="s">
        <v>1645</v>
      </c>
      <c r="C3246" s="2889" t="s">
        <v>1543</v>
      </c>
      <c r="D3246" s="2889" t="s">
        <v>1106</v>
      </c>
      <c r="E3246" s="2889" t="s">
        <v>1420</v>
      </c>
      <c r="F3246" s="2890">
        <v>2.7847852343186354E-3</v>
      </c>
      <c r="G3246" s="2890">
        <v>27.25698604891722</v>
      </c>
    </row>
    <row r="3247" spans="2:7" ht="15" hidden="1" outlineLevel="2">
      <c r="B3247" s="2889" t="s">
        <v>1646</v>
      </c>
      <c r="C3247" s="2889" t="s">
        <v>1543</v>
      </c>
      <c r="D3247" s="2889" t="s">
        <v>1106</v>
      </c>
      <c r="E3247" s="2889" t="s">
        <v>1420</v>
      </c>
      <c r="F3247" s="2890">
        <v>2.2810347171911124E-4</v>
      </c>
      <c r="G3247" s="2890">
        <v>2.2326355767438679</v>
      </c>
    </row>
    <row r="3248" spans="2:7" ht="15" hidden="1" outlineLevel="2">
      <c r="B3248" s="2889" t="s">
        <v>1647</v>
      </c>
      <c r="C3248" s="2889" t="s">
        <v>1543</v>
      </c>
      <c r="D3248" s="2889" t="s">
        <v>1106</v>
      </c>
      <c r="E3248" s="2889" t="s">
        <v>1420</v>
      </c>
      <c r="F3248" s="2890">
        <v>1.2287561143883253E-4</v>
      </c>
      <c r="G3248" s="2890">
        <v>1.20268487491283</v>
      </c>
    </row>
    <row r="3249" spans="2:7" ht="15" hidden="1" outlineLevel="2">
      <c r="B3249" s="2889" t="s">
        <v>1648</v>
      </c>
      <c r="C3249" s="2889" t="s">
        <v>1543</v>
      </c>
      <c r="D3249" s="2889" t="s">
        <v>1106</v>
      </c>
      <c r="E3249" s="2889" t="s">
        <v>1420</v>
      </c>
      <c r="F3249" s="2890">
        <v>8.3629162400639711E-5</v>
      </c>
      <c r="G3249" s="2890">
        <v>0.81854761578141866</v>
      </c>
    </row>
    <row r="3250" spans="2:7" ht="15" hidden="1" outlineLevel="2">
      <c r="B3250" s="2889" t="s">
        <v>1649</v>
      </c>
      <c r="C3250" s="2889" t="s">
        <v>1543</v>
      </c>
      <c r="D3250" s="2889" t="s">
        <v>1106</v>
      </c>
      <c r="E3250" s="2889" t="s">
        <v>1420</v>
      </c>
      <c r="F3250" s="2890">
        <v>5.8764279587918892E-4</v>
      </c>
      <c r="G3250" s="2890">
        <v>5.7517445238085676</v>
      </c>
    </row>
    <row r="3251" spans="2:7" ht="15" hidden="1" outlineLevel="2">
      <c r="B3251" s="2889" t="s">
        <v>1650</v>
      </c>
      <c r="C3251" s="2889" t="s">
        <v>1543</v>
      </c>
      <c r="D3251" s="2889" t="s">
        <v>1106</v>
      </c>
      <c r="E3251" s="2889" t="s">
        <v>1420</v>
      </c>
      <c r="F3251" s="2890">
        <v>2.109825372144145E-3</v>
      </c>
      <c r="G3251" s="2890">
        <v>20.650585579218735</v>
      </c>
    </row>
    <row r="3252" spans="2:7" ht="15" hidden="1" outlineLevel="2">
      <c r="B3252" s="2889" t="s">
        <v>1651</v>
      </c>
      <c r="C3252" s="2889" t="s">
        <v>1543</v>
      </c>
      <c r="D3252" s="2889" t="s">
        <v>1106</v>
      </c>
      <c r="E3252" s="2889" t="s">
        <v>1420</v>
      </c>
      <c r="F3252" s="2890">
        <v>1.0662384328488351E-3</v>
      </c>
      <c r="G3252" s="2890">
        <v>10.436150251267705</v>
      </c>
    </row>
    <row r="3253" spans="2:7" ht="15" hidden="1" outlineLevel="2">
      <c r="B3253" s="2889" t="s">
        <v>1652</v>
      </c>
      <c r="C3253" s="2889" t="s">
        <v>1543</v>
      </c>
      <c r="D3253" s="2889" t="s">
        <v>1106</v>
      </c>
      <c r="E3253" s="2889" t="s">
        <v>1420</v>
      </c>
      <c r="F3253" s="2890">
        <v>2.7893944456037096E-4</v>
      </c>
      <c r="G3253" s="2890">
        <v>2.7302120800991432</v>
      </c>
    </row>
    <row r="3254" spans="2:7" ht="15" hidden="1" outlineLevel="2">
      <c r="B3254" s="2889" t="s">
        <v>1653</v>
      </c>
      <c r="C3254" s="2889" t="s">
        <v>1543</v>
      </c>
      <c r="D3254" s="2889" t="s">
        <v>1106</v>
      </c>
      <c r="E3254" s="2889" t="s">
        <v>1420</v>
      </c>
      <c r="F3254" s="2890">
        <v>5.0861021733914075E-3</v>
      </c>
      <c r="G3254" s="2890">
        <v>49.781881622611223</v>
      </c>
    </row>
    <row r="3255" spans="2:7" ht="15" hidden="1" outlineLevel="2">
      <c r="B3255" s="2889" t="s">
        <v>1407</v>
      </c>
      <c r="C3255" s="2889" t="s">
        <v>1544</v>
      </c>
      <c r="D3255" s="2889" t="s">
        <v>1106</v>
      </c>
      <c r="E3255" s="2889" t="s">
        <v>1420</v>
      </c>
      <c r="F3255" s="2890">
        <v>8.3556376516019681E-4</v>
      </c>
      <c r="G3255" s="2890">
        <v>2.1831714079490294</v>
      </c>
    </row>
    <row r="3256" spans="2:7" ht="15" hidden="1" outlineLevel="2">
      <c r="B3256" s="2889" t="s">
        <v>1631</v>
      </c>
      <c r="C3256" s="2889" t="s">
        <v>1544</v>
      </c>
      <c r="D3256" s="2889" t="s">
        <v>1106</v>
      </c>
      <c r="E3256" s="2889" t="s">
        <v>1420</v>
      </c>
      <c r="F3256" s="2890">
        <v>3.5404539671011048E-3</v>
      </c>
      <c r="G3256" s="2890">
        <v>9.2505299541467547</v>
      </c>
    </row>
    <row r="3257" spans="2:7" ht="15" hidden="1" outlineLevel="2">
      <c r="B3257" s="2889" t="s">
        <v>1632</v>
      </c>
      <c r="C3257" s="2889" t="s">
        <v>1544</v>
      </c>
      <c r="D3257" s="2889" t="s">
        <v>1106</v>
      </c>
      <c r="E3257" s="2889" t="s">
        <v>1420</v>
      </c>
      <c r="F3257" s="2890">
        <v>6.4793189664884929E-3</v>
      </c>
      <c r="G3257" s="2890">
        <v>16.929225060670852</v>
      </c>
    </row>
    <row r="3258" spans="2:7" ht="15" hidden="1" outlineLevel="2">
      <c r="B3258" s="2889" t="s">
        <v>1633</v>
      </c>
      <c r="C3258" s="2889" t="s">
        <v>1544</v>
      </c>
      <c r="D3258" s="2889" t="s">
        <v>1106</v>
      </c>
      <c r="E3258" s="2889" t="s">
        <v>1420</v>
      </c>
      <c r="F3258" s="2890">
        <v>1.7337585258684089E-4</v>
      </c>
      <c r="G3258" s="2890">
        <v>0.45299808414371145</v>
      </c>
    </row>
    <row r="3259" spans="2:7" ht="15" hidden="1" outlineLevel="2">
      <c r="B3259" s="2889" t="s">
        <v>1634</v>
      </c>
      <c r="C3259" s="2889" t="s">
        <v>1544</v>
      </c>
      <c r="D3259" s="2889" t="s">
        <v>1106</v>
      </c>
      <c r="E3259" s="2889" t="s">
        <v>1420</v>
      </c>
      <c r="F3259" s="2890">
        <v>4.2007322837978663E-4</v>
      </c>
      <c r="G3259" s="2890">
        <v>1.0975721291122125</v>
      </c>
    </row>
    <row r="3260" spans="2:7" ht="15" hidden="1" outlineLevel="2">
      <c r="B3260" s="2889" t="s">
        <v>1635</v>
      </c>
      <c r="C3260" s="2889" t="s">
        <v>1544</v>
      </c>
      <c r="D3260" s="2889" t="s">
        <v>1106</v>
      </c>
      <c r="E3260" s="2889" t="s">
        <v>1420</v>
      </c>
      <c r="F3260" s="2890">
        <v>9.030310500776239E-4</v>
      </c>
      <c r="G3260" s="2890">
        <v>2.3594475588055364</v>
      </c>
    </row>
    <row r="3261" spans="2:7" ht="15" hidden="1" outlineLevel="2">
      <c r="B3261" s="2889" t="s">
        <v>1636</v>
      </c>
      <c r="C3261" s="2889" t="s">
        <v>1544</v>
      </c>
      <c r="D3261" s="2889" t="s">
        <v>1106</v>
      </c>
      <c r="E3261" s="2889" t="s">
        <v>1420</v>
      </c>
      <c r="F3261" s="2890">
        <v>8.2359878461067454E-4</v>
      </c>
      <c r="G3261" s="2890">
        <v>2.1519070645942646</v>
      </c>
    </row>
    <row r="3262" spans="2:7" ht="15" hidden="1" outlineLevel="2">
      <c r="B3262" s="2889" t="s">
        <v>1637</v>
      </c>
      <c r="C3262" s="2889" t="s">
        <v>1544</v>
      </c>
      <c r="D3262" s="2889" t="s">
        <v>1106</v>
      </c>
      <c r="E3262" s="2889" t="s">
        <v>1420</v>
      </c>
      <c r="F3262" s="2890">
        <v>2.8628641042086056E-4</v>
      </c>
      <c r="G3262" s="2890">
        <v>0.74801187827796256</v>
      </c>
    </row>
    <row r="3263" spans="2:7" ht="15" hidden="1" outlineLevel="2">
      <c r="B3263" s="2889" t="s">
        <v>1638</v>
      </c>
      <c r="C3263" s="2889" t="s">
        <v>1544</v>
      </c>
      <c r="D3263" s="2889" t="s">
        <v>1106</v>
      </c>
      <c r="E3263" s="2889" t="s">
        <v>1420</v>
      </c>
      <c r="F3263" s="2890">
        <v>5.8695671903938025E-4</v>
      </c>
      <c r="G3263" s="2890">
        <v>1.5336071117364756</v>
      </c>
    </row>
    <row r="3264" spans="2:7" ht="15" hidden="1" outlineLevel="2">
      <c r="B3264" s="2889" t="s">
        <v>1639</v>
      </c>
      <c r="C3264" s="2889" t="s">
        <v>1544</v>
      </c>
      <c r="D3264" s="2889" t="s">
        <v>1106</v>
      </c>
      <c r="E3264" s="2889" t="s">
        <v>1420</v>
      </c>
      <c r="F3264" s="2890">
        <v>2.1851440458377238E-3</v>
      </c>
      <c r="G3264" s="2890">
        <v>5.7093725881125676</v>
      </c>
    </row>
    <row r="3265" spans="2:7" ht="15" hidden="1" outlineLevel="2">
      <c r="B3265" s="2889" t="s">
        <v>1640</v>
      </c>
      <c r="C3265" s="2889" t="s">
        <v>1544</v>
      </c>
      <c r="D3265" s="2889" t="s">
        <v>1106</v>
      </c>
      <c r="E3265" s="2889" t="s">
        <v>1420</v>
      </c>
      <c r="F3265" s="2890">
        <v>2.147465100487325E-4</v>
      </c>
      <c r="G3265" s="2890">
        <v>0.56109197482939177</v>
      </c>
    </row>
    <row r="3266" spans="2:7" ht="15" hidden="1" outlineLevel="2">
      <c r="B3266" s="2889" t="s">
        <v>1641</v>
      </c>
      <c r="C3266" s="2889" t="s">
        <v>1544</v>
      </c>
      <c r="D3266" s="2889" t="s">
        <v>1106</v>
      </c>
      <c r="E3266" s="2889" t="s">
        <v>1420</v>
      </c>
      <c r="F3266" s="2890">
        <v>1.458291565600433E-3</v>
      </c>
      <c r="G3266" s="2890">
        <v>3.8102376035363026</v>
      </c>
    </row>
    <row r="3267" spans="2:7" ht="15" hidden="1" outlineLevel="2">
      <c r="B3267" s="2889" t="s">
        <v>1642</v>
      </c>
      <c r="C3267" s="2889" t="s">
        <v>1544</v>
      </c>
      <c r="D3267" s="2889" t="s">
        <v>1106</v>
      </c>
      <c r="E3267" s="2889" t="s">
        <v>1420</v>
      </c>
      <c r="F3267" s="2890">
        <v>1.9805825125255023E-3</v>
      </c>
      <c r="G3267" s="2890">
        <v>5.1748873256766039</v>
      </c>
    </row>
    <row r="3268" spans="2:7" ht="15" hidden="1" outlineLevel="2">
      <c r="B3268" s="2889" t="s">
        <v>1643</v>
      </c>
      <c r="C3268" s="2889" t="s">
        <v>1544</v>
      </c>
      <c r="D3268" s="2889" t="s">
        <v>1106</v>
      </c>
      <c r="E3268" s="2889" t="s">
        <v>1420</v>
      </c>
      <c r="F3268" s="2890">
        <v>2.665012082760456E-4</v>
      </c>
      <c r="G3268" s="2890">
        <v>0.69631741617919218</v>
      </c>
    </row>
    <row r="3269" spans="2:7" ht="15" hidden="1" outlineLevel="2">
      <c r="B3269" s="2889" t="s">
        <v>1644</v>
      </c>
      <c r="C3269" s="2889" t="s">
        <v>1544</v>
      </c>
      <c r="D3269" s="2889" t="s">
        <v>1106</v>
      </c>
      <c r="E3269" s="2889" t="s">
        <v>1420</v>
      </c>
      <c r="F3269" s="2890">
        <v>3.6659667181837227E-3</v>
      </c>
      <c r="G3269" s="2890">
        <v>9.5784707315886557</v>
      </c>
    </row>
    <row r="3270" spans="2:7" ht="15" hidden="1" outlineLevel="2">
      <c r="B3270" s="2889" t="s">
        <v>1645</v>
      </c>
      <c r="C3270" s="2889" t="s">
        <v>1544</v>
      </c>
      <c r="D3270" s="2889" t="s">
        <v>1106</v>
      </c>
      <c r="E3270" s="2889" t="s">
        <v>1420</v>
      </c>
      <c r="F3270" s="2890">
        <v>2.6916525583095237E-3</v>
      </c>
      <c r="G3270" s="2890">
        <v>7.0327739100111133</v>
      </c>
    </row>
    <row r="3271" spans="2:7" ht="15" hidden="1" outlineLevel="2">
      <c r="B3271" s="2889" t="s">
        <v>1646</v>
      </c>
      <c r="C3271" s="2889" t="s">
        <v>1544</v>
      </c>
      <c r="D3271" s="2889" t="s">
        <v>1106</v>
      </c>
      <c r="E3271" s="2889" t="s">
        <v>1420</v>
      </c>
      <c r="F3271" s="2890">
        <v>2.2047488340397068E-4</v>
      </c>
      <c r="G3271" s="2890">
        <v>0.57605920607223693</v>
      </c>
    </row>
    <row r="3272" spans="2:7" ht="15" hidden="1" outlineLevel="2">
      <c r="B3272" s="2889" t="s">
        <v>1647</v>
      </c>
      <c r="C3272" s="2889" t="s">
        <v>1544</v>
      </c>
      <c r="D3272" s="2889" t="s">
        <v>1106</v>
      </c>
      <c r="E3272" s="2889" t="s">
        <v>1420</v>
      </c>
      <c r="F3272" s="2890">
        <v>1.1876614662717914E-4</v>
      </c>
      <c r="G3272" s="2890">
        <v>0.31031367642869695</v>
      </c>
    </row>
    <row r="3273" spans="2:7" ht="15" hidden="1" outlineLevel="2">
      <c r="B3273" s="2889" t="s">
        <v>1648</v>
      </c>
      <c r="C3273" s="2889" t="s">
        <v>1544</v>
      </c>
      <c r="D3273" s="2889" t="s">
        <v>1106</v>
      </c>
      <c r="E3273" s="2889" t="s">
        <v>1420</v>
      </c>
      <c r="F3273" s="2890">
        <v>8.0832332657727443E-5</v>
      </c>
      <c r="G3273" s="2890">
        <v>0.21119951820666127</v>
      </c>
    </row>
    <row r="3274" spans="2:7" ht="15" hidden="1" outlineLevel="2">
      <c r="B3274" s="2889" t="s">
        <v>1649</v>
      </c>
      <c r="C3274" s="2889" t="s">
        <v>1544</v>
      </c>
      <c r="D3274" s="2889" t="s">
        <v>1106</v>
      </c>
      <c r="E3274" s="2889" t="s">
        <v>1420</v>
      </c>
      <c r="F3274" s="2890">
        <v>5.6798995501084913E-4</v>
      </c>
      <c r="G3274" s="2890">
        <v>1.4840508491727102</v>
      </c>
    </row>
    <row r="3275" spans="2:7" ht="15" hidden="1" outlineLevel="2">
      <c r="B3275" s="2889" t="s">
        <v>1650</v>
      </c>
      <c r="C3275" s="2889" t="s">
        <v>1544</v>
      </c>
      <c r="D3275" s="2889" t="s">
        <v>1106</v>
      </c>
      <c r="E3275" s="2889" t="s">
        <v>1420</v>
      </c>
      <c r="F3275" s="2890">
        <v>2.0392649800155963E-3</v>
      </c>
      <c r="G3275" s="2890">
        <v>5.3282136735405174</v>
      </c>
    </row>
    <row r="3276" spans="2:7" ht="15" hidden="1" outlineLevel="2">
      <c r="B3276" s="2889" t="s">
        <v>1651</v>
      </c>
      <c r="C3276" s="2889" t="s">
        <v>1544</v>
      </c>
      <c r="D3276" s="2889" t="s">
        <v>1106</v>
      </c>
      <c r="E3276" s="2889" t="s">
        <v>1420</v>
      </c>
      <c r="F3276" s="2890">
        <v>1.0305792095386104E-3</v>
      </c>
      <c r="G3276" s="2890">
        <v>2.6927094504721389</v>
      </c>
    </row>
    <row r="3277" spans="2:7" ht="15" hidden="1" outlineLevel="2">
      <c r="B3277" s="2889" t="s">
        <v>1652</v>
      </c>
      <c r="C3277" s="2889" t="s">
        <v>1544</v>
      </c>
      <c r="D3277" s="2889" t="s">
        <v>1106</v>
      </c>
      <c r="E3277" s="2889" t="s">
        <v>1420</v>
      </c>
      <c r="F3277" s="3039">
        <v>2.6961060665974147E-4</v>
      </c>
      <c r="G3277" s="2890">
        <v>0.70444145363307997</v>
      </c>
    </row>
    <row r="3278" spans="2:7" ht="15" hidden="1" outlineLevel="2">
      <c r="B3278" s="2889" t="s">
        <v>1653</v>
      </c>
      <c r="C3278" s="2889" t="s">
        <v>1544</v>
      </c>
      <c r="D3278" s="2889" t="s">
        <v>1106</v>
      </c>
      <c r="E3278" s="2889" t="s">
        <v>1420</v>
      </c>
      <c r="F3278" s="3039">
        <v>4.9160022537162468E-3</v>
      </c>
      <c r="G3278" s="2890">
        <v>12.844593144114262</v>
      </c>
    </row>
    <row r="3279" spans="2:7" ht="15" hidden="1" outlineLevel="2">
      <c r="B3279" s="2889" t="s">
        <v>1407</v>
      </c>
      <c r="C3279" s="2889" t="s">
        <v>1545</v>
      </c>
      <c r="D3279" s="2889" t="s">
        <v>1106</v>
      </c>
      <c r="E3279" s="2889" t="s">
        <v>1420</v>
      </c>
      <c r="F3279" s="3039">
        <v>8.3559984622763183E-4</v>
      </c>
      <c r="G3279" s="2890">
        <v>16.605585697720802</v>
      </c>
    </row>
    <row r="3280" spans="2:7" ht="15" hidden="1" outlineLevel="2">
      <c r="B3280" s="2889" t="s">
        <v>1631</v>
      </c>
      <c r="C3280" s="2889" t="s">
        <v>1545</v>
      </c>
      <c r="D3280" s="2889" t="s">
        <v>1106</v>
      </c>
      <c r="E3280" s="2889" t="s">
        <v>1420</v>
      </c>
      <c r="F3280" s="3039">
        <v>3.5406029461706331E-3</v>
      </c>
      <c r="G3280" s="2890">
        <v>70.361152539809495</v>
      </c>
    </row>
    <row r="3281" spans="2:7" ht="15" hidden="1" outlineLevel="2">
      <c r="B3281" s="2889" t="s">
        <v>1632</v>
      </c>
      <c r="C3281" s="2889" t="s">
        <v>1545</v>
      </c>
      <c r="D3281" s="2889" t="s">
        <v>1106</v>
      </c>
      <c r="E3281" s="2889" t="s">
        <v>1420</v>
      </c>
      <c r="F3281" s="3039">
        <v>6.479582503000493E-3</v>
      </c>
      <c r="G3281" s="2890">
        <v>128.7666317040202</v>
      </c>
    </row>
    <row r="3282" spans="2:7" ht="15" hidden="1" outlineLevel="2">
      <c r="B3282" s="2889" t="s">
        <v>1633</v>
      </c>
      <c r="C3282" s="2889" t="s">
        <v>1545</v>
      </c>
      <c r="D3282" s="2889" t="s">
        <v>1106</v>
      </c>
      <c r="E3282" s="2889" t="s">
        <v>1420</v>
      </c>
      <c r="F3282" s="3039">
        <v>1.73383005560219E-4</v>
      </c>
      <c r="G3282" s="2890">
        <v>3.445584400442137</v>
      </c>
    </row>
    <row r="3283" spans="2:7" ht="15" hidden="1" outlineLevel="2">
      <c r="B3283" s="2889" t="s">
        <v>1634</v>
      </c>
      <c r="C3283" s="2889" t="s">
        <v>1545</v>
      </c>
      <c r="D3283" s="2889" t="s">
        <v>1106</v>
      </c>
      <c r="E3283" s="2889" t="s">
        <v>1420</v>
      </c>
      <c r="F3283" s="3039">
        <v>4.2009106658982831E-4</v>
      </c>
      <c r="G3283" s="2890">
        <v>8.3483364993602152</v>
      </c>
    </row>
    <row r="3284" spans="2:7" ht="15" hidden="1" outlineLevel="2">
      <c r="B3284" s="2889" t="s">
        <v>1635</v>
      </c>
      <c r="C3284" s="2889" t="s">
        <v>1545</v>
      </c>
      <c r="D3284" s="2889" t="s">
        <v>1106</v>
      </c>
      <c r="E3284" s="2889" t="s">
        <v>1420</v>
      </c>
      <c r="F3284" s="3039">
        <v>9.0306810289146437E-4</v>
      </c>
      <c r="G3284" s="2890">
        <v>17.946383973518046</v>
      </c>
    </row>
    <row r="3285" spans="2:7" ht="15" hidden="1" outlineLevel="2">
      <c r="B3285" s="2889" t="s">
        <v>1636</v>
      </c>
      <c r="C3285" s="2889" t="s">
        <v>1545</v>
      </c>
      <c r="D3285" s="2889" t="s">
        <v>1106</v>
      </c>
      <c r="E3285" s="2889" t="s">
        <v>1420</v>
      </c>
      <c r="F3285" s="3039">
        <v>8.2363361179773774E-4</v>
      </c>
      <c r="G3285" s="2890">
        <v>16.367795561529388</v>
      </c>
    </row>
    <row r="3286" spans="2:7" ht="15" hidden="1" outlineLevel="2">
      <c r="B3286" s="2889" t="s">
        <v>1637</v>
      </c>
      <c r="C3286" s="2889" t="s">
        <v>1545</v>
      </c>
      <c r="D3286" s="2889" t="s">
        <v>1106</v>
      </c>
      <c r="E3286" s="2889" t="s">
        <v>1420</v>
      </c>
      <c r="F3286" s="3039">
        <v>2.8629844213809441E-4</v>
      </c>
      <c r="G3286" s="2890">
        <v>5.6895262571402343</v>
      </c>
    </row>
    <row r="3287" spans="2:7" ht="15" hidden="1" outlineLevel="2">
      <c r="B3287" s="2889" t="s">
        <v>1638</v>
      </c>
      <c r="C3287" s="2889" t="s">
        <v>1545</v>
      </c>
      <c r="D3287" s="2889" t="s">
        <v>1106</v>
      </c>
      <c r="E3287" s="2889" t="s">
        <v>1420</v>
      </c>
      <c r="F3287" s="3039">
        <v>5.8698158685239056E-4</v>
      </c>
      <c r="G3287" s="2890">
        <v>11.664898398821192</v>
      </c>
    </row>
    <row r="3288" spans="2:7" ht="15" hidden="1" outlineLevel="2">
      <c r="B3288" s="2889" t="s">
        <v>1639</v>
      </c>
      <c r="C3288" s="2889" t="s">
        <v>1545</v>
      </c>
      <c r="D3288" s="2889" t="s">
        <v>1106</v>
      </c>
      <c r="E3288" s="2889" t="s">
        <v>1420</v>
      </c>
      <c r="F3288" s="3039">
        <v>2.1852365845793603E-3</v>
      </c>
      <c r="G3288" s="2890">
        <v>43.426483639736063</v>
      </c>
    </row>
    <row r="3289" spans="2:7" ht="15" hidden="1" outlineLevel="2">
      <c r="B3289" s="2889" t="s">
        <v>1640</v>
      </c>
      <c r="C3289" s="2889" t="s">
        <v>1545</v>
      </c>
      <c r="D3289" s="2889" t="s">
        <v>1106</v>
      </c>
      <c r="E3289" s="2889" t="s">
        <v>1420</v>
      </c>
      <c r="F3289" s="3039">
        <v>2.1475557877762697E-4</v>
      </c>
      <c r="G3289" s="2890">
        <v>4.2677682937306862</v>
      </c>
    </row>
    <row r="3290" spans="2:7" ht="15" hidden="1" outlineLevel="2">
      <c r="B3290" s="2889" t="s">
        <v>1641</v>
      </c>
      <c r="C3290" s="2889" t="s">
        <v>1545</v>
      </c>
      <c r="D3290" s="2889" t="s">
        <v>1106</v>
      </c>
      <c r="E3290" s="2889" t="s">
        <v>1420</v>
      </c>
      <c r="F3290" s="3039">
        <v>1.4583524987696963E-3</v>
      </c>
      <c r="G3290" s="2890">
        <v>28.981351014036559</v>
      </c>
    </row>
    <row r="3291" spans="2:7" ht="15" hidden="1" outlineLevel="2">
      <c r="B3291" s="2889" t="s">
        <v>1642</v>
      </c>
      <c r="C3291" s="2889" t="s">
        <v>1545</v>
      </c>
      <c r="D3291" s="2889" t="s">
        <v>1106</v>
      </c>
      <c r="E3291" s="2889" t="s">
        <v>1420</v>
      </c>
      <c r="F3291" s="3039">
        <v>1.9806658834387939E-3</v>
      </c>
      <c r="G3291" s="2890">
        <v>39.361114778316342</v>
      </c>
    </row>
    <row r="3292" spans="2:7" ht="15" hidden="1" outlineLevel="2">
      <c r="B3292" s="2889" t="s">
        <v>1643</v>
      </c>
      <c r="C3292" s="2889" t="s">
        <v>1545</v>
      </c>
      <c r="D3292" s="2889" t="s">
        <v>1106</v>
      </c>
      <c r="E3292" s="2889" t="s">
        <v>1420</v>
      </c>
      <c r="F3292" s="3039">
        <v>2.6651233010419544E-4</v>
      </c>
      <c r="G3292" s="2890">
        <v>5.296313532383536</v>
      </c>
    </row>
    <row r="3293" spans="2:7" ht="15" hidden="1" outlineLevel="2">
      <c r="B3293" s="2889" t="s">
        <v>1644</v>
      </c>
      <c r="C3293" s="2889" t="s">
        <v>1545</v>
      </c>
      <c r="D3293" s="2889" t="s">
        <v>1106</v>
      </c>
      <c r="E3293" s="2889" t="s">
        <v>1420</v>
      </c>
      <c r="F3293" s="3039">
        <v>3.6661205804965286E-3</v>
      </c>
      <c r="G3293" s="2890">
        <v>72.85558480367358</v>
      </c>
    </row>
    <row r="3294" spans="2:7" ht="15" hidden="1" outlineLevel="2">
      <c r="B3294" s="2889" t="s">
        <v>1645</v>
      </c>
      <c r="C3294" s="2889" t="s">
        <v>1545</v>
      </c>
      <c r="D3294" s="2889" t="s">
        <v>1106</v>
      </c>
      <c r="E3294" s="2889" t="s">
        <v>1420</v>
      </c>
      <c r="F3294" s="3039">
        <v>2.6917663638550385E-3</v>
      </c>
      <c r="G3294" s="2890">
        <v>53.492551777725268</v>
      </c>
    </row>
    <row r="3295" spans="2:7" ht="15" hidden="1" outlineLevel="2">
      <c r="B3295" s="2889" t="s">
        <v>1646</v>
      </c>
      <c r="C3295" s="2889" t="s">
        <v>1545</v>
      </c>
      <c r="D3295" s="2889" t="s">
        <v>1106</v>
      </c>
      <c r="E3295" s="2889" t="s">
        <v>1420</v>
      </c>
      <c r="F3295" s="3039">
        <v>2.2048398618481523E-4</v>
      </c>
      <c r="G3295" s="2890">
        <v>4.3816096456382851</v>
      </c>
    </row>
    <row r="3296" spans="2:7" ht="15" hidden="1" outlineLevel="2">
      <c r="B3296" s="2889" t="s">
        <v>1647</v>
      </c>
      <c r="C3296" s="2889" t="s">
        <v>1545</v>
      </c>
      <c r="D3296" s="2889" t="s">
        <v>1106</v>
      </c>
      <c r="E3296" s="2889" t="s">
        <v>1420</v>
      </c>
      <c r="F3296" s="3039">
        <v>1.1877130025177118E-4</v>
      </c>
      <c r="G3296" s="2890">
        <v>2.3603020027921948</v>
      </c>
    </row>
    <row r="3297" spans="2:7" ht="15" hidden="1" outlineLevel="2">
      <c r="B3297" s="2889" t="s">
        <v>1648</v>
      </c>
      <c r="C3297" s="2889" t="s">
        <v>1545</v>
      </c>
      <c r="D3297" s="2889" t="s">
        <v>1106</v>
      </c>
      <c r="E3297" s="2889" t="s">
        <v>1420</v>
      </c>
      <c r="F3297" s="3039">
        <v>8.083580417739863E-5</v>
      </c>
      <c r="G3297" s="2890">
        <v>1.6064218137294011</v>
      </c>
    </row>
    <row r="3298" spans="2:7" ht="15" hidden="1" outlineLevel="2">
      <c r="B3298" s="2889" t="s">
        <v>1649</v>
      </c>
      <c r="C3298" s="2889" t="s">
        <v>1545</v>
      </c>
      <c r="D3298" s="2889" t="s">
        <v>1106</v>
      </c>
      <c r="E3298" s="2889" t="s">
        <v>1420</v>
      </c>
      <c r="F3298" s="3039">
        <v>5.6801381199147625E-4</v>
      </c>
      <c r="G3298" s="2890">
        <v>11.287946581725585</v>
      </c>
    </row>
    <row r="3299" spans="2:7" ht="15" hidden="1" outlineLevel="2">
      <c r="B3299" s="2889" t="s">
        <v>1650</v>
      </c>
      <c r="C3299" s="2889" t="s">
        <v>1545</v>
      </c>
      <c r="D3299" s="2889" t="s">
        <v>1106</v>
      </c>
      <c r="E3299" s="2889" t="s">
        <v>1420</v>
      </c>
      <c r="F3299" s="3039">
        <v>2.0393528706509146E-3</v>
      </c>
      <c r="G3299" s="2890">
        <v>40.527353437117327</v>
      </c>
    </row>
    <row r="3300" spans="2:7" ht="15" hidden="1" outlineLevel="2">
      <c r="B3300" s="2889" t="s">
        <v>1651</v>
      </c>
      <c r="C3300" s="2889" t="s">
        <v>1545</v>
      </c>
      <c r="D3300" s="2889" t="s">
        <v>1106</v>
      </c>
      <c r="E3300" s="2889" t="s">
        <v>1420</v>
      </c>
      <c r="F3300" s="3039">
        <v>1.0306241170174892E-3</v>
      </c>
      <c r="G3300" s="2890">
        <v>20.481235834305252</v>
      </c>
    </row>
    <row r="3301" spans="2:7" ht="15" hidden="1" outlineLevel="2">
      <c r="B3301" s="2889" t="s">
        <v>1652</v>
      </c>
      <c r="C3301" s="2889" t="s">
        <v>1545</v>
      </c>
      <c r="D3301" s="2889" t="s">
        <v>1106</v>
      </c>
      <c r="E3301" s="2889" t="s">
        <v>1420</v>
      </c>
      <c r="F3301" s="3039">
        <v>2.696222580665207E-4</v>
      </c>
      <c r="G3301" s="2890">
        <v>5.3581181204252273</v>
      </c>
    </row>
    <row r="3302" spans="2:7" ht="15" hidden="1" outlineLevel="2">
      <c r="B3302" s="2889" t="s">
        <v>1653</v>
      </c>
      <c r="C3302" s="2889" t="s">
        <v>1545</v>
      </c>
      <c r="D3302" s="2889" t="s">
        <v>1106</v>
      </c>
      <c r="E3302" s="2889" t="s">
        <v>1420</v>
      </c>
      <c r="F3302" s="2890">
        <v>4.9162112424242189E-3</v>
      </c>
      <c r="G3302" s="2890">
        <v>97.698289714413747</v>
      </c>
    </row>
    <row r="3303" spans="2:7" ht="15" hidden="1" outlineLevel="2">
      <c r="B3303" s="2889" t="s">
        <v>1407</v>
      </c>
      <c r="C3303" s="2889" t="s">
        <v>1590</v>
      </c>
      <c r="D3303" s="2889" t="s">
        <v>1559</v>
      </c>
      <c r="E3303" s="2889" t="s">
        <v>1420</v>
      </c>
      <c r="F3303" s="2890">
        <v>8.6526136381401774E-4</v>
      </c>
      <c r="G3303" s="2890">
        <v>7.7184874589368766</v>
      </c>
    </row>
    <row r="3304" spans="2:7" ht="15" hidden="1" outlineLevel="2">
      <c r="B3304" s="2889" t="s">
        <v>1631</v>
      </c>
      <c r="C3304" s="2889" t="s">
        <v>1590</v>
      </c>
      <c r="D3304" s="2889" t="s">
        <v>1559</v>
      </c>
      <c r="E3304" s="2889" t="s">
        <v>1420</v>
      </c>
      <c r="F3304" s="2890">
        <v>4.1463315534896593E-2</v>
      </c>
      <c r="G3304" s="2890">
        <v>369.87012422605295</v>
      </c>
    </row>
    <row r="3305" spans="2:7" ht="15" hidden="1" outlineLevel="2">
      <c r="B3305" s="2889" t="s">
        <v>1632</v>
      </c>
      <c r="C3305" s="2889" t="s">
        <v>1590</v>
      </c>
      <c r="D3305" s="2889" t="s">
        <v>1559</v>
      </c>
      <c r="E3305" s="2889" t="s">
        <v>1420</v>
      </c>
      <c r="F3305" s="2890">
        <v>4.9839041146873563E-2</v>
      </c>
      <c r="G3305" s="2890">
        <v>444.58523967530004</v>
      </c>
    </row>
    <row r="3306" spans="2:7" ht="15" hidden="1" outlineLevel="2">
      <c r="B3306" s="2889" t="s">
        <v>1633</v>
      </c>
      <c r="C3306" s="2889" t="s">
        <v>1590</v>
      </c>
      <c r="D3306" s="2889" t="s">
        <v>1559</v>
      </c>
      <c r="E3306" s="2889" t="s">
        <v>1420</v>
      </c>
      <c r="F3306" s="2890">
        <v>2.9764980927591265E-3</v>
      </c>
      <c r="G3306" s="2890">
        <v>26.551612620636263</v>
      </c>
    </row>
    <row r="3307" spans="2:7" ht="15" hidden="1" outlineLevel="2">
      <c r="B3307" s="2889" t="s">
        <v>1634</v>
      </c>
      <c r="C3307" s="2889" t="s">
        <v>1590</v>
      </c>
      <c r="D3307" s="2889" t="s">
        <v>1559</v>
      </c>
      <c r="E3307" s="2889" t="s">
        <v>1420</v>
      </c>
      <c r="F3307" s="2890">
        <v>9.3448200465380722E-4</v>
      </c>
      <c r="G3307" s="2890">
        <v>8.3359664074292024</v>
      </c>
    </row>
    <row r="3308" spans="2:7" ht="15" hidden="1" outlineLevel="2">
      <c r="B3308" s="2889" t="s">
        <v>1635</v>
      </c>
      <c r="C3308" s="2889" t="s">
        <v>1590</v>
      </c>
      <c r="D3308" s="2889" t="s">
        <v>1559</v>
      </c>
      <c r="E3308" s="2889" t="s">
        <v>1420</v>
      </c>
      <c r="F3308" s="2890">
        <v>1.5713145969454233E-2</v>
      </c>
      <c r="G3308" s="2890">
        <v>140.16785539119991</v>
      </c>
    </row>
    <row r="3309" spans="2:7" ht="15" hidden="1" outlineLevel="2">
      <c r="B3309" s="2889" t="s">
        <v>1636</v>
      </c>
      <c r="C3309" s="2889" t="s">
        <v>1590</v>
      </c>
      <c r="D3309" s="2889" t="s">
        <v>1559</v>
      </c>
      <c r="E3309" s="2889" t="s">
        <v>1420</v>
      </c>
      <c r="F3309" s="2890">
        <v>2.0420170342443163E-3</v>
      </c>
      <c r="G3309" s="2890">
        <v>18.215633151079398</v>
      </c>
    </row>
    <row r="3310" spans="2:7" ht="15" hidden="1" outlineLevel="2">
      <c r="B3310" s="2889" t="s">
        <v>1637</v>
      </c>
      <c r="C3310" s="2889" t="s">
        <v>1590</v>
      </c>
      <c r="D3310" s="2889" t="s">
        <v>1559</v>
      </c>
      <c r="E3310" s="2889" t="s">
        <v>1420</v>
      </c>
      <c r="F3310" s="2890">
        <v>4.2916945898793203E-3</v>
      </c>
      <c r="G3310" s="2890">
        <v>38.28371170919128</v>
      </c>
    </row>
    <row r="3311" spans="2:7" ht="15" hidden="1" outlineLevel="2">
      <c r="B3311" s="2889" t="s">
        <v>1638</v>
      </c>
      <c r="C3311" s="2889" t="s">
        <v>1590</v>
      </c>
      <c r="D3311" s="2889" t="s">
        <v>1559</v>
      </c>
      <c r="E3311" s="2889" t="s">
        <v>1420</v>
      </c>
      <c r="F3311" s="2890">
        <v>5.5376705961839787E-3</v>
      </c>
      <c r="G3311" s="2890">
        <v>49.398333068900506</v>
      </c>
    </row>
    <row r="3312" spans="2:7" ht="15" hidden="1" outlineLevel="2">
      <c r="B3312" s="2889" t="s">
        <v>1639</v>
      </c>
      <c r="C3312" s="2889" t="s">
        <v>1590</v>
      </c>
      <c r="D3312" s="2889" t="s">
        <v>1559</v>
      </c>
      <c r="E3312" s="2889" t="s">
        <v>1420</v>
      </c>
      <c r="F3312" s="2890">
        <v>2.6096272259928648E-2</v>
      </c>
      <c r="G3312" s="2890">
        <v>232.78971354233801</v>
      </c>
    </row>
    <row r="3313" spans="2:7" ht="15" hidden="1" outlineLevel="2">
      <c r="B3313" s="2889" t="s">
        <v>1640</v>
      </c>
      <c r="C3313" s="2889" t="s">
        <v>1590</v>
      </c>
      <c r="D3313" s="2889" t="s">
        <v>1559</v>
      </c>
      <c r="E3313" s="2889" t="s">
        <v>1420</v>
      </c>
      <c r="F3313" s="2890">
        <v>5.5722816769299107E-3</v>
      </c>
      <c r="G3313" s="2890">
        <v>49.707055612193848</v>
      </c>
    </row>
    <row r="3314" spans="2:7" ht="15" hidden="1" outlineLevel="2">
      <c r="B3314" s="2889" t="s">
        <v>1641</v>
      </c>
      <c r="C3314" s="2889" t="s">
        <v>1590</v>
      </c>
      <c r="D3314" s="2889" t="s">
        <v>1559</v>
      </c>
      <c r="E3314" s="2889" t="s">
        <v>1420</v>
      </c>
      <c r="F3314" s="2890">
        <v>1.1456055584795809E-2</v>
      </c>
      <c r="G3314" s="2890">
        <v>102.19286779150525</v>
      </c>
    </row>
    <row r="3315" spans="2:7" ht="15" hidden="1" outlineLevel="2">
      <c r="B3315" s="2889" t="s">
        <v>1642</v>
      </c>
      <c r="C3315" s="2889" t="s">
        <v>1590</v>
      </c>
      <c r="D3315" s="2889" t="s">
        <v>1559</v>
      </c>
      <c r="E3315" s="2889" t="s">
        <v>1420</v>
      </c>
      <c r="F3315" s="2890">
        <v>3.371058099467561E-2</v>
      </c>
      <c r="G3315" s="2890">
        <v>300.71238130741926</v>
      </c>
    </row>
    <row r="3316" spans="2:7" ht="15" hidden="1" outlineLevel="2">
      <c r="B3316" s="2889" t="s">
        <v>1643</v>
      </c>
      <c r="C3316" s="2889" t="s">
        <v>1590</v>
      </c>
      <c r="D3316" s="2889" t="s">
        <v>1559</v>
      </c>
      <c r="E3316" s="2889" t="s">
        <v>1420</v>
      </c>
      <c r="F3316" s="2890">
        <v>3.2813211253798135E-3</v>
      </c>
      <c r="G3316" s="2890">
        <v>29.270757806807662</v>
      </c>
    </row>
    <row r="3317" spans="2:7" ht="15" hidden="1" outlineLevel="2">
      <c r="B3317" s="2889" t="s">
        <v>1644</v>
      </c>
      <c r="C3317" s="2889" t="s">
        <v>1590</v>
      </c>
      <c r="D3317" s="2889" t="s">
        <v>1559</v>
      </c>
      <c r="E3317" s="2889" t="s">
        <v>1420</v>
      </c>
      <c r="F3317" s="2890">
        <v>0.1030699066162611</v>
      </c>
      <c r="G3317" s="2890">
        <v>919.42611444259853</v>
      </c>
    </row>
    <row r="3318" spans="2:7" ht="15" hidden="1" outlineLevel="2">
      <c r="B3318" s="2889" t="s">
        <v>1645</v>
      </c>
      <c r="C3318" s="2889" t="s">
        <v>1590</v>
      </c>
      <c r="D3318" s="2889" t="s">
        <v>1559</v>
      </c>
      <c r="E3318" s="2889" t="s">
        <v>1420</v>
      </c>
      <c r="F3318" s="2890">
        <v>5.0358208299942739E-2</v>
      </c>
      <c r="G3318" s="2890">
        <v>449.21642301512151</v>
      </c>
    </row>
    <row r="3319" spans="2:7" ht="15" hidden="1" outlineLevel="2">
      <c r="B3319" s="2889" t="s">
        <v>1646</v>
      </c>
      <c r="C3319" s="2889" t="s">
        <v>1590</v>
      </c>
      <c r="D3319" s="2889" t="s">
        <v>1559</v>
      </c>
      <c r="E3319" s="2889" t="s">
        <v>1420</v>
      </c>
      <c r="F3319" s="2890">
        <v>3.287993114765281E-3</v>
      </c>
      <c r="G3319" s="2890">
        <v>29.330259726344813</v>
      </c>
    </row>
    <row r="3320" spans="2:7" ht="15" hidden="1" outlineLevel="2">
      <c r="B3320" s="2889" t="s">
        <v>1647</v>
      </c>
      <c r="C3320" s="2889" t="s">
        <v>1590</v>
      </c>
      <c r="D3320" s="2889" t="s">
        <v>1559</v>
      </c>
      <c r="E3320" s="2889" t="s">
        <v>1420</v>
      </c>
      <c r="F3320" s="2890">
        <v>2.5265622469998025E-3</v>
      </c>
      <c r="G3320" s="2890">
        <v>22.537989176750798</v>
      </c>
    </row>
    <row r="3321" spans="2:7" ht="15" hidden="1" outlineLevel="2">
      <c r="B3321" s="2889" t="s">
        <v>1648</v>
      </c>
      <c r="C3321" s="2889" t="s">
        <v>1590</v>
      </c>
      <c r="D3321" s="2889" t="s">
        <v>1559</v>
      </c>
      <c r="E3321" s="2889" t="s">
        <v>1420</v>
      </c>
      <c r="F3321" s="2890">
        <v>5.5722816769299107E-3</v>
      </c>
      <c r="G3321" s="2890">
        <v>49.707055612193848</v>
      </c>
    </row>
    <row r="3322" spans="2:7" ht="15" hidden="1" outlineLevel="2">
      <c r="B3322" s="2889" t="s">
        <v>1649</v>
      </c>
      <c r="C3322" s="2889" t="s">
        <v>1590</v>
      </c>
      <c r="D3322" s="2889" t="s">
        <v>1559</v>
      </c>
      <c r="E3322" s="2889" t="s">
        <v>1420</v>
      </c>
      <c r="F3322" s="3039">
        <v>5.4684516624579748E-3</v>
      </c>
      <c r="G3322" s="2890">
        <v>48.780843279390872</v>
      </c>
    </row>
    <row r="3323" spans="2:7" ht="15" hidden="1" outlineLevel="2">
      <c r="B3323" s="2889" t="s">
        <v>1650</v>
      </c>
      <c r="C3323" s="2889" t="s">
        <v>1590</v>
      </c>
      <c r="D3323" s="2889" t="s">
        <v>1559</v>
      </c>
      <c r="E3323" s="2889" t="s">
        <v>1420</v>
      </c>
      <c r="F3323" s="3039">
        <v>7.8219610733166467E-3</v>
      </c>
      <c r="G3323" s="2890">
        <v>69.775162967066436</v>
      </c>
    </row>
    <row r="3324" spans="2:7" ht="15" hidden="1" outlineLevel="2">
      <c r="B3324" s="2889" t="s">
        <v>1651</v>
      </c>
      <c r="C3324" s="2889" t="s">
        <v>1590</v>
      </c>
      <c r="D3324" s="2889" t="s">
        <v>1559</v>
      </c>
      <c r="E3324" s="2889" t="s">
        <v>1420</v>
      </c>
      <c r="F3324" s="3039">
        <v>3.5302662366687829E-3</v>
      </c>
      <c r="G3324" s="2890">
        <v>31.491437030172097</v>
      </c>
    </row>
    <row r="3325" spans="2:7" ht="15" hidden="1" outlineLevel="2">
      <c r="B3325" s="2889" t="s">
        <v>1652</v>
      </c>
      <c r="C3325" s="2889" t="s">
        <v>1590</v>
      </c>
      <c r="D3325" s="2889" t="s">
        <v>1559</v>
      </c>
      <c r="E3325" s="2889" t="s">
        <v>1420</v>
      </c>
      <c r="F3325" s="3039">
        <v>5.5722816767997405E-3</v>
      </c>
      <c r="G3325" s="2890">
        <v>49.707055611986291</v>
      </c>
    </row>
    <row r="3326" spans="2:7" ht="15" hidden="1" outlineLevel="2">
      <c r="B3326" s="2889" t="s">
        <v>1653</v>
      </c>
      <c r="C3326" s="2889" t="s">
        <v>1590</v>
      </c>
      <c r="D3326" s="2889" t="s">
        <v>1559</v>
      </c>
      <c r="E3326" s="2889" t="s">
        <v>1420</v>
      </c>
      <c r="F3326" s="3039">
        <v>6.2644926523129814E-3</v>
      </c>
      <c r="G3326" s="2890">
        <v>55.881843944831445</v>
      </c>
    </row>
    <row r="3327" spans="2:7" ht="15" hidden="1" outlineLevel="2">
      <c r="B3327" s="2889" t="s">
        <v>1407</v>
      </c>
      <c r="C3327" s="2889" t="s">
        <v>1419</v>
      </c>
      <c r="D3327" s="2889" t="s">
        <v>197</v>
      </c>
      <c r="E3327" s="2889" t="s">
        <v>1420</v>
      </c>
      <c r="F3327" s="3039">
        <v>1.0778537831336322E-5</v>
      </c>
      <c r="G3327" s="2890">
        <v>1.7126596845799324E-2</v>
      </c>
    </row>
    <row r="3328" spans="2:7" ht="15" hidden="1" outlineLevel="2">
      <c r="B3328" s="2889" t="s">
        <v>1631</v>
      </c>
      <c r="C3328" s="2889" t="s">
        <v>1419</v>
      </c>
      <c r="D3328" s="2889" t="s">
        <v>197</v>
      </c>
      <c r="E3328" s="2889" t="s">
        <v>1420</v>
      </c>
      <c r="F3328" s="3039">
        <v>2.0035527617092391E-5</v>
      </c>
      <c r="G3328" s="2890">
        <v>3.1835549585027788E-2</v>
      </c>
    </row>
    <row r="3329" spans="2:7" ht="15" hidden="1" outlineLevel="2">
      <c r="B3329" s="2889" t="s">
        <v>1632</v>
      </c>
      <c r="C3329" s="2889" t="s">
        <v>1419</v>
      </c>
      <c r="D3329" s="2889" t="s">
        <v>197</v>
      </c>
      <c r="E3329" s="2889" t="s">
        <v>1420</v>
      </c>
      <c r="F3329" s="2890">
        <v>4.0987819283817823E-5</v>
      </c>
      <c r="G3329" s="2890">
        <v>6.5127728430840665E-2</v>
      </c>
    </row>
    <row r="3330" spans="2:7" ht="15" hidden="1" outlineLevel="2">
      <c r="B3330" s="2889" t="s">
        <v>1633</v>
      </c>
      <c r="C3330" s="2889" t="s">
        <v>1419</v>
      </c>
      <c r="D3330" s="2889" t="s">
        <v>197</v>
      </c>
      <c r="E3330" s="2889" t="s">
        <v>1420</v>
      </c>
      <c r="F3330" s="2890">
        <v>1.4423199867423419E-5</v>
      </c>
      <c r="G3330" s="2890">
        <v>2.2917797965404999E-2</v>
      </c>
    </row>
    <row r="3331" spans="2:7" ht="15" hidden="1" outlineLevel="2">
      <c r="B3331" s="2889" t="s">
        <v>1634</v>
      </c>
      <c r="C3331" s="2889" t="s">
        <v>1419</v>
      </c>
      <c r="D3331" s="2889" t="s">
        <v>197</v>
      </c>
      <c r="E3331" s="2889" t="s">
        <v>1420</v>
      </c>
      <c r="F3331" s="2890">
        <v>9.3883907498955901E-5</v>
      </c>
      <c r="G3331" s="2890">
        <v>0.14917718069827599</v>
      </c>
    </row>
    <row r="3332" spans="2:7" ht="15" hidden="1" outlineLevel="2">
      <c r="B3332" s="2889" t="s">
        <v>1635</v>
      </c>
      <c r="C3332" s="2889" t="s">
        <v>1419</v>
      </c>
      <c r="D3332" s="2889" t="s">
        <v>197</v>
      </c>
      <c r="E3332" s="2889" t="s">
        <v>1420</v>
      </c>
      <c r="F3332" s="2890">
        <v>1.0625201362252415E-4</v>
      </c>
      <c r="G3332" s="2890">
        <v>0.16882978743079097</v>
      </c>
    </row>
    <row r="3333" spans="2:7" ht="15" hidden="1" outlineLevel="2">
      <c r="B3333" s="2889" t="s">
        <v>1636</v>
      </c>
      <c r="C3333" s="2889" t="s">
        <v>1419</v>
      </c>
      <c r="D3333" s="2889" t="s">
        <v>197</v>
      </c>
      <c r="E3333" s="2889" t="s">
        <v>1420</v>
      </c>
      <c r="F3333" s="2890">
        <v>5.1667371275658477E-5</v>
      </c>
      <c r="G3333" s="2890">
        <v>8.2097071419455964E-2</v>
      </c>
    </row>
    <row r="3334" spans="2:7" ht="15" hidden="1" outlineLevel="2">
      <c r="B3334" s="2889" t="s">
        <v>1637</v>
      </c>
      <c r="C3334" s="2889" t="s">
        <v>1419</v>
      </c>
      <c r="D3334" s="2889" t="s">
        <v>197</v>
      </c>
      <c r="E3334" s="2889" t="s">
        <v>1420</v>
      </c>
      <c r="F3334" s="2890">
        <v>2.4287110741290029E-5</v>
      </c>
      <c r="G3334" s="2890">
        <v>3.8591106505006342E-2</v>
      </c>
    </row>
    <row r="3335" spans="2:7" ht="15" hidden="1" outlineLevel="2">
      <c r="B3335" s="2889" t="s">
        <v>1638</v>
      </c>
      <c r="C3335" s="2889" t="s">
        <v>1419</v>
      </c>
      <c r="D3335" s="2889" t="s">
        <v>197</v>
      </c>
      <c r="E3335" s="2889" t="s">
        <v>1420</v>
      </c>
      <c r="F3335" s="2890">
        <v>8.4723838298198404E-5</v>
      </c>
      <c r="G3335" s="2890">
        <v>0.13462218976607512</v>
      </c>
    </row>
    <row r="3336" spans="2:7" ht="15" hidden="1" outlineLevel="2">
      <c r="B3336" s="2889" t="s">
        <v>1639</v>
      </c>
      <c r="C3336" s="2889" t="s">
        <v>1419</v>
      </c>
      <c r="D3336" s="2889" t="s">
        <v>197</v>
      </c>
      <c r="E3336" s="2889" t="s">
        <v>1420</v>
      </c>
      <c r="F3336" s="2890">
        <v>1.292732924574455E-4</v>
      </c>
      <c r="G3336" s="2890">
        <v>0.20540928011448684</v>
      </c>
    </row>
    <row r="3337" spans="2:7" ht="15" hidden="1" outlineLevel="2">
      <c r="B3337" s="2889" t="s">
        <v>1640</v>
      </c>
      <c r="C3337" s="2889" t="s">
        <v>1419</v>
      </c>
      <c r="D3337" s="2889" t="s">
        <v>197</v>
      </c>
      <c r="E3337" s="2889" t="s">
        <v>1420</v>
      </c>
      <c r="F3337" s="2890">
        <v>3.9540837300622429E-5</v>
      </c>
      <c r="G3337" s="2890">
        <v>6.282856885325952E-2</v>
      </c>
    </row>
    <row r="3338" spans="2:7" ht="15" hidden="1" outlineLevel="2">
      <c r="B3338" s="2889" t="s">
        <v>1641</v>
      </c>
      <c r="C3338" s="2889" t="s">
        <v>1419</v>
      </c>
      <c r="D3338" s="2889" t="s">
        <v>197</v>
      </c>
      <c r="E3338" s="2889" t="s">
        <v>1420</v>
      </c>
      <c r="F3338" s="2890">
        <v>4.8400662451561153E-5</v>
      </c>
      <c r="G3338" s="2890">
        <v>7.690645260499239E-2</v>
      </c>
    </row>
    <row r="3339" spans="2:7" ht="15" hidden="1" outlineLevel="2">
      <c r="B3339" s="2889" t="s">
        <v>1642</v>
      </c>
      <c r="C3339" s="2889" t="s">
        <v>1419</v>
      </c>
      <c r="D3339" s="2889" t="s">
        <v>197</v>
      </c>
      <c r="E3339" s="2889" t="s">
        <v>1420</v>
      </c>
      <c r="F3339" s="2890">
        <v>2.1956358547836675E-5</v>
      </c>
      <c r="G3339" s="2890">
        <v>3.4887629233067527E-2</v>
      </c>
    </row>
    <row r="3340" spans="2:7" ht="15" hidden="1" outlineLevel="2">
      <c r="B3340" s="2889" t="s">
        <v>1643</v>
      </c>
      <c r="C3340" s="2889" t="s">
        <v>1419</v>
      </c>
      <c r="D3340" s="2889" t="s">
        <v>197</v>
      </c>
      <c r="E3340" s="2889" t="s">
        <v>1420</v>
      </c>
      <c r="F3340" s="2890">
        <v>1.0724999399532801E-4</v>
      </c>
      <c r="G3340" s="2890">
        <v>0.17041544184496119</v>
      </c>
    </row>
    <row r="3341" spans="2:7" ht="15" hidden="1" outlineLevel="2">
      <c r="B3341" s="2889" t="s">
        <v>1644</v>
      </c>
      <c r="C3341" s="2889" t="s">
        <v>1419</v>
      </c>
      <c r="D3341" s="2889" t="s">
        <v>197</v>
      </c>
      <c r="E3341" s="2889" t="s">
        <v>1420</v>
      </c>
      <c r="F3341" s="2890">
        <v>4.7020708348263922E-5</v>
      </c>
      <c r="G3341" s="2890">
        <v>7.4713799260217359E-2</v>
      </c>
    </row>
    <row r="3342" spans="2:7" ht="15" hidden="1" outlineLevel="2">
      <c r="B3342" s="2889" t="s">
        <v>1645</v>
      </c>
      <c r="C3342" s="2889" t="s">
        <v>1419</v>
      </c>
      <c r="D3342" s="2889" t="s">
        <v>197</v>
      </c>
      <c r="E3342" s="2889" t="s">
        <v>1420</v>
      </c>
      <c r="F3342" s="2890">
        <v>1.8384088485587773E-5</v>
      </c>
      <c r="G3342" s="2890">
        <v>2.9211487241755617E-2</v>
      </c>
    </row>
    <row r="3343" spans="2:7" ht="15" hidden="1" outlineLevel="2">
      <c r="B3343" s="2889" t="s">
        <v>1646</v>
      </c>
      <c r="C3343" s="2889" t="s">
        <v>1419</v>
      </c>
      <c r="D3343" s="2889" t="s">
        <v>197</v>
      </c>
      <c r="E3343" s="2889" t="s">
        <v>1420</v>
      </c>
      <c r="F3343" s="2890">
        <v>1.325250323798442E-4</v>
      </c>
      <c r="G3343" s="2890">
        <v>0.21057622520236288</v>
      </c>
    </row>
    <row r="3344" spans="2:7" ht="15" hidden="1" outlineLevel="2">
      <c r="B3344" s="2889" t="s">
        <v>1647</v>
      </c>
      <c r="C3344" s="2889" t="s">
        <v>1419</v>
      </c>
      <c r="D3344" s="2889" t="s">
        <v>197</v>
      </c>
      <c r="E3344" s="2889" t="s">
        <v>1420</v>
      </c>
      <c r="F3344" s="2890">
        <v>3.6344404156566337E-5</v>
      </c>
      <c r="G3344" s="2890">
        <v>5.7749651134125418E-2</v>
      </c>
    </row>
    <row r="3345" spans="2:7" ht="15" hidden="1" outlineLevel="2">
      <c r="B3345" s="2889" t="s">
        <v>1648</v>
      </c>
      <c r="C3345" s="2889" t="s">
        <v>1419</v>
      </c>
      <c r="D3345" s="2889" t="s">
        <v>197</v>
      </c>
      <c r="E3345" s="2889" t="s">
        <v>1420</v>
      </c>
      <c r="F3345" s="2890">
        <v>3.2758398066284498E-5</v>
      </c>
      <c r="G3345" s="2890">
        <v>5.2051636989664904E-2</v>
      </c>
    </row>
    <row r="3346" spans="2:7" ht="15" hidden="1" outlineLevel="2">
      <c r="B3346" s="2889" t="s">
        <v>1649</v>
      </c>
      <c r="C3346" s="2889" t="s">
        <v>1419</v>
      </c>
      <c r="D3346" s="2889" t="s">
        <v>197</v>
      </c>
      <c r="E3346" s="2889" t="s">
        <v>1420</v>
      </c>
      <c r="F3346" s="2890">
        <v>8.5413733794647472E-5</v>
      </c>
      <c r="G3346" s="2890">
        <v>0.13571859051337171</v>
      </c>
    </row>
    <row r="3347" spans="2:7" ht="15" hidden="1" outlineLevel="2">
      <c r="B3347" s="2889" t="s">
        <v>1650</v>
      </c>
      <c r="C3347" s="2889" t="s">
        <v>1419</v>
      </c>
      <c r="D3347" s="2889" t="s">
        <v>197</v>
      </c>
      <c r="E3347" s="2889" t="s">
        <v>1420</v>
      </c>
      <c r="F3347" s="2890">
        <v>7.8057308710230124E-5</v>
      </c>
      <c r="G3347" s="2890">
        <v>0.12402961119902271</v>
      </c>
    </row>
    <row r="3348" spans="2:7" ht="15" hidden="1" outlineLevel="2">
      <c r="B3348" s="2889" t="s">
        <v>1651</v>
      </c>
      <c r="C3348" s="2889" t="s">
        <v>1419</v>
      </c>
      <c r="D3348" s="2889" t="s">
        <v>197</v>
      </c>
      <c r="E3348" s="2889" t="s">
        <v>1420</v>
      </c>
      <c r="F3348" s="2890">
        <v>5.9957536615459128E-5</v>
      </c>
      <c r="G3348" s="2890">
        <v>9.5269860378409635E-2</v>
      </c>
    </row>
    <row r="3349" spans="2:7" ht="15" hidden="1" outlineLevel="2">
      <c r="B3349" s="2889" t="s">
        <v>1652</v>
      </c>
      <c r="C3349" s="2889" t="s">
        <v>1419</v>
      </c>
      <c r="D3349" s="2889" t="s">
        <v>197</v>
      </c>
      <c r="E3349" s="2889" t="s">
        <v>1420</v>
      </c>
      <c r="F3349" s="2890">
        <v>9.1152803749606744E-5</v>
      </c>
      <c r="G3349" s="2890">
        <v>0.14483764705943181</v>
      </c>
    </row>
    <row r="3350" spans="2:7" ht="15" hidden="1" outlineLevel="2">
      <c r="B3350" s="2889" t="s">
        <v>1653</v>
      </c>
      <c r="C3350" s="2889" t="s">
        <v>1419</v>
      </c>
      <c r="D3350" s="2889" t="s">
        <v>197</v>
      </c>
      <c r="E3350" s="2889" t="s">
        <v>1420</v>
      </c>
      <c r="F3350" s="2890">
        <v>2.6379085957552315E-36</v>
      </c>
      <c r="G3350" s="2890">
        <v>4.1915162723227706E-33</v>
      </c>
    </row>
    <row r="3351" spans="2:7" ht="15" hidden="1" outlineLevel="2">
      <c r="B3351" s="2889" t="s">
        <v>1407</v>
      </c>
      <c r="C3351" s="2889" t="s">
        <v>1421</v>
      </c>
      <c r="D3351" s="2889" t="s">
        <v>197</v>
      </c>
      <c r="E3351" s="2889" t="s">
        <v>1420</v>
      </c>
      <c r="F3351" s="2890">
        <v>2.2117353562977091E-6</v>
      </c>
      <c r="G3351" s="2890">
        <v>2.3309109073780084E-2</v>
      </c>
    </row>
    <row r="3352" spans="2:7" ht="15" hidden="1" outlineLevel="2">
      <c r="B3352" s="2889" t="s">
        <v>1631</v>
      </c>
      <c r="C3352" s="2889" t="s">
        <v>1421</v>
      </c>
      <c r="D3352" s="2889" t="s">
        <v>197</v>
      </c>
      <c r="E3352" s="2889" t="s">
        <v>1420</v>
      </c>
      <c r="F3352" s="2890">
        <v>4.1112562073365846E-6</v>
      </c>
      <c r="G3352" s="2890">
        <v>4.3327890813225987E-2</v>
      </c>
    </row>
    <row r="3353" spans="2:7" ht="15" hidden="1" outlineLevel="2">
      <c r="B3353" s="2889" t="s">
        <v>1632</v>
      </c>
      <c r="C3353" s="2889" t="s">
        <v>1421</v>
      </c>
      <c r="D3353" s="2889" t="s">
        <v>197</v>
      </c>
      <c r="E3353" s="2889" t="s">
        <v>1420</v>
      </c>
      <c r="F3353" s="2890">
        <v>8.4106333985163646E-6</v>
      </c>
      <c r="G3353" s="2890">
        <v>8.8638182920546149E-2</v>
      </c>
    </row>
    <row r="3354" spans="2:7" ht="15" hidden="1" outlineLevel="2">
      <c r="B3354" s="2889" t="s">
        <v>1633</v>
      </c>
      <c r="C3354" s="2889" t="s">
        <v>1421</v>
      </c>
      <c r="D3354" s="2889" t="s">
        <v>197</v>
      </c>
      <c r="E3354" s="2889" t="s">
        <v>1420</v>
      </c>
      <c r="F3354" s="2890">
        <v>2.9596149071792842E-6</v>
      </c>
      <c r="G3354" s="2890">
        <v>3.119087996620195E-2</v>
      </c>
    </row>
    <row r="3355" spans="2:7" ht="15" hidden="1" outlineLevel="2">
      <c r="B3355" s="2889" t="s">
        <v>1634</v>
      </c>
      <c r="C3355" s="2889" t="s">
        <v>1421</v>
      </c>
      <c r="D3355" s="2889" t="s">
        <v>197</v>
      </c>
      <c r="E3355" s="2889" t="s">
        <v>1420</v>
      </c>
      <c r="F3355" s="2890">
        <v>1.9264806027455372E-5</v>
      </c>
      <c r="G3355" s="2890">
        <v>0.20302842350956091</v>
      </c>
    </row>
    <row r="3356" spans="2:7" ht="15" hidden="1" outlineLevel="2">
      <c r="B3356" s="2889" t="s">
        <v>1635</v>
      </c>
      <c r="C3356" s="2889" t="s">
        <v>1421</v>
      </c>
      <c r="D3356" s="2889" t="s">
        <v>197</v>
      </c>
      <c r="E3356" s="2889" t="s">
        <v>1420</v>
      </c>
      <c r="F3356" s="2890">
        <v>2.1802737004946369E-5</v>
      </c>
      <c r="G3356" s="2890">
        <v>0.22977529123826573</v>
      </c>
    </row>
    <row r="3357" spans="2:7" ht="15" hidden="1" outlineLevel="2">
      <c r="B3357" s="2889" t="s">
        <v>1636</v>
      </c>
      <c r="C3357" s="2889" t="s">
        <v>1421</v>
      </c>
      <c r="D3357" s="2889" t="s">
        <v>197</v>
      </c>
      <c r="E3357" s="2889" t="s">
        <v>1420</v>
      </c>
      <c r="F3357" s="2890">
        <v>1.0602038102517792E-5</v>
      </c>
      <c r="G3357" s="2890">
        <v>0.11173309818955129</v>
      </c>
    </row>
    <row r="3358" spans="2:7" ht="15" hidden="1" outlineLevel="2">
      <c r="B3358" s="2889" t="s">
        <v>1637</v>
      </c>
      <c r="C3358" s="2889" t="s">
        <v>1421</v>
      </c>
      <c r="D3358" s="2889" t="s">
        <v>197</v>
      </c>
      <c r="E3358" s="2889" t="s">
        <v>1420</v>
      </c>
      <c r="F3358" s="2890">
        <v>4.9836683889197731E-6</v>
      </c>
      <c r="G3358" s="2890">
        <v>5.2522071439770647E-2</v>
      </c>
    </row>
    <row r="3359" spans="2:7" ht="15" hidden="1" outlineLevel="2">
      <c r="B3359" s="2889" t="s">
        <v>1638</v>
      </c>
      <c r="C3359" s="2889" t="s">
        <v>1421</v>
      </c>
      <c r="D3359" s="2889" t="s">
        <v>197</v>
      </c>
      <c r="E3359" s="2889" t="s">
        <v>1420</v>
      </c>
      <c r="F3359" s="2890">
        <v>1.7385166571569018E-5</v>
      </c>
      <c r="G3359" s="2890">
        <v>0.18321925637187497</v>
      </c>
    </row>
    <row r="3360" spans="2:7" ht="15" hidden="1" outlineLevel="2">
      <c r="B3360" s="2889" t="s">
        <v>1639</v>
      </c>
      <c r="C3360" s="2889" t="s">
        <v>1421</v>
      </c>
      <c r="D3360" s="2889" t="s">
        <v>197</v>
      </c>
      <c r="E3360" s="2889" t="s">
        <v>1420</v>
      </c>
      <c r="F3360" s="2890">
        <v>2.6526633712871366E-5</v>
      </c>
      <c r="G3360" s="2890">
        <v>0.27955997862242954</v>
      </c>
    </row>
    <row r="3361" spans="2:7" ht="15" hidden="1" outlineLevel="2">
      <c r="B3361" s="2889" t="s">
        <v>1640</v>
      </c>
      <c r="C3361" s="2889" t="s">
        <v>1421</v>
      </c>
      <c r="D3361" s="2889" t="s">
        <v>197</v>
      </c>
      <c r="E3361" s="2889" t="s">
        <v>1420</v>
      </c>
      <c r="F3361" s="3039">
        <v>8.1137048188707239E-6</v>
      </c>
      <c r="G3361" s="2890">
        <v>8.5508910053561121E-2</v>
      </c>
    </row>
    <row r="3362" spans="2:7" ht="15" hidden="1" outlineLevel="2">
      <c r="B3362" s="2889" t="s">
        <v>1641</v>
      </c>
      <c r="C3362" s="2889" t="s">
        <v>1421</v>
      </c>
      <c r="D3362" s="2889" t="s">
        <v>197</v>
      </c>
      <c r="E3362" s="2889" t="s">
        <v>1420</v>
      </c>
      <c r="F3362" s="3039">
        <v>9.9317332196545104E-6</v>
      </c>
      <c r="G3362" s="2890">
        <v>0.10466876257594039</v>
      </c>
    </row>
    <row r="3363" spans="2:7" ht="15" hidden="1" outlineLevel="2">
      <c r="B3363" s="2889" t="s">
        <v>1642</v>
      </c>
      <c r="C3363" s="2889" t="s">
        <v>1421</v>
      </c>
      <c r="D3363" s="2889" t="s">
        <v>197</v>
      </c>
      <c r="E3363" s="2889" t="s">
        <v>1420</v>
      </c>
      <c r="F3363" s="3039">
        <v>4.5054049639941511E-6</v>
      </c>
      <c r="G3363" s="2890">
        <v>4.7481713655202692E-2</v>
      </c>
    </row>
    <row r="3364" spans="2:7" ht="15" hidden="1" outlineLevel="2">
      <c r="B3364" s="2889" t="s">
        <v>1643</v>
      </c>
      <c r="C3364" s="2889" t="s">
        <v>1421</v>
      </c>
      <c r="D3364" s="2889" t="s">
        <v>197</v>
      </c>
      <c r="E3364" s="2889" t="s">
        <v>1420</v>
      </c>
      <c r="F3364" s="3039">
        <v>2.2007516875862574E-5</v>
      </c>
      <c r="G3364" s="2890">
        <v>0.23193319920997141</v>
      </c>
    </row>
    <row r="3365" spans="2:7" ht="15" hidden="1" outlineLevel="2">
      <c r="B3365" s="2889" t="s">
        <v>1644</v>
      </c>
      <c r="C3365" s="2889" t="s">
        <v>1421</v>
      </c>
      <c r="D3365" s="2889" t="s">
        <v>197</v>
      </c>
      <c r="E3365" s="2889" t="s">
        <v>1420</v>
      </c>
      <c r="F3365" s="3039">
        <v>9.6485695744154724E-6</v>
      </c>
      <c r="G3365" s="2890">
        <v>0.10168459749628934</v>
      </c>
    </row>
    <row r="3366" spans="2:7" ht="15" hidden="1" outlineLevel="2">
      <c r="B3366" s="2889" t="s">
        <v>1645</v>
      </c>
      <c r="C3366" s="2889" t="s">
        <v>1421</v>
      </c>
      <c r="D3366" s="2889" t="s">
        <v>197</v>
      </c>
      <c r="E3366" s="2889" t="s">
        <v>1420</v>
      </c>
      <c r="F3366" s="3039">
        <v>3.7723839916919854E-6</v>
      </c>
      <c r="G3366" s="2890">
        <v>3.9756516203079545E-2</v>
      </c>
    </row>
    <row r="3367" spans="2:7" ht="15" hidden="1" outlineLevel="2">
      <c r="B3367" s="2889" t="s">
        <v>1646</v>
      </c>
      <c r="C3367" s="2889" t="s">
        <v>1421</v>
      </c>
      <c r="D3367" s="2889" t="s">
        <v>197</v>
      </c>
      <c r="E3367" s="2889" t="s">
        <v>1420</v>
      </c>
      <c r="F3367" s="3039">
        <v>2.7193898241967984E-5</v>
      </c>
      <c r="G3367" s="2890">
        <v>0.28659183016845224</v>
      </c>
    </row>
    <row r="3368" spans="2:7" ht="15" hidden="1" outlineLevel="2">
      <c r="B3368" s="2889" t="s">
        <v>1647</v>
      </c>
      <c r="C3368" s="2889" t="s">
        <v>1421</v>
      </c>
      <c r="D3368" s="2889" t="s">
        <v>197</v>
      </c>
      <c r="E3368" s="2889" t="s">
        <v>1420</v>
      </c>
      <c r="F3368" s="2890">
        <v>7.4578058965349057E-6</v>
      </c>
      <c r="G3368" s="2890">
        <v>7.8596529243642604E-2</v>
      </c>
    </row>
    <row r="3369" spans="2:7" ht="15" hidden="1" outlineLevel="2">
      <c r="B3369" s="2889" t="s">
        <v>1648</v>
      </c>
      <c r="C3369" s="2889" t="s">
        <v>1421</v>
      </c>
      <c r="D3369" s="2889" t="s">
        <v>197</v>
      </c>
      <c r="E3369" s="2889" t="s">
        <v>1420</v>
      </c>
      <c r="F3369" s="2890">
        <v>6.7219719942700706E-6</v>
      </c>
      <c r="G3369" s="2890">
        <v>7.0841620650953466E-2</v>
      </c>
    </row>
    <row r="3370" spans="2:7" ht="15" hidden="1" outlineLevel="2">
      <c r="B3370" s="2889" t="s">
        <v>1649</v>
      </c>
      <c r="C3370" s="2889" t="s">
        <v>1421</v>
      </c>
      <c r="D3370" s="2889" t="s">
        <v>197</v>
      </c>
      <c r="E3370" s="2889" t="s">
        <v>1420</v>
      </c>
      <c r="F3370" s="2890">
        <v>1.7526742416485278E-5</v>
      </c>
      <c r="G3370" s="2890">
        <v>0.18471137064050053</v>
      </c>
    </row>
    <row r="3371" spans="2:7" ht="15" hidden="1" outlineLevel="2">
      <c r="B3371" s="2889" t="s">
        <v>1650</v>
      </c>
      <c r="C3371" s="2889" t="s">
        <v>1421</v>
      </c>
      <c r="D3371" s="2889" t="s">
        <v>197</v>
      </c>
      <c r="E3371" s="2889" t="s">
        <v>1420</v>
      </c>
      <c r="F3371" s="3039">
        <v>1.6017228626518981E-5</v>
      </c>
      <c r="G3371" s="2890">
        <v>0.16880273382675445</v>
      </c>
    </row>
    <row r="3372" spans="2:7" ht="15" hidden="1" outlineLevel="2">
      <c r="B3372" s="2889" t="s">
        <v>1651</v>
      </c>
      <c r="C3372" s="2889" t="s">
        <v>1421</v>
      </c>
      <c r="D3372" s="2889" t="s">
        <v>197</v>
      </c>
      <c r="E3372" s="2889" t="s">
        <v>1420</v>
      </c>
      <c r="F3372" s="2890">
        <v>1.230318479061639E-5</v>
      </c>
      <c r="G3372" s="2890">
        <v>0.1296610794423034</v>
      </c>
    </row>
    <row r="3373" spans="2:7" ht="15" hidden="1" outlineLevel="2">
      <c r="B3373" s="2889" t="s">
        <v>1652</v>
      </c>
      <c r="C3373" s="2889" t="s">
        <v>1421</v>
      </c>
      <c r="D3373" s="2889" t="s">
        <v>197</v>
      </c>
      <c r="E3373" s="2889" t="s">
        <v>1420</v>
      </c>
      <c r="F3373" s="2890">
        <v>1.8704381526942318E-5</v>
      </c>
      <c r="G3373" s="2890">
        <v>0.19712227797568085</v>
      </c>
    </row>
    <row r="3374" spans="2:7" ht="15" hidden="1" outlineLevel="2">
      <c r="B3374" s="2889" t="s">
        <v>1653</v>
      </c>
      <c r="C3374" s="2889" t="s">
        <v>1421</v>
      </c>
      <c r="D3374" s="2889" t="s">
        <v>197</v>
      </c>
      <c r="E3374" s="2889" t="s">
        <v>1420</v>
      </c>
      <c r="F3374" s="3039">
        <v>5.5019376952036936E-37</v>
      </c>
      <c r="G3374" s="2890">
        <v>5.7984014727762259E-33</v>
      </c>
    </row>
    <row r="3375" spans="2:7" ht="15" hidden="1" outlineLevel="2">
      <c r="B3375" s="2889" t="s">
        <v>1407</v>
      </c>
      <c r="C3375" s="2889" t="s">
        <v>1450</v>
      </c>
      <c r="D3375" s="2889" t="s">
        <v>1105</v>
      </c>
      <c r="E3375" s="2889" t="s">
        <v>1420</v>
      </c>
      <c r="F3375" s="2890">
        <v>3.6384345763566771E-2</v>
      </c>
      <c r="G3375" s="2890">
        <v>100.02805363405341</v>
      </c>
    </row>
    <row r="3376" spans="2:7" ht="15" hidden="1" outlineLevel="2">
      <c r="B3376" s="2889" t="s">
        <v>1631</v>
      </c>
      <c r="C3376" s="2889" t="s">
        <v>1450</v>
      </c>
      <c r="D3376" s="2889" t="s">
        <v>1105</v>
      </c>
      <c r="E3376" s="2889" t="s">
        <v>1420</v>
      </c>
      <c r="F3376" s="2890">
        <v>0.36888139860577845</v>
      </c>
      <c r="G3376" s="2890">
        <v>1014.1306600621522</v>
      </c>
    </row>
    <row r="3377" spans="2:7" ht="15" hidden="1" outlineLevel="2">
      <c r="B3377" s="2889" t="s">
        <v>1632</v>
      </c>
      <c r="C3377" s="2889" t="s">
        <v>1450</v>
      </c>
      <c r="D3377" s="2889" t="s">
        <v>1105</v>
      </c>
      <c r="E3377" s="2889" t="s">
        <v>1420</v>
      </c>
      <c r="F3377" s="2890">
        <v>0.56423763009244987</v>
      </c>
      <c r="G3377" s="2890">
        <v>1551.2045324630681</v>
      </c>
    </row>
    <row r="3378" spans="2:7" ht="15" hidden="1" outlineLevel="2">
      <c r="B3378" s="2889" t="s">
        <v>1633</v>
      </c>
      <c r="C3378" s="2889" t="s">
        <v>1450</v>
      </c>
      <c r="D3378" s="2889" t="s">
        <v>1105</v>
      </c>
      <c r="E3378" s="2889" t="s">
        <v>1420</v>
      </c>
      <c r="F3378" s="3039">
        <v>2.0711105499173436E-2</v>
      </c>
      <c r="G3378" s="2890">
        <v>56.939053722583722</v>
      </c>
    </row>
    <row r="3379" spans="2:7" ht="15" hidden="1" outlineLevel="2">
      <c r="B3379" s="2889" t="s">
        <v>1634</v>
      </c>
      <c r="C3379" s="2889" t="s">
        <v>1450</v>
      </c>
      <c r="D3379" s="2889" t="s">
        <v>1105</v>
      </c>
      <c r="E3379" s="2889" t="s">
        <v>1420</v>
      </c>
      <c r="F3379" s="3039">
        <v>1.4553745318781888E-2</v>
      </c>
      <c r="G3379" s="2890">
        <v>40.011209914967608</v>
      </c>
    </row>
    <row r="3380" spans="2:7" ht="15" hidden="1" outlineLevel="2">
      <c r="B3380" s="2889" t="s">
        <v>1635</v>
      </c>
      <c r="C3380" s="2889" t="s">
        <v>1450</v>
      </c>
      <c r="D3380" s="2889" t="s">
        <v>1105</v>
      </c>
      <c r="E3380" s="2889" t="s">
        <v>1420</v>
      </c>
      <c r="F3380" s="3039">
        <v>9.2920050415449526E-2</v>
      </c>
      <c r="G3380" s="2890">
        <v>255.45624991930327</v>
      </c>
    </row>
    <row r="3381" spans="2:7" ht="15" hidden="1" outlineLevel="2">
      <c r="B3381" s="2889" t="s">
        <v>1636</v>
      </c>
      <c r="C3381" s="2889" t="s">
        <v>1450</v>
      </c>
      <c r="D3381" s="2889" t="s">
        <v>1105</v>
      </c>
      <c r="E3381" s="2889" t="s">
        <v>1420</v>
      </c>
      <c r="F3381" s="2890">
        <v>3.5824613663857634E-2</v>
      </c>
      <c r="G3381" s="2890">
        <v>98.489164482617952</v>
      </c>
    </row>
    <row r="3382" spans="2:7" ht="15" hidden="1" outlineLevel="2">
      <c r="B3382" s="2889" t="s">
        <v>1637</v>
      </c>
      <c r="C3382" s="2889" t="s">
        <v>1450</v>
      </c>
      <c r="D3382" s="2889" t="s">
        <v>1105</v>
      </c>
      <c r="E3382" s="2889" t="s">
        <v>1420</v>
      </c>
      <c r="F3382" s="2890">
        <v>4.254172054770132E-2</v>
      </c>
      <c r="G3382" s="2890">
        <v>116.95588002359445</v>
      </c>
    </row>
    <row r="3383" spans="2:7" ht="15" hidden="1" outlineLevel="2">
      <c r="B3383" s="2889" t="s">
        <v>1638</v>
      </c>
      <c r="C3383" s="2889" t="s">
        <v>1450</v>
      </c>
      <c r="D3383" s="2889" t="s">
        <v>1105</v>
      </c>
      <c r="E3383" s="2889" t="s">
        <v>1420</v>
      </c>
      <c r="F3383" s="2890">
        <v>2.6308709422878548E-2</v>
      </c>
      <c r="G3383" s="2890">
        <v>72.327962091847823</v>
      </c>
    </row>
    <row r="3384" spans="2:7" ht="15" hidden="1" outlineLevel="2">
      <c r="B3384" s="2889" t="s">
        <v>1639</v>
      </c>
      <c r="C3384" s="2889" t="s">
        <v>1450</v>
      </c>
      <c r="D3384" s="2889" t="s">
        <v>1105</v>
      </c>
      <c r="E3384" s="2889" t="s">
        <v>1420</v>
      </c>
      <c r="F3384" s="2890">
        <v>0.13098369234738819</v>
      </c>
      <c r="G3384" s="2890">
        <v>360.10105081448398</v>
      </c>
    </row>
    <row r="3385" spans="2:7" ht="15" hidden="1" outlineLevel="2">
      <c r="B3385" s="2889" t="s">
        <v>1640</v>
      </c>
      <c r="C3385" s="2889" t="s">
        <v>1450</v>
      </c>
      <c r="D3385" s="2889" t="s">
        <v>1105</v>
      </c>
      <c r="E3385" s="2889" t="s">
        <v>1420</v>
      </c>
      <c r="F3385" s="2890">
        <v>1.9591568265605448E-2</v>
      </c>
      <c r="G3385" s="2890">
        <v>53.861272720595693</v>
      </c>
    </row>
    <row r="3386" spans="2:7" ht="15" hidden="1" outlineLevel="2">
      <c r="B3386" s="2889" t="s">
        <v>1641</v>
      </c>
      <c r="C3386" s="2889" t="s">
        <v>1450</v>
      </c>
      <c r="D3386" s="2889" t="s">
        <v>1105</v>
      </c>
      <c r="E3386" s="2889" t="s">
        <v>1420</v>
      </c>
      <c r="F3386" s="2890">
        <v>0.12594586760984561</v>
      </c>
      <c r="G3386" s="2890">
        <v>346.25099284528926</v>
      </c>
    </row>
    <row r="3387" spans="2:7" ht="15" hidden="1" outlineLevel="2">
      <c r="B3387" s="2889" t="s">
        <v>1642</v>
      </c>
      <c r="C3387" s="2889" t="s">
        <v>1450</v>
      </c>
      <c r="D3387" s="2889" t="s">
        <v>1105</v>
      </c>
      <c r="E3387" s="2889" t="s">
        <v>1420</v>
      </c>
      <c r="F3387" s="2890">
        <v>0.33473606048260102</v>
      </c>
      <c r="G3387" s="2890">
        <v>920.25825443787141</v>
      </c>
    </row>
    <row r="3388" spans="2:7" ht="15" hidden="1" outlineLevel="2">
      <c r="B3388" s="2889" t="s">
        <v>1643</v>
      </c>
      <c r="C3388" s="2889" t="s">
        <v>1450</v>
      </c>
      <c r="D3388" s="2889" t="s">
        <v>1105</v>
      </c>
      <c r="E3388" s="2889" t="s">
        <v>1420</v>
      </c>
      <c r="F3388" s="2890">
        <v>2.0723793907664347E-2</v>
      </c>
      <c r="G3388" s="2890">
        <v>56.97393433347353</v>
      </c>
    </row>
    <row r="3389" spans="2:7" ht="15" hidden="1" outlineLevel="2">
      <c r="B3389" s="2889" t="s">
        <v>1644</v>
      </c>
      <c r="C3389" s="2889" t="s">
        <v>1450</v>
      </c>
      <c r="D3389" s="2889" t="s">
        <v>1105</v>
      </c>
      <c r="E3389" s="2889" t="s">
        <v>1420</v>
      </c>
      <c r="F3389" s="2890">
        <v>0.49314833898858085</v>
      </c>
      <c r="G3389" s="2890">
        <v>1355.7645752086828</v>
      </c>
    </row>
    <row r="3390" spans="2:7" ht="15" hidden="1" outlineLevel="2">
      <c r="B3390" s="2889" t="s">
        <v>1645</v>
      </c>
      <c r="C3390" s="2889" t="s">
        <v>1450</v>
      </c>
      <c r="D3390" s="2889" t="s">
        <v>1105</v>
      </c>
      <c r="E3390" s="2889" t="s">
        <v>1420</v>
      </c>
      <c r="F3390" s="2890">
        <v>0.37671817912642153</v>
      </c>
      <c r="G3390" s="2890">
        <v>1035.6750464783363</v>
      </c>
    </row>
    <row r="3391" spans="2:7" ht="15" hidden="1" outlineLevel="2">
      <c r="B3391" s="2889" t="s">
        <v>1646</v>
      </c>
      <c r="C3391" s="2889" t="s">
        <v>1450</v>
      </c>
      <c r="D3391" s="2889" t="s">
        <v>1105</v>
      </c>
      <c r="E3391" s="2889" t="s">
        <v>1420</v>
      </c>
      <c r="F3391" s="2890">
        <v>4.4220978668541813E-2</v>
      </c>
      <c r="G3391" s="2890">
        <v>121.57258981697566</v>
      </c>
    </row>
    <row r="3392" spans="2:7" ht="15" hidden="1" outlineLevel="2">
      <c r="B3392" s="2889" t="s">
        <v>1647</v>
      </c>
      <c r="C3392" s="2889" t="s">
        <v>1450</v>
      </c>
      <c r="D3392" s="2889" t="s">
        <v>1105</v>
      </c>
      <c r="E3392" s="2889" t="s">
        <v>1420</v>
      </c>
      <c r="F3392" s="3039">
        <v>2.0151327485214001E-2</v>
      </c>
      <c r="G3392" s="2890">
        <v>55.4001698586885</v>
      </c>
    </row>
    <row r="3393" spans="2:7" ht="15" hidden="1" outlineLevel="2">
      <c r="B3393" s="2889" t="s">
        <v>1648</v>
      </c>
      <c r="C3393" s="2889" t="s">
        <v>1450</v>
      </c>
      <c r="D3393" s="2889" t="s">
        <v>1105</v>
      </c>
      <c r="E3393" s="2889" t="s">
        <v>1420</v>
      </c>
      <c r="F3393" s="3039">
        <v>8.3963916579327495E-3</v>
      </c>
      <c r="G3393" s="2890">
        <v>23.083395945186712</v>
      </c>
    </row>
    <row r="3394" spans="2:7" ht="15" hidden="1" outlineLevel="2">
      <c r="B3394" s="2889" t="s">
        <v>1649</v>
      </c>
      <c r="C3394" s="2889" t="s">
        <v>1450</v>
      </c>
      <c r="D3394" s="2889" t="s">
        <v>1105</v>
      </c>
      <c r="E3394" s="2889" t="s">
        <v>1420</v>
      </c>
      <c r="F3394" s="2890">
        <v>3.7503867800615341E-2</v>
      </c>
      <c r="G3394" s="2890">
        <v>103.10582481057411</v>
      </c>
    </row>
    <row r="3395" spans="2:7" ht="15" hidden="1" outlineLevel="2">
      <c r="B3395" s="2889" t="s">
        <v>1650</v>
      </c>
      <c r="C3395" s="2889" t="s">
        <v>1450</v>
      </c>
      <c r="D3395" s="2889" t="s">
        <v>1105</v>
      </c>
      <c r="E3395" s="2889" t="s">
        <v>1420</v>
      </c>
      <c r="F3395" s="2890">
        <v>8.4523655447193355E-2</v>
      </c>
      <c r="G3395" s="2890">
        <v>232.37286231548134</v>
      </c>
    </row>
    <row r="3396" spans="2:7" ht="15" hidden="1" outlineLevel="2">
      <c r="B3396" s="2889" t="s">
        <v>1651</v>
      </c>
      <c r="C3396" s="2889" t="s">
        <v>1450</v>
      </c>
      <c r="D3396" s="2889" t="s">
        <v>1105</v>
      </c>
      <c r="E3396" s="2889" t="s">
        <v>1420</v>
      </c>
      <c r="F3396" s="2890">
        <v>7.3328489510338019E-2</v>
      </c>
      <c r="G3396" s="2890">
        <v>201.59500627913744</v>
      </c>
    </row>
    <row r="3397" spans="2:7" ht="15" hidden="1" outlineLevel="2">
      <c r="B3397" s="2889" t="s">
        <v>1652</v>
      </c>
      <c r="C3397" s="2889" t="s">
        <v>1450</v>
      </c>
      <c r="D3397" s="2889" t="s">
        <v>1105</v>
      </c>
      <c r="E3397" s="2889" t="s">
        <v>1420</v>
      </c>
      <c r="F3397" s="2890">
        <v>4.5900270086638446E-2</v>
      </c>
      <c r="G3397" s="2890">
        <v>126.18924529489709</v>
      </c>
    </row>
    <row r="3398" spans="2:7" ht="15" hidden="1" outlineLevel="2">
      <c r="B3398" s="2889" t="s">
        <v>1653</v>
      </c>
      <c r="C3398" s="2889" t="s">
        <v>1450</v>
      </c>
      <c r="D3398" s="2889" t="s">
        <v>1105</v>
      </c>
      <c r="E3398" s="2889" t="s">
        <v>1420</v>
      </c>
      <c r="F3398" s="2890">
        <v>0.35600685864437548</v>
      </c>
      <c r="G3398" s="2890">
        <v>978.73633851137288</v>
      </c>
    </row>
    <row r="3399" spans="2:7" ht="15" hidden="1" outlineLevel="2">
      <c r="B3399" s="2889" t="s">
        <v>1407</v>
      </c>
      <c r="C3399" s="2889" t="s">
        <v>1451</v>
      </c>
      <c r="D3399" s="2889" t="s">
        <v>1105</v>
      </c>
      <c r="E3399" s="2889" t="s">
        <v>1420</v>
      </c>
      <c r="F3399" s="2890">
        <v>5.2826159052379472E-3</v>
      </c>
      <c r="G3399" s="2890">
        <v>22.279737619328749</v>
      </c>
    </row>
    <row r="3400" spans="2:7" ht="15" hidden="1" outlineLevel="2">
      <c r="B3400" s="2889" t="s">
        <v>1631</v>
      </c>
      <c r="C3400" s="2889" t="s">
        <v>1451</v>
      </c>
      <c r="D3400" s="2889" t="s">
        <v>1105</v>
      </c>
      <c r="E3400" s="2889" t="s">
        <v>1420</v>
      </c>
      <c r="F3400" s="2890">
        <v>5.3557592745492585E-2</v>
      </c>
      <c r="G3400" s="2890">
        <v>225.8820426583093</v>
      </c>
    </row>
    <row r="3401" spans="2:7" ht="15" hidden="1" outlineLevel="2">
      <c r="B3401" s="2889" t="s">
        <v>1632</v>
      </c>
      <c r="C3401" s="2889" t="s">
        <v>1451</v>
      </c>
      <c r="D3401" s="2889" t="s">
        <v>1105</v>
      </c>
      <c r="E3401" s="2889" t="s">
        <v>1420</v>
      </c>
      <c r="F3401" s="2890">
        <v>8.1921207419282785E-2</v>
      </c>
      <c r="G3401" s="2890">
        <v>345.50706750717495</v>
      </c>
    </row>
    <row r="3402" spans="2:7" ht="15" hidden="1" outlineLevel="2">
      <c r="B3402" s="2889" t="s">
        <v>1633</v>
      </c>
      <c r="C3402" s="2889" t="s">
        <v>1451</v>
      </c>
      <c r="D3402" s="2889" t="s">
        <v>1105</v>
      </c>
      <c r="E3402" s="2889" t="s">
        <v>1420</v>
      </c>
      <c r="F3402" s="2890">
        <v>3.0070277089293339E-3</v>
      </c>
      <c r="G3402" s="2890">
        <v>12.682313951704058</v>
      </c>
    </row>
    <row r="3403" spans="2:7" ht="15" hidden="1" outlineLevel="2">
      <c r="B3403" s="2889" t="s">
        <v>1634</v>
      </c>
      <c r="C3403" s="2889" t="s">
        <v>1451</v>
      </c>
      <c r="D3403" s="2889" t="s">
        <v>1105</v>
      </c>
      <c r="E3403" s="2889" t="s">
        <v>1420</v>
      </c>
      <c r="F3403" s="2890">
        <v>2.1130471702491172E-3</v>
      </c>
      <c r="G3403" s="2890">
        <v>8.9118919024822016</v>
      </c>
    </row>
    <row r="3404" spans="2:7" ht="15" hidden="1" outlineLevel="2">
      <c r="B3404" s="2889" t="s">
        <v>1635</v>
      </c>
      <c r="C3404" s="2889" t="s">
        <v>1451</v>
      </c>
      <c r="D3404" s="2889" t="s">
        <v>1105</v>
      </c>
      <c r="E3404" s="2889" t="s">
        <v>1420</v>
      </c>
      <c r="F3404" s="2890">
        <v>1.3490991423886631E-2</v>
      </c>
      <c r="G3404" s="2890">
        <v>56.899007257791723</v>
      </c>
    </row>
    <row r="3405" spans="2:7" ht="15" hidden="1" outlineLevel="2">
      <c r="B3405" s="2889" t="s">
        <v>1636</v>
      </c>
      <c r="C3405" s="2889" t="s">
        <v>1451</v>
      </c>
      <c r="D3405" s="2889" t="s">
        <v>1105</v>
      </c>
      <c r="E3405" s="2889" t="s">
        <v>1420</v>
      </c>
      <c r="F3405" s="2890">
        <v>5.2013488495035688E-3</v>
      </c>
      <c r="G3405" s="2890">
        <v>21.936985538788534</v>
      </c>
    </row>
    <row r="3406" spans="2:7" ht="15" hidden="1" outlineLevel="2">
      <c r="B3406" s="2889" t="s">
        <v>1637</v>
      </c>
      <c r="C3406" s="2889" t="s">
        <v>1451</v>
      </c>
      <c r="D3406" s="2889" t="s">
        <v>1105</v>
      </c>
      <c r="E3406" s="2889" t="s">
        <v>1420</v>
      </c>
      <c r="F3406" s="2890">
        <v>6.1766014019330219E-3</v>
      </c>
      <c r="G3406" s="2890">
        <v>26.050135857066277</v>
      </c>
    </row>
    <row r="3407" spans="2:7" ht="15" hidden="1" outlineLevel="2">
      <c r="B3407" s="2889" t="s">
        <v>1638</v>
      </c>
      <c r="C3407" s="2889" t="s">
        <v>1451</v>
      </c>
      <c r="D3407" s="2889" t="s">
        <v>1105</v>
      </c>
      <c r="E3407" s="2889" t="s">
        <v>1420</v>
      </c>
      <c r="F3407" s="2890">
        <v>3.8197387245930015E-3</v>
      </c>
      <c r="G3407" s="2890">
        <v>16.109958528361226</v>
      </c>
    </row>
    <row r="3408" spans="2:7" ht="15" hidden="1" outlineLevel="2">
      <c r="B3408" s="2889" t="s">
        <v>1639</v>
      </c>
      <c r="C3408" s="2889" t="s">
        <v>1451</v>
      </c>
      <c r="D3408" s="2889" t="s">
        <v>1105</v>
      </c>
      <c r="E3408" s="2889" t="s">
        <v>1420</v>
      </c>
      <c r="F3408" s="2890">
        <v>1.9017429874520476E-2</v>
      </c>
      <c r="G3408" s="2890">
        <v>80.207008365566054</v>
      </c>
    </row>
    <row r="3409" spans="2:7" ht="15" hidden="1" outlineLevel="2">
      <c r="B3409" s="2889" t="s">
        <v>1640</v>
      </c>
      <c r="C3409" s="2889" t="s">
        <v>1451</v>
      </c>
      <c r="D3409" s="2889" t="s">
        <v>1105</v>
      </c>
      <c r="E3409" s="2889" t="s">
        <v>1420</v>
      </c>
      <c r="F3409" s="3039">
        <v>2.8444862441340305E-3</v>
      </c>
      <c r="G3409" s="2890">
        <v>11.996764677313619</v>
      </c>
    </row>
    <row r="3410" spans="2:7" ht="15" hidden="1" outlineLevel="2">
      <c r="B3410" s="2889" t="s">
        <v>1641</v>
      </c>
      <c r="C3410" s="2889" t="s">
        <v>1451</v>
      </c>
      <c r="D3410" s="2889" t="s">
        <v>1105</v>
      </c>
      <c r="E3410" s="2889" t="s">
        <v>1420</v>
      </c>
      <c r="F3410" s="3039">
        <v>1.8285988177867463E-2</v>
      </c>
      <c r="G3410" s="2890">
        <v>77.12215228113547</v>
      </c>
    </row>
    <row r="3411" spans="2:7" ht="15" hidden="1" outlineLevel="2">
      <c r="B3411" s="2889" t="s">
        <v>1642</v>
      </c>
      <c r="C3411" s="2889" t="s">
        <v>1451</v>
      </c>
      <c r="D3411" s="2889" t="s">
        <v>1105</v>
      </c>
      <c r="E3411" s="2889" t="s">
        <v>1420</v>
      </c>
      <c r="F3411" s="3039">
        <v>4.8600102456009361E-2</v>
      </c>
      <c r="G3411" s="2890">
        <v>204.97350177503944</v>
      </c>
    </row>
    <row r="3412" spans="2:7" ht="15" hidden="1" outlineLevel="2">
      <c r="B3412" s="2889" t="s">
        <v>1643</v>
      </c>
      <c r="C3412" s="2889" t="s">
        <v>1451</v>
      </c>
      <c r="D3412" s="2889" t="s">
        <v>1105</v>
      </c>
      <c r="E3412" s="2889" t="s">
        <v>1420</v>
      </c>
      <c r="F3412" s="3039">
        <v>3.0088713522519964E-3</v>
      </c>
      <c r="G3412" s="2890">
        <v>12.690075819586045</v>
      </c>
    </row>
    <row r="3413" spans="2:7" ht="15" hidden="1" outlineLevel="2">
      <c r="B3413" s="2889" t="s">
        <v>1644</v>
      </c>
      <c r="C3413" s="2889" t="s">
        <v>1451</v>
      </c>
      <c r="D3413" s="2889" t="s">
        <v>1105</v>
      </c>
      <c r="E3413" s="2889" t="s">
        <v>1420</v>
      </c>
      <c r="F3413" s="3039">
        <v>7.1599807122564599E-2</v>
      </c>
      <c r="G3413" s="2890">
        <v>301.97601047400155</v>
      </c>
    </row>
    <row r="3414" spans="2:7" ht="15" hidden="1" outlineLevel="2">
      <c r="B3414" s="2889" t="s">
        <v>1645</v>
      </c>
      <c r="C3414" s="2889" t="s">
        <v>1451</v>
      </c>
      <c r="D3414" s="2889" t="s">
        <v>1105</v>
      </c>
      <c r="E3414" s="2889" t="s">
        <v>1420</v>
      </c>
      <c r="F3414" s="3039">
        <v>5.4695411285579656E-2</v>
      </c>
      <c r="G3414" s="2890">
        <v>230.68085301253305</v>
      </c>
    </row>
    <row r="3415" spans="2:7" ht="15" hidden="1" outlineLevel="2">
      <c r="B3415" s="2889" t="s">
        <v>1646</v>
      </c>
      <c r="C3415" s="2889" t="s">
        <v>1451</v>
      </c>
      <c r="D3415" s="2889" t="s">
        <v>1105</v>
      </c>
      <c r="E3415" s="2889" t="s">
        <v>1420</v>
      </c>
      <c r="F3415" s="3039">
        <v>6.4204122836250856E-3</v>
      </c>
      <c r="G3415" s="2890">
        <v>27.07844479771374</v>
      </c>
    </row>
    <row r="3416" spans="2:7" ht="15" hidden="1" outlineLevel="2">
      <c r="B3416" s="2889" t="s">
        <v>1647</v>
      </c>
      <c r="C3416" s="2889" t="s">
        <v>1451</v>
      </c>
      <c r="D3416" s="2889" t="s">
        <v>1105</v>
      </c>
      <c r="E3416" s="2889" t="s">
        <v>1420</v>
      </c>
      <c r="F3416" s="3039">
        <v>2.9257580851434297E-3</v>
      </c>
      <c r="G3416" s="2890">
        <v>12.339536683638533</v>
      </c>
    </row>
    <row r="3417" spans="2:7" ht="15" hidden="1" outlineLevel="2">
      <c r="B3417" s="2889" t="s">
        <v>1648</v>
      </c>
      <c r="C3417" s="2889" t="s">
        <v>1451</v>
      </c>
      <c r="D3417" s="2889" t="s">
        <v>1105</v>
      </c>
      <c r="E3417" s="2889" t="s">
        <v>1420</v>
      </c>
      <c r="F3417" s="3039">
        <v>1.219064613819287E-3</v>
      </c>
      <c r="G3417" s="2890">
        <v>5.141476151490683</v>
      </c>
    </row>
    <row r="3418" spans="2:7" ht="15" hidden="1" outlineLevel="2">
      <c r="B3418" s="2889" t="s">
        <v>1649</v>
      </c>
      <c r="C3418" s="2889" t="s">
        <v>1451</v>
      </c>
      <c r="D3418" s="2889" t="s">
        <v>1105</v>
      </c>
      <c r="E3418" s="2889" t="s">
        <v>1420</v>
      </c>
      <c r="F3418" s="3039">
        <v>5.4451602495098712E-3</v>
      </c>
      <c r="G3418" s="2890">
        <v>22.965261052412146</v>
      </c>
    </row>
    <row r="3419" spans="2:7" ht="15" hidden="1" outlineLevel="2">
      <c r="B3419" s="2889" t="s">
        <v>1650</v>
      </c>
      <c r="C3419" s="2889" t="s">
        <v>1451</v>
      </c>
      <c r="D3419" s="2889" t="s">
        <v>1105</v>
      </c>
      <c r="E3419" s="2889" t="s">
        <v>1420</v>
      </c>
      <c r="F3419" s="2890">
        <v>1.2271918174877128E-2</v>
      </c>
      <c r="G3419" s="2890">
        <v>51.75753682288606</v>
      </c>
    </row>
    <row r="3420" spans="2:7" ht="15" hidden="1" outlineLevel="2">
      <c r="B3420" s="2889" t="s">
        <v>1651</v>
      </c>
      <c r="C3420" s="2889" t="s">
        <v>1451</v>
      </c>
      <c r="D3420" s="2889" t="s">
        <v>1105</v>
      </c>
      <c r="E3420" s="2889" t="s">
        <v>1420</v>
      </c>
      <c r="F3420" s="2890">
        <v>1.06465150052929E-2</v>
      </c>
      <c r="G3420" s="2890">
        <v>44.902228597148998</v>
      </c>
    </row>
    <row r="3421" spans="2:7" ht="15" hidden="1" outlineLevel="2">
      <c r="B3421" s="2889" t="s">
        <v>1652</v>
      </c>
      <c r="C3421" s="2889" t="s">
        <v>1451</v>
      </c>
      <c r="D3421" s="2889" t="s">
        <v>1105</v>
      </c>
      <c r="E3421" s="2889" t="s">
        <v>1420</v>
      </c>
      <c r="F3421" s="3039">
        <v>6.664224954197418E-3</v>
      </c>
      <c r="G3421" s="2890">
        <v>28.106729435282233</v>
      </c>
    </row>
    <row r="3422" spans="2:7" ht="15" hidden="1" outlineLevel="2">
      <c r="B3422" s="2889" t="s">
        <v>1653</v>
      </c>
      <c r="C3422" s="2889" t="s">
        <v>1451</v>
      </c>
      <c r="D3422" s="2889" t="s">
        <v>1105</v>
      </c>
      <c r="E3422" s="2889" t="s">
        <v>1420</v>
      </c>
      <c r="F3422" s="2890">
        <v>5.1688382856910568E-2</v>
      </c>
      <c r="G3422" s="2890">
        <v>217.9985297460419</v>
      </c>
    </row>
    <row r="3423" spans="2:7" ht="15" hidden="1" outlineLevel="2">
      <c r="B3423" s="2889" t="s">
        <v>1407</v>
      </c>
      <c r="C3423" s="2889" t="s">
        <v>1452</v>
      </c>
      <c r="D3423" s="2889" t="s">
        <v>1105</v>
      </c>
      <c r="E3423" s="2889" t="s">
        <v>1420</v>
      </c>
      <c r="F3423" s="2890">
        <v>3.9081835497185545E-3</v>
      </c>
      <c r="G3423" s="2890">
        <v>26.115864471802386</v>
      </c>
    </row>
    <row r="3424" spans="2:7" ht="15" hidden="1" outlineLevel="2">
      <c r="B3424" s="2889" t="s">
        <v>1631</v>
      </c>
      <c r="C3424" s="2889" t="s">
        <v>1452</v>
      </c>
      <c r="D3424" s="2889" t="s">
        <v>1105</v>
      </c>
      <c r="E3424" s="2889" t="s">
        <v>1420</v>
      </c>
      <c r="F3424" s="2890">
        <v>3.9622987548885796E-2</v>
      </c>
      <c r="G3424" s="2890">
        <v>264.77450172930423</v>
      </c>
    </row>
    <row r="3425" spans="2:7" ht="15" hidden="1" outlineLevel="2">
      <c r="B3425" s="2889" t="s">
        <v>1632</v>
      </c>
      <c r="C3425" s="2889" t="s">
        <v>1452</v>
      </c>
      <c r="D3425" s="2889" t="s">
        <v>1105</v>
      </c>
      <c r="E3425" s="2889" t="s">
        <v>1420</v>
      </c>
      <c r="F3425" s="2890">
        <v>6.0606933308219903E-2</v>
      </c>
      <c r="G3425" s="2890">
        <v>404.99647378806412</v>
      </c>
    </row>
    <row r="3426" spans="2:7" ht="15" hidden="1" outlineLevel="2">
      <c r="B3426" s="2889" t="s">
        <v>1633</v>
      </c>
      <c r="C3426" s="2889" t="s">
        <v>1452</v>
      </c>
      <c r="D3426" s="2889" t="s">
        <v>1105</v>
      </c>
      <c r="E3426" s="2889" t="s">
        <v>1420</v>
      </c>
      <c r="F3426" s="2890">
        <v>2.2246598962176361E-3</v>
      </c>
      <c r="G3426" s="2890">
        <v>14.865940653694253</v>
      </c>
    </row>
    <row r="3427" spans="2:7" ht="15" hidden="1" outlineLevel="2">
      <c r="B3427" s="2889" t="s">
        <v>1634</v>
      </c>
      <c r="C3427" s="2889" t="s">
        <v>1452</v>
      </c>
      <c r="D3427" s="2889" t="s">
        <v>1105</v>
      </c>
      <c r="E3427" s="2889" t="s">
        <v>1420</v>
      </c>
      <c r="F3427" s="2890">
        <v>1.5632741809808526E-3</v>
      </c>
      <c r="G3427" s="2890">
        <v>10.446335719315398</v>
      </c>
    </row>
    <row r="3428" spans="2:7" ht="15" hidden="1" outlineLevel="2">
      <c r="B3428" s="2889" t="s">
        <v>1635</v>
      </c>
      <c r="C3428" s="2889" t="s">
        <v>1452</v>
      </c>
      <c r="D3428" s="2889" t="s">
        <v>1105</v>
      </c>
      <c r="E3428" s="2889" t="s">
        <v>1420</v>
      </c>
      <c r="F3428" s="2890">
        <v>9.9809027847814029E-3</v>
      </c>
      <c r="G3428" s="2890">
        <v>66.695846589803509</v>
      </c>
    </row>
    <row r="3429" spans="2:7" ht="15" hidden="1" outlineLevel="2">
      <c r="B3429" s="2889" t="s">
        <v>1636</v>
      </c>
      <c r="C3429" s="2889" t="s">
        <v>1452</v>
      </c>
      <c r="D3429" s="2889" t="s">
        <v>1105</v>
      </c>
      <c r="E3429" s="2889" t="s">
        <v>1420</v>
      </c>
      <c r="F3429" s="2890">
        <v>3.8480600808703091E-3</v>
      </c>
      <c r="G3429" s="2890">
        <v>25.714071218799624</v>
      </c>
    </row>
    <row r="3430" spans="2:7" ht="15" hidden="1" outlineLevel="2">
      <c r="B3430" s="2889" t="s">
        <v>1637</v>
      </c>
      <c r="C3430" s="2889" t="s">
        <v>1452</v>
      </c>
      <c r="D3430" s="2889" t="s">
        <v>1105</v>
      </c>
      <c r="E3430" s="2889" t="s">
        <v>1420</v>
      </c>
      <c r="F3430" s="2890">
        <v>4.5695691928592371E-3</v>
      </c>
      <c r="G3430" s="2890">
        <v>30.535455912716497</v>
      </c>
    </row>
    <row r="3431" spans="2:7" ht="15" hidden="1" outlineLevel="2">
      <c r="B3431" s="2889" t="s">
        <v>1638</v>
      </c>
      <c r="C3431" s="2889" t="s">
        <v>1452</v>
      </c>
      <c r="D3431" s="2889" t="s">
        <v>1105</v>
      </c>
      <c r="E3431" s="2889" t="s">
        <v>1420</v>
      </c>
      <c r="F3431" s="2890">
        <v>2.8259171894739529E-3</v>
      </c>
      <c r="G3431" s="2890">
        <v>18.883761940652953</v>
      </c>
    </row>
    <row r="3432" spans="2:7" ht="15" hidden="1" outlineLevel="2">
      <c r="B3432" s="2889" t="s">
        <v>1639</v>
      </c>
      <c r="C3432" s="2889" t="s">
        <v>1452</v>
      </c>
      <c r="D3432" s="2889" t="s">
        <v>1105</v>
      </c>
      <c r="E3432" s="2889" t="s">
        <v>1420</v>
      </c>
      <c r="F3432" s="2890">
        <v>1.4069465547469446E-2</v>
      </c>
      <c r="G3432" s="2890">
        <v>94.016956601532954</v>
      </c>
    </row>
    <row r="3433" spans="2:7" ht="15" hidden="1" outlineLevel="2">
      <c r="B3433" s="2889" t="s">
        <v>1640</v>
      </c>
      <c r="C3433" s="2889" t="s">
        <v>1452</v>
      </c>
      <c r="D3433" s="2889" t="s">
        <v>1105</v>
      </c>
      <c r="E3433" s="2889" t="s">
        <v>1420</v>
      </c>
      <c r="F3433" s="2890">
        <v>2.1044068912638215E-3</v>
      </c>
      <c r="G3433" s="2890">
        <v>14.062372371045388</v>
      </c>
    </row>
    <row r="3434" spans="2:7" ht="15" hidden="1" outlineLevel="2">
      <c r="B3434" s="2889" t="s">
        <v>1641</v>
      </c>
      <c r="C3434" s="2889" t="s">
        <v>1452</v>
      </c>
      <c r="D3434" s="2889" t="s">
        <v>1105</v>
      </c>
      <c r="E3434" s="2889" t="s">
        <v>1420</v>
      </c>
      <c r="F3434" s="2890">
        <v>1.3528335643395643E-2</v>
      </c>
      <c r="G3434" s="2890">
        <v>90.401026543620958</v>
      </c>
    </row>
    <row r="3435" spans="2:7" ht="15" hidden="1" outlineLevel="2">
      <c r="B3435" s="2889" t="s">
        <v>1642</v>
      </c>
      <c r="C3435" s="2889" t="s">
        <v>1452</v>
      </c>
      <c r="D3435" s="2889" t="s">
        <v>1105</v>
      </c>
      <c r="E3435" s="2889" t="s">
        <v>1420</v>
      </c>
      <c r="F3435" s="2890">
        <v>3.5955287988522461E-2</v>
      </c>
      <c r="G3435" s="2890">
        <v>240.26573656140948</v>
      </c>
    </row>
    <row r="3436" spans="2:7" ht="15" hidden="1" outlineLevel="2">
      <c r="B3436" s="2889" t="s">
        <v>1643</v>
      </c>
      <c r="C3436" s="2889" t="s">
        <v>1452</v>
      </c>
      <c r="D3436" s="2889" t="s">
        <v>1105</v>
      </c>
      <c r="E3436" s="2889" t="s">
        <v>1420</v>
      </c>
      <c r="F3436" s="2890">
        <v>2.2260233424271467E-3</v>
      </c>
      <c r="G3436" s="2890">
        <v>14.875046195226567</v>
      </c>
    </row>
    <row r="3437" spans="2:7" ht="15" hidden="1" outlineLevel="2">
      <c r="B3437" s="2889" t="s">
        <v>1644</v>
      </c>
      <c r="C3437" s="2889" t="s">
        <v>1452</v>
      </c>
      <c r="D3437" s="2889" t="s">
        <v>1105</v>
      </c>
      <c r="E3437" s="2889" t="s">
        <v>1420</v>
      </c>
      <c r="F3437" s="2890">
        <v>5.2970946551511126E-2</v>
      </c>
      <c r="G3437" s="2890">
        <v>353.97037231175739</v>
      </c>
    </row>
    <row r="3438" spans="2:7" ht="15" hidden="1" outlineLevel="2">
      <c r="B3438" s="2889" t="s">
        <v>1645</v>
      </c>
      <c r="C3438" s="2889" t="s">
        <v>1452</v>
      </c>
      <c r="D3438" s="2889" t="s">
        <v>1105</v>
      </c>
      <c r="E3438" s="2889" t="s">
        <v>1420</v>
      </c>
      <c r="F3438" s="2890">
        <v>4.046472867951504E-2</v>
      </c>
      <c r="G3438" s="2890">
        <v>270.39956327360318</v>
      </c>
    </row>
    <row r="3439" spans="2:7" ht="15" hidden="1" outlineLevel="2">
      <c r="B3439" s="2889" t="s">
        <v>1646</v>
      </c>
      <c r="C3439" s="2889" t="s">
        <v>1452</v>
      </c>
      <c r="D3439" s="2889" t="s">
        <v>1105</v>
      </c>
      <c r="E3439" s="2889" t="s">
        <v>1420</v>
      </c>
      <c r="F3439" s="2890">
        <v>4.7499463464159217E-3</v>
      </c>
      <c r="G3439" s="2890">
        <v>31.740795516228921</v>
      </c>
    </row>
    <row r="3440" spans="2:7" ht="15" hidden="1" outlineLevel="2">
      <c r="B3440" s="2889" t="s">
        <v>1647</v>
      </c>
      <c r="C3440" s="2889" t="s">
        <v>1452</v>
      </c>
      <c r="D3440" s="2889" t="s">
        <v>1105</v>
      </c>
      <c r="E3440" s="2889" t="s">
        <v>1420</v>
      </c>
      <c r="F3440" s="2890">
        <v>2.1645316467214298E-3</v>
      </c>
      <c r="G3440" s="2890">
        <v>14.464162998338544</v>
      </c>
    </row>
    <row r="3441" spans="2:7" ht="15" hidden="1" outlineLevel="2">
      <c r="B3441" s="2889" t="s">
        <v>1648</v>
      </c>
      <c r="C3441" s="2889" t="s">
        <v>1452</v>
      </c>
      <c r="D3441" s="2889" t="s">
        <v>1105</v>
      </c>
      <c r="E3441" s="2889" t="s">
        <v>1420</v>
      </c>
      <c r="F3441" s="2890">
        <v>9.0188886595263186E-4</v>
      </c>
      <c r="G3441" s="2890">
        <v>6.0267338502080481</v>
      </c>
    </row>
    <row r="3442" spans="2:7" ht="15" hidden="1" outlineLevel="2">
      <c r="B3442" s="2889" t="s">
        <v>1649</v>
      </c>
      <c r="C3442" s="2889" t="s">
        <v>1452</v>
      </c>
      <c r="D3442" s="2889" t="s">
        <v>1105</v>
      </c>
      <c r="E3442" s="2889" t="s">
        <v>1420</v>
      </c>
      <c r="F3442" s="3039">
        <v>4.0284377748685705E-3</v>
      </c>
      <c r="G3442" s="2890">
        <v>26.919403110879923</v>
      </c>
    </row>
    <row r="3443" spans="2:7" ht="15" hidden="1" outlineLevel="2">
      <c r="B3443" s="2889" t="s">
        <v>1650</v>
      </c>
      <c r="C3443" s="2889" t="s">
        <v>1452</v>
      </c>
      <c r="D3443" s="2889" t="s">
        <v>1105</v>
      </c>
      <c r="E3443" s="2889" t="s">
        <v>1420</v>
      </c>
      <c r="F3443" s="3039">
        <v>9.0790144571183187E-3</v>
      </c>
      <c r="G3443" s="2890">
        <v>60.669131917008968</v>
      </c>
    </row>
    <row r="3444" spans="2:7" ht="15" hidden="1" outlineLevel="2">
      <c r="B3444" s="2889" t="s">
        <v>1651</v>
      </c>
      <c r="C3444" s="2889" t="s">
        <v>1452</v>
      </c>
      <c r="D3444" s="2889" t="s">
        <v>1105</v>
      </c>
      <c r="E3444" s="2889" t="s">
        <v>1420</v>
      </c>
      <c r="F3444" s="3039">
        <v>7.8764943278680898E-3</v>
      </c>
      <c r="G3444" s="2890">
        <v>52.633471673695801</v>
      </c>
    </row>
    <row r="3445" spans="2:7" ht="15" hidden="1" outlineLevel="2">
      <c r="B3445" s="2889" t="s">
        <v>1652</v>
      </c>
      <c r="C3445" s="2889" t="s">
        <v>1452</v>
      </c>
      <c r="D3445" s="2889" t="s">
        <v>1105</v>
      </c>
      <c r="E3445" s="2889" t="s">
        <v>1420</v>
      </c>
      <c r="F3445" s="3039">
        <v>4.9303266896477292E-3</v>
      </c>
      <c r="G3445" s="2890">
        <v>32.946152561838986</v>
      </c>
    </row>
    <row r="3446" spans="2:7" ht="15" hidden="1" outlineLevel="2">
      <c r="B3446" s="2889" t="s">
        <v>1653</v>
      </c>
      <c r="C3446" s="2889" t="s">
        <v>1452</v>
      </c>
      <c r="D3446" s="2889" t="s">
        <v>1105</v>
      </c>
      <c r="E3446" s="2889" t="s">
        <v>1420</v>
      </c>
      <c r="F3446" s="3039">
        <v>3.8240056055927264E-2</v>
      </c>
      <c r="G3446" s="2890">
        <v>255.53358683384806</v>
      </c>
    </row>
    <row r="3447" spans="2:7" ht="15" hidden="1" outlineLevel="2">
      <c r="B3447" s="2889" t="s">
        <v>1407</v>
      </c>
      <c r="C3447" s="2889" t="s">
        <v>1453</v>
      </c>
      <c r="D3447" s="2889" t="s">
        <v>1105</v>
      </c>
      <c r="E3447" s="2889" t="s">
        <v>1420</v>
      </c>
      <c r="F3447" s="3039">
        <v>6.8456794077263764E-3</v>
      </c>
      <c r="G3447" s="2890">
        <v>32.442423705899067</v>
      </c>
    </row>
    <row r="3448" spans="2:7" ht="15" hidden="1" outlineLevel="2">
      <c r="B3448" s="2889" t="s">
        <v>1631</v>
      </c>
      <c r="C3448" s="2889" t="s">
        <v>1453</v>
      </c>
      <c r="D3448" s="2889" t="s">
        <v>1105</v>
      </c>
      <c r="E3448" s="2889" t="s">
        <v>1420</v>
      </c>
      <c r="F3448" s="2890">
        <v>6.940462645987458E-2</v>
      </c>
      <c r="G3448" s="2890">
        <v>328.91617569000817</v>
      </c>
    </row>
    <row r="3449" spans="2:7" ht="15" hidden="1" outlineLevel="2">
      <c r="B3449" s="2889" t="s">
        <v>1632</v>
      </c>
      <c r="C3449" s="2889" t="s">
        <v>1453</v>
      </c>
      <c r="D3449" s="2889" t="s">
        <v>1105</v>
      </c>
      <c r="E3449" s="2889" t="s">
        <v>1420</v>
      </c>
      <c r="F3449" s="2890">
        <v>0.10616070306572964</v>
      </c>
      <c r="G3449" s="2890">
        <v>503.10715499542187</v>
      </c>
    </row>
    <row r="3450" spans="2:7" ht="15" hidden="1" outlineLevel="2">
      <c r="B3450" s="2889" t="s">
        <v>1633</v>
      </c>
      <c r="C3450" s="2889" t="s">
        <v>1453</v>
      </c>
      <c r="D3450" s="2889" t="s">
        <v>1105</v>
      </c>
      <c r="E3450" s="2889" t="s">
        <v>1420</v>
      </c>
      <c r="F3450" s="2890">
        <v>3.8967695134035389E-3</v>
      </c>
      <c r="G3450" s="2890">
        <v>18.467233775082786</v>
      </c>
    </row>
    <row r="3451" spans="2:7" ht="15" hidden="1" outlineLevel="2">
      <c r="B3451" s="2889" t="s">
        <v>1634</v>
      </c>
      <c r="C3451" s="2889" t="s">
        <v>1453</v>
      </c>
      <c r="D3451" s="2889" t="s">
        <v>1105</v>
      </c>
      <c r="E3451" s="2889" t="s">
        <v>1420</v>
      </c>
      <c r="F3451" s="2890">
        <v>2.7382725438853317E-3</v>
      </c>
      <c r="G3451" s="2890">
        <v>12.976966865629823</v>
      </c>
    </row>
    <row r="3452" spans="2:7" ht="15" hidden="1" outlineLevel="2">
      <c r="B3452" s="2889" t="s">
        <v>1635</v>
      </c>
      <c r="C3452" s="2889" t="s">
        <v>1453</v>
      </c>
      <c r="D3452" s="2889" t="s">
        <v>1105</v>
      </c>
      <c r="E3452" s="2889" t="s">
        <v>1420</v>
      </c>
      <c r="F3452" s="2890">
        <v>1.7482808254073539E-2</v>
      </c>
      <c r="G3452" s="2890">
        <v>82.85299930405678</v>
      </c>
    </row>
    <row r="3453" spans="2:7" ht="15" hidden="1" outlineLevel="2">
      <c r="B3453" s="2889" t="s">
        <v>1636</v>
      </c>
      <c r="C3453" s="2889" t="s">
        <v>1453</v>
      </c>
      <c r="D3453" s="2889" t="s">
        <v>1105</v>
      </c>
      <c r="E3453" s="2889" t="s">
        <v>1420</v>
      </c>
      <c r="F3453" s="2890">
        <v>6.7403599914786401E-3</v>
      </c>
      <c r="G3453" s="2890">
        <v>31.94330560274031</v>
      </c>
    </row>
    <row r="3454" spans="2:7" ht="15" hidden="1" outlineLevel="2">
      <c r="B3454" s="2889" t="s">
        <v>1637</v>
      </c>
      <c r="C3454" s="2889" t="s">
        <v>1453</v>
      </c>
      <c r="D3454" s="2889" t="s">
        <v>1105</v>
      </c>
      <c r="E3454" s="2889" t="s">
        <v>1420</v>
      </c>
      <c r="F3454" s="2890">
        <v>8.0041797070417534E-3</v>
      </c>
      <c r="G3454" s="2890">
        <v>37.932690867465752</v>
      </c>
    </row>
    <row r="3455" spans="2:7" ht="15" hidden="1" outlineLevel="2">
      <c r="B3455" s="2889" t="s">
        <v>1638</v>
      </c>
      <c r="C3455" s="2889" t="s">
        <v>1453</v>
      </c>
      <c r="D3455" s="2889" t="s">
        <v>1105</v>
      </c>
      <c r="E3455" s="2889" t="s">
        <v>1420</v>
      </c>
      <c r="F3455" s="2890">
        <v>4.9499528738813367E-3</v>
      </c>
      <c r="G3455" s="2890">
        <v>23.458376829344239</v>
      </c>
    </row>
    <row r="3456" spans="2:7" ht="15" hidden="1" outlineLevel="2">
      <c r="B3456" s="2889" t="s">
        <v>1639</v>
      </c>
      <c r="C3456" s="2889" t="s">
        <v>1453</v>
      </c>
      <c r="D3456" s="2889" t="s">
        <v>1105</v>
      </c>
      <c r="E3456" s="2889" t="s">
        <v>1420</v>
      </c>
      <c r="F3456" s="2890">
        <v>2.4644418818184098E-2</v>
      </c>
      <c r="G3456" s="2890">
        <v>116.79278747660922</v>
      </c>
    </row>
    <row r="3457" spans="2:7" ht="15" hidden="1" outlineLevel="2">
      <c r="B3457" s="2889" t="s">
        <v>1640</v>
      </c>
      <c r="C3457" s="2889" t="s">
        <v>1453</v>
      </c>
      <c r="D3457" s="2889" t="s">
        <v>1105</v>
      </c>
      <c r="E3457" s="2889" t="s">
        <v>1420</v>
      </c>
      <c r="F3457" s="2890">
        <v>3.6861342594498594E-3</v>
      </c>
      <c r="G3457" s="2890">
        <v>17.468984397627455</v>
      </c>
    </row>
    <row r="3458" spans="2:7" ht="15" hidden="1" outlineLevel="2">
      <c r="B3458" s="2889" t="s">
        <v>1641</v>
      </c>
      <c r="C3458" s="2889" t="s">
        <v>1453</v>
      </c>
      <c r="D3458" s="2889" t="s">
        <v>1105</v>
      </c>
      <c r="E3458" s="2889" t="s">
        <v>1420</v>
      </c>
      <c r="F3458" s="2890">
        <v>2.3696574642381348E-2</v>
      </c>
      <c r="G3458" s="2890">
        <v>112.30064206016809</v>
      </c>
    </row>
    <row r="3459" spans="2:7" ht="15" hidden="1" outlineLevel="2">
      <c r="B3459" s="2889" t="s">
        <v>1642</v>
      </c>
      <c r="C3459" s="2889" t="s">
        <v>1453</v>
      </c>
      <c r="D3459" s="2889" t="s">
        <v>1105</v>
      </c>
      <c r="E3459" s="2889" t="s">
        <v>1420</v>
      </c>
      <c r="F3459" s="2890">
        <v>6.2980223819647158E-2</v>
      </c>
      <c r="G3459" s="2890">
        <v>298.47021150601103</v>
      </c>
    </row>
    <row r="3460" spans="2:7" ht="15" hidden="1" outlineLevel="2">
      <c r="B3460" s="2889" t="s">
        <v>1643</v>
      </c>
      <c r="C3460" s="2889" t="s">
        <v>1453</v>
      </c>
      <c r="D3460" s="2889" t="s">
        <v>1105</v>
      </c>
      <c r="E3460" s="2889" t="s">
        <v>1420</v>
      </c>
      <c r="F3460" s="2890">
        <v>3.8991571239832762E-3</v>
      </c>
      <c r="G3460" s="2890">
        <v>18.478544330353166</v>
      </c>
    </row>
    <row r="3461" spans="2:7" ht="15" hidden="1" outlineLevel="2">
      <c r="B3461" s="2889" t="s">
        <v>1644</v>
      </c>
      <c r="C3461" s="2889" t="s">
        <v>1453</v>
      </c>
      <c r="D3461" s="2889" t="s">
        <v>1105</v>
      </c>
      <c r="E3461" s="2889" t="s">
        <v>1420</v>
      </c>
      <c r="F3461" s="2890">
        <v>9.2785227636794421E-2</v>
      </c>
      <c r="G3461" s="2890">
        <v>439.71943080230926</v>
      </c>
    </row>
    <row r="3462" spans="2:7" ht="15" hidden="1" outlineLevel="2">
      <c r="B3462" s="2889" t="s">
        <v>1645</v>
      </c>
      <c r="C3462" s="2889" t="s">
        <v>1453</v>
      </c>
      <c r="D3462" s="2889" t="s">
        <v>1105</v>
      </c>
      <c r="E3462" s="2889" t="s">
        <v>1420</v>
      </c>
      <c r="F3462" s="2890">
        <v>7.0879094562371708E-2</v>
      </c>
      <c r="G3462" s="2890">
        <v>335.90399297824308</v>
      </c>
    </row>
    <row r="3463" spans="2:7" ht="15" hidden="1" outlineLevel="2">
      <c r="B3463" s="2889" t="s">
        <v>1646</v>
      </c>
      <c r="C3463" s="2889" t="s">
        <v>1453</v>
      </c>
      <c r="D3463" s="2889" t="s">
        <v>1105</v>
      </c>
      <c r="E3463" s="2889" t="s">
        <v>1420</v>
      </c>
      <c r="F3463" s="2890">
        <v>8.3201323583173697E-3</v>
      </c>
      <c r="G3463" s="2890">
        <v>39.430046143649669</v>
      </c>
    </row>
    <row r="3464" spans="2:7" ht="15" hidden="1" outlineLevel="2">
      <c r="B3464" s="2889" t="s">
        <v>1647</v>
      </c>
      <c r="C3464" s="2889" t="s">
        <v>1453</v>
      </c>
      <c r="D3464" s="2889" t="s">
        <v>1105</v>
      </c>
      <c r="E3464" s="2889" t="s">
        <v>1420</v>
      </c>
      <c r="F3464" s="2890">
        <v>3.7914516929596844E-3</v>
      </c>
      <c r="G3464" s="2890">
        <v>17.968112415058503</v>
      </c>
    </row>
    <row r="3465" spans="2:7" ht="15" hidden="1" outlineLevel="2">
      <c r="B3465" s="2889" t="s">
        <v>1648</v>
      </c>
      <c r="C3465" s="2889" t="s">
        <v>1453</v>
      </c>
      <c r="D3465" s="2889" t="s">
        <v>1105</v>
      </c>
      <c r="E3465" s="2889" t="s">
        <v>1420</v>
      </c>
      <c r="F3465" s="2890">
        <v>1.5797708556097678E-3</v>
      </c>
      <c r="G3465" s="2890">
        <v>7.4867087962662477</v>
      </c>
    </row>
    <row r="3466" spans="2:7" ht="15" hidden="1" outlineLevel="2">
      <c r="B3466" s="2889" t="s">
        <v>1649</v>
      </c>
      <c r="C3466" s="2889" t="s">
        <v>1453</v>
      </c>
      <c r="D3466" s="2889" t="s">
        <v>1105</v>
      </c>
      <c r="E3466" s="2889" t="s">
        <v>1420</v>
      </c>
      <c r="F3466" s="2890">
        <v>7.0563124194715377E-3</v>
      </c>
      <c r="G3466" s="2890">
        <v>33.440652983807361</v>
      </c>
    </row>
    <row r="3467" spans="2:7" ht="15" hidden="1" outlineLevel="2">
      <c r="B3467" s="2889" t="s">
        <v>1650</v>
      </c>
      <c r="C3467" s="2889" t="s">
        <v>1453</v>
      </c>
      <c r="D3467" s="2889" t="s">
        <v>1105</v>
      </c>
      <c r="E3467" s="2889" t="s">
        <v>1420</v>
      </c>
      <c r="F3467" s="2890">
        <v>1.590301931897304E-2</v>
      </c>
      <c r="G3467" s="2890">
        <v>75.366171073811458</v>
      </c>
    </row>
    <row r="3468" spans="2:7" ht="15" hidden="1" outlineLevel="2">
      <c r="B3468" s="2889" t="s">
        <v>1651</v>
      </c>
      <c r="C3468" s="2889" t="s">
        <v>1453</v>
      </c>
      <c r="D3468" s="2889" t="s">
        <v>1105</v>
      </c>
      <c r="E3468" s="2889" t="s">
        <v>1420</v>
      </c>
      <c r="F3468" s="2890">
        <v>1.3796667924116789E-2</v>
      </c>
      <c r="G3468" s="2890">
        <v>65.383949421575181</v>
      </c>
    </row>
    <row r="3469" spans="2:7" ht="15" hidden="1" outlineLevel="2">
      <c r="B3469" s="2889" t="s">
        <v>1652</v>
      </c>
      <c r="C3469" s="2889" t="s">
        <v>1453</v>
      </c>
      <c r="D3469" s="2889" t="s">
        <v>1105</v>
      </c>
      <c r="E3469" s="2889" t="s">
        <v>1420</v>
      </c>
      <c r="F3469" s="2890">
        <v>8.6360862335731047E-3</v>
      </c>
      <c r="G3469" s="2890">
        <v>40.927352772197814</v>
      </c>
    </row>
    <row r="3470" spans="2:7" ht="15" hidden="1" outlineLevel="2">
      <c r="B3470" s="2889" t="s">
        <v>1653</v>
      </c>
      <c r="C3470" s="2889" t="s">
        <v>1453</v>
      </c>
      <c r="D3470" s="2889" t="s">
        <v>1105</v>
      </c>
      <c r="E3470" s="2889" t="s">
        <v>1420</v>
      </c>
      <c r="F3470" s="2890">
        <v>6.6982327101831968E-2</v>
      </c>
      <c r="G3470" s="2890">
        <v>317.436795686994</v>
      </c>
    </row>
    <row r="3471" spans="2:7" ht="15" hidden="1" outlineLevel="2">
      <c r="B3471" s="2889" t="s">
        <v>1407</v>
      </c>
      <c r="C3471" s="2889" t="s">
        <v>1454</v>
      </c>
      <c r="D3471" s="2889" t="s">
        <v>1105</v>
      </c>
      <c r="E3471" s="2889" t="s">
        <v>1420</v>
      </c>
      <c r="F3471" s="2890">
        <v>1.709327559185819E-4</v>
      </c>
      <c r="G3471" s="2890">
        <v>0.4385482812485953</v>
      </c>
    </row>
    <row r="3472" spans="2:7" ht="15" hidden="1" outlineLevel="2">
      <c r="B3472" s="2889" t="s">
        <v>1631</v>
      </c>
      <c r="C3472" s="2889" t="s">
        <v>1454</v>
      </c>
      <c r="D3472" s="2889" t="s">
        <v>1105</v>
      </c>
      <c r="E3472" s="2889" t="s">
        <v>1420</v>
      </c>
      <c r="F3472" s="2890">
        <v>1.7329953949131356E-3</v>
      </c>
      <c r="G3472" s="2890">
        <v>4.4462087468212346</v>
      </c>
    </row>
    <row r="3473" spans="2:7" ht="15" hidden="1" outlineLevel="2">
      <c r="B3473" s="2889" t="s">
        <v>1632</v>
      </c>
      <c r="C3473" s="2889" t="s">
        <v>1454</v>
      </c>
      <c r="D3473" s="2889" t="s">
        <v>1105</v>
      </c>
      <c r="E3473" s="2889" t="s">
        <v>1420</v>
      </c>
      <c r="F3473" s="2890">
        <v>2.6507734895127254E-3</v>
      </c>
      <c r="G3473" s="2890">
        <v>6.8008713755718073</v>
      </c>
    </row>
    <row r="3474" spans="2:7" ht="15" hidden="1" outlineLevel="2">
      <c r="B3474" s="2889" t="s">
        <v>1633</v>
      </c>
      <c r="C3474" s="2889" t="s">
        <v>1454</v>
      </c>
      <c r="D3474" s="2889" t="s">
        <v>1105</v>
      </c>
      <c r="E3474" s="2889" t="s">
        <v>1420</v>
      </c>
      <c r="F3474" s="2890">
        <v>9.7300164900953034E-5</v>
      </c>
      <c r="G3474" s="2890">
        <v>0.24963536801554007</v>
      </c>
    </row>
    <row r="3475" spans="2:7" ht="15" hidden="1" outlineLevel="2">
      <c r="B3475" s="2889" t="s">
        <v>1634</v>
      </c>
      <c r="C3475" s="2889" t="s">
        <v>1454</v>
      </c>
      <c r="D3475" s="2889" t="s">
        <v>1105</v>
      </c>
      <c r="E3475" s="2889" t="s">
        <v>1420</v>
      </c>
      <c r="F3475" s="2890">
        <v>6.8373170706200536E-5</v>
      </c>
      <c r="G3475" s="2890">
        <v>0.17541944146135918</v>
      </c>
    </row>
    <row r="3476" spans="2:7" ht="15" hidden="1" outlineLevel="2">
      <c r="B3476" s="2889" t="s">
        <v>1635</v>
      </c>
      <c r="C3476" s="2889" t="s">
        <v>1454</v>
      </c>
      <c r="D3476" s="2889" t="s">
        <v>1105</v>
      </c>
      <c r="E3476" s="2889" t="s">
        <v>1420</v>
      </c>
      <c r="F3476" s="2890">
        <v>4.3653590037097157E-4</v>
      </c>
      <c r="G3476" s="2890">
        <v>1.1199843820419029</v>
      </c>
    </row>
    <row r="3477" spans="2:7" ht="15" hidden="1" outlineLevel="2">
      <c r="B3477" s="2889" t="s">
        <v>1636</v>
      </c>
      <c r="C3477" s="2889" t="s">
        <v>1454</v>
      </c>
      <c r="D3477" s="2889" t="s">
        <v>1105</v>
      </c>
      <c r="E3477" s="2889" t="s">
        <v>1420</v>
      </c>
      <c r="F3477" s="2890">
        <v>1.683031077866119E-4</v>
      </c>
      <c r="G3477" s="2890">
        <v>0.43180151628413532</v>
      </c>
    </row>
    <row r="3478" spans="2:7" ht="15" hidden="1" outlineLevel="2">
      <c r="B3478" s="2889" t="s">
        <v>1637</v>
      </c>
      <c r="C3478" s="2889" t="s">
        <v>1454</v>
      </c>
      <c r="D3478" s="2889" t="s">
        <v>1105</v>
      </c>
      <c r="E3478" s="2889" t="s">
        <v>1420</v>
      </c>
      <c r="F3478" s="2890">
        <v>1.9985973673732941E-4</v>
      </c>
      <c r="G3478" s="2890">
        <v>0.51276428174759381</v>
      </c>
    </row>
    <row r="3479" spans="2:7" ht="15" hidden="1" outlineLevel="2">
      <c r="B3479" s="2889" t="s">
        <v>1638</v>
      </c>
      <c r="C3479" s="2889" t="s">
        <v>1454</v>
      </c>
      <c r="D3479" s="2889" t="s">
        <v>1105</v>
      </c>
      <c r="E3479" s="2889" t="s">
        <v>1420</v>
      </c>
      <c r="F3479" s="2890">
        <v>1.2359750964284618E-4</v>
      </c>
      <c r="G3479" s="2890">
        <v>0.31710418957673447</v>
      </c>
    </row>
    <row r="3480" spans="2:7" ht="15" hidden="1" outlineLevel="2">
      <c r="B3480" s="2889" t="s">
        <v>1639</v>
      </c>
      <c r="C3480" s="2889" t="s">
        <v>1454</v>
      </c>
      <c r="D3480" s="2889" t="s">
        <v>1105</v>
      </c>
      <c r="E3480" s="2889" t="s">
        <v>1420</v>
      </c>
      <c r="F3480" s="2890">
        <v>6.153578796533755E-4</v>
      </c>
      <c r="G3480" s="2890">
        <v>1.5787762698812735</v>
      </c>
    </row>
    <row r="3481" spans="2:7" ht="15" hidden="1" outlineLevel="2">
      <c r="B3481" s="2889" t="s">
        <v>1640</v>
      </c>
      <c r="C3481" s="2889" t="s">
        <v>1454</v>
      </c>
      <c r="D3481" s="2889" t="s">
        <v>1105</v>
      </c>
      <c r="E3481" s="2889" t="s">
        <v>1420</v>
      </c>
      <c r="F3481" s="2890">
        <v>9.2040668484160272E-5</v>
      </c>
      <c r="G3481" s="2890">
        <v>0.23614155974119244</v>
      </c>
    </row>
    <row r="3482" spans="2:7" ht="15" hidden="1" outlineLevel="2">
      <c r="B3482" s="2889" t="s">
        <v>1641</v>
      </c>
      <c r="C3482" s="2889" t="s">
        <v>1454</v>
      </c>
      <c r="D3482" s="2889" t="s">
        <v>1105</v>
      </c>
      <c r="E3482" s="2889" t="s">
        <v>1420</v>
      </c>
      <c r="F3482" s="2890">
        <v>5.9169028018920666E-4</v>
      </c>
      <c r="G3482" s="2890">
        <v>1.518051074964208</v>
      </c>
    </row>
    <row r="3483" spans="2:7" ht="15" hidden="1" outlineLevel="2">
      <c r="B3483" s="2889" t="s">
        <v>1642</v>
      </c>
      <c r="C3483" s="2889" t="s">
        <v>1454</v>
      </c>
      <c r="D3483" s="2889" t="s">
        <v>1105</v>
      </c>
      <c r="E3483" s="2889" t="s">
        <v>1420</v>
      </c>
      <c r="F3483" s="2890">
        <v>1.5725802603472057E-3</v>
      </c>
      <c r="G3483" s="2890">
        <v>4.0346453919292884</v>
      </c>
    </row>
    <row r="3484" spans="2:7" ht="15" hidden="1" outlineLevel="2">
      <c r="B3484" s="2889" t="s">
        <v>1643</v>
      </c>
      <c r="C3484" s="2889" t="s">
        <v>1454</v>
      </c>
      <c r="D3484" s="2889" t="s">
        <v>1105</v>
      </c>
      <c r="E3484" s="2889" t="s">
        <v>1420</v>
      </c>
      <c r="F3484" s="2890">
        <v>9.7359802268702847E-5</v>
      </c>
      <c r="G3484" s="2890">
        <v>0.24978815433121657</v>
      </c>
    </row>
    <row r="3485" spans="2:7" ht="15" hidden="1" outlineLevel="2">
      <c r="B3485" s="2889" t="s">
        <v>1644</v>
      </c>
      <c r="C3485" s="2889" t="s">
        <v>1454</v>
      </c>
      <c r="D3485" s="2889" t="s">
        <v>1105</v>
      </c>
      <c r="E3485" s="2889" t="s">
        <v>1420</v>
      </c>
      <c r="F3485" s="2890">
        <v>2.3167965407913447E-3</v>
      </c>
      <c r="G3485" s="2890">
        <v>5.9440179160602913</v>
      </c>
    </row>
    <row r="3486" spans="2:7" ht="15" hidden="1" outlineLevel="2">
      <c r="B3486" s="2889" t="s">
        <v>1645</v>
      </c>
      <c r="C3486" s="2889" t="s">
        <v>1454</v>
      </c>
      <c r="D3486" s="2889" t="s">
        <v>1105</v>
      </c>
      <c r="E3486" s="2889" t="s">
        <v>1420</v>
      </c>
      <c r="F3486" s="2890">
        <v>1.7698105964725312E-3</v>
      </c>
      <c r="G3486" s="2890">
        <v>4.5406645073565439</v>
      </c>
    </row>
    <row r="3487" spans="2:7" ht="15" hidden="1" outlineLevel="2">
      <c r="B3487" s="2889" t="s">
        <v>1646</v>
      </c>
      <c r="C3487" s="2889" t="s">
        <v>1454</v>
      </c>
      <c r="D3487" s="2889" t="s">
        <v>1105</v>
      </c>
      <c r="E3487" s="2889" t="s">
        <v>1420</v>
      </c>
      <c r="F3487" s="2890">
        <v>2.0774890753981262E-4</v>
      </c>
      <c r="G3487" s="2890">
        <v>0.5330049369897959</v>
      </c>
    </row>
    <row r="3488" spans="2:7" ht="15" hidden="1" outlineLevel="2">
      <c r="B3488" s="2889" t="s">
        <v>1647</v>
      </c>
      <c r="C3488" s="2889" t="s">
        <v>1454</v>
      </c>
      <c r="D3488" s="2889" t="s">
        <v>1105</v>
      </c>
      <c r="E3488" s="2889" t="s">
        <v>1420</v>
      </c>
      <c r="F3488" s="3039">
        <v>9.4670453843990885E-5</v>
      </c>
      <c r="G3488" s="2890">
        <v>0.2428882636025779</v>
      </c>
    </row>
    <row r="3489" spans="2:7" ht="15" hidden="1" outlineLevel="2">
      <c r="B3489" s="2889" t="s">
        <v>1648</v>
      </c>
      <c r="C3489" s="2889" t="s">
        <v>1454</v>
      </c>
      <c r="D3489" s="2889" t="s">
        <v>1105</v>
      </c>
      <c r="E3489" s="2889" t="s">
        <v>1420</v>
      </c>
      <c r="F3489" s="3039">
        <v>3.9445992812686384E-5</v>
      </c>
      <c r="G3489" s="2890">
        <v>0.10120357786648831</v>
      </c>
    </row>
    <row r="3490" spans="2:7" ht="15" hidden="1" outlineLevel="2">
      <c r="B3490" s="2889" t="s">
        <v>1649</v>
      </c>
      <c r="C3490" s="2889" t="s">
        <v>1454</v>
      </c>
      <c r="D3490" s="2889" t="s">
        <v>1105</v>
      </c>
      <c r="E3490" s="2889" t="s">
        <v>1420</v>
      </c>
      <c r="F3490" s="3039">
        <v>1.761922099466127E-4</v>
      </c>
      <c r="G3490" s="2890">
        <v>0.45204233599147631</v>
      </c>
    </row>
    <row r="3491" spans="2:7" ht="15" hidden="1" outlineLevel="2">
      <c r="B3491" s="2889" t="s">
        <v>1650</v>
      </c>
      <c r="C3491" s="2889" t="s">
        <v>1454</v>
      </c>
      <c r="D3491" s="2889" t="s">
        <v>1105</v>
      </c>
      <c r="E3491" s="2889" t="s">
        <v>1420</v>
      </c>
      <c r="F3491" s="3039">
        <v>3.9708976179666405E-4</v>
      </c>
      <c r="G3491" s="2890">
        <v>1.0187823755726289</v>
      </c>
    </row>
    <row r="3492" spans="2:7" ht="15" hidden="1" outlineLevel="2">
      <c r="B3492" s="2889" t="s">
        <v>1651</v>
      </c>
      <c r="C3492" s="2889" t="s">
        <v>1454</v>
      </c>
      <c r="D3492" s="2889" t="s">
        <v>1105</v>
      </c>
      <c r="E3492" s="2889" t="s">
        <v>1420</v>
      </c>
      <c r="F3492" s="3039">
        <v>3.4449533463809984E-4</v>
      </c>
      <c r="G3492" s="2890">
        <v>0.88384441559019666</v>
      </c>
    </row>
    <row r="3493" spans="2:7" ht="15" hidden="1" outlineLevel="2">
      <c r="B3493" s="2889" t="s">
        <v>1652</v>
      </c>
      <c r="C3493" s="2889" t="s">
        <v>1454</v>
      </c>
      <c r="D3493" s="2889" t="s">
        <v>1105</v>
      </c>
      <c r="E3493" s="2889" t="s">
        <v>1420</v>
      </c>
      <c r="F3493" s="3039">
        <v>2.156382602380132E-4</v>
      </c>
      <c r="G3493" s="2890">
        <v>0.55324594012796635</v>
      </c>
    </row>
    <row r="3494" spans="2:7" ht="15" hidden="1" outlineLevel="2">
      <c r="B3494" s="2889" t="s">
        <v>1653</v>
      </c>
      <c r="C3494" s="2889" t="s">
        <v>1454</v>
      </c>
      <c r="D3494" s="2889" t="s">
        <v>1105</v>
      </c>
      <c r="E3494" s="2889" t="s">
        <v>1420</v>
      </c>
      <c r="F3494" s="3039">
        <v>1.6725092037238058E-3</v>
      </c>
      <c r="G3494" s="2890">
        <v>4.291028803047328</v>
      </c>
    </row>
    <row r="3495" spans="2:7" ht="15" hidden="1" outlineLevel="2">
      <c r="B3495" s="2889" t="s">
        <v>1407</v>
      </c>
      <c r="C3495" s="2889" t="s">
        <v>1455</v>
      </c>
      <c r="D3495" s="2889" t="s">
        <v>1105</v>
      </c>
      <c r="E3495" s="2889" t="s">
        <v>1420</v>
      </c>
      <c r="F3495" s="3039">
        <v>4.9869833710106336E-5</v>
      </c>
      <c r="G3495" s="2890">
        <v>0.40735357326601507</v>
      </c>
    </row>
    <row r="3496" spans="2:7" ht="15" hidden="1" outlineLevel="2">
      <c r="B3496" s="2889" t="s">
        <v>1631</v>
      </c>
      <c r="C3496" s="2889" t="s">
        <v>1455</v>
      </c>
      <c r="D3496" s="2889" t="s">
        <v>1105</v>
      </c>
      <c r="E3496" s="2889" t="s">
        <v>1420</v>
      </c>
      <c r="F3496" s="3039">
        <v>5.0560314801938156E-4</v>
      </c>
      <c r="G3496" s="2890">
        <v>4.1299417230520508</v>
      </c>
    </row>
    <row r="3497" spans="2:7" ht="15" hidden="1" outlineLevel="2">
      <c r="B3497" s="2889" t="s">
        <v>1632</v>
      </c>
      <c r="C3497" s="2889" t="s">
        <v>1455</v>
      </c>
      <c r="D3497" s="2889" t="s">
        <v>1105</v>
      </c>
      <c r="E3497" s="2889" t="s">
        <v>1420</v>
      </c>
      <c r="F3497" s="3039">
        <v>7.7336572515426881E-4</v>
      </c>
      <c r="G3497" s="2890">
        <v>6.3171143407926156</v>
      </c>
    </row>
    <row r="3498" spans="2:7" ht="15" hidden="1" outlineLevel="2">
      <c r="B3498" s="2889" t="s">
        <v>1633</v>
      </c>
      <c r="C3498" s="2889" t="s">
        <v>1455</v>
      </c>
      <c r="D3498" s="2889" t="s">
        <v>1105</v>
      </c>
      <c r="E3498" s="2889" t="s">
        <v>1420</v>
      </c>
      <c r="F3498" s="3039">
        <v>2.8387459149993452E-5</v>
      </c>
      <c r="G3498" s="2890">
        <v>0.23187822629461491</v>
      </c>
    </row>
    <row r="3499" spans="2:7" ht="15" hidden="1" outlineLevel="2">
      <c r="B3499" s="2889" t="s">
        <v>1634</v>
      </c>
      <c r="C3499" s="2889" t="s">
        <v>1455</v>
      </c>
      <c r="D3499" s="2889" t="s">
        <v>1105</v>
      </c>
      <c r="E3499" s="2889" t="s">
        <v>1420</v>
      </c>
      <c r="F3499" s="3039">
        <v>1.9947915176651401E-5</v>
      </c>
      <c r="G3499" s="2890">
        <v>0.16294150789387843</v>
      </c>
    </row>
    <row r="3500" spans="2:7" ht="15" hidden="1" outlineLevel="2">
      <c r="B3500" s="2889" t="s">
        <v>1635</v>
      </c>
      <c r="C3500" s="2889" t="s">
        <v>1455</v>
      </c>
      <c r="D3500" s="2889" t="s">
        <v>1105</v>
      </c>
      <c r="E3500" s="2889" t="s">
        <v>1420</v>
      </c>
      <c r="F3500" s="3039">
        <v>1.2735993078527062E-4</v>
      </c>
      <c r="G3500" s="2890">
        <v>1.0403176422910887</v>
      </c>
    </row>
    <row r="3501" spans="2:7" ht="15" hidden="1" outlineLevel="2">
      <c r="B3501" s="2889" t="s">
        <v>1636</v>
      </c>
      <c r="C3501" s="2889" t="s">
        <v>1455</v>
      </c>
      <c r="D3501" s="2889" t="s">
        <v>1105</v>
      </c>
      <c r="E3501" s="2889" t="s">
        <v>1420</v>
      </c>
      <c r="F3501" s="3039">
        <v>4.9102618847407216E-5</v>
      </c>
      <c r="G3501" s="2890">
        <v>0.40108673210333123</v>
      </c>
    </row>
    <row r="3502" spans="2:7" ht="15" hidden="1" outlineLevel="2">
      <c r="B3502" s="2889" t="s">
        <v>1637</v>
      </c>
      <c r="C3502" s="2889" t="s">
        <v>1455</v>
      </c>
      <c r="D3502" s="2889" t="s">
        <v>1105</v>
      </c>
      <c r="E3502" s="2889" t="s">
        <v>1420</v>
      </c>
      <c r="F3502" s="3039">
        <v>5.8309334389929612E-5</v>
      </c>
      <c r="G3502" s="2890">
        <v>0.47629031802753474</v>
      </c>
    </row>
    <row r="3503" spans="2:7" ht="15" hidden="1" outlineLevel="2">
      <c r="B3503" s="2889" t="s">
        <v>1638</v>
      </c>
      <c r="C3503" s="2889" t="s">
        <v>1455</v>
      </c>
      <c r="D3503" s="2889" t="s">
        <v>1105</v>
      </c>
      <c r="E3503" s="2889" t="s">
        <v>1420</v>
      </c>
      <c r="F3503" s="3039">
        <v>3.6059739073114789E-5</v>
      </c>
      <c r="G3503" s="2890">
        <v>0.29454797516755449</v>
      </c>
    </row>
    <row r="3504" spans="2:7" ht="15" hidden="1" outlineLevel="2">
      <c r="B3504" s="2889" t="s">
        <v>1639</v>
      </c>
      <c r="C3504" s="2889" t="s">
        <v>1455</v>
      </c>
      <c r="D3504" s="2889" t="s">
        <v>1105</v>
      </c>
      <c r="E3504" s="2889" t="s">
        <v>1420</v>
      </c>
      <c r="F3504" s="3039">
        <v>1.7953141964670663E-4</v>
      </c>
      <c r="G3504" s="2890">
        <v>1.4664735264849904</v>
      </c>
    </row>
    <row r="3505" spans="2:7" ht="15" hidden="1" outlineLevel="2">
      <c r="B3505" s="2889" t="s">
        <v>1640</v>
      </c>
      <c r="C3505" s="2889" t="s">
        <v>1455</v>
      </c>
      <c r="D3505" s="2889" t="s">
        <v>1105</v>
      </c>
      <c r="E3505" s="2889" t="s">
        <v>1420</v>
      </c>
      <c r="F3505" s="3039">
        <v>2.6852991774017796E-5</v>
      </c>
      <c r="G3505" s="2890">
        <v>0.21934441288145931</v>
      </c>
    </row>
    <row r="3506" spans="2:7" ht="15" hidden="1" outlineLevel="2">
      <c r="B3506" s="2889" t="s">
        <v>1641</v>
      </c>
      <c r="C3506" s="2889" t="s">
        <v>1455</v>
      </c>
      <c r="D3506" s="2889" t="s">
        <v>1105</v>
      </c>
      <c r="E3506" s="2889" t="s">
        <v>1420</v>
      </c>
      <c r="F3506" s="3039">
        <v>1.7262627052776994E-4</v>
      </c>
      <c r="G3506" s="2890">
        <v>1.410071292642699</v>
      </c>
    </row>
    <row r="3507" spans="2:7" ht="15" hidden="1" outlineLevel="2">
      <c r="B3507" s="2889" t="s">
        <v>1642</v>
      </c>
      <c r="C3507" s="2889" t="s">
        <v>1455</v>
      </c>
      <c r="D3507" s="2889" t="s">
        <v>1105</v>
      </c>
      <c r="E3507" s="2889" t="s">
        <v>1420</v>
      </c>
      <c r="F3507" s="3039">
        <v>4.5880242657735657E-4</v>
      </c>
      <c r="G3507" s="2890">
        <v>3.7476537851210465</v>
      </c>
    </row>
    <row r="3508" spans="2:7" ht="15" hidden="1" outlineLevel="2">
      <c r="B3508" s="2889" t="s">
        <v>1643</v>
      </c>
      <c r="C3508" s="2889" t="s">
        <v>1455</v>
      </c>
      <c r="D3508" s="2889" t="s">
        <v>1105</v>
      </c>
      <c r="E3508" s="2889" t="s">
        <v>1420</v>
      </c>
      <c r="F3508" s="3039">
        <v>2.8404828565524986E-5</v>
      </c>
      <c r="G3508" s="2890">
        <v>0.23202026388569311</v>
      </c>
    </row>
    <row r="3509" spans="2:7" ht="15" hidden="1" outlineLevel="2">
      <c r="B3509" s="2889" t="s">
        <v>1644</v>
      </c>
      <c r="C3509" s="2889" t="s">
        <v>1455</v>
      </c>
      <c r="D3509" s="2889" t="s">
        <v>1105</v>
      </c>
      <c r="E3509" s="2889" t="s">
        <v>1420</v>
      </c>
      <c r="F3509" s="3039">
        <v>6.7592773308463227E-4</v>
      </c>
      <c r="G3509" s="2890">
        <v>5.5212063938054987</v>
      </c>
    </row>
    <row r="3510" spans="2:7" ht="15" hidden="1" outlineLevel="2">
      <c r="B3510" s="2889" t="s">
        <v>1645</v>
      </c>
      <c r="C3510" s="2889" t="s">
        <v>1455</v>
      </c>
      <c r="D3510" s="2889" t="s">
        <v>1105</v>
      </c>
      <c r="E3510" s="2889" t="s">
        <v>1420</v>
      </c>
      <c r="F3510" s="3039">
        <v>5.1634473004307858E-4</v>
      </c>
      <c r="G3510" s="2890">
        <v>4.2176769212382297</v>
      </c>
    </row>
    <row r="3511" spans="2:7" ht="15" hidden="1" outlineLevel="2">
      <c r="B3511" s="2889" t="s">
        <v>1646</v>
      </c>
      <c r="C3511" s="2889" t="s">
        <v>1455</v>
      </c>
      <c r="D3511" s="2889" t="s">
        <v>1105</v>
      </c>
      <c r="E3511" s="2889" t="s">
        <v>1420</v>
      </c>
      <c r="F3511" s="3039">
        <v>6.061101700046418E-5</v>
      </c>
      <c r="G3511" s="2890">
        <v>0.49509134192358573</v>
      </c>
    </row>
    <row r="3512" spans="2:7" ht="15" hidden="1" outlineLevel="2">
      <c r="B3512" s="2889" t="s">
        <v>1647</v>
      </c>
      <c r="C3512" s="2889" t="s">
        <v>1455</v>
      </c>
      <c r="D3512" s="2889" t="s">
        <v>1105</v>
      </c>
      <c r="E3512" s="2889" t="s">
        <v>1420</v>
      </c>
      <c r="F3512" s="3039">
        <v>2.7620205128656482E-5</v>
      </c>
      <c r="G3512" s="2890">
        <v>0.22561112058680091</v>
      </c>
    </row>
    <row r="3513" spans="2:7" ht="15" hidden="1" outlineLevel="2">
      <c r="B3513" s="2889" t="s">
        <v>1648</v>
      </c>
      <c r="C3513" s="2889" t="s">
        <v>1455</v>
      </c>
      <c r="D3513" s="2889" t="s">
        <v>1105</v>
      </c>
      <c r="E3513" s="2889" t="s">
        <v>1420</v>
      </c>
      <c r="F3513" s="2890">
        <v>1.1508418664877356E-5</v>
      </c>
      <c r="G3513" s="2890">
        <v>9.4004700970541172E-2</v>
      </c>
    </row>
    <row r="3514" spans="2:7" ht="15" hidden="1" outlineLevel="2">
      <c r="B3514" s="2889" t="s">
        <v>1649</v>
      </c>
      <c r="C3514" s="2889" t="s">
        <v>1455</v>
      </c>
      <c r="D3514" s="2889" t="s">
        <v>1105</v>
      </c>
      <c r="E3514" s="2889" t="s">
        <v>1420</v>
      </c>
      <c r="F3514" s="2890">
        <v>5.1404283913450805E-5</v>
      </c>
      <c r="G3514" s="2890">
        <v>0.41988754857894145</v>
      </c>
    </row>
    <row r="3515" spans="2:7" ht="15" hidden="1" outlineLevel="2">
      <c r="B3515" s="2889" t="s">
        <v>1650</v>
      </c>
      <c r="C3515" s="2889" t="s">
        <v>1455</v>
      </c>
      <c r="D3515" s="2889" t="s">
        <v>1105</v>
      </c>
      <c r="E3515" s="2889" t="s">
        <v>1420</v>
      </c>
      <c r="F3515" s="2890">
        <v>1.1585141332680361E-4</v>
      </c>
      <c r="G3515" s="2890">
        <v>0.94631345768927633</v>
      </c>
    </row>
    <row r="3516" spans="2:7" ht="15" hidden="1" outlineLevel="2">
      <c r="B3516" s="2889" t="s">
        <v>1651</v>
      </c>
      <c r="C3516" s="2889" t="s">
        <v>1455</v>
      </c>
      <c r="D3516" s="2889" t="s">
        <v>1105</v>
      </c>
      <c r="E3516" s="2889" t="s">
        <v>1420</v>
      </c>
      <c r="F3516" s="2890">
        <v>1.0050694786151339E-4</v>
      </c>
      <c r="G3516" s="2890">
        <v>0.82097404928424733</v>
      </c>
    </row>
    <row r="3517" spans="2:7" ht="15" hidden="1" outlineLevel="2">
      <c r="B3517" s="2889" t="s">
        <v>1652</v>
      </c>
      <c r="C3517" s="2889" t="s">
        <v>1455</v>
      </c>
      <c r="D3517" s="2889" t="s">
        <v>1105</v>
      </c>
      <c r="E3517" s="2889" t="s">
        <v>1420</v>
      </c>
      <c r="F3517" s="2890">
        <v>6.2912714788697737E-5</v>
      </c>
      <c r="G3517" s="2890">
        <v>0.51389227736357357</v>
      </c>
    </row>
    <row r="3518" spans="2:7" ht="15" hidden="1" outlineLevel="2">
      <c r="B3518" s="2889" t="s">
        <v>1653</v>
      </c>
      <c r="C3518" s="2889" t="s">
        <v>1455</v>
      </c>
      <c r="D3518" s="2889" t="s">
        <v>1105</v>
      </c>
      <c r="E3518" s="2889" t="s">
        <v>1420</v>
      </c>
      <c r="F3518" s="2890">
        <v>4.8795706147164149E-4</v>
      </c>
      <c r="G3518" s="2890">
        <v>3.9857984037881882</v>
      </c>
    </row>
    <row r="3519" spans="2:7" ht="15" hidden="1" outlineLevel="2">
      <c r="B3519" s="2889" t="s">
        <v>1407</v>
      </c>
      <c r="C3519" s="2889" t="s">
        <v>1438</v>
      </c>
      <c r="D3519" s="2889" t="s">
        <v>1437</v>
      </c>
      <c r="E3519" s="2889" t="s">
        <v>1420</v>
      </c>
      <c r="F3519" s="2890">
        <v>1.6645027218787266E-36</v>
      </c>
      <c r="G3519" s="2890">
        <v>2.4044512537756401E-32</v>
      </c>
    </row>
    <row r="3520" spans="2:7" ht="15" hidden="1" outlineLevel="2">
      <c r="B3520" s="2889" t="s">
        <v>1631</v>
      </c>
      <c r="C3520" s="2889" t="s">
        <v>1438</v>
      </c>
      <c r="D3520" s="2889" t="s">
        <v>1437</v>
      </c>
      <c r="E3520" s="2889" t="s">
        <v>1420</v>
      </c>
      <c r="F3520" s="2890">
        <v>3.0204867505814241E-2</v>
      </c>
      <c r="G3520" s="2890">
        <v>277.51855549860068</v>
      </c>
    </row>
    <row r="3521" spans="2:7" ht="15" hidden="1" outlineLevel="2">
      <c r="B3521" s="2889" t="s">
        <v>1632</v>
      </c>
      <c r="C3521" s="2889" t="s">
        <v>1438</v>
      </c>
      <c r="D3521" s="2889" t="s">
        <v>1437</v>
      </c>
      <c r="E3521" s="2889" t="s">
        <v>1420</v>
      </c>
      <c r="F3521" s="2890">
        <v>2.1687760857036613E-5</v>
      </c>
      <c r="G3521" s="2890">
        <v>0.19926444626918161</v>
      </c>
    </row>
    <row r="3522" spans="2:7" ht="15" hidden="1" outlineLevel="2">
      <c r="B3522" s="2889" t="s">
        <v>1633</v>
      </c>
      <c r="C3522" s="2889" t="s">
        <v>1438</v>
      </c>
      <c r="D3522" s="2889" t="s">
        <v>1437</v>
      </c>
      <c r="E3522" s="2889" t="s">
        <v>1420</v>
      </c>
      <c r="F3522" s="2890">
        <v>1.6645027218787266E-36</v>
      </c>
      <c r="G3522" s="2890">
        <v>2.4044512537756401E-32</v>
      </c>
    </row>
    <row r="3523" spans="2:7" ht="15" hidden="1" outlineLevel="2">
      <c r="B3523" s="2889" t="s">
        <v>1634</v>
      </c>
      <c r="C3523" s="2889" t="s">
        <v>1438</v>
      </c>
      <c r="D3523" s="2889" t="s">
        <v>1437</v>
      </c>
      <c r="E3523" s="2889" t="s">
        <v>1420</v>
      </c>
      <c r="F3523" s="2890">
        <v>1.6645027218787266E-36</v>
      </c>
      <c r="G3523" s="2890">
        <v>2.4044512537756401E-32</v>
      </c>
    </row>
    <row r="3524" spans="2:7" ht="15" hidden="1" outlineLevel="2">
      <c r="B3524" s="2889" t="s">
        <v>1635</v>
      </c>
      <c r="C3524" s="2889" t="s">
        <v>1438</v>
      </c>
      <c r="D3524" s="2889" t="s">
        <v>1437</v>
      </c>
      <c r="E3524" s="2889" t="s">
        <v>1420</v>
      </c>
      <c r="F3524" s="2890">
        <v>8.1845449905951178E-6</v>
      </c>
      <c r="G3524" s="2890">
        <v>7.5198570808169996E-2</v>
      </c>
    </row>
    <row r="3525" spans="2:7" ht="15" hidden="1" outlineLevel="2">
      <c r="B3525" s="2889" t="s">
        <v>1636</v>
      </c>
      <c r="C3525" s="2889" t="s">
        <v>1438</v>
      </c>
      <c r="D3525" s="2889" t="s">
        <v>1437</v>
      </c>
      <c r="E3525" s="2889" t="s">
        <v>1420</v>
      </c>
      <c r="F3525" s="2890">
        <v>1.6645027218787266E-36</v>
      </c>
      <c r="G3525" s="2890">
        <v>2.4044512537756401E-32</v>
      </c>
    </row>
    <row r="3526" spans="2:7" ht="15" hidden="1" outlineLevel="2">
      <c r="B3526" s="2889" t="s">
        <v>1637</v>
      </c>
      <c r="C3526" s="2889" t="s">
        <v>1438</v>
      </c>
      <c r="D3526" s="2889" t="s">
        <v>1437</v>
      </c>
      <c r="E3526" s="2889" t="s">
        <v>1420</v>
      </c>
      <c r="F3526" s="2890">
        <v>1.6645027218787266E-36</v>
      </c>
      <c r="G3526" s="2890">
        <v>2.4044512537756401E-32</v>
      </c>
    </row>
    <row r="3527" spans="2:7" ht="15" hidden="1" outlineLevel="2">
      <c r="B3527" s="2889" t="s">
        <v>1638</v>
      </c>
      <c r="C3527" s="2889" t="s">
        <v>1438</v>
      </c>
      <c r="D3527" s="2889" t="s">
        <v>1437</v>
      </c>
      <c r="E3527" s="2889" t="s">
        <v>1420</v>
      </c>
      <c r="F3527" s="2890">
        <v>6.9710630690081591E-7</v>
      </c>
      <c r="G3527" s="2890">
        <v>6.4049429622625486E-3</v>
      </c>
    </row>
    <row r="3528" spans="2:7" ht="15" hidden="1" outlineLevel="2">
      <c r="B3528" s="2889" t="s">
        <v>1639</v>
      </c>
      <c r="C3528" s="2889" t="s">
        <v>1438</v>
      </c>
      <c r="D3528" s="2889" t="s">
        <v>1437</v>
      </c>
      <c r="E3528" s="2889" t="s">
        <v>1420</v>
      </c>
      <c r="F3528" s="2890">
        <v>8.7783771228476728E-6</v>
      </c>
      <c r="G3528" s="2890">
        <v>8.0654710859250106E-2</v>
      </c>
    </row>
    <row r="3529" spans="2:7" ht="15" hidden="1" outlineLevel="2">
      <c r="B3529" s="2889" t="s">
        <v>1640</v>
      </c>
      <c r="C3529" s="2889" t="s">
        <v>1438</v>
      </c>
      <c r="D3529" s="2889" t="s">
        <v>1437</v>
      </c>
      <c r="E3529" s="2889" t="s">
        <v>1420</v>
      </c>
      <c r="F3529" s="2890">
        <v>5.16374994401465E-7</v>
      </c>
      <c r="G3529" s="2890">
        <v>4.7443911325303094E-3</v>
      </c>
    </row>
    <row r="3530" spans="2:7" ht="15" hidden="1" outlineLevel="2">
      <c r="B3530" s="2889" t="s">
        <v>1641</v>
      </c>
      <c r="C3530" s="2889" t="s">
        <v>1438</v>
      </c>
      <c r="D3530" s="2889" t="s">
        <v>1437</v>
      </c>
      <c r="E3530" s="2889" t="s">
        <v>1420</v>
      </c>
      <c r="F3530" s="2890">
        <v>1.6645027218787266E-36</v>
      </c>
      <c r="G3530" s="2890">
        <v>2.4044512537756401E-32</v>
      </c>
    </row>
    <row r="3531" spans="2:7" ht="15" hidden="1" outlineLevel="2">
      <c r="B3531" s="2889" t="s">
        <v>1642</v>
      </c>
      <c r="C3531" s="2889" t="s">
        <v>1438</v>
      </c>
      <c r="D3531" s="2889" t="s">
        <v>1437</v>
      </c>
      <c r="E3531" s="2889" t="s">
        <v>1420</v>
      </c>
      <c r="F3531" s="2890">
        <v>1.6645027218787266E-36</v>
      </c>
      <c r="G3531" s="2890">
        <v>2.4044512537756401E-32</v>
      </c>
    </row>
    <row r="3532" spans="2:7" ht="15" hidden="1" outlineLevel="2">
      <c r="B3532" s="2889" t="s">
        <v>1643</v>
      </c>
      <c r="C3532" s="2889" t="s">
        <v>1438</v>
      </c>
      <c r="D3532" s="2889" t="s">
        <v>1437</v>
      </c>
      <c r="E3532" s="2889" t="s">
        <v>1420</v>
      </c>
      <c r="F3532" s="2890">
        <v>2.2753543115041698E-36</v>
      </c>
      <c r="G3532" s="2890">
        <v>3.2868550119145637E-32</v>
      </c>
    </row>
    <row r="3533" spans="2:7" ht="15" hidden="1" outlineLevel="2">
      <c r="B3533" s="2889" t="s">
        <v>1644</v>
      </c>
      <c r="C3533" s="2889" t="s">
        <v>1438</v>
      </c>
      <c r="D3533" s="2889" t="s">
        <v>1437</v>
      </c>
      <c r="E3533" s="2889" t="s">
        <v>1420</v>
      </c>
      <c r="F3533" s="3039">
        <v>1.8073128042055411E-5</v>
      </c>
      <c r="G3533" s="2890">
        <v>0.16605366253637927</v>
      </c>
    </row>
    <row r="3534" spans="2:7" ht="15" hidden="1" outlineLevel="2">
      <c r="B3534" s="2889" t="s">
        <v>1645</v>
      </c>
      <c r="C3534" s="2889" t="s">
        <v>1438</v>
      </c>
      <c r="D3534" s="2889" t="s">
        <v>1437</v>
      </c>
      <c r="E3534" s="2889" t="s">
        <v>1420</v>
      </c>
      <c r="F3534" s="3039">
        <v>1.1876625467322E-6</v>
      </c>
      <c r="G3534" s="2890">
        <v>1.0912109511452375E-2</v>
      </c>
    </row>
    <row r="3535" spans="2:7" ht="15" hidden="1" outlineLevel="2">
      <c r="B3535" s="2889" t="s">
        <v>1646</v>
      </c>
      <c r="C3535" s="2889" t="s">
        <v>1438</v>
      </c>
      <c r="D3535" s="2889" t="s">
        <v>1437</v>
      </c>
      <c r="E3535" s="2889" t="s">
        <v>1420</v>
      </c>
      <c r="F3535" s="3039">
        <v>1.9105900215015999E-6</v>
      </c>
      <c r="G3535" s="2890">
        <v>1.7554250384832895E-2</v>
      </c>
    </row>
    <row r="3536" spans="2:7" ht="15" hidden="1" outlineLevel="2">
      <c r="B3536" s="2889" t="s">
        <v>1647</v>
      </c>
      <c r="C3536" s="2889" t="s">
        <v>1438</v>
      </c>
      <c r="D3536" s="2889" t="s">
        <v>1437</v>
      </c>
      <c r="E3536" s="2889" t="s">
        <v>1420</v>
      </c>
      <c r="F3536" s="3039">
        <v>4.1568208108736294E-6</v>
      </c>
      <c r="G3536" s="2890">
        <v>3.8192345126437918E-2</v>
      </c>
    </row>
    <row r="3537" spans="2:7" ht="15" hidden="1" outlineLevel="2">
      <c r="B3537" s="2889" t="s">
        <v>1648</v>
      </c>
      <c r="C3537" s="2889" t="s">
        <v>1438</v>
      </c>
      <c r="D3537" s="2889" t="s">
        <v>1437</v>
      </c>
      <c r="E3537" s="2889" t="s">
        <v>1420</v>
      </c>
      <c r="F3537" s="3039">
        <v>1.6645027218787266E-36</v>
      </c>
      <c r="G3537" s="2890">
        <v>2.4044512537756401E-32</v>
      </c>
    </row>
    <row r="3538" spans="2:7" ht="15" hidden="1" outlineLevel="2">
      <c r="B3538" s="2889" t="s">
        <v>1649</v>
      </c>
      <c r="C3538" s="2889" t="s">
        <v>1438</v>
      </c>
      <c r="D3538" s="2889" t="s">
        <v>1437</v>
      </c>
      <c r="E3538" s="2889" t="s">
        <v>1420</v>
      </c>
      <c r="F3538" s="3039">
        <v>2.581873384638362E-5</v>
      </c>
      <c r="G3538" s="2890">
        <v>0.23721979531086068</v>
      </c>
    </row>
    <row r="3539" spans="2:7" ht="15" hidden="1" outlineLevel="2">
      <c r="B3539" s="2889" t="s">
        <v>1650</v>
      </c>
      <c r="C3539" s="2889" t="s">
        <v>1438</v>
      </c>
      <c r="D3539" s="2889" t="s">
        <v>1437</v>
      </c>
      <c r="E3539" s="2889" t="s">
        <v>1420</v>
      </c>
      <c r="F3539" s="3039">
        <v>1.5078150994127124E-4</v>
      </c>
      <c r="G3539" s="2890">
        <v>1.3853630655264242</v>
      </c>
    </row>
    <row r="3540" spans="2:7" ht="15" hidden="1" outlineLevel="2">
      <c r="B3540" s="2889" t="s">
        <v>1651</v>
      </c>
      <c r="C3540" s="2889" t="s">
        <v>1438</v>
      </c>
      <c r="D3540" s="2889" t="s">
        <v>1437</v>
      </c>
      <c r="E3540" s="2889" t="s">
        <v>1420</v>
      </c>
      <c r="F3540" s="2890">
        <v>6.1861745624093448E-4</v>
      </c>
      <c r="G3540" s="2890">
        <v>5.6837809053225747</v>
      </c>
    </row>
    <row r="3541" spans="2:7" ht="15" hidden="1" outlineLevel="2">
      <c r="B3541" s="2889" t="s">
        <v>1652</v>
      </c>
      <c r="C3541" s="2889" t="s">
        <v>1438</v>
      </c>
      <c r="D3541" s="2889" t="s">
        <v>1437</v>
      </c>
      <c r="E3541" s="2889" t="s">
        <v>1420</v>
      </c>
      <c r="F3541" s="2890">
        <v>1.6632094204000005E-36</v>
      </c>
      <c r="G3541" s="2890">
        <v>2.4051963276000003E-32</v>
      </c>
    </row>
    <row r="3542" spans="2:7" ht="15" hidden="1" outlineLevel="2">
      <c r="B3542" s="2889" t="s">
        <v>1653</v>
      </c>
      <c r="C3542" s="2889" t="s">
        <v>1438</v>
      </c>
      <c r="D3542" s="2889" t="s">
        <v>1437</v>
      </c>
      <c r="E3542" s="2889" t="s">
        <v>1420</v>
      </c>
      <c r="F3542" s="2890">
        <v>1.6645027218787266E-36</v>
      </c>
      <c r="G3542" s="2890">
        <v>2.4044512537756401E-32</v>
      </c>
    </row>
    <row r="3543" spans="2:7" ht="15" hidden="1" outlineLevel="2">
      <c r="B3543" s="2889" t="s">
        <v>1407</v>
      </c>
      <c r="C3543" s="2889" t="s">
        <v>1617</v>
      </c>
      <c r="D3543" s="2889" t="s">
        <v>1615</v>
      </c>
      <c r="E3543" s="2889" t="s">
        <v>1420</v>
      </c>
      <c r="F3543" s="2890">
        <v>6.3325962534209286E-5</v>
      </c>
      <c r="G3543" s="2890">
        <v>0.18330393030722936</v>
      </c>
    </row>
    <row r="3544" spans="2:7" ht="15" hidden="1" outlineLevel="2">
      <c r="B3544" s="2889" t="s">
        <v>1631</v>
      </c>
      <c r="C3544" s="2889" t="s">
        <v>1617</v>
      </c>
      <c r="D3544" s="2889" t="s">
        <v>1615</v>
      </c>
      <c r="E3544" s="2889" t="s">
        <v>1420</v>
      </c>
      <c r="F3544" s="2890">
        <v>7.8530826325251803E-5</v>
      </c>
      <c r="G3544" s="2890">
        <v>0.22731608768854003</v>
      </c>
    </row>
    <row r="3545" spans="2:7" ht="15" hidden="1" outlineLevel="2">
      <c r="B3545" s="2889" t="s">
        <v>1632</v>
      </c>
      <c r="C3545" s="2889" t="s">
        <v>1617</v>
      </c>
      <c r="D3545" s="2889" t="s">
        <v>1615</v>
      </c>
      <c r="E3545" s="2889" t="s">
        <v>1420</v>
      </c>
      <c r="F3545" s="2890">
        <v>1.5163850278431337E-4</v>
      </c>
      <c r="G3545" s="2890">
        <v>0.43893398205908468</v>
      </c>
    </row>
    <row r="3546" spans="2:7" ht="15" hidden="1" outlineLevel="2">
      <c r="B3546" s="2889" t="s">
        <v>1633</v>
      </c>
      <c r="C3546" s="2889" t="s">
        <v>1617</v>
      </c>
      <c r="D3546" s="2889" t="s">
        <v>1615</v>
      </c>
      <c r="E3546" s="2889" t="s">
        <v>1420</v>
      </c>
      <c r="F3546" s="2890">
        <v>1.3212207888560816E-40</v>
      </c>
      <c r="G3546" s="2890">
        <v>3.8274928299855921E-37</v>
      </c>
    </row>
    <row r="3547" spans="2:7" ht="15" hidden="1" outlineLevel="2">
      <c r="B3547" s="2889" t="s">
        <v>1634</v>
      </c>
      <c r="C3547" s="2889" t="s">
        <v>1617</v>
      </c>
      <c r="D3547" s="2889" t="s">
        <v>1615</v>
      </c>
      <c r="E3547" s="2889" t="s">
        <v>1420</v>
      </c>
      <c r="F3547" s="2890">
        <v>1.3212207888560816E-40</v>
      </c>
      <c r="G3547" s="2890">
        <v>3.8274928299855921E-37</v>
      </c>
    </row>
    <row r="3548" spans="2:7" ht="15" hidden="1" outlineLevel="2">
      <c r="B3548" s="2889" t="s">
        <v>1635</v>
      </c>
      <c r="C3548" s="2889" t="s">
        <v>1617</v>
      </c>
      <c r="D3548" s="2889" t="s">
        <v>1615</v>
      </c>
      <c r="E3548" s="2889" t="s">
        <v>1420</v>
      </c>
      <c r="F3548" s="2890">
        <v>4.3478347593036507E-5</v>
      </c>
      <c r="G3548" s="2890">
        <v>0.12585274377322919</v>
      </c>
    </row>
    <row r="3549" spans="2:7" ht="15" hidden="1" outlineLevel="2">
      <c r="B3549" s="2889" t="s">
        <v>1636</v>
      </c>
      <c r="C3549" s="2889" t="s">
        <v>1617</v>
      </c>
      <c r="D3549" s="2889" t="s">
        <v>1615</v>
      </c>
      <c r="E3549" s="2889" t="s">
        <v>1420</v>
      </c>
      <c r="F3549" s="2890">
        <v>7.8722026819418156E-5</v>
      </c>
      <c r="G3549" s="2890">
        <v>0.22786960514242463</v>
      </c>
    </row>
    <row r="3550" spans="2:7" ht="15" hidden="1" outlineLevel="2">
      <c r="B3550" s="2889" t="s">
        <v>1637</v>
      </c>
      <c r="C3550" s="2889" t="s">
        <v>1617</v>
      </c>
      <c r="D3550" s="2889" t="s">
        <v>1615</v>
      </c>
      <c r="E3550" s="2889" t="s">
        <v>1420</v>
      </c>
      <c r="F3550" s="2890">
        <v>1.7992556344046129E-6</v>
      </c>
      <c r="G3550" s="2890">
        <v>5.2081411352396245E-3</v>
      </c>
    </row>
    <row r="3551" spans="2:7" ht="15" hidden="1" outlineLevel="2">
      <c r="B3551" s="2889" t="s">
        <v>1638</v>
      </c>
      <c r="C3551" s="2889" t="s">
        <v>1617</v>
      </c>
      <c r="D3551" s="2889" t="s">
        <v>1615</v>
      </c>
      <c r="E3551" s="2889" t="s">
        <v>1420</v>
      </c>
      <c r="F3551" s="2890">
        <v>1.3212207888560816E-40</v>
      </c>
      <c r="G3551" s="2890">
        <v>3.8274928299855921E-37</v>
      </c>
    </row>
    <row r="3552" spans="2:7" ht="15" hidden="1" outlineLevel="2">
      <c r="B3552" s="2889" t="s">
        <v>1639</v>
      </c>
      <c r="C3552" s="2889" t="s">
        <v>1617</v>
      </c>
      <c r="D3552" s="2889" t="s">
        <v>1615</v>
      </c>
      <c r="E3552" s="2889" t="s">
        <v>1420</v>
      </c>
      <c r="F3552" s="2890">
        <v>1.8290120817266112E-4</v>
      </c>
      <c r="G3552" s="2890">
        <v>0.52942731005747823</v>
      </c>
    </row>
    <row r="3553" spans="2:7" ht="15" hidden="1" outlineLevel="2">
      <c r="B3553" s="2889" t="s">
        <v>1640</v>
      </c>
      <c r="C3553" s="2889" t="s">
        <v>1617</v>
      </c>
      <c r="D3553" s="2889" t="s">
        <v>1615</v>
      </c>
      <c r="E3553" s="2889" t="s">
        <v>1420</v>
      </c>
      <c r="F3553" s="2890">
        <v>9.8612117992862046E-6</v>
      </c>
      <c r="G3553" s="2890">
        <v>2.8544329065728707E-2</v>
      </c>
    </row>
    <row r="3554" spans="2:7" ht="15" hidden="1" outlineLevel="2">
      <c r="B3554" s="2889" t="s">
        <v>1641</v>
      </c>
      <c r="C3554" s="2889" t="s">
        <v>1617</v>
      </c>
      <c r="D3554" s="2889" t="s">
        <v>1615</v>
      </c>
      <c r="E3554" s="2889" t="s">
        <v>1420</v>
      </c>
      <c r="F3554" s="2890">
        <v>7.9368761745345176E-5</v>
      </c>
      <c r="G3554" s="2890">
        <v>0.22974137420610094</v>
      </c>
    </row>
    <row r="3555" spans="2:7" ht="15" hidden="1" outlineLevel="2">
      <c r="B3555" s="2889" t="s">
        <v>1642</v>
      </c>
      <c r="C3555" s="2889" t="s">
        <v>1617</v>
      </c>
      <c r="D3555" s="2889" t="s">
        <v>1615</v>
      </c>
      <c r="E3555" s="2889" t="s">
        <v>1420</v>
      </c>
      <c r="F3555" s="2890">
        <v>9.9666658217980884E-5</v>
      </c>
      <c r="G3555" s="2890">
        <v>0.28849559203544334</v>
      </c>
    </row>
    <row r="3556" spans="2:7" ht="15" hidden="1" outlineLevel="2">
      <c r="B3556" s="2889" t="s">
        <v>1643</v>
      </c>
      <c r="C3556" s="2889" t="s">
        <v>1617</v>
      </c>
      <c r="D3556" s="2889" t="s">
        <v>1615</v>
      </c>
      <c r="E3556" s="2889" t="s">
        <v>1420</v>
      </c>
      <c r="F3556" s="2890">
        <v>1.4499303466871991E-40</v>
      </c>
      <c r="G3556" s="2890">
        <v>4.201807518678484E-37</v>
      </c>
    </row>
    <row r="3557" spans="2:7" ht="15" hidden="1" outlineLevel="2">
      <c r="B3557" s="2889" t="s">
        <v>1644</v>
      </c>
      <c r="C3557" s="2889" t="s">
        <v>1617</v>
      </c>
      <c r="D3557" s="2889" t="s">
        <v>1615</v>
      </c>
      <c r="E3557" s="2889" t="s">
        <v>1420</v>
      </c>
      <c r="F3557" s="2890">
        <v>1.1908781446108619E-4</v>
      </c>
      <c r="G3557" s="2890">
        <v>0.34471234949977914</v>
      </c>
    </row>
    <row r="3558" spans="2:7" ht="15" hidden="1" outlineLevel="2">
      <c r="B3558" s="2889" t="s">
        <v>1645</v>
      </c>
      <c r="C3558" s="2889" t="s">
        <v>1617</v>
      </c>
      <c r="D3558" s="2889" t="s">
        <v>1615</v>
      </c>
      <c r="E3558" s="2889" t="s">
        <v>1420</v>
      </c>
      <c r="F3558" s="2890">
        <v>7.7926602703024382E-5</v>
      </c>
      <c r="G3558" s="2890">
        <v>0.22556683544568845</v>
      </c>
    </row>
    <row r="3559" spans="2:7" ht="15" hidden="1" outlineLevel="2">
      <c r="B3559" s="2889" t="s">
        <v>1646</v>
      </c>
      <c r="C3559" s="2889" t="s">
        <v>1617</v>
      </c>
      <c r="D3559" s="2889" t="s">
        <v>1615</v>
      </c>
      <c r="E3559" s="2889" t="s">
        <v>1420</v>
      </c>
      <c r="F3559" s="2890">
        <v>1.32122078885608E-40</v>
      </c>
      <c r="G3559" s="2890">
        <v>3.8274928299855871E-37</v>
      </c>
    </row>
    <row r="3560" spans="2:7" ht="15" hidden="1" outlineLevel="2">
      <c r="B3560" s="2889" t="s">
        <v>1647</v>
      </c>
      <c r="C3560" s="2889" t="s">
        <v>1617</v>
      </c>
      <c r="D3560" s="2889" t="s">
        <v>1615</v>
      </c>
      <c r="E3560" s="2889" t="s">
        <v>1420</v>
      </c>
      <c r="F3560" s="2890">
        <v>1.3212207888560816E-40</v>
      </c>
      <c r="G3560" s="2890">
        <v>3.8274928299855921E-37</v>
      </c>
    </row>
    <row r="3561" spans="2:7" ht="15" hidden="1" outlineLevel="2">
      <c r="B3561" s="2889" t="s">
        <v>1648</v>
      </c>
      <c r="C3561" s="2889" t="s">
        <v>1617</v>
      </c>
      <c r="D3561" s="2889" t="s">
        <v>1615</v>
      </c>
      <c r="E3561" s="2889" t="s">
        <v>1420</v>
      </c>
      <c r="F3561" s="2890">
        <v>9.1570708988094493E-7</v>
      </c>
      <c r="G3561" s="2890">
        <v>2.6506157893599865E-3</v>
      </c>
    </row>
    <row r="3562" spans="2:7" ht="15" hidden="1" outlineLevel="2">
      <c r="B3562" s="2889" t="s">
        <v>1649</v>
      </c>
      <c r="C3562" s="2889" t="s">
        <v>1617</v>
      </c>
      <c r="D3562" s="2889" t="s">
        <v>1615</v>
      </c>
      <c r="E3562" s="2889" t="s">
        <v>1420</v>
      </c>
      <c r="F3562" s="2890">
        <v>1.3212207888560816E-40</v>
      </c>
      <c r="G3562" s="2890">
        <v>3.8274928299855921E-37</v>
      </c>
    </row>
    <row r="3563" spans="2:7" ht="15" hidden="1" outlineLevel="2">
      <c r="B3563" s="2889" t="s">
        <v>1650</v>
      </c>
      <c r="C3563" s="2889" t="s">
        <v>1617</v>
      </c>
      <c r="D3563" s="2889" t="s">
        <v>1615</v>
      </c>
      <c r="E3563" s="2889" t="s">
        <v>1420</v>
      </c>
      <c r="F3563" s="2890">
        <v>9.2051486309579456E-5</v>
      </c>
      <c r="G3563" s="2890">
        <v>0.26645300607187544</v>
      </c>
    </row>
    <row r="3564" spans="2:7" ht="15" hidden="1" outlineLevel="2">
      <c r="B3564" s="2889" t="s">
        <v>1651</v>
      </c>
      <c r="C3564" s="2889" t="s">
        <v>1617</v>
      </c>
      <c r="D3564" s="2889" t="s">
        <v>1615</v>
      </c>
      <c r="E3564" s="2889" t="s">
        <v>1420</v>
      </c>
      <c r="F3564" s="2890">
        <v>1.9837532846788799E-6</v>
      </c>
      <c r="G3564" s="2890">
        <v>5.7421875522407576E-3</v>
      </c>
    </row>
    <row r="3565" spans="2:7" ht="15" hidden="1" outlineLevel="2">
      <c r="B3565" s="2889" t="s">
        <v>1652</v>
      </c>
      <c r="C3565" s="2889" t="s">
        <v>1617</v>
      </c>
      <c r="D3565" s="2889" t="s">
        <v>1615</v>
      </c>
      <c r="E3565" s="2889" t="s">
        <v>1420</v>
      </c>
      <c r="F3565" s="2890">
        <v>9.1570708747803962E-7</v>
      </c>
      <c r="G3565" s="2890">
        <v>2.650615789343802E-3</v>
      </c>
    </row>
    <row r="3566" spans="2:7" ht="15" hidden="1" outlineLevel="2">
      <c r="B3566" s="2889" t="s">
        <v>1653</v>
      </c>
      <c r="C3566" s="2889" t="s">
        <v>1617</v>
      </c>
      <c r="D3566" s="2889" t="s">
        <v>1615</v>
      </c>
      <c r="E3566" s="2889" t="s">
        <v>1420</v>
      </c>
      <c r="F3566" s="2890">
        <v>7.7249555640880236E-5</v>
      </c>
      <c r="G3566" s="2890">
        <v>0.22360691391480741</v>
      </c>
    </row>
    <row r="3567" spans="2:7" ht="15" outlineLevel="1" collapsed="1">
      <c r="B3567" s="2889"/>
      <c r="C3567" s="2889"/>
      <c r="D3567" s="2889"/>
      <c r="E3567" s="3042" t="s">
        <v>1682</v>
      </c>
      <c r="F3567" s="2890">
        <f>SUBTOTAL(9,F2799:F3566)</f>
        <v>28.073934767737196</v>
      </c>
      <c r="G3567" s="2890">
        <f>SUBTOTAL(9,G2799:G3566)</f>
        <v>182467.48142821679</v>
      </c>
    </row>
    <row r="3568" spans="2:7" ht="15" hidden="1" outlineLevel="2">
      <c r="B3568" s="2889" t="s">
        <v>1407</v>
      </c>
      <c r="C3568" s="2889" t="s">
        <v>1611</v>
      </c>
      <c r="D3568" s="2889" t="s">
        <v>1608</v>
      </c>
      <c r="E3568" s="2889" t="s">
        <v>1612</v>
      </c>
      <c r="F3568" s="3040"/>
      <c r="G3568" s="2890">
        <v>185.72005232980598</v>
      </c>
    </row>
    <row r="3569" spans="2:7" ht="15" hidden="1" outlineLevel="2">
      <c r="B3569" s="2889" t="s">
        <v>1631</v>
      </c>
      <c r="C3569" s="2889" t="s">
        <v>1611</v>
      </c>
      <c r="D3569" s="2889" t="s">
        <v>1608</v>
      </c>
      <c r="E3569" s="2889" t="s">
        <v>1612</v>
      </c>
      <c r="F3569" s="2890">
        <v>0.14117151128875055</v>
      </c>
      <c r="G3569" s="2890">
        <v>5453.4156672570853</v>
      </c>
    </row>
    <row r="3570" spans="2:7" ht="15" hidden="1" outlineLevel="2">
      <c r="B3570" s="2889" t="s">
        <v>1632</v>
      </c>
      <c r="C3570" s="2889" t="s">
        <v>1611</v>
      </c>
      <c r="D3570" s="2889" t="s">
        <v>1608</v>
      </c>
      <c r="E3570" s="2889" t="s">
        <v>1612</v>
      </c>
      <c r="F3570" s="3040"/>
      <c r="G3570" s="2890">
        <v>3123.4728403055401</v>
      </c>
    </row>
    <row r="3571" spans="2:7" ht="15" hidden="1" outlineLevel="2">
      <c r="B3571" s="2889" t="s">
        <v>1633</v>
      </c>
      <c r="C3571" s="2889" t="s">
        <v>1611</v>
      </c>
      <c r="D3571" s="2889" t="s">
        <v>1608</v>
      </c>
      <c r="E3571" s="2889" t="s">
        <v>1612</v>
      </c>
      <c r="F3571" s="3040"/>
      <c r="G3571" s="2890">
        <v>3815.703905995189</v>
      </c>
    </row>
    <row r="3572" spans="2:7" ht="15" hidden="1" outlineLevel="2">
      <c r="B3572" s="2889" t="s">
        <v>1634</v>
      </c>
      <c r="C3572" s="2889" t="s">
        <v>1611</v>
      </c>
      <c r="D3572" s="2889" t="s">
        <v>1608</v>
      </c>
      <c r="E3572" s="2889" t="s">
        <v>1612</v>
      </c>
      <c r="F3572" s="3040"/>
      <c r="G3572" s="2890">
        <v>253.25465115089568</v>
      </c>
    </row>
    <row r="3573" spans="2:7" ht="15" hidden="1" outlineLevel="2">
      <c r="B3573" s="2889" t="s">
        <v>1635</v>
      </c>
      <c r="C3573" s="2889" t="s">
        <v>1611</v>
      </c>
      <c r="D3573" s="2889" t="s">
        <v>1608</v>
      </c>
      <c r="E3573" s="2889" t="s">
        <v>1612</v>
      </c>
      <c r="F3573" s="2891"/>
      <c r="G3573" s="2890">
        <v>135.06915569845131</v>
      </c>
    </row>
    <row r="3574" spans="2:7" ht="15" hidden="1" outlineLevel="2">
      <c r="B3574" s="2889" t="s">
        <v>1636</v>
      </c>
      <c r="C3574" s="2889" t="s">
        <v>1611</v>
      </c>
      <c r="D3574" s="2889" t="s">
        <v>1608</v>
      </c>
      <c r="E3574" s="2889" t="s">
        <v>1612</v>
      </c>
      <c r="F3574" s="2891"/>
      <c r="G3574" s="2890">
        <v>2937.753932042579</v>
      </c>
    </row>
    <row r="3575" spans="2:7" ht="15" hidden="1" outlineLevel="2">
      <c r="B3575" s="2889" t="s">
        <v>1637</v>
      </c>
      <c r="C3575" s="2889" t="s">
        <v>1611</v>
      </c>
      <c r="D3575" s="2889" t="s">
        <v>1608</v>
      </c>
      <c r="E3575" s="2889" t="s">
        <v>1612</v>
      </c>
      <c r="F3575" s="2891"/>
      <c r="G3575" s="2890">
        <v>5048.2065171874438</v>
      </c>
    </row>
    <row r="3576" spans="2:7" ht="15" hidden="1" outlineLevel="2">
      <c r="B3576" s="2889" t="s">
        <v>1638</v>
      </c>
      <c r="C3576" s="2889" t="s">
        <v>1611</v>
      </c>
      <c r="D3576" s="2889" t="s">
        <v>1608</v>
      </c>
      <c r="E3576" s="2889" t="s">
        <v>1612</v>
      </c>
      <c r="F3576" s="2891"/>
      <c r="G3576" s="2890">
        <v>13000.404044962432</v>
      </c>
    </row>
    <row r="3577" spans="2:7" ht="15" hidden="1" outlineLevel="2">
      <c r="B3577" s="2889" t="s">
        <v>1639</v>
      </c>
      <c r="C3577" s="2889" t="s">
        <v>1611</v>
      </c>
      <c r="D3577" s="2889" t="s">
        <v>1608</v>
      </c>
      <c r="E3577" s="2889" t="s">
        <v>1612</v>
      </c>
      <c r="F3577" s="2891"/>
      <c r="G3577" s="2890">
        <v>202.60371446705682</v>
      </c>
    </row>
    <row r="3578" spans="2:7" ht="15" hidden="1" outlineLevel="2">
      <c r="B3578" s="2889" t="s">
        <v>1640</v>
      </c>
      <c r="C3578" s="2889" t="s">
        <v>1611</v>
      </c>
      <c r="D3578" s="2889" t="s">
        <v>1608</v>
      </c>
      <c r="E3578" s="2889" t="s">
        <v>1612</v>
      </c>
      <c r="F3578" s="2891"/>
      <c r="G3578" s="2890">
        <v>354.55638444842185</v>
      </c>
    </row>
    <row r="3579" spans="2:7" ht="15" hidden="1" outlineLevel="2">
      <c r="B3579" s="2889" t="s">
        <v>1641</v>
      </c>
      <c r="C3579" s="2889" t="s">
        <v>1611</v>
      </c>
      <c r="D3579" s="2889" t="s">
        <v>1608</v>
      </c>
      <c r="E3579" s="2889" t="s">
        <v>1612</v>
      </c>
      <c r="F3579" s="2891"/>
      <c r="G3579" s="2890">
        <v>2819.5677720888239</v>
      </c>
    </row>
    <row r="3580" spans="2:7" ht="15" hidden="1" outlineLevel="2">
      <c r="B3580" s="2889" t="s">
        <v>1642</v>
      </c>
      <c r="C3580" s="2889" t="s">
        <v>1611</v>
      </c>
      <c r="D3580" s="2889" t="s">
        <v>1608</v>
      </c>
      <c r="E3580" s="2889" t="s">
        <v>1612</v>
      </c>
      <c r="F3580" s="3040"/>
      <c r="G3580" s="2890">
        <v>67.534550959000569</v>
      </c>
    </row>
    <row r="3581" spans="2:7" ht="15" hidden="1" outlineLevel="2">
      <c r="B3581" s="2889" t="s">
        <v>1643</v>
      </c>
      <c r="C3581" s="2889" t="s">
        <v>1611</v>
      </c>
      <c r="D3581" s="2889" t="s">
        <v>1608</v>
      </c>
      <c r="E3581" s="2889" t="s">
        <v>1612</v>
      </c>
      <c r="F3581" s="3040"/>
      <c r="G3581" s="2890">
        <v>7037.0479932610751</v>
      </c>
    </row>
    <row r="3582" spans="2:7" ht="15" hidden="1" outlineLevel="2">
      <c r="B3582" s="2889" t="s">
        <v>1644</v>
      </c>
      <c r="C3582" s="2889" t="s">
        <v>1611</v>
      </c>
      <c r="D3582" s="2889" t="s">
        <v>1608</v>
      </c>
      <c r="E3582" s="2889" t="s">
        <v>1612</v>
      </c>
      <c r="F3582" s="3040"/>
      <c r="G3582" s="2890">
        <v>506.50924310003296</v>
      </c>
    </row>
    <row r="3583" spans="2:7" ht="15" hidden="1" outlineLevel="2">
      <c r="B3583" s="2889" t="s">
        <v>1645</v>
      </c>
      <c r="C3583" s="2889" t="s">
        <v>1611</v>
      </c>
      <c r="D3583" s="2889" t="s">
        <v>1608</v>
      </c>
      <c r="E3583" s="2889" t="s">
        <v>1612</v>
      </c>
      <c r="F3583" s="2891"/>
      <c r="G3583" s="2890">
        <v>574.04376572272133</v>
      </c>
    </row>
    <row r="3584" spans="2:7" ht="15" hidden="1" outlineLevel="2">
      <c r="B3584" s="2889" t="s">
        <v>1646</v>
      </c>
      <c r="C3584" s="2889" t="s">
        <v>1611</v>
      </c>
      <c r="D3584" s="2889" t="s">
        <v>1608</v>
      </c>
      <c r="E3584" s="2889" t="s">
        <v>1612</v>
      </c>
      <c r="F3584" s="3040"/>
      <c r="G3584" s="2890">
        <v>4237.7929754077741</v>
      </c>
    </row>
    <row r="3585" spans="2:7" ht="15" hidden="1" outlineLevel="2">
      <c r="B3585" s="2889" t="s">
        <v>1647</v>
      </c>
      <c r="C3585" s="2889" t="s">
        <v>1611</v>
      </c>
      <c r="D3585" s="2889" t="s">
        <v>1608</v>
      </c>
      <c r="E3585" s="2889" t="s">
        <v>1612</v>
      </c>
      <c r="F3585" s="3040"/>
      <c r="G3585" s="2890">
        <v>11025.016065112439</v>
      </c>
    </row>
    <row r="3586" spans="2:7" ht="15" hidden="1" outlineLevel="2">
      <c r="B3586" s="2889" t="s">
        <v>1648</v>
      </c>
      <c r="C3586" s="2889" t="s">
        <v>1611</v>
      </c>
      <c r="D3586" s="2889" t="s">
        <v>1608</v>
      </c>
      <c r="E3586" s="2889" t="s">
        <v>1612</v>
      </c>
      <c r="F3586" s="2891"/>
      <c r="G3586" s="2890">
        <v>8256.0997184940643</v>
      </c>
    </row>
    <row r="3587" spans="2:7" ht="15" hidden="1" outlineLevel="2">
      <c r="B3587" s="2889" t="s">
        <v>1649</v>
      </c>
      <c r="C3587" s="2889" t="s">
        <v>1611</v>
      </c>
      <c r="D3587" s="2889" t="s">
        <v>1608</v>
      </c>
      <c r="E3587" s="2889" t="s">
        <v>1612</v>
      </c>
      <c r="F3587" s="3040"/>
      <c r="G3587" s="2890">
        <v>7108.0143685411367</v>
      </c>
    </row>
    <row r="3588" spans="2:7" ht="15" hidden="1" outlineLevel="2">
      <c r="B3588" s="2889" t="s">
        <v>1650</v>
      </c>
      <c r="C3588" s="2889" t="s">
        <v>1611</v>
      </c>
      <c r="D3588" s="2889" t="s">
        <v>1608</v>
      </c>
      <c r="E3588" s="2889" t="s">
        <v>1612</v>
      </c>
      <c r="F3588" s="3040"/>
      <c r="G3588" s="2890">
        <v>405.20748273856896</v>
      </c>
    </row>
    <row r="3589" spans="2:7" ht="15" hidden="1" outlineLevel="2">
      <c r="B3589" s="2889" t="s">
        <v>1651</v>
      </c>
      <c r="C3589" s="2889" t="s">
        <v>1611</v>
      </c>
      <c r="D3589" s="2889" t="s">
        <v>1608</v>
      </c>
      <c r="E3589" s="2889" t="s">
        <v>1612</v>
      </c>
      <c r="F3589" s="3040"/>
      <c r="G3589" s="2890">
        <v>1046.7858984729598</v>
      </c>
    </row>
    <row r="3590" spans="2:7" ht="15" hidden="1" outlineLevel="2">
      <c r="B3590" s="2889" t="s">
        <v>1652</v>
      </c>
      <c r="C3590" s="2889" t="s">
        <v>1611</v>
      </c>
      <c r="D3590" s="2889" t="s">
        <v>1608</v>
      </c>
      <c r="E3590" s="2889" t="s">
        <v>1612</v>
      </c>
      <c r="F3590" s="2891"/>
      <c r="G3590" s="2890">
        <v>9674.3279153801304</v>
      </c>
    </row>
    <row r="3591" spans="2:7" ht="15" hidden="1" outlineLevel="2">
      <c r="B3591" s="2889" t="s">
        <v>1653</v>
      </c>
      <c r="C3591" s="2889" t="s">
        <v>1611</v>
      </c>
      <c r="D3591" s="2889" t="s">
        <v>1608</v>
      </c>
      <c r="E3591" s="2889" t="s">
        <v>1612</v>
      </c>
      <c r="F3591" s="2891"/>
      <c r="G3591" s="2890">
        <v>776.64753516773828</v>
      </c>
    </row>
    <row r="3592" spans="2:7" ht="15" hidden="1" outlineLevel="2">
      <c r="B3592" s="2889" t="s">
        <v>1407</v>
      </c>
      <c r="C3592" s="2889" t="s">
        <v>1613</v>
      </c>
      <c r="D3592" s="2889" t="s">
        <v>1608</v>
      </c>
      <c r="E3592" s="2889" t="s">
        <v>1612</v>
      </c>
      <c r="F3592" s="2891"/>
      <c r="G3592" s="2890">
        <v>1.5508319177792766</v>
      </c>
    </row>
    <row r="3593" spans="2:7" ht="15" hidden="1" outlineLevel="2">
      <c r="B3593" s="2889" t="s">
        <v>1631</v>
      </c>
      <c r="C3593" s="2889" t="s">
        <v>1613</v>
      </c>
      <c r="D3593" s="2889" t="s">
        <v>1608</v>
      </c>
      <c r="E3593" s="2889" t="s">
        <v>1612</v>
      </c>
      <c r="F3593" s="2890">
        <v>9.0249721766475876E-4</v>
      </c>
      <c r="G3593" s="2890">
        <v>17.76407549991692</v>
      </c>
    </row>
    <row r="3594" spans="2:7" ht="15" hidden="1" outlineLevel="2">
      <c r="B3594" s="2889" t="s">
        <v>1632</v>
      </c>
      <c r="C3594" s="2889" t="s">
        <v>1613</v>
      </c>
      <c r="D3594" s="2889" t="s">
        <v>1608</v>
      </c>
      <c r="E3594" s="2889" t="s">
        <v>1612</v>
      </c>
      <c r="F3594" s="3040"/>
      <c r="G3594" s="2890">
        <v>13.675519738258888</v>
      </c>
    </row>
    <row r="3595" spans="2:7" ht="15" hidden="1" outlineLevel="2">
      <c r="B3595" s="2889" t="s">
        <v>1633</v>
      </c>
      <c r="C3595" s="2889" t="s">
        <v>1613</v>
      </c>
      <c r="D3595" s="2889" t="s">
        <v>1608</v>
      </c>
      <c r="E3595" s="2889" t="s">
        <v>1612</v>
      </c>
      <c r="F3595" s="3040"/>
      <c r="G3595" s="2890">
        <v>11.983703832650402</v>
      </c>
    </row>
    <row r="3596" spans="2:7" ht="15" hidden="1" outlineLevel="2">
      <c r="B3596" s="2889" t="s">
        <v>1634</v>
      </c>
      <c r="C3596" s="2889" t="s">
        <v>1613</v>
      </c>
      <c r="D3596" s="2889" t="s">
        <v>1608</v>
      </c>
      <c r="E3596" s="2889" t="s">
        <v>1612</v>
      </c>
      <c r="F3596" s="3040"/>
      <c r="G3596" s="2890">
        <v>2.1147708257498046</v>
      </c>
    </row>
    <row r="3597" spans="2:7" ht="15" hidden="1" outlineLevel="2">
      <c r="B3597" s="2889" t="s">
        <v>1635</v>
      </c>
      <c r="C3597" s="2889" t="s">
        <v>1613</v>
      </c>
      <c r="D3597" s="2889" t="s">
        <v>1608</v>
      </c>
      <c r="E3597" s="2889" t="s">
        <v>1612</v>
      </c>
      <c r="F3597" s="3040"/>
      <c r="G3597" s="2890">
        <v>1.1278778647508745</v>
      </c>
    </row>
    <row r="3598" spans="2:7" ht="15" hidden="1" outlineLevel="2">
      <c r="B3598" s="2889" t="s">
        <v>1636</v>
      </c>
      <c r="C3598" s="2889" t="s">
        <v>1613</v>
      </c>
      <c r="D3598" s="2889" t="s">
        <v>1608</v>
      </c>
      <c r="E3598" s="2889" t="s">
        <v>1612</v>
      </c>
      <c r="F3598" s="3040"/>
      <c r="G3598" s="2890">
        <v>13.534536794501248</v>
      </c>
    </row>
    <row r="3599" spans="2:7" ht="15" hidden="1" outlineLevel="2">
      <c r="B3599" s="2889" t="s">
        <v>1637</v>
      </c>
      <c r="C3599" s="2889" t="s">
        <v>1613</v>
      </c>
      <c r="D3599" s="2889" t="s">
        <v>1608</v>
      </c>
      <c r="E3599" s="2889" t="s">
        <v>1612</v>
      </c>
      <c r="F3599" s="3040"/>
      <c r="G3599" s="2890">
        <v>14.098472474098665</v>
      </c>
    </row>
    <row r="3600" spans="2:7" ht="15" hidden="1" outlineLevel="2">
      <c r="B3600" s="2889" t="s">
        <v>1638</v>
      </c>
      <c r="C3600" s="2889" t="s">
        <v>1613</v>
      </c>
      <c r="D3600" s="2889" t="s">
        <v>1608</v>
      </c>
      <c r="E3600" s="2889" t="s">
        <v>1612</v>
      </c>
      <c r="F3600" s="3040"/>
      <c r="G3600" s="2890">
        <v>44.269196335862809</v>
      </c>
    </row>
    <row r="3601" spans="2:7" ht="15" hidden="1" outlineLevel="2">
      <c r="B3601" s="2889" t="s">
        <v>1639</v>
      </c>
      <c r="C3601" s="2889" t="s">
        <v>1613</v>
      </c>
      <c r="D3601" s="2889" t="s">
        <v>1608</v>
      </c>
      <c r="E3601" s="2889" t="s">
        <v>1612</v>
      </c>
      <c r="F3601" s="3040"/>
      <c r="G3601" s="2890">
        <v>1.6918163883910575</v>
      </c>
    </row>
    <row r="3602" spans="2:7" ht="15" hidden="1" outlineLevel="2">
      <c r="B3602" s="2889" t="s">
        <v>1640</v>
      </c>
      <c r="C3602" s="2889" t="s">
        <v>1613</v>
      </c>
      <c r="D3602" s="2889" t="s">
        <v>1608</v>
      </c>
      <c r="E3602" s="2889" t="s">
        <v>1612</v>
      </c>
      <c r="F3602" s="3040"/>
      <c r="G3602" s="2890">
        <v>2.9606800407310416</v>
      </c>
    </row>
    <row r="3603" spans="2:7" ht="15" hidden="1" outlineLevel="2">
      <c r="B3603" s="2889" t="s">
        <v>1641</v>
      </c>
      <c r="C3603" s="2889" t="s">
        <v>1613</v>
      </c>
      <c r="D3603" s="2889" t="s">
        <v>1608</v>
      </c>
      <c r="E3603" s="2889" t="s">
        <v>1612</v>
      </c>
      <c r="F3603" s="3040"/>
      <c r="G3603" s="2890">
        <v>10.432872683380964</v>
      </c>
    </row>
    <row r="3604" spans="2:7" ht="15" hidden="1" outlineLevel="2">
      <c r="B3604" s="2889" t="s">
        <v>1642</v>
      </c>
      <c r="C3604" s="2889" t="s">
        <v>1613</v>
      </c>
      <c r="D3604" s="2889" t="s">
        <v>1608</v>
      </c>
      <c r="E3604" s="2889" t="s">
        <v>1612</v>
      </c>
      <c r="F3604" s="2891"/>
      <c r="G3604" s="2890">
        <v>0.56393903865207484</v>
      </c>
    </row>
    <row r="3605" spans="2:7" ht="15" hidden="1" outlineLevel="2">
      <c r="B3605" s="2889" t="s">
        <v>1643</v>
      </c>
      <c r="C3605" s="2889" t="s">
        <v>1613</v>
      </c>
      <c r="D3605" s="2889" t="s">
        <v>1608</v>
      </c>
      <c r="E3605" s="2889" t="s">
        <v>1612</v>
      </c>
      <c r="F3605" s="2891"/>
      <c r="G3605" s="2890">
        <v>20.859242342606091</v>
      </c>
    </row>
    <row r="3606" spans="2:7" ht="15" hidden="1" outlineLevel="2">
      <c r="B3606" s="2889" t="s">
        <v>1644</v>
      </c>
      <c r="C3606" s="2889" t="s">
        <v>1613</v>
      </c>
      <c r="D3606" s="2889" t="s">
        <v>1608</v>
      </c>
      <c r="E3606" s="2889" t="s">
        <v>1612</v>
      </c>
      <c r="F3606" s="3040"/>
      <c r="G3606" s="2890">
        <v>4.2295396937791532</v>
      </c>
    </row>
    <row r="3607" spans="2:7" ht="15" hidden="1" outlineLevel="2">
      <c r="B3607" s="2889" t="s">
        <v>1645</v>
      </c>
      <c r="C3607" s="2889" t="s">
        <v>1613</v>
      </c>
      <c r="D3607" s="2889" t="s">
        <v>1608</v>
      </c>
      <c r="E3607" s="2889" t="s">
        <v>1612</v>
      </c>
      <c r="F3607" s="3040"/>
      <c r="G3607" s="2890">
        <v>4.7934830138798947</v>
      </c>
    </row>
    <row r="3608" spans="2:7" ht="15" hidden="1" outlineLevel="2">
      <c r="B3608" s="2889" t="s">
        <v>1646</v>
      </c>
      <c r="C3608" s="2889" t="s">
        <v>1613</v>
      </c>
      <c r="D3608" s="2889" t="s">
        <v>1608</v>
      </c>
      <c r="E3608" s="2889" t="s">
        <v>1612</v>
      </c>
      <c r="F3608" s="3040"/>
      <c r="G3608" s="2890">
        <v>13.252565271885237</v>
      </c>
    </row>
    <row r="3609" spans="2:7" ht="15" hidden="1" outlineLevel="2">
      <c r="B3609" s="2889" t="s">
        <v>1647</v>
      </c>
      <c r="C3609" s="2889" t="s">
        <v>1613</v>
      </c>
      <c r="D3609" s="2889" t="s">
        <v>1608</v>
      </c>
      <c r="E3609" s="2889" t="s">
        <v>1612</v>
      </c>
      <c r="F3609" s="3040"/>
      <c r="G3609" s="2890">
        <v>28.055968688724672</v>
      </c>
    </row>
    <row r="3610" spans="2:7" ht="15" hidden="1" outlineLevel="2">
      <c r="B3610" s="2889" t="s">
        <v>1648</v>
      </c>
      <c r="C3610" s="2889" t="s">
        <v>1613</v>
      </c>
      <c r="D3610" s="2889" t="s">
        <v>1608</v>
      </c>
      <c r="E3610" s="2889" t="s">
        <v>1612</v>
      </c>
      <c r="F3610" s="3040"/>
      <c r="G3610" s="2890">
        <v>22.698542669726024</v>
      </c>
    </row>
    <row r="3611" spans="2:7" ht="15" hidden="1" outlineLevel="2">
      <c r="B3611" s="2889" t="s">
        <v>1649</v>
      </c>
      <c r="C3611" s="2889" t="s">
        <v>1613</v>
      </c>
      <c r="D3611" s="2889" t="s">
        <v>1608</v>
      </c>
      <c r="E3611" s="2889" t="s">
        <v>1612</v>
      </c>
      <c r="F3611" s="3040"/>
      <c r="G3611" s="2890">
        <v>25.659218919550813</v>
      </c>
    </row>
    <row r="3612" spans="2:7" ht="15" hidden="1" outlineLevel="2">
      <c r="B3612" s="2889" t="s">
        <v>1650</v>
      </c>
      <c r="C3612" s="2889" t="s">
        <v>1613</v>
      </c>
      <c r="D3612" s="2889" t="s">
        <v>1608</v>
      </c>
      <c r="E3612" s="2889" t="s">
        <v>1612</v>
      </c>
      <c r="F3612" s="3040"/>
      <c r="G3612" s="2890">
        <v>3.3836346703051579</v>
      </c>
    </row>
    <row r="3613" spans="2:7" ht="15" hidden="1" outlineLevel="2">
      <c r="B3613" s="2889" t="s">
        <v>1651</v>
      </c>
      <c r="C3613" s="2889" t="s">
        <v>1613</v>
      </c>
      <c r="D3613" s="2889" t="s">
        <v>1608</v>
      </c>
      <c r="E3613" s="2889" t="s">
        <v>1612</v>
      </c>
      <c r="F3613" s="3040"/>
      <c r="G3613" s="2890">
        <v>6.2033293173438553</v>
      </c>
    </row>
    <row r="3614" spans="2:7" ht="15" hidden="1" outlineLevel="2">
      <c r="B3614" s="2889" t="s">
        <v>1652</v>
      </c>
      <c r="C3614" s="2889" t="s">
        <v>1613</v>
      </c>
      <c r="D3614" s="2889" t="s">
        <v>1608</v>
      </c>
      <c r="E3614" s="2889" t="s">
        <v>1612</v>
      </c>
      <c r="F3614" s="3040"/>
      <c r="G3614" s="2890">
        <v>45.679042856475512</v>
      </c>
    </row>
    <row r="3615" spans="2:7" ht="15" hidden="1" outlineLevel="2">
      <c r="B3615" s="2889" t="s">
        <v>1653</v>
      </c>
      <c r="C3615" s="2889" t="s">
        <v>1613</v>
      </c>
      <c r="D3615" s="2889" t="s">
        <v>1608</v>
      </c>
      <c r="E3615" s="2889" t="s">
        <v>1612</v>
      </c>
      <c r="F3615" s="3040"/>
      <c r="G3615" s="2890">
        <v>4.3705261112404701</v>
      </c>
    </row>
    <row r="3616" spans="2:7" ht="15" outlineLevel="1" collapsed="1">
      <c r="B3616" s="2889"/>
      <c r="C3616" s="2889"/>
      <c r="D3616" s="2889"/>
      <c r="E3616" s="3042" t="s">
        <v>1683</v>
      </c>
      <c r="F3616" s="3040">
        <f>SUBTOTAL(9,F3568:F3615)</f>
        <v>0.1420740085064153</v>
      </c>
      <c r="G3616" s="2890">
        <f>SUBTOTAL(9,G3568:G3615)</f>
        <v>88359.709537281567</v>
      </c>
    </row>
    <row r="3617" spans="2:7" ht="15" hidden="1" outlineLevel="2">
      <c r="B3617" s="2889" t="s">
        <v>1407</v>
      </c>
      <c r="C3617" s="2889" t="s">
        <v>1628</v>
      </c>
      <c r="D3617" s="2889" t="s">
        <v>1619</v>
      </c>
      <c r="E3617" s="2889" t="s">
        <v>1426</v>
      </c>
      <c r="F3617" s="3040"/>
      <c r="G3617" s="2890">
        <v>142.09373670000505</v>
      </c>
    </row>
    <row r="3618" spans="2:7" ht="15" hidden="1" outlineLevel="2">
      <c r="B3618" s="2889" t="s">
        <v>1631</v>
      </c>
      <c r="C3618" s="2889" t="s">
        <v>1628</v>
      </c>
      <c r="D3618" s="2889" t="s">
        <v>1619</v>
      </c>
      <c r="E3618" s="2889" t="s">
        <v>1426</v>
      </c>
      <c r="F3618" s="2890">
        <v>1.2237064805864962E-2</v>
      </c>
      <c r="G3618" s="2890">
        <v>284.18749510955115</v>
      </c>
    </row>
    <row r="3619" spans="2:7" ht="15" hidden="1" outlineLevel="2">
      <c r="B3619" s="2889" t="s">
        <v>1632</v>
      </c>
      <c r="C3619" s="2889" t="s">
        <v>1628</v>
      </c>
      <c r="D3619" s="2889" t="s">
        <v>1619</v>
      </c>
      <c r="E3619" s="2889" t="s">
        <v>1426</v>
      </c>
      <c r="F3619" s="3040"/>
      <c r="G3619" s="2890">
        <v>142.09373670000505</v>
      </c>
    </row>
    <row r="3620" spans="2:7" ht="15" hidden="1" outlineLevel="2">
      <c r="B3620" s="2889" t="s">
        <v>1633</v>
      </c>
      <c r="C3620" s="2889" t="s">
        <v>1628</v>
      </c>
      <c r="D3620" s="2889" t="s">
        <v>1619</v>
      </c>
      <c r="E3620" s="2889" t="s">
        <v>1426</v>
      </c>
      <c r="F3620" s="3040"/>
      <c r="G3620" s="2890">
        <v>3.9412429149442822E-29</v>
      </c>
    </row>
    <row r="3621" spans="2:7" ht="15" hidden="1" outlineLevel="2">
      <c r="B3621" s="2889" t="s">
        <v>1634</v>
      </c>
      <c r="C3621" s="2889" t="s">
        <v>1628</v>
      </c>
      <c r="D3621" s="2889" t="s">
        <v>1619</v>
      </c>
      <c r="E3621" s="2889" t="s">
        <v>1426</v>
      </c>
      <c r="F3621" s="3040"/>
      <c r="G3621" s="2890">
        <v>142.09373670000505</v>
      </c>
    </row>
    <row r="3622" spans="2:7" ht="15" hidden="1" outlineLevel="2">
      <c r="B3622" s="2889" t="s">
        <v>1635</v>
      </c>
      <c r="C3622" s="2889" t="s">
        <v>1628</v>
      </c>
      <c r="D3622" s="2889" t="s">
        <v>1619</v>
      </c>
      <c r="E3622" s="2889" t="s">
        <v>1426</v>
      </c>
      <c r="F3622" s="2891"/>
      <c r="G3622" s="2890">
        <v>142.09373670000505</v>
      </c>
    </row>
    <row r="3623" spans="2:7" ht="15" hidden="1" outlineLevel="2">
      <c r="B3623" s="2889" t="s">
        <v>1636</v>
      </c>
      <c r="C3623" s="2889" t="s">
        <v>1628</v>
      </c>
      <c r="D3623" s="2889" t="s">
        <v>1619</v>
      </c>
      <c r="E3623" s="2889" t="s">
        <v>1426</v>
      </c>
      <c r="F3623" s="2891"/>
      <c r="G3623" s="2890">
        <v>378.91666585936753</v>
      </c>
    </row>
    <row r="3624" spans="2:7" ht="15" hidden="1" outlineLevel="2">
      <c r="B3624" s="2889" t="s">
        <v>1637</v>
      </c>
      <c r="C3624" s="2889" t="s">
        <v>1628</v>
      </c>
      <c r="D3624" s="2889" t="s">
        <v>1619</v>
      </c>
      <c r="E3624" s="2889" t="s">
        <v>1426</v>
      </c>
      <c r="F3624" s="2891"/>
      <c r="G3624" s="2890">
        <v>142.09373670000505</v>
      </c>
    </row>
    <row r="3625" spans="2:7" ht="15" hidden="1" outlineLevel="2">
      <c r="B3625" s="2889" t="s">
        <v>1638</v>
      </c>
      <c r="C3625" s="2889" t="s">
        <v>1628</v>
      </c>
      <c r="D3625" s="2889" t="s">
        <v>1619</v>
      </c>
      <c r="E3625" s="2889" t="s">
        <v>1426</v>
      </c>
      <c r="F3625" s="2891"/>
      <c r="G3625" s="2890">
        <v>47.364569184419921</v>
      </c>
    </row>
    <row r="3626" spans="2:7" ht="15" hidden="1" outlineLevel="2">
      <c r="B3626" s="2889" t="s">
        <v>1639</v>
      </c>
      <c r="C3626" s="2889" t="s">
        <v>1628</v>
      </c>
      <c r="D3626" s="2889" t="s">
        <v>1619</v>
      </c>
      <c r="E3626" s="2889" t="s">
        <v>1426</v>
      </c>
      <c r="F3626" s="2891"/>
      <c r="G3626" s="2890">
        <v>142.09373670000505</v>
      </c>
    </row>
    <row r="3627" spans="2:7" ht="15" hidden="1" outlineLevel="2">
      <c r="B3627" s="2889" t="s">
        <v>1640</v>
      </c>
      <c r="C3627" s="2889" t="s">
        <v>1628</v>
      </c>
      <c r="D3627" s="2889" t="s">
        <v>1619</v>
      </c>
      <c r="E3627" s="2889" t="s">
        <v>1426</v>
      </c>
      <c r="F3627" s="2891"/>
      <c r="G3627" s="2890">
        <v>142.09373670000505</v>
      </c>
    </row>
    <row r="3628" spans="2:7" ht="15" hidden="1" outlineLevel="2">
      <c r="B3628" s="2889" t="s">
        <v>1641</v>
      </c>
      <c r="C3628" s="2889" t="s">
        <v>1628</v>
      </c>
      <c r="D3628" s="2889" t="s">
        <v>1619</v>
      </c>
      <c r="E3628" s="2889" t="s">
        <v>1426</v>
      </c>
      <c r="F3628" s="2891"/>
      <c r="G3628" s="2890">
        <v>236.8229042114578</v>
      </c>
    </row>
    <row r="3629" spans="2:7" ht="15" hidden="1" outlineLevel="2">
      <c r="B3629" s="2889" t="s">
        <v>1642</v>
      </c>
      <c r="C3629" s="2889" t="s">
        <v>1628</v>
      </c>
      <c r="D3629" s="2889" t="s">
        <v>1619</v>
      </c>
      <c r="E3629" s="2889" t="s">
        <v>1426</v>
      </c>
      <c r="F3629" s="2891"/>
      <c r="G3629" s="2890">
        <v>50.400983409862945</v>
      </c>
    </row>
    <row r="3630" spans="2:7" ht="15" hidden="1" outlineLevel="2">
      <c r="B3630" s="2889" t="s">
        <v>1643</v>
      </c>
      <c r="C3630" s="2889" t="s">
        <v>1628</v>
      </c>
      <c r="D3630" s="2889" t="s">
        <v>1619</v>
      </c>
      <c r="E3630" s="2889" t="s">
        <v>1426</v>
      </c>
      <c r="F3630" s="2891"/>
      <c r="G3630" s="2890">
        <v>218.07082168546077</v>
      </c>
    </row>
    <row r="3631" spans="2:7" ht="15" hidden="1" outlineLevel="2">
      <c r="B3631" s="2889" t="s">
        <v>1644</v>
      </c>
      <c r="C3631" s="2889" t="s">
        <v>1628</v>
      </c>
      <c r="D3631" s="2889" t="s">
        <v>1619</v>
      </c>
      <c r="E3631" s="2889" t="s">
        <v>1426</v>
      </c>
      <c r="F3631" s="2891"/>
      <c r="G3631" s="2890">
        <v>284.18749510955115</v>
      </c>
    </row>
    <row r="3632" spans="2:7" ht="15" hidden="1" outlineLevel="2">
      <c r="B3632" s="2889" t="s">
        <v>1645</v>
      </c>
      <c r="C3632" s="2889" t="s">
        <v>1628</v>
      </c>
      <c r="D3632" s="2889" t="s">
        <v>1619</v>
      </c>
      <c r="E3632" s="2889" t="s">
        <v>1426</v>
      </c>
      <c r="F3632" s="3040"/>
      <c r="G3632" s="2890">
        <v>142.09373670146664</v>
      </c>
    </row>
    <row r="3633" spans="2:7" ht="15" hidden="1" outlineLevel="2">
      <c r="B3633" s="2889" t="s">
        <v>1646</v>
      </c>
      <c r="C3633" s="2889" t="s">
        <v>1628</v>
      </c>
      <c r="D3633" s="2889" t="s">
        <v>1619</v>
      </c>
      <c r="E3633" s="2889" t="s">
        <v>1426</v>
      </c>
      <c r="F3633" s="3040"/>
      <c r="G3633" s="2890">
        <v>94.729131698517364</v>
      </c>
    </row>
    <row r="3634" spans="2:7" ht="15" hidden="1" outlineLevel="2">
      <c r="B3634" s="2889" t="s">
        <v>1647</v>
      </c>
      <c r="C3634" s="2889" t="s">
        <v>1628</v>
      </c>
      <c r="D3634" s="2889" t="s">
        <v>1619</v>
      </c>
      <c r="E3634" s="2889" t="s">
        <v>1426</v>
      </c>
      <c r="F3634" s="2891"/>
      <c r="G3634" s="2890">
        <v>94.729131698517477</v>
      </c>
    </row>
    <row r="3635" spans="2:7" ht="15" hidden="1" outlineLevel="2">
      <c r="B3635" s="2889" t="s">
        <v>1648</v>
      </c>
      <c r="C3635" s="2889" t="s">
        <v>1628</v>
      </c>
      <c r="D3635" s="2889" t="s">
        <v>1619</v>
      </c>
      <c r="E3635" s="2889" t="s">
        <v>1426</v>
      </c>
      <c r="F3635" s="3040"/>
      <c r="G3635" s="2890">
        <v>3.9412429149442822E-29</v>
      </c>
    </row>
    <row r="3636" spans="2:7" ht="15" hidden="1" outlineLevel="2">
      <c r="B3636" s="2889" t="s">
        <v>1649</v>
      </c>
      <c r="C3636" s="2889" t="s">
        <v>1628</v>
      </c>
      <c r="D3636" s="2889" t="s">
        <v>1619</v>
      </c>
      <c r="E3636" s="2889" t="s">
        <v>1426</v>
      </c>
      <c r="F3636" s="3040"/>
      <c r="G3636" s="2890">
        <v>3.9412429149442822E-29</v>
      </c>
    </row>
    <row r="3637" spans="2:7" ht="15" hidden="1" outlineLevel="2">
      <c r="B3637" s="2889" t="s">
        <v>1650</v>
      </c>
      <c r="C3637" s="2889" t="s">
        <v>1628</v>
      </c>
      <c r="D3637" s="2889" t="s">
        <v>1619</v>
      </c>
      <c r="E3637" s="2889" t="s">
        <v>1426</v>
      </c>
      <c r="F3637" s="3040"/>
      <c r="G3637" s="2890">
        <v>142.09373670000505</v>
      </c>
    </row>
    <row r="3638" spans="2:7" ht="15" hidden="1" outlineLevel="2">
      <c r="B3638" s="2889" t="s">
        <v>1651</v>
      </c>
      <c r="C3638" s="2889" t="s">
        <v>1628</v>
      </c>
      <c r="D3638" s="2889" t="s">
        <v>1619</v>
      </c>
      <c r="E3638" s="2889" t="s">
        <v>1426</v>
      </c>
      <c r="F3638" s="3040"/>
      <c r="G3638" s="2890">
        <v>142.09373670146664</v>
      </c>
    </row>
    <row r="3639" spans="2:7" ht="15" hidden="1" outlineLevel="2">
      <c r="B3639" s="2889" t="s">
        <v>1652</v>
      </c>
      <c r="C3639" s="2889" t="s">
        <v>1628</v>
      </c>
      <c r="D3639" s="2889" t="s">
        <v>1619</v>
      </c>
      <c r="E3639" s="2889" t="s">
        <v>1426</v>
      </c>
      <c r="F3639" s="3040"/>
      <c r="G3639" s="2890">
        <v>189.45830064831205</v>
      </c>
    </row>
    <row r="3640" spans="2:7" ht="15" hidden="1" outlineLevel="2">
      <c r="B3640" s="2889" t="s">
        <v>1653</v>
      </c>
      <c r="C3640" s="2889" t="s">
        <v>1628</v>
      </c>
      <c r="D3640" s="2889" t="s">
        <v>1619</v>
      </c>
      <c r="E3640" s="2889" t="s">
        <v>1426</v>
      </c>
      <c r="F3640" s="3040"/>
      <c r="G3640" s="2890">
        <v>3.9412429149442822E-29</v>
      </c>
    </row>
    <row r="3641" spans="2:7" ht="15" hidden="1" outlineLevel="2">
      <c r="B3641" s="2889" t="s">
        <v>1407</v>
      </c>
      <c r="C3641" s="2889" t="s">
        <v>1506</v>
      </c>
      <c r="D3641" s="2889" t="s">
        <v>1054</v>
      </c>
      <c r="E3641" s="2889" t="s">
        <v>1426</v>
      </c>
      <c r="F3641" s="3040"/>
      <c r="G3641" s="2890">
        <v>112.92892940228325</v>
      </c>
    </row>
    <row r="3642" spans="2:7" ht="15" hidden="1" outlineLevel="2">
      <c r="B3642" s="2889" t="s">
        <v>1631</v>
      </c>
      <c r="C3642" s="2889" t="s">
        <v>1506</v>
      </c>
      <c r="D3642" s="2889" t="s">
        <v>1054</v>
      </c>
      <c r="E3642" s="2889" t="s">
        <v>1426</v>
      </c>
      <c r="F3642" s="2890">
        <v>6.2063333535991375E-2</v>
      </c>
      <c r="G3642" s="2890">
        <v>1874.0373568088044</v>
      </c>
    </row>
    <row r="3643" spans="2:7" ht="15" hidden="1" outlineLevel="2">
      <c r="B3643" s="2889" t="s">
        <v>1632</v>
      </c>
      <c r="C3643" s="2889" t="s">
        <v>1506</v>
      </c>
      <c r="D3643" s="2889" t="s">
        <v>1054</v>
      </c>
      <c r="E3643" s="2889" t="s">
        <v>1426</v>
      </c>
      <c r="F3643" s="3040"/>
      <c r="G3643" s="2890">
        <v>4340.8615878848386</v>
      </c>
    </row>
    <row r="3644" spans="2:7" ht="15" hidden="1" outlineLevel="2">
      <c r="B3644" s="2889" t="s">
        <v>1633</v>
      </c>
      <c r="C3644" s="2889" t="s">
        <v>1506</v>
      </c>
      <c r="D3644" s="2889" t="s">
        <v>1054</v>
      </c>
      <c r="E3644" s="2889" t="s">
        <v>1426</v>
      </c>
      <c r="F3644" s="3040"/>
      <c r="G3644" s="2890">
        <v>352.2702525046123</v>
      </c>
    </row>
    <row r="3645" spans="2:7" ht="15" hidden="1" outlineLevel="2">
      <c r="B3645" s="2889" t="s">
        <v>1634</v>
      </c>
      <c r="C3645" s="2889" t="s">
        <v>1506</v>
      </c>
      <c r="D3645" s="2889" t="s">
        <v>1054</v>
      </c>
      <c r="E3645" s="2889" t="s">
        <v>1426</v>
      </c>
      <c r="F3645" s="3040"/>
      <c r="G3645" s="2890">
        <v>65.292257428933468</v>
      </c>
    </row>
    <row r="3646" spans="2:7" ht="15" hidden="1" outlineLevel="2">
      <c r="B3646" s="2889" t="s">
        <v>1635</v>
      </c>
      <c r="C3646" s="2889" t="s">
        <v>1506</v>
      </c>
      <c r="D3646" s="2889" t="s">
        <v>1054</v>
      </c>
      <c r="E3646" s="2889" t="s">
        <v>1426</v>
      </c>
      <c r="F3646" s="3040"/>
      <c r="G3646" s="2890">
        <v>550.71955907221923</v>
      </c>
    </row>
    <row r="3647" spans="2:7" ht="15" hidden="1" outlineLevel="2">
      <c r="B3647" s="2889" t="s">
        <v>1636</v>
      </c>
      <c r="C3647" s="2889" t="s">
        <v>1506</v>
      </c>
      <c r="D3647" s="2889" t="s">
        <v>1054</v>
      </c>
      <c r="E3647" s="2889" t="s">
        <v>1426</v>
      </c>
      <c r="F3647" s="3040"/>
      <c r="G3647" s="2890">
        <v>483.44729608395437</v>
      </c>
    </row>
    <row r="3648" spans="2:7" ht="15" hidden="1" outlineLevel="2">
      <c r="B3648" s="2889" t="s">
        <v>1637</v>
      </c>
      <c r="C3648" s="2889" t="s">
        <v>1506</v>
      </c>
      <c r="D3648" s="2889" t="s">
        <v>1054</v>
      </c>
      <c r="E3648" s="2889" t="s">
        <v>1426</v>
      </c>
      <c r="F3648" s="3040"/>
      <c r="G3648" s="2890">
        <v>802.89173118326619</v>
      </c>
    </row>
    <row r="3649" spans="2:7" ht="15" hidden="1" outlineLevel="2">
      <c r="B3649" s="2889" t="s">
        <v>1638</v>
      </c>
      <c r="C3649" s="2889" t="s">
        <v>1506</v>
      </c>
      <c r="D3649" s="2889" t="s">
        <v>1054</v>
      </c>
      <c r="E3649" s="2889" t="s">
        <v>1426</v>
      </c>
      <c r="F3649" s="3040"/>
      <c r="G3649" s="2890">
        <v>104.8011144571137</v>
      </c>
    </row>
    <row r="3650" spans="2:7" ht="15" hidden="1" outlineLevel="2">
      <c r="B3650" s="2889" t="s">
        <v>1639</v>
      </c>
      <c r="C3650" s="2889" t="s">
        <v>1506</v>
      </c>
      <c r="D3650" s="2889" t="s">
        <v>1054</v>
      </c>
      <c r="E3650" s="2889" t="s">
        <v>1426</v>
      </c>
      <c r="F3650" s="3040"/>
      <c r="G3650" s="2890">
        <v>963.54446895641991</v>
      </c>
    </row>
    <row r="3651" spans="2:7" ht="15" hidden="1" outlineLevel="2">
      <c r="B3651" s="2889" t="s">
        <v>1640</v>
      </c>
      <c r="C3651" s="2889" t="s">
        <v>1506</v>
      </c>
      <c r="D3651" s="2889" t="s">
        <v>1054</v>
      </c>
      <c r="E3651" s="2889" t="s">
        <v>1426</v>
      </c>
      <c r="F3651" s="3040"/>
      <c r="G3651" s="2890">
        <v>226.53770376503471</v>
      </c>
    </row>
    <row r="3652" spans="2:7" ht="15" hidden="1" outlineLevel="2">
      <c r="B3652" s="2889" t="s">
        <v>1641</v>
      </c>
      <c r="C3652" s="2889" t="s">
        <v>1506</v>
      </c>
      <c r="D3652" s="2889" t="s">
        <v>1054</v>
      </c>
      <c r="E3652" s="2889" t="s">
        <v>1426</v>
      </c>
      <c r="F3652" s="3040"/>
      <c r="G3652" s="2890">
        <v>1160.40916776105</v>
      </c>
    </row>
    <row r="3653" spans="2:7" ht="15" hidden="1" outlineLevel="2">
      <c r="B3653" s="2889" t="s">
        <v>1642</v>
      </c>
      <c r="C3653" s="2889" t="s">
        <v>1506</v>
      </c>
      <c r="D3653" s="2889" t="s">
        <v>1054</v>
      </c>
      <c r="E3653" s="2889" t="s">
        <v>1426</v>
      </c>
      <c r="F3653" s="3040"/>
      <c r="G3653" s="2890">
        <v>832.92381542593853</v>
      </c>
    </row>
    <row r="3654" spans="2:7" ht="15" hidden="1" outlineLevel="2">
      <c r="B3654" s="2889" t="s">
        <v>1643</v>
      </c>
      <c r="C3654" s="2889" t="s">
        <v>1506</v>
      </c>
      <c r="D3654" s="2889" t="s">
        <v>1054</v>
      </c>
      <c r="E3654" s="2889" t="s">
        <v>1426</v>
      </c>
      <c r="F3654" s="3040"/>
      <c r="G3654" s="2890">
        <v>123.14668351426195</v>
      </c>
    </row>
    <row r="3655" spans="2:7" ht="15" hidden="1" outlineLevel="2">
      <c r="B3655" s="2889" t="s">
        <v>1644</v>
      </c>
      <c r="C3655" s="2889" t="s">
        <v>1506</v>
      </c>
      <c r="D3655" s="2889" t="s">
        <v>1054</v>
      </c>
      <c r="E3655" s="2889" t="s">
        <v>1426</v>
      </c>
      <c r="F3655" s="2891"/>
      <c r="G3655" s="2890">
        <v>2711.2806585827957</v>
      </c>
    </row>
    <row r="3656" spans="2:7" ht="15" hidden="1" outlineLevel="2">
      <c r="B3656" s="2889" t="s">
        <v>1645</v>
      </c>
      <c r="C3656" s="2889" t="s">
        <v>1506</v>
      </c>
      <c r="D3656" s="2889" t="s">
        <v>1054</v>
      </c>
      <c r="E3656" s="2889" t="s">
        <v>1426</v>
      </c>
      <c r="F3656" s="2891"/>
      <c r="G3656" s="2890">
        <v>3096.3665845338423</v>
      </c>
    </row>
    <row r="3657" spans="2:7" ht="15" hidden="1" outlineLevel="2">
      <c r="B3657" s="2889" t="s">
        <v>1646</v>
      </c>
      <c r="C3657" s="2889" t="s">
        <v>1506</v>
      </c>
      <c r="D3657" s="2889" t="s">
        <v>1054</v>
      </c>
      <c r="E3657" s="2889" t="s">
        <v>1426</v>
      </c>
      <c r="F3657" s="2891"/>
      <c r="G3657" s="2890">
        <v>181.06783786850019</v>
      </c>
    </row>
    <row r="3658" spans="2:7" ht="15" hidden="1" outlineLevel="2">
      <c r="B3658" s="2889" t="s">
        <v>1647</v>
      </c>
      <c r="C3658" s="2889" t="s">
        <v>1506</v>
      </c>
      <c r="D3658" s="2889" t="s">
        <v>1054</v>
      </c>
      <c r="E3658" s="2889" t="s">
        <v>1426</v>
      </c>
      <c r="F3658" s="2891"/>
      <c r="G3658" s="2890">
        <v>451.98119250186147</v>
      </c>
    </row>
    <row r="3659" spans="2:7" ht="15" hidden="1" outlineLevel="2">
      <c r="B3659" s="2889" t="s">
        <v>1648</v>
      </c>
      <c r="C3659" s="2889" t="s">
        <v>1506</v>
      </c>
      <c r="D3659" s="2889" t="s">
        <v>1054</v>
      </c>
      <c r="E3659" s="2889" t="s">
        <v>1426</v>
      </c>
      <c r="F3659" s="2891"/>
      <c r="G3659" s="2890">
        <v>50.672404110038215</v>
      </c>
    </row>
    <row r="3660" spans="2:7" ht="15" hidden="1" outlineLevel="2">
      <c r="B3660" s="2889" t="s">
        <v>1649</v>
      </c>
      <c r="C3660" s="2889" t="s">
        <v>1506</v>
      </c>
      <c r="D3660" s="2889" t="s">
        <v>1054</v>
      </c>
      <c r="E3660" s="2889" t="s">
        <v>1426</v>
      </c>
      <c r="F3660" s="2891"/>
      <c r="G3660" s="2890">
        <v>240.35448158654685</v>
      </c>
    </row>
    <row r="3661" spans="2:7" ht="15" hidden="1" outlineLevel="2">
      <c r="B3661" s="2889" t="s">
        <v>1650</v>
      </c>
      <c r="C3661" s="2889" t="s">
        <v>1506</v>
      </c>
      <c r="D3661" s="2889" t="s">
        <v>1054</v>
      </c>
      <c r="E3661" s="2889" t="s">
        <v>1426</v>
      </c>
      <c r="F3661" s="3040"/>
      <c r="G3661" s="2890">
        <v>600.53571992976708</v>
      </c>
    </row>
    <row r="3662" spans="2:7" ht="15" hidden="1" outlineLevel="2">
      <c r="B3662" s="2889" t="s">
        <v>1651</v>
      </c>
      <c r="C3662" s="2889" t="s">
        <v>1506</v>
      </c>
      <c r="D3662" s="2889" t="s">
        <v>1054</v>
      </c>
      <c r="E3662" s="2889" t="s">
        <v>1426</v>
      </c>
      <c r="F3662" s="3040"/>
      <c r="G3662" s="2890">
        <v>328.57067439068271</v>
      </c>
    </row>
    <row r="3663" spans="2:7" ht="15" hidden="1" outlineLevel="2">
      <c r="B3663" s="2889" t="s">
        <v>1652</v>
      </c>
      <c r="C3663" s="2889" t="s">
        <v>1506</v>
      </c>
      <c r="D3663" s="2889" t="s">
        <v>1054</v>
      </c>
      <c r="E3663" s="2889" t="s">
        <v>1426</v>
      </c>
      <c r="F3663" s="3040"/>
      <c r="G3663" s="2890">
        <v>360.79948700723946</v>
      </c>
    </row>
    <row r="3664" spans="2:7" ht="15" hidden="1" outlineLevel="2">
      <c r="B3664" s="2889" t="s">
        <v>1653</v>
      </c>
      <c r="C3664" s="2889" t="s">
        <v>1506</v>
      </c>
      <c r="D3664" s="2889" t="s">
        <v>1054</v>
      </c>
      <c r="E3664" s="2889" t="s">
        <v>1426</v>
      </c>
      <c r="F3664" s="3040"/>
      <c r="G3664" s="2890">
        <v>2.1125038966377829E-29</v>
      </c>
    </row>
    <row r="3665" spans="2:7" ht="15" hidden="1" outlineLevel="2">
      <c r="B3665" s="2889" t="s">
        <v>1407</v>
      </c>
      <c r="C3665" s="2889" t="s">
        <v>1507</v>
      </c>
      <c r="D3665" s="2889" t="s">
        <v>1054</v>
      </c>
      <c r="E3665" s="2889" t="s">
        <v>1426</v>
      </c>
      <c r="F3665" s="3040"/>
      <c r="G3665" s="2890">
        <v>0.18408181297184548</v>
      </c>
    </row>
    <row r="3666" spans="2:7" ht="15" hidden="1" outlineLevel="2">
      <c r="B3666" s="2889" t="s">
        <v>1631</v>
      </c>
      <c r="C3666" s="2889" t="s">
        <v>1507</v>
      </c>
      <c r="D3666" s="2889" t="s">
        <v>1054</v>
      </c>
      <c r="E3666" s="2889" t="s">
        <v>1426</v>
      </c>
      <c r="F3666" s="2890">
        <v>2.2922326966446803E-4</v>
      </c>
      <c r="G3666" s="2890">
        <v>3.0548081027743423</v>
      </c>
    </row>
    <row r="3667" spans="2:7" ht="15" hidden="1" outlineLevel="2">
      <c r="B3667" s="2889" t="s">
        <v>1632</v>
      </c>
      <c r="C3667" s="2889" t="s">
        <v>1507</v>
      </c>
      <c r="D3667" s="2889" t="s">
        <v>1054</v>
      </c>
      <c r="E3667" s="2889" t="s">
        <v>1426</v>
      </c>
      <c r="F3667" s="3040"/>
      <c r="G3667" s="2890">
        <v>7.075898716159438</v>
      </c>
    </row>
    <row r="3668" spans="2:7" ht="15" hidden="1" outlineLevel="2">
      <c r="B3668" s="2889" t="s">
        <v>1633</v>
      </c>
      <c r="C3668" s="2889" t="s">
        <v>1507</v>
      </c>
      <c r="D3668" s="2889" t="s">
        <v>1054</v>
      </c>
      <c r="E3668" s="2889" t="s">
        <v>1426</v>
      </c>
      <c r="F3668" s="3040"/>
      <c r="G3668" s="2890">
        <v>0.57422432591537742</v>
      </c>
    </row>
    <row r="3669" spans="2:7" ht="15" hidden="1" outlineLevel="2">
      <c r="B3669" s="2889" t="s">
        <v>1634</v>
      </c>
      <c r="C3669" s="2889" t="s">
        <v>1507</v>
      </c>
      <c r="D3669" s="2889" t="s">
        <v>1054</v>
      </c>
      <c r="E3669" s="2889" t="s">
        <v>1426</v>
      </c>
      <c r="F3669" s="3040"/>
      <c r="G3669" s="2890">
        <v>0.10643078236226711</v>
      </c>
    </row>
    <row r="3670" spans="2:7" ht="15" hidden="1" outlineLevel="2">
      <c r="B3670" s="2889" t="s">
        <v>1635</v>
      </c>
      <c r="C3670" s="2889" t="s">
        <v>1507</v>
      </c>
      <c r="D3670" s="2889" t="s">
        <v>1054</v>
      </c>
      <c r="E3670" s="2889" t="s">
        <v>1426</v>
      </c>
      <c r="F3670" s="3040"/>
      <c r="G3670" s="2890">
        <v>0.89771046763246454</v>
      </c>
    </row>
    <row r="3671" spans="2:7" ht="15" hidden="1" outlineLevel="2">
      <c r="B3671" s="2889" t="s">
        <v>1636</v>
      </c>
      <c r="C3671" s="2889" t="s">
        <v>1507</v>
      </c>
      <c r="D3671" s="2889" t="s">
        <v>1054</v>
      </c>
      <c r="E3671" s="2889" t="s">
        <v>1426</v>
      </c>
      <c r="F3671" s="3040"/>
      <c r="G3671" s="2890">
        <v>0.7880521867316288</v>
      </c>
    </row>
    <row r="3672" spans="2:7" ht="15" hidden="1" outlineLevel="2">
      <c r="B3672" s="2889" t="s">
        <v>1637</v>
      </c>
      <c r="C3672" s="2889" t="s">
        <v>1507</v>
      </c>
      <c r="D3672" s="2889" t="s">
        <v>1054</v>
      </c>
      <c r="E3672" s="2889" t="s">
        <v>1426</v>
      </c>
      <c r="F3672" s="3040"/>
      <c r="G3672" s="2890">
        <v>1.3087685247288434</v>
      </c>
    </row>
    <row r="3673" spans="2:7" ht="15" hidden="1" outlineLevel="2">
      <c r="B3673" s="2889" t="s">
        <v>1638</v>
      </c>
      <c r="C3673" s="2889" t="s">
        <v>1507</v>
      </c>
      <c r="D3673" s="2889" t="s">
        <v>1054</v>
      </c>
      <c r="E3673" s="2889" t="s">
        <v>1426</v>
      </c>
      <c r="F3673" s="3040"/>
      <c r="G3673" s="2890">
        <v>0.1708329668738004</v>
      </c>
    </row>
    <row r="3674" spans="2:7" ht="15" hidden="1" outlineLevel="2">
      <c r="B3674" s="2889" t="s">
        <v>1639</v>
      </c>
      <c r="C3674" s="2889" t="s">
        <v>1507</v>
      </c>
      <c r="D3674" s="2889" t="s">
        <v>1054</v>
      </c>
      <c r="E3674" s="2889" t="s">
        <v>1426</v>
      </c>
      <c r="F3674" s="3040"/>
      <c r="G3674" s="2890">
        <v>1.5706431951414932</v>
      </c>
    </row>
    <row r="3675" spans="2:7" ht="15" hidden="1" outlineLevel="2">
      <c r="B3675" s="2889" t="s">
        <v>1640</v>
      </c>
      <c r="C3675" s="2889" t="s">
        <v>1507</v>
      </c>
      <c r="D3675" s="2889" t="s">
        <v>1054</v>
      </c>
      <c r="E3675" s="2889" t="s">
        <v>1426</v>
      </c>
      <c r="F3675" s="3040"/>
      <c r="G3675" s="2890">
        <v>0.36927186949696766</v>
      </c>
    </row>
    <row r="3676" spans="2:7" ht="15" hidden="1" outlineLevel="2">
      <c r="B3676" s="2889" t="s">
        <v>1641</v>
      </c>
      <c r="C3676" s="2889" t="s">
        <v>1507</v>
      </c>
      <c r="D3676" s="2889" t="s">
        <v>1054</v>
      </c>
      <c r="E3676" s="2889" t="s">
        <v>1426</v>
      </c>
      <c r="F3676" s="3040"/>
      <c r="G3676" s="2890">
        <v>1.8915456825712469</v>
      </c>
    </row>
    <row r="3677" spans="2:7" ht="15" hidden="1" outlineLevel="2">
      <c r="B3677" s="2889" t="s">
        <v>1642</v>
      </c>
      <c r="C3677" s="2889" t="s">
        <v>1507</v>
      </c>
      <c r="D3677" s="2889" t="s">
        <v>1054</v>
      </c>
      <c r="E3677" s="2889" t="s">
        <v>1426</v>
      </c>
      <c r="F3677" s="3040"/>
      <c r="G3677" s="2890">
        <v>1.357722794414665</v>
      </c>
    </row>
    <row r="3678" spans="2:7" ht="15" hidden="1" outlineLevel="2">
      <c r="B3678" s="2889" t="s">
        <v>1643</v>
      </c>
      <c r="C3678" s="2889" t="s">
        <v>1507</v>
      </c>
      <c r="D3678" s="2889" t="s">
        <v>1054</v>
      </c>
      <c r="E3678" s="2889" t="s">
        <v>1426</v>
      </c>
      <c r="F3678" s="3040"/>
      <c r="G3678" s="2890">
        <v>0.20073750014539174</v>
      </c>
    </row>
    <row r="3679" spans="2:7" ht="15" hidden="1" outlineLevel="2">
      <c r="B3679" s="2889" t="s">
        <v>1644</v>
      </c>
      <c r="C3679" s="2889" t="s">
        <v>1507</v>
      </c>
      <c r="D3679" s="2889" t="s">
        <v>1054</v>
      </c>
      <c r="E3679" s="2889" t="s">
        <v>1426</v>
      </c>
      <c r="F3679" s="3040"/>
      <c r="G3679" s="2890">
        <v>4.4195705235518714</v>
      </c>
    </row>
    <row r="3680" spans="2:7" ht="15" hidden="1" outlineLevel="2">
      <c r="B3680" s="2889" t="s">
        <v>1645</v>
      </c>
      <c r="C3680" s="2889" t="s">
        <v>1507</v>
      </c>
      <c r="D3680" s="2889" t="s">
        <v>1054</v>
      </c>
      <c r="E3680" s="2889" t="s">
        <v>1426</v>
      </c>
      <c r="F3680" s="3040"/>
      <c r="G3680" s="2890">
        <v>5.0472903490246139</v>
      </c>
    </row>
    <row r="3681" spans="2:7" ht="15" hidden="1" outlineLevel="2">
      <c r="B3681" s="2889" t="s">
        <v>1646</v>
      </c>
      <c r="C3681" s="2889" t="s">
        <v>1507</v>
      </c>
      <c r="D3681" s="2889" t="s">
        <v>1054</v>
      </c>
      <c r="E3681" s="2889" t="s">
        <v>1426</v>
      </c>
      <c r="F3681" s="3040"/>
      <c r="G3681" s="2890">
        <v>0.29515285363729743</v>
      </c>
    </row>
    <row r="3682" spans="2:7" ht="15" hidden="1" outlineLevel="2">
      <c r="B3682" s="2889" t="s">
        <v>1647</v>
      </c>
      <c r="C3682" s="2889" t="s">
        <v>1507</v>
      </c>
      <c r="D3682" s="2889" t="s">
        <v>1054</v>
      </c>
      <c r="E3682" s="2889" t="s">
        <v>1426</v>
      </c>
      <c r="F3682" s="3040"/>
      <c r="G3682" s="2890">
        <v>0.73676032264347846</v>
      </c>
    </row>
    <row r="3683" spans="2:7" ht="15" hidden="1" outlineLevel="2">
      <c r="B3683" s="2889" t="s">
        <v>1648</v>
      </c>
      <c r="C3683" s="2889" t="s">
        <v>1507</v>
      </c>
      <c r="D3683" s="2889" t="s">
        <v>1054</v>
      </c>
      <c r="E3683" s="2889" t="s">
        <v>1426</v>
      </c>
      <c r="F3683" s="3040"/>
      <c r="G3683" s="2890">
        <v>8.2599461990348177E-2</v>
      </c>
    </row>
    <row r="3684" spans="2:7" ht="15" hidden="1" outlineLevel="2">
      <c r="B3684" s="2889" t="s">
        <v>1649</v>
      </c>
      <c r="C3684" s="2889" t="s">
        <v>1507</v>
      </c>
      <c r="D3684" s="2889" t="s">
        <v>1054</v>
      </c>
      <c r="E3684" s="2889" t="s">
        <v>1426</v>
      </c>
      <c r="F3684" s="3040"/>
      <c r="G3684" s="2890">
        <v>0.39179421689414573</v>
      </c>
    </row>
    <row r="3685" spans="2:7" ht="15" hidden="1" outlineLevel="2">
      <c r="B3685" s="2889" t="s">
        <v>1650</v>
      </c>
      <c r="C3685" s="2889" t="s">
        <v>1507</v>
      </c>
      <c r="D3685" s="2889" t="s">
        <v>1054</v>
      </c>
      <c r="E3685" s="2889" t="s">
        <v>1426</v>
      </c>
      <c r="F3685" s="3040"/>
      <c r="G3685" s="2890">
        <v>0.97891415816024718</v>
      </c>
    </row>
    <row r="3686" spans="2:7" ht="15" hidden="1" outlineLevel="2">
      <c r="B3686" s="2889" t="s">
        <v>1651</v>
      </c>
      <c r="C3686" s="2889" t="s">
        <v>1507</v>
      </c>
      <c r="D3686" s="2889" t="s">
        <v>1054</v>
      </c>
      <c r="E3686" s="2889" t="s">
        <v>1426</v>
      </c>
      <c r="F3686" s="3040"/>
      <c r="G3686" s="2890">
        <v>0.53559275834672404</v>
      </c>
    </row>
    <row r="3687" spans="2:7" ht="15" hidden="1" outlineLevel="2">
      <c r="B3687" s="2889" t="s">
        <v>1652</v>
      </c>
      <c r="C3687" s="2889" t="s">
        <v>1507</v>
      </c>
      <c r="D3687" s="2889" t="s">
        <v>1054</v>
      </c>
      <c r="E3687" s="2889" t="s">
        <v>1426</v>
      </c>
      <c r="F3687" s="3040"/>
      <c r="G3687" s="2890">
        <v>0.58812755851015364</v>
      </c>
    </row>
    <row r="3688" spans="2:7" ht="15" hidden="1" outlineLevel="2">
      <c r="B3688" s="2889" t="s">
        <v>1653</v>
      </c>
      <c r="C3688" s="2889" t="s">
        <v>1507</v>
      </c>
      <c r="D3688" s="2889" t="s">
        <v>1054</v>
      </c>
      <c r="E3688" s="2889" t="s">
        <v>1426</v>
      </c>
      <c r="F3688" s="3040"/>
      <c r="G3688" s="2890">
        <v>2.5468520671224045E-31</v>
      </c>
    </row>
    <row r="3689" spans="2:7" ht="15" hidden="1" outlineLevel="2">
      <c r="B3689" s="2889" t="s">
        <v>1407</v>
      </c>
      <c r="C3689" s="2889" t="s">
        <v>1508</v>
      </c>
      <c r="D3689" s="2889" t="s">
        <v>1054</v>
      </c>
      <c r="E3689" s="2889" t="s">
        <v>1426</v>
      </c>
      <c r="F3689" s="3040"/>
      <c r="G3689" s="2890">
        <v>3.0326834664232796</v>
      </c>
    </row>
    <row r="3690" spans="2:7" ht="15" hidden="1" outlineLevel="2">
      <c r="B3690" s="2889" t="s">
        <v>1631</v>
      </c>
      <c r="C3690" s="2889" t="s">
        <v>1508</v>
      </c>
      <c r="D3690" s="2889" t="s">
        <v>1054</v>
      </c>
      <c r="E3690" s="2889" t="s">
        <v>1426</v>
      </c>
      <c r="F3690" s="2890">
        <v>3.590689941708095E-3</v>
      </c>
      <c r="G3690" s="2890">
        <v>50.326874473500737</v>
      </c>
    </row>
    <row r="3691" spans="2:7" ht="15" hidden="1" outlineLevel="2">
      <c r="B3691" s="2889" t="s">
        <v>1632</v>
      </c>
      <c r="C3691" s="2889" t="s">
        <v>1508</v>
      </c>
      <c r="D3691" s="2889" t="s">
        <v>1054</v>
      </c>
      <c r="E3691" s="2889" t="s">
        <v>1426</v>
      </c>
      <c r="F3691" s="3040"/>
      <c r="G3691" s="2890">
        <v>116.57292280712215</v>
      </c>
    </row>
    <row r="3692" spans="2:7" ht="15" hidden="1" outlineLevel="2">
      <c r="B3692" s="2889" t="s">
        <v>1633</v>
      </c>
      <c r="C3692" s="2889" t="s">
        <v>1508</v>
      </c>
      <c r="D3692" s="2889" t="s">
        <v>1054</v>
      </c>
      <c r="E3692" s="2889" t="s">
        <v>1426</v>
      </c>
      <c r="F3692" s="3040"/>
      <c r="G3692" s="2890">
        <v>9.4601418637078716</v>
      </c>
    </row>
    <row r="3693" spans="2:7" ht="15" hidden="1" outlineLevel="2">
      <c r="B3693" s="2889" t="s">
        <v>1634</v>
      </c>
      <c r="C3693" s="2889" t="s">
        <v>1508</v>
      </c>
      <c r="D3693" s="2889" t="s">
        <v>1054</v>
      </c>
      <c r="E3693" s="2889" t="s">
        <v>1426</v>
      </c>
      <c r="F3693" s="3040"/>
      <c r="G3693" s="2890">
        <v>1.7534099732987725</v>
      </c>
    </row>
    <row r="3694" spans="2:7" ht="15" hidden="1" outlineLevel="2">
      <c r="B3694" s="2889" t="s">
        <v>1635</v>
      </c>
      <c r="C3694" s="2889" t="s">
        <v>1508</v>
      </c>
      <c r="D3694" s="2889" t="s">
        <v>1054</v>
      </c>
      <c r="E3694" s="2889" t="s">
        <v>1426</v>
      </c>
      <c r="F3694" s="3040"/>
      <c r="G3694" s="2890">
        <v>14.789460675878855</v>
      </c>
    </row>
    <row r="3695" spans="2:7" ht="15" hidden="1" outlineLevel="2">
      <c r="B3695" s="2889" t="s">
        <v>1636</v>
      </c>
      <c r="C3695" s="2889" t="s">
        <v>1508</v>
      </c>
      <c r="D3695" s="2889" t="s">
        <v>1054</v>
      </c>
      <c r="E3695" s="2889" t="s">
        <v>1426</v>
      </c>
      <c r="F3695" s="3040"/>
      <c r="G3695" s="2890">
        <v>12.982880868184967</v>
      </c>
    </row>
    <row r="3696" spans="2:7" ht="15" hidden="1" outlineLevel="2">
      <c r="B3696" s="2889" t="s">
        <v>1637</v>
      </c>
      <c r="C3696" s="2889" t="s">
        <v>1508</v>
      </c>
      <c r="D3696" s="2889" t="s">
        <v>1054</v>
      </c>
      <c r="E3696" s="2889" t="s">
        <v>1426</v>
      </c>
      <c r="F3696" s="3040"/>
      <c r="G3696" s="2890">
        <v>21.561494429427956</v>
      </c>
    </row>
    <row r="3697" spans="2:7" ht="15" hidden="1" outlineLevel="2">
      <c r="B3697" s="2889" t="s">
        <v>1638</v>
      </c>
      <c r="C3697" s="2889" t="s">
        <v>1508</v>
      </c>
      <c r="D3697" s="2889" t="s">
        <v>1054</v>
      </c>
      <c r="E3697" s="2889" t="s">
        <v>1426</v>
      </c>
      <c r="F3697" s="3040"/>
      <c r="G3697" s="2890">
        <v>2.8144126943632424</v>
      </c>
    </row>
    <row r="3698" spans="2:7" ht="15" hidden="1" outlineLevel="2">
      <c r="B3698" s="2889" t="s">
        <v>1639</v>
      </c>
      <c r="C3698" s="2889" t="s">
        <v>1508</v>
      </c>
      <c r="D3698" s="2889" t="s">
        <v>1054</v>
      </c>
      <c r="E3698" s="2889" t="s">
        <v>1426</v>
      </c>
      <c r="F3698" s="3040"/>
      <c r="G3698" s="2890">
        <v>25.875793057513835</v>
      </c>
    </row>
    <row r="3699" spans="2:7" ht="15" hidden="1" outlineLevel="2">
      <c r="B3699" s="2889" t="s">
        <v>1640</v>
      </c>
      <c r="C3699" s="2889" t="s">
        <v>1508</v>
      </c>
      <c r="D3699" s="2889" t="s">
        <v>1054</v>
      </c>
      <c r="E3699" s="2889" t="s">
        <v>1426</v>
      </c>
      <c r="F3699" s="3040"/>
      <c r="G3699" s="2890">
        <v>6.0836219398820734</v>
      </c>
    </row>
    <row r="3700" spans="2:7" ht="15" hidden="1" outlineLevel="2">
      <c r="B3700" s="2889" t="s">
        <v>1641</v>
      </c>
      <c r="C3700" s="2889" t="s">
        <v>1508</v>
      </c>
      <c r="D3700" s="2889" t="s">
        <v>1054</v>
      </c>
      <c r="E3700" s="2889" t="s">
        <v>1426</v>
      </c>
      <c r="F3700" s="3040"/>
      <c r="G3700" s="2890">
        <v>31.162552686777417</v>
      </c>
    </row>
    <row r="3701" spans="2:7" ht="15" hidden="1" outlineLevel="2">
      <c r="B3701" s="2889" t="s">
        <v>1642</v>
      </c>
      <c r="C3701" s="2889" t="s">
        <v>1508</v>
      </c>
      <c r="D3701" s="2889" t="s">
        <v>1054</v>
      </c>
      <c r="E3701" s="2889" t="s">
        <v>1426</v>
      </c>
      <c r="F3701" s="2891"/>
      <c r="G3701" s="2890">
        <v>22.36800184520596</v>
      </c>
    </row>
    <row r="3702" spans="2:7" ht="15" hidden="1" outlineLevel="2">
      <c r="B3702" s="2889" t="s">
        <v>1643</v>
      </c>
      <c r="C3702" s="2889" t="s">
        <v>1508</v>
      </c>
      <c r="D3702" s="2889" t="s">
        <v>1054</v>
      </c>
      <c r="E3702" s="2889" t="s">
        <v>1426</v>
      </c>
      <c r="F3702" s="2891"/>
      <c r="G3702" s="2890">
        <v>3.3070795667856387</v>
      </c>
    </row>
    <row r="3703" spans="2:7" ht="15" hidden="1" outlineLevel="2">
      <c r="B3703" s="2889" t="s">
        <v>1644</v>
      </c>
      <c r="C3703" s="2889" t="s">
        <v>1508</v>
      </c>
      <c r="D3703" s="2889" t="s">
        <v>1054</v>
      </c>
      <c r="E3703" s="2889" t="s">
        <v>1426</v>
      </c>
      <c r="F3703" s="2891"/>
      <c r="G3703" s="2890">
        <v>72.810882868562473</v>
      </c>
    </row>
    <row r="3704" spans="2:7" ht="15" hidden="1" outlineLevel="2">
      <c r="B3704" s="2889" t="s">
        <v>1645</v>
      </c>
      <c r="C3704" s="2889" t="s">
        <v>1508</v>
      </c>
      <c r="D3704" s="2889" t="s">
        <v>1054</v>
      </c>
      <c r="E3704" s="2889" t="s">
        <v>1426</v>
      </c>
      <c r="F3704" s="2891"/>
      <c r="G3704" s="2890">
        <v>83.152305028815064</v>
      </c>
    </row>
    <row r="3705" spans="2:7" ht="15" hidden="1" outlineLevel="2">
      <c r="B3705" s="2889" t="s">
        <v>1646</v>
      </c>
      <c r="C3705" s="2889" t="s">
        <v>1508</v>
      </c>
      <c r="D3705" s="2889" t="s">
        <v>1054</v>
      </c>
      <c r="E3705" s="2889" t="s">
        <v>1426</v>
      </c>
      <c r="F3705" s="2891"/>
      <c r="G3705" s="2890">
        <v>4.8625395398210305</v>
      </c>
    </row>
    <row r="3706" spans="2:7" ht="15" hidden="1" outlineLevel="2">
      <c r="B3706" s="2889" t="s">
        <v>1647</v>
      </c>
      <c r="C3706" s="2889" t="s">
        <v>1508</v>
      </c>
      <c r="D3706" s="2889" t="s">
        <v>1054</v>
      </c>
      <c r="E3706" s="2889" t="s">
        <v>1426</v>
      </c>
      <c r="F3706" s="2891"/>
      <c r="G3706" s="2890">
        <v>12.137865491772672</v>
      </c>
    </row>
    <row r="3707" spans="2:7" ht="15" hidden="1" outlineLevel="2">
      <c r="B3707" s="2889" t="s">
        <v>1648</v>
      </c>
      <c r="C3707" s="2889" t="s">
        <v>1508</v>
      </c>
      <c r="D3707" s="2889" t="s">
        <v>1054</v>
      </c>
      <c r="E3707" s="2889" t="s">
        <v>1426</v>
      </c>
      <c r="F3707" s="2891"/>
      <c r="G3707" s="2890">
        <v>1.3607966960553299</v>
      </c>
    </row>
    <row r="3708" spans="2:7" ht="15" hidden="1" outlineLevel="2">
      <c r="B3708" s="2889" t="s">
        <v>1649</v>
      </c>
      <c r="C3708" s="2889" t="s">
        <v>1508</v>
      </c>
      <c r="D3708" s="2889" t="s">
        <v>1054</v>
      </c>
      <c r="E3708" s="2889" t="s">
        <v>1426</v>
      </c>
      <c r="F3708" s="2891"/>
      <c r="G3708" s="2890">
        <v>6.4546701951434704</v>
      </c>
    </row>
    <row r="3709" spans="2:7" ht="15" hidden="1" outlineLevel="2">
      <c r="B3709" s="2889" t="s">
        <v>1650</v>
      </c>
      <c r="C3709" s="2889" t="s">
        <v>1508</v>
      </c>
      <c r="D3709" s="2889" t="s">
        <v>1054</v>
      </c>
      <c r="E3709" s="2889" t="s">
        <v>1426</v>
      </c>
      <c r="F3709" s="2891"/>
      <c r="G3709" s="2890">
        <v>16.12726511964815</v>
      </c>
    </row>
    <row r="3710" spans="2:7" ht="15" hidden="1" outlineLevel="2">
      <c r="B3710" s="2889" t="s">
        <v>1651</v>
      </c>
      <c r="C3710" s="2889" t="s">
        <v>1508</v>
      </c>
      <c r="D3710" s="2889" t="s">
        <v>1054</v>
      </c>
      <c r="E3710" s="2889" t="s">
        <v>1426</v>
      </c>
      <c r="F3710" s="2891"/>
      <c r="G3710" s="2890">
        <v>8.823699840115987</v>
      </c>
    </row>
    <row r="3711" spans="2:7" ht="15" hidden="1" outlineLevel="2">
      <c r="B3711" s="2889" t="s">
        <v>1652</v>
      </c>
      <c r="C3711" s="2889" t="s">
        <v>1508</v>
      </c>
      <c r="D3711" s="2889" t="s">
        <v>1054</v>
      </c>
      <c r="E3711" s="2889" t="s">
        <v>1426</v>
      </c>
      <c r="F3711" s="2891"/>
      <c r="G3711" s="2890">
        <v>9.6891965780686427</v>
      </c>
    </row>
    <row r="3712" spans="2:7" ht="15" hidden="1" outlineLevel="2">
      <c r="B3712" s="2889" t="s">
        <v>1653</v>
      </c>
      <c r="C3712" s="2889" t="s">
        <v>1508</v>
      </c>
      <c r="D3712" s="2889" t="s">
        <v>1054</v>
      </c>
      <c r="E3712" s="2889" t="s">
        <v>1426</v>
      </c>
      <c r="F3712" s="2891"/>
      <c r="G3712" s="2890">
        <v>5.6807384089217021E-32</v>
      </c>
    </row>
    <row r="3713" spans="2:7" ht="15" hidden="1" outlineLevel="2">
      <c r="B3713" s="2889" t="s">
        <v>1407</v>
      </c>
      <c r="C3713" s="2889" t="s">
        <v>1509</v>
      </c>
      <c r="D3713" s="2889" t="s">
        <v>1054</v>
      </c>
      <c r="E3713" s="2889" t="s">
        <v>1426</v>
      </c>
      <c r="F3713" s="2891"/>
      <c r="G3713" s="2890">
        <v>282.67437396437674</v>
      </c>
    </row>
    <row r="3714" spans="2:7" ht="15" hidden="1" outlineLevel="2">
      <c r="B3714" s="2889" t="s">
        <v>1631</v>
      </c>
      <c r="C3714" s="2889" t="s">
        <v>1509</v>
      </c>
      <c r="D3714" s="2889" t="s">
        <v>1054</v>
      </c>
      <c r="E3714" s="2889" t="s">
        <v>1426</v>
      </c>
      <c r="F3714" s="3039">
        <v>0.16404737994373894</v>
      </c>
      <c r="G3714" s="2890">
        <v>4690.9365503674626</v>
      </c>
    </row>
    <row r="3715" spans="2:7" ht="15" hidden="1" outlineLevel="2">
      <c r="B3715" s="2889" t="s">
        <v>1632</v>
      </c>
      <c r="C3715" s="2889" t="s">
        <v>1509</v>
      </c>
      <c r="D3715" s="2889" t="s">
        <v>1054</v>
      </c>
      <c r="E3715" s="2889" t="s">
        <v>1426</v>
      </c>
      <c r="F3715" s="2891"/>
      <c r="G3715" s="2890">
        <v>10865.686254759386</v>
      </c>
    </row>
    <row r="3716" spans="2:7" ht="15" hidden="1" outlineLevel="2">
      <c r="B3716" s="2889" t="s">
        <v>1633</v>
      </c>
      <c r="C3716" s="2889" t="s">
        <v>1509</v>
      </c>
      <c r="D3716" s="2889" t="s">
        <v>1054</v>
      </c>
      <c r="E3716" s="2889" t="s">
        <v>1426</v>
      </c>
      <c r="F3716" s="2891"/>
      <c r="G3716" s="2890">
        <v>881.77355995995629</v>
      </c>
    </row>
    <row r="3717" spans="2:7" ht="15" hidden="1" outlineLevel="2">
      <c r="B3717" s="2889" t="s">
        <v>1634</v>
      </c>
      <c r="C3717" s="2889" t="s">
        <v>1509</v>
      </c>
      <c r="D3717" s="2889" t="s">
        <v>1054</v>
      </c>
      <c r="E3717" s="2889" t="s">
        <v>1426</v>
      </c>
      <c r="F3717" s="2891"/>
      <c r="G3717" s="2890">
        <v>163.43420550267908</v>
      </c>
    </row>
    <row r="3718" spans="2:7" ht="15" hidden="1" outlineLevel="2">
      <c r="B3718" s="2889" t="s">
        <v>1635</v>
      </c>
      <c r="C3718" s="2889" t="s">
        <v>1509</v>
      </c>
      <c r="D3718" s="2889" t="s">
        <v>1054</v>
      </c>
      <c r="E3718" s="2889" t="s">
        <v>1426</v>
      </c>
      <c r="F3718" s="2891"/>
      <c r="G3718" s="2890">
        <v>1378.5157803827847</v>
      </c>
    </row>
    <row r="3719" spans="2:7" ht="15" hidden="1" outlineLevel="2">
      <c r="B3719" s="2889" t="s">
        <v>1636</v>
      </c>
      <c r="C3719" s="2889" t="s">
        <v>1509</v>
      </c>
      <c r="D3719" s="2889" t="s">
        <v>1054</v>
      </c>
      <c r="E3719" s="2889" t="s">
        <v>1426</v>
      </c>
      <c r="F3719" s="2891"/>
      <c r="G3719" s="2890">
        <v>1210.1257431736922</v>
      </c>
    </row>
    <row r="3720" spans="2:7" ht="15" hidden="1" outlineLevel="2">
      <c r="B3720" s="2889" t="s">
        <v>1637</v>
      </c>
      <c r="C3720" s="2889" t="s">
        <v>1509</v>
      </c>
      <c r="D3720" s="2889" t="s">
        <v>1054</v>
      </c>
      <c r="E3720" s="2889" t="s">
        <v>1426</v>
      </c>
      <c r="F3720" s="2891"/>
      <c r="G3720" s="2890">
        <v>2009.7327424342986</v>
      </c>
    </row>
    <row r="3721" spans="2:7" ht="15" hidden="1" outlineLevel="2">
      <c r="B3721" s="2889" t="s">
        <v>1638</v>
      </c>
      <c r="C3721" s="2889" t="s">
        <v>1509</v>
      </c>
      <c r="D3721" s="2889" t="s">
        <v>1054</v>
      </c>
      <c r="E3721" s="2889" t="s">
        <v>1426</v>
      </c>
      <c r="F3721" s="2891"/>
      <c r="G3721" s="2890">
        <v>262.32954611814</v>
      </c>
    </row>
    <row r="3722" spans="2:7" ht="15" hidden="1" outlineLevel="2">
      <c r="B3722" s="2889" t="s">
        <v>1639</v>
      </c>
      <c r="C3722" s="2889" t="s">
        <v>1509</v>
      </c>
      <c r="D3722" s="2889" t="s">
        <v>1054</v>
      </c>
      <c r="E3722" s="2889" t="s">
        <v>1426</v>
      </c>
      <c r="F3722" s="2891"/>
      <c r="G3722" s="2890">
        <v>2411.8658127272233</v>
      </c>
    </row>
    <row r="3723" spans="2:7" ht="15" hidden="1" outlineLevel="2">
      <c r="B3723" s="2889" t="s">
        <v>1640</v>
      </c>
      <c r="C3723" s="2889" t="s">
        <v>1509</v>
      </c>
      <c r="D3723" s="2889" t="s">
        <v>1054</v>
      </c>
      <c r="E3723" s="2889" t="s">
        <v>1426</v>
      </c>
      <c r="F3723" s="2891"/>
      <c r="G3723" s="2890">
        <v>567.05042575436164</v>
      </c>
    </row>
    <row r="3724" spans="2:7" ht="15" hidden="1" outlineLevel="2">
      <c r="B3724" s="2889" t="s">
        <v>1641</v>
      </c>
      <c r="C3724" s="2889" t="s">
        <v>1509</v>
      </c>
      <c r="D3724" s="2889" t="s">
        <v>1054</v>
      </c>
      <c r="E3724" s="2889" t="s">
        <v>1426</v>
      </c>
      <c r="F3724" s="2891"/>
      <c r="G3724" s="2890">
        <v>2904.640285784425</v>
      </c>
    </row>
    <row r="3725" spans="2:7" ht="15" hidden="1" outlineLevel="2">
      <c r="B3725" s="2889" t="s">
        <v>1642</v>
      </c>
      <c r="C3725" s="2889" t="s">
        <v>1509</v>
      </c>
      <c r="D3725" s="2889" t="s">
        <v>1054</v>
      </c>
      <c r="E3725" s="2889" t="s">
        <v>1426</v>
      </c>
      <c r="F3725" s="2891"/>
      <c r="G3725" s="2890">
        <v>2084.9066631256774</v>
      </c>
    </row>
    <row r="3726" spans="2:7" ht="15" hidden="1" outlineLevel="2">
      <c r="B3726" s="2889" t="s">
        <v>1643</v>
      </c>
      <c r="C3726" s="2889" t="s">
        <v>1509</v>
      </c>
      <c r="D3726" s="2889" t="s">
        <v>1054</v>
      </c>
      <c r="E3726" s="2889" t="s">
        <v>1426</v>
      </c>
      <c r="F3726" s="3040"/>
      <c r="G3726" s="2890">
        <v>308.25072502330681</v>
      </c>
    </row>
    <row r="3727" spans="2:7" ht="15" hidden="1" outlineLevel="2">
      <c r="B3727" s="2889" t="s">
        <v>1644</v>
      </c>
      <c r="C3727" s="2889" t="s">
        <v>1509</v>
      </c>
      <c r="D3727" s="2889" t="s">
        <v>1054</v>
      </c>
      <c r="E3727" s="2889" t="s">
        <v>1426</v>
      </c>
      <c r="F3727" s="3040"/>
      <c r="G3727" s="2890">
        <v>6786.6515097111951</v>
      </c>
    </row>
    <row r="3728" spans="2:7" ht="15" hidden="1" outlineLevel="2">
      <c r="B3728" s="2889" t="s">
        <v>1645</v>
      </c>
      <c r="C3728" s="2889" t="s">
        <v>1509</v>
      </c>
      <c r="D3728" s="2889" t="s">
        <v>1054</v>
      </c>
      <c r="E3728" s="2889" t="s">
        <v>1426</v>
      </c>
      <c r="F3728" s="3040"/>
      <c r="G3728" s="2890">
        <v>7750.5724765012646</v>
      </c>
    </row>
    <row r="3729" spans="2:7" ht="15" hidden="1" outlineLevel="2">
      <c r="B3729" s="2889" t="s">
        <v>1646</v>
      </c>
      <c r="C3729" s="2889" t="s">
        <v>1509</v>
      </c>
      <c r="D3729" s="2889" t="s">
        <v>1054</v>
      </c>
      <c r="E3729" s="2889" t="s">
        <v>1426</v>
      </c>
      <c r="F3729" s="3040"/>
      <c r="G3729" s="2890">
        <v>453.23406519921525</v>
      </c>
    </row>
    <row r="3730" spans="2:7" ht="15" hidden="1" outlineLevel="2">
      <c r="B3730" s="2889" t="s">
        <v>1647</v>
      </c>
      <c r="C3730" s="2889" t="s">
        <v>1509</v>
      </c>
      <c r="D3730" s="2889" t="s">
        <v>1054</v>
      </c>
      <c r="E3730" s="2889" t="s">
        <v>1426</v>
      </c>
      <c r="F3730" s="3040"/>
      <c r="G3730" s="2890">
        <v>1131.3624267435302</v>
      </c>
    </row>
    <row r="3731" spans="2:7" ht="15" hidden="1" outlineLevel="2">
      <c r="B3731" s="2889" t="s">
        <v>1648</v>
      </c>
      <c r="C3731" s="2889" t="s">
        <v>1509</v>
      </c>
      <c r="D3731" s="2889" t="s">
        <v>1054</v>
      </c>
      <c r="E3731" s="2889" t="s">
        <v>1426</v>
      </c>
      <c r="F3731" s="3040"/>
      <c r="G3731" s="2890">
        <v>126.83896547960863</v>
      </c>
    </row>
    <row r="3732" spans="2:7" ht="15" hidden="1" outlineLevel="2">
      <c r="B3732" s="2889" t="s">
        <v>1649</v>
      </c>
      <c r="C3732" s="2889" t="s">
        <v>1509</v>
      </c>
      <c r="D3732" s="2889" t="s">
        <v>1054</v>
      </c>
      <c r="E3732" s="2889" t="s">
        <v>1426</v>
      </c>
      <c r="F3732" s="3040"/>
      <c r="G3732" s="2890">
        <v>601.63573311262144</v>
      </c>
    </row>
    <row r="3733" spans="2:7" ht="15" hidden="1" outlineLevel="2">
      <c r="B3733" s="2889" t="s">
        <v>1650</v>
      </c>
      <c r="C3733" s="2889" t="s">
        <v>1509</v>
      </c>
      <c r="D3733" s="2889" t="s">
        <v>1054</v>
      </c>
      <c r="E3733" s="2889" t="s">
        <v>1426</v>
      </c>
      <c r="F3733" s="3040"/>
      <c r="G3733" s="2890">
        <v>1503.2119196789545</v>
      </c>
    </row>
    <row r="3734" spans="2:7" ht="15" hidden="1" outlineLevel="2">
      <c r="B3734" s="2889" t="s">
        <v>1651</v>
      </c>
      <c r="C3734" s="2889" t="s">
        <v>1509</v>
      </c>
      <c r="D3734" s="2889" t="s">
        <v>1054</v>
      </c>
      <c r="E3734" s="2889" t="s">
        <v>1426</v>
      </c>
      <c r="F3734" s="3040"/>
      <c r="G3734" s="2890">
        <v>822.45128173444971</v>
      </c>
    </row>
    <row r="3735" spans="2:7" ht="15" hidden="1" outlineLevel="2">
      <c r="B3735" s="2889" t="s">
        <v>1652</v>
      </c>
      <c r="C3735" s="2889" t="s">
        <v>1509</v>
      </c>
      <c r="D3735" s="2889" t="s">
        <v>1054</v>
      </c>
      <c r="E3735" s="2889" t="s">
        <v>1426</v>
      </c>
      <c r="F3735" s="3040"/>
      <c r="G3735" s="2890">
        <v>903.12340345594691</v>
      </c>
    </row>
    <row r="3736" spans="2:7" ht="15" hidden="1" outlineLevel="2">
      <c r="B3736" s="2889" t="s">
        <v>1653</v>
      </c>
      <c r="C3736" s="2889" t="s">
        <v>1509</v>
      </c>
      <c r="D3736" s="2889" t="s">
        <v>1054</v>
      </c>
      <c r="E3736" s="2889" t="s">
        <v>1426</v>
      </c>
      <c r="F3736" s="3040"/>
      <c r="G3736" s="2890">
        <v>2.1908390456812876E-29</v>
      </c>
    </row>
    <row r="3737" spans="2:7" ht="15" hidden="1" outlineLevel="2">
      <c r="B3737" s="2889" t="s">
        <v>1407</v>
      </c>
      <c r="C3737" s="2889" t="s">
        <v>1510</v>
      </c>
      <c r="D3737" s="2889" t="s">
        <v>1054</v>
      </c>
      <c r="E3737" s="2889" t="s">
        <v>1426</v>
      </c>
      <c r="F3737" s="3040"/>
      <c r="G3737" s="2890">
        <v>307.49028747185116</v>
      </c>
    </row>
    <row r="3738" spans="2:7" ht="15" hidden="1" outlineLevel="2">
      <c r="B3738" s="2889" t="s">
        <v>1631</v>
      </c>
      <c r="C3738" s="2889" t="s">
        <v>1510</v>
      </c>
      <c r="D3738" s="2889" t="s">
        <v>1054</v>
      </c>
      <c r="E3738" s="2889" t="s">
        <v>1426</v>
      </c>
      <c r="F3738" s="2890">
        <v>0.13850505320868839</v>
      </c>
      <c r="G3738" s="2890">
        <v>5102.7528402799371</v>
      </c>
    </row>
    <row r="3739" spans="2:7" ht="15" hidden="1" outlineLevel="2">
      <c r="B3739" s="2889" t="s">
        <v>1632</v>
      </c>
      <c r="C3739" s="2889" t="s">
        <v>1510</v>
      </c>
      <c r="D3739" s="2889" t="s">
        <v>1054</v>
      </c>
      <c r="E3739" s="2889" t="s">
        <v>1426</v>
      </c>
      <c r="F3739" s="3040"/>
      <c r="G3739" s="2890">
        <v>11819.579543334396</v>
      </c>
    </row>
    <row r="3740" spans="2:7" ht="15" hidden="1" outlineLevel="2">
      <c r="B3740" s="2889" t="s">
        <v>1633</v>
      </c>
      <c r="C3740" s="2889" t="s">
        <v>1510</v>
      </c>
      <c r="D3740" s="2889" t="s">
        <v>1054</v>
      </c>
      <c r="E3740" s="2889" t="s">
        <v>1426</v>
      </c>
      <c r="F3740" s="3040"/>
      <c r="G3740" s="2890">
        <v>959.18422030798592</v>
      </c>
    </row>
    <row r="3741" spans="2:7" ht="15" hidden="1" outlineLevel="2">
      <c r="B3741" s="2889" t="s">
        <v>1634</v>
      </c>
      <c r="C3741" s="2889" t="s">
        <v>1510</v>
      </c>
      <c r="D3741" s="2889" t="s">
        <v>1054</v>
      </c>
      <c r="E3741" s="2889" t="s">
        <v>1426</v>
      </c>
      <c r="F3741" s="3040"/>
      <c r="G3741" s="2890">
        <v>177.78200492789742</v>
      </c>
    </row>
    <row r="3742" spans="2:7" ht="15" hidden="1" outlineLevel="2">
      <c r="B3742" s="2889" t="s">
        <v>1635</v>
      </c>
      <c r="C3742" s="2889" t="s">
        <v>1510</v>
      </c>
      <c r="D3742" s="2889" t="s">
        <v>1054</v>
      </c>
      <c r="E3742" s="2889" t="s">
        <v>1426</v>
      </c>
      <c r="F3742" s="3040"/>
      <c r="G3742" s="2890">
        <v>1499.534816964331</v>
      </c>
    </row>
    <row r="3743" spans="2:7" ht="15" hidden="1" outlineLevel="2">
      <c r="B3743" s="2889" t="s">
        <v>1636</v>
      </c>
      <c r="C3743" s="2889" t="s">
        <v>1510</v>
      </c>
      <c r="D3743" s="2889" t="s">
        <v>1054</v>
      </c>
      <c r="E3743" s="2889" t="s">
        <v>1426</v>
      </c>
      <c r="F3743" s="3040"/>
      <c r="G3743" s="2890">
        <v>1316.3619082542227</v>
      </c>
    </row>
    <row r="3744" spans="2:7" ht="15" hidden="1" outlineLevel="2">
      <c r="B3744" s="2889" t="s">
        <v>1637</v>
      </c>
      <c r="C3744" s="2889" t="s">
        <v>1510</v>
      </c>
      <c r="D3744" s="2889" t="s">
        <v>1054</v>
      </c>
      <c r="E3744" s="2889" t="s">
        <v>1426</v>
      </c>
      <c r="F3744" s="3040"/>
      <c r="G3744" s="2890">
        <v>2186.1666266778593</v>
      </c>
    </row>
    <row r="3745" spans="2:7" ht="15" hidden="1" outlineLevel="2">
      <c r="B3745" s="2889" t="s">
        <v>1638</v>
      </c>
      <c r="C3745" s="2889" t="s">
        <v>1510</v>
      </c>
      <c r="D3745" s="2889" t="s">
        <v>1054</v>
      </c>
      <c r="E3745" s="2889" t="s">
        <v>1426</v>
      </c>
      <c r="F3745" s="3040"/>
      <c r="G3745" s="2890">
        <v>285.35936805910882</v>
      </c>
    </row>
    <row r="3746" spans="2:7" ht="15" hidden="1" outlineLevel="2">
      <c r="B3746" s="2889" t="s">
        <v>1639</v>
      </c>
      <c r="C3746" s="2889" t="s">
        <v>1510</v>
      </c>
      <c r="D3746" s="2889" t="s">
        <v>1054</v>
      </c>
      <c r="E3746" s="2889" t="s">
        <v>1426</v>
      </c>
      <c r="F3746" s="2891"/>
      <c r="G3746" s="2890">
        <v>2623.6022907252782</v>
      </c>
    </row>
    <row r="3747" spans="2:7" ht="15" hidden="1" outlineLevel="2">
      <c r="B3747" s="2889" t="s">
        <v>1640</v>
      </c>
      <c r="C3747" s="2889" t="s">
        <v>1510</v>
      </c>
      <c r="D3747" s="2889" t="s">
        <v>1054</v>
      </c>
      <c r="E3747" s="2889" t="s">
        <v>1426</v>
      </c>
      <c r="F3747" s="2891"/>
      <c r="G3747" s="2890">
        <v>616.8317315608117</v>
      </c>
    </row>
    <row r="3748" spans="2:7" ht="15" hidden="1" outlineLevel="2">
      <c r="B3748" s="2889" t="s">
        <v>1641</v>
      </c>
      <c r="C3748" s="2889" t="s">
        <v>1510</v>
      </c>
      <c r="D3748" s="2889" t="s">
        <v>1054</v>
      </c>
      <c r="E3748" s="2889" t="s">
        <v>1426</v>
      </c>
      <c r="F3748" s="2891"/>
      <c r="G3748" s="2890">
        <v>3159.6383806230751</v>
      </c>
    </row>
    <row r="3749" spans="2:7" ht="15" hidden="1" outlineLevel="2">
      <c r="B3749" s="2889" t="s">
        <v>1642</v>
      </c>
      <c r="C3749" s="2889" t="s">
        <v>1510</v>
      </c>
      <c r="D3749" s="2889" t="s">
        <v>1054</v>
      </c>
      <c r="E3749" s="2889" t="s">
        <v>1426</v>
      </c>
      <c r="F3749" s="2891"/>
      <c r="G3749" s="2890">
        <v>2267.9394626048952</v>
      </c>
    </row>
    <row r="3750" spans="2:7" ht="15" hidden="1" outlineLevel="2">
      <c r="B3750" s="2889" t="s">
        <v>1643</v>
      </c>
      <c r="C3750" s="2889" t="s">
        <v>1510</v>
      </c>
      <c r="D3750" s="2889" t="s">
        <v>1054</v>
      </c>
      <c r="E3750" s="2889" t="s">
        <v>1426</v>
      </c>
      <c r="F3750" s="2891"/>
      <c r="G3750" s="2890">
        <v>335.31198947510609</v>
      </c>
    </row>
    <row r="3751" spans="2:7" ht="15" hidden="1" outlineLevel="2">
      <c r="B3751" s="2889" t="s">
        <v>1644</v>
      </c>
      <c r="C3751" s="2889" t="s">
        <v>1510</v>
      </c>
      <c r="D3751" s="2889" t="s">
        <v>1054</v>
      </c>
      <c r="E3751" s="2889" t="s">
        <v>1426</v>
      </c>
      <c r="F3751" s="2891"/>
      <c r="G3751" s="2890">
        <v>7382.4523179520675</v>
      </c>
    </row>
    <row r="3752" spans="2:7" ht="15" hidden="1" outlineLevel="2">
      <c r="B3752" s="2889" t="s">
        <v>1645</v>
      </c>
      <c r="C3752" s="2889" t="s">
        <v>1510</v>
      </c>
      <c r="D3752" s="2889" t="s">
        <v>1054</v>
      </c>
      <c r="E3752" s="2889" t="s">
        <v>1426</v>
      </c>
      <c r="F3752" s="2891"/>
      <c r="G3752" s="2890">
        <v>8430.9901174119241</v>
      </c>
    </row>
    <row r="3753" spans="2:7" ht="15" hidden="1" outlineLevel="2">
      <c r="B3753" s="2889" t="s">
        <v>1646</v>
      </c>
      <c r="C3753" s="2889" t="s">
        <v>1510</v>
      </c>
      <c r="D3753" s="2889" t="s">
        <v>1054</v>
      </c>
      <c r="E3753" s="2889" t="s">
        <v>1426</v>
      </c>
      <c r="F3753" s="3040"/>
      <c r="G3753" s="2890">
        <v>493.02326910069604</v>
      </c>
    </row>
    <row r="3754" spans="2:7" ht="15" hidden="1" outlineLevel="2">
      <c r="B3754" s="2889" t="s">
        <v>1647</v>
      </c>
      <c r="C3754" s="2889" t="s">
        <v>1510</v>
      </c>
      <c r="D3754" s="2889" t="s">
        <v>1054</v>
      </c>
      <c r="E3754" s="2889" t="s">
        <v>1426</v>
      </c>
      <c r="F3754" s="3040"/>
      <c r="G3754" s="2890">
        <v>1230.6844237356636</v>
      </c>
    </row>
    <row r="3755" spans="2:7" ht="15" hidden="1" outlineLevel="2">
      <c r="B3755" s="2889" t="s">
        <v>1648</v>
      </c>
      <c r="C3755" s="2889" t="s">
        <v>1510</v>
      </c>
      <c r="D3755" s="2889" t="s">
        <v>1054</v>
      </c>
      <c r="E3755" s="2889" t="s">
        <v>1426</v>
      </c>
      <c r="F3755" s="3040"/>
      <c r="G3755" s="2890">
        <v>137.974104709226</v>
      </c>
    </row>
    <row r="3756" spans="2:7" ht="15" hidden="1" outlineLevel="2">
      <c r="B3756" s="2889" t="s">
        <v>1649</v>
      </c>
      <c r="C3756" s="2889" t="s">
        <v>1510</v>
      </c>
      <c r="D3756" s="2889" t="s">
        <v>1054</v>
      </c>
      <c r="E3756" s="2889" t="s">
        <v>1426</v>
      </c>
      <c r="F3756" s="3040"/>
      <c r="G3756" s="2890">
        <v>654.45304507844173</v>
      </c>
    </row>
    <row r="3757" spans="2:7" ht="15" hidden="1" outlineLevel="2">
      <c r="B3757" s="2889" t="s">
        <v>1650</v>
      </c>
      <c r="C3757" s="2889" t="s">
        <v>1510</v>
      </c>
      <c r="D3757" s="2889" t="s">
        <v>1054</v>
      </c>
      <c r="E3757" s="2889" t="s">
        <v>1426</v>
      </c>
      <c r="F3757" s="3040"/>
      <c r="G3757" s="2890">
        <v>1635.178080931471</v>
      </c>
    </row>
    <row r="3758" spans="2:7" ht="15" hidden="1" outlineLevel="2">
      <c r="B3758" s="2889" t="s">
        <v>1651</v>
      </c>
      <c r="C3758" s="2889" t="s">
        <v>1510</v>
      </c>
      <c r="D3758" s="2889" t="s">
        <v>1054</v>
      </c>
      <c r="E3758" s="2889" t="s">
        <v>1426</v>
      </c>
      <c r="F3758" s="3040"/>
      <c r="G3758" s="2890">
        <v>894.6541402717412</v>
      </c>
    </row>
    <row r="3759" spans="2:7" ht="15" hidden="1" outlineLevel="2">
      <c r="B3759" s="2889" t="s">
        <v>1652</v>
      </c>
      <c r="C3759" s="2889" t="s">
        <v>1510</v>
      </c>
      <c r="D3759" s="2889" t="s">
        <v>1054</v>
      </c>
      <c r="E3759" s="2889" t="s">
        <v>1426</v>
      </c>
      <c r="F3759" s="3040"/>
      <c r="G3759" s="2890">
        <v>982.40833087962574</v>
      </c>
    </row>
    <row r="3760" spans="2:7" ht="15" hidden="1" outlineLevel="2">
      <c r="B3760" s="2889" t="s">
        <v>1653</v>
      </c>
      <c r="C3760" s="2889" t="s">
        <v>1510</v>
      </c>
      <c r="D3760" s="2889" t="s">
        <v>1054</v>
      </c>
      <c r="E3760" s="2889" t="s">
        <v>1426</v>
      </c>
      <c r="F3760" s="3040"/>
      <c r="G3760" s="2890">
        <v>7.2473938761866715E-31</v>
      </c>
    </row>
    <row r="3761" spans="2:7" ht="15" hidden="1" outlineLevel="2">
      <c r="B3761" s="2889" t="s">
        <v>1407</v>
      </c>
      <c r="C3761" s="2889" t="s">
        <v>1511</v>
      </c>
      <c r="D3761" s="2889" t="s">
        <v>1054</v>
      </c>
      <c r="E3761" s="2889" t="s">
        <v>1426</v>
      </c>
      <c r="F3761" s="3040"/>
      <c r="G3761" s="2890">
        <v>16.940687290986229</v>
      </c>
    </row>
    <row r="3762" spans="2:7" ht="15" hidden="1" outlineLevel="2">
      <c r="B3762" s="2889" t="s">
        <v>1631</v>
      </c>
      <c r="C3762" s="2889" t="s">
        <v>1511</v>
      </c>
      <c r="D3762" s="2889" t="s">
        <v>1054</v>
      </c>
      <c r="E3762" s="2889" t="s">
        <v>1426</v>
      </c>
      <c r="F3762" s="2890">
        <v>1.0146753052866888E-2</v>
      </c>
      <c r="G3762" s="2890">
        <v>281.12797347091413</v>
      </c>
    </row>
    <row r="3763" spans="2:7" ht="15" hidden="1" outlineLevel="2">
      <c r="B3763" s="2889" t="s">
        <v>1632</v>
      </c>
      <c r="C3763" s="2889" t="s">
        <v>1511</v>
      </c>
      <c r="D3763" s="2889" t="s">
        <v>1054</v>
      </c>
      <c r="E3763" s="2889" t="s">
        <v>1426</v>
      </c>
      <c r="F3763" s="3040"/>
      <c r="G3763" s="2890">
        <v>651.18100201690174</v>
      </c>
    </row>
    <row r="3764" spans="2:7" ht="15" hidden="1" outlineLevel="2">
      <c r="B3764" s="2889" t="s">
        <v>1633</v>
      </c>
      <c r="C3764" s="2889" t="s">
        <v>1511</v>
      </c>
      <c r="D3764" s="2889" t="s">
        <v>1054</v>
      </c>
      <c r="E3764" s="2889" t="s">
        <v>1426</v>
      </c>
      <c r="F3764" s="3040"/>
      <c r="G3764" s="2890">
        <v>52.844742956522367</v>
      </c>
    </row>
    <row r="3765" spans="2:7" ht="15" hidden="1" outlineLevel="2">
      <c r="B3765" s="2889" t="s">
        <v>1634</v>
      </c>
      <c r="C3765" s="2889" t="s">
        <v>1511</v>
      </c>
      <c r="D3765" s="2889" t="s">
        <v>1054</v>
      </c>
      <c r="E3765" s="2889" t="s">
        <v>1426</v>
      </c>
      <c r="F3765" s="3040"/>
      <c r="G3765" s="2890">
        <v>9.7946175974308716</v>
      </c>
    </row>
    <row r="3766" spans="2:7" ht="15" hidden="1" outlineLevel="2">
      <c r="B3766" s="2889" t="s">
        <v>1635</v>
      </c>
      <c r="C3766" s="2889" t="s">
        <v>1511</v>
      </c>
      <c r="D3766" s="2889" t="s">
        <v>1054</v>
      </c>
      <c r="E3766" s="2889" t="s">
        <v>1426</v>
      </c>
      <c r="F3766" s="3040"/>
      <c r="G3766" s="2890">
        <v>82.614500395464063</v>
      </c>
    </row>
    <row r="3767" spans="2:7" ht="15" hidden="1" outlineLevel="2">
      <c r="B3767" s="2889" t="s">
        <v>1636</v>
      </c>
      <c r="C3767" s="2889" t="s">
        <v>1511</v>
      </c>
      <c r="D3767" s="2889" t="s">
        <v>1054</v>
      </c>
      <c r="E3767" s="2889" t="s">
        <v>1426</v>
      </c>
      <c r="F3767" s="3040"/>
      <c r="G3767" s="2890">
        <v>72.522878778626378</v>
      </c>
    </row>
    <row r="3768" spans="2:7" ht="15" hidden="1" outlineLevel="2">
      <c r="B3768" s="2889" t="s">
        <v>1637</v>
      </c>
      <c r="C3768" s="2889" t="s">
        <v>1511</v>
      </c>
      <c r="D3768" s="2889" t="s">
        <v>1054</v>
      </c>
      <c r="E3768" s="2889" t="s">
        <v>1426</v>
      </c>
      <c r="F3768" s="3040"/>
      <c r="G3768" s="2890">
        <v>120.4433514679905</v>
      </c>
    </row>
    <row r="3769" spans="2:7" ht="15" hidden="1" outlineLevel="2">
      <c r="B3769" s="2889" t="s">
        <v>1638</v>
      </c>
      <c r="C3769" s="2889" t="s">
        <v>1511</v>
      </c>
      <c r="D3769" s="2889" t="s">
        <v>1054</v>
      </c>
      <c r="E3769" s="2889" t="s">
        <v>1426</v>
      </c>
      <c r="F3769" s="3040"/>
      <c r="G3769" s="2890">
        <v>15.721421172273477</v>
      </c>
    </row>
    <row r="3770" spans="2:7" ht="15" hidden="1" outlineLevel="2">
      <c r="B3770" s="2889" t="s">
        <v>1639</v>
      </c>
      <c r="C3770" s="2889" t="s">
        <v>1511</v>
      </c>
      <c r="D3770" s="2889" t="s">
        <v>1054</v>
      </c>
      <c r="E3770" s="2889" t="s">
        <v>1426</v>
      </c>
      <c r="F3770" s="3040"/>
      <c r="G3770" s="2890">
        <v>144.54318271372466</v>
      </c>
    </row>
    <row r="3771" spans="2:7" ht="15" hidden="1" outlineLevel="2">
      <c r="B3771" s="2889" t="s">
        <v>1640</v>
      </c>
      <c r="C3771" s="2889" t="s">
        <v>1511</v>
      </c>
      <c r="D3771" s="2889" t="s">
        <v>1054</v>
      </c>
      <c r="E3771" s="2889" t="s">
        <v>1426</v>
      </c>
      <c r="F3771" s="3040"/>
      <c r="G3771" s="2890">
        <v>33.983356105972206</v>
      </c>
    </row>
    <row r="3772" spans="2:7" ht="15" hidden="1" outlineLevel="2">
      <c r="B3772" s="2889" t="s">
        <v>1641</v>
      </c>
      <c r="C3772" s="2889" t="s">
        <v>1511</v>
      </c>
      <c r="D3772" s="2889" t="s">
        <v>1054</v>
      </c>
      <c r="E3772" s="2889" t="s">
        <v>1426</v>
      </c>
      <c r="F3772" s="3040"/>
      <c r="G3772" s="2890">
        <v>174.07522543603619</v>
      </c>
    </row>
    <row r="3773" spans="2:7" ht="15" hidden="1" outlineLevel="2">
      <c r="B3773" s="2889" t="s">
        <v>1642</v>
      </c>
      <c r="C3773" s="2889" t="s">
        <v>1511</v>
      </c>
      <c r="D3773" s="2889" t="s">
        <v>1054</v>
      </c>
      <c r="E3773" s="2889" t="s">
        <v>1426</v>
      </c>
      <c r="F3773" s="3040"/>
      <c r="G3773" s="2890">
        <v>124.9485137819272</v>
      </c>
    </row>
    <row r="3774" spans="2:7" ht="15" hidden="1" outlineLevel="2">
      <c r="B3774" s="2889" t="s">
        <v>1643</v>
      </c>
      <c r="C3774" s="2889" t="s">
        <v>1511</v>
      </c>
      <c r="D3774" s="2889" t="s">
        <v>1054</v>
      </c>
      <c r="E3774" s="2889" t="s">
        <v>1426</v>
      </c>
      <c r="F3774" s="3040"/>
      <c r="G3774" s="2890">
        <v>18.473477013615259</v>
      </c>
    </row>
    <row r="3775" spans="2:7" ht="15" hidden="1" outlineLevel="2">
      <c r="B3775" s="2889" t="s">
        <v>1644</v>
      </c>
      <c r="C3775" s="2889" t="s">
        <v>1511</v>
      </c>
      <c r="D3775" s="2889" t="s">
        <v>1054</v>
      </c>
      <c r="E3775" s="2889" t="s">
        <v>1426</v>
      </c>
      <c r="F3775" s="3040"/>
      <c r="G3775" s="2890">
        <v>406.72443807191718</v>
      </c>
    </row>
    <row r="3776" spans="2:7" ht="15" hidden="1" outlineLevel="2">
      <c r="B3776" s="2889" t="s">
        <v>1645</v>
      </c>
      <c r="C3776" s="2889" t="s">
        <v>1511</v>
      </c>
      <c r="D3776" s="2889" t="s">
        <v>1054</v>
      </c>
      <c r="E3776" s="2889" t="s">
        <v>1426</v>
      </c>
      <c r="F3776" s="3040"/>
      <c r="G3776" s="2890">
        <v>464.49204120692912</v>
      </c>
    </row>
    <row r="3777" spans="2:7" ht="15" hidden="1" outlineLevel="2">
      <c r="B3777" s="2889" t="s">
        <v>1646</v>
      </c>
      <c r="C3777" s="2889" t="s">
        <v>1511</v>
      </c>
      <c r="D3777" s="2889" t="s">
        <v>1054</v>
      </c>
      <c r="E3777" s="2889" t="s">
        <v>1426</v>
      </c>
      <c r="F3777" s="3040"/>
      <c r="G3777" s="2890">
        <v>27.162338682803796</v>
      </c>
    </row>
    <row r="3778" spans="2:7" ht="15" hidden="1" outlineLevel="2">
      <c r="B3778" s="2889" t="s">
        <v>1647</v>
      </c>
      <c r="C3778" s="2889" t="s">
        <v>1511</v>
      </c>
      <c r="D3778" s="2889" t="s">
        <v>1054</v>
      </c>
      <c r="E3778" s="2889" t="s">
        <v>1426</v>
      </c>
      <c r="F3778" s="3040"/>
      <c r="G3778" s="2890">
        <v>67.802591668293076</v>
      </c>
    </row>
    <row r="3779" spans="2:7" ht="15" hidden="1" outlineLevel="2">
      <c r="B3779" s="2889" t="s">
        <v>1648</v>
      </c>
      <c r="C3779" s="2889" t="s">
        <v>1511</v>
      </c>
      <c r="D3779" s="2889" t="s">
        <v>1054</v>
      </c>
      <c r="E3779" s="2889" t="s">
        <v>1426</v>
      </c>
      <c r="F3779" s="3040"/>
      <c r="G3779" s="2890">
        <v>7.6014656051805343</v>
      </c>
    </row>
    <row r="3780" spans="2:7" ht="15" hidden="1" outlineLevel="2">
      <c r="B3780" s="2889" t="s">
        <v>1649</v>
      </c>
      <c r="C3780" s="2889" t="s">
        <v>1511</v>
      </c>
      <c r="D3780" s="2889" t="s">
        <v>1054</v>
      </c>
      <c r="E3780" s="2889" t="s">
        <v>1426</v>
      </c>
      <c r="F3780" s="3040"/>
      <c r="G3780" s="2890">
        <v>36.056047656655529</v>
      </c>
    </row>
    <row r="3781" spans="2:7" ht="15" hidden="1" outlineLevel="2">
      <c r="B3781" s="2889" t="s">
        <v>1650</v>
      </c>
      <c r="C3781" s="2889" t="s">
        <v>1511</v>
      </c>
      <c r="D3781" s="2889" t="s">
        <v>1054</v>
      </c>
      <c r="E3781" s="2889" t="s">
        <v>1426</v>
      </c>
      <c r="F3781" s="3040"/>
      <c r="G3781" s="2890">
        <v>90.087534528183909</v>
      </c>
    </row>
    <row r="3782" spans="2:7" ht="15" hidden="1" outlineLevel="2">
      <c r="B3782" s="2889" t="s">
        <v>1651</v>
      </c>
      <c r="C3782" s="2889" t="s">
        <v>1511</v>
      </c>
      <c r="D3782" s="2889" t="s">
        <v>1054</v>
      </c>
      <c r="E3782" s="2889" t="s">
        <v>1426</v>
      </c>
      <c r="F3782" s="3040"/>
      <c r="G3782" s="2890">
        <v>49.289541480635279</v>
      </c>
    </row>
    <row r="3783" spans="2:7" ht="15" hidden="1" outlineLevel="2">
      <c r="B3783" s="2889" t="s">
        <v>1652</v>
      </c>
      <c r="C3783" s="2889" t="s">
        <v>1511</v>
      </c>
      <c r="D3783" s="2889" t="s">
        <v>1054</v>
      </c>
      <c r="E3783" s="2889" t="s">
        <v>1426</v>
      </c>
      <c r="F3783" s="3040"/>
      <c r="G3783" s="2890">
        <v>54.124237331466603</v>
      </c>
    </row>
    <row r="3784" spans="2:7" ht="15" hidden="1" outlineLevel="2">
      <c r="B3784" s="2889" t="s">
        <v>1653</v>
      </c>
      <c r="C3784" s="2889" t="s">
        <v>1511</v>
      </c>
      <c r="D3784" s="2889" t="s">
        <v>1054</v>
      </c>
      <c r="E3784" s="2889" t="s">
        <v>1426</v>
      </c>
      <c r="F3784" s="3040"/>
      <c r="G3784" s="2890">
        <v>6.469651473654982E-31</v>
      </c>
    </row>
    <row r="3785" spans="2:7" ht="15" hidden="1" outlineLevel="2">
      <c r="B3785" s="2889" t="s">
        <v>1407</v>
      </c>
      <c r="C3785" s="2889" t="s">
        <v>1512</v>
      </c>
      <c r="D3785" s="2889" t="s">
        <v>1054</v>
      </c>
      <c r="E3785" s="2889" t="s">
        <v>1426</v>
      </c>
      <c r="F3785" s="2891"/>
      <c r="G3785" s="2890">
        <v>10.456299590518821</v>
      </c>
    </row>
    <row r="3786" spans="2:7" ht="15" hidden="1" outlineLevel="2">
      <c r="B3786" s="2889" t="s">
        <v>1631</v>
      </c>
      <c r="C3786" s="2889" t="s">
        <v>1512</v>
      </c>
      <c r="D3786" s="2889" t="s">
        <v>1054</v>
      </c>
      <c r="E3786" s="2889" t="s">
        <v>1426</v>
      </c>
      <c r="F3786" s="3039">
        <v>5.0830889194446362E-3</v>
      </c>
      <c r="G3786" s="2890">
        <v>173.52055990953764</v>
      </c>
    </row>
    <row r="3787" spans="2:7" ht="15" hidden="1" outlineLevel="2">
      <c r="B3787" s="2889" t="s">
        <v>1632</v>
      </c>
      <c r="C3787" s="2889" t="s">
        <v>1512</v>
      </c>
      <c r="D3787" s="2889" t="s">
        <v>1054</v>
      </c>
      <c r="E3787" s="2889" t="s">
        <v>1426</v>
      </c>
      <c r="F3787" s="2891"/>
      <c r="G3787" s="2890">
        <v>401.92830682243039</v>
      </c>
    </row>
    <row r="3788" spans="2:7" ht="15" hidden="1" outlineLevel="2">
      <c r="B3788" s="2889" t="s">
        <v>1633</v>
      </c>
      <c r="C3788" s="2889" t="s">
        <v>1512</v>
      </c>
      <c r="D3788" s="2889" t="s">
        <v>1054</v>
      </c>
      <c r="E3788" s="2889" t="s">
        <v>1426</v>
      </c>
      <c r="F3788" s="2891"/>
      <c r="G3788" s="2890">
        <v>32.617341235493107</v>
      </c>
    </row>
    <row r="3789" spans="2:7" ht="15" hidden="1" outlineLevel="2">
      <c r="B3789" s="2889" t="s">
        <v>1634</v>
      </c>
      <c r="C3789" s="2889" t="s">
        <v>1512</v>
      </c>
      <c r="D3789" s="2889" t="s">
        <v>1054</v>
      </c>
      <c r="E3789" s="2889" t="s">
        <v>1426</v>
      </c>
      <c r="F3789" s="2891"/>
      <c r="G3789" s="2890">
        <v>6.0455305156030983</v>
      </c>
    </row>
    <row r="3790" spans="2:7" ht="15" hidden="1" outlineLevel="2">
      <c r="B3790" s="2889" t="s">
        <v>1635</v>
      </c>
      <c r="C3790" s="2889" t="s">
        <v>1512</v>
      </c>
      <c r="D3790" s="2889" t="s">
        <v>1054</v>
      </c>
      <c r="E3790" s="2889" t="s">
        <v>1426</v>
      </c>
      <c r="F3790" s="2891"/>
      <c r="G3790" s="2890">
        <v>50.992131232133978</v>
      </c>
    </row>
    <row r="3791" spans="2:7" ht="15" hidden="1" outlineLevel="2">
      <c r="B3791" s="2889" t="s">
        <v>1636</v>
      </c>
      <c r="C3791" s="2889" t="s">
        <v>1512</v>
      </c>
      <c r="D3791" s="2889" t="s">
        <v>1054</v>
      </c>
      <c r="E3791" s="2889" t="s">
        <v>1426</v>
      </c>
      <c r="F3791" s="2891"/>
      <c r="G3791" s="2890">
        <v>44.763280068272543</v>
      </c>
    </row>
    <row r="3792" spans="2:7" ht="15" hidden="1" outlineLevel="2">
      <c r="B3792" s="2889" t="s">
        <v>1637</v>
      </c>
      <c r="C3792" s="2889" t="s">
        <v>1512</v>
      </c>
      <c r="D3792" s="2889" t="s">
        <v>1054</v>
      </c>
      <c r="E3792" s="2889" t="s">
        <v>1426</v>
      </c>
      <c r="F3792" s="3040"/>
      <c r="G3792" s="2890">
        <v>74.341238947279678</v>
      </c>
    </row>
    <row r="3793" spans="2:7" ht="15" hidden="1" outlineLevel="2">
      <c r="B3793" s="2889" t="s">
        <v>1638</v>
      </c>
      <c r="C3793" s="2889" t="s">
        <v>1512</v>
      </c>
      <c r="D3793" s="2889" t="s">
        <v>1054</v>
      </c>
      <c r="E3793" s="2889" t="s">
        <v>1426</v>
      </c>
      <c r="F3793" s="3040"/>
      <c r="G3793" s="2890">
        <v>9.8229266689795338</v>
      </c>
    </row>
    <row r="3794" spans="2:7" ht="15" hidden="1" outlineLevel="2">
      <c r="B3794" s="2889" t="s">
        <v>1639</v>
      </c>
      <c r="C3794" s="2889" t="s">
        <v>1512</v>
      </c>
      <c r="D3794" s="2889" t="s">
        <v>1054</v>
      </c>
      <c r="E3794" s="2889" t="s">
        <v>1426</v>
      </c>
      <c r="F3794" s="3040"/>
      <c r="G3794" s="2890">
        <v>89.216370446838951</v>
      </c>
    </row>
    <row r="3795" spans="2:7" ht="15" hidden="1" outlineLevel="2">
      <c r="B3795" s="2889" t="s">
        <v>1640</v>
      </c>
      <c r="C3795" s="2889" t="s">
        <v>1512</v>
      </c>
      <c r="D3795" s="2889" t="s">
        <v>1054</v>
      </c>
      <c r="E3795" s="2889" t="s">
        <v>1426</v>
      </c>
      <c r="F3795" s="2891"/>
      <c r="G3795" s="2890">
        <v>20.975539936122637</v>
      </c>
    </row>
    <row r="3796" spans="2:7" ht="15" hidden="1" outlineLevel="2">
      <c r="B3796" s="2889" t="s">
        <v>1641</v>
      </c>
      <c r="C3796" s="2889" t="s">
        <v>1512</v>
      </c>
      <c r="D3796" s="2889" t="s">
        <v>1054</v>
      </c>
      <c r="E3796" s="2889" t="s">
        <v>1426</v>
      </c>
      <c r="F3796" s="3040"/>
      <c r="G3796" s="2890">
        <v>107.44442346760717</v>
      </c>
    </row>
    <row r="3797" spans="2:7" ht="15" hidden="1" outlineLevel="2">
      <c r="B3797" s="2889" t="s">
        <v>1642</v>
      </c>
      <c r="C3797" s="2889" t="s">
        <v>1512</v>
      </c>
      <c r="D3797" s="2889" t="s">
        <v>1054</v>
      </c>
      <c r="E3797" s="2889" t="s">
        <v>1426</v>
      </c>
      <c r="F3797" s="3040"/>
      <c r="G3797" s="2890">
        <v>77.121963701916073</v>
      </c>
    </row>
    <row r="3798" spans="2:7" ht="15" hidden="1" outlineLevel="2">
      <c r="B3798" s="2889" t="s">
        <v>1643</v>
      </c>
      <c r="C3798" s="2889" t="s">
        <v>1512</v>
      </c>
      <c r="D3798" s="2889" t="s">
        <v>1054</v>
      </c>
      <c r="E3798" s="2889" t="s">
        <v>1426</v>
      </c>
      <c r="F3798" s="2891"/>
      <c r="G3798" s="2890">
        <v>11.40238065142087</v>
      </c>
    </row>
    <row r="3799" spans="2:7" ht="15" hidden="1" outlineLevel="2">
      <c r="B3799" s="2889" t="s">
        <v>1644</v>
      </c>
      <c r="C3799" s="2889" t="s">
        <v>1512</v>
      </c>
      <c r="D3799" s="2889" t="s">
        <v>1054</v>
      </c>
      <c r="E3799" s="2889" t="s">
        <v>1426</v>
      </c>
      <c r="F3799" s="3040"/>
      <c r="G3799" s="2890">
        <v>251.04245700371214</v>
      </c>
    </row>
    <row r="3800" spans="2:7" ht="15" hidden="1" outlineLevel="2">
      <c r="B3800" s="2889" t="s">
        <v>1645</v>
      </c>
      <c r="C3800" s="2889" t="s">
        <v>1512</v>
      </c>
      <c r="D3800" s="2889" t="s">
        <v>1054</v>
      </c>
      <c r="E3800" s="2889" t="s">
        <v>1426</v>
      </c>
      <c r="F3800" s="3040"/>
      <c r="G3800" s="2890">
        <v>286.69836751273556</v>
      </c>
    </row>
    <row r="3801" spans="2:7" ht="15" hidden="1" outlineLevel="2">
      <c r="B3801" s="2889" t="s">
        <v>1646</v>
      </c>
      <c r="C3801" s="2889" t="s">
        <v>1512</v>
      </c>
      <c r="D3801" s="2889" t="s">
        <v>1054</v>
      </c>
      <c r="E3801" s="2889" t="s">
        <v>1426</v>
      </c>
      <c r="F3801" s="3040"/>
      <c r="G3801" s="2890">
        <v>16.765403730806362</v>
      </c>
    </row>
    <row r="3802" spans="2:7" ht="15" hidden="1" outlineLevel="2">
      <c r="B3802" s="2889" t="s">
        <v>1647</v>
      </c>
      <c r="C3802" s="2889" t="s">
        <v>1512</v>
      </c>
      <c r="D3802" s="2889" t="s">
        <v>1054</v>
      </c>
      <c r="E3802" s="2889" t="s">
        <v>1426</v>
      </c>
      <c r="F3802" s="2891"/>
      <c r="G3802" s="2890">
        <v>41.849780217737319</v>
      </c>
    </row>
    <row r="3803" spans="2:7" ht="15" hidden="1" outlineLevel="2">
      <c r="B3803" s="2889" t="s">
        <v>1648</v>
      </c>
      <c r="C3803" s="2889" t="s">
        <v>1512</v>
      </c>
      <c r="D3803" s="2889" t="s">
        <v>1054</v>
      </c>
      <c r="E3803" s="2889" t="s">
        <v>1426</v>
      </c>
      <c r="F3803" s="2891"/>
      <c r="G3803" s="2890">
        <v>4.6918508446314764</v>
      </c>
    </row>
    <row r="3804" spans="2:7" ht="15" hidden="1" outlineLevel="2">
      <c r="B3804" s="2889" t="s">
        <v>1649</v>
      </c>
      <c r="C3804" s="2889" t="s">
        <v>1512</v>
      </c>
      <c r="D3804" s="2889" t="s">
        <v>1054</v>
      </c>
      <c r="E3804" s="2889" t="s">
        <v>1426</v>
      </c>
      <c r="F3804" s="2891"/>
      <c r="G3804" s="2890">
        <v>22.254863428397258</v>
      </c>
    </row>
    <row r="3805" spans="2:7" ht="15" hidden="1" outlineLevel="2">
      <c r="B3805" s="2889" t="s">
        <v>1650</v>
      </c>
      <c r="C3805" s="2889" t="s">
        <v>1512</v>
      </c>
      <c r="D3805" s="2889" t="s">
        <v>1054</v>
      </c>
      <c r="E3805" s="2889" t="s">
        <v>1426</v>
      </c>
      <c r="F3805" s="3040"/>
      <c r="G3805" s="2890">
        <v>55.604707933701746</v>
      </c>
    </row>
    <row r="3806" spans="2:7" ht="15" hidden="1" outlineLevel="2">
      <c r="B3806" s="2889" t="s">
        <v>1651</v>
      </c>
      <c r="C3806" s="2889" t="s">
        <v>1512</v>
      </c>
      <c r="D3806" s="2889" t="s">
        <v>1054</v>
      </c>
      <c r="E3806" s="2889" t="s">
        <v>1426</v>
      </c>
      <c r="F3806" s="3040"/>
      <c r="G3806" s="2890">
        <v>30.422973709045671</v>
      </c>
    </row>
    <row r="3807" spans="2:7" ht="15" hidden="1" outlineLevel="2">
      <c r="B3807" s="2889" t="s">
        <v>1652</v>
      </c>
      <c r="C3807" s="2889" t="s">
        <v>1512</v>
      </c>
      <c r="D3807" s="2889" t="s">
        <v>1054</v>
      </c>
      <c r="E3807" s="2889" t="s">
        <v>1426</v>
      </c>
      <c r="F3807" s="3040"/>
      <c r="G3807" s="2890">
        <v>33.40708843956277</v>
      </c>
    </row>
    <row r="3808" spans="2:7" ht="15" hidden="1" outlineLevel="2">
      <c r="B3808" s="2889" t="s">
        <v>1653</v>
      </c>
      <c r="C3808" s="2889" t="s">
        <v>1512</v>
      </c>
      <c r="D3808" s="2889" t="s">
        <v>1054</v>
      </c>
      <c r="E3808" s="2889" t="s">
        <v>1426</v>
      </c>
      <c r="F3808" s="3040"/>
      <c r="G3808" s="2890">
        <v>2.7786197671643139E-30</v>
      </c>
    </row>
    <row r="3809" spans="2:7" ht="15" hidden="1" outlineLevel="2">
      <c r="B3809" s="2889" t="s">
        <v>1407</v>
      </c>
      <c r="C3809" s="2889" t="s">
        <v>1513</v>
      </c>
      <c r="D3809" s="2889" t="s">
        <v>1054</v>
      </c>
      <c r="E3809" s="2889" t="s">
        <v>1426</v>
      </c>
      <c r="F3809" s="3040"/>
      <c r="G3809" s="2890">
        <v>31.221973803910892</v>
      </c>
    </row>
    <row r="3810" spans="2:7" ht="15" hidden="1" outlineLevel="2">
      <c r="B3810" s="2889" t="s">
        <v>1631</v>
      </c>
      <c r="C3810" s="2889" t="s">
        <v>1513</v>
      </c>
      <c r="D3810" s="2889" t="s">
        <v>1054</v>
      </c>
      <c r="E3810" s="2889" t="s">
        <v>1426</v>
      </c>
      <c r="F3810" s="2890">
        <v>2.8102835609977304E-2</v>
      </c>
      <c r="G3810" s="2890">
        <v>518.12367756493836</v>
      </c>
    </row>
    <row r="3811" spans="2:7" ht="15" hidden="1" outlineLevel="2">
      <c r="B3811" s="2889" t="s">
        <v>1632</v>
      </c>
      <c r="C3811" s="2889" t="s">
        <v>1513</v>
      </c>
      <c r="D3811" s="2889" t="s">
        <v>1054</v>
      </c>
      <c r="E3811" s="2889" t="s">
        <v>1426</v>
      </c>
      <c r="F3811" s="3040"/>
      <c r="G3811" s="2890">
        <v>1200.1375095642529</v>
      </c>
    </row>
    <row r="3812" spans="2:7" ht="15" hidden="1" outlineLevel="2">
      <c r="B3812" s="2889" t="s">
        <v>1633</v>
      </c>
      <c r="C3812" s="2889" t="s">
        <v>1513</v>
      </c>
      <c r="D3812" s="2889" t="s">
        <v>1054</v>
      </c>
      <c r="E3812" s="2889" t="s">
        <v>1426</v>
      </c>
      <c r="F3812" s="3040"/>
      <c r="G3812" s="2890">
        <v>97.393726055923537</v>
      </c>
    </row>
    <row r="3813" spans="2:7" ht="15" hidden="1" outlineLevel="2">
      <c r="B3813" s="2889" t="s">
        <v>1634</v>
      </c>
      <c r="C3813" s="2889" t="s">
        <v>1513</v>
      </c>
      <c r="D3813" s="2889" t="s">
        <v>1054</v>
      </c>
      <c r="E3813" s="2889" t="s">
        <v>1426</v>
      </c>
      <c r="F3813" s="3040"/>
      <c r="G3813" s="2890">
        <v>18.051650541280768</v>
      </c>
    </row>
    <row r="3814" spans="2:7" ht="15" hidden="1" outlineLevel="2">
      <c r="B3814" s="2889" t="s">
        <v>1635</v>
      </c>
      <c r="C3814" s="2889" t="s">
        <v>1513</v>
      </c>
      <c r="D3814" s="2889" t="s">
        <v>1054</v>
      </c>
      <c r="E3814" s="2889" t="s">
        <v>1426</v>
      </c>
      <c r="F3814" s="3040"/>
      <c r="G3814" s="2890">
        <v>152.25996813750803</v>
      </c>
    </row>
    <row r="3815" spans="2:7" ht="15" hidden="1" outlineLevel="2">
      <c r="B3815" s="2889" t="s">
        <v>1636</v>
      </c>
      <c r="C3815" s="2889" t="s">
        <v>1513</v>
      </c>
      <c r="D3815" s="2889" t="s">
        <v>1054</v>
      </c>
      <c r="E3815" s="2889" t="s">
        <v>1426</v>
      </c>
      <c r="F3815" s="3040"/>
      <c r="G3815" s="2890">
        <v>133.66089985389405</v>
      </c>
    </row>
    <row r="3816" spans="2:7" ht="15" hidden="1" outlineLevel="2">
      <c r="B3816" s="2889" t="s">
        <v>1637</v>
      </c>
      <c r="C3816" s="2889" t="s">
        <v>1513</v>
      </c>
      <c r="D3816" s="2889" t="s">
        <v>1054</v>
      </c>
      <c r="E3816" s="2889" t="s">
        <v>1426</v>
      </c>
      <c r="F3816" s="2891"/>
      <c r="G3816" s="2890">
        <v>221.97917186101347</v>
      </c>
    </row>
    <row r="3817" spans="2:7" ht="15" hidden="1" outlineLevel="2">
      <c r="B3817" s="2889" t="s">
        <v>1638</v>
      </c>
      <c r="C3817" s="2889" t="s">
        <v>1513</v>
      </c>
      <c r="D3817" s="2889" t="s">
        <v>1054</v>
      </c>
      <c r="E3817" s="2889" t="s">
        <v>1426</v>
      </c>
      <c r="F3817" s="2891"/>
      <c r="G3817" s="2890">
        <v>29.330773858277432</v>
      </c>
    </row>
    <row r="3818" spans="2:7" ht="15" hidden="1" outlineLevel="2">
      <c r="B3818" s="2889" t="s">
        <v>1639</v>
      </c>
      <c r="C3818" s="2889" t="s">
        <v>1513</v>
      </c>
      <c r="D3818" s="2889" t="s">
        <v>1054</v>
      </c>
      <c r="E3818" s="2889" t="s">
        <v>1426</v>
      </c>
      <c r="F3818" s="3040"/>
      <c r="G3818" s="2890">
        <v>266.39555730348502</v>
      </c>
    </row>
    <row r="3819" spans="2:7" ht="15" hidden="1" outlineLevel="2">
      <c r="B3819" s="2889" t="s">
        <v>1640</v>
      </c>
      <c r="C3819" s="2889" t="s">
        <v>1513</v>
      </c>
      <c r="D3819" s="2889" t="s">
        <v>1054</v>
      </c>
      <c r="E3819" s="2889" t="s">
        <v>1426</v>
      </c>
      <c r="F3819" s="3040"/>
      <c r="G3819" s="2890">
        <v>62.631890164390526</v>
      </c>
    </row>
    <row r="3820" spans="2:7" ht="15" hidden="1" outlineLevel="2">
      <c r="B3820" s="2889" t="s">
        <v>1641</v>
      </c>
      <c r="C3820" s="2889" t="s">
        <v>1513</v>
      </c>
      <c r="D3820" s="2889" t="s">
        <v>1054</v>
      </c>
      <c r="E3820" s="2889" t="s">
        <v>1426</v>
      </c>
      <c r="F3820" s="3040"/>
      <c r="G3820" s="2890">
        <v>320.82367647194184</v>
      </c>
    </row>
    <row r="3821" spans="2:7" ht="15" hidden="1" outlineLevel="2">
      <c r="B3821" s="2889" t="s">
        <v>1642</v>
      </c>
      <c r="C3821" s="2889" t="s">
        <v>1513</v>
      </c>
      <c r="D3821" s="2889" t="s">
        <v>1054</v>
      </c>
      <c r="E3821" s="2889" t="s">
        <v>1426</v>
      </c>
      <c r="F3821" s="3040"/>
      <c r="G3821" s="2890">
        <v>230.2822464098368</v>
      </c>
    </row>
    <row r="3822" spans="2:7" ht="15" hidden="1" outlineLevel="2">
      <c r="B3822" s="2889" t="s">
        <v>1643</v>
      </c>
      <c r="C3822" s="2889" t="s">
        <v>1513</v>
      </c>
      <c r="D3822" s="2889" t="s">
        <v>1054</v>
      </c>
      <c r="E3822" s="2889" t="s">
        <v>1426</v>
      </c>
      <c r="F3822" s="3040"/>
      <c r="G3822" s="2890">
        <v>34.046934780157393</v>
      </c>
    </row>
    <row r="3823" spans="2:7" ht="15" hidden="1" outlineLevel="2">
      <c r="B3823" s="2889" t="s">
        <v>1644</v>
      </c>
      <c r="C3823" s="2889" t="s">
        <v>1513</v>
      </c>
      <c r="D3823" s="2889" t="s">
        <v>1054</v>
      </c>
      <c r="E3823" s="2889" t="s">
        <v>1426</v>
      </c>
      <c r="F3823" s="3040"/>
      <c r="G3823" s="2890">
        <v>749.60011428577025</v>
      </c>
    </row>
    <row r="3824" spans="2:7" ht="15" hidden="1" outlineLevel="2">
      <c r="B3824" s="2889" t="s">
        <v>1645</v>
      </c>
      <c r="C3824" s="2889" t="s">
        <v>1513</v>
      </c>
      <c r="D3824" s="2889" t="s">
        <v>1054</v>
      </c>
      <c r="E3824" s="2889" t="s">
        <v>1426</v>
      </c>
      <c r="F3824" s="3040"/>
      <c r="G3824" s="2890">
        <v>856.06689677784027</v>
      </c>
    </row>
    <row r="3825" spans="2:7" ht="15" hidden="1" outlineLevel="2">
      <c r="B3825" s="2889" t="s">
        <v>1646</v>
      </c>
      <c r="C3825" s="2889" t="s">
        <v>1513</v>
      </c>
      <c r="D3825" s="2889" t="s">
        <v>1054</v>
      </c>
      <c r="E3825" s="2889" t="s">
        <v>1426</v>
      </c>
      <c r="F3825" s="3040"/>
      <c r="G3825" s="2890">
        <v>50.060648739364822</v>
      </c>
    </row>
    <row r="3826" spans="2:7" ht="15" hidden="1" outlineLevel="2">
      <c r="B3826" s="2889" t="s">
        <v>1647</v>
      </c>
      <c r="C3826" s="2889" t="s">
        <v>1513</v>
      </c>
      <c r="D3826" s="2889" t="s">
        <v>1054</v>
      </c>
      <c r="E3826" s="2889" t="s">
        <v>1426</v>
      </c>
      <c r="F3826" s="3040"/>
      <c r="G3826" s="2890">
        <v>124.96130499749989</v>
      </c>
    </row>
    <row r="3827" spans="2:7" ht="15" hidden="1" outlineLevel="2">
      <c r="B3827" s="2889" t="s">
        <v>1648</v>
      </c>
      <c r="C3827" s="2889" t="s">
        <v>1513</v>
      </c>
      <c r="D3827" s="2889" t="s">
        <v>1054</v>
      </c>
      <c r="E3827" s="2889" t="s">
        <v>1426</v>
      </c>
      <c r="F3827" s="3040"/>
      <c r="G3827" s="2890">
        <v>14.009626703456695</v>
      </c>
    </row>
    <row r="3828" spans="2:7" ht="15" hidden="1" outlineLevel="2">
      <c r="B3828" s="2889" t="s">
        <v>1649</v>
      </c>
      <c r="C3828" s="2889" t="s">
        <v>1513</v>
      </c>
      <c r="D3828" s="2889" t="s">
        <v>1054</v>
      </c>
      <c r="E3828" s="2889" t="s">
        <v>1426</v>
      </c>
      <c r="F3828" s="3040"/>
      <c r="G3828" s="2890">
        <v>66.451922526603866</v>
      </c>
    </row>
    <row r="3829" spans="2:7" ht="15" hidden="1" outlineLevel="2">
      <c r="B3829" s="2889" t="s">
        <v>1650</v>
      </c>
      <c r="C3829" s="2889" t="s">
        <v>1513</v>
      </c>
      <c r="D3829" s="2889" t="s">
        <v>1054</v>
      </c>
      <c r="E3829" s="2889" t="s">
        <v>1426</v>
      </c>
      <c r="F3829" s="3040"/>
      <c r="G3829" s="2890">
        <v>166.03286075580235</v>
      </c>
    </row>
    <row r="3830" spans="2:7" ht="15" hidden="1" outlineLevel="2">
      <c r="B3830" s="2889" t="s">
        <v>1651</v>
      </c>
      <c r="C3830" s="2889" t="s">
        <v>1513</v>
      </c>
      <c r="D3830" s="2889" t="s">
        <v>1054</v>
      </c>
      <c r="E3830" s="2889" t="s">
        <v>1426</v>
      </c>
      <c r="F3830" s="3040"/>
      <c r="G3830" s="2890">
        <v>90.841460488144136</v>
      </c>
    </row>
    <row r="3831" spans="2:7" ht="15" hidden="1" outlineLevel="2">
      <c r="B3831" s="2889" t="s">
        <v>1652</v>
      </c>
      <c r="C3831" s="2889" t="s">
        <v>1513</v>
      </c>
      <c r="D3831" s="2889" t="s">
        <v>1054</v>
      </c>
      <c r="E3831" s="2889" t="s">
        <v>1426</v>
      </c>
      <c r="F3831" s="3040"/>
      <c r="G3831" s="2890">
        <v>99.751861662577539</v>
      </c>
    </row>
    <row r="3832" spans="2:7" ht="15" hidden="1" outlineLevel="2">
      <c r="B3832" s="2889" t="s">
        <v>1653</v>
      </c>
      <c r="C3832" s="2889" t="s">
        <v>1513</v>
      </c>
      <c r="D3832" s="2889" t="s">
        <v>1054</v>
      </c>
      <c r="E3832" s="2889" t="s">
        <v>1426</v>
      </c>
      <c r="F3832" s="3040"/>
      <c r="G3832" s="2890">
        <v>3.2943024353921524E-30</v>
      </c>
    </row>
    <row r="3833" spans="2:7" ht="15" hidden="1" outlineLevel="2">
      <c r="B3833" s="2889" t="s">
        <v>1407</v>
      </c>
      <c r="C3833" s="2889" t="s">
        <v>1514</v>
      </c>
      <c r="D3833" s="2889" t="s">
        <v>1054</v>
      </c>
      <c r="E3833" s="2889" t="s">
        <v>1426</v>
      </c>
      <c r="F3833" s="2891"/>
      <c r="G3833" s="2890">
        <v>134.10446074404604</v>
      </c>
    </row>
    <row r="3834" spans="2:7" ht="15" hidden="1" outlineLevel="2">
      <c r="B3834" s="2889" t="s">
        <v>1631</v>
      </c>
      <c r="C3834" s="2889" t="s">
        <v>1514</v>
      </c>
      <c r="D3834" s="2889" t="s">
        <v>1054</v>
      </c>
      <c r="E3834" s="2889" t="s">
        <v>1426</v>
      </c>
      <c r="F3834" s="3039">
        <v>7.3184321258552329E-2</v>
      </c>
      <c r="G3834" s="2890">
        <v>2225.4420124042695</v>
      </c>
    </row>
    <row r="3835" spans="2:7" ht="15" hidden="1" outlineLevel="2">
      <c r="B3835" s="2889" t="s">
        <v>1632</v>
      </c>
      <c r="C3835" s="2889" t="s">
        <v>1514</v>
      </c>
      <c r="D3835" s="2889" t="s">
        <v>1054</v>
      </c>
      <c r="E3835" s="2889" t="s">
        <v>1426</v>
      </c>
      <c r="F3835" s="2891"/>
      <c r="G3835" s="2890">
        <v>5154.8242571513438</v>
      </c>
    </row>
    <row r="3836" spans="2:7" ht="15" hidden="1" outlineLevel="2">
      <c r="B3836" s="2889" t="s">
        <v>1633</v>
      </c>
      <c r="C3836" s="2889" t="s">
        <v>1514</v>
      </c>
      <c r="D3836" s="2889" t="s">
        <v>1054</v>
      </c>
      <c r="E3836" s="2889" t="s">
        <v>1426</v>
      </c>
      <c r="F3836" s="2891"/>
      <c r="G3836" s="2890">
        <v>418.32504797581595</v>
      </c>
    </row>
    <row r="3837" spans="2:7" ht="15" hidden="1" outlineLevel="2">
      <c r="B3837" s="2889" t="s">
        <v>1634</v>
      </c>
      <c r="C3837" s="2889" t="s">
        <v>1514</v>
      </c>
      <c r="D3837" s="2889" t="s">
        <v>1054</v>
      </c>
      <c r="E3837" s="2889" t="s">
        <v>1426</v>
      </c>
      <c r="F3837" s="2891"/>
      <c r="G3837" s="2890">
        <v>77.535347406392361</v>
      </c>
    </row>
    <row r="3838" spans="2:7" ht="15" hidden="1" outlineLevel="2">
      <c r="B3838" s="2889" t="s">
        <v>1635</v>
      </c>
      <c r="C3838" s="2889" t="s">
        <v>1514</v>
      </c>
      <c r="D3838" s="2889" t="s">
        <v>1054</v>
      </c>
      <c r="E3838" s="2889" t="s">
        <v>1426</v>
      </c>
      <c r="F3838" s="2891"/>
      <c r="G3838" s="2890">
        <v>653.98603693894279</v>
      </c>
    </row>
    <row r="3839" spans="2:7" ht="15" hidden="1" outlineLevel="2">
      <c r="B3839" s="2889" t="s">
        <v>1636</v>
      </c>
      <c r="C3839" s="2889" t="s">
        <v>1514</v>
      </c>
      <c r="D3839" s="2889" t="s">
        <v>1054</v>
      </c>
      <c r="E3839" s="2889" t="s">
        <v>1426</v>
      </c>
      <c r="F3839" s="2891"/>
      <c r="G3839" s="2890">
        <v>574.0996435655037</v>
      </c>
    </row>
    <row r="3840" spans="2:7" ht="15" hidden="1" outlineLevel="2">
      <c r="B3840" s="2889" t="s">
        <v>1637</v>
      </c>
      <c r="C3840" s="2889" t="s">
        <v>1514</v>
      </c>
      <c r="D3840" s="2889" t="s">
        <v>1054</v>
      </c>
      <c r="E3840" s="2889" t="s">
        <v>1426</v>
      </c>
      <c r="F3840" s="2891"/>
      <c r="G3840" s="2890">
        <v>953.44394057660077</v>
      </c>
    </row>
    <row r="3841" spans="2:7" ht="15" hidden="1" outlineLevel="2">
      <c r="B3841" s="2889" t="s">
        <v>1638</v>
      </c>
      <c r="C3841" s="2889" t="s">
        <v>1514</v>
      </c>
      <c r="D3841" s="2889" t="s">
        <v>1054</v>
      </c>
      <c r="E3841" s="2889" t="s">
        <v>1426</v>
      </c>
      <c r="F3841" s="2891"/>
      <c r="G3841" s="2890">
        <v>125.98137069606663</v>
      </c>
    </row>
    <row r="3842" spans="2:7" ht="15" hidden="1" outlineLevel="2">
      <c r="B3842" s="2889" t="s">
        <v>1639</v>
      </c>
      <c r="C3842" s="2889" t="s">
        <v>1514</v>
      </c>
      <c r="D3842" s="2889" t="s">
        <v>1054</v>
      </c>
      <c r="E3842" s="2889" t="s">
        <v>1426</v>
      </c>
      <c r="F3842" s="2891"/>
      <c r="G3842" s="2890">
        <v>1144.2207892246702</v>
      </c>
    </row>
    <row r="3843" spans="2:7" ht="15" hidden="1" outlineLevel="2">
      <c r="B3843" s="2889" t="s">
        <v>1640</v>
      </c>
      <c r="C3843" s="2889" t="s">
        <v>1514</v>
      </c>
      <c r="D3843" s="2889" t="s">
        <v>1054</v>
      </c>
      <c r="E3843" s="2889" t="s">
        <v>1426</v>
      </c>
      <c r="F3843" s="3040"/>
      <c r="G3843" s="2890">
        <v>269.01621623863792</v>
      </c>
    </row>
    <row r="3844" spans="2:7" ht="15" hidden="1" outlineLevel="2">
      <c r="B3844" s="2889" t="s">
        <v>1641</v>
      </c>
      <c r="C3844" s="2889" t="s">
        <v>1514</v>
      </c>
      <c r="D3844" s="2889" t="s">
        <v>1054</v>
      </c>
      <c r="E3844" s="2889" t="s">
        <v>1426</v>
      </c>
      <c r="F3844" s="3040"/>
      <c r="G3844" s="2890">
        <v>1377.9998850884388</v>
      </c>
    </row>
    <row r="3845" spans="2:7" ht="15" hidden="1" outlineLevel="2">
      <c r="B3845" s="2889" t="s">
        <v>1642</v>
      </c>
      <c r="C3845" s="2889" t="s">
        <v>1514</v>
      </c>
      <c r="D3845" s="2889" t="s">
        <v>1054</v>
      </c>
      <c r="E3845" s="2889" t="s">
        <v>1426</v>
      </c>
      <c r="F3845" s="2891"/>
      <c r="G3845" s="2890">
        <v>989.10738658671119</v>
      </c>
    </row>
    <row r="3846" spans="2:7" ht="15" hidden="1" outlineLevel="2">
      <c r="B3846" s="2889" t="s">
        <v>1643</v>
      </c>
      <c r="C3846" s="2889" t="s">
        <v>1514</v>
      </c>
      <c r="D3846" s="2889" t="s">
        <v>1054</v>
      </c>
      <c r="E3846" s="2889" t="s">
        <v>1426</v>
      </c>
      <c r="F3846" s="3040"/>
      <c r="G3846" s="2890">
        <v>146.23819682231999</v>
      </c>
    </row>
    <row r="3847" spans="2:7" ht="15" hidden="1" outlineLevel="2">
      <c r="B3847" s="2889" t="s">
        <v>1644</v>
      </c>
      <c r="C3847" s="2889" t="s">
        <v>1514</v>
      </c>
      <c r="D3847" s="2889" t="s">
        <v>1054</v>
      </c>
      <c r="E3847" s="2889" t="s">
        <v>1426</v>
      </c>
      <c r="F3847" s="3040"/>
      <c r="G3847" s="2890">
        <v>3219.678087879387</v>
      </c>
    </row>
    <row r="3848" spans="2:7" ht="15" hidden="1" outlineLevel="2">
      <c r="B3848" s="2889" t="s">
        <v>1645</v>
      </c>
      <c r="C3848" s="2889" t="s">
        <v>1514</v>
      </c>
      <c r="D3848" s="2889" t="s">
        <v>1054</v>
      </c>
      <c r="E3848" s="2889" t="s">
        <v>1426</v>
      </c>
      <c r="F3848" s="3040"/>
      <c r="G3848" s="2890">
        <v>3676.9739966893185</v>
      </c>
    </row>
    <row r="3849" spans="2:7" ht="15" hidden="1" outlineLevel="2">
      <c r="B3849" s="2889" t="s">
        <v>1646</v>
      </c>
      <c r="C3849" s="2889" t="s">
        <v>1514</v>
      </c>
      <c r="D3849" s="2889" t="s">
        <v>1054</v>
      </c>
      <c r="E3849" s="2889" t="s">
        <v>1426</v>
      </c>
      <c r="F3849" s="3040"/>
      <c r="G3849" s="2890">
        <v>215.02023481796104</v>
      </c>
    </row>
    <row r="3850" spans="2:7" ht="15" hidden="1" outlineLevel="2">
      <c r="B3850" s="2889" t="s">
        <v>1647</v>
      </c>
      <c r="C3850" s="2889" t="s">
        <v>1514</v>
      </c>
      <c r="D3850" s="2889" t="s">
        <v>1054</v>
      </c>
      <c r="E3850" s="2889" t="s">
        <v>1426</v>
      </c>
      <c r="F3850" s="3040"/>
      <c r="G3850" s="2890">
        <v>536.7332881851529</v>
      </c>
    </row>
    <row r="3851" spans="2:7" ht="15" hidden="1" outlineLevel="2">
      <c r="B3851" s="2889" t="s">
        <v>1648</v>
      </c>
      <c r="C3851" s="2889" t="s">
        <v>1514</v>
      </c>
      <c r="D3851" s="2889" t="s">
        <v>1054</v>
      </c>
      <c r="E3851" s="2889" t="s">
        <v>1426</v>
      </c>
      <c r="F3851" s="3040"/>
      <c r="G3851" s="2890">
        <v>60.174087620923061</v>
      </c>
    </row>
    <row r="3852" spans="2:7" ht="15" hidden="1" outlineLevel="2">
      <c r="B3852" s="2889" t="s">
        <v>1649</v>
      </c>
      <c r="C3852" s="2889" t="s">
        <v>1514</v>
      </c>
      <c r="D3852" s="2889" t="s">
        <v>1054</v>
      </c>
      <c r="E3852" s="2889" t="s">
        <v>1426</v>
      </c>
      <c r="F3852" s="3040"/>
      <c r="G3852" s="2890">
        <v>285.4238644728643</v>
      </c>
    </row>
    <row r="3853" spans="2:7" ht="15" hidden="1" outlineLevel="2">
      <c r="B3853" s="2889" t="s">
        <v>1650</v>
      </c>
      <c r="C3853" s="2889" t="s">
        <v>1514</v>
      </c>
      <c r="D3853" s="2889" t="s">
        <v>1054</v>
      </c>
      <c r="E3853" s="2889" t="s">
        <v>1426</v>
      </c>
      <c r="F3853" s="3040"/>
      <c r="G3853" s="2890">
        <v>713.1434470910275</v>
      </c>
    </row>
    <row r="3854" spans="2:7" ht="15" hidden="1" outlineLevel="2">
      <c r="B3854" s="2889" t="s">
        <v>1651</v>
      </c>
      <c r="C3854" s="2889" t="s">
        <v>1514</v>
      </c>
      <c r="D3854" s="2889" t="s">
        <v>1054</v>
      </c>
      <c r="E3854" s="2889" t="s">
        <v>1426</v>
      </c>
      <c r="F3854" s="3040"/>
      <c r="G3854" s="2890">
        <v>390.1817632172714</v>
      </c>
    </row>
    <row r="3855" spans="2:7" ht="15" hidden="1" outlineLevel="2">
      <c r="B3855" s="2889" t="s">
        <v>1652</v>
      </c>
      <c r="C3855" s="2889" t="s">
        <v>1514</v>
      </c>
      <c r="D3855" s="2889" t="s">
        <v>1054</v>
      </c>
      <c r="E3855" s="2889" t="s">
        <v>1426</v>
      </c>
      <c r="F3855" s="3040"/>
      <c r="G3855" s="2890">
        <v>428.45367027728065</v>
      </c>
    </row>
    <row r="3856" spans="2:7" ht="15" hidden="1" outlineLevel="2">
      <c r="B3856" s="2889" t="s">
        <v>1653</v>
      </c>
      <c r="C3856" s="2889" t="s">
        <v>1514</v>
      </c>
      <c r="D3856" s="2889" t="s">
        <v>1054</v>
      </c>
      <c r="E3856" s="2889" t="s">
        <v>1426</v>
      </c>
      <c r="F3856" s="3040"/>
      <c r="G3856" s="2890">
        <v>6.6305868479862841E-29</v>
      </c>
    </row>
    <row r="3857" spans="2:7" ht="15" hidden="1" outlineLevel="2">
      <c r="B3857" s="2889" t="s">
        <v>1407</v>
      </c>
      <c r="C3857" s="2889" t="s">
        <v>1515</v>
      </c>
      <c r="D3857" s="2889" t="s">
        <v>1054</v>
      </c>
      <c r="E3857" s="2889" t="s">
        <v>1426</v>
      </c>
      <c r="F3857" s="3040"/>
      <c r="G3857" s="2890">
        <v>115.31415754520516</v>
      </c>
    </row>
    <row r="3858" spans="2:7" ht="15" hidden="1" outlineLevel="2">
      <c r="B3858" s="2889" t="s">
        <v>1631</v>
      </c>
      <c r="C3858" s="2889" t="s">
        <v>1515</v>
      </c>
      <c r="D3858" s="2889" t="s">
        <v>1054</v>
      </c>
      <c r="E3858" s="2889" t="s">
        <v>1426</v>
      </c>
      <c r="F3858" s="2890">
        <v>4.4731628140244881E-2</v>
      </c>
      <c r="G3858" s="2890">
        <v>1913.6195586632939</v>
      </c>
    </row>
    <row r="3859" spans="2:7" ht="15" hidden="1" outlineLevel="2">
      <c r="B3859" s="2889" t="s">
        <v>1632</v>
      </c>
      <c r="C3859" s="2889" t="s">
        <v>1515</v>
      </c>
      <c r="D3859" s="2889" t="s">
        <v>1054</v>
      </c>
      <c r="E3859" s="2889" t="s">
        <v>1426</v>
      </c>
      <c r="F3859" s="3040"/>
      <c r="G3859" s="2890">
        <v>4432.5462912108806</v>
      </c>
    </row>
    <row r="3860" spans="2:7" ht="15" hidden="1" outlineLevel="2">
      <c r="B3860" s="2889" t="s">
        <v>1633</v>
      </c>
      <c r="C3860" s="2889" t="s">
        <v>1515</v>
      </c>
      <c r="D3860" s="2889" t="s">
        <v>1054</v>
      </c>
      <c r="E3860" s="2889" t="s">
        <v>1426</v>
      </c>
      <c r="F3860" s="3040"/>
      <c r="G3860" s="2890">
        <v>359.71059900055684</v>
      </c>
    </row>
    <row r="3861" spans="2:7" ht="15" hidden="1" outlineLevel="2">
      <c r="B3861" s="2889" t="s">
        <v>1634</v>
      </c>
      <c r="C3861" s="2889" t="s">
        <v>1515</v>
      </c>
      <c r="D3861" s="2889" t="s">
        <v>1054</v>
      </c>
      <c r="E3861" s="2889" t="s">
        <v>1426</v>
      </c>
      <c r="F3861" s="3040"/>
      <c r="G3861" s="2890">
        <v>66.671316165798729</v>
      </c>
    </row>
    <row r="3862" spans="2:7" ht="15" hidden="1" outlineLevel="2">
      <c r="B3862" s="2889" t="s">
        <v>1635</v>
      </c>
      <c r="C3862" s="2889" t="s">
        <v>1515</v>
      </c>
      <c r="D3862" s="2889" t="s">
        <v>1054</v>
      </c>
      <c r="E3862" s="2889" t="s">
        <v>1426</v>
      </c>
      <c r="F3862" s="3040"/>
      <c r="G3862" s="2890">
        <v>562.35150828496489</v>
      </c>
    </row>
    <row r="3863" spans="2:7" ht="15" hidden="1" outlineLevel="2">
      <c r="B3863" s="2889" t="s">
        <v>1636</v>
      </c>
      <c r="C3863" s="2889" t="s">
        <v>1515</v>
      </c>
      <c r="D3863" s="2889" t="s">
        <v>1054</v>
      </c>
      <c r="E3863" s="2889" t="s">
        <v>1426</v>
      </c>
      <c r="F3863" s="3040"/>
      <c r="G3863" s="2890">
        <v>493.6584463804046</v>
      </c>
    </row>
    <row r="3864" spans="2:7" ht="15" hidden="1" outlineLevel="2">
      <c r="B3864" s="2889" t="s">
        <v>1637</v>
      </c>
      <c r="C3864" s="2889" t="s">
        <v>1515</v>
      </c>
      <c r="D3864" s="2889" t="s">
        <v>1054</v>
      </c>
      <c r="E3864" s="2889" t="s">
        <v>1426</v>
      </c>
      <c r="F3864" s="3040"/>
      <c r="G3864" s="2890">
        <v>819.84991414170076</v>
      </c>
    </row>
    <row r="3865" spans="2:7" ht="15" hidden="1" outlineLevel="2">
      <c r="B3865" s="2889" t="s">
        <v>1638</v>
      </c>
      <c r="C3865" s="2889" t="s">
        <v>1515</v>
      </c>
      <c r="D3865" s="2889" t="s">
        <v>1054</v>
      </c>
      <c r="E3865" s="2889" t="s">
        <v>1426</v>
      </c>
      <c r="F3865" s="3040"/>
      <c r="G3865" s="2890">
        <v>108.32920486335803</v>
      </c>
    </row>
    <row r="3866" spans="2:7" ht="15" hidden="1" outlineLevel="2">
      <c r="B3866" s="2889" t="s">
        <v>1639</v>
      </c>
      <c r="C3866" s="2889" t="s">
        <v>1515</v>
      </c>
      <c r="D3866" s="2889" t="s">
        <v>1054</v>
      </c>
      <c r="E3866" s="2889" t="s">
        <v>1426</v>
      </c>
      <c r="F3866" s="2891"/>
      <c r="G3866" s="2890">
        <v>983.89595584660606</v>
      </c>
    </row>
    <row r="3867" spans="2:7" ht="15" hidden="1" outlineLevel="2">
      <c r="B3867" s="2889" t="s">
        <v>1640</v>
      </c>
      <c r="C3867" s="2889" t="s">
        <v>1515</v>
      </c>
      <c r="D3867" s="2889" t="s">
        <v>1054</v>
      </c>
      <c r="E3867" s="2889" t="s">
        <v>1426</v>
      </c>
      <c r="F3867" s="2891"/>
      <c r="G3867" s="2890">
        <v>231.32246617037765</v>
      </c>
    </row>
    <row r="3868" spans="2:7" ht="15" hidden="1" outlineLevel="2">
      <c r="B3868" s="2889" t="s">
        <v>1641</v>
      </c>
      <c r="C3868" s="2889" t="s">
        <v>1515</v>
      </c>
      <c r="D3868" s="2889" t="s">
        <v>1054</v>
      </c>
      <c r="E3868" s="2889" t="s">
        <v>1426</v>
      </c>
      <c r="F3868" s="2891"/>
      <c r="G3868" s="2890">
        <v>1184.9186179475223</v>
      </c>
    </row>
    <row r="3869" spans="2:7" ht="15" hidden="1" outlineLevel="2">
      <c r="B3869" s="2889" t="s">
        <v>1642</v>
      </c>
      <c r="C3869" s="2889" t="s">
        <v>1515</v>
      </c>
      <c r="D3869" s="2889" t="s">
        <v>1054</v>
      </c>
      <c r="E3869" s="2889" t="s">
        <v>1426</v>
      </c>
      <c r="F3869" s="2891"/>
      <c r="G3869" s="2890">
        <v>850.51635841913765</v>
      </c>
    </row>
    <row r="3870" spans="2:7" ht="15" hidden="1" outlineLevel="2">
      <c r="B3870" s="2889" t="s">
        <v>1643</v>
      </c>
      <c r="C3870" s="2889" t="s">
        <v>1515</v>
      </c>
      <c r="D3870" s="2889" t="s">
        <v>1054</v>
      </c>
      <c r="E3870" s="2889" t="s">
        <v>1426</v>
      </c>
      <c r="F3870" s="2891"/>
      <c r="G3870" s="2890">
        <v>125.74774326195214</v>
      </c>
    </row>
    <row r="3871" spans="2:7" ht="15" hidden="1" outlineLevel="2">
      <c r="B3871" s="2889" t="s">
        <v>1644</v>
      </c>
      <c r="C3871" s="2889" t="s">
        <v>1515</v>
      </c>
      <c r="D3871" s="2889" t="s">
        <v>1054</v>
      </c>
      <c r="E3871" s="2889" t="s">
        <v>1426</v>
      </c>
      <c r="F3871" s="2891"/>
      <c r="G3871" s="2890">
        <v>2768.546050500845</v>
      </c>
    </row>
    <row r="3872" spans="2:7" ht="15" hidden="1" outlineLevel="2">
      <c r="B3872" s="2889" t="s">
        <v>1645</v>
      </c>
      <c r="C3872" s="2889" t="s">
        <v>1515</v>
      </c>
      <c r="D3872" s="2889" t="s">
        <v>1054</v>
      </c>
      <c r="E3872" s="2889" t="s">
        <v>1426</v>
      </c>
      <c r="F3872" s="3040"/>
      <c r="G3872" s="2890">
        <v>3161.7667972816766</v>
      </c>
    </row>
    <row r="3873" spans="2:7" ht="15" hidden="1" outlineLevel="2">
      <c r="B3873" s="2889" t="s">
        <v>1646</v>
      </c>
      <c r="C3873" s="2889" t="s">
        <v>1515</v>
      </c>
      <c r="D3873" s="2889" t="s">
        <v>1054</v>
      </c>
      <c r="E3873" s="2889" t="s">
        <v>1426</v>
      </c>
      <c r="F3873" s="3040"/>
      <c r="G3873" s="2890">
        <v>184.89225734669745</v>
      </c>
    </row>
    <row r="3874" spans="2:7" ht="15" hidden="1" outlineLevel="2">
      <c r="B3874" s="2889" t="s">
        <v>1647</v>
      </c>
      <c r="C3874" s="2889" t="s">
        <v>1515</v>
      </c>
      <c r="D3874" s="2889" t="s">
        <v>1054</v>
      </c>
      <c r="E3874" s="2889" t="s">
        <v>1426</v>
      </c>
      <c r="F3874" s="3040"/>
      <c r="G3874" s="2890">
        <v>461.52776884512173</v>
      </c>
    </row>
    <row r="3875" spans="2:7" ht="15" hidden="1" outlineLevel="2">
      <c r="B3875" s="2889" t="s">
        <v>1648</v>
      </c>
      <c r="C3875" s="2889" t="s">
        <v>1515</v>
      </c>
      <c r="D3875" s="2889" t="s">
        <v>1054</v>
      </c>
      <c r="E3875" s="2889" t="s">
        <v>1426</v>
      </c>
      <c r="F3875" s="3040"/>
      <c r="G3875" s="2890">
        <v>51.742666327029411</v>
      </c>
    </row>
    <row r="3876" spans="2:7" ht="15" hidden="1" outlineLevel="2">
      <c r="B3876" s="2889" t="s">
        <v>1649</v>
      </c>
      <c r="C3876" s="2889" t="s">
        <v>1515</v>
      </c>
      <c r="D3876" s="2889" t="s">
        <v>1054</v>
      </c>
      <c r="E3876" s="2889" t="s">
        <v>1426</v>
      </c>
      <c r="F3876" s="3040"/>
      <c r="G3876" s="2890">
        <v>245.4311490539427</v>
      </c>
    </row>
    <row r="3877" spans="2:7" ht="15" hidden="1" outlineLevel="2">
      <c r="B3877" s="2889" t="s">
        <v>1650</v>
      </c>
      <c r="C3877" s="2889" t="s">
        <v>1515</v>
      </c>
      <c r="D3877" s="2889" t="s">
        <v>1054</v>
      </c>
      <c r="E3877" s="2889" t="s">
        <v>1426</v>
      </c>
      <c r="F3877" s="3040"/>
      <c r="G3877" s="2890">
        <v>613.21996247334357</v>
      </c>
    </row>
    <row r="3878" spans="2:7" ht="15" hidden="1" outlineLevel="2">
      <c r="B3878" s="2889" t="s">
        <v>1651</v>
      </c>
      <c r="C3878" s="2889" t="s">
        <v>1515</v>
      </c>
      <c r="D3878" s="2889" t="s">
        <v>1054</v>
      </c>
      <c r="E3878" s="2889" t="s">
        <v>1426</v>
      </c>
      <c r="F3878" s="3040"/>
      <c r="G3878" s="2890">
        <v>335.51065547882769</v>
      </c>
    </row>
    <row r="3879" spans="2:7" ht="15" hidden="1" outlineLevel="2">
      <c r="B3879" s="2889" t="s">
        <v>1652</v>
      </c>
      <c r="C3879" s="2889" t="s">
        <v>1515</v>
      </c>
      <c r="D3879" s="2889" t="s">
        <v>1054</v>
      </c>
      <c r="E3879" s="2889" t="s">
        <v>1426</v>
      </c>
      <c r="F3879" s="3040"/>
      <c r="G3879" s="2890">
        <v>368.41998537933858</v>
      </c>
    </row>
    <row r="3880" spans="2:7" ht="15" hidden="1" outlineLevel="2">
      <c r="B3880" s="2889" t="s">
        <v>1653</v>
      </c>
      <c r="C3880" s="2889" t="s">
        <v>1515</v>
      </c>
      <c r="D3880" s="2889" t="s">
        <v>1054</v>
      </c>
      <c r="E3880" s="2889" t="s">
        <v>1426</v>
      </c>
      <c r="F3880" s="3040"/>
      <c r="G3880" s="2890">
        <v>1.6942062932964157E-29</v>
      </c>
    </row>
    <row r="3881" spans="2:7" ht="15" hidden="1" outlineLevel="2">
      <c r="B3881" s="2889" t="s">
        <v>1407</v>
      </c>
      <c r="C3881" s="2889" t="s">
        <v>1516</v>
      </c>
      <c r="D3881" s="2889" t="s">
        <v>1054</v>
      </c>
      <c r="E3881" s="2889" t="s">
        <v>1426</v>
      </c>
      <c r="F3881" s="3040"/>
      <c r="G3881" s="2890">
        <v>1145.5710764301989</v>
      </c>
    </row>
    <row r="3882" spans="2:7" ht="15" hidden="1" outlineLevel="2">
      <c r="B3882" s="2889" t="s">
        <v>1631</v>
      </c>
      <c r="C3882" s="2889" t="s">
        <v>1516</v>
      </c>
      <c r="D3882" s="2889" t="s">
        <v>1054</v>
      </c>
      <c r="E3882" s="2889" t="s">
        <v>1426</v>
      </c>
      <c r="F3882" s="2890">
        <v>0.58626737043763022</v>
      </c>
      <c r="G3882" s="2890">
        <v>19010.568858304807</v>
      </c>
    </row>
    <row r="3883" spans="2:7" ht="15" hidden="1" outlineLevel="2">
      <c r="B3883" s="2889" t="s">
        <v>1632</v>
      </c>
      <c r="C3883" s="2889" t="s">
        <v>1516</v>
      </c>
      <c r="D3883" s="2889" t="s">
        <v>1054</v>
      </c>
      <c r="E3883" s="2889" t="s">
        <v>1426</v>
      </c>
      <c r="F3883" s="3040"/>
      <c r="G3883" s="2890">
        <v>44034.451121293561</v>
      </c>
    </row>
    <row r="3884" spans="2:7" ht="15" hidden="1" outlineLevel="2">
      <c r="B3884" s="2889" t="s">
        <v>1633</v>
      </c>
      <c r="C3884" s="2889" t="s">
        <v>1516</v>
      </c>
      <c r="D3884" s="2889" t="s">
        <v>1054</v>
      </c>
      <c r="E3884" s="2889" t="s">
        <v>1426</v>
      </c>
      <c r="F3884" s="3040"/>
      <c r="G3884" s="2890">
        <v>3573.490855089271</v>
      </c>
    </row>
    <row r="3885" spans="2:7" ht="15" hidden="1" outlineLevel="2">
      <c r="B3885" s="2889" t="s">
        <v>1634</v>
      </c>
      <c r="C3885" s="2889" t="s">
        <v>1516</v>
      </c>
      <c r="D3885" s="2889" t="s">
        <v>1054</v>
      </c>
      <c r="E3885" s="2889" t="s">
        <v>1426</v>
      </c>
      <c r="F3885" s="3040"/>
      <c r="G3885" s="2890">
        <v>662.33640365525071</v>
      </c>
    </row>
    <row r="3886" spans="2:7" ht="15" hidden="1" outlineLevel="2">
      <c r="B3886" s="2889" t="s">
        <v>1635</v>
      </c>
      <c r="C3886" s="2889" t="s">
        <v>1516</v>
      </c>
      <c r="D3886" s="2889" t="s">
        <v>1054</v>
      </c>
      <c r="E3886" s="2889" t="s">
        <v>1426</v>
      </c>
      <c r="F3886" s="3040"/>
      <c r="G3886" s="2890">
        <v>5586.5969260331603</v>
      </c>
    </row>
    <row r="3887" spans="2:7" ht="15" hidden="1" outlineLevel="2">
      <c r="B3887" s="2889" t="s">
        <v>1636</v>
      </c>
      <c r="C3887" s="2889" t="s">
        <v>1516</v>
      </c>
      <c r="D3887" s="2889" t="s">
        <v>1054</v>
      </c>
      <c r="E3887" s="2889" t="s">
        <v>1426</v>
      </c>
      <c r="F3887" s="3040"/>
      <c r="G3887" s="2890">
        <v>4904.1746474850752</v>
      </c>
    </row>
    <row r="3888" spans="2:7" ht="15" hidden="1" outlineLevel="2">
      <c r="B3888" s="2889" t="s">
        <v>1637</v>
      </c>
      <c r="C3888" s="2889" t="s">
        <v>1516</v>
      </c>
      <c r="D3888" s="2889" t="s">
        <v>1054</v>
      </c>
      <c r="E3888" s="2889" t="s">
        <v>1426</v>
      </c>
      <c r="F3888" s="3040"/>
      <c r="G3888" s="2890">
        <v>8144.6762145989469</v>
      </c>
    </row>
    <row r="3889" spans="2:7" ht="15" hidden="1" outlineLevel="2">
      <c r="B3889" s="2889" t="s">
        <v>1638</v>
      </c>
      <c r="C3889" s="2889" t="s">
        <v>1516</v>
      </c>
      <c r="D3889" s="2889" t="s">
        <v>1054</v>
      </c>
      <c r="E3889" s="2889" t="s">
        <v>1426</v>
      </c>
      <c r="F3889" s="3040"/>
      <c r="G3889" s="2890">
        <v>1076.1805032918564</v>
      </c>
    </row>
    <row r="3890" spans="2:7" ht="15" hidden="1" outlineLevel="2">
      <c r="B3890" s="2889" t="s">
        <v>1639</v>
      </c>
      <c r="C3890" s="2889" t="s">
        <v>1516</v>
      </c>
      <c r="D3890" s="2889" t="s">
        <v>1054</v>
      </c>
      <c r="E3890" s="2889" t="s">
        <v>1426</v>
      </c>
      <c r="F3890" s="3040"/>
      <c r="G3890" s="2890">
        <v>9774.3651755865849</v>
      </c>
    </row>
    <row r="3891" spans="2:7" ht="15" hidden="1" outlineLevel="2">
      <c r="B3891" s="2889" t="s">
        <v>1640</v>
      </c>
      <c r="C3891" s="2889" t="s">
        <v>1516</v>
      </c>
      <c r="D3891" s="2889" t="s">
        <v>1054</v>
      </c>
      <c r="E3891" s="2889" t="s">
        <v>1426</v>
      </c>
      <c r="F3891" s="3040"/>
      <c r="G3891" s="2890">
        <v>2298.0382541926901</v>
      </c>
    </row>
    <row r="3892" spans="2:7" ht="15" hidden="1" outlineLevel="2">
      <c r="B3892" s="2889" t="s">
        <v>1641</v>
      </c>
      <c r="C3892" s="2889" t="s">
        <v>1516</v>
      </c>
      <c r="D3892" s="2889" t="s">
        <v>1054</v>
      </c>
      <c r="E3892" s="2889" t="s">
        <v>1426</v>
      </c>
      <c r="F3892" s="3040"/>
      <c r="G3892" s="2890">
        <v>11771.397969823965</v>
      </c>
    </row>
    <row r="3893" spans="2:7" ht="15" hidden="1" outlineLevel="2">
      <c r="B3893" s="2889" t="s">
        <v>1642</v>
      </c>
      <c r="C3893" s="2889" t="s">
        <v>1516</v>
      </c>
      <c r="D3893" s="2889" t="s">
        <v>1054</v>
      </c>
      <c r="E3893" s="2889" t="s">
        <v>1426</v>
      </c>
      <c r="F3893" s="3040"/>
      <c r="G3893" s="2890">
        <v>8449.328541456136</v>
      </c>
    </row>
    <row r="3894" spans="2:7" ht="15" hidden="1" outlineLevel="2">
      <c r="B3894" s="2889" t="s">
        <v>1643</v>
      </c>
      <c r="C3894" s="2889" t="s">
        <v>1516</v>
      </c>
      <c r="D3894" s="2889" t="s">
        <v>1054</v>
      </c>
      <c r="E3894" s="2889" t="s">
        <v>1426</v>
      </c>
      <c r="F3894" s="3040"/>
      <c r="G3894" s="2890">
        <v>1249.2222593527281</v>
      </c>
    </row>
    <row r="3895" spans="2:7" ht="15" hidden="1" outlineLevel="2">
      <c r="B3895" s="2889" t="s">
        <v>1644</v>
      </c>
      <c r="C3895" s="2889" t="s">
        <v>1516</v>
      </c>
      <c r="D3895" s="2889" t="s">
        <v>1054</v>
      </c>
      <c r="E3895" s="2889" t="s">
        <v>1426</v>
      </c>
      <c r="F3895" s="3040"/>
      <c r="G3895" s="2890">
        <v>27503.711653381306</v>
      </c>
    </row>
    <row r="3896" spans="2:7" ht="15" hidden="1" outlineLevel="2">
      <c r="B3896" s="2889" t="s">
        <v>1645</v>
      </c>
      <c r="C3896" s="2889" t="s">
        <v>1516</v>
      </c>
      <c r="D3896" s="2889" t="s">
        <v>1054</v>
      </c>
      <c r="E3896" s="2889" t="s">
        <v>1426</v>
      </c>
      <c r="F3896" s="3040"/>
      <c r="G3896" s="2890">
        <v>31410.101341556714</v>
      </c>
    </row>
    <row r="3897" spans="2:7" ht="15" hidden="1" outlineLevel="2">
      <c r="B3897" s="2889" t="s">
        <v>1646</v>
      </c>
      <c r="C3897" s="2889" t="s">
        <v>1516</v>
      </c>
      <c r="D3897" s="2889" t="s">
        <v>1054</v>
      </c>
      <c r="E3897" s="2889" t="s">
        <v>1426</v>
      </c>
      <c r="F3897" s="3040"/>
      <c r="G3897" s="2890">
        <v>1836.7843482009732</v>
      </c>
    </row>
    <row r="3898" spans="2:7" ht="15" hidden="1" outlineLevel="2">
      <c r="B3898" s="2889" t="s">
        <v>1647</v>
      </c>
      <c r="C3898" s="2889" t="s">
        <v>1516</v>
      </c>
      <c r="D3898" s="2889" t="s">
        <v>1054</v>
      </c>
      <c r="E3898" s="2889" t="s">
        <v>1426</v>
      </c>
      <c r="F3898" s="3040"/>
      <c r="G3898" s="2890">
        <v>4584.9781955629087</v>
      </c>
    </row>
    <row r="3899" spans="2:7" ht="15" hidden="1" outlineLevel="2">
      <c r="B3899" s="2889" t="s">
        <v>1648</v>
      </c>
      <c r="C3899" s="2889" t="s">
        <v>1516</v>
      </c>
      <c r="D3899" s="2889" t="s">
        <v>1054</v>
      </c>
      <c r="E3899" s="2889" t="s">
        <v>1426</v>
      </c>
      <c r="F3899" s="3040"/>
      <c r="G3899" s="2890">
        <v>514.029737204497</v>
      </c>
    </row>
    <row r="3900" spans="2:7" ht="15" hidden="1" outlineLevel="2">
      <c r="B3900" s="2889" t="s">
        <v>1649</v>
      </c>
      <c r="C3900" s="2889" t="s">
        <v>1516</v>
      </c>
      <c r="D3900" s="2889" t="s">
        <v>1054</v>
      </c>
      <c r="E3900" s="2889" t="s">
        <v>1426</v>
      </c>
      <c r="F3900" s="3040"/>
      <c r="G3900" s="2890">
        <v>2438.1986968134579</v>
      </c>
    </row>
    <row r="3901" spans="2:7" ht="15" hidden="1" outlineLevel="2">
      <c r="B3901" s="2889" t="s">
        <v>1650</v>
      </c>
      <c r="C3901" s="2889" t="s">
        <v>1516</v>
      </c>
      <c r="D3901" s="2889" t="s">
        <v>1054</v>
      </c>
      <c r="E3901" s="2889" t="s">
        <v>1426</v>
      </c>
      <c r="F3901" s="3040"/>
      <c r="G3901" s="2890">
        <v>6091.9430475665868</v>
      </c>
    </row>
    <row r="3902" spans="2:7" ht="15" hidden="1" outlineLevel="2">
      <c r="B3902" s="2889" t="s">
        <v>1651</v>
      </c>
      <c r="C3902" s="2889" t="s">
        <v>1516</v>
      </c>
      <c r="D3902" s="2889" t="s">
        <v>1054</v>
      </c>
      <c r="E3902" s="2889" t="s">
        <v>1426</v>
      </c>
      <c r="F3902" s="3040"/>
      <c r="G3902" s="2890">
        <v>3333.0800469534629</v>
      </c>
    </row>
    <row r="3903" spans="2:7" ht="15" hidden="1" outlineLevel="2">
      <c r="B3903" s="2889" t="s">
        <v>1652</v>
      </c>
      <c r="C3903" s="2889" t="s">
        <v>1516</v>
      </c>
      <c r="D3903" s="2889" t="s">
        <v>1054</v>
      </c>
      <c r="E3903" s="2889" t="s">
        <v>1426</v>
      </c>
      <c r="F3903" s="3040"/>
      <c r="G3903" s="2890">
        <v>3660.0136359352846</v>
      </c>
    </row>
    <row r="3904" spans="2:7" ht="15" hidden="1" outlineLevel="2">
      <c r="B3904" s="2889" t="s">
        <v>1653</v>
      </c>
      <c r="C3904" s="2889" t="s">
        <v>1516</v>
      </c>
      <c r="D3904" s="2889" t="s">
        <v>1054</v>
      </c>
      <c r="E3904" s="2889" t="s">
        <v>1426</v>
      </c>
      <c r="F3904" s="3040"/>
      <c r="G3904" s="2890">
        <v>1.2678898311801315E-28</v>
      </c>
    </row>
    <row r="3905" spans="2:7" ht="15" hidden="1" outlineLevel="2">
      <c r="B3905" s="2889" t="s">
        <v>1407</v>
      </c>
      <c r="C3905" s="2889" t="s">
        <v>1517</v>
      </c>
      <c r="D3905" s="2889" t="s">
        <v>1054</v>
      </c>
      <c r="E3905" s="2889" t="s">
        <v>1426</v>
      </c>
      <c r="F3905" s="3040"/>
      <c r="G3905" s="2890">
        <v>9.5024559023550985</v>
      </c>
    </row>
    <row r="3906" spans="2:7" ht="15" hidden="1" outlineLevel="2">
      <c r="B3906" s="2889" t="s">
        <v>1631</v>
      </c>
      <c r="C3906" s="2889" t="s">
        <v>1517</v>
      </c>
      <c r="D3906" s="2889" t="s">
        <v>1054</v>
      </c>
      <c r="E3906" s="2889" t="s">
        <v>1426</v>
      </c>
      <c r="F3906" s="2890">
        <v>5.8336617882605076E-3</v>
      </c>
      <c r="G3906" s="2890">
        <v>157.69175639036578</v>
      </c>
    </row>
    <row r="3907" spans="2:7" ht="15" hidden="1" outlineLevel="2">
      <c r="B3907" s="2889" t="s">
        <v>1632</v>
      </c>
      <c r="C3907" s="2889" t="s">
        <v>1517</v>
      </c>
      <c r="D3907" s="2889" t="s">
        <v>1054</v>
      </c>
      <c r="E3907" s="2889" t="s">
        <v>1426</v>
      </c>
      <c r="F3907" s="3040"/>
      <c r="G3907" s="2890">
        <v>365.26378802437659</v>
      </c>
    </row>
    <row r="3908" spans="2:7" ht="15" hidden="1" outlineLevel="2">
      <c r="B3908" s="2889" t="s">
        <v>1633</v>
      </c>
      <c r="C3908" s="2889" t="s">
        <v>1517</v>
      </c>
      <c r="D3908" s="2889" t="s">
        <v>1054</v>
      </c>
      <c r="E3908" s="2889" t="s">
        <v>1426</v>
      </c>
      <c r="F3908" s="3040"/>
      <c r="G3908" s="2890">
        <v>29.64194152035277</v>
      </c>
    </row>
    <row r="3909" spans="2:7" ht="15" hidden="1" outlineLevel="2">
      <c r="B3909" s="2889" t="s">
        <v>1634</v>
      </c>
      <c r="C3909" s="2889" t="s">
        <v>1517</v>
      </c>
      <c r="D3909" s="2889" t="s">
        <v>1054</v>
      </c>
      <c r="E3909" s="2889" t="s">
        <v>1426</v>
      </c>
      <c r="F3909" s="3040"/>
      <c r="G3909" s="2890">
        <v>5.4940487819034933</v>
      </c>
    </row>
    <row r="3910" spans="2:7" ht="15" hidden="1" outlineLevel="2">
      <c r="B3910" s="2889" t="s">
        <v>1635</v>
      </c>
      <c r="C3910" s="2889" t="s">
        <v>1517</v>
      </c>
      <c r="D3910" s="2889" t="s">
        <v>1054</v>
      </c>
      <c r="E3910" s="2889" t="s">
        <v>1426</v>
      </c>
      <c r="F3910" s="3040"/>
      <c r="G3910" s="2890">
        <v>46.340557810574488</v>
      </c>
    </row>
    <row r="3911" spans="2:7" ht="15" hidden="1" outlineLevel="2">
      <c r="B3911" s="2889" t="s">
        <v>1636</v>
      </c>
      <c r="C3911" s="2889" t="s">
        <v>1517</v>
      </c>
      <c r="D3911" s="2889" t="s">
        <v>1054</v>
      </c>
      <c r="E3911" s="2889" t="s">
        <v>1426</v>
      </c>
      <c r="F3911" s="3040"/>
      <c r="G3911" s="2890">
        <v>40.679903894916407</v>
      </c>
    </row>
    <row r="3912" spans="2:7" ht="15" hidden="1" outlineLevel="2">
      <c r="B3912" s="2889" t="s">
        <v>1637</v>
      </c>
      <c r="C3912" s="2889" t="s">
        <v>1517</v>
      </c>
      <c r="D3912" s="2889" t="s">
        <v>1054</v>
      </c>
      <c r="E3912" s="2889" t="s">
        <v>1426</v>
      </c>
      <c r="F3912" s="2891"/>
      <c r="G3912" s="2890">
        <v>67.559722174654482</v>
      </c>
    </row>
    <row r="3913" spans="2:7" ht="15" hidden="1" outlineLevel="2">
      <c r="B3913" s="2889" t="s">
        <v>1638</v>
      </c>
      <c r="C3913" s="2889" t="s">
        <v>1517</v>
      </c>
      <c r="D3913" s="2889" t="s">
        <v>1054</v>
      </c>
      <c r="E3913" s="2889" t="s">
        <v>1426</v>
      </c>
      <c r="F3913" s="2891"/>
      <c r="G3913" s="2890">
        <v>8.9268667098563004</v>
      </c>
    </row>
    <row r="3914" spans="2:7" ht="15" hidden="1" outlineLevel="2">
      <c r="B3914" s="2889" t="s">
        <v>1639</v>
      </c>
      <c r="C3914" s="2889" t="s">
        <v>1517</v>
      </c>
      <c r="D3914" s="2889" t="s">
        <v>1054</v>
      </c>
      <c r="E3914" s="2889" t="s">
        <v>1426</v>
      </c>
      <c r="F3914" s="2891"/>
      <c r="G3914" s="2890">
        <v>81.077906605157622</v>
      </c>
    </row>
    <row r="3915" spans="2:7" ht="15" hidden="1" outlineLevel="2">
      <c r="B3915" s="2889" t="s">
        <v>1640</v>
      </c>
      <c r="C3915" s="2889" t="s">
        <v>1517</v>
      </c>
      <c r="D3915" s="2889" t="s">
        <v>1054</v>
      </c>
      <c r="E3915" s="2889" t="s">
        <v>1426</v>
      </c>
      <c r="F3915" s="2891"/>
      <c r="G3915" s="2890">
        <v>19.062123356059161</v>
      </c>
    </row>
    <row r="3916" spans="2:7" ht="15" hidden="1" outlineLevel="2">
      <c r="B3916" s="2889" t="s">
        <v>1641</v>
      </c>
      <c r="C3916" s="2889" t="s">
        <v>1517</v>
      </c>
      <c r="D3916" s="2889" t="s">
        <v>1054</v>
      </c>
      <c r="E3916" s="2889" t="s">
        <v>1426</v>
      </c>
      <c r="F3916" s="2891"/>
      <c r="G3916" s="2890">
        <v>97.643179566578894</v>
      </c>
    </row>
    <row r="3917" spans="2:7" ht="15" hidden="1" outlineLevel="2">
      <c r="B3917" s="2889" t="s">
        <v>1642</v>
      </c>
      <c r="C3917" s="2889" t="s">
        <v>1517</v>
      </c>
      <c r="D3917" s="2889" t="s">
        <v>1054</v>
      </c>
      <c r="E3917" s="2889" t="s">
        <v>1426</v>
      </c>
      <c r="F3917" s="2891"/>
      <c r="G3917" s="2890">
        <v>70.086751939349625</v>
      </c>
    </row>
    <row r="3918" spans="2:7" ht="15" hidden="1" outlineLevel="2">
      <c r="B3918" s="2889" t="s">
        <v>1643</v>
      </c>
      <c r="C3918" s="2889" t="s">
        <v>1517</v>
      </c>
      <c r="D3918" s="2889" t="s">
        <v>1054</v>
      </c>
      <c r="E3918" s="2889" t="s">
        <v>1426</v>
      </c>
      <c r="F3918" s="2891"/>
      <c r="G3918" s="2890">
        <v>10.362237611240655</v>
      </c>
    </row>
    <row r="3919" spans="2:7" ht="15" hidden="1" outlineLevel="2">
      <c r="B3919" s="2889" t="s">
        <v>1644</v>
      </c>
      <c r="C3919" s="2889" t="s">
        <v>1517</v>
      </c>
      <c r="D3919" s="2889" t="s">
        <v>1054</v>
      </c>
      <c r="E3919" s="2889" t="s">
        <v>1426</v>
      </c>
      <c r="F3919" s="2891"/>
      <c r="G3919" s="2890">
        <v>228.14194052303674</v>
      </c>
    </row>
    <row r="3920" spans="2:7" ht="15" hidden="1" outlineLevel="2">
      <c r="B3920" s="2889" t="s">
        <v>1645</v>
      </c>
      <c r="C3920" s="2889" t="s">
        <v>1517</v>
      </c>
      <c r="D3920" s="2889" t="s">
        <v>1054</v>
      </c>
      <c r="E3920" s="2889" t="s">
        <v>1426</v>
      </c>
      <c r="F3920" s="2891"/>
      <c r="G3920" s="2890">
        <v>260.54534638524541</v>
      </c>
    </row>
    <row r="3921" spans="2:7" ht="15" hidden="1" outlineLevel="2">
      <c r="B3921" s="2889" t="s">
        <v>1646</v>
      </c>
      <c r="C3921" s="2889" t="s">
        <v>1517</v>
      </c>
      <c r="D3921" s="2889" t="s">
        <v>1054</v>
      </c>
      <c r="E3921" s="2889" t="s">
        <v>1426</v>
      </c>
      <c r="F3921" s="2891"/>
      <c r="G3921" s="2890">
        <v>15.236038998859803</v>
      </c>
    </row>
    <row r="3922" spans="2:7" ht="15" hidden="1" outlineLevel="2">
      <c r="B3922" s="2889" t="s">
        <v>1647</v>
      </c>
      <c r="C3922" s="2889" t="s">
        <v>1517</v>
      </c>
      <c r="D3922" s="2889" t="s">
        <v>1054</v>
      </c>
      <c r="E3922" s="2889" t="s">
        <v>1426</v>
      </c>
      <c r="F3922" s="2891"/>
      <c r="G3922" s="2890">
        <v>38.032175534906429</v>
      </c>
    </row>
    <row r="3923" spans="2:7" ht="15" hidden="1" outlineLevel="2">
      <c r="B3923" s="2889" t="s">
        <v>1648</v>
      </c>
      <c r="C3923" s="2889" t="s">
        <v>1517</v>
      </c>
      <c r="D3923" s="2889" t="s">
        <v>1054</v>
      </c>
      <c r="E3923" s="2889" t="s">
        <v>1426</v>
      </c>
      <c r="F3923" s="2891"/>
      <c r="G3923" s="2890">
        <v>4.2638525358427968</v>
      </c>
    </row>
    <row r="3924" spans="2:7" ht="15" hidden="1" outlineLevel="2">
      <c r="B3924" s="2889" t="s">
        <v>1649</v>
      </c>
      <c r="C3924" s="2889" t="s">
        <v>1517</v>
      </c>
      <c r="D3924" s="2889" t="s">
        <v>1054</v>
      </c>
      <c r="E3924" s="2889" t="s">
        <v>1426</v>
      </c>
      <c r="F3924" s="2891"/>
      <c r="G3924" s="2890">
        <v>20.224747569215378</v>
      </c>
    </row>
    <row r="3925" spans="2:7" ht="15" hidden="1" outlineLevel="2">
      <c r="B3925" s="2889" t="s">
        <v>1650</v>
      </c>
      <c r="C3925" s="2889" t="s">
        <v>1517</v>
      </c>
      <c r="D3925" s="2889" t="s">
        <v>1054</v>
      </c>
      <c r="E3925" s="2889" t="s">
        <v>1426</v>
      </c>
      <c r="F3925" s="2891"/>
      <c r="G3925" s="2890">
        <v>50.532373579067553</v>
      </c>
    </row>
    <row r="3926" spans="2:7" ht="15" hidden="1" outlineLevel="2">
      <c r="B3926" s="2889" t="s">
        <v>1651</v>
      </c>
      <c r="C3926" s="2889" t="s">
        <v>1517</v>
      </c>
      <c r="D3926" s="2889" t="s">
        <v>1054</v>
      </c>
      <c r="E3926" s="2889" t="s">
        <v>1426</v>
      </c>
      <c r="F3926" s="2891"/>
      <c r="G3926" s="2890">
        <v>27.647740461977872</v>
      </c>
    </row>
    <row r="3927" spans="2:7" ht="15" hidden="1" outlineLevel="2">
      <c r="B3927" s="2889" t="s">
        <v>1652</v>
      </c>
      <c r="C3927" s="2889" t="s">
        <v>1517</v>
      </c>
      <c r="D3927" s="2889" t="s">
        <v>1054</v>
      </c>
      <c r="E3927" s="2889" t="s">
        <v>1426</v>
      </c>
      <c r="F3927" s="2891"/>
      <c r="G3927" s="2890">
        <v>30.359638158009954</v>
      </c>
    </row>
    <row r="3928" spans="2:7" ht="15" hidden="1" outlineLevel="2">
      <c r="B3928" s="2889" t="s">
        <v>1653</v>
      </c>
      <c r="C3928" s="2889" t="s">
        <v>1517</v>
      </c>
      <c r="D3928" s="2889" t="s">
        <v>1054</v>
      </c>
      <c r="E3928" s="2889" t="s">
        <v>1426</v>
      </c>
      <c r="F3928" s="2891"/>
      <c r="G3928" s="2890">
        <v>5.7536869703209902E-30</v>
      </c>
    </row>
    <row r="3929" spans="2:7" ht="15" hidden="1" outlineLevel="2">
      <c r="B3929" s="2889" t="s">
        <v>1407</v>
      </c>
      <c r="C3929" s="2889" t="s">
        <v>1518</v>
      </c>
      <c r="D3929" s="2889" t="s">
        <v>1054</v>
      </c>
      <c r="E3929" s="2889" t="s">
        <v>1426</v>
      </c>
      <c r="F3929" s="2891"/>
      <c r="G3929" s="2890">
        <v>4.4884455108699131</v>
      </c>
    </row>
    <row r="3930" spans="2:7" ht="15" hidden="1" outlineLevel="2">
      <c r="B3930" s="2889" t="s">
        <v>1631</v>
      </c>
      <c r="C3930" s="2889" t="s">
        <v>1518</v>
      </c>
      <c r="D3930" s="2889" t="s">
        <v>1054</v>
      </c>
      <c r="E3930" s="2889" t="s">
        <v>1426</v>
      </c>
      <c r="F3930" s="3039">
        <v>2.2224104415720664E-3</v>
      </c>
      <c r="G3930" s="2890">
        <v>74.485037296919316</v>
      </c>
    </row>
    <row r="3931" spans="2:7" ht="15" hidden="1" outlineLevel="2">
      <c r="B3931" s="2889" t="s">
        <v>1632</v>
      </c>
      <c r="C3931" s="2889" t="s">
        <v>1518</v>
      </c>
      <c r="D3931" s="2889" t="s">
        <v>1054</v>
      </c>
      <c r="E3931" s="2889" t="s">
        <v>1426</v>
      </c>
      <c r="F3931" s="2891"/>
      <c r="G3931" s="2890">
        <v>172.53078658474323</v>
      </c>
    </row>
    <row r="3932" spans="2:7" ht="15" hidden="1" outlineLevel="2">
      <c r="B3932" s="2889" t="s">
        <v>1633</v>
      </c>
      <c r="C3932" s="2889" t="s">
        <v>1518</v>
      </c>
      <c r="D3932" s="2889" t="s">
        <v>1054</v>
      </c>
      <c r="E3932" s="2889" t="s">
        <v>1426</v>
      </c>
      <c r="F3932" s="2891"/>
      <c r="G3932" s="2890">
        <v>14.001241109190893</v>
      </c>
    </row>
    <row r="3933" spans="2:7" ht="15" hidden="1" outlineLevel="2">
      <c r="B3933" s="2889" t="s">
        <v>1634</v>
      </c>
      <c r="C3933" s="2889" t="s">
        <v>1518</v>
      </c>
      <c r="D3933" s="2889" t="s">
        <v>1054</v>
      </c>
      <c r="E3933" s="2889" t="s">
        <v>1426</v>
      </c>
      <c r="F3933" s="2891"/>
      <c r="G3933" s="2890">
        <v>2.5950896296772714</v>
      </c>
    </row>
    <row r="3934" spans="2:7" ht="15" hidden="1" outlineLevel="2">
      <c r="B3934" s="2889" t="s">
        <v>1635</v>
      </c>
      <c r="C3934" s="2889" t="s">
        <v>1518</v>
      </c>
      <c r="D3934" s="2889" t="s">
        <v>1054</v>
      </c>
      <c r="E3934" s="2889" t="s">
        <v>1426</v>
      </c>
      <c r="F3934" s="2891"/>
      <c r="G3934" s="2890">
        <v>21.888761031880545</v>
      </c>
    </row>
    <row r="3935" spans="2:7" ht="15" hidden="1" outlineLevel="2">
      <c r="B3935" s="2889" t="s">
        <v>1636</v>
      </c>
      <c r="C3935" s="2889" t="s">
        <v>1518</v>
      </c>
      <c r="D3935" s="2889" t="s">
        <v>1054</v>
      </c>
      <c r="E3935" s="2889" t="s">
        <v>1426</v>
      </c>
      <c r="F3935" s="2891"/>
      <c r="G3935" s="2890">
        <v>19.214977570029937</v>
      </c>
    </row>
    <row r="3936" spans="2:7" ht="15" hidden="1" outlineLevel="2">
      <c r="B3936" s="2889" t="s">
        <v>1637</v>
      </c>
      <c r="C3936" s="2889" t="s">
        <v>1518</v>
      </c>
      <c r="D3936" s="2889" t="s">
        <v>1054</v>
      </c>
      <c r="E3936" s="2889" t="s">
        <v>1426</v>
      </c>
      <c r="F3936" s="2891"/>
      <c r="G3936" s="2890">
        <v>31.911540982111962</v>
      </c>
    </row>
    <row r="3937" spans="2:7" ht="15" hidden="1" outlineLevel="2">
      <c r="B3937" s="2889" t="s">
        <v>1638</v>
      </c>
      <c r="C3937" s="2889" t="s">
        <v>1518</v>
      </c>
      <c r="D3937" s="2889" t="s">
        <v>1054</v>
      </c>
      <c r="E3937" s="2889" t="s">
        <v>1426</v>
      </c>
      <c r="F3937" s="3040"/>
      <c r="G3937" s="2890">
        <v>4.2165663011762788</v>
      </c>
    </row>
    <row r="3938" spans="2:7" ht="15" hidden="1" outlineLevel="2">
      <c r="B3938" s="2889" t="s">
        <v>1639</v>
      </c>
      <c r="C3938" s="2889" t="s">
        <v>1518</v>
      </c>
      <c r="D3938" s="2889" t="s">
        <v>1054</v>
      </c>
      <c r="E3938" s="2889" t="s">
        <v>1426</v>
      </c>
      <c r="F3938" s="3040"/>
      <c r="G3938" s="2890">
        <v>38.296799701512882</v>
      </c>
    </row>
    <row r="3939" spans="2:7" ht="15" hidden="1" outlineLevel="2">
      <c r="B3939" s="2889" t="s">
        <v>1640</v>
      </c>
      <c r="C3939" s="2889" t="s">
        <v>1518</v>
      </c>
      <c r="D3939" s="2889" t="s">
        <v>1054</v>
      </c>
      <c r="E3939" s="2889" t="s">
        <v>1426</v>
      </c>
      <c r="F3939" s="3040"/>
      <c r="G3939" s="2890">
        <v>9.0039094704240874</v>
      </c>
    </row>
    <row r="3940" spans="2:7" ht="15" hidden="1" outlineLevel="2">
      <c r="B3940" s="2889" t="s">
        <v>1641</v>
      </c>
      <c r="C3940" s="2889" t="s">
        <v>1518</v>
      </c>
      <c r="D3940" s="2889" t="s">
        <v>1054</v>
      </c>
      <c r="E3940" s="2889" t="s">
        <v>1426</v>
      </c>
      <c r="F3940" s="3040"/>
      <c r="G3940" s="2890">
        <v>46.121336151582284</v>
      </c>
    </row>
    <row r="3941" spans="2:7" ht="15" hidden="1" outlineLevel="2">
      <c r="B3941" s="2889" t="s">
        <v>1642</v>
      </c>
      <c r="C3941" s="2889" t="s">
        <v>1518</v>
      </c>
      <c r="D3941" s="2889" t="s">
        <v>1054</v>
      </c>
      <c r="E3941" s="2889" t="s">
        <v>1426</v>
      </c>
      <c r="F3941" s="3040"/>
      <c r="G3941" s="2890">
        <v>33.105184768443763</v>
      </c>
    </row>
    <row r="3942" spans="2:7" ht="15" hidden="1" outlineLevel="2">
      <c r="B3942" s="2889" t="s">
        <v>1643</v>
      </c>
      <c r="C3942" s="2889" t="s">
        <v>1518</v>
      </c>
      <c r="D3942" s="2889" t="s">
        <v>1054</v>
      </c>
      <c r="E3942" s="2889" t="s">
        <v>1426</v>
      </c>
      <c r="F3942" s="3040"/>
      <c r="G3942" s="2890">
        <v>4.894558410469644</v>
      </c>
    </row>
    <row r="3943" spans="2:7" ht="15" hidden="1" outlineLevel="2">
      <c r="B3943" s="2889" t="s">
        <v>1644</v>
      </c>
      <c r="C3943" s="2889" t="s">
        <v>1518</v>
      </c>
      <c r="D3943" s="2889" t="s">
        <v>1054</v>
      </c>
      <c r="E3943" s="2889" t="s">
        <v>1426</v>
      </c>
      <c r="F3943" s="3040"/>
      <c r="G3943" s="2890">
        <v>107.76186107276507</v>
      </c>
    </row>
    <row r="3944" spans="2:7" ht="15" hidden="1" outlineLevel="2">
      <c r="B3944" s="2889" t="s">
        <v>1645</v>
      </c>
      <c r="C3944" s="2889" t="s">
        <v>1518</v>
      </c>
      <c r="D3944" s="2889" t="s">
        <v>1054</v>
      </c>
      <c r="E3944" s="2889" t="s">
        <v>1426</v>
      </c>
      <c r="F3944" s="3040"/>
      <c r="G3944" s="2890">
        <v>123.0674720858278</v>
      </c>
    </row>
    <row r="3945" spans="2:7" ht="15" hidden="1" outlineLevel="2">
      <c r="B3945" s="2889" t="s">
        <v>1646</v>
      </c>
      <c r="C3945" s="2889" t="s">
        <v>1518</v>
      </c>
      <c r="D3945" s="2889" t="s">
        <v>1054</v>
      </c>
      <c r="E3945" s="2889" t="s">
        <v>1426</v>
      </c>
      <c r="F3945" s="3040"/>
      <c r="G3945" s="2890">
        <v>7.196676554716908</v>
      </c>
    </row>
    <row r="3946" spans="2:7" ht="15" hidden="1" outlineLevel="2">
      <c r="B3946" s="2889" t="s">
        <v>1647</v>
      </c>
      <c r="C3946" s="2889" t="s">
        <v>1518</v>
      </c>
      <c r="D3946" s="2889" t="s">
        <v>1054</v>
      </c>
      <c r="E3946" s="2889" t="s">
        <v>1426</v>
      </c>
      <c r="F3946" s="3040"/>
      <c r="G3946" s="2890">
        <v>17.964334644500337</v>
      </c>
    </row>
    <row r="3947" spans="2:7" ht="15" hidden="1" outlineLevel="2">
      <c r="B3947" s="2889" t="s">
        <v>1648</v>
      </c>
      <c r="C3947" s="2889" t="s">
        <v>1518</v>
      </c>
      <c r="D3947" s="2889" t="s">
        <v>1054</v>
      </c>
      <c r="E3947" s="2889" t="s">
        <v>1426</v>
      </c>
      <c r="F3947" s="3040"/>
      <c r="G3947" s="2890">
        <v>2.0140123065726203</v>
      </c>
    </row>
    <row r="3948" spans="2:7" ht="15" hidden="1" outlineLevel="2">
      <c r="B3948" s="2889" t="s">
        <v>1649</v>
      </c>
      <c r="C3948" s="2889" t="s">
        <v>1518</v>
      </c>
      <c r="D3948" s="2889" t="s">
        <v>1054</v>
      </c>
      <c r="E3948" s="2889" t="s">
        <v>1426</v>
      </c>
      <c r="F3948" s="3040"/>
      <c r="G3948" s="2890">
        <v>9.5530715098767551</v>
      </c>
    </row>
    <row r="3949" spans="2:7" ht="15" hidden="1" outlineLevel="2">
      <c r="B3949" s="2889" t="s">
        <v>1650</v>
      </c>
      <c r="C3949" s="2889" t="s">
        <v>1518</v>
      </c>
      <c r="D3949" s="2889" t="s">
        <v>1054</v>
      </c>
      <c r="E3949" s="2889" t="s">
        <v>1426</v>
      </c>
      <c r="F3949" s="3040"/>
      <c r="G3949" s="2890">
        <v>23.86874472190113</v>
      </c>
    </row>
    <row r="3950" spans="2:7" ht="15" hidden="1" outlineLevel="2">
      <c r="B3950" s="2889" t="s">
        <v>1651</v>
      </c>
      <c r="C3950" s="2889" t="s">
        <v>1518</v>
      </c>
      <c r="D3950" s="2889" t="s">
        <v>1054</v>
      </c>
      <c r="E3950" s="2889" t="s">
        <v>1426</v>
      </c>
      <c r="F3950" s="3040"/>
      <c r="G3950" s="2890">
        <v>13.059291775272998</v>
      </c>
    </row>
    <row r="3951" spans="2:7" ht="15" hidden="1" outlineLevel="2">
      <c r="B3951" s="2889" t="s">
        <v>1652</v>
      </c>
      <c r="C3951" s="2889" t="s">
        <v>1518</v>
      </c>
      <c r="D3951" s="2889" t="s">
        <v>1054</v>
      </c>
      <c r="E3951" s="2889" t="s">
        <v>1426</v>
      </c>
      <c r="F3951" s="3040"/>
      <c r="G3951" s="2890">
        <v>14.340243140689884</v>
      </c>
    </row>
    <row r="3952" spans="2:7" ht="15" hidden="1" outlineLevel="2">
      <c r="B3952" s="2889" t="s">
        <v>1653</v>
      </c>
      <c r="C3952" s="2889" t="s">
        <v>1518</v>
      </c>
      <c r="D3952" s="2889" t="s">
        <v>1054</v>
      </c>
      <c r="E3952" s="2889" t="s">
        <v>1426</v>
      </c>
      <c r="F3952" s="3040"/>
      <c r="G3952" s="2890">
        <v>2.5688594811403869E-30</v>
      </c>
    </row>
    <row r="3953" spans="2:7" ht="15" hidden="1" outlineLevel="2">
      <c r="B3953" s="2889" t="s">
        <v>1407</v>
      </c>
      <c r="C3953" s="2889" t="s">
        <v>1519</v>
      </c>
      <c r="D3953" s="2889" t="s">
        <v>1054</v>
      </c>
      <c r="E3953" s="2889" t="s">
        <v>1426</v>
      </c>
      <c r="F3953" s="3040"/>
      <c r="G3953" s="2890">
        <v>261.6385610994264</v>
      </c>
    </row>
    <row r="3954" spans="2:7" ht="15" hidden="1" outlineLevel="2">
      <c r="B3954" s="2889" t="s">
        <v>1631</v>
      </c>
      <c r="C3954" s="2889" t="s">
        <v>1519</v>
      </c>
      <c r="D3954" s="2889" t="s">
        <v>1054</v>
      </c>
      <c r="E3954" s="2889" t="s">
        <v>1426</v>
      </c>
      <c r="F3954" s="2890">
        <v>0.12760420935217642</v>
      </c>
      <c r="G3954" s="2890">
        <v>4341.8496005876941</v>
      </c>
    </row>
    <row r="3955" spans="2:7" ht="15" hidden="1" outlineLevel="2">
      <c r="B3955" s="2889" t="s">
        <v>1632</v>
      </c>
      <c r="C3955" s="2889" t="s">
        <v>1519</v>
      </c>
      <c r="D3955" s="2889" t="s">
        <v>1054</v>
      </c>
      <c r="E3955" s="2889" t="s">
        <v>1426</v>
      </c>
      <c r="F3955" s="3040"/>
      <c r="G3955" s="2890">
        <v>10057.089058205491</v>
      </c>
    </row>
    <row r="3956" spans="2:7" ht="15" hidden="1" outlineLevel="2">
      <c r="B3956" s="2889" t="s">
        <v>1633</v>
      </c>
      <c r="C3956" s="2889" t="s">
        <v>1519</v>
      </c>
      <c r="D3956" s="2889" t="s">
        <v>1054</v>
      </c>
      <c r="E3956" s="2889" t="s">
        <v>1426</v>
      </c>
      <c r="F3956" s="3040"/>
      <c r="G3956" s="2890">
        <v>816.15438289449071</v>
      </c>
    </row>
    <row r="3957" spans="2:7" ht="15" hidden="1" outlineLevel="2">
      <c r="B3957" s="2889" t="s">
        <v>1634</v>
      </c>
      <c r="C3957" s="2889" t="s">
        <v>1519</v>
      </c>
      <c r="D3957" s="2889" t="s">
        <v>1054</v>
      </c>
      <c r="E3957" s="2889" t="s">
        <v>1426</v>
      </c>
      <c r="F3957" s="2891"/>
      <c r="G3957" s="2890">
        <v>151.27185425751756</v>
      </c>
    </row>
    <row r="3958" spans="2:7" ht="15" hidden="1" outlineLevel="2">
      <c r="B3958" s="2889" t="s">
        <v>1635</v>
      </c>
      <c r="C3958" s="2889" t="s">
        <v>1519</v>
      </c>
      <c r="D3958" s="2889" t="s">
        <v>1054</v>
      </c>
      <c r="E3958" s="2889" t="s">
        <v>1426</v>
      </c>
      <c r="F3958" s="2891"/>
      <c r="G3958" s="2890">
        <v>1275.9300443663731</v>
      </c>
    </row>
    <row r="3959" spans="2:7" ht="15" hidden="1" outlineLevel="2">
      <c r="B3959" s="2889" t="s">
        <v>1636</v>
      </c>
      <c r="C3959" s="2889" t="s">
        <v>1519</v>
      </c>
      <c r="D3959" s="2889" t="s">
        <v>1054</v>
      </c>
      <c r="E3959" s="2889" t="s">
        <v>1426</v>
      </c>
      <c r="F3959" s="2891"/>
      <c r="G3959" s="2890">
        <v>1120.0713702148805</v>
      </c>
    </row>
    <row r="3960" spans="2:7" ht="15" hidden="1" outlineLevel="2">
      <c r="B3960" s="2889" t="s">
        <v>1637</v>
      </c>
      <c r="C3960" s="2889" t="s">
        <v>1519</v>
      </c>
      <c r="D3960" s="2889" t="s">
        <v>1054</v>
      </c>
      <c r="E3960" s="2889" t="s">
        <v>1426</v>
      </c>
      <c r="F3960" s="2891"/>
      <c r="G3960" s="2890">
        <v>1860.1735680706904</v>
      </c>
    </row>
    <row r="3961" spans="2:7" ht="15" hidden="1" outlineLevel="2">
      <c r="B3961" s="2889" t="s">
        <v>1638</v>
      </c>
      <c r="C3961" s="2889" t="s">
        <v>1519</v>
      </c>
      <c r="D3961" s="2889" t="s">
        <v>1054</v>
      </c>
      <c r="E3961" s="2889" t="s">
        <v>1426</v>
      </c>
      <c r="F3961" s="2891"/>
      <c r="G3961" s="2890">
        <v>245.79025829335535</v>
      </c>
    </row>
    <row r="3962" spans="2:7" ht="15" hidden="1" outlineLevel="2">
      <c r="B3962" s="2889" t="s">
        <v>1639</v>
      </c>
      <c r="C3962" s="2889" t="s">
        <v>1519</v>
      </c>
      <c r="D3962" s="2889" t="s">
        <v>1054</v>
      </c>
      <c r="E3962" s="2889" t="s">
        <v>1426</v>
      </c>
      <c r="F3962" s="2891"/>
      <c r="G3962" s="2890">
        <v>2232.3809065374803</v>
      </c>
    </row>
    <row r="3963" spans="2:7" ht="15" hidden="1" outlineLevel="2">
      <c r="B3963" s="2889" t="s">
        <v>1640</v>
      </c>
      <c r="C3963" s="2889" t="s">
        <v>1519</v>
      </c>
      <c r="D3963" s="2889" t="s">
        <v>1054</v>
      </c>
      <c r="E3963" s="2889" t="s">
        <v>1426</v>
      </c>
      <c r="F3963" s="2891"/>
      <c r="G3963" s="2890">
        <v>524.85214111391281</v>
      </c>
    </row>
    <row r="3964" spans="2:7" ht="15" hidden="1" outlineLevel="2">
      <c r="B3964" s="2889" t="s">
        <v>1641</v>
      </c>
      <c r="C3964" s="2889" t="s">
        <v>1519</v>
      </c>
      <c r="D3964" s="2889" t="s">
        <v>1054</v>
      </c>
      <c r="E3964" s="2889" t="s">
        <v>1426</v>
      </c>
      <c r="F3964" s="3040"/>
      <c r="G3964" s="2890">
        <v>2688.4852431611257</v>
      </c>
    </row>
    <row r="3965" spans="2:7" ht="15" hidden="1" outlineLevel="2">
      <c r="B3965" s="2889" t="s">
        <v>1642</v>
      </c>
      <c r="C3965" s="2889" t="s">
        <v>1519</v>
      </c>
      <c r="D3965" s="2889" t="s">
        <v>1054</v>
      </c>
      <c r="E3965" s="2889" t="s">
        <v>1426</v>
      </c>
      <c r="F3965" s="3040"/>
      <c r="G3965" s="2890">
        <v>1929.7533664110438</v>
      </c>
    </row>
    <row r="3966" spans="2:7" ht="15" hidden="1" outlineLevel="2">
      <c r="B3966" s="2889" t="s">
        <v>1643</v>
      </c>
      <c r="C3966" s="2889" t="s">
        <v>1519</v>
      </c>
      <c r="D3966" s="2889" t="s">
        <v>1054</v>
      </c>
      <c r="E3966" s="2889" t="s">
        <v>1426</v>
      </c>
      <c r="F3966" s="3040"/>
      <c r="G3966" s="2890">
        <v>285.31150748604671</v>
      </c>
    </row>
    <row r="3967" spans="2:7" ht="15" hidden="1" outlineLevel="2">
      <c r="B3967" s="2889" t="s">
        <v>1644</v>
      </c>
      <c r="C3967" s="2889" t="s">
        <v>1519</v>
      </c>
      <c r="D3967" s="2889" t="s">
        <v>1054</v>
      </c>
      <c r="E3967" s="2889" t="s">
        <v>1426</v>
      </c>
      <c r="F3967" s="3040"/>
      <c r="G3967" s="2890">
        <v>6281.6085369711736</v>
      </c>
    </row>
    <row r="3968" spans="2:7" ht="15" hidden="1" outlineLevel="2">
      <c r="B3968" s="2889" t="s">
        <v>1645</v>
      </c>
      <c r="C3968" s="2889" t="s">
        <v>1519</v>
      </c>
      <c r="D3968" s="2889" t="s">
        <v>1054</v>
      </c>
      <c r="E3968" s="2889" t="s">
        <v>1426</v>
      </c>
      <c r="F3968" s="3040"/>
      <c r="G3968" s="2890">
        <v>7173.7950866485207</v>
      </c>
    </row>
    <row r="3969" spans="2:7" ht="15" hidden="1" outlineLevel="2">
      <c r="B3969" s="2889" t="s">
        <v>1646</v>
      </c>
      <c r="C3969" s="2889" t="s">
        <v>1519</v>
      </c>
      <c r="D3969" s="2889" t="s">
        <v>1054</v>
      </c>
      <c r="E3969" s="2889" t="s">
        <v>1426</v>
      </c>
      <c r="F3969" s="3040"/>
      <c r="G3969" s="2890">
        <v>419.50558772218881</v>
      </c>
    </row>
    <row r="3970" spans="2:7" ht="15" hidden="1" outlineLevel="2">
      <c r="B3970" s="2889" t="s">
        <v>1647</v>
      </c>
      <c r="C3970" s="2889" t="s">
        <v>1519</v>
      </c>
      <c r="D3970" s="2889" t="s">
        <v>1054</v>
      </c>
      <c r="E3970" s="2889" t="s">
        <v>1426</v>
      </c>
      <c r="F3970" s="3040"/>
      <c r="G3970" s="2890">
        <v>1047.1694109012644</v>
      </c>
    </row>
    <row r="3971" spans="2:7" ht="15" hidden="1" outlineLevel="2">
      <c r="B3971" s="2889" t="s">
        <v>1648</v>
      </c>
      <c r="C3971" s="2889" t="s">
        <v>1519</v>
      </c>
      <c r="D3971" s="2889" t="s">
        <v>1054</v>
      </c>
      <c r="E3971" s="2889" t="s">
        <v>1426</v>
      </c>
      <c r="F3971" s="3040"/>
      <c r="G3971" s="2890">
        <v>117.39994250179079</v>
      </c>
    </row>
    <row r="3972" spans="2:7" ht="15" hidden="1" outlineLevel="2">
      <c r="B3972" s="2889" t="s">
        <v>1649</v>
      </c>
      <c r="C3972" s="2889" t="s">
        <v>1519</v>
      </c>
      <c r="D3972" s="2889" t="s">
        <v>1054</v>
      </c>
      <c r="E3972" s="2889" t="s">
        <v>1426</v>
      </c>
      <c r="F3972" s="3040"/>
      <c r="G3972" s="2890">
        <v>556.86352497160033</v>
      </c>
    </row>
    <row r="3973" spans="2:7" ht="15" hidden="1" outlineLevel="2">
      <c r="B3973" s="2889" t="s">
        <v>1650</v>
      </c>
      <c r="C3973" s="2889" t="s">
        <v>1519</v>
      </c>
      <c r="D3973" s="2889" t="s">
        <v>1054</v>
      </c>
      <c r="E3973" s="2889" t="s">
        <v>1426</v>
      </c>
      <c r="F3973" s="3040"/>
      <c r="G3973" s="2890">
        <v>1391.3468008460327</v>
      </c>
    </row>
    <row r="3974" spans="2:7" ht="15" hidden="1" outlineLevel="2">
      <c r="B3974" s="2889" t="s">
        <v>1651</v>
      </c>
      <c r="C3974" s="2889" t="s">
        <v>1519</v>
      </c>
      <c r="D3974" s="2889" t="s">
        <v>1054</v>
      </c>
      <c r="E3974" s="2889" t="s">
        <v>1426</v>
      </c>
      <c r="F3974" s="3040"/>
      <c r="G3974" s="2890">
        <v>761.24683827976378</v>
      </c>
    </row>
    <row r="3975" spans="2:7" ht="15" hidden="1" outlineLevel="2">
      <c r="B3975" s="2889" t="s">
        <v>1652</v>
      </c>
      <c r="C3975" s="2889" t="s">
        <v>1519</v>
      </c>
      <c r="D3975" s="2889" t="s">
        <v>1054</v>
      </c>
      <c r="E3975" s="2889" t="s">
        <v>1426</v>
      </c>
      <c r="F3975" s="3040"/>
      <c r="G3975" s="2890">
        <v>835.91538372316586</v>
      </c>
    </row>
    <row r="3976" spans="2:7" ht="15" hidden="1" outlineLevel="2">
      <c r="B3976" s="2889" t="s">
        <v>1653</v>
      </c>
      <c r="C3976" s="2889" t="s">
        <v>1519</v>
      </c>
      <c r="D3976" s="2889" t="s">
        <v>1054</v>
      </c>
      <c r="E3976" s="2889" t="s">
        <v>1426</v>
      </c>
      <c r="F3976" s="3040"/>
      <c r="G3976" s="2890">
        <v>1.2978143078073451E-28</v>
      </c>
    </row>
    <row r="3977" spans="2:7" ht="15" hidden="1" outlineLevel="2">
      <c r="B3977" s="2889" t="s">
        <v>1407</v>
      </c>
      <c r="C3977" s="2889" t="s">
        <v>1520</v>
      </c>
      <c r="D3977" s="2889" t="s">
        <v>1054</v>
      </c>
      <c r="E3977" s="2889" t="s">
        <v>1426</v>
      </c>
      <c r="F3977" s="3040"/>
      <c r="G3977" s="2890">
        <v>285.01103413851428</v>
      </c>
    </row>
    <row r="3978" spans="2:7" ht="15" hidden="1" outlineLevel="2">
      <c r="B3978" s="2889" t="s">
        <v>1631</v>
      </c>
      <c r="C3978" s="2889" t="s">
        <v>1520</v>
      </c>
      <c r="D3978" s="2889" t="s">
        <v>1054</v>
      </c>
      <c r="E3978" s="2889" t="s">
        <v>1426</v>
      </c>
      <c r="F3978" s="2890">
        <v>0.14615141355139191</v>
      </c>
      <c r="G3978" s="2890">
        <v>4729.7100099539202</v>
      </c>
    </row>
    <row r="3979" spans="2:7" ht="15" hidden="1" outlineLevel="2">
      <c r="B3979" s="2889" t="s">
        <v>1632</v>
      </c>
      <c r="C3979" s="2889" t="s">
        <v>1520</v>
      </c>
      <c r="D3979" s="2889" t="s">
        <v>1054</v>
      </c>
      <c r="E3979" s="2889" t="s">
        <v>1426</v>
      </c>
      <c r="F3979" s="3040"/>
      <c r="G3979" s="2890">
        <v>10955.500315579371</v>
      </c>
    </row>
    <row r="3980" spans="2:7" ht="15" hidden="1" outlineLevel="2">
      <c r="B3980" s="2889" t="s">
        <v>1633</v>
      </c>
      <c r="C3980" s="2889" t="s">
        <v>1520</v>
      </c>
      <c r="D3980" s="2889" t="s">
        <v>1054</v>
      </c>
      <c r="E3980" s="2889" t="s">
        <v>1426</v>
      </c>
      <c r="F3980" s="3040"/>
      <c r="G3980" s="2890">
        <v>889.06218380009773</v>
      </c>
    </row>
    <row r="3981" spans="2:7" ht="15" hidden="1" outlineLevel="2">
      <c r="B3981" s="2889" t="s">
        <v>1634</v>
      </c>
      <c r="C3981" s="2889" t="s">
        <v>1520</v>
      </c>
      <c r="D3981" s="2889" t="s">
        <v>1054</v>
      </c>
      <c r="E3981" s="2889" t="s">
        <v>1426</v>
      </c>
      <c r="F3981" s="3040"/>
      <c r="G3981" s="2890">
        <v>164.78519045818129</v>
      </c>
    </row>
    <row r="3982" spans="2:7" ht="15" hidden="1" outlineLevel="2">
      <c r="B3982" s="2889" t="s">
        <v>1635</v>
      </c>
      <c r="C3982" s="2889" t="s">
        <v>1520</v>
      </c>
      <c r="D3982" s="2889" t="s">
        <v>1054</v>
      </c>
      <c r="E3982" s="2889" t="s">
        <v>1426</v>
      </c>
      <c r="F3982" s="3040"/>
      <c r="G3982" s="2890">
        <v>1389.9104597916116</v>
      </c>
    </row>
    <row r="3983" spans="2:7" ht="15" hidden="1" outlineLevel="2">
      <c r="B3983" s="2889" t="s">
        <v>1636</v>
      </c>
      <c r="C3983" s="2889" t="s">
        <v>1520</v>
      </c>
      <c r="D3983" s="2889" t="s">
        <v>1054</v>
      </c>
      <c r="E3983" s="2889" t="s">
        <v>1426</v>
      </c>
      <c r="F3983" s="3040"/>
      <c r="G3983" s="2890">
        <v>1220.1281262823866</v>
      </c>
    </row>
    <row r="3984" spans="2:7" ht="15" hidden="1" outlineLevel="2">
      <c r="B3984" s="2889" t="s">
        <v>1637</v>
      </c>
      <c r="C3984" s="2889" t="s">
        <v>1520</v>
      </c>
      <c r="D3984" s="2889" t="s">
        <v>1054</v>
      </c>
      <c r="E3984" s="2889" t="s">
        <v>1426</v>
      </c>
      <c r="F3984" s="3040"/>
      <c r="G3984" s="2890">
        <v>2026.3449241715543</v>
      </c>
    </row>
    <row r="3985" spans="2:7" ht="15" hidden="1" outlineLevel="2">
      <c r="B3985" s="2889" t="s">
        <v>1638</v>
      </c>
      <c r="C3985" s="2889" t="s">
        <v>1520</v>
      </c>
      <c r="D3985" s="2889" t="s">
        <v>1054</v>
      </c>
      <c r="E3985" s="2889" t="s">
        <v>1426</v>
      </c>
      <c r="F3985" s="3040"/>
      <c r="G3985" s="2890">
        <v>267.74702838063985</v>
      </c>
    </row>
    <row r="3986" spans="2:7" ht="15" hidden="1" outlineLevel="2">
      <c r="B3986" s="2889" t="s">
        <v>1639</v>
      </c>
      <c r="C3986" s="2889" t="s">
        <v>1520</v>
      </c>
      <c r="D3986" s="2889" t="s">
        <v>1054</v>
      </c>
      <c r="E3986" s="2889" t="s">
        <v>1426</v>
      </c>
      <c r="F3986" s="3040"/>
      <c r="G3986" s="2890">
        <v>2431.8014225963807</v>
      </c>
    </row>
    <row r="3987" spans="2:7" ht="15" hidden="1" outlineLevel="2">
      <c r="B3987" s="2889" t="s">
        <v>1640</v>
      </c>
      <c r="C3987" s="2889" t="s">
        <v>1520</v>
      </c>
      <c r="D3987" s="2889" t="s">
        <v>1054</v>
      </c>
      <c r="E3987" s="2889" t="s">
        <v>1426</v>
      </c>
      <c r="F3987" s="3040"/>
      <c r="G3987" s="2890">
        <v>571.73751750604401</v>
      </c>
    </row>
    <row r="3988" spans="2:7" ht="15" hidden="1" outlineLevel="2">
      <c r="B3988" s="2889" t="s">
        <v>1641</v>
      </c>
      <c r="C3988" s="2889" t="s">
        <v>1520</v>
      </c>
      <c r="D3988" s="2889" t="s">
        <v>1054</v>
      </c>
      <c r="E3988" s="2889" t="s">
        <v>1426</v>
      </c>
      <c r="F3988" s="3040"/>
      <c r="G3988" s="2890">
        <v>2928.6491964408356</v>
      </c>
    </row>
    <row r="3989" spans="2:7" ht="15" hidden="1" outlineLevel="2">
      <c r="B3989" s="2889" t="s">
        <v>1642</v>
      </c>
      <c r="C3989" s="2889" t="s">
        <v>1520</v>
      </c>
      <c r="D3989" s="2889" t="s">
        <v>1054</v>
      </c>
      <c r="E3989" s="2889" t="s">
        <v>1426</v>
      </c>
      <c r="F3989" s="3040"/>
      <c r="G3989" s="2890">
        <v>2102.1407870954909</v>
      </c>
    </row>
    <row r="3990" spans="2:7" ht="15" hidden="1" outlineLevel="2">
      <c r="B3990" s="2889" t="s">
        <v>1643</v>
      </c>
      <c r="C3990" s="2889" t="s">
        <v>1520</v>
      </c>
      <c r="D3990" s="2889" t="s">
        <v>1054</v>
      </c>
      <c r="E3990" s="2889" t="s">
        <v>1426</v>
      </c>
      <c r="F3990" s="3040"/>
      <c r="G3990" s="2890">
        <v>310.79864767796767</v>
      </c>
    </row>
    <row r="3991" spans="2:7" ht="15" hidden="1" outlineLevel="2">
      <c r="B3991" s="2889" t="s">
        <v>1644</v>
      </c>
      <c r="C3991" s="2889" t="s">
        <v>1520</v>
      </c>
      <c r="D3991" s="2889" t="s">
        <v>1054</v>
      </c>
      <c r="E3991" s="2889" t="s">
        <v>1426</v>
      </c>
      <c r="F3991" s="3040"/>
      <c r="G3991" s="2890">
        <v>6842.750124300057</v>
      </c>
    </row>
    <row r="3992" spans="2:7" ht="15" hidden="1" outlineLevel="2">
      <c r="B3992" s="2889" t="s">
        <v>1645</v>
      </c>
      <c r="C3992" s="2889" t="s">
        <v>1520</v>
      </c>
      <c r="D3992" s="2889" t="s">
        <v>1054</v>
      </c>
      <c r="E3992" s="2889" t="s">
        <v>1426</v>
      </c>
      <c r="F3992" s="3040"/>
      <c r="G3992" s="2890">
        <v>7814.6377280241695</v>
      </c>
    </row>
    <row r="3993" spans="2:7" ht="15" hidden="1" outlineLevel="2">
      <c r="B3993" s="2889" t="s">
        <v>1646</v>
      </c>
      <c r="C3993" s="2889" t="s">
        <v>1520</v>
      </c>
      <c r="D3993" s="2889" t="s">
        <v>1054</v>
      </c>
      <c r="E3993" s="2889" t="s">
        <v>1426</v>
      </c>
      <c r="F3993" s="3040"/>
      <c r="G3993" s="2890">
        <v>456.98052691878041</v>
      </c>
    </row>
    <row r="3994" spans="2:7" ht="15" hidden="1" outlineLevel="2">
      <c r="B3994" s="2889" t="s">
        <v>1647</v>
      </c>
      <c r="C3994" s="2889" t="s">
        <v>1520</v>
      </c>
      <c r="D3994" s="2889" t="s">
        <v>1054</v>
      </c>
      <c r="E3994" s="2889" t="s">
        <v>1426</v>
      </c>
      <c r="F3994" s="3040"/>
      <c r="G3994" s="2890">
        <v>1140.714073219184</v>
      </c>
    </row>
    <row r="3995" spans="2:7" ht="15" hidden="1" outlineLevel="2">
      <c r="B3995" s="2889" t="s">
        <v>1648</v>
      </c>
      <c r="C3995" s="2889" t="s">
        <v>1520</v>
      </c>
      <c r="D3995" s="2889" t="s">
        <v>1054</v>
      </c>
      <c r="E3995" s="2889" t="s">
        <v>1426</v>
      </c>
      <c r="F3995" s="3040"/>
      <c r="G3995" s="2890">
        <v>127.88738734235746</v>
      </c>
    </row>
    <row r="3996" spans="2:7" ht="15" hidden="1" outlineLevel="2">
      <c r="B3996" s="2889" t="s">
        <v>1649</v>
      </c>
      <c r="C3996" s="2889" t="s">
        <v>1520</v>
      </c>
      <c r="D3996" s="2889" t="s">
        <v>1054</v>
      </c>
      <c r="E3996" s="2889" t="s">
        <v>1426</v>
      </c>
      <c r="F3996" s="2891"/>
      <c r="G3996" s="2890">
        <v>606.60875580784534</v>
      </c>
    </row>
    <row r="3997" spans="2:7" ht="15" hidden="1" outlineLevel="2">
      <c r="B3997" s="2889" t="s">
        <v>1650</v>
      </c>
      <c r="C3997" s="2889" t="s">
        <v>1520</v>
      </c>
      <c r="D3997" s="2889" t="s">
        <v>1054</v>
      </c>
      <c r="E3997" s="2889" t="s">
        <v>1426</v>
      </c>
      <c r="F3997" s="2891"/>
      <c r="G3997" s="2890">
        <v>1515.6372114955652</v>
      </c>
    </row>
    <row r="3998" spans="2:7" ht="15" hidden="1" outlineLevel="2">
      <c r="B3998" s="2889" t="s">
        <v>1651</v>
      </c>
      <c r="C3998" s="2889" t="s">
        <v>1520</v>
      </c>
      <c r="D3998" s="2889" t="s">
        <v>1054</v>
      </c>
      <c r="E3998" s="2889" t="s">
        <v>1426</v>
      </c>
      <c r="F3998" s="2891"/>
      <c r="G3998" s="2890">
        <v>829.24942876641398</v>
      </c>
    </row>
    <row r="3999" spans="2:7" ht="15" hidden="1" outlineLevel="2">
      <c r="B3999" s="2889" t="s">
        <v>1652</v>
      </c>
      <c r="C3999" s="2889" t="s">
        <v>1520</v>
      </c>
      <c r="D3999" s="2889" t="s">
        <v>1054</v>
      </c>
      <c r="E3999" s="2889" t="s">
        <v>1426</v>
      </c>
      <c r="F3999" s="2891"/>
      <c r="G3999" s="2890">
        <v>910.58856982222267</v>
      </c>
    </row>
    <row r="4000" spans="2:7" ht="15" hidden="1" outlineLevel="2">
      <c r="B4000" s="2889" t="s">
        <v>1653</v>
      </c>
      <c r="C4000" s="2889" t="s">
        <v>1520</v>
      </c>
      <c r="D4000" s="2889" t="s">
        <v>1054</v>
      </c>
      <c r="E4000" s="2889" t="s">
        <v>1426</v>
      </c>
      <c r="F4000" s="2891"/>
      <c r="G4000" s="2890">
        <v>4.5319368336702387E-29</v>
      </c>
    </row>
    <row r="4001" spans="2:7" ht="15" hidden="1" outlineLevel="2">
      <c r="B4001" s="2889" t="s">
        <v>1407</v>
      </c>
      <c r="C4001" s="2889" t="s">
        <v>1521</v>
      </c>
      <c r="D4001" s="2889" t="s">
        <v>1054</v>
      </c>
      <c r="E4001" s="2889" t="s">
        <v>1426</v>
      </c>
      <c r="F4001" s="2891"/>
      <c r="G4001" s="2890">
        <v>979.79990107837341</v>
      </c>
    </row>
    <row r="4002" spans="2:7" ht="15" hidden="1" outlineLevel="2">
      <c r="B4002" s="2889" t="s">
        <v>1631</v>
      </c>
      <c r="C4002" s="2889" t="s">
        <v>1521</v>
      </c>
      <c r="D4002" s="2889" t="s">
        <v>1054</v>
      </c>
      <c r="E4002" s="2889" t="s">
        <v>1426</v>
      </c>
      <c r="F4002" s="3039">
        <v>0.57197739114006174</v>
      </c>
      <c r="G4002" s="2890">
        <v>16259.618370754453</v>
      </c>
    </row>
    <row r="4003" spans="2:7" ht="15" hidden="1" outlineLevel="2">
      <c r="B4003" s="2889" t="s">
        <v>1632</v>
      </c>
      <c r="C4003" s="2889" t="s">
        <v>1521</v>
      </c>
      <c r="D4003" s="2889" t="s">
        <v>1054</v>
      </c>
      <c r="E4003" s="2889" t="s">
        <v>1426</v>
      </c>
      <c r="F4003" s="3040"/>
      <c r="G4003" s="2890">
        <v>37662.398357990955</v>
      </c>
    </row>
    <row r="4004" spans="2:7" ht="15" hidden="1" outlineLevel="2">
      <c r="B4004" s="2889" t="s">
        <v>1633</v>
      </c>
      <c r="C4004" s="2889" t="s">
        <v>1521</v>
      </c>
      <c r="D4004" s="2889" t="s">
        <v>1054</v>
      </c>
      <c r="E4004" s="2889" t="s">
        <v>1426</v>
      </c>
      <c r="F4004" s="3040"/>
      <c r="G4004" s="2890">
        <v>3056.3836084867844</v>
      </c>
    </row>
    <row r="4005" spans="2:7" ht="15" hidden="1" outlineLevel="2">
      <c r="B4005" s="2889" t="s">
        <v>1634</v>
      </c>
      <c r="C4005" s="2889" t="s">
        <v>1521</v>
      </c>
      <c r="D4005" s="2889" t="s">
        <v>1054</v>
      </c>
      <c r="E4005" s="2889" t="s">
        <v>1426</v>
      </c>
      <c r="F4005" s="3040"/>
      <c r="G4005" s="2890">
        <v>566.49196719457814</v>
      </c>
    </row>
    <row r="4006" spans="2:7" ht="15" hidden="1" outlineLevel="2">
      <c r="B4006" s="2889" t="s">
        <v>1635</v>
      </c>
      <c r="C4006" s="2889" t="s">
        <v>1521</v>
      </c>
      <c r="D4006" s="2889" t="s">
        <v>1054</v>
      </c>
      <c r="E4006" s="2889" t="s">
        <v>1426</v>
      </c>
      <c r="F4006" s="2891"/>
      <c r="G4006" s="2890">
        <v>4778.1801660420406</v>
      </c>
    </row>
    <row r="4007" spans="2:7" ht="15" hidden="1" outlineLevel="2">
      <c r="B4007" s="2889" t="s">
        <v>1636</v>
      </c>
      <c r="C4007" s="2889" t="s">
        <v>1521</v>
      </c>
      <c r="D4007" s="2889" t="s">
        <v>1054</v>
      </c>
      <c r="E4007" s="2889" t="s">
        <v>1426</v>
      </c>
      <c r="F4007" s="3040"/>
      <c r="G4007" s="2890">
        <v>4194.5096453725764</v>
      </c>
    </row>
    <row r="4008" spans="2:7" ht="15" hidden="1" outlineLevel="2">
      <c r="B4008" s="2889" t="s">
        <v>1637</v>
      </c>
      <c r="C4008" s="2889" t="s">
        <v>1521</v>
      </c>
      <c r="D4008" s="2889" t="s">
        <v>1054</v>
      </c>
      <c r="E4008" s="2889" t="s">
        <v>1426</v>
      </c>
      <c r="F4008" s="3040"/>
      <c r="G4008" s="2890">
        <v>6966.0907475788317</v>
      </c>
    </row>
    <row r="4009" spans="2:7" ht="15" hidden="1" outlineLevel="2">
      <c r="B4009" s="2889" t="s">
        <v>1638</v>
      </c>
      <c r="C4009" s="2889" t="s">
        <v>1521</v>
      </c>
      <c r="D4009" s="2889" t="s">
        <v>1054</v>
      </c>
      <c r="E4009" s="2889" t="s">
        <v>1426</v>
      </c>
      <c r="F4009" s="2891"/>
      <c r="G4009" s="2890">
        <v>920.45028336297241</v>
      </c>
    </row>
    <row r="4010" spans="2:7" ht="15" hidden="1" outlineLevel="2">
      <c r="B4010" s="2889" t="s">
        <v>1639</v>
      </c>
      <c r="C4010" s="2889" t="s">
        <v>1521</v>
      </c>
      <c r="D4010" s="2889" t="s">
        <v>1054</v>
      </c>
      <c r="E4010" s="2889" t="s">
        <v>1426</v>
      </c>
      <c r="F4010" s="3040"/>
      <c r="G4010" s="2890">
        <v>8359.9532351176986</v>
      </c>
    </row>
    <row r="4011" spans="2:7" ht="15" hidden="1" outlineLevel="2">
      <c r="B4011" s="2889" t="s">
        <v>1640</v>
      </c>
      <c r="C4011" s="2889" t="s">
        <v>1521</v>
      </c>
      <c r="D4011" s="2889" t="s">
        <v>1054</v>
      </c>
      <c r="E4011" s="2889" t="s">
        <v>1426</v>
      </c>
      <c r="F4011" s="3040"/>
      <c r="G4011" s="2890">
        <v>1965.4972484286566</v>
      </c>
    </row>
    <row r="4012" spans="2:7" ht="15" hidden="1" outlineLevel="2">
      <c r="B4012" s="2889" t="s">
        <v>1641</v>
      </c>
      <c r="C4012" s="2889" t="s">
        <v>1521</v>
      </c>
      <c r="D4012" s="2889" t="s">
        <v>1054</v>
      </c>
      <c r="E4012" s="2889" t="s">
        <v>1426</v>
      </c>
      <c r="F4012" s="3040"/>
      <c r="G4012" s="2890">
        <v>10068.000191282936</v>
      </c>
    </row>
    <row r="4013" spans="2:7" ht="15" hidden="1" outlineLevel="2">
      <c r="B4013" s="2889" t="s">
        <v>1642</v>
      </c>
      <c r="C4013" s="2889" t="s">
        <v>1521</v>
      </c>
      <c r="D4013" s="2889" t="s">
        <v>1054</v>
      </c>
      <c r="E4013" s="2889" t="s">
        <v>1426</v>
      </c>
      <c r="F4013" s="2891"/>
      <c r="G4013" s="2890">
        <v>7226.6551421236009</v>
      </c>
    </row>
    <row r="4014" spans="2:7" ht="15" hidden="1" outlineLevel="2">
      <c r="B4014" s="2889" t="s">
        <v>1643</v>
      </c>
      <c r="C4014" s="2889" t="s">
        <v>1521</v>
      </c>
      <c r="D4014" s="2889" t="s">
        <v>1054</v>
      </c>
      <c r="E4014" s="2889" t="s">
        <v>1426</v>
      </c>
      <c r="F4014" s="2891"/>
      <c r="G4014" s="2890">
        <v>1068.4515675360117</v>
      </c>
    </row>
    <row r="4015" spans="2:7" ht="15" hidden="1" outlineLevel="2">
      <c r="B4015" s="2889" t="s">
        <v>1644</v>
      </c>
      <c r="C4015" s="2889" t="s">
        <v>1521</v>
      </c>
      <c r="D4015" s="2889" t="s">
        <v>1054</v>
      </c>
      <c r="E4015" s="2889" t="s">
        <v>1426</v>
      </c>
      <c r="F4015" s="2891"/>
      <c r="G4015" s="2890">
        <v>23523.747805134597</v>
      </c>
    </row>
    <row r="4016" spans="2:7" ht="15" hidden="1" outlineLevel="2">
      <c r="B4016" s="2889" t="s">
        <v>1645</v>
      </c>
      <c r="C4016" s="2889" t="s">
        <v>1521</v>
      </c>
      <c r="D4016" s="2889" t="s">
        <v>1054</v>
      </c>
      <c r="E4016" s="2889" t="s">
        <v>1426</v>
      </c>
      <c r="F4016" s="3040"/>
      <c r="G4016" s="2890">
        <v>26864.850377018585</v>
      </c>
    </row>
    <row r="4017" spans="2:7" ht="15" hidden="1" outlineLevel="2">
      <c r="B4017" s="2889" t="s">
        <v>1646</v>
      </c>
      <c r="C4017" s="2889" t="s">
        <v>1521</v>
      </c>
      <c r="D4017" s="2889" t="s">
        <v>1054</v>
      </c>
      <c r="E4017" s="2889" t="s">
        <v>1426</v>
      </c>
      <c r="F4017" s="3040"/>
      <c r="G4017" s="2890">
        <v>1570.9897941658785</v>
      </c>
    </row>
    <row r="4018" spans="2:7" ht="15" hidden="1" outlineLevel="2">
      <c r="B4018" s="2889" t="s">
        <v>1647</v>
      </c>
      <c r="C4018" s="2889" t="s">
        <v>1521</v>
      </c>
      <c r="D4018" s="2889" t="s">
        <v>1054</v>
      </c>
      <c r="E4018" s="2889" t="s">
        <v>1426</v>
      </c>
      <c r="F4018" s="3040"/>
      <c r="G4018" s="2890">
        <v>3921.5028199196722</v>
      </c>
    </row>
    <row r="4019" spans="2:7" ht="15" hidden="1" outlineLevel="2">
      <c r="B4019" s="2889" t="s">
        <v>1648</v>
      </c>
      <c r="C4019" s="2889" t="s">
        <v>1521</v>
      </c>
      <c r="D4019" s="2889" t="s">
        <v>1054</v>
      </c>
      <c r="E4019" s="2889" t="s">
        <v>1426</v>
      </c>
      <c r="F4019" s="3040"/>
      <c r="G4019" s="2890">
        <v>439.6465023649306</v>
      </c>
    </row>
    <row r="4020" spans="2:7" ht="15" hidden="1" outlineLevel="2">
      <c r="B4020" s="2889" t="s">
        <v>1649</v>
      </c>
      <c r="C4020" s="2889" t="s">
        <v>1521</v>
      </c>
      <c r="D4020" s="2889" t="s">
        <v>1054</v>
      </c>
      <c r="E4020" s="2889" t="s">
        <v>1426</v>
      </c>
      <c r="F4020" s="3040"/>
      <c r="G4020" s="2890">
        <v>2085.3756903889152</v>
      </c>
    </row>
    <row r="4021" spans="2:7" ht="15" hidden="1" outlineLevel="2">
      <c r="B4021" s="2889" t="s">
        <v>1650</v>
      </c>
      <c r="C4021" s="2889" t="s">
        <v>1521</v>
      </c>
      <c r="D4021" s="2889" t="s">
        <v>1054</v>
      </c>
      <c r="E4021" s="2889" t="s">
        <v>1426</v>
      </c>
      <c r="F4021" s="3040"/>
      <c r="G4021" s="2890">
        <v>5210.397585962216</v>
      </c>
    </row>
    <row r="4022" spans="2:7" ht="15" hidden="1" outlineLevel="2">
      <c r="B4022" s="2889" t="s">
        <v>1651</v>
      </c>
      <c r="C4022" s="2889" t="s">
        <v>1521</v>
      </c>
      <c r="D4022" s="2889" t="s">
        <v>1054</v>
      </c>
      <c r="E4022" s="2889" t="s">
        <v>1426</v>
      </c>
      <c r="F4022" s="3040"/>
      <c r="G4022" s="2890">
        <v>2850.7624443895238</v>
      </c>
    </row>
    <row r="4023" spans="2:7" ht="15" hidden="1" outlineLevel="2">
      <c r="B4023" s="2889" t="s">
        <v>1652</v>
      </c>
      <c r="C4023" s="2889" t="s">
        <v>1521</v>
      </c>
      <c r="D4023" s="2889" t="s">
        <v>1054</v>
      </c>
      <c r="E4023" s="2889" t="s">
        <v>1426</v>
      </c>
      <c r="F4023" s="3040"/>
      <c r="G4023" s="2890">
        <v>3130.3858879058889</v>
      </c>
    </row>
    <row r="4024" spans="2:7" ht="15" hidden="1" outlineLevel="2">
      <c r="B4024" s="2889" t="s">
        <v>1653</v>
      </c>
      <c r="C4024" s="2889" t="s">
        <v>1521</v>
      </c>
      <c r="D4024" s="2889" t="s">
        <v>1054</v>
      </c>
      <c r="E4024" s="2889" t="s">
        <v>1426</v>
      </c>
      <c r="F4024" s="3040"/>
      <c r="G4024" s="2890">
        <v>4.9554371100347877E-28</v>
      </c>
    </row>
    <row r="4025" spans="2:7" ht="15" hidden="1" outlineLevel="2">
      <c r="B4025" s="2889" t="s">
        <v>1407</v>
      </c>
      <c r="C4025" s="2889" t="s">
        <v>1522</v>
      </c>
      <c r="D4025" s="2889" t="s">
        <v>1054</v>
      </c>
      <c r="E4025" s="2889" t="s">
        <v>1426</v>
      </c>
      <c r="F4025" s="3040"/>
      <c r="G4025" s="2890">
        <v>46.127607117533302</v>
      </c>
    </row>
    <row r="4026" spans="2:7" ht="15" hidden="1" outlineLevel="2">
      <c r="B4026" s="2889" t="s">
        <v>1631</v>
      </c>
      <c r="C4026" s="2889" t="s">
        <v>1522</v>
      </c>
      <c r="D4026" s="2889" t="s">
        <v>1054</v>
      </c>
      <c r="E4026" s="2889" t="s">
        <v>1426</v>
      </c>
      <c r="F4026" s="3039">
        <v>2.2223886984418698E-2</v>
      </c>
      <c r="G4026" s="2890">
        <v>765.48034814439382</v>
      </c>
    </row>
    <row r="4027" spans="2:7" ht="15" hidden="1" outlineLevel="2">
      <c r="B4027" s="2889" t="s">
        <v>1632</v>
      </c>
      <c r="C4027" s="2889" t="s">
        <v>1522</v>
      </c>
      <c r="D4027" s="2889" t="s">
        <v>1054</v>
      </c>
      <c r="E4027" s="2889" t="s">
        <v>1426</v>
      </c>
      <c r="F4027" s="2891"/>
      <c r="G4027" s="2890">
        <v>1773.0934023088735</v>
      </c>
    </row>
    <row r="4028" spans="2:7" ht="15" hidden="1" outlineLevel="2">
      <c r="B4028" s="2889" t="s">
        <v>1633</v>
      </c>
      <c r="C4028" s="2889" t="s">
        <v>1522</v>
      </c>
      <c r="D4028" s="2889" t="s">
        <v>1054</v>
      </c>
      <c r="E4028" s="2889" t="s">
        <v>1426</v>
      </c>
      <c r="F4028" s="3040"/>
      <c r="G4028" s="2890">
        <v>143.89030766048199</v>
      </c>
    </row>
    <row r="4029" spans="2:7" ht="15" hidden="1" outlineLevel="2">
      <c r="B4029" s="2889" t="s">
        <v>1634</v>
      </c>
      <c r="C4029" s="2889" t="s">
        <v>1522</v>
      </c>
      <c r="D4029" s="2889" t="s">
        <v>1054</v>
      </c>
      <c r="E4029" s="2889" t="s">
        <v>1426</v>
      </c>
      <c r="F4029" s="3040"/>
      <c r="G4029" s="2890">
        <v>26.669654257308178</v>
      </c>
    </row>
    <row r="4030" spans="2:7" ht="15" hidden="1" outlineLevel="2">
      <c r="B4030" s="2889" t="s">
        <v>1635</v>
      </c>
      <c r="C4030" s="2889" t="s">
        <v>1522</v>
      </c>
      <c r="D4030" s="2889" t="s">
        <v>1054</v>
      </c>
      <c r="E4030" s="2889" t="s">
        <v>1426</v>
      </c>
      <c r="F4030" s="3040"/>
      <c r="G4030" s="2890">
        <v>224.95011947622638</v>
      </c>
    </row>
    <row r="4031" spans="2:7" ht="15" hidden="1" outlineLevel="2">
      <c r="B4031" s="2889" t="s">
        <v>1636</v>
      </c>
      <c r="C4031" s="2889" t="s">
        <v>1522</v>
      </c>
      <c r="D4031" s="2889" t="s">
        <v>1054</v>
      </c>
      <c r="E4031" s="2889" t="s">
        <v>1426</v>
      </c>
      <c r="F4031" s="3040"/>
      <c r="G4031" s="2890">
        <v>197.47172497482308</v>
      </c>
    </row>
    <row r="4032" spans="2:7" ht="15" hidden="1" outlineLevel="2">
      <c r="B4032" s="2889" t="s">
        <v>1637</v>
      </c>
      <c r="C4032" s="2889" t="s">
        <v>1522</v>
      </c>
      <c r="D4032" s="2889" t="s">
        <v>1054</v>
      </c>
      <c r="E4032" s="2889" t="s">
        <v>1426</v>
      </c>
      <c r="F4032" s="3040"/>
      <c r="G4032" s="2890">
        <v>327.95394574102789</v>
      </c>
    </row>
    <row r="4033" spans="2:7" ht="15" hidden="1" outlineLevel="2">
      <c r="B4033" s="2889" t="s">
        <v>1638</v>
      </c>
      <c r="C4033" s="2889" t="s">
        <v>1522</v>
      </c>
      <c r="D4033" s="2889" t="s">
        <v>1054</v>
      </c>
      <c r="E4033" s="2889" t="s">
        <v>1426</v>
      </c>
      <c r="F4033" s="3040"/>
      <c r="G4033" s="2890">
        <v>43.333524456583156</v>
      </c>
    </row>
    <row r="4034" spans="2:7" ht="15" hidden="1" outlineLevel="2">
      <c r="B4034" s="2889" t="s">
        <v>1639</v>
      </c>
      <c r="C4034" s="2889" t="s">
        <v>1522</v>
      </c>
      <c r="D4034" s="2889" t="s">
        <v>1054</v>
      </c>
      <c r="E4034" s="2889" t="s">
        <v>1426</v>
      </c>
      <c r="F4034" s="3040"/>
      <c r="G4034" s="2890">
        <v>393.57501861418763</v>
      </c>
    </row>
    <row r="4035" spans="2:7" ht="15" hidden="1" outlineLevel="2">
      <c r="B4035" s="2889" t="s">
        <v>1640</v>
      </c>
      <c r="C4035" s="2889" t="s">
        <v>1522</v>
      </c>
      <c r="D4035" s="2889" t="s">
        <v>1054</v>
      </c>
      <c r="E4035" s="2889" t="s">
        <v>1426</v>
      </c>
      <c r="F4035" s="3040"/>
      <c r="G4035" s="2890">
        <v>92.532917147203321</v>
      </c>
    </row>
    <row r="4036" spans="2:7" ht="15" hidden="1" outlineLevel="2">
      <c r="B4036" s="2889" t="s">
        <v>1641</v>
      </c>
      <c r="C4036" s="2889" t="s">
        <v>1522</v>
      </c>
      <c r="D4036" s="2889" t="s">
        <v>1054</v>
      </c>
      <c r="E4036" s="2889" t="s">
        <v>1426</v>
      </c>
      <c r="F4036" s="3040"/>
      <c r="G4036" s="2890">
        <v>473.98756264287744</v>
      </c>
    </row>
    <row r="4037" spans="2:7" ht="15" hidden="1" outlineLevel="2">
      <c r="B4037" s="2889" t="s">
        <v>1642</v>
      </c>
      <c r="C4037" s="2889" t="s">
        <v>1522</v>
      </c>
      <c r="D4037" s="2889" t="s">
        <v>1054</v>
      </c>
      <c r="E4037" s="2889" t="s">
        <v>1426</v>
      </c>
      <c r="F4037" s="3040"/>
      <c r="G4037" s="2890">
        <v>340.22102233836466</v>
      </c>
    </row>
    <row r="4038" spans="2:7" ht="15" hidden="1" outlineLevel="2">
      <c r="B4038" s="2889" t="s">
        <v>1643</v>
      </c>
      <c r="C4038" s="2889" t="s">
        <v>1522</v>
      </c>
      <c r="D4038" s="2889" t="s">
        <v>1054</v>
      </c>
      <c r="E4038" s="2889" t="s">
        <v>1426</v>
      </c>
      <c r="F4038" s="3040"/>
      <c r="G4038" s="2890">
        <v>50.301223489002453</v>
      </c>
    </row>
    <row r="4039" spans="2:7" ht="15" hidden="1" outlineLevel="2">
      <c r="B4039" s="2889" t="s">
        <v>1644</v>
      </c>
      <c r="C4039" s="2889" t="s">
        <v>1522</v>
      </c>
      <c r="D4039" s="2889" t="s">
        <v>1054</v>
      </c>
      <c r="E4039" s="2889" t="s">
        <v>1426</v>
      </c>
      <c r="F4039" s="3040"/>
      <c r="G4039" s="2890">
        <v>1107.4655383736788</v>
      </c>
    </row>
    <row r="4040" spans="2:7" ht="15" hidden="1" outlineLevel="2">
      <c r="B4040" s="2889" t="s">
        <v>1645</v>
      </c>
      <c r="C4040" s="2889" t="s">
        <v>1522</v>
      </c>
      <c r="D4040" s="2889" t="s">
        <v>1054</v>
      </c>
      <c r="E4040" s="2889" t="s">
        <v>1426</v>
      </c>
      <c r="F4040" s="3040"/>
      <c r="G4040" s="2890">
        <v>1264.7603190684365</v>
      </c>
    </row>
    <row r="4041" spans="2:7" ht="15" hidden="1" outlineLevel="2">
      <c r="B4041" s="2889" t="s">
        <v>1646</v>
      </c>
      <c r="C4041" s="2889" t="s">
        <v>1522</v>
      </c>
      <c r="D4041" s="2889" t="s">
        <v>1054</v>
      </c>
      <c r="E4041" s="2889" t="s">
        <v>1426</v>
      </c>
      <c r="F4041" s="3040"/>
      <c r="G4041" s="2890">
        <v>73.960017915935055</v>
      </c>
    </row>
    <row r="4042" spans="2:7" ht="15" hidden="1" outlineLevel="2">
      <c r="B4042" s="2889" t="s">
        <v>1647</v>
      </c>
      <c r="C4042" s="2889" t="s">
        <v>1522</v>
      </c>
      <c r="D4042" s="2889" t="s">
        <v>1054</v>
      </c>
      <c r="E4042" s="2889" t="s">
        <v>1426</v>
      </c>
      <c r="F4042" s="3040"/>
      <c r="G4042" s="2890">
        <v>184.6189270988848</v>
      </c>
    </row>
    <row r="4043" spans="2:7" ht="15" hidden="1" outlineLevel="2">
      <c r="B4043" s="2889" t="s">
        <v>1648</v>
      </c>
      <c r="C4043" s="2889" t="s">
        <v>1522</v>
      </c>
      <c r="D4043" s="2889" t="s">
        <v>1054</v>
      </c>
      <c r="E4043" s="2889" t="s">
        <v>1426</v>
      </c>
      <c r="F4043" s="2891"/>
      <c r="G4043" s="2890">
        <v>20.697945233932423</v>
      </c>
    </row>
    <row r="4044" spans="2:7" ht="15" hidden="1" outlineLevel="2">
      <c r="B4044" s="2889" t="s">
        <v>1649</v>
      </c>
      <c r="C4044" s="2889" t="s">
        <v>1522</v>
      </c>
      <c r="D4044" s="2889" t="s">
        <v>1054</v>
      </c>
      <c r="E4044" s="2889" t="s">
        <v>1426</v>
      </c>
      <c r="F4044" s="2891"/>
      <c r="G4044" s="2890">
        <v>98.17662644609841</v>
      </c>
    </row>
    <row r="4045" spans="2:7" ht="15" hidden="1" outlineLevel="2">
      <c r="B4045" s="2889" t="s">
        <v>1650</v>
      </c>
      <c r="C4045" s="2889" t="s">
        <v>1522</v>
      </c>
      <c r="D4045" s="2889" t="s">
        <v>1054</v>
      </c>
      <c r="E4045" s="2889" t="s">
        <v>1426</v>
      </c>
      <c r="F4045" s="2891"/>
      <c r="G4045" s="2890">
        <v>245.29836879750974</v>
      </c>
    </row>
    <row r="4046" spans="2:7" ht="15" hidden="1" outlineLevel="2">
      <c r="B4046" s="2889" t="s">
        <v>1651</v>
      </c>
      <c r="C4046" s="2889" t="s">
        <v>1522</v>
      </c>
      <c r="D4046" s="2889" t="s">
        <v>1054</v>
      </c>
      <c r="E4046" s="2889" t="s">
        <v>1426</v>
      </c>
      <c r="F4046" s="2891"/>
      <c r="G4046" s="2890">
        <v>134.2099268855255</v>
      </c>
    </row>
    <row r="4047" spans="2:7" ht="15" hidden="1" outlineLevel="2">
      <c r="B4047" s="2889" t="s">
        <v>1652</v>
      </c>
      <c r="C4047" s="2889" t="s">
        <v>1522</v>
      </c>
      <c r="D4047" s="2889" t="s">
        <v>1054</v>
      </c>
      <c r="E4047" s="2889" t="s">
        <v>1426</v>
      </c>
      <c r="F4047" s="2891"/>
      <c r="G4047" s="2890">
        <v>147.37425119469393</v>
      </c>
    </row>
    <row r="4048" spans="2:7" ht="15" hidden="1" outlineLevel="2">
      <c r="B4048" s="2889" t="s">
        <v>1653</v>
      </c>
      <c r="C4048" s="2889" t="s">
        <v>1522</v>
      </c>
      <c r="D4048" s="2889" t="s">
        <v>1054</v>
      </c>
      <c r="E4048" s="2889" t="s">
        <v>1426</v>
      </c>
      <c r="F4048" s="2891"/>
      <c r="G4048" s="2890">
        <v>1.2734909224969495E-29</v>
      </c>
    </row>
    <row r="4049" spans="2:7" ht="15" hidden="1" outlineLevel="2">
      <c r="B4049" s="2889" t="s">
        <v>1407</v>
      </c>
      <c r="C4049" s="2889" t="s">
        <v>1523</v>
      </c>
      <c r="D4049" s="2889" t="s">
        <v>1054</v>
      </c>
      <c r="E4049" s="2889" t="s">
        <v>1426</v>
      </c>
      <c r="F4049" s="2891"/>
      <c r="G4049" s="2890">
        <v>366.68355618345879</v>
      </c>
    </row>
    <row r="4050" spans="2:7" ht="15" hidden="1" outlineLevel="2">
      <c r="B4050" s="2889" t="s">
        <v>1631</v>
      </c>
      <c r="C4050" s="2889" t="s">
        <v>1523</v>
      </c>
      <c r="D4050" s="2889" t="s">
        <v>1054</v>
      </c>
      <c r="E4050" s="2889" t="s">
        <v>1426</v>
      </c>
      <c r="F4050" s="3039">
        <v>0.20644567582031118</v>
      </c>
      <c r="G4050" s="2890">
        <v>6085.0538708928207</v>
      </c>
    </row>
    <row r="4051" spans="2:7" ht="15" hidden="1" outlineLevel="2">
      <c r="B4051" s="2889" t="s">
        <v>1632</v>
      </c>
      <c r="C4051" s="2889" t="s">
        <v>1523</v>
      </c>
      <c r="D4051" s="2889" t="s">
        <v>1054</v>
      </c>
      <c r="E4051" s="2889" t="s">
        <v>1426</v>
      </c>
      <c r="F4051" s="2891"/>
      <c r="G4051" s="2890">
        <v>14094.901524241084</v>
      </c>
    </row>
    <row r="4052" spans="2:7" ht="15" hidden="1" outlineLevel="2">
      <c r="B4052" s="2889" t="s">
        <v>1633</v>
      </c>
      <c r="C4052" s="2889" t="s">
        <v>1523</v>
      </c>
      <c r="D4052" s="2889" t="s">
        <v>1054</v>
      </c>
      <c r="E4052" s="2889" t="s">
        <v>1426</v>
      </c>
      <c r="F4052" s="2891"/>
      <c r="G4052" s="2890">
        <v>1143.8315391451524</v>
      </c>
    </row>
    <row r="4053" spans="2:7" ht="15" hidden="1" outlineLevel="2">
      <c r="B4053" s="2889" t="s">
        <v>1634</v>
      </c>
      <c r="C4053" s="2889" t="s">
        <v>1523</v>
      </c>
      <c r="D4053" s="2889" t="s">
        <v>1054</v>
      </c>
      <c r="E4053" s="2889" t="s">
        <v>1426</v>
      </c>
      <c r="F4053" s="3040"/>
      <c r="G4053" s="2890">
        <v>212.00587067321595</v>
      </c>
    </row>
    <row r="4054" spans="2:7" ht="15" hidden="1" outlineLevel="2">
      <c r="B4054" s="2889" t="s">
        <v>1635</v>
      </c>
      <c r="C4054" s="2889" t="s">
        <v>1523</v>
      </c>
      <c r="D4054" s="2889" t="s">
        <v>1054</v>
      </c>
      <c r="E4054" s="2889" t="s">
        <v>1426</v>
      </c>
      <c r="F4054" s="3040"/>
      <c r="G4054" s="2890">
        <v>1788.2024213831423</v>
      </c>
    </row>
    <row r="4055" spans="2:7" ht="15" hidden="1" outlineLevel="2">
      <c r="B4055" s="2889" t="s">
        <v>1636</v>
      </c>
      <c r="C4055" s="2889" t="s">
        <v>1523</v>
      </c>
      <c r="D4055" s="2889" t="s">
        <v>1054</v>
      </c>
      <c r="E4055" s="2889" t="s">
        <v>1426</v>
      </c>
      <c r="F4055" s="2891"/>
      <c r="G4055" s="2890">
        <v>1569.7676999002151</v>
      </c>
    </row>
    <row r="4056" spans="2:7" ht="15" hidden="1" outlineLevel="2">
      <c r="B4056" s="2889" t="s">
        <v>1637</v>
      </c>
      <c r="C4056" s="2889" t="s">
        <v>1523</v>
      </c>
      <c r="D4056" s="2889" t="s">
        <v>1054</v>
      </c>
      <c r="E4056" s="2889" t="s">
        <v>1426</v>
      </c>
      <c r="F4056" s="3040"/>
      <c r="G4056" s="2890">
        <v>2607.0133978148856</v>
      </c>
    </row>
    <row r="4057" spans="2:7" ht="15" hidden="1" outlineLevel="2">
      <c r="B4057" s="2889" t="s">
        <v>1638</v>
      </c>
      <c r="C4057" s="2889" t="s">
        <v>1523</v>
      </c>
      <c r="D4057" s="2889" t="s">
        <v>1054</v>
      </c>
      <c r="E4057" s="2889" t="s">
        <v>1426</v>
      </c>
      <c r="F4057" s="3040"/>
      <c r="G4057" s="2890">
        <v>344.472402802418</v>
      </c>
    </row>
    <row r="4058" spans="2:7" ht="15" hidden="1" outlineLevel="2">
      <c r="B4058" s="2889" t="s">
        <v>1639</v>
      </c>
      <c r="C4058" s="2889" t="s">
        <v>1523</v>
      </c>
      <c r="D4058" s="2889" t="s">
        <v>1054</v>
      </c>
      <c r="E4058" s="2889" t="s">
        <v>1426</v>
      </c>
      <c r="F4058" s="3040"/>
      <c r="G4058" s="2890">
        <v>3128.6573147968729</v>
      </c>
    </row>
    <row r="4059" spans="2:7" ht="15" hidden="1" outlineLevel="2">
      <c r="B4059" s="2889" t="s">
        <v>1640</v>
      </c>
      <c r="C4059" s="2889" t="s">
        <v>1523</v>
      </c>
      <c r="D4059" s="2889" t="s">
        <v>1054</v>
      </c>
      <c r="E4059" s="2889" t="s">
        <v>1426</v>
      </c>
      <c r="F4059" s="3040"/>
      <c r="G4059" s="2890">
        <v>735.57449620109674</v>
      </c>
    </row>
    <row r="4060" spans="2:7" ht="15" hidden="1" outlineLevel="2">
      <c r="B4060" s="2889" t="s">
        <v>1641</v>
      </c>
      <c r="C4060" s="2889" t="s">
        <v>1523</v>
      </c>
      <c r="D4060" s="2889" t="s">
        <v>1054</v>
      </c>
      <c r="E4060" s="2889" t="s">
        <v>1426</v>
      </c>
      <c r="F4060" s="3040"/>
      <c r="G4060" s="2890">
        <v>3767.8820646535496</v>
      </c>
    </row>
    <row r="4061" spans="2:7" ht="15" hidden="1" outlineLevel="2">
      <c r="B4061" s="2889" t="s">
        <v>1642</v>
      </c>
      <c r="C4061" s="2889" t="s">
        <v>1523</v>
      </c>
      <c r="D4061" s="2889" t="s">
        <v>1054</v>
      </c>
      <c r="E4061" s="2889" t="s">
        <v>1426</v>
      </c>
      <c r="F4061" s="3040"/>
      <c r="G4061" s="2890">
        <v>2704.5284430649772</v>
      </c>
    </row>
    <row r="4062" spans="2:7" ht="15" hidden="1" outlineLevel="2">
      <c r="B4062" s="2889" t="s">
        <v>1643</v>
      </c>
      <c r="C4062" s="2889" t="s">
        <v>1523</v>
      </c>
      <c r="D4062" s="2889" t="s">
        <v>1054</v>
      </c>
      <c r="E4062" s="2889" t="s">
        <v>1426</v>
      </c>
      <c r="F4062" s="3040"/>
      <c r="G4062" s="2890">
        <v>399.86091152919204</v>
      </c>
    </row>
    <row r="4063" spans="2:7" ht="15" hidden="1" outlineLevel="2">
      <c r="B4063" s="2889" t="s">
        <v>1644</v>
      </c>
      <c r="C4063" s="2889" t="s">
        <v>1523</v>
      </c>
      <c r="D4063" s="2889" t="s">
        <v>1054</v>
      </c>
      <c r="E4063" s="2889" t="s">
        <v>1426</v>
      </c>
      <c r="F4063" s="3040"/>
      <c r="G4063" s="2890">
        <v>8803.6052058201512</v>
      </c>
    </row>
    <row r="4064" spans="2:7" ht="15" hidden="1" outlineLevel="2">
      <c r="B4064" s="2889" t="s">
        <v>1645</v>
      </c>
      <c r="C4064" s="2889" t="s">
        <v>1523</v>
      </c>
      <c r="D4064" s="2889" t="s">
        <v>1054</v>
      </c>
      <c r="E4064" s="2889" t="s">
        <v>1426</v>
      </c>
      <c r="F4064" s="3040"/>
      <c r="G4064" s="2890">
        <v>10053.993133455449</v>
      </c>
    </row>
    <row r="4065" spans="2:7" ht="15" hidden="1" outlineLevel="2">
      <c r="B4065" s="2889" t="s">
        <v>1646</v>
      </c>
      <c r="C4065" s="2889" t="s">
        <v>1523</v>
      </c>
      <c r="D4065" s="2889" t="s">
        <v>1054</v>
      </c>
      <c r="E4065" s="2889" t="s">
        <v>1426</v>
      </c>
      <c r="F4065" s="3040"/>
      <c r="G4065" s="2890">
        <v>587.93260276973638</v>
      </c>
    </row>
    <row r="4066" spans="2:7" ht="15" hidden="1" outlineLevel="2">
      <c r="B4066" s="2889" t="s">
        <v>1647</v>
      </c>
      <c r="C4066" s="2889" t="s">
        <v>1523</v>
      </c>
      <c r="D4066" s="2889" t="s">
        <v>1054</v>
      </c>
      <c r="E4066" s="2889" t="s">
        <v>1426</v>
      </c>
      <c r="F4066" s="3040"/>
      <c r="G4066" s="2890">
        <v>1467.5965065509563</v>
      </c>
    </row>
    <row r="4067" spans="2:7" ht="15" hidden="1" outlineLevel="2">
      <c r="B4067" s="2889" t="s">
        <v>1648</v>
      </c>
      <c r="C4067" s="2889" t="s">
        <v>1523</v>
      </c>
      <c r="D4067" s="2889" t="s">
        <v>1054</v>
      </c>
      <c r="E4067" s="2889" t="s">
        <v>1426</v>
      </c>
      <c r="F4067" s="3040"/>
      <c r="G4067" s="2890">
        <v>164.53478085553775</v>
      </c>
    </row>
    <row r="4068" spans="2:7" ht="15" hidden="1" outlineLevel="2">
      <c r="B4068" s="2889" t="s">
        <v>1649</v>
      </c>
      <c r="C4068" s="2889" t="s">
        <v>1523</v>
      </c>
      <c r="D4068" s="2889" t="s">
        <v>1054</v>
      </c>
      <c r="E4068" s="2889" t="s">
        <v>1426</v>
      </c>
      <c r="F4068" s="3040"/>
      <c r="G4068" s="2890">
        <v>780.43812273126832</v>
      </c>
    </row>
    <row r="4069" spans="2:7" ht="15" hidden="1" outlineLevel="2">
      <c r="B4069" s="2889" t="s">
        <v>1650</v>
      </c>
      <c r="C4069" s="2889" t="s">
        <v>1523</v>
      </c>
      <c r="D4069" s="2889" t="s">
        <v>1054</v>
      </c>
      <c r="E4069" s="2889" t="s">
        <v>1426</v>
      </c>
      <c r="F4069" s="3040"/>
      <c r="G4069" s="2890">
        <v>1949.9573845310504</v>
      </c>
    </row>
    <row r="4070" spans="2:7" ht="15" hidden="1" outlineLevel="2">
      <c r="B4070" s="2889" t="s">
        <v>1651</v>
      </c>
      <c r="C4070" s="2889" t="s">
        <v>1523</v>
      </c>
      <c r="D4070" s="2889" t="s">
        <v>1054</v>
      </c>
      <c r="E4070" s="2889" t="s">
        <v>1426</v>
      </c>
      <c r="F4070" s="3040"/>
      <c r="G4070" s="2890">
        <v>1066.8789865699268</v>
      </c>
    </row>
    <row r="4071" spans="2:7" ht="15" hidden="1" outlineLevel="2">
      <c r="B4071" s="2889" t="s">
        <v>1652</v>
      </c>
      <c r="C4071" s="2889" t="s">
        <v>1523</v>
      </c>
      <c r="D4071" s="2889" t="s">
        <v>1054</v>
      </c>
      <c r="E4071" s="2889" t="s">
        <v>1426</v>
      </c>
      <c r="F4071" s="3040"/>
      <c r="G4071" s="2890">
        <v>1171.5262720258631</v>
      </c>
    </row>
    <row r="4072" spans="2:7" ht="15" hidden="1" outlineLevel="2">
      <c r="B4072" s="2889" t="s">
        <v>1653</v>
      </c>
      <c r="C4072" s="2889" t="s">
        <v>1523</v>
      </c>
      <c r="D4072" s="2889" t="s">
        <v>1054</v>
      </c>
      <c r="E4072" s="2889" t="s">
        <v>1426</v>
      </c>
      <c r="F4072" s="3040"/>
      <c r="G4072" s="2890">
        <v>1.1239336321238442E-29</v>
      </c>
    </row>
    <row r="4073" spans="2:7" ht="15" hidden="1" outlineLevel="2">
      <c r="B4073" s="2889" t="s">
        <v>1407</v>
      </c>
      <c r="C4073" s="2889" t="s">
        <v>1524</v>
      </c>
      <c r="D4073" s="2889" t="s">
        <v>1054</v>
      </c>
      <c r="E4073" s="2889" t="s">
        <v>1426</v>
      </c>
      <c r="F4073" s="3040"/>
      <c r="G4073" s="2890">
        <v>1246.9063462137522</v>
      </c>
    </row>
    <row r="4074" spans="2:7" ht="15" hidden="1" outlineLevel="2">
      <c r="B4074" s="2889" t="s">
        <v>1631</v>
      </c>
      <c r="C4074" s="2889" t="s">
        <v>1524</v>
      </c>
      <c r="D4074" s="2889" t="s">
        <v>1054</v>
      </c>
      <c r="E4074" s="2889" t="s">
        <v>1426</v>
      </c>
      <c r="F4074" s="2890">
        <v>0.60878282559782748</v>
      </c>
      <c r="G4074" s="2890">
        <v>20692.208321247803</v>
      </c>
    </row>
    <row r="4075" spans="2:7" ht="15" hidden="1" outlineLevel="2">
      <c r="B4075" s="2889" t="s">
        <v>1632</v>
      </c>
      <c r="C4075" s="2889" t="s">
        <v>1524</v>
      </c>
      <c r="D4075" s="2889" t="s">
        <v>1054</v>
      </c>
      <c r="E4075" s="2889" t="s">
        <v>1426</v>
      </c>
      <c r="F4075" s="3040"/>
      <c r="G4075" s="2890">
        <v>47929.667453317255</v>
      </c>
    </row>
    <row r="4076" spans="2:7" ht="15" hidden="1" outlineLevel="2">
      <c r="B4076" s="2889" t="s">
        <v>1633</v>
      </c>
      <c r="C4076" s="2889" t="s">
        <v>1524</v>
      </c>
      <c r="D4076" s="2889" t="s">
        <v>1054</v>
      </c>
      <c r="E4076" s="2889" t="s">
        <v>1426</v>
      </c>
      <c r="F4076" s="2891"/>
      <c r="G4076" s="2890">
        <v>3889.5956548413069</v>
      </c>
    </row>
    <row r="4077" spans="2:7" ht="15" hidden="1" outlineLevel="2">
      <c r="B4077" s="2889" t="s">
        <v>1634</v>
      </c>
      <c r="C4077" s="2889" t="s">
        <v>1524</v>
      </c>
      <c r="D4077" s="2889" t="s">
        <v>1054</v>
      </c>
      <c r="E4077" s="2889" t="s">
        <v>1426</v>
      </c>
      <c r="F4077" s="2891"/>
      <c r="G4077" s="2890">
        <v>720.92520786402838</v>
      </c>
    </row>
    <row r="4078" spans="2:7" ht="15" hidden="1" outlineLevel="2">
      <c r="B4078" s="2889" t="s">
        <v>1635</v>
      </c>
      <c r="C4078" s="2889" t="s">
        <v>1524</v>
      </c>
      <c r="D4078" s="2889" t="s">
        <v>1054</v>
      </c>
      <c r="E4078" s="2889" t="s">
        <v>1426</v>
      </c>
      <c r="F4078" s="2891"/>
      <c r="G4078" s="2890">
        <v>6080.7766503136518</v>
      </c>
    </row>
    <row r="4079" spans="2:7" ht="15" hidden="1" outlineLevel="2">
      <c r="B4079" s="2889" t="s">
        <v>1636</v>
      </c>
      <c r="C4079" s="2889" t="s">
        <v>1524</v>
      </c>
      <c r="D4079" s="2889" t="s">
        <v>1054</v>
      </c>
      <c r="E4079" s="2889" t="s">
        <v>1426</v>
      </c>
      <c r="F4079" s="2891"/>
      <c r="G4079" s="2890">
        <v>5337.9907409413763</v>
      </c>
    </row>
    <row r="4080" spans="2:7" ht="15" hidden="1" outlineLevel="2">
      <c r="B4080" s="2889" t="s">
        <v>1637</v>
      </c>
      <c r="C4080" s="2889" t="s">
        <v>1524</v>
      </c>
      <c r="D4080" s="2889" t="s">
        <v>1054</v>
      </c>
      <c r="E4080" s="2889" t="s">
        <v>1426</v>
      </c>
      <c r="F4080" s="2891"/>
      <c r="G4080" s="2890">
        <v>8865.1392177401758</v>
      </c>
    </row>
    <row r="4081" spans="2:7" ht="15" hidden="1" outlineLevel="2">
      <c r="B4081" s="2889" t="s">
        <v>1638</v>
      </c>
      <c r="C4081" s="2889" t="s">
        <v>1524</v>
      </c>
      <c r="D4081" s="2889" t="s">
        <v>1054</v>
      </c>
      <c r="E4081" s="2889" t="s">
        <v>1426</v>
      </c>
      <c r="F4081" s="2891"/>
      <c r="G4081" s="2890">
        <v>1171.3773798133486</v>
      </c>
    </row>
    <row r="4082" spans="2:7" ht="15" hidden="1" outlineLevel="2">
      <c r="B4082" s="2889" t="s">
        <v>1639</v>
      </c>
      <c r="C4082" s="2889" t="s">
        <v>1524</v>
      </c>
      <c r="D4082" s="2889" t="s">
        <v>1054</v>
      </c>
      <c r="E4082" s="2889" t="s">
        <v>1426</v>
      </c>
      <c r="F4082" s="3040"/>
      <c r="G4082" s="2890">
        <v>10638.989753470927</v>
      </c>
    </row>
    <row r="4083" spans="2:7" ht="15" hidden="1" outlineLevel="2">
      <c r="B4083" s="2889" t="s">
        <v>1640</v>
      </c>
      <c r="C4083" s="2889" t="s">
        <v>1524</v>
      </c>
      <c r="D4083" s="2889" t="s">
        <v>1054</v>
      </c>
      <c r="E4083" s="2889" t="s">
        <v>1426</v>
      </c>
      <c r="F4083" s="3040"/>
      <c r="G4083" s="2890">
        <v>2501.318714545032</v>
      </c>
    </row>
    <row r="4084" spans="2:7" ht="15" hidden="1" outlineLevel="2">
      <c r="B4084" s="2889" t="s">
        <v>1641</v>
      </c>
      <c r="C4084" s="2889" t="s">
        <v>1524</v>
      </c>
      <c r="D4084" s="2889" t="s">
        <v>1054</v>
      </c>
      <c r="E4084" s="2889" t="s">
        <v>1426</v>
      </c>
      <c r="F4084" s="3040"/>
      <c r="G4084" s="2890">
        <v>12812.673110270667</v>
      </c>
    </row>
    <row r="4085" spans="2:7" ht="15" hidden="1" outlineLevel="2">
      <c r="B4085" s="2889" t="s">
        <v>1642</v>
      </c>
      <c r="C4085" s="2889" t="s">
        <v>1524</v>
      </c>
      <c r="D4085" s="2889" t="s">
        <v>1054</v>
      </c>
      <c r="E4085" s="2889" t="s">
        <v>1426</v>
      </c>
      <c r="F4085" s="3040"/>
      <c r="G4085" s="2890">
        <v>9196.7421570652241</v>
      </c>
    </row>
    <row r="4086" spans="2:7" ht="15" hidden="1" outlineLevel="2">
      <c r="B4086" s="2889" t="s">
        <v>1643</v>
      </c>
      <c r="C4086" s="2889" t="s">
        <v>1524</v>
      </c>
      <c r="D4086" s="2889" t="s">
        <v>1054</v>
      </c>
      <c r="E4086" s="2889" t="s">
        <v>1426</v>
      </c>
      <c r="F4086" s="3040"/>
      <c r="G4086" s="2890">
        <v>1359.7260349901549</v>
      </c>
    </row>
    <row r="4087" spans="2:7" ht="15" hidden="1" outlineLevel="2">
      <c r="B4087" s="2889" t="s">
        <v>1644</v>
      </c>
      <c r="C4087" s="2889" t="s">
        <v>1524</v>
      </c>
      <c r="D4087" s="2889" t="s">
        <v>1054</v>
      </c>
      <c r="E4087" s="2889" t="s">
        <v>1426</v>
      </c>
      <c r="F4087" s="3040"/>
      <c r="G4087" s="2890">
        <v>29936.636313730993</v>
      </c>
    </row>
    <row r="4088" spans="2:7" ht="15" hidden="1" outlineLevel="2">
      <c r="B4088" s="2889" t="s">
        <v>1645</v>
      </c>
      <c r="C4088" s="2889" t="s">
        <v>1524</v>
      </c>
      <c r="D4088" s="2889" t="s">
        <v>1054</v>
      </c>
      <c r="E4088" s="2889" t="s">
        <v>1426</v>
      </c>
      <c r="F4088" s="3040"/>
      <c r="G4088" s="2890">
        <v>34188.582656890903</v>
      </c>
    </row>
    <row r="4089" spans="2:7" ht="15" hidden="1" outlineLevel="2">
      <c r="B4089" s="2889" t="s">
        <v>1646</v>
      </c>
      <c r="C4089" s="2889" t="s">
        <v>1524</v>
      </c>
      <c r="D4089" s="2889" t="s">
        <v>1054</v>
      </c>
      <c r="E4089" s="2889" t="s">
        <v>1426</v>
      </c>
      <c r="F4089" s="3040"/>
      <c r="G4089" s="2890">
        <v>1999.2629935600512</v>
      </c>
    </row>
    <row r="4090" spans="2:7" ht="15" hidden="1" outlineLevel="2">
      <c r="B4090" s="2889" t="s">
        <v>1647</v>
      </c>
      <c r="C4090" s="2889" t="s">
        <v>1524</v>
      </c>
      <c r="D4090" s="2889" t="s">
        <v>1054</v>
      </c>
      <c r="E4090" s="2889" t="s">
        <v>1426</v>
      </c>
      <c r="F4090" s="3040"/>
      <c r="G4090" s="2890">
        <v>4990.5578350191327</v>
      </c>
    </row>
    <row r="4091" spans="2:7" ht="15" hidden="1" outlineLevel="2">
      <c r="B4091" s="2889" t="s">
        <v>1648</v>
      </c>
      <c r="C4091" s="2889" t="s">
        <v>1524</v>
      </c>
      <c r="D4091" s="2889" t="s">
        <v>1054</v>
      </c>
      <c r="E4091" s="2889" t="s">
        <v>1426</v>
      </c>
      <c r="F4091" s="3040"/>
      <c r="G4091" s="2890">
        <v>559.49996165371658</v>
      </c>
    </row>
    <row r="4092" spans="2:7" ht="15" hidden="1" outlineLevel="2">
      <c r="B4092" s="2889" t="s">
        <v>1649</v>
      </c>
      <c r="C4092" s="2889" t="s">
        <v>1524</v>
      </c>
      <c r="D4092" s="2889" t="s">
        <v>1054</v>
      </c>
      <c r="E4092" s="2889" t="s">
        <v>1426</v>
      </c>
      <c r="F4092" s="3040"/>
      <c r="G4092" s="2890">
        <v>2653.8771888825809</v>
      </c>
    </row>
    <row r="4093" spans="2:7" ht="15" hidden="1" outlineLevel="2">
      <c r="B4093" s="2889" t="s">
        <v>1650</v>
      </c>
      <c r="C4093" s="2889" t="s">
        <v>1524</v>
      </c>
      <c r="D4093" s="2889" t="s">
        <v>1054</v>
      </c>
      <c r="E4093" s="2889" t="s">
        <v>1426</v>
      </c>
      <c r="F4093" s="3040"/>
      <c r="G4093" s="2890">
        <v>6630.8235777330965</v>
      </c>
    </row>
    <row r="4094" spans="2:7" ht="15" hidden="1" outlineLevel="2">
      <c r="B4094" s="2889" t="s">
        <v>1651</v>
      </c>
      <c r="C4094" s="2889" t="s">
        <v>1524</v>
      </c>
      <c r="D4094" s="2889" t="s">
        <v>1054</v>
      </c>
      <c r="E4094" s="2889" t="s">
        <v>1426</v>
      </c>
      <c r="F4094" s="3040"/>
      <c r="G4094" s="2890">
        <v>3627.9182396621973</v>
      </c>
    </row>
    <row r="4095" spans="2:7" ht="15" hidden="1" outlineLevel="2">
      <c r="B4095" s="2889" t="s">
        <v>1652</v>
      </c>
      <c r="C4095" s="2889" t="s">
        <v>1524</v>
      </c>
      <c r="D4095" s="2889" t="s">
        <v>1054</v>
      </c>
      <c r="E4095" s="2889" t="s">
        <v>1426</v>
      </c>
      <c r="F4095" s="3040"/>
      <c r="G4095" s="2890">
        <v>3983.7721252373258</v>
      </c>
    </row>
    <row r="4096" spans="2:7" ht="15" hidden="1" outlineLevel="2">
      <c r="B4096" s="2889" t="s">
        <v>1653</v>
      </c>
      <c r="C4096" s="2889" t="s">
        <v>1524</v>
      </c>
      <c r="D4096" s="2889" t="s">
        <v>1054</v>
      </c>
      <c r="E4096" s="2889" t="s">
        <v>1426</v>
      </c>
      <c r="F4096" s="3040"/>
      <c r="G4096" s="2890">
        <v>6.6724197561422064E-28</v>
      </c>
    </row>
    <row r="4097" spans="2:7" ht="15" hidden="1" outlineLevel="2">
      <c r="B4097" s="2889" t="s">
        <v>1407</v>
      </c>
      <c r="C4097" s="2889" t="s">
        <v>1525</v>
      </c>
      <c r="D4097" s="2889" t="s">
        <v>1054</v>
      </c>
      <c r="E4097" s="2889" t="s">
        <v>1426</v>
      </c>
      <c r="F4097" s="3040"/>
      <c r="G4097" s="2890">
        <v>756.17298695551699</v>
      </c>
    </row>
    <row r="4098" spans="2:7" ht="15" hidden="1" outlineLevel="2">
      <c r="B4098" s="2889" t="s">
        <v>1631</v>
      </c>
      <c r="C4098" s="2889" t="s">
        <v>1525</v>
      </c>
      <c r="D4098" s="2889" t="s">
        <v>1054</v>
      </c>
      <c r="E4098" s="2889" t="s">
        <v>1426</v>
      </c>
      <c r="F4098" s="2890">
        <v>0.62185607320161418</v>
      </c>
      <c r="G4098" s="2890">
        <v>12548.569498351602</v>
      </c>
    </row>
    <row r="4099" spans="2:7" ht="15" hidden="1" outlineLevel="2">
      <c r="B4099" s="2889" t="s">
        <v>1632</v>
      </c>
      <c r="C4099" s="2889" t="s">
        <v>1525</v>
      </c>
      <c r="D4099" s="2889" t="s">
        <v>1054</v>
      </c>
      <c r="E4099" s="2889" t="s">
        <v>1426</v>
      </c>
      <c r="F4099" s="3040"/>
      <c r="G4099" s="2890">
        <v>29066.441121095057</v>
      </c>
    </row>
    <row r="4100" spans="2:7" ht="15" hidden="1" outlineLevel="2">
      <c r="B4100" s="2889" t="s">
        <v>1633</v>
      </c>
      <c r="C4100" s="2889" t="s">
        <v>1525</v>
      </c>
      <c r="D4100" s="2889" t="s">
        <v>1054</v>
      </c>
      <c r="E4100" s="2889" t="s">
        <v>1426</v>
      </c>
      <c r="F4100" s="3040"/>
      <c r="G4100" s="2890">
        <v>2358.8035884569704</v>
      </c>
    </row>
    <row r="4101" spans="2:7" ht="15" hidden="1" outlineLevel="2">
      <c r="B4101" s="2889" t="s">
        <v>1634</v>
      </c>
      <c r="C4101" s="2889" t="s">
        <v>1525</v>
      </c>
      <c r="D4101" s="2889" t="s">
        <v>1054</v>
      </c>
      <c r="E4101" s="2889" t="s">
        <v>1426</v>
      </c>
      <c r="F4101" s="3040"/>
      <c r="G4101" s="2890">
        <v>437.19747004309511</v>
      </c>
    </row>
    <row r="4102" spans="2:7" ht="15" hidden="1" outlineLevel="2">
      <c r="B4102" s="2889" t="s">
        <v>1635</v>
      </c>
      <c r="C4102" s="2889" t="s">
        <v>1525</v>
      </c>
      <c r="D4102" s="2889" t="s">
        <v>1054</v>
      </c>
      <c r="E4102" s="2889" t="s">
        <v>1426</v>
      </c>
      <c r="F4102" s="3040"/>
      <c r="G4102" s="2890">
        <v>3687.6221240624741</v>
      </c>
    </row>
    <row r="4103" spans="2:7" ht="15" hidden="1" outlineLevel="2">
      <c r="B4103" s="2889" t="s">
        <v>1636</v>
      </c>
      <c r="C4103" s="2889" t="s">
        <v>1525</v>
      </c>
      <c r="D4103" s="2889" t="s">
        <v>1054</v>
      </c>
      <c r="E4103" s="2889" t="s">
        <v>1426</v>
      </c>
      <c r="F4103" s="3040"/>
      <c r="G4103" s="2890">
        <v>3237.1670112440925</v>
      </c>
    </row>
    <row r="4104" spans="2:7" ht="15" hidden="1" outlineLevel="2">
      <c r="B4104" s="2889" t="s">
        <v>1637</v>
      </c>
      <c r="C4104" s="2889" t="s">
        <v>1525</v>
      </c>
      <c r="D4104" s="2889" t="s">
        <v>1054</v>
      </c>
      <c r="E4104" s="2889" t="s">
        <v>1426</v>
      </c>
      <c r="F4104" s="3040"/>
      <c r="G4104" s="2890">
        <v>5376.1700710256728</v>
      </c>
    </row>
    <row r="4105" spans="2:7" ht="15" hidden="1" outlineLevel="2">
      <c r="B4105" s="2889" t="s">
        <v>1638</v>
      </c>
      <c r="C4105" s="2889" t="s">
        <v>1525</v>
      </c>
      <c r="D4105" s="2889" t="s">
        <v>1054</v>
      </c>
      <c r="E4105" s="2889" t="s">
        <v>1426</v>
      </c>
      <c r="F4105" s="3040"/>
      <c r="G4105" s="2890">
        <v>710.36934371129007</v>
      </c>
    </row>
    <row r="4106" spans="2:7" ht="15" hidden="1" outlineLevel="2">
      <c r="B4106" s="2889" t="s">
        <v>1639</v>
      </c>
      <c r="C4106" s="2889" t="s">
        <v>1525</v>
      </c>
      <c r="D4106" s="2889" t="s">
        <v>1054</v>
      </c>
      <c r="E4106" s="2889" t="s">
        <v>1426</v>
      </c>
      <c r="F4106" s="3040"/>
      <c r="G4106" s="2890">
        <v>6451.902498893226</v>
      </c>
    </row>
    <row r="4107" spans="2:7" ht="15" hidden="1" outlineLevel="2">
      <c r="B4107" s="2889" t="s">
        <v>1640</v>
      </c>
      <c r="C4107" s="2889" t="s">
        <v>1525</v>
      </c>
      <c r="D4107" s="2889" t="s">
        <v>1054</v>
      </c>
      <c r="E4107" s="2889" t="s">
        <v>1426</v>
      </c>
      <c r="F4107" s="3040"/>
      <c r="G4107" s="2890">
        <v>1516.8980036245698</v>
      </c>
    </row>
    <row r="4108" spans="2:7" ht="15" hidden="1" outlineLevel="2">
      <c r="B4108" s="2889" t="s">
        <v>1641</v>
      </c>
      <c r="C4108" s="2889" t="s">
        <v>1525</v>
      </c>
      <c r="D4108" s="2889" t="s">
        <v>1054</v>
      </c>
      <c r="E4108" s="2889" t="s">
        <v>1426</v>
      </c>
      <c r="F4108" s="3040"/>
      <c r="G4108" s="2890">
        <v>7770.1093539595249</v>
      </c>
    </row>
    <row r="4109" spans="2:7" ht="15" hidden="1" outlineLevel="2">
      <c r="B4109" s="2889" t="s">
        <v>1642</v>
      </c>
      <c r="C4109" s="2889" t="s">
        <v>1525</v>
      </c>
      <c r="D4109" s="2889" t="s">
        <v>1054</v>
      </c>
      <c r="E4109" s="2889" t="s">
        <v>1426</v>
      </c>
      <c r="F4109" s="3040"/>
      <c r="G4109" s="2890">
        <v>5577.2653446815802</v>
      </c>
    </row>
    <row r="4110" spans="2:7" ht="15" hidden="1" outlineLevel="2">
      <c r="B4110" s="2889" t="s">
        <v>1643</v>
      </c>
      <c r="C4110" s="2889" t="s">
        <v>1525</v>
      </c>
      <c r="D4110" s="2889" t="s">
        <v>1054</v>
      </c>
      <c r="E4110" s="2889" t="s">
        <v>1426</v>
      </c>
      <c r="F4110" s="3040"/>
      <c r="G4110" s="2890">
        <v>824.59137874467126</v>
      </c>
    </row>
    <row r="4111" spans="2:7" ht="15" hidden="1" outlineLevel="2">
      <c r="B4111" s="2889" t="s">
        <v>1644</v>
      </c>
      <c r="C4111" s="2889" t="s">
        <v>1525</v>
      </c>
      <c r="D4111" s="2889" t="s">
        <v>1054</v>
      </c>
      <c r="E4111" s="2889" t="s">
        <v>1426</v>
      </c>
      <c r="F4111" s="3040"/>
      <c r="G4111" s="2890">
        <v>18154.753645643883</v>
      </c>
    </row>
    <row r="4112" spans="2:7" ht="15" hidden="1" outlineLevel="2">
      <c r="B4112" s="2889" t="s">
        <v>1645</v>
      </c>
      <c r="C4112" s="2889" t="s">
        <v>1525</v>
      </c>
      <c r="D4112" s="2889" t="s">
        <v>1054</v>
      </c>
      <c r="E4112" s="2889" t="s">
        <v>1426</v>
      </c>
      <c r="F4112" s="3040"/>
      <c r="G4112" s="2890">
        <v>20733.301638259847</v>
      </c>
    </row>
    <row r="4113" spans="2:7" ht="15" hidden="1" outlineLevel="2">
      <c r="B4113" s="2889" t="s">
        <v>1646</v>
      </c>
      <c r="C4113" s="2889" t="s">
        <v>1525</v>
      </c>
      <c r="D4113" s="2889" t="s">
        <v>1054</v>
      </c>
      <c r="E4113" s="2889" t="s">
        <v>1426</v>
      </c>
      <c r="F4113" s="3040"/>
      <c r="G4113" s="2890">
        <v>1212.4316585436497</v>
      </c>
    </row>
    <row r="4114" spans="2:7" ht="15" hidden="1" outlineLevel="2">
      <c r="B4114" s="2889" t="s">
        <v>1647</v>
      </c>
      <c r="C4114" s="2889" t="s">
        <v>1525</v>
      </c>
      <c r="D4114" s="2889" t="s">
        <v>1054</v>
      </c>
      <c r="E4114" s="2889" t="s">
        <v>1426</v>
      </c>
      <c r="F4114" s="3040"/>
      <c r="G4114" s="2890">
        <v>3026.4703066605603</v>
      </c>
    </row>
    <row r="4115" spans="2:7" ht="15" hidden="1" outlineLevel="2">
      <c r="B4115" s="2889" t="s">
        <v>1648</v>
      </c>
      <c r="C4115" s="2889" t="s">
        <v>1525</v>
      </c>
      <c r="D4115" s="2889" t="s">
        <v>1054</v>
      </c>
      <c r="E4115" s="2889" t="s">
        <v>1426</v>
      </c>
      <c r="F4115" s="3040"/>
      <c r="G4115" s="2890">
        <v>339.30283551825914</v>
      </c>
    </row>
    <row r="4116" spans="2:7" ht="15" hidden="1" outlineLevel="2">
      <c r="B4116" s="2889" t="s">
        <v>1649</v>
      </c>
      <c r="C4116" s="2889" t="s">
        <v>1525</v>
      </c>
      <c r="D4116" s="2889" t="s">
        <v>1054</v>
      </c>
      <c r="E4116" s="2889" t="s">
        <v>1426</v>
      </c>
      <c r="F4116" s="3040"/>
      <c r="G4116" s="2890">
        <v>1609.4158714098644</v>
      </c>
    </row>
    <row r="4117" spans="2:7" ht="15" hidden="1" outlineLevel="2">
      <c r="B4117" s="2889" t="s">
        <v>1650</v>
      </c>
      <c r="C4117" s="2889" t="s">
        <v>1525</v>
      </c>
      <c r="D4117" s="2889" t="s">
        <v>1054</v>
      </c>
      <c r="E4117" s="2889" t="s">
        <v>1426</v>
      </c>
      <c r="F4117" s="3040"/>
      <c r="G4117" s="2890">
        <v>4021.1925905246462</v>
      </c>
    </row>
    <row r="4118" spans="2:7" ht="15" hidden="1" outlineLevel="2">
      <c r="B4118" s="2889" t="s">
        <v>1651</v>
      </c>
      <c r="C4118" s="2889" t="s">
        <v>1525</v>
      </c>
      <c r="D4118" s="2889" t="s">
        <v>1054</v>
      </c>
      <c r="E4118" s="2889" t="s">
        <v>1426</v>
      </c>
      <c r="F4118" s="3040"/>
      <c r="G4118" s="2890">
        <v>2200.1122025786426</v>
      </c>
    </row>
    <row r="4119" spans="2:7" ht="15" hidden="1" outlineLevel="2">
      <c r="B4119" s="2889" t="s">
        <v>1652</v>
      </c>
      <c r="C4119" s="2889" t="s">
        <v>1525</v>
      </c>
      <c r="D4119" s="2889" t="s">
        <v>1054</v>
      </c>
      <c r="E4119" s="2889" t="s">
        <v>1426</v>
      </c>
      <c r="F4119" s="3040"/>
      <c r="G4119" s="2890">
        <v>2415.9158723357186</v>
      </c>
    </row>
    <row r="4120" spans="2:7" ht="15" hidden="1" outlineLevel="2">
      <c r="B4120" s="2889" t="s">
        <v>1653</v>
      </c>
      <c r="C4120" s="2889" t="s">
        <v>1525</v>
      </c>
      <c r="D4120" s="2889" t="s">
        <v>1054</v>
      </c>
      <c r="E4120" s="2889" t="s">
        <v>1426</v>
      </c>
      <c r="F4120" s="3040"/>
      <c r="G4120" s="2890">
        <v>1.683010752913425E-27</v>
      </c>
    </row>
    <row r="4121" spans="2:7" ht="15" hidden="1" outlineLevel="2">
      <c r="B4121" s="2889" t="s">
        <v>1407</v>
      </c>
      <c r="C4121" s="2889" t="s">
        <v>1526</v>
      </c>
      <c r="D4121" s="2889" t="s">
        <v>1054</v>
      </c>
      <c r="E4121" s="2889" t="s">
        <v>1426</v>
      </c>
      <c r="F4121" s="3040"/>
      <c r="G4121" s="2890">
        <v>1141.1631230349922</v>
      </c>
    </row>
    <row r="4122" spans="2:7" ht="15" hidden="1" outlineLevel="2">
      <c r="B4122" s="2889" t="s">
        <v>1631</v>
      </c>
      <c r="C4122" s="2889" t="s">
        <v>1526</v>
      </c>
      <c r="D4122" s="2889" t="s">
        <v>1054</v>
      </c>
      <c r="E4122" s="2889" t="s">
        <v>1426</v>
      </c>
      <c r="F4122" s="3039">
        <v>0.56384913726194985</v>
      </c>
      <c r="G4122" s="2890">
        <v>18937.419316028816</v>
      </c>
    </row>
    <row r="4123" spans="2:7" ht="15" hidden="1" outlineLevel="2">
      <c r="B4123" s="2889" t="s">
        <v>1632</v>
      </c>
      <c r="C4123" s="2889" t="s">
        <v>1526</v>
      </c>
      <c r="D4123" s="2889" t="s">
        <v>1054</v>
      </c>
      <c r="E4123" s="2889" t="s">
        <v>1426</v>
      </c>
      <c r="F4123" s="2891"/>
      <c r="G4123" s="2890">
        <v>43865.019118059507</v>
      </c>
    </row>
    <row r="4124" spans="2:7" ht="15" hidden="1" outlineLevel="2">
      <c r="B4124" s="2889" t="s">
        <v>1633</v>
      </c>
      <c r="C4124" s="2889" t="s">
        <v>1526</v>
      </c>
      <c r="D4124" s="2889" t="s">
        <v>1054</v>
      </c>
      <c r="E4124" s="2889" t="s">
        <v>1426</v>
      </c>
      <c r="F4124" s="2891"/>
      <c r="G4124" s="2890">
        <v>3559.73995578004</v>
      </c>
    </row>
    <row r="4125" spans="2:7" ht="15" hidden="1" outlineLevel="2">
      <c r="B4125" s="2889" t="s">
        <v>1634</v>
      </c>
      <c r="C4125" s="2889" t="s">
        <v>1526</v>
      </c>
      <c r="D4125" s="2889" t="s">
        <v>1054</v>
      </c>
      <c r="E4125" s="2889" t="s">
        <v>1426</v>
      </c>
      <c r="F4125" s="2891"/>
      <c r="G4125" s="2890">
        <v>659.7876261139437</v>
      </c>
    </row>
    <row r="4126" spans="2:7" ht="15" hidden="1" outlineLevel="2">
      <c r="B4126" s="2889" t="s">
        <v>1635</v>
      </c>
      <c r="C4126" s="2889" t="s">
        <v>1526</v>
      </c>
      <c r="D4126" s="2889" t="s">
        <v>1054</v>
      </c>
      <c r="E4126" s="2889" t="s">
        <v>1426</v>
      </c>
      <c r="F4126" s="2891"/>
      <c r="G4126" s="2890">
        <v>5565.1002688268591</v>
      </c>
    </row>
    <row r="4127" spans="2:7" ht="15" hidden="1" outlineLevel="2">
      <c r="B4127" s="2889" t="s">
        <v>1636</v>
      </c>
      <c r="C4127" s="2889" t="s">
        <v>1526</v>
      </c>
      <c r="D4127" s="2889" t="s">
        <v>1054</v>
      </c>
      <c r="E4127" s="2889" t="s">
        <v>1426</v>
      </c>
      <c r="F4127" s="2891"/>
      <c r="G4127" s="2890">
        <v>4885.3036095895077</v>
      </c>
    </row>
    <row r="4128" spans="2:7" ht="15" hidden="1" outlineLevel="2">
      <c r="B4128" s="2889" t="s">
        <v>1637</v>
      </c>
      <c r="C4128" s="2889" t="s">
        <v>1526</v>
      </c>
      <c r="D4128" s="2889" t="s">
        <v>1054</v>
      </c>
      <c r="E4128" s="2889" t="s">
        <v>1426</v>
      </c>
      <c r="F4128" s="2891"/>
      <c r="G4128" s="2890">
        <v>8113.3369644978775</v>
      </c>
    </row>
    <row r="4129" spans="2:7" ht="15" hidden="1" outlineLevel="2">
      <c r="B4129" s="2889" t="s">
        <v>1638</v>
      </c>
      <c r="C4129" s="2889" t="s">
        <v>1526</v>
      </c>
      <c r="D4129" s="2889" t="s">
        <v>1054</v>
      </c>
      <c r="E4129" s="2889" t="s">
        <v>1426</v>
      </c>
      <c r="F4129" s="2891"/>
      <c r="G4129" s="2890">
        <v>1072.0395672172824</v>
      </c>
    </row>
    <row r="4130" spans="2:7" ht="15" hidden="1" outlineLevel="2">
      <c r="B4130" s="2889" t="s">
        <v>1639</v>
      </c>
      <c r="C4130" s="2889" t="s">
        <v>1526</v>
      </c>
      <c r="D4130" s="2889" t="s">
        <v>1054</v>
      </c>
      <c r="E4130" s="2889" t="s">
        <v>1426</v>
      </c>
      <c r="F4130" s="2891"/>
      <c r="G4130" s="2890">
        <v>9736.756087752241</v>
      </c>
    </row>
    <row r="4131" spans="2:7" ht="15" hidden="1" outlineLevel="2">
      <c r="B4131" s="2889" t="s">
        <v>1640</v>
      </c>
      <c r="C4131" s="2889" t="s">
        <v>1526</v>
      </c>
      <c r="D4131" s="2889" t="s">
        <v>1054</v>
      </c>
      <c r="E4131" s="2889" t="s">
        <v>1426</v>
      </c>
      <c r="F4131" s="2891"/>
      <c r="G4131" s="2890">
        <v>2289.1958027329906</v>
      </c>
    </row>
    <row r="4132" spans="2:7" ht="15" hidden="1" outlineLevel="2">
      <c r="B4132" s="2889" t="s">
        <v>1641</v>
      </c>
      <c r="C4132" s="2889" t="s">
        <v>1526</v>
      </c>
      <c r="D4132" s="2889" t="s">
        <v>1054</v>
      </c>
      <c r="E4132" s="2889" t="s">
        <v>1426</v>
      </c>
      <c r="F4132" s="2891"/>
      <c r="G4132" s="2890">
        <v>11726.100566564326</v>
      </c>
    </row>
    <row r="4133" spans="2:7" ht="15" hidden="1" outlineLevel="2">
      <c r="B4133" s="2889" t="s">
        <v>1642</v>
      </c>
      <c r="C4133" s="2889" t="s">
        <v>1526</v>
      </c>
      <c r="D4133" s="2889" t="s">
        <v>1054</v>
      </c>
      <c r="E4133" s="2889" t="s">
        <v>1426</v>
      </c>
      <c r="F4133" s="2891"/>
      <c r="G4133" s="2890">
        <v>8416.8153383906483</v>
      </c>
    </row>
    <row r="4134" spans="2:7" ht="15" hidden="1" outlineLevel="2">
      <c r="B4134" s="2889" t="s">
        <v>1643</v>
      </c>
      <c r="C4134" s="2889" t="s">
        <v>1526</v>
      </c>
      <c r="D4134" s="2889" t="s">
        <v>1054</v>
      </c>
      <c r="E4134" s="2889" t="s">
        <v>1426</v>
      </c>
      <c r="F4134" s="2891"/>
      <c r="G4134" s="2890">
        <v>1244.4150448279552</v>
      </c>
    </row>
    <row r="4135" spans="2:7" ht="15" hidden="1" outlineLevel="2">
      <c r="B4135" s="2889" t="s">
        <v>1644</v>
      </c>
      <c r="C4135" s="2889" t="s">
        <v>1526</v>
      </c>
      <c r="D4135" s="2889" t="s">
        <v>1054</v>
      </c>
      <c r="E4135" s="2889" t="s">
        <v>1426</v>
      </c>
      <c r="F4135" s="2891"/>
      <c r="G4135" s="2890">
        <v>27397.876025142705</v>
      </c>
    </row>
    <row r="4136" spans="2:7" ht="15" hidden="1" outlineLevel="2">
      <c r="B4136" s="2889" t="s">
        <v>1645</v>
      </c>
      <c r="C4136" s="2889" t="s">
        <v>1526</v>
      </c>
      <c r="D4136" s="2889" t="s">
        <v>1054</v>
      </c>
      <c r="E4136" s="2889" t="s">
        <v>1426</v>
      </c>
      <c r="F4136" s="2891"/>
      <c r="G4136" s="2890">
        <v>31289.235859260683</v>
      </c>
    </row>
    <row r="4137" spans="2:7" ht="15" hidden="1" outlineLevel="2">
      <c r="B4137" s="2889" t="s">
        <v>1646</v>
      </c>
      <c r="C4137" s="2889" t="s">
        <v>1526</v>
      </c>
      <c r="D4137" s="2889" t="s">
        <v>1054</v>
      </c>
      <c r="E4137" s="2889" t="s">
        <v>1426</v>
      </c>
      <c r="F4137" s="2891"/>
      <c r="G4137" s="2890">
        <v>1829.7161603422257</v>
      </c>
    </row>
    <row r="4138" spans="2:7" ht="15" hidden="1" outlineLevel="2">
      <c r="B4138" s="2889" t="s">
        <v>1647</v>
      </c>
      <c r="C4138" s="2889" t="s">
        <v>1526</v>
      </c>
      <c r="D4138" s="2889" t="s">
        <v>1054</v>
      </c>
      <c r="E4138" s="2889" t="s">
        <v>1426</v>
      </c>
      <c r="F4138" s="2891"/>
      <c r="G4138" s="2890">
        <v>4567.3360398912919</v>
      </c>
    </row>
    <row r="4139" spans="2:7" ht="15" hidden="1" outlineLevel="2">
      <c r="B4139" s="2889" t="s">
        <v>1648</v>
      </c>
      <c r="C4139" s="2889" t="s">
        <v>1526</v>
      </c>
      <c r="D4139" s="2889" t="s">
        <v>1054</v>
      </c>
      <c r="E4139" s="2889" t="s">
        <v>1426</v>
      </c>
      <c r="F4139" s="2891"/>
      <c r="G4139" s="2890">
        <v>512.0517750261065</v>
      </c>
    </row>
    <row r="4140" spans="2:7" ht="15" hidden="1" outlineLevel="2">
      <c r="B4140" s="2889" t="s">
        <v>1649</v>
      </c>
      <c r="C4140" s="2889" t="s">
        <v>1526</v>
      </c>
      <c r="D4140" s="2889" t="s">
        <v>1054</v>
      </c>
      <c r="E4140" s="2889" t="s">
        <v>1426</v>
      </c>
      <c r="F4140" s="2891"/>
      <c r="G4140" s="2890">
        <v>2428.8168561301868</v>
      </c>
    </row>
    <row r="4141" spans="2:7" ht="15" hidden="1" outlineLevel="2">
      <c r="B4141" s="2889" t="s">
        <v>1650</v>
      </c>
      <c r="C4141" s="2889" t="s">
        <v>1526</v>
      </c>
      <c r="D4141" s="2889" t="s">
        <v>1054</v>
      </c>
      <c r="E4141" s="2889" t="s">
        <v>1426</v>
      </c>
      <c r="F4141" s="2891"/>
      <c r="G4141" s="2890">
        <v>6068.5001322413564</v>
      </c>
    </row>
    <row r="4142" spans="2:7" ht="15" hidden="1" outlineLevel="2">
      <c r="B4142" s="2889" t="s">
        <v>1651</v>
      </c>
      <c r="C4142" s="2889" t="s">
        <v>1526</v>
      </c>
      <c r="D4142" s="2889" t="s">
        <v>1054</v>
      </c>
      <c r="E4142" s="2889" t="s">
        <v>1426</v>
      </c>
      <c r="F4142" s="2891"/>
      <c r="G4142" s="2890">
        <v>3320.2546013975834</v>
      </c>
    </row>
    <row r="4143" spans="2:7" ht="15" hidden="1" outlineLevel="2">
      <c r="B4143" s="2889" t="s">
        <v>1652</v>
      </c>
      <c r="C4143" s="2889" t="s">
        <v>1526</v>
      </c>
      <c r="D4143" s="2889" t="s">
        <v>1054</v>
      </c>
      <c r="E4143" s="2889" t="s">
        <v>1426</v>
      </c>
      <c r="F4143" s="2891"/>
      <c r="G4143" s="2890">
        <v>3645.9303856438551</v>
      </c>
    </row>
    <row r="4144" spans="2:7" ht="15" hidden="1" outlineLevel="2">
      <c r="B4144" s="2889" t="s">
        <v>1653</v>
      </c>
      <c r="C4144" s="2889" t="s">
        <v>1526</v>
      </c>
      <c r="D4144" s="2889" t="s">
        <v>1054</v>
      </c>
      <c r="E4144" s="2889" t="s">
        <v>1426</v>
      </c>
      <c r="F4144" s="2891"/>
      <c r="G4144" s="2890">
        <v>2.5047711264957134E-28</v>
      </c>
    </row>
    <row r="4145" spans="2:7" ht="15" hidden="1" outlineLevel="2">
      <c r="B4145" s="2889" t="s">
        <v>1407</v>
      </c>
      <c r="C4145" s="2889" t="s">
        <v>1527</v>
      </c>
      <c r="D4145" s="2889" t="s">
        <v>1054</v>
      </c>
      <c r="E4145" s="2889" t="s">
        <v>1426</v>
      </c>
      <c r="F4145" s="2891"/>
      <c r="G4145" s="2890">
        <v>518.50119686893345</v>
      </c>
    </row>
    <row r="4146" spans="2:7" ht="15" hidden="1" outlineLevel="2">
      <c r="B4146" s="2889" t="s">
        <v>1631</v>
      </c>
      <c r="C4146" s="2889" t="s">
        <v>1527</v>
      </c>
      <c r="D4146" s="2889" t="s">
        <v>1054</v>
      </c>
      <c r="E4146" s="2889" t="s">
        <v>1426</v>
      </c>
      <c r="F4146" s="3039">
        <v>0.37986238309612236</v>
      </c>
      <c r="G4146" s="2890">
        <v>8604.4422469753536</v>
      </c>
    </row>
    <row r="4147" spans="2:7" ht="15" hidden="1" outlineLevel="2">
      <c r="B4147" s="2889" t="s">
        <v>1632</v>
      </c>
      <c r="C4147" s="2889" t="s">
        <v>1527</v>
      </c>
      <c r="D4147" s="2889" t="s">
        <v>1054</v>
      </c>
      <c r="E4147" s="2889" t="s">
        <v>1426</v>
      </c>
      <c r="F4147" s="3040"/>
      <c r="G4147" s="2890">
        <v>19930.598339018226</v>
      </c>
    </row>
    <row r="4148" spans="2:7" ht="15" hidden="1" outlineLevel="2">
      <c r="B4148" s="2889" t="s">
        <v>1633</v>
      </c>
      <c r="C4148" s="2889" t="s">
        <v>1527</v>
      </c>
      <c r="D4148" s="2889" t="s">
        <v>1054</v>
      </c>
      <c r="E4148" s="2889" t="s">
        <v>1426</v>
      </c>
      <c r="F4148" s="3040"/>
      <c r="G4148" s="2890">
        <v>1617.4110291108636</v>
      </c>
    </row>
    <row r="4149" spans="2:7" ht="15" hidden="1" outlineLevel="2">
      <c r="B4149" s="2889" t="s">
        <v>1634</v>
      </c>
      <c r="C4149" s="2889" t="s">
        <v>1527</v>
      </c>
      <c r="D4149" s="2889" t="s">
        <v>1054</v>
      </c>
      <c r="E4149" s="2889" t="s">
        <v>1426</v>
      </c>
      <c r="F4149" s="3040"/>
      <c r="G4149" s="2890">
        <v>299.78245493140946</v>
      </c>
    </row>
    <row r="4150" spans="2:7" ht="15" hidden="1" outlineLevel="2">
      <c r="B4150" s="2889" t="s">
        <v>1635</v>
      </c>
      <c r="C4150" s="2889" t="s">
        <v>1527</v>
      </c>
      <c r="D4150" s="2889" t="s">
        <v>1054</v>
      </c>
      <c r="E4150" s="2889" t="s">
        <v>1426</v>
      </c>
      <c r="F4150" s="3040"/>
      <c r="G4150" s="2890">
        <v>2528.5698857945476</v>
      </c>
    </row>
    <row r="4151" spans="2:7" ht="15" hidden="1" outlineLevel="2">
      <c r="B4151" s="2889" t="s">
        <v>1636</v>
      </c>
      <c r="C4151" s="2889" t="s">
        <v>1527</v>
      </c>
      <c r="D4151" s="2889" t="s">
        <v>1054</v>
      </c>
      <c r="E4151" s="2889" t="s">
        <v>1426</v>
      </c>
      <c r="F4151" s="3040"/>
      <c r="G4151" s="2890">
        <v>2219.6970039655635</v>
      </c>
    </row>
    <row r="4152" spans="2:7" ht="15" hidden="1" outlineLevel="2">
      <c r="B4152" s="2889" t="s">
        <v>1637</v>
      </c>
      <c r="C4152" s="2889" t="s">
        <v>1527</v>
      </c>
      <c r="D4152" s="2889" t="s">
        <v>1054</v>
      </c>
      <c r="E4152" s="2889" t="s">
        <v>1426</v>
      </c>
      <c r="F4152" s="3040"/>
      <c r="G4152" s="2890">
        <v>3686.3919701787195</v>
      </c>
    </row>
    <row r="4153" spans="2:7" ht="15" hidden="1" outlineLevel="2">
      <c r="B4153" s="2889" t="s">
        <v>1638</v>
      </c>
      <c r="C4153" s="2889" t="s">
        <v>1527</v>
      </c>
      <c r="D4153" s="2889" t="s">
        <v>1054</v>
      </c>
      <c r="E4153" s="2889" t="s">
        <v>1426</v>
      </c>
      <c r="F4153" s="3040"/>
      <c r="G4153" s="2890">
        <v>487.0939659270993</v>
      </c>
    </row>
    <row r="4154" spans="2:7" ht="15" hidden="1" outlineLevel="2">
      <c r="B4154" s="2889" t="s">
        <v>1639</v>
      </c>
      <c r="C4154" s="2889" t="s">
        <v>1527</v>
      </c>
      <c r="D4154" s="2889" t="s">
        <v>1054</v>
      </c>
      <c r="E4154" s="2889" t="s">
        <v>1426</v>
      </c>
      <c r="F4154" s="3040"/>
      <c r="G4154" s="2890">
        <v>4424.0127053586548</v>
      </c>
    </row>
    <row r="4155" spans="2:7" ht="15" hidden="1" outlineLevel="2">
      <c r="B4155" s="2889" t="s">
        <v>1640</v>
      </c>
      <c r="C4155" s="2889" t="s">
        <v>1527</v>
      </c>
      <c r="D4155" s="2889" t="s">
        <v>1054</v>
      </c>
      <c r="E4155" s="2889" t="s">
        <v>1426</v>
      </c>
      <c r="F4155" s="3040"/>
      <c r="G4155" s="2890">
        <v>1040.1237123150113</v>
      </c>
    </row>
    <row r="4156" spans="2:7" ht="15" hidden="1" outlineLevel="2">
      <c r="B4156" s="2889" t="s">
        <v>1641</v>
      </c>
      <c r="C4156" s="2889" t="s">
        <v>1527</v>
      </c>
      <c r="D4156" s="2889" t="s">
        <v>1054</v>
      </c>
      <c r="E4156" s="2889" t="s">
        <v>1426</v>
      </c>
      <c r="F4156" s="3040"/>
      <c r="G4156" s="2890">
        <v>5327.8942050405531</v>
      </c>
    </row>
    <row r="4157" spans="2:7" ht="15" hidden="1" outlineLevel="2">
      <c r="B4157" s="2889" t="s">
        <v>1642</v>
      </c>
      <c r="C4157" s="2889" t="s">
        <v>1527</v>
      </c>
      <c r="D4157" s="2889" t="s">
        <v>1054</v>
      </c>
      <c r="E4157" s="2889" t="s">
        <v>1426</v>
      </c>
      <c r="F4157" s="3040"/>
      <c r="G4157" s="2890">
        <v>3824.2814641269615</v>
      </c>
    </row>
    <row r="4158" spans="2:7" ht="15" hidden="1" outlineLevel="2">
      <c r="B4158" s="2889" t="s">
        <v>1643</v>
      </c>
      <c r="C4158" s="2889" t="s">
        <v>1527</v>
      </c>
      <c r="D4158" s="2889" t="s">
        <v>1054</v>
      </c>
      <c r="E4158" s="2889" t="s">
        <v>1426</v>
      </c>
      <c r="F4158" s="3040"/>
      <c r="G4158" s="2890">
        <v>565.41490802597013</v>
      </c>
    </row>
    <row r="4159" spans="2:7" ht="15" hidden="1" outlineLevel="2">
      <c r="B4159" s="2889" t="s">
        <v>1644</v>
      </c>
      <c r="C4159" s="2889" t="s">
        <v>1527</v>
      </c>
      <c r="D4159" s="2889" t="s">
        <v>1054</v>
      </c>
      <c r="E4159" s="2889" t="s">
        <v>1426</v>
      </c>
      <c r="F4159" s="3040"/>
      <c r="G4159" s="2890">
        <v>12448.553806794826</v>
      </c>
    </row>
    <row r="4160" spans="2:7" ht="15" hidden="1" outlineLevel="2">
      <c r="B4160" s="2889" t="s">
        <v>1645</v>
      </c>
      <c r="C4160" s="2889" t="s">
        <v>1527</v>
      </c>
      <c r="D4160" s="2889" t="s">
        <v>1054</v>
      </c>
      <c r="E4160" s="2889" t="s">
        <v>1426</v>
      </c>
      <c r="F4160" s="3040"/>
      <c r="G4160" s="2890">
        <v>14216.641502417462</v>
      </c>
    </row>
    <row r="4161" spans="2:7" ht="15" hidden="1" outlineLevel="2">
      <c r="B4161" s="2889" t="s">
        <v>1646</v>
      </c>
      <c r="C4161" s="2889" t="s">
        <v>1527</v>
      </c>
      <c r="D4161" s="2889" t="s">
        <v>1054</v>
      </c>
      <c r="E4161" s="2889" t="s">
        <v>1426</v>
      </c>
      <c r="F4161" s="3040"/>
      <c r="G4161" s="2890">
        <v>831.35375265490632</v>
      </c>
    </row>
    <row r="4162" spans="2:7" ht="15" hidden="1" outlineLevel="2">
      <c r="B4162" s="2889" t="s">
        <v>1647</v>
      </c>
      <c r="C4162" s="2889" t="s">
        <v>1527</v>
      </c>
      <c r="D4162" s="2889" t="s">
        <v>1054</v>
      </c>
      <c r="E4162" s="2889" t="s">
        <v>1426</v>
      </c>
      <c r="F4162" s="3040"/>
      <c r="G4162" s="2890">
        <v>2075.2240642193387</v>
      </c>
    </row>
    <row r="4163" spans="2:7" ht="15" hidden="1" outlineLevel="2">
      <c r="B4163" s="2889" t="s">
        <v>1648</v>
      </c>
      <c r="C4163" s="2889" t="s">
        <v>1527</v>
      </c>
      <c r="D4163" s="2889" t="s">
        <v>1054</v>
      </c>
      <c r="E4163" s="2889" t="s">
        <v>1426</v>
      </c>
      <c r="F4163" s="3040"/>
      <c r="G4163" s="2890">
        <v>232.65688547722982</v>
      </c>
    </row>
    <row r="4164" spans="2:7" ht="15" hidden="1" outlineLevel="2">
      <c r="B4164" s="2889" t="s">
        <v>1649</v>
      </c>
      <c r="C4164" s="2889" t="s">
        <v>1527</v>
      </c>
      <c r="D4164" s="2889" t="s">
        <v>1054</v>
      </c>
      <c r="E4164" s="2889" t="s">
        <v>1426</v>
      </c>
      <c r="F4164" s="3040"/>
      <c r="G4164" s="2890">
        <v>1103.5622771627243</v>
      </c>
    </row>
    <row r="4165" spans="2:7" ht="15" hidden="1" outlineLevel="2">
      <c r="B4165" s="2889" t="s">
        <v>1650</v>
      </c>
      <c r="C4165" s="2889" t="s">
        <v>1527</v>
      </c>
      <c r="D4165" s="2889" t="s">
        <v>1054</v>
      </c>
      <c r="E4165" s="2889" t="s">
        <v>1426</v>
      </c>
      <c r="F4165" s="3040"/>
      <c r="G4165" s="2890">
        <v>2757.2963437655553</v>
      </c>
    </row>
    <row r="4166" spans="2:7" ht="15" hidden="1" outlineLevel="2">
      <c r="B4166" s="2889" t="s">
        <v>1651</v>
      </c>
      <c r="C4166" s="2889" t="s">
        <v>1527</v>
      </c>
      <c r="D4166" s="2889" t="s">
        <v>1054</v>
      </c>
      <c r="E4166" s="2889" t="s">
        <v>1426</v>
      </c>
      <c r="F4166" s="3040"/>
      <c r="G4166" s="2890">
        <v>1508.5976616871999</v>
      </c>
    </row>
    <row r="4167" spans="2:7" ht="15" hidden="1" outlineLevel="2">
      <c r="B4167" s="2889" t="s">
        <v>1652</v>
      </c>
      <c r="C4167" s="2889" t="s">
        <v>1527</v>
      </c>
      <c r="D4167" s="2889" t="s">
        <v>1054</v>
      </c>
      <c r="E4167" s="2889" t="s">
        <v>1426</v>
      </c>
      <c r="F4167" s="2891"/>
      <c r="G4167" s="2890">
        <v>1656.5722540414126</v>
      </c>
    </row>
    <row r="4168" spans="2:7" ht="15" hidden="1" outlineLevel="2">
      <c r="B4168" s="2889" t="s">
        <v>1653</v>
      </c>
      <c r="C4168" s="2889" t="s">
        <v>1527</v>
      </c>
      <c r="D4168" s="2889" t="s">
        <v>1054</v>
      </c>
      <c r="E4168" s="2889" t="s">
        <v>1426</v>
      </c>
      <c r="F4168" s="2891"/>
      <c r="G4168" s="2890">
        <v>1.9648185978513224E-29</v>
      </c>
    </row>
    <row r="4169" spans="2:7" ht="15" hidden="1" outlineLevel="2">
      <c r="B4169" s="2889" t="s">
        <v>1407</v>
      </c>
      <c r="C4169" s="2889" t="s">
        <v>1528</v>
      </c>
      <c r="D4169" s="2889" t="s">
        <v>1054</v>
      </c>
      <c r="E4169" s="2889" t="s">
        <v>1426</v>
      </c>
      <c r="F4169" s="2891"/>
      <c r="G4169" s="2890">
        <v>122.74568863682644</v>
      </c>
    </row>
    <row r="4170" spans="2:7" ht="15" hidden="1" outlineLevel="2">
      <c r="B4170" s="2889" t="s">
        <v>1631</v>
      </c>
      <c r="C4170" s="2889" t="s">
        <v>1528</v>
      </c>
      <c r="D4170" s="2889" t="s">
        <v>1054</v>
      </c>
      <c r="E4170" s="2889" t="s">
        <v>1426</v>
      </c>
      <c r="F4170" s="3039">
        <v>5.5726778536169731E-2</v>
      </c>
      <c r="G4170" s="2890">
        <v>2036.9448898070061</v>
      </c>
    </row>
    <row r="4171" spans="2:7" ht="15" hidden="1" outlineLevel="2">
      <c r="B4171" s="2889" t="s">
        <v>1632</v>
      </c>
      <c r="C4171" s="2889" t="s">
        <v>1528</v>
      </c>
      <c r="D4171" s="2889" t="s">
        <v>1054</v>
      </c>
      <c r="E4171" s="2889" t="s">
        <v>1426</v>
      </c>
      <c r="F4171" s="2891"/>
      <c r="G4171" s="2890">
        <v>4718.2053722333612</v>
      </c>
    </row>
    <row r="4172" spans="2:7" ht="15" hidden="1" outlineLevel="2">
      <c r="B4172" s="2889" t="s">
        <v>1633</v>
      </c>
      <c r="C4172" s="2889" t="s">
        <v>1528</v>
      </c>
      <c r="D4172" s="2889" t="s">
        <v>1054</v>
      </c>
      <c r="E4172" s="2889" t="s">
        <v>1426</v>
      </c>
      <c r="F4172" s="2891"/>
      <c r="G4172" s="2890">
        <v>382.89247716017303</v>
      </c>
    </row>
    <row r="4173" spans="2:7" ht="15" hidden="1" outlineLevel="2">
      <c r="B4173" s="2889" t="s">
        <v>1634</v>
      </c>
      <c r="C4173" s="2889" t="s">
        <v>1528</v>
      </c>
      <c r="D4173" s="2889" t="s">
        <v>1054</v>
      </c>
      <c r="E4173" s="2889" t="s">
        <v>1426</v>
      </c>
      <c r="F4173" s="2891"/>
      <c r="G4173" s="2890">
        <v>70.968012240125688</v>
      </c>
    </row>
    <row r="4174" spans="2:7" ht="15" hidden="1" outlineLevel="2">
      <c r="B4174" s="2889" t="s">
        <v>1635</v>
      </c>
      <c r="C4174" s="2889" t="s">
        <v>1528</v>
      </c>
      <c r="D4174" s="2889" t="s">
        <v>1054</v>
      </c>
      <c r="E4174" s="2889" t="s">
        <v>1426</v>
      </c>
      <c r="F4174" s="3040"/>
      <c r="G4174" s="2890">
        <v>598.59262946931005</v>
      </c>
    </row>
    <row r="4175" spans="2:7" ht="15" hidden="1" outlineLevel="2">
      <c r="B4175" s="2889" t="s">
        <v>1636</v>
      </c>
      <c r="C4175" s="2889" t="s">
        <v>1528</v>
      </c>
      <c r="D4175" s="2889" t="s">
        <v>1054</v>
      </c>
      <c r="E4175" s="2889" t="s">
        <v>1426</v>
      </c>
      <c r="F4175" s="3040"/>
      <c r="G4175" s="2890">
        <v>525.47264906577186</v>
      </c>
    </row>
    <row r="4176" spans="2:7" ht="15" hidden="1" outlineLevel="2">
      <c r="B4176" s="2889" t="s">
        <v>1637</v>
      </c>
      <c r="C4176" s="2889" t="s">
        <v>1528</v>
      </c>
      <c r="D4176" s="2889" t="s">
        <v>1054</v>
      </c>
      <c r="E4176" s="2889" t="s">
        <v>1426</v>
      </c>
      <c r="F4176" s="3040"/>
      <c r="G4176" s="2890">
        <v>872.68612691120302</v>
      </c>
    </row>
    <row r="4177" spans="2:7" ht="15" hidden="1" outlineLevel="2">
      <c r="B4177" s="2889" t="s">
        <v>1638</v>
      </c>
      <c r="C4177" s="2889" t="s">
        <v>1528</v>
      </c>
      <c r="D4177" s="2889" t="s">
        <v>1054</v>
      </c>
      <c r="E4177" s="2889" t="s">
        <v>1426</v>
      </c>
      <c r="F4177" s="3040"/>
      <c r="G4177" s="2890">
        <v>115.31058815306388</v>
      </c>
    </row>
    <row r="4178" spans="2:7" ht="15" hidden="1" outlineLevel="2">
      <c r="B4178" s="2889" t="s">
        <v>1639</v>
      </c>
      <c r="C4178" s="2889" t="s">
        <v>1528</v>
      </c>
      <c r="D4178" s="2889" t="s">
        <v>1054</v>
      </c>
      <c r="E4178" s="2889" t="s">
        <v>1426</v>
      </c>
      <c r="F4178" s="3040"/>
      <c r="G4178" s="2890">
        <v>1047.3039033366958</v>
      </c>
    </row>
    <row r="4179" spans="2:7" ht="15" hidden="1" outlineLevel="2">
      <c r="B4179" s="2889" t="s">
        <v>1640</v>
      </c>
      <c r="C4179" s="2889" t="s">
        <v>1528</v>
      </c>
      <c r="D4179" s="2889" t="s">
        <v>1054</v>
      </c>
      <c r="E4179" s="2889" t="s">
        <v>1426</v>
      </c>
      <c r="F4179" s="3040"/>
      <c r="G4179" s="2890">
        <v>246.23028477909577</v>
      </c>
    </row>
    <row r="4180" spans="2:7" ht="15" hidden="1" outlineLevel="2">
      <c r="B4180" s="2889" t="s">
        <v>1641</v>
      </c>
      <c r="C4180" s="2889" t="s">
        <v>1528</v>
      </c>
      <c r="D4180" s="2889" t="s">
        <v>1054</v>
      </c>
      <c r="E4180" s="2889" t="s">
        <v>1426</v>
      </c>
      <c r="F4180" s="3040"/>
      <c r="G4180" s="2890">
        <v>1261.2818437877168</v>
      </c>
    </row>
    <row r="4181" spans="2:7" ht="15" hidden="1" outlineLevel="2">
      <c r="B4181" s="2889" t="s">
        <v>1642</v>
      </c>
      <c r="C4181" s="2889" t="s">
        <v>1528</v>
      </c>
      <c r="D4181" s="2889" t="s">
        <v>1054</v>
      </c>
      <c r="E4181" s="2889" t="s">
        <v>1426</v>
      </c>
      <c r="F4181" s="3040"/>
      <c r="G4181" s="2890">
        <v>905.3288380151912</v>
      </c>
    </row>
    <row r="4182" spans="2:7" ht="15" hidden="1" outlineLevel="2">
      <c r="B4182" s="2889" t="s">
        <v>1643</v>
      </c>
      <c r="C4182" s="2889" t="s">
        <v>1528</v>
      </c>
      <c r="D4182" s="2889" t="s">
        <v>1054</v>
      </c>
      <c r="E4182" s="2889" t="s">
        <v>1426</v>
      </c>
      <c r="F4182" s="3040"/>
      <c r="G4182" s="2890">
        <v>133.85170071279856</v>
      </c>
    </row>
    <row r="4183" spans="2:7" ht="15" hidden="1" outlineLevel="2">
      <c r="B4183" s="2889" t="s">
        <v>1644</v>
      </c>
      <c r="C4183" s="2889" t="s">
        <v>1528</v>
      </c>
      <c r="D4183" s="2889" t="s">
        <v>1054</v>
      </c>
      <c r="E4183" s="2889" t="s">
        <v>1426</v>
      </c>
      <c r="F4183" s="3040"/>
      <c r="G4183" s="2890">
        <v>2946.9681528042961</v>
      </c>
    </row>
    <row r="4184" spans="2:7" ht="15" hidden="1" outlineLevel="2">
      <c r="B4184" s="2889" t="s">
        <v>1645</v>
      </c>
      <c r="C4184" s="2889" t="s">
        <v>1528</v>
      </c>
      <c r="D4184" s="2889" t="s">
        <v>1054</v>
      </c>
      <c r="E4184" s="2889" t="s">
        <v>1426</v>
      </c>
      <c r="F4184" s="3040"/>
      <c r="G4184" s="2890">
        <v>3365.5298133812789</v>
      </c>
    </row>
    <row r="4185" spans="2:7" ht="15" hidden="1" outlineLevel="2">
      <c r="B4185" s="2889" t="s">
        <v>1646</v>
      </c>
      <c r="C4185" s="2889" t="s">
        <v>1528</v>
      </c>
      <c r="D4185" s="2889" t="s">
        <v>1054</v>
      </c>
      <c r="E4185" s="2889" t="s">
        <v>1426</v>
      </c>
      <c r="F4185" s="3040"/>
      <c r="G4185" s="2890">
        <v>196.80779134380657</v>
      </c>
    </row>
    <row r="4186" spans="2:7" ht="15" hidden="1" outlineLevel="2">
      <c r="B4186" s="2889" t="s">
        <v>1647</v>
      </c>
      <c r="C4186" s="2889" t="s">
        <v>1528</v>
      </c>
      <c r="D4186" s="2889" t="s">
        <v>1054</v>
      </c>
      <c r="E4186" s="2889" t="s">
        <v>1426</v>
      </c>
      <c r="F4186" s="3040"/>
      <c r="G4186" s="2890">
        <v>491.27129098342874</v>
      </c>
    </row>
    <row r="4187" spans="2:7" ht="15" hidden="1" outlineLevel="2">
      <c r="B4187" s="2889" t="s">
        <v>1648</v>
      </c>
      <c r="C4187" s="2889" t="s">
        <v>1528</v>
      </c>
      <c r="D4187" s="2889" t="s">
        <v>1054</v>
      </c>
      <c r="E4187" s="2889" t="s">
        <v>1426</v>
      </c>
      <c r="F4187" s="3040"/>
      <c r="G4187" s="2890">
        <v>55.077277858976394</v>
      </c>
    </row>
    <row r="4188" spans="2:7" ht="15" hidden="1" outlineLevel="2">
      <c r="B4188" s="2889" t="s">
        <v>1649</v>
      </c>
      <c r="C4188" s="2889" t="s">
        <v>1528</v>
      </c>
      <c r="D4188" s="2889" t="s">
        <v>1054</v>
      </c>
      <c r="E4188" s="2889" t="s">
        <v>1426</v>
      </c>
      <c r="F4188" s="3040"/>
      <c r="G4188" s="2890">
        <v>261.24820082761704</v>
      </c>
    </row>
    <row r="4189" spans="2:7" ht="15" hidden="1" outlineLevel="2">
      <c r="B4189" s="2889" t="s">
        <v>1650</v>
      </c>
      <c r="C4189" s="2889" t="s">
        <v>1528</v>
      </c>
      <c r="D4189" s="2889" t="s">
        <v>1054</v>
      </c>
      <c r="E4189" s="2889" t="s">
        <v>1426</v>
      </c>
      <c r="F4189" s="3040"/>
      <c r="G4189" s="2890">
        <v>652.73919318564072</v>
      </c>
    </row>
    <row r="4190" spans="2:7" ht="15" hidden="1" outlineLevel="2">
      <c r="B4190" s="2889" t="s">
        <v>1651</v>
      </c>
      <c r="C4190" s="2889" t="s">
        <v>1528</v>
      </c>
      <c r="D4190" s="2889" t="s">
        <v>1054</v>
      </c>
      <c r="E4190" s="2889" t="s">
        <v>1426</v>
      </c>
      <c r="F4190" s="3040"/>
      <c r="G4190" s="2890">
        <v>357.13289890466234</v>
      </c>
    </row>
    <row r="4191" spans="2:7" ht="15" hidden="1" outlineLevel="2">
      <c r="B4191" s="2889" t="s">
        <v>1652</v>
      </c>
      <c r="C4191" s="2889" t="s">
        <v>1528</v>
      </c>
      <c r="D4191" s="2889" t="s">
        <v>1054</v>
      </c>
      <c r="E4191" s="2889" t="s">
        <v>1426</v>
      </c>
      <c r="F4191" s="3040"/>
      <c r="G4191" s="2890">
        <v>392.16320498488682</v>
      </c>
    </row>
    <row r="4192" spans="2:7" ht="15" hidden="1" outlineLevel="2">
      <c r="B4192" s="2889" t="s">
        <v>1653</v>
      </c>
      <c r="C4192" s="2889" t="s">
        <v>1528</v>
      </c>
      <c r="D4192" s="2889" t="s">
        <v>1054</v>
      </c>
      <c r="E4192" s="2889" t="s">
        <v>1426</v>
      </c>
      <c r="F4192" s="3040"/>
      <c r="G4192" s="2890">
        <v>2.4155894972604634E-28</v>
      </c>
    </row>
    <row r="4193" spans="2:7" ht="15" hidden="1" outlineLevel="2">
      <c r="B4193" s="2889" t="s">
        <v>1407</v>
      </c>
      <c r="C4193" s="2889" t="s">
        <v>1529</v>
      </c>
      <c r="D4193" s="2889" t="s">
        <v>1054</v>
      </c>
      <c r="E4193" s="2889" t="s">
        <v>1426</v>
      </c>
      <c r="F4193" s="3040"/>
      <c r="G4193" s="2890">
        <v>1.5975416149777744</v>
      </c>
    </row>
    <row r="4194" spans="2:7" ht="15" hidden="1" outlineLevel="2">
      <c r="B4194" s="2889" t="s">
        <v>1631</v>
      </c>
      <c r="C4194" s="2889" t="s">
        <v>1529</v>
      </c>
      <c r="D4194" s="2889" t="s">
        <v>1054</v>
      </c>
      <c r="E4194" s="2889" t="s">
        <v>1426</v>
      </c>
      <c r="F4194" s="2890">
        <v>1.2853391584113135E-3</v>
      </c>
      <c r="G4194" s="2890">
        <v>26.510945109893473</v>
      </c>
    </row>
    <row r="4195" spans="2:7" ht="15" hidden="1" outlineLevel="2">
      <c r="B4195" s="2889" t="s">
        <v>1632</v>
      </c>
      <c r="C4195" s="2889" t="s">
        <v>1529</v>
      </c>
      <c r="D4195" s="2889" t="s">
        <v>1054</v>
      </c>
      <c r="E4195" s="2889" t="s">
        <v>1426</v>
      </c>
      <c r="F4195" s="3040"/>
      <c r="G4195" s="2890">
        <v>61.407701383533713</v>
      </c>
    </row>
    <row r="4196" spans="2:7" ht="15" hidden="1" outlineLevel="2">
      <c r="B4196" s="2889" t="s">
        <v>1633</v>
      </c>
      <c r="C4196" s="2889" t="s">
        <v>1529</v>
      </c>
      <c r="D4196" s="2889" t="s">
        <v>1054</v>
      </c>
      <c r="E4196" s="2889" t="s">
        <v>1426</v>
      </c>
      <c r="F4196" s="3040"/>
      <c r="G4196" s="2890">
        <v>4.983365919467543</v>
      </c>
    </row>
    <row r="4197" spans="2:7" ht="15" hidden="1" outlineLevel="2">
      <c r="B4197" s="2889" t="s">
        <v>1634</v>
      </c>
      <c r="C4197" s="2889" t="s">
        <v>1529</v>
      </c>
      <c r="D4197" s="2889" t="s">
        <v>1054</v>
      </c>
      <c r="E4197" s="2889" t="s">
        <v>1426</v>
      </c>
      <c r="F4197" s="3040"/>
      <c r="G4197" s="2890">
        <v>0.92365242543592152</v>
      </c>
    </row>
    <row r="4198" spans="2:7" ht="15" hidden="1" outlineLevel="2">
      <c r="B4198" s="2889" t="s">
        <v>1635</v>
      </c>
      <c r="C4198" s="2889" t="s">
        <v>1529</v>
      </c>
      <c r="D4198" s="2889" t="s">
        <v>1054</v>
      </c>
      <c r="E4198" s="2889" t="s">
        <v>1426</v>
      </c>
      <c r="F4198" s="3040"/>
      <c r="G4198" s="2890">
        <v>7.7907162701270014</v>
      </c>
    </row>
    <row r="4199" spans="2:7" ht="15" hidden="1" outlineLevel="2">
      <c r="B4199" s="2889" t="s">
        <v>1636</v>
      </c>
      <c r="C4199" s="2889" t="s">
        <v>1529</v>
      </c>
      <c r="D4199" s="2889" t="s">
        <v>1054</v>
      </c>
      <c r="E4199" s="2889" t="s">
        <v>1426</v>
      </c>
      <c r="F4199" s="3040"/>
      <c r="G4199" s="2890">
        <v>6.8390553675287942</v>
      </c>
    </row>
    <row r="4200" spans="2:7" ht="15" hidden="1" outlineLevel="2">
      <c r="B4200" s="2889" t="s">
        <v>1637</v>
      </c>
      <c r="C4200" s="2889" t="s">
        <v>1529</v>
      </c>
      <c r="D4200" s="2889" t="s">
        <v>1054</v>
      </c>
      <c r="E4200" s="2889" t="s">
        <v>1426</v>
      </c>
      <c r="F4200" s="3040"/>
      <c r="G4200" s="2890">
        <v>11.358055354173326</v>
      </c>
    </row>
    <row r="4201" spans="2:7" ht="15" hidden="1" outlineLevel="2">
      <c r="B4201" s="2889" t="s">
        <v>1638</v>
      </c>
      <c r="C4201" s="2889" t="s">
        <v>1529</v>
      </c>
      <c r="D4201" s="2889" t="s">
        <v>1054</v>
      </c>
      <c r="E4201" s="2889" t="s">
        <v>1426</v>
      </c>
      <c r="F4201" s="3040"/>
      <c r="G4201" s="2890">
        <v>1.500773950107698</v>
      </c>
    </row>
    <row r="4202" spans="2:7" ht="15" hidden="1" outlineLevel="2">
      <c r="B4202" s="2889" t="s">
        <v>1639</v>
      </c>
      <c r="C4202" s="2889" t="s">
        <v>1529</v>
      </c>
      <c r="D4202" s="2889" t="s">
        <v>1054</v>
      </c>
      <c r="E4202" s="2889" t="s">
        <v>1426</v>
      </c>
      <c r="F4202" s="3040"/>
      <c r="G4202" s="2890">
        <v>13.630717413467906</v>
      </c>
    </row>
    <row r="4203" spans="2:7" ht="15" hidden="1" outlineLevel="2">
      <c r="B4203" s="2889" t="s">
        <v>1640</v>
      </c>
      <c r="C4203" s="2889" t="s">
        <v>1529</v>
      </c>
      <c r="D4203" s="2889" t="s">
        <v>1054</v>
      </c>
      <c r="E4203" s="2889" t="s">
        <v>1426</v>
      </c>
      <c r="F4203" s="3040"/>
      <c r="G4203" s="2890">
        <v>3.2046997148982777</v>
      </c>
    </row>
    <row r="4204" spans="2:7" ht="15" hidden="1" outlineLevel="2">
      <c r="B4204" s="2889" t="s">
        <v>1641</v>
      </c>
      <c r="C4204" s="2889" t="s">
        <v>1529</v>
      </c>
      <c r="D4204" s="2889" t="s">
        <v>1054</v>
      </c>
      <c r="E4204" s="2889" t="s">
        <v>1426</v>
      </c>
      <c r="F4204" s="3040"/>
      <c r="G4204" s="2890">
        <v>16.415649059560497</v>
      </c>
    </row>
    <row r="4205" spans="2:7" ht="15" hidden="1" outlineLevel="2">
      <c r="B4205" s="2889" t="s">
        <v>1642</v>
      </c>
      <c r="C4205" s="2889" t="s">
        <v>1529</v>
      </c>
      <c r="D4205" s="2889" t="s">
        <v>1054</v>
      </c>
      <c r="E4205" s="2889" t="s">
        <v>1426</v>
      </c>
      <c r="F4205" s="3040"/>
      <c r="G4205" s="2890">
        <v>11.782903342172743</v>
      </c>
    </row>
    <row r="4206" spans="2:7" ht="15" hidden="1" outlineLevel="2">
      <c r="B4206" s="2889" t="s">
        <v>1643</v>
      </c>
      <c r="C4206" s="2889" t="s">
        <v>1529</v>
      </c>
      <c r="D4206" s="2889" t="s">
        <v>1054</v>
      </c>
      <c r="E4206" s="2889" t="s">
        <v>1426</v>
      </c>
      <c r="F4206" s="2891"/>
      <c r="G4206" s="2890">
        <v>1.7420868862791878</v>
      </c>
    </row>
    <row r="4207" spans="2:7" ht="15" hidden="1" outlineLevel="2">
      <c r="B4207" s="2889" t="s">
        <v>1644</v>
      </c>
      <c r="C4207" s="2889" t="s">
        <v>1529</v>
      </c>
      <c r="D4207" s="2889" t="s">
        <v>1054</v>
      </c>
      <c r="E4207" s="2889" t="s">
        <v>1426</v>
      </c>
      <c r="F4207" s="2891"/>
      <c r="G4207" s="2890">
        <v>38.354942013291598</v>
      </c>
    </row>
    <row r="4208" spans="2:7" ht="15" hidden="1" outlineLevel="2">
      <c r="B4208" s="2889" t="s">
        <v>1645</v>
      </c>
      <c r="C4208" s="2889" t="s">
        <v>1529</v>
      </c>
      <c r="D4208" s="2889" t="s">
        <v>1054</v>
      </c>
      <c r="E4208" s="2889" t="s">
        <v>1426</v>
      </c>
      <c r="F4208" s="2891"/>
      <c r="G4208" s="2890">
        <v>43.802554201068588</v>
      </c>
    </row>
    <row r="4209" spans="2:7" ht="15" hidden="1" outlineLevel="2">
      <c r="B4209" s="2889" t="s">
        <v>1646</v>
      </c>
      <c r="C4209" s="2889" t="s">
        <v>1529</v>
      </c>
      <c r="D4209" s="2889" t="s">
        <v>1054</v>
      </c>
      <c r="E4209" s="2889" t="s">
        <v>1426</v>
      </c>
      <c r="F4209" s="2891"/>
      <c r="G4209" s="2890">
        <v>2.5614636093655632</v>
      </c>
    </row>
    <row r="4210" spans="2:7" ht="15" hidden="1" outlineLevel="2">
      <c r="B4210" s="2889" t="s">
        <v>1647</v>
      </c>
      <c r="C4210" s="2889" t="s">
        <v>1529</v>
      </c>
      <c r="D4210" s="2889" t="s">
        <v>1054</v>
      </c>
      <c r="E4210" s="2889" t="s">
        <v>1426</v>
      </c>
      <c r="F4210" s="2891"/>
      <c r="G4210" s="2890">
        <v>6.3939236573511806</v>
      </c>
    </row>
    <row r="4211" spans="2:7" ht="15" hidden="1" outlineLevel="2">
      <c r="B4211" s="2889" t="s">
        <v>1648</v>
      </c>
      <c r="C4211" s="2889" t="s">
        <v>1529</v>
      </c>
      <c r="D4211" s="2889" t="s">
        <v>1054</v>
      </c>
      <c r="E4211" s="2889" t="s">
        <v>1426</v>
      </c>
      <c r="F4211" s="2891"/>
      <c r="G4211" s="2890">
        <v>0.71683351612763602</v>
      </c>
    </row>
    <row r="4212" spans="2:7" ht="15" hidden="1" outlineLevel="2">
      <c r="B4212" s="2889" t="s">
        <v>1649</v>
      </c>
      <c r="C4212" s="2889" t="s">
        <v>1529</v>
      </c>
      <c r="D4212" s="2889" t="s">
        <v>1054</v>
      </c>
      <c r="E4212" s="2889" t="s">
        <v>1426</v>
      </c>
      <c r="F4212" s="2891"/>
      <c r="G4212" s="2890">
        <v>3.4001591910669933</v>
      </c>
    </row>
    <row r="4213" spans="2:7" ht="15" hidden="1" outlineLevel="2">
      <c r="B4213" s="2889" t="s">
        <v>1650</v>
      </c>
      <c r="C4213" s="2889" t="s">
        <v>1529</v>
      </c>
      <c r="D4213" s="2889" t="s">
        <v>1054</v>
      </c>
      <c r="E4213" s="2889" t="s">
        <v>1426</v>
      </c>
      <c r="F4213" s="3040"/>
      <c r="G4213" s="2890">
        <v>8.4954401865260554</v>
      </c>
    </row>
    <row r="4214" spans="2:7" ht="15" hidden="1" outlineLevel="2">
      <c r="B4214" s="2889" t="s">
        <v>1651</v>
      </c>
      <c r="C4214" s="2889" t="s">
        <v>1529</v>
      </c>
      <c r="D4214" s="2889" t="s">
        <v>1054</v>
      </c>
      <c r="E4214" s="2889" t="s">
        <v>1426</v>
      </c>
      <c r="F4214" s="3040"/>
      <c r="G4214" s="2890">
        <v>4.648103852033767</v>
      </c>
    </row>
    <row r="4215" spans="2:7" ht="15" hidden="1" outlineLevel="2">
      <c r="B4215" s="2889" t="s">
        <v>1652</v>
      </c>
      <c r="C4215" s="2889" t="s">
        <v>1529</v>
      </c>
      <c r="D4215" s="2889" t="s">
        <v>1054</v>
      </c>
      <c r="E4215" s="2889" t="s">
        <v>1426</v>
      </c>
      <c r="F4215" s="3040"/>
      <c r="G4215" s="2890">
        <v>5.104025495169247</v>
      </c>
    </row>
    <row r="4216" spans="2:7" ht="15" hidden="1" outlineLevel="2">
      <c r="B4216" s="2889" t="s">
        <v>1653</v>
      </c>
      <c r="C4216" s="2889" t="s">
        <v>1529</v>
      </c>
      <c r="D4216" s="2889" t="s">
        <v>1054</v>
      </c>
      <c r="E4216" s="2889" t="s">
        <v>1426</v>
      </c>
      <c r="F4216" s="2891"/>
      <c r="G4216" s="2890">
        <v>3.2635428971378915E-31</v>
      </c>
    </row>
    <row r="4217" spans="2:7" ht="15" hidden="1" outlineLevel="2">
      <c r="B4217" s="2889" t="s">
        <v>1407</v>
      </c>
      <c r="C4217" s="2889" t="s">
        <v>1530</v>
      </c>
      <c r="D4217" s="2889" t="s">
        <v>1054</v>
      </c>
      <c r="E4217" s="2889" t="s">
        <v>1426</v>
      </c>
      <c r="F4217" s="3040"/>
      <c r="G4217" s="2890">
        <v>117.61955531510569</v>
      </c>
    </row>
    <row r="4218" spans="2:7" ht="15" hidden="1" outlineLevel="2">
      <c r="B4218" s="2889" t="s">
        <v>1631</v>
      </c>
      <c r="C4218" s="2889" t="s">
        <v>1530</v>
      </c>
      <c r="D4218" s="2889" t="s">
        <v>1054</v>
      </c>
      <c r="E4218" s="2889" t="s">
        <v>1426</v>
      </c>
      <c r="F4218" s="2890">
        <v>4.801830915258172E-2</v>
      </c>
      <c r="G4218" s="2890">
        <v>1951.8771470774648</v>
      </c>
    </row>
    <row r="4219" spans="2:7" ht="15" hidden="1" outlineLevel="2">
      <c r="B4219" s="2889" t="s">
        <v>1632</v>
      </c>
      <c r="C4219" s="2889" t="s">
        <v>1530</v>
      </c>
      <c r="D4219" s="2889" t="s">
        <v>1054</v>
      </c>
      <c r="E4219" s="2889" t="s">
        <v>1426</v>
      </c>
      <c r="F4219" s="2891"/>
      <c r="G4219" s="2890">
        <v>4521.1616269132219</v>
      </c>
    </row>
    <row r="4220" spans="2:7" ht="15" hidden="1" outlineLevel="2">
      <c r="B4220" s="2889" t="s">
        <v>1633</v>
      </c>
      <c r="C4220" s="2889" t="s">
        <v>1530</v>
      </c>
      <c r="D4220" s="2889" t="s">
        <v>1054</v>
      </c>
      <c r="E4220" s="2889" t="s">
        <v>1426</v>
      </c>
      <c r="F4220" s="3040"/>
      <c r="G4220" s="2890">
        <v>366.90201154555837</v>
      </c>
    </row>
    <row r="4221" spans="2:7" ht="15" hidden="1" outlineLevel="2">
      <c r="B4221" s="2889" t="s">
        <v>1634</v>
      </c>
      <c r="C4221" s="2889" t="s">
        <v>1530</v>
      </c>
      <c r="D4221" s="2889" t="s">
        <v>1054</v>
      </c>
      <c r="E4221" s="2889" t="s">
        <v>1426</v>
      </c>
      <c r="F4221" s="3040"/>
      <c r="G4221" s="2890">
        <v>68.004224955563615</v>
      </c>
    </row>
    <row r="4222" spans="2:7" ht="15" hidden="1" outlineLevel="2">
      <c r="B4222" s="2889" t="s">
        <v>1635</v>
      </c>
      <c r="C4222" s="2889" t="s">
        <v>1530</v>
      </c>
      <c r="D4222" s="2889" t="s">
        <v>1054</v>
      </c>
      <c r="E4222" s="2889" t="s">
        <v>1426</v>
      </c>
      <c r="F4222" s="3040"/>
      <c r="G4222" s="2890">
        <v>573.59404225969013</v>
      </c>
    </row>
    <row r="4223" spans="2:7" ht="15" hidden="1" outlineLevel="2">
      <c r="B4223" s="2889" t="s">
        <v>1636</v>
      </c>
      <c r="C4223" s="2889" t="s">
        <v>1530</v>
      </c>
      <c r="D4223" s="2889" t="s">
        <v>1054</v>
      </c>
      <c r="E4223" s="2889" t="s">
        <v>1426</v>
      </c>
      <c r="F4223" s="2891"/>
      <c r="G4223" s="2890">
        <v>503.52775726485152</v>
      </c>
    </row>
    <row r="4224" spans="2:7" ht="15" hidden="1" outlineLevel="2">
      <c r="B4224" s="2889" t="s">
        <v>1637</v>
      </c>
      <c r="C4224" s="2889" t="s">
        <v>1530</v>
      </c>
      <c r="D4224" s="2889" t="s">
        <v>1054</v>
      </c>
      <c r="E4224" s="2889" t="s">
        <v>1426</v>
      </c>
      <c r="F4224" s="2891"/>
      <c r="G4224" s="2890">
        <v>836.24074139148729</v>
      </c>
    </row>
    <row r="4225" spans="2:7" ht="15" hidden="1" outlineLevel="2">
      <c r="B4225" s="2889" t="s">
        <v>1638</v>
      </c>
      <c r="C4225" s="2889" t="s">
        <v>1530</v>
      </c>
      <c r="D4225" s="2889" t="s">
        <v>1054</v>
      </c>
      <c r="E4225" s="2889" t="s">
        <v>1426</v>
      </c>
      <c r="F4225" s="2891"/>
      <c r="G4225" s="2890">
        <v>110.4949498773678</v>
      </c>
    </row>
    <row r="4226" spans="2:7" ht="15" hidden="1" outlineLevel="2">
      <c r="B4226" s="2889" t="s">
        <v>1639</v>
      </c>
      <c r="C4226" s="2889" t="s">
        <v>1530</v>
      </c>
      <c r="D4226" s="2889" t="s">
        <v>1054</v>
      </c>
      <c r="E4226" s="2889" t="s">
        <v>1426</v>
      </c>
      <c r="F4226" s="3040"/>
      <c r="G4226" s="2890">
        <v>1003.5664325977467</v>
      </c>
    </row>
    <row r="4227" spans="2:7" ht="15" hidden="1" outlineLevel="2">
      <c r="B4227" s="2889" t="s">
        <v>1640</v>
      </c>
      <c r="C4227" s="2889" t="s">
        <v>1530</v>
      </c>
      <c r="D4227" s="2889" t="s">
        <v>1054</v>
      </c>
      <c r="E4227" s="2889" t="s">
        <v>1426</v>
      </c>
      <c r="F4227" s="3040"/>
      <c r="G4227" s="2890">
        <v>235.94708598026583</v>
      </c>
    </row>
    <row r="4228" spans="2:7" ht="15" hidden="1" outlineLevel="2">
      <c r="B4228" s="2889" t="s">
        <v>1641</v>
      </c>
      <c r="C4228" s="2889" t="s">
        <v>1530</v>
      </c>
      <c r="D4228" s="2889" t="s">
        <v>1054</v>
      </c>
      <c r="E4228" s="2889" t="s">
        <v>1426</v>
      </c>
      <c r="F4228" s="3040"/>
      <c r="G4228" s="2890">
        <v>1208.607596974706</v>
      </c>
    </row>
    <row r="4229" spans="2:7" ht="15" hidden="1" outlineLevel="2">
      <c r="B4229" s="2889" t="s">
        <v>1642</v>
      </c>
      <c r="C4229" s="2889" t="s">
        <v>1530</v>
      </c>
      <c r="D4229" s="2889" t="s">
        <v>1054</v>
      </c>
      <c r="E4229" s="2889" t="s">
        <v>1426</v>
      </c>
      <c r="F4229" s="3040"/>
      <c r="G4229" s="2890">
        <v>867.52008762478602</v>
      </c>
    </row>
    <row r="4230" spans="2:7" ht="15" hidden="1" outlineLevel="2">
      <c r="B4230" s="2889" t="s">
        <v>1643</v>
      </c>
      <c r="C4230" s="2889" t="s">
        <v>1530</v>
      </c>
      <c r="D4230" s="2889" t="s">
        <v>1054</v>
      </c>
      <c r="E4230" s="2889" t="s">
        <v>1426</v>
      </c>
      <c r="F4230" s="3040"/>
      <c r="G4230" s="2890">
        <v>128.26168242863619</v>
      </c>
    </row>
    <row r="4231" spans="2:7" ht="15" hidden="1" outlineLevel="2">
      <c r="B4231" s="2889" t="s">
        <v>1644</v>
      </c>
      <c r="C4231" s="2889" t="s">
        <v>1530</v>
      </c>
      <c r="D4231" s="2889" t="s">
        <v>1054</v>
      </c>
      <c r="E4231" s="2889" t="s">
        <v>1426</v>
      </c>
      <c r="F4231" s="3040"/>
      <c r="G4231" s="2890">
        <v>2823.8956985329846</v>
      </c>
    </row>
    <row r="4232" spans="2:7" ht="15" hidden="1" outlineLevel="2">
      <c r="B4232" s="2889" t="s">
        <v>1645</v>
      </c>
      <c r="C4232" s="2889" t="s">
        <v>1530</v>
      </c>
      <c r="D4232" s="2889" t="s">
        <v>1054</v>
      </c>
      <c r="E4232" s="2889" t="s">
        <v>1426</v>
      </c>
      <c r="F4232" s="3040"/>
      <c r="G4232" s="2890">
        <v>3224.9783770331637</v>
      </c>
    </row>
    <row r="4233" spans="2:7" ht="15" hidden="1" outlineLevel="2">
      <c r="B4233" s="2889" t="s">
        <v>1646</v>
      </c>
      <c r="C4233" s="2889" t="s">
        <v>1530</v>
      </c>
      <c r="D4233" s="2889" t="s">
        <v>1054</v>
      </c>
      <c r="E4233" s="2889" t="s">
        <v>1426</v>
      </c>
      <c r="F4233" s="3040"/>
      <c r="G4233" s="2890">
        <v>188.58865680609452</v>
      </c>
    </row>
    <row r="4234" spans="2:7" ht="15" hidden="1" outlineLevel="2">
      <c r="B4234" s="2889" t="s">
        <v>1647</v>
      </c>
      <c r="C4234" s="2889" t="s">
        <v>1530</v>
      </c>
      <c r="D4234" s="2889" t="s">
        <v>1054</v>
      </c>
      <c r="E4234" s="2889" t="s">
        <v>1426</v>
      </c>
      <c r="F4234" s="3040"/>
      <c r="G4234" s="2890">
        <v>470.75465315006539</v>
      </c>
    </row>
    <row r="4235" spans="2:7" ht="15" hidden="1" outlineLevel="2">
      <c r="B4235" s="2889" t="s">
        <v>1648</v>
      </c>
      <c r="C4235" s="2889" t="s">
        <v>1530</v>
      </c>
      <c r="D4235" s="2889" t="s">
        <v>1054</v>
      </c>
      <c r="E4235" s="2889" t="s">
        <v>1426</v>
      </c>
      <c r="F4235" s="3040"/>
      <c r="G4235" s="2890">
        <v>52.777104937708302</v>
      </c>
    </row>
    <row r="4236" spans="2:7" ht="15" hidden="1" outlineLevel="2">
      <c r="B4236" s="2889" t="s">
        <v>1649</v>
      </c>
      <c r="C4236" s="2889" t="s">
        <v>1530</v>
      </c>
      <c r="D4236" s="2889" t="s">
        <v>1054</v>
      </c>
      <c r="E4236" s="2889" t="s">
        <v>1426</v>
      </c>
      <c r="F4236" s="2891"/>
      <c r="G4236" s="2890">
        <v>250.3378530350231</v>
      </c>
    </row>
    <row r="4237" spans="2:7" ht="15" hidden="1" outlineLevel="2">
      <c r="B4237" s="2889" t="s">
        <v>1650</v>
      </c>
      <c r="C4237" s="2889" t="s">
        <v>1530</v>
      </c>
      <c r="D4237" s="2889" t="s">
        <v>1054</v>
      </c>
      <c r="E4237" s="2889" t="s">
        <v>1426</v>
      </c>
      <c r="F4237" s="2891"/>
      <c r="G4237" s="2890">
        <v>625.47950396415126</v>
      </c>
    </row>
    <row r="4238" spans="2:7" ht="15" hidden="1" outlineLevel="2">
      <c r="B4238" s="2889" t="s">
        <v>1651</v>
      </c>
      <c r="C4238" s="2889" t="s">
        <v>1530</v>
      </c>
      <c r="D4238" s="2889" t="s">
        <v>1054</v>
      </c>
      <c r="E4238" s="2889" t="s">
        <v>1426</v>
      </c>
      <c r="F4238" s="3040"/>
      <c r="G4238" s="2890">
        <v>342.21830331096754</v>
      </c>
    </row>
    <row r="4239" spans="2:7" ht="15" hidden="1" outlineLevel="2">
      <c r="B4239" s="2889" t="s">
        <v>1652</v>
      </c>
      <c r="C4239" s="2889" t="s">
        <v>1530</v>
      </c>
      <c r="D4239" s="2889" t="s">
        <v>1054</v>
      </c>
      <c r="E4239" s="2889" t="s">
        <v>1426</v>
      </c>
      <c r="F4239" s="3040"/>
      <c r="G4239" s="2890">
        <v>375.78555883728086</v>
      </c>
    </row>
    <row r="4240" spans="2:7" ht="15" hidden="1" outlineLevel="2">
      <c r="B4240" s="2889" t="s">
        <v>1653</v>
      </c>
      <c r="C4240" s="2889" t="s">
        <v>1530</v>
      </c>
      <c r="D4240" s="2889" t="s">
        <v>1054</v>
      </c>
      <c r="E4240" s="2889" t="s">
        <v>1426</v>
      </c>
      <c r="F4240" s="3040"/>
      <c r="G4240" s="2890">
        <v>7.731068103147799E-30</v>
      </c>
    </row>
    <row r="4241" spans="2:7" ht="15" hidden="1" outlineLevel="2">
      <c r="B4241" s="2889" t="s">
        <v>1407</v>
      </c>
      <c r="C4241" s="2889" t="s">
        <v>1551</v>
      </c>
      <c r="D4241" s="2889" t="s">
        <v>1106</v>
      </c>
      <c r="E4241" s="2889" t="s">
        <v>1426</v>
      </c>
      <c r="F4241" s="3040"/>
      <c r="G4241" s="2890">
        <v>66.445888904003255</v>
      </c>
    </row>
    <row r="4242" spans="2:7" ht="15" hidden="1" outlineLevel="2">
      <c r="B4242" s="2889" t="s">
        <v>1631</v>
      </c>
      <c r="C4242" s="2889" t="s">
        <v>1551</v>
      </c>
      <c r="D4242" s="2889" t="s">
        <v>1106</v>
      </c>
      <c r="E4242" s="2889" t="s">
        <v>1426</v>
      </c>
      <c r="F4242" s="2890">
        <v>1.1927067988934758E-2</v>
      </c>
      <c r="G4242" s="2890">
        <v>281.54469298608655</v>
      </c>
    </row>
    <row r="4243" spans="2:7" ht="15" hidden="1" outlineLevel="2">
      <c r="B4243" s="2889" t="s">
        <v>1632</v>
      </c>
      <c r="C4243" s="2889" t="s">
        <v>1551</v>
      </c>
      <c r="D4243" s="2889" t="s">
        <v>1106</v>
      </c>
      <c r="E4243" s="2889" t="s">
        <v>1426</v>
      </c>
      <c r="F4243" s="3040"/>
      <c r="G4243" s="2890">
        <v>515.24905438901851</v>
      </c>
    </row>
    <row r="4244" spans="2:7" ht="15" hidden="1" outlineLevel="2">
      <c r="B4244" s="2889" t="s">
        <v>1633</v>
      </c>
      <c r="C4244" s="2889" t="s">
        <v>1551</v>
      </c>
      <c r="D4244" s="2889" t="s">
        <v>1106</v>
      </c>
      <c r="E4244" s="2889" t="s">
        <v>1426</v>
      </c>
      <c r="F4244" s="3040"/>
      <c r="G4244" s="2890">
        <v>13.787216732280912</v>
      </c>
    </row>
    <row r="4245" spans="2:7" ht="15" hidden="1" outlineLevel="2">
      <c r="B4245" s="2889" t="s">
        <v>1634</v>
      </c>
      <c r="C4245" s="2889" t="s">
        <v>1551</v>
      </c>
      <c r="D4245" s="2889" t="s">
        <v>1106</v>
      </c>
      <c r="E4245" s="2889" t="s">
        <v>1426</v>
      </c>
      <c r="F4245" s="3040"/>
      <c r="G4245" s="2890">
        <v>33.40514614602516</v>
      </c>
    </row>
    <row r="4246" spans="2:7" ht="15" hidden="1" outlineLevel="2">
      <c r="B4246" s="2889" t="s">
        <v>1635</v>
      </c>
      <c r="C4246" s="2889" t="s">
        <v>1551</v>
      </c>
      <c r="D4246" s="2889" t="s">
        <v>1106</v>
      </c>
      <c r="E4246" s="2889" t="s">
        <v>1426</v>
      </c>
      <c r="F4246" s="3040"/>
      <c r="G4246" s="2890">
        <v>71.810954265567773</v>
      </c>
    </row>
    <row r="4247" spans="2:7" ht="15" hidden="1" outlineLevel="2">
      <c r="B4247" s="2889" t="s">
        <v>1636</v>
      </c>
      <c r="C4247" s="2889" t="s">
        <v>1551</v>
      </c>
      <c r="D4247" s="2889" t="s">
        <v>1106</v>
      </c>
      <c r="E4247" s="2889" t="s">
        <v>1426</v>
      </c>
      <c r="F4247" s="3040"/>
      <c r="G4247" s="2890">
        <v>65.494333771240917</v>
      </c>
    </row>
    <row r="4248" spans="2:7" ht="15" hidden="1" outlineLevel="2">
      <c r="B4248" s="2889" t="s">
        <v>1637</v>
      </c>
      <c r="C4248" s="2889" t="s">
        <v>1551</v>
      </c>
      <c r="D4248" s="2889" t="s">
        <v>1106</v>
      </c>
      <c r="E4248" s="2889" t="s">
        <v>1426</v>
      </c>
      <c r="F4248" s="3040"/>
      <c r="G4248" s="2890">
        <v>22.766112881333186</v>
      </c>
    </row>
    <row r="4249" spans="2:7" ht="15" hidden="1" outlineLevel="2">
      <c r="B4249" s="2889" t="s">
        <v>1638</v>
      </c>
      <c r="C4249" s="2889" t="s">
        <v>1551</v>
      </c>
      <c r="D4249" s="2889" t="s">
        <v>1106</v>
      </c>
      <c r="E4249" s="2889" t="s">
        <v>1426</v>
      </c>
      <c r="F4249" s="3040"/>
      <c r="G4249" s="2890">
        <v>46.676075608131285</v>
      </c>
    </row>
    <row r="4250" spans="2:7" ht="15" hidden="1" outlineLevel="2">
      <c r="B4250" s="2889" t="s">
        <v>1639</v>
      </c>
      <c r="C4250" s="2889" t="s">
        <v>1551</v>
      </c>
      <c r="D4250" s="2889" t="s">
        <v>1106</v>
      </c>
      <c r="E4250" s="2889" t="s">
        <v>1426</v>
      </c>
      <c r="F4250" s="3040"/>
      <c r="G4250" s="2890">
        <v>173.76750183652769</v>
      </c>
    </row>
    <row r="4251" spans="2:7" ht="15" hidden="1" outlineLevel="2">
      <c r="B4251" s="2889" t="s">
        <v>1640</v>
      </c>
      <c r="C4251" s="2889" t="s">
        <v>1551</v>
      </c>
      <c r="D4251" s="2889" t="s">
        <v>1106</v>
      </c>
      <c r="E4251" s="2889" t="s">
        <v>1426</v>
      </c>
      <c r="F4251" s="3040"/>
      <c r="G4251" s="2890">
        <v>17.077114647904835</v>
      </c>
    </row>
    <row r="4252" spans="2:7" ht="15" hidden="1" outlineLevel="2">
      <c r="B4252" s="2889" t="s">
        <v>1641</v>
      </c>
      <c r="C4252" s="2889" t="s">
        <v>1551</v>
      </c>
      <c r="D4252" s="2889" t="s">
        <v>1106</v>
      </c>
      <c r="E4252" s="2889" t="s">
        <v>1426</v>
      </c>
      <c r="F4252" s="3040"/>
      <c r="G4252" s="2890">
        <v>115.9664730093467</v>
      </c>
    </row>
    <row r="4253" spans="2:7" ht="15" hidden="1" outlineLevel="2">
      <c r="B4253" s="2889" t="s">
        <v>1642</v>
      </c>
      <c r="C4253" s="2889" t="s">
        <v>1551</v>
      </c>
      <c r="D4253" s="2889" t="s">
        <v>1106</v>
      </c>
      <c r="E4253" s="2889" t="s">
        <v>1426</v>
      </c>
      <c r="F4253" s="2891"/>
      <c r="G4253" s="2890">
        <v>157.50015758457889</v>
      </c>
    </row>
    <row r="4254" spans="2:7" ht="15" hidden="1" outlineLevel="2">
      <c r="B4254" s="2889" t="s">
        <v>1643</v>
      </c>
      <c r="C4254" s="2889" t="s">
        <v>1551</v>
      </c>
      <c r="D4254" s="2889" t="s">
        <v>1106</v>
      </c>
      <c r="E4254" s="2889" t="s">
        <v>1426</v>
      </c>
      <c r="F4254" s="2891"/>
      <c r="G4254" s="2890">
        <v>21.192762014833921</v>
      </c>
    </row>
    <row r="4255" spans="2:7" ht="15" hidden="1" outlineLevel="2">
      <c r="B4255" s="2889" t="s">
        <v>1644</v>
      </c>
      <c r="C4255" s="2889" t="s">
        <v>1551</v>
      </c>
      <c r="D4255" s="2889" t="s">
        <v>1106</v>
      </c>
      <c r="E4255" s="2889" t="s">
        <v>1426</v>
      </c>
      <c r="F4255" s="2891"/>
      <c r="G4255" s="2890">
        <v>291.52569676993608</v>
      </c>
    </row>
    <row r="4256" spans="2:7" ht="15" hidden="1" outlineLevel="2">
      <c r="B4256" s="2889" t="s">
        <v>1645</v>
      </c>
      <c r="C4256" s="2889" t="s">
        <v>1551</v>
      </c>
      <c r="D4256" s="2889" t="s">
        <v>1106</v>
      </c>
      <c r="E4256" s="2889" t="s">
        <v>1426</v>
      </c>
      <c r="F4256" s="2891"/>
      <c r="G4256" s="2890">
        <v>214.04601545325977</v>
      </c>
    </row>
    <row r="4257" spans="2:7" ht="15" hidden="1" outlineLevel="2">
      <c r="B4257" s="2889" t="s">
        <v>1646</v>
      </c>
      <c r="C4257" s="2889" t="s">
        <v>1551</v>
      </c>
      <c r="D4257" s="2889" t="s">
        <v>1106</v>
      </c>
      <c r="E4257" s="2889" t="s">
        <v>1426</v>
      </c>
      <c r="F4257" s="2891"/>
      <c r="G4257" s="2890">
        <v>17.532640108658658</v>
      </c>
    </row>
    <row r="4258" spans="2:7" ht="15" hidden="1" outlineLevel="2">
      <c r="B4258" s="2889" t="s">
        <v>1647</v>
      </c>
      <c r="C4258" s="2889" t="s">
        <v>1551</v>
      </c>
      <c r="D4258" s="2889" t="s">
        <v>1106</v>
      </c>
      <c r="E4258" s="2889" t="s">
        <v>1426</v>
      </c>
      <c r="F4258" s="2891"/>
      <c r="G4258" s="2890">
        <v>9.4445470664095783</v>
      </c>
    </row>
    <row r="4259" spans="2:7" ht="15" hidden="1" outlineLevel="2">
      <c r="B4259" s="2889" t="s">
        <v>1648</v>
      </c>
      <c r="C4259" s="2889" t="s">
        <v>1551</v>
      </c>
      <c r="D4259" s="2889" t="s">
        <v>1106</v>
      </c>
      <c r="E4259" s="2889" t="s">
        <v>1426</v>
      </c>
      <c r="F4259" s="2891"/>
      <c r="G4259" s="2890">
        <v>6.4279601955530214</v>
      </c>
    </row>
    <row r="4260" spans="2:7" ht="15" hidden="1" outlineLevel="2">
      <c r="B4260" s="2889" t="s">
        <v>1649</v>
      </c>
      <c r="C4260" s="2889" t="s">
        <v>1551</v>
      </c>
      <c r="D4260" s="2889" t="s">
        <v>1106</v>
      </c>
      <c r="E4260" s="2889" t="s">
        <v>1426</v>
      </c>
      <c r="F4260" s="2891"/>
      <c r="G4260" s="2890">
        <v>45.167830162113887</v>
      </c>
    </row>
    <row r="4261" spans="2:7" ht="15" hidden="1" outlineLevel="2">
      <c r="B4261" s="2889" t="s">
        <v>1650</v>
      </c>
      <c r="C4261" s="2889" t="s">
        <v>1551</v>
      </c>
      <c r="D4261" s="2889" t="s">
        <v>1106</v>
      </c>
      <c r="E4261" s="2889" t="s">
        <v>1426</v>
      </c>
      <c r="F4261" s="2891"/>
      <c r="G4261" s="2890">
        <v>162.16680065271757</v>
      </c>
    </row>
    <row r="4262" spans="2:7" ht="15" hidden="1" outlineLevel="2">
      <c r="B4262" s="2889" t="s">
        <v>1651</v>
      </c>
      <c r="C4262" s="2889" t="s">
        <v>1551</v>
      </c>
      <c r="D4262" s="2889" t="s">
        <v>1106</v>
      </c>
      <c r="E4262" s="2889" t="s">
        <v>1426</v>
      </c>
      <c r="F4262" s="2891"/>
      <c r="G4262" s="2890">
        <v>81.953951546776935</v>
      </c>
    </row>
    <row r="4263" spans="2:7" ht="15" hidden="1" outlineLevel="2">
      <c r="B4263" s="2889" t="s">
        <v>1652</v>
      </c>
      <c r="C4263" s="2889" t="s">
        <v>1551</v>
      </c>
      <c r="D4263" s="2889" t="s">
        <v>1106</v>
      </c>
      <c r="E4263" s="2889" t="s">
        <v>1426</v>
      </c>
      <c r="F4263" s="3040"/>
      <c r="G4263" s="2890">
        <v>21.440033842338725</v>
      </c>
    </row>
    <row r="4264" spans="2:7" ht="15" hidden="1" outlineLevel="2">
      <c r="B4264" s="2889" t="s">
        <v>1653</v>
      </c>
      <c r="C4264" s="2889" t="s">
        <v>1551</v>
      </c>
      <c r="D4264" s="2889" t="s">
        <v>1106</v>
      </c>
      <c r="E4264" s="2889" t="s">
        <v>1426</v>
      </c>
      <c r="F4264" s="3040"/>
      <c r="G4264" s="2890">
        <v>390.93129382164426</v>
      </c>
    </row>
    <row r="4265" spans="2:7" ht="15" hidden="1" outlineLevel="2">
      <c r="B4265" s="2889" t="s">
        <v>1407</v>
      </c>
      <c r="C4265" s="2889" t="s">
        <v>1552</v>
      </c>
      <c r="D4265" s="2889" t="s">
        <v>1106</v>
      </c>
      <c r="E4265" s="2889" t="s">
        <v>1426</v>
      </c>
      <c r="F4265" s="2891"/>
      <c r="G4265" s="2890">
        <v>964.16756321826358</v>
      </c>
    </row>
    <row r="4266" spans="2:7" ht="15" hidden="1" outlineLevel="2">
      <c r="B4266" s="2889" t="s">
        <v>1631</v>
      </c>
      <c r="C4266" s="2889" t="s">
        <v>1552</v>
      </c>
      <c r="D4266" s="2889" t="s">
        <v>1106</v>
      </c>
      <c r="E4266" s="2889" t="s">
        <v>1426</v>
      </c>
      <c r="F4266" s="2890">
        <v>0.11340818890118315</v>
      </c>
      <c r="G4266" s="2890">
        <v>4085.373719001861</v>
      </c>
    </row>
    <row r="4267" spans="2:7" ht="15" hidden="1" outlineLevel="2">
      <c r="B4267" s="2889" t="s">
        <v>1632</v>
      </c>
      <c r="C4267" s="2889" t="s">
        <v>1552</v>
      </c>
      <c r="D4267" s="2889" t="s">
        <v>1106</v>
      </c>
      <c r="E4267" s="2889" t="s">
        <v>1426</v>
      </c>
      <c r="F4267" s="3040"/>
      <c r="G4267" s="2890">
        <v>7476.561428363455</v>
      </c>
    </row>
    <row r="4268" spans="2:7" ht="15" hidden="1" outlineLevel="2">
      <c r="B4268" s="2889" t="s">
        <v>1633</v>
      </c>
      <c r="C4268" s="2889" t="s">
        <v>1552</v>
      </c>
      <c r="D4268" s="2889" t="s">
        <v>1106</v>
      </c>
      <c r="E4268" s="2889" t="s">
        <v>1426</v>
      </c>
      <c r="F4268" s="3040"/>
      <c r="G4268" s="2890">
        <v>200.06041773682296</v>
      </c>
    </row>
    <row r="4269" spans="2:7" ht="15" hidden="1" outlineLevel="2">
      <c r="B4269" s="2889" t="s">
        <v>1634</v>
      </c>
      <c r="C4269" s="2889" t="s">
        <v>1552</v>
      </c>
      <c r="D4269" s="2889" t="s">
        <v>1106</v>
      </c>
      <c r="E4269" s="2889" t="s">
        <v>1426</v>
      </c>
      <c r="F4269" s="3040"/>
      <c r="G4269" s="2890">
        <v>484.7279720429778</v>
      </c>
    </row>
    <row r="4270" spans="2:7" ht="15" hidden="1" outlineLevel="2">
      <c r="B4270" s="2889" t="s">
        <v>1635</v>
      </c>
      <c r="C4270" s="2889" t="s">
        <v>1552</v>
      </c>
      <c r="D4270" s="2889" t="s">
        <v>1106</v>
      </c>
      <c r="E4270" s="2889" t="s">
        <v>1426</v>
      </c>
      <c r="F4270" s="3040"/>
      <c r="G4270" s="2890">
        <v>1042.0181119277756</v>
      </c>
    </row>
    <row r="4271" spans="2:7" ht="15" hidden="1" outlineLevel="2">
      <c r="B4271" s="2889" t="s">
        <v>1636</v>
      </c>
      <c r="C4271" s="2889" t="s">
        <v>1552</v>
      </c>
      <c r="D4271" s="2889" t="s">
        <v>1106</v>
      </c>
      <c r="E4271" s="2889" t="s">
        <v>1426</v>
      </c>
      <c r="F4271" s="3040"/>
      <c r="G4271" s="2890">
        <v>950.36023081743861</v>
      </c>
    </row>
    <row r="4272" spans="2:7" ht="15" hidden="1" outlineLevel="2">
      <c r="B4272" s="2889" t="s">
        <v>1637</v>
      </c>
      <c r="C4272" s="2889" t="s">
        <v>1552</v>
      </c>
      <c r="D4272" s="2889" t="s">
        <v>1106</v>
      </c>
      <c r="E4272" s="2889" t="s">
        <v>1426</v>
      </c>
      <c r="F4272" s="3040"/>
      <c r="G4272" s="2890">
        <v>330.34935218717442</v>
      </c>
    </row>
    <row r="4273" spans="2:7" ht="15" hidden="1" outlineLevel="2">
      <c r="B4273" s="2889" t="s">
        <v>1638</v>
      </c>
      <c r="C4273" s="2889" t="s">
        <v>1552</v>
      </c>
      <c r="D4273" s="2889" t="s">
        <v>1106</v>
      </c>
      <c r="E4273" s="2889" t="s">
        <v>1426</v>
      </c>
      <c r="F4273" s="3040"/>
      <c r="G4273" s="2890">
        <v>677.29722689060475</v>
      </c>
    </row>
    <row r="4274" spans="2:7" ht="15" hidden="1" outlineLevel="2">
      <c r="B4274" s="2889" t="s">
        <v>1639</v>
      </c>
      <c r="C4274" s="2889" t="s">
        <v>1552</v>
      </c>
      <c r="D4274" s="2889" t="s">
        <v>1106</v>
      </c>
      <c r="E4274" s="2889" t="s">
        <v>1426</v>
      </c>
      <c r="F4274" s="3040"/>
      <c r="G4274" s="2890">
        <v>2521.4658784254534</v>
      </c>
    </row>
    <row r="4275" spans="2:7" ht="15" hidden="1" outlineLevel="2">
      <c r="B4275" s="2889" t="s">
        <v>1640</v>
      </c>
      <c r="C4275" s="2889" t="s">
        <v>1552</v>
      </c>
      <c r="D4275" s="2889" t="s">
        <v>1106</v>
      </c>
      <c r="E4275" s="2889" t="s">
        <v>1426</v>
      </c>
      <c r="F4275" s="3040"/>
      <c r="G4275" s="2890">
        <v>247.7989172770869</v>
      </c>
    </row>
    <row r="4276" spans="2:7" ht="15" hidden="1" outlineLevel="2">
      <c r="B4276" s="2889" t="s">
        <v>1641</v>
      </c>
      <c r="C4276" s="2889" t="s">
        <v>1552</v>
      </c>
      <c r="D4276" s="2889" t="s">
        <v>1106</v>
      </c>
      <c r="E4276" s="2889" t="s">
        <v>1426</v>
      </c>
      <c r="F4276" s="3040"/>
      <c r="G4276" s="2890">
        <v>1682.7400805883935</v>
      </c>
    </row>
    <row r="4277" spans="2:7" ht="15" hidden="1" outlineLevel="2">
      <c r="B4277" s="2889" t="s">
        <v>1642</v>
      </c>
      <c r="C4277" s="2889" t="s">
        <v>1552</v>
      </c>
      <c r="D4277" s="2889" t="s">
        <v>1106</v>
      </c>
      <c r="E4277" s="2889" t="s">
        <v>1426</v>
      </c>
      <c r="F4277" s="3040"/>
      <c r="G4277" s="2890">
        <v>2285.4186549391093</v>
      </c>
    </row>
    <row r="4278" spans="2:7" ht="15" hidden="1" outlineLevel="2">
      <c r="B4278" s="2889" t="s">
        <v>1643</v>
      </c>
      <c r="C4278" s="2889" t="s">
        <v>1552</v>
      </c>
      <c r="D4278" s="2889" t="s">
        <v>1106</v>
      </c>
      <c r="E4278" s="2889" t="s">
        <v>1426</v>
      </c>
      <c r="F4278" s="3040"/>
      <c r="G4278" s="2890">
        <v>307.51919980269986</v>
      </c>
    </row>
    <row r="4279" spans="2:7" ht="15" hidden="1" outlineLevel="2">
      <c r="B4279" s="2889" t="s">
        <v>1644</v>
      </c>
      <c r="C4279" s="2889" t="s">
        <v>1552</v>
      </c>
      <c r="D4279" s="2889" t="s">
        <v>1106</v>
      </c>
      <c r="E4279" s="2889" t="s">
        <v>1426</v>
      </c>
      <c r="F4279" s="3040"/>
      <c r="G4279" s="2890">
        <v>4230.2041324484071</v>
      </c>
    </row>
    <row r="4280" spans="2:7" ht="15" hidden="1" outlineLevel="2">
      <c r="B4280" s="2889" t="s">
        <v>1645</v>
      </c>
      <c r="C4280" s="2889" t="s">
        <v>1552</v>
      </c>
      <c r="D4280" s="2889" t="s">
        <v>1106</v>
      </c>
      <c r="E4280" s="2889" t="s">
        <v>1426</v>
      </c>
      <c r="F4280" s="3040"/>
      <c r="G4280" s="2890">
        <v>3105.9309503026934</v>
      </c>
    </row>
    <row r="4281" spans="2:7" ht="15" hidden="1" outlineLevel="2">
      <c r="B4281" s="2889" t="s">
        <v>1646</v>
      </c>
      <c r="C4281" s="2889" t="s">
        <v>1552</v>
      </c>
      <c r="D4281" s="2889" t="s">
        <v>1106</v>
      </c>
      <c r="E4281" s="2889" t="s">
        <v>1426</v>
      </c>
      <c r="F4281" s="3040"/>
      <c r="G4281" s="2890">
        <v>254.40841713546894</v>
      </c>
    </row>
    <row r="4282" spans="2:7" ht="15" hidden="1" outlineLevel="2">
      <c r="B4282" s="2889" t="s">
        <v>1647</v>
      </c>
      <c r="C4282" s="2889" t="s">
        <v>1552</v>
      </c>
      <c r="D4282" s="2889" t="s">
        <v>1106</v>
      </c>
      <c r="E4282" s="2889" t="s">
        <v>1426</v>
      </c>
      <c r="F4282" s="3040"/>
      <c r="G4282" s="2890">
        <v>137.04581723302107</v>
      </c>
    </row>
    <row r="4283" spans="2:7" ht="15" hidden="1" outlineLevel="2">
      <c r="B4283" s="2889" t="s">
        <v>1648</v>
      </c>
      <c r="C4283" s="2889" t="s">
        <v>1552</v>
      </c>
      <c r="D4283" s="2889" t="s">
        <v>1106</v>
      </c>
      <c r="E4283" s="2889" t="s">
        <v>1426</v>
      </c>
      <c r="F4283" s="3040"/>
      <c r="G4283" s="2890">
        <v>93.273395419545835</v>
      </c>
    </row>
    <row r="4284" spans="2:7" ht="15" hidden="1" outlineLevel="2">
      <c r="B4284" s="2889" t="s">
        <v>1649</v>
      </c>
      <c r="C4284" s="2889" t="s">
        <v>1552</v>
      </c>
      <c r="D4284" s="2889" t="s">
        <v>1106</v>
      </c>
      <c r="E4284" s="2889" t="s">
        <v>1426</v>
      </c>
      <c r="F4284" s="3040"/>
      <c r="G4284" s="2890">
        <v>655.41089718192416</v>
      </c>
    </row>
    <row r="4285" spans="2:7" ht="15" hidden="1" outlineLevel="2">
      <c r="B4285" s="2889" t="s">
        <v>1650</v>
      </c>
      <c r="C4285" s="2889" t="s">
        <v>1552</v>
      </c>
      <c r="D4285" s="2889" t="s">
        <v>1106</v>
      </c>
      <c r="E4285" s="2889" t="s">
        <v>1426</v>
      </c>
      <c r="F4285" s="3040"/>
      <c r="G4285" s="2890">
        <v>2353.1347110182924</v>
      </c>
    </row>
    <row r="4286" spans="2:7" ht="15" hidden="1" outlineLevel="2">
      <c r="B4286" s="2889" t="s">
        <v>1651</v>
      </c>
      <c r="C4286" s="2889" t="s">
        <v>1552</v>
      </c>
      <c r="D4286" s="2889" t="s">
        <v>1106</v>
      </c>
      <c r="E4286" s="2889" t="s">
        <v>1426</v>
      </c>
      <c r="F4286" s="2891"/>
      <c r="G4286" s="2890">
        <v>1189.1987686792472</v>
      </c>
    </row>
    <row r="4287" spans="2:7" ht="15" hidden="1" outlineLevel="2">
      <c r="B4287" s="2889" t="s">
        <v>1652</v>
      </c>
      <c r="C4287" s="2889" t="s">
        <v>1552</v>
      </c>
      <c r="D4287" s="2889" t="s">
        <v>1106</v>
      </c>
      <c r="E4287" s="2889" t="s">
        <v>1426</v>
      </c>
      <c r="F4287" s="2891"/>
      <c r="G4287" s="2890">
        <v>311.10721438376669</v>
      </c>
    </row>
    <row r="4288" spans="2:7" ht="15" hidden="1" outlineLevel="2">
      <c r="B4288" s="2889" t="s">
        <v>1653</v>
      </c>
      <c r="C4288" s="2889" t="s">
        <v>1552</v>
      </c>
      <c r="D4288" s="2889" t="s">
        <v>1106</v>
      </c>
      <c r="E4288" s="2889" t="s">
        <v>1426</v>
      </c>
      <c r="F4288" s="2891"/>
      <c r="G4288" s="2890">
        <v>5672.6332235832742</v>
      </c>
    </row>
    <row r="4289" spans="2:7" ht="15" hidden="1" outlineLevel="2">
      <c r="B4289" s="2889" t="s">
        <v>1407</v>
      </c>
      <c r="C4289" s="2889" t="s">
        <v>1553</v>
      </c>
      <c r="D4289" s="2889" t="s">
        <v>1106</v>
      </c>
      <c r="E4289" s="2889" t="s">
        <v>1426</v>
      </c>
      <c r="F4289" s="2891"/>
      <c r="G4289" s="2890">
        <v>420.82737188225394</v>
      </c>
    </row>
    <row r="4290" spans="2:7" ht="15" hidden="1" outlineLevel="2">
      <c r="B4290" s="2889" t="s">
        <v>1631</v>
      </c>
      <c r="C4290" s="2889" t="s">
        <v>1553</v>
      </c>
      <c r="D4290" s="2889" t="s">
        <v>1106</v>
      </c>
      <c r="E4290" s="2889" t="s">
        <v>1426</v>
      </c>
      <c r="F4290" s="3039">
        <v>6.0026738435033582E-2</v>
      </c>
      <c r="G4290" s="2890">
        <v>1783.1313157881639</v>
      </c>
    </row>
    <row r="4291" spans="2:7" ht="15" hidden="1" outlineLevel="2">
      <c r="B4291" s="2889" t="s">
        <v>1632</v>
      </c>
      <c r="C4291" s="2889" t="s">
        <v>1553</v>
      </c>
      <c r="D4291" s="2889" t="s">
        <v>1106</v>
      </c>
      <c r="E4291" s="2889" t="s">
        <v>1426</v>
      </c>
      <c r="F4291" s="2891"/>
      <c r="G4291" s="2890">
        <v>3263.2725568514738</v>
      </c>
    </row>
    <row r="4292" spans="2:7" ht="15" hidden="1" outlineLevel="2">
      <c r="B4292" s="2889" t="s">
        <v>1633</v>
      </c>
      <c r="C4292" s="2889" t="s">
        <v>1553</v>
      </c>
      <c r="D4292" s="2889" t="s">
        <v>1106</v>
      </c>
      <c r="E4292" s="2889" t="s">
        <v>1426</v>
      </c>
      <c r="F4292" s="3040"/>
      <c r="G4292" s="2890">
        <v>87.319766867505265</v>
      </c>
    </row>
    <row r="4293" spans="2:7" ht="15" hidden="1" outlineLevel="2">
      <c r="B4293" s="2889" t="s">
        <v>1634</v>
      </c>
      <c r="C4293" s="2889" t="s">
        <v>1553</v>
      </c>
      <c r="D4293" s="2889" t="s">
        <v>1106</v>
      </c>
      <c r="E4293" s="2889" t="s">
        <v>1426</v>
      </c>
      <c r="F4293" s="3040"/>
      <c r="G4293" s="2890">
        <v>211.56768794948914</v>
      </c>
    </row>
    <row r="4294" spans="2:7" ht="15" hidden="1" outlineLevel="2">
      <c r="B4294" s="2889" t="s">
        <v>1635</v>
      </c>
      <c r="C4294" s="2889" t="s">
        <v>1553</v>
      </c>
      <c r="D4294" s="2889" t="s">
        <v>1106</v>
      </c>
      <c r="E4294" s="2889" t="s">
        <v>1426</v>
      </c>
      <c r="F4294" s="3040"/>
      <c r="G4294" s="2890">
        <v>454.80646969246669</v>
      </c>
    </row>
    <row r="4295" spans="2:7" ht="15" hidden="1" outlineLevel="2">
      <c r="B4295" s="2889" t="s">
        <v>1636</v>
      </c>
      <c r="C4295" s="2889" t="s">
        <v>1553</v>
      </c>
      <c r="D4295" s="2889" t="s">
        <v>1106</v>
      </c>
      <c r="E4295" s="2889" t="s">
        <v>1426</v>
      </c>
      <c r="F4295" s="3040"/>
      <c r="G4295" s="2890">
        <v>414.80105583686117</v>
      </c>
    </row>
    <row r="4296" spans="2:7" ht="15" hidden="1" outlineLevel="2">
      <c r="B4296" s="2889" t="s">
        <v>1637</v>
      </c>
      <c r="C4296" s="2889" t="s">
        <v>1553</v>
      </c>
      <c r="D4296" s="2889" t="s">
        <v>1106</v>
      </c>
      <c r="E4296" s="2889" t="s">
        <v>1426</v>
      </c>
      <c r="F4296" s="3040"/>
      <c r="G4296" s="2890">
        <v>144.18660601624151</v>
      </c>
    </row>
    <row r="4297" spans="2:7" ht="15" hidden="1" outlineLevel="2">
      <c r="B4297" s="2889" t="s">
        <v>1638</v>
      </c>
      <c r="C4297" s="2889" t="s">
        <v>1553</v>
      </c>
      <c r="D4297" s="2889" t="s">
        <v>1106</v>
      </c>
      <c r="E4297" s="2889" t="s">
        <v>1426</v>
      </c>
      <c r="F4297" s="3040"/>
      <c r="G4297" s="2890">
        <v>295.61780605150955</v>
      </c>
    </row>
    <row r="4298" spans="2:7" ht="15" hidden="1" outlineLevel="2">
      <c r="B4298" s="2889" t="s">
        <v>1639</v>
      </c>
      <c r="C4298" s="2889" t="s">
        <v>1553</v>
      </c>
      <c r="D4298" s="2889" t="s">
        <v>1106</v>
      </c>
      <c r="E4298" s="2889" t="s">
        <v>1426</v>
      </c>
      <c r="F4298" s="3040"/>
      <c r="G4298" s="2890">
        <v>1100.5367875009249</v>
      </c>
    </row>
    <row r="4299" spans="2:7" ht="15" hidden="1" outlineLevel="2">
      <c r="B4299" s="2889" t="s">
        <v>1640</v>
      </c>
      <c r="C4299" s="2889" t="s">
        <v>1553</v>
      </c>
      <c r="D4299" s="2889" t="s">
        <v>1106</v>
      </c>
      <c r="E4299" s="2889" t="s">
        <v>1426</v>
      </c>
      <c r="F4299" s="3040"/>
      <c r="G4299" s="2890">
        <v>108.15597380165377</v>
      </c>
    </row>
    <row r="4300" spans="2:7" ht="15" hidden="1" outlineLevel="2">
      <c r="B4300" s="2889" t="s">
        <v>1641</v>
      </c>
      <c r="C4300" s="2889" t="s">
        <v>1553</v>
      </c>
      <c r="D4300" s="2889" t="s">
        <v>1106</v>
      </c>
      <c r="E4300" s="2889" t="s">
        <v>1426</v>
      </c>
      <c r="F4300" s="3040"/>
      <c r="G4300" s="2890">
        <v>734.4606577538533</v>
      </c>
    </row>
    <row r="4301" spans="2:7" ht="15" hidden="1" outlineLevel="2">
      <c r="B4301" s="2889" t="s">
        <v>1642</v>
      </c>
      <c r="C4301" s="2889" t="s">
        <v>1553</v>
      </c>
      <c r="D4301" s="2889" t="s">
        <v>1106</v>
      </c>
      <c r="E4301" s="2889" t="s">
        <v>1426</v>
      </c>
      <c r="F4301" s="3040"/>
      <c r="G4301" s="2890">
        <v>997.50995852411472</v>
      </c>
    </row>
    <row r="4302" spans="2:7" ht="15" hidden="1" outlineLevel="2">
      <c r="B4302" s="2889" t="s">
        <v>1643</v>
      </c>
      <c r="C4302" s="2889" t="s">
        <v>1553</v>
      </c>
      <c r="D4302" s="2889" t="s">
        <v>1106</v>
      </c>
      <c r="E4302" s="2889" t="s">
        <v>1426</v>
      </c>
      <c r="F4302" s="3040"/>
      <c r="G4302" s="2890">
        <v>134.22194837111485</v>
      </c>
    </row>
    <row r="4303" spans="2:7" ht="15" hidden="1" outlineLevel="2">
      <c r="B4303" s="2889" t="s">
        <v>1644</v>
      </c>
      <c r="C4303" s="2889" t="s">
        <v>1553</v>
      </c>
      <c r="D4303" s="2889" t="s">
        <v>1106</v>
      </c>
      <c r="E4303" s="2889" t="s">
        <v>1426</v>
      </c>
      <c r="F4303" s="3040"/>
      <c r="G4303" s="2890">
        <v>1846.3459179634647</v>
      </c>
    </row>
    <row r="4304" spans="2:7" ht="15" hidden="1" outlineLevel="2">
      <c r="B4304" s="2889" t="s">
        <v>1645</v>
      </c>
      <c r="C4304" s="2889" t="s">
        <v>1553</v>
      </c>
      <c r="D4304" s="2889" t="s">
        <v>1106</v>
      </c>
      <c r="E4304" s="2889" t="s">
        <v>1426</v>
      </c>
      <c r="F4304" s="3040"/>
      <c r="G4304" s="2890">
        <v>1355.6365313813378</v>
      </c>
    </row>
    <row r="4305" spans="2:7" ht="15" hidden="1" outlineLevel="2">
      <c r="B4305" s="2889" t="s">
        <v>1646</v>
      </c>
      <c r="C4305" s="2889" t="s">
        <v>1553</v>
      </c>
      <c r="D4305" s="2889" t="s">
        <v>1106</v>
      </c>
      <c r="E4305" s="2889" t="s">
        <v>1426</v>
      </c>
      <c r="F4305" s="3040"/>
      <c r="G4305" s="2890">
        <v>111.04100873450035</v>
      </c>
    </row>
    <row r="4306" spans="2:7" ht="15" hidden="1" outlineLevel="2">
      <c r="B4306" s="2889" t="s">
        <v>1647</v>
      </c>
      <c r="C4306" s="2889" t="s">
        <v>1553</v>
      </c>
      <c r="D4306" s="2889" t="s">
        <v>1106</v>
      </c>
      <c r="E4306" s="2889" t="s">
        <v>1426</v>
      </c>
      <c r="F4306" s="3040"/>
      <c r="G4306" s="2890">
        <v>59.815969027499854</v>
      </c>
    </row>
    <row r="4307" spans="2:7" ht="15" hidden="1" outlineLevel="2">
      <c r="B4307" s="2889" t="s">
        <v>1648</v>
      </c>
      <c r="C4307" s="2889" t="s">
        <v>1553</v>
      </c>
      <c r="D4307" s="2889" t="s">
        <v>1106</v>
      </c>
      <c r="E4307" s="2889" t="s">
        <v>1426</v>
      </c>
      <c r="F4307" s="3040"/>
      <c r="G4307" s="2890">
        <v>40.710763955247138</v>
      </c>
    </row>
    <row r="4308" spans="2:7" ht="15" hidden="1" outlineLevel="2">
      <c r="B4308" s="2889" t="s">
        <v>1649</v>
      </c>
      <c r="C4308" s="2889" t="s">
        <v>1553</v>
      </c>
      <c r="D4308" s="2889" t="s">
        <v>1106</v>
      </c>
      <c r="E4308" s="2889" t="s">
        <v>1426</v>
      </c>
      <c r="F4308" s="3040"/>
      <c r="G4308" s="2890">
        <v>286.06523383300112</v>
      </c>
    </row>
    <row r="4309" spans="2:7" ht="15" hidden="1" outlineLevel="2">
      <c r="B4309" s="2889" t="s">
        <v>1650</v>
      </c>
      <c r="C4309" s="2889" t="s">
        <v>1553</v>
      </c>
      <c r="D4309" s="2889" t="s">
        <v>1106</v>
      </c>
      <c r="E4309" s="2889" t="s">
        <v>1426</v>
      </c>
      <c r="F4309" s="3040"/>
      <c r="G4309" s="2890">
        <v>1027.0652716025193</v>
      </c>
    </row>
    <row r="4310" spans="2:7" ht="15" hidden="1" outlineLevel="2">
      <c r="B4310" s="2889" t="s">
        <v>1651</v>
      </c>
      <c r="C4310" s="2889" t="s">
        <v>1553</v>
      </c>
      <c r="D4310" s="2889" t="s">
        <v>1106</v>
      </c>
      <c r="E4310" s="2889" t="s">
        <v>1426</v>
      </c>
      <c r="F4310" s="3040"/>
      <c r="G4310" s="2890">
        <v>519.04622186925076</v>
      </c>
    </row>
    <row r="4311" spans="2:7" ht="15" hidden="1" outlineLevel="2">
      <c r="B4311" s="2889" t="s">
        <v>1652</v>
      </c>
      <c r="C4311" s="2889" t="s">
        <v>1553</v>
      </c>
      <c r="D4311" s="2889" t="s">
        <v>1106</v>
      </c>
      <c r="E4311" s="2889" t="s">
        <v>1426</v>
      </c>
      <c r="F4311" s="3040"/>
      <c r="G4311" s="2890">
        <v>135.7880429634215</v>
      </c>
    </row>
    <row r="4312" spans="2:7" ht="15" hidden="1" outlineLevel="2">
      <c r="B4312" s="2889" t="s">
        <v>1653</v>
      </c>
      <c r="C4312" s="2889" t="s">
        <v>1553</v>
      </c>
      <c r="D4312" s="2889" t="s">
        <v>1106</v>
      </c>
      <c r="E4312" s="2889" t="s">
        <v>1426</v>
      </c>
      <c r="F4312" s="3040"/>
      <c r="G4312" s="2890">
        <v>2475.9197089843001</v>
      </c>
    </row>
    <row r="4313" spans="2:7" ht="15" hidden="1" outlineLevel="2">
      <c r="B4313" s="2889" t="s">
        <v>1407</v>
      </c>
      <c r="C4313" s="2889" t="s">
        <v>1554</v>
      </c>
      <c r="D4313" s="2889" t="s">
        <v>1106</v>
      </c>
      <c r="E4313" s="2889" t="s">
        <v>1426</v>
      </c>
      <c r="F4313" s="3040"/>
      <c r="G4313" s="2890">
        <v>427.13535143347184</v>
      </c>
    </row>
    <row r="4314" spans="2:7" ht="15" hidden="1" outlineLevel="2">
      <c r="B4314" s="2889" t="s">
        <v>1631</v>
      </c>
      <c r="C4314" s="2889" t="s">
        <v>1554</v>
      </c>
      <c r="D4314" s="2889" t="s">
        <v>1106</v>
      </c>
      <c r="E4314" s="2889" t="s">
        <v>1426</v>
      </c>
      <c r="F4314" s="2890">
        <v>5.9286149430456549E-2</v>
      </c>
      <c r="G4314" s="2890">
        <v>1809.8586097159537</v>
      </c>
    </row>
    <row r="4315" spans="2:7" ht="15" hidden="1" outlineLevel="2">
      <c r="B4315" s="2889" t="s">
        <v>1632</v>
      </c>
      <c r="C4315" s="2889" t="s">
        <v>1554</v>
      </c>
      <c r="D4315" s="2889" t="s">
        <v>1106</v>
      </c>
      <c r="E4315" s="2889" t="s">
        <v>1426</v>
      </c>
      <c r="F4315" s="3040"/>
      <c r="G4315" s="2890">
        <v>3312.1855242036368</v>
      </c>
    </row>
    <row r="4316" spans="2:7" ht="15" hidden="1" outlineLevel="2">
      <c r="B4316" s="2889" t="s">
        <v>1633</v>
      </c>
      <c r="C4316" s="2889" t="s">
        <v>1554</v>
      </c>
      <c r="D4316" s="2889" t="s">
        <v>1106</v>
      </c>
      <c r="E4316" s="2889" t="s">
        <v>1426</v>
      </c>
      <c r="F4316" s="3040"/>
      <c r="G4316" s="2890">
        <v>88.628604995621345</v>
      </c>
    </row>
    <row r="4317" spans="2:7" ht="15" hidden="1" outlineLevel="2">
      <c r="B4317" s="2889" t="s">
        <v>1634</v>
      </c>
      <c r="C4317" s="2889" t="s">
        <v>1554</v>
      </c>
      <c r="D4317" s="2889" t="s">
        <v>1106</v>
      </c>
      <c r="E4317" s="2889" t="s">
        <v>1426</v>
      </c>
      <c r="F4317" s="3040"/>
      <c r="G4317" s="2890">
        <v>214.73893747446098</v>
      </c>
    </row>
    <row r="4318" spans="2:7" ht="15" hidden="1" outlineLevel="2">
      <c r="B4318" s="2889" t="s">
        <v>1635</v>
      </c>
      <c r="C4318" s="2889" t="s">
        <v>1554</v>
      </c>
      <c r="D4318" s="2889" t="s">
        <v>1106</v>
      </c>
      <c r="E4318" s="2889" t="s">
        <v>1426</v>
      </c>
      <c r="F4318" s="3040"/>
      <c r="G4318" s="2890">
        <v>461.62362739134016</v>
      </c>
    </row>
    <row r="4319" spans="2:7" ht="15" hidden="1" outlineLevel="2">
      <c r="B4319" s="2889" t="s">
        <v>1636</v>
      </c>
      <c r="C4319" s="2889" t="s">
        <v>1554</v>
      </c>
      <c r="D4319" s="2889" t="s">
        <v>1106</v>
      </c>
      <c r="E4319" s="2889" t="s">
        <v>1426</v>
      </c>
      <c r="F4319" s="3040"/>
      <c r="G4319" s="2890">
        <v>421.01852841800468</v>
      </c>
    </row>
    <row r="4320" spans="2:7" ht="15" hidden="1" outlineLevel="2">
      <c r="B4320" s="2889" t="s">
        <v>1637</v>
      </c>
      <c r="C4320" s="2889" t="s">
        <v>1554</v>
      </c>
      <c r="D4320" s="2889" t="s">
        <v>1106</v>
      </c>
      <c r="E4320" s="2889" t="s">
        <v>1426</v>
      </c>
      <c r="F4320" s="3040"/>
      <c r="G4320" s="2890">
        <v>146.34783390126188</v>
      </c>
    </row>
    <row r="4321" spans="2:7" ht="15" hidden="1" outlineLevel="2">
      <c r="B4321" s="2889" t="s">
        <v>1638</v>
      </c>
      <c r="C4321" s="2889" t="s">
        <v>1554</v>
      </c>
      <c r="D4321" s="2889" t="s">
        <v>1106</v>
      </c>
      <c r="E4321" s="2889" t="s">
        <v>1426</v>
      </c>
      <c r="F4321" s="3040"/>
      <c r="G4321" s="2890">
        <v>300.04889109156073</v>
      </c>
    </row>
    <row r="4322" spans="2:7" ht="15" hidden="1" outlineLevel="2">
      <c r="B4322" s="2889" t="s">
        <v>1639</v>
      </c>
      <c r="C4322" s="2889" t="s">
        <v>1554</v>
      </c>
      <c r="D4322" s="2889" t="s">
        <v>1106</v>
      </c>
      <c r="E4322" s="2889" t="s">
        <v>1426</v>
      </c>
      <c r="F4322" s="3040"/>
      <c r="G4322" s="2890">
        <v>1117.0329701713424</v>
      </c>
    </row>
    <row r="4323" spans="2:7" ht="15" hidden="1" outlineLevel="2">
      <c r="B4323" s="2889" t="s">
        <v>1640</v>
      </c>
      <c r="C4323" s="2889" t="s">
        <v>1554</v>
      </c>
      <c r="D4323" s="2889" t="s">
        <v>1106</v>
      </c>
      <c r="E4323" s="2889" t="s">
        <v>1426</v>
      </c>
      <c r="F4323" s="3040"/>
      <c r="G4323" s="2890">
        <v>109.77711108783986</v>
      </c>
    </row>
    <row r="4324" spans="2:7" ht="15" hidden="1" outlineLevel="2">
      <c r="B4324" s="2889" t="s">
        <v>1641</v>
      </c>
      <c r="C4324" s="2889" t="s">
        <v>1554</v>
      </c>
      <c r="D4324" s="2889" t="s">
        <v>1106</v>
      </c>
      <c r="E4324" s="2889" t="s">
        <v>1426</v>
      </c>
      <c r="F4324" s="3040"/>
      <c r="G4324" s="2890">
        <v>745.46927106436704</v>
      </c>
    </row>
    <row r="4325" spans="2:7" ht="15" hidden="1" outlineLevel="2">
      <c r="B4325" s="2889" t="s">
        <v>1642</v>
      </c>
      <c r="C4325" s="2889" t="s">
        <v>1554</v>
      </c>
      <c r="D4325" s="2889" t="s">
        <v>1106</v>
      </c>
      <c r="E4325" s="2889" t="s">
        <v>1426</v>
      </c>
      <c r="F4325" s="3040"/>
      <c r="G4325" s="2890">
        <v>1012.4617727242946</v>
      </c>
    </row>
    <row r="4326" spans="2:7" ht="15" hidden="1" outlineLevel="2">
      <c r="B4326" s="2889" t="s">
        <v>1643</v>
      </c>
      <c r="C4326" s="2889" t="s">
        <v>1554</v>
      </c>
      <c r="D4326" s="2889" t="s">
        <v>1106</v>
      </c>
      <c r="E4326" s="2889" t="s">
        <v>1426</v>
      </c>
      <c r="F4326" s="3040"/>
      <c r="G4326" s="2890">
        <v>136.23380810522033</v>
      </c>
    </row>
    <row r="4327" spans="2:7" ht="15" hidden="1" outlineLevel="2">
      <c r="B4327" s="2889" t="s">
        <v>1644</v>
      </c>
      <c r="C4327" s="2889" t="s">
        <v>1554</v>
      </c>
      <c r="D4327" s="2889" t="s">
        <v>1106</v>
      </c>
      <c r="E4327" s="2889" t="s">
        <v>1426</v>
      </c>
      <c r="F4327" s="3040"/>
      <c r="G4327" s="2890">
        <v>1874.0200226123509</v>
      </c>
    </row>
    <row r="4328" spans="2:7" ht="15" hidden="1" outlineLevel="2">
      <c r="B4328" s="2889" t="s">
        <v>1645</v>
      </c>
      <c r="C4328" s="2889" t="s">
        <v>1554</v>
      </c>
      <c r="D4328" s="2889" t="s">
        <v>1106</v>
      </c>
      <c r="E4328" s="2889" t="s">
        <v>1426</v>
      </c>
      <c r="F4328" s="3040"/>
      <c r="G4328" s="2890">
        <v>1375.9563533279991</v>
      </c>
    </row>
    <row r="4329" spans="2:7" ht="15" hidden="1" outlineLevel="2">
      <c r="B4329" s="2889" t="s">
        <v>1646</v>
      </c>
      <c r="C4329" s="2889" t="s">
        <v>1554</v>
      </c>
      <c r="D4329" s="2889" t="s">
        <v>1106</v>
      </c>
      <c r="E4329" s="2889" t="s">
        <v>1426</v>
      </c>
      <c r="F4329" s="3040"/>
      <c r="G4329" s="2890">
        <v>112.70538373622929</v>
      </c>
    </row>
    <row r="4330" spans="2:7" ht="15" hidden="1" outlineLevel="2">
      <c r="B4330" s="2889" t="s">
        <v>1647</v>
      </c>
      <c r="C4330" s="2889" t="s">
        <v>1554</v>
      </c>
      <c r="D4330" s="2889" t="s">
        <v>1106</v>
      </c>
      <c r="E4330" s="2889" t="s">
        <v>1426</v>
      </c>
      <c r="F4330" s="3040"/>
      <c r="G4330" s="2890">
        <v>60.712559935906654</v>
      </c>
    </row>
    <row r="4331" spans="2:7" ht="15" hidden="1" outlineLevel="2">
      <c r="B4331" s="2889" t="s">
        <v>1648</v>
      </c>
      <c r="C4331" s="2889" t="s">
        <v>1554</v>
      </c>
      <c r="D4331" s="2889" t="s">
        <v>1106</v>
      </c>
      <c r="E4331" s="2889" t="s">
        <v>1426</v>
      </c>
      <c r="F4331" s="3040"/>
      <c r="G4331" s="2890">
        <v>41.320967911219398</v>
      </c>
    </row>
    <row r="4332" spans="2:7" ht="15" hidden="1" outlineLevel="2">
      <c r="B4332" s="2889" t="s">
        <v>1649</v>
      </c>
      <c r="C4332" s="2889" t="s">
        <v>1554</v>
      </c>
      <c r="D4332" s="2889" t="s">
        <v>1106</v>
      </c>
      <c r="E4332" s="2889" t="s">
        <v>1426</v>
      </c>
      <c r="F4332" s="2891"/>
      <c r="G4332" s="2890">
        <v>290.3529869570167</v>
      </c>
    </row>
    <row r="4333" spans="2:7" ht="15" hidden="1" outlineLevel="2">
      <c r="B4333" s="2889" t="s">
        <v>1650</v>
      </c>
      <c r="C4333" s="2889" t="s">
        <v>1554</v>
      </c>
      <c r="D4333" s="2889" t="s">
        <v>1106</v>
      </c>
      <c r="E4333" s="2889" t="s">
        <v>1426</v>
      </c>
      <c r="F4333" s="2891"/>
      <c r="G4333" s="2890">
        <v>1042.4598777585547</v>
      </c>
    </row>
    <row r="4334" spans="2:7" ht="15" hidden="1" outlineLevel="2">
      <c r="B4334" s="2889" t="s">
        <v>1651</v>
      </c>
      <c r="C4334" s="2889" t="s">
        <v>1554</v>
      </c>
      <c r="D4334" s="2889" t="s">
        <v>1106</v>
      </c>
      <c r="E4334" s="2889" t="s">
        <v>1426</v>
      </c>
      <c r="F4334" s="2891"/>
      <c r="G4334" s="2890">
        <v>526.826010541963</v>
      </c>
    </row>
    <row r="4335" spans="2:7" ht="15" hidden="1" outlineLevel="2">
      <c r="B4335" s="2889" t="s">
        <v>1652</v>
      </c>
      <c r="C4335" s="2889" t="s">
        <v>1554</v>
      </c>
      <c r="D4335" s="2889" t="s">
        <v>1106</v>
      </c>
      <c r="E4335" s="2889" t="s">
        <v>1426</v>
      </c>
      <c r="F4335" s="2891"/>
      <c r="G4335" s="2890">
        <v>137.82335472325181</v>
      </c>
    </row>
    <row r="4336" spans="2:7" ht="15" hidden="1" outlineLevel="2">
      <c r="B4336" s="2889" t="s">
        <v>1653</v>
      </c>
      <c r="C4336" s="2889" t="s">
        <v>1554</v>
      </c>
      <c r="D4336" s="2889" t="s">
        <v>1106</v>
      </c>
      <c r="E4336" s="2889" t="s">
        <v>1426</v>
      </c>
      <c r="F4336" s="2891"/>
      <c r="G4336" s="2890">
        <v>2513.0314417628451</v>
      </c>
    </row>
    <row r="4337" spans="2:7" ht="15" hidden="1" outlineLevel="2">
      <c r="B4337" s="2889" t="s">
        <v>1407</v>
      </c>
      <c r="C4337" s="2889" t="s">
        <v>1555</v>
      </c>
      <c r="D4337" s="2889" t="s">
        <v>1106</v>
      </c>
      <c r="E4337" s="2889" t="s">
        <v>1426</v>
      </c>
      <c r="F4337" s="2891"/>
      <c r="G4337" s="2890">
        <v>16.420604497432766</v>
      </c>
    </row>
    <row r="4338" spans="2:7" ht="15" hidden="1" outlineLevel="2">
      <c r="B4338" s="2889" t="s">
        <v>1631</v>
      </c>
      <c r="C4338" s="2889" t="s">
        <v>1555</v>
      </c>
      <c r="D4338" s="2889" t="s">
        <v>1106</v>
      </c>
      <c r="E4338" s="2889" t="s">
        <v>1426</v>
      </c>
      <c r="F4338" s="3039">
        <v>2.9190354804197243E-3</v>
      </c>
      <c r="G4338" s="2890">
        <v>69.577419224102485</v>
      </c>
    </row>
    <row r="4339" spans="2:7" ht="15" hidden="1" outlineLevel="2">
      <c r="B4339" s="2889" t="s">
        <v>1632</v>
      </c>
      <c r="C4339" s="2889" t="s">
        <v>1555</v>
      </c>
      <c r="D4339" s="2889" t="s">
        <v>1106</v>
      </c>
      <c r="E4339" s="2889" t="s">
        <v>1426</v>
      </c>
      <c r="F4339" s="2891"/>
      <c r="G4339" s="2890">
        <v>127.33219968834945</v>
      </c>
    </row>
    <row r="4340" spans="2:7" ht="15" hidden="1" outlineLevel="2">
      <c r="B4340" s="2889" t="s">
        <v>1633</v>
      </c>
      <c r="C4340" s="2889" t="s">
        <v>1555</v>
      </c>
      <c r="D4340" s="2889" t="s">
        <v>1106</v>
      </c>
      <c r="E4340" s="2889" t="s">
        <v>1426</v>
      </c>
      <c r="F4340" s="2891"/>
      <c r="G4340" s="2890">
        <v>3.4071999139075526</v>
      </c>
    </row>
    <row r="4341" spans="2:7" ht="15" hidden="1" outlineLevel="2">
      <c r="B4341" s="2889" t="s">
        <v>1634</v>
      </c>
      <c r="C4341" s="2889" t="s">
        <v>1555</v>
      </c>
      <c r="D4341" s="2889" t="s">
        <v>1106</v>
      </c>
      <c r="E4341" s="2889" t="s">
        <v>1426</v>
      </c>
      <c r="F4341" s="2891"/>
      <c r="G4341" s="2890">
        <v>8.2553299560391729</v>
      </c>
    </row>
    <row r="4342" spans="2:7" ht="15" hidden="1" outlineLevel="2">
      <c r="B4342" s="2889" t="s">
        <v>1635</v>
      </c>
      <c r="C4342" s="2889" t="s">
        <v>1555</v>
      </c>
      <c r="D4342" s="2889" t="s">
        <v>1106</v>
      </c>
      <c r="E4342" s="2889" t="s">
        <v>1426</v>
      </c>
      <c r="F4342" s="2891"/>
      <c r="G4342" s="2890">
        <v>17.746459918862445</v>
      </c>
    </row>
    <row r="4343" spans="2:7" ht="15" hidden="1" outlineLevel="2">
      <c r="B4343" s="2889" t="s">
        <v>1636</v>
      </c>
      <c r="C4343" s="2889" t="s">
        <v>1555</v>
      </c>
      <c r="D4343" s="2889" t="s">
        <v>1106</v>
      </c>
      <c r="E4343" s="2889" t="s">
        <v>1426</v>
      </c>
      <c r="F4343" s="2891"/>
      <c r="G4343" s="2890">
        <v>16.18545329909329</v>
      </c>
    </row>
    <row r="4344" spans="2:7" ht="15" hidden="1" outlineLevel="2">
      <c r="B4344" s="2889" t="s">
        <v>1637</v>
      </c>
      <c r="C4344" s="2889" t="s">
        <v>1555</v>
      </c>
      <c r="D4344" s="2889" t="s">
        <v>1106</v>
      </c>
      <c r="E4344" s="2889" t="s">
        <v>1426</v>
      </c>
      <c r="F4344" s="2891"/>
      <c r="G4344" s="2890">
        <v>5.6261341391241579</v>
      </c>
    </row>
    <row r="4345" spans="2:7" ht="15" hidden="1" outlineLevel="2">
      <c r="B4345" s="2889" t="s">
        <v>1638</v>
      </c>
      <c r="C4345" s="2889" t="s">
        <v>1555</v>
      </c>
      <c r="D4345" s="2889" t="s">
        <v>1106</v>
      </c>
      <c r="E4345" s="2889" t="s">
        <v>1426</v>
      </c>
      <c r="F4345" s="2891"/>
      <c r="G4345" s="2890">
        <v>11.534946771070983</v>
      </c>
    </row>
    <row r="4346" spans="2:7" ht="15" hidden="1" outlineLevel="2">
      <c r="B4346" s="2889" t="s">
        <v>1639</v>
      </c>
      <c r="C4346" s="2889" t="s">
        <v>1555</v>
      </c>
      <c r="D4346" s="2889" t="s">
        <v>1106</v>
      </c>
      <c r="E4346" s="2889" t="s">
        <v>1426</v>
      </c>
      <c r="F4346" s="2891"/>
      <c r="G4346" s="2890">
        <v>42.942735560875029</v>
      </c>
    </row>
    <row r="4347" spans="2:7" ht="15" hidden="1" outlineLevel="2">
      <c r="B4347" s="2889" t="s">
        <v>1640</v>
      </c>
      <c r="C4347" s="2889" t="s">
        <v>1555</v>
      </c>
      <c r="D4347" s="2889" t="s">
        <v>1106</v>
      </c>
      <c r="E4347" s="2889" t="s">
        <v>1426</v>
      </c>
      <c r="F4347" s="2891"/>
      <c r="G4347" s="2890">
        <v>4.2202248348910976</v>
      </c>
    </row>
    <row r="4348" spans="2:7" ht="15" hidden="1" outlineLevel="2">
      <c r="B4348" s="2889" t="s">
        <v>1641</v>
      </c>
      <c r="C4348" s="2889" t="s">
        <v>1555</v>
      </c>
      <c r="D4348" s="2889" t="s">
        <v>1106</v>
      </c>
      <c r="E4348" s="2889" t="s">
        <v>1426</v>
      </c>
      <c r="F4348" s="2891"/>
      <c r="G4348" s="2890">
        <v>28.658502356218367</v>
      </c>
    </row>
    <row r="4349" spans="2:7" ht="15" hidden="1" outlineLevel="2">
      <c r="B4349" s="2889" t="s">
        <v>1642</v>
      </c>
      <c r="C4349" s="2889" t="s">
        <v>1555</v>
      </c>
      <c r="D4349" s="2889" t="s">
        <v>1106</v>
      </c>
      <c r="E4349" s="2889" t="s">
        <v>1426</v>
      </c>
      <c r="F4349" s="2891"/>
      <c r="G4349" s="2890">
        <v>38.922630976660585</v>
      </c>
    </row>
    <row r="4350" spans="2:7" ht="15" hidden="1" outlineLevel="2">
      <c r="B4350" s="2889" t="s">
        <v>1643</v>
      </c>
      <c r="C4350" s="2889" t="s">
        <v>1555</v>
      </c>
      <c r="D4350" s="2889" t="s">
        <v>1106</v>
      </c>
      <c r="E4350" s="2889" t="s">
        <v>1426</v>
      </c>
      <c r="F4350" s="2891"/>
      <c r="G4350" s="2890">
        <v>5.2373122617885111</v>
      </c>
    </row>
    <row r="4351" spans="2:7" ht="15" hidden="1" outlineLevel="2">
      <c r="B4351" s="2889" t="s">
        <v>1644</v>
      </c>
      <c r="C4351" s="2889" t="s">
        <v>1555</v>
      </c>
      <c r="D4351" s="2889" t="s">
        <v>1106</v>
      </c>
      <c r="E4351" s="2889" t="s">
        <v>1426</v>
      </c>
      <c r="F4351" s="2891"/>
      <c r="G4351" s="2890">
        <v>72.043985497047956</v>
      </c>
    </row>
    <row r="4352" spans="2:7" ht="15" hidden="1" outlineLevel="2">
      <c r="B4352" s="2889" t="s">
        <v>1645</v>
      </c>
      <c r="C4352" s="2889" t="s">
        <v>1555</v>
      </c>
      <c r="D4352" s="2889" t="s">
        <v>1106</v>
      </c>
      <c r="E4352" s="2889" t="s">
        <v>1426</v>
      </c>
      <c r="F4352" s="2891"/>
      <c r="G4352" s="2890">
        <v>52.896664725519564</v>
      </c>
    </row>
    <row r="4353" spans="2:7" ht="15" hidden="1" outlineLevel="2">
      <c r="B4353" s="2889" t="s">
        <v>1646</v>
      </c>
      <c r="C4353" s="2889" t="s">
        <v>1555</v>
      </c>
      <c r="D4353" s="2889" t="s">
        <v>1106</v>
      </c>
      <c r="E4353" s="2889" t="s">
        <v>1426</v>
      </c>
      <c r="F4353" s="2891"/>
      <c r="G4353" s="2890">
        <v>4.3327957042858358</v>
      </c>
    </row>
    <row r="4354" spans="2:7" ht="15" hidden="1" outlineLevel="2">
      <c r="B4354" s="2889" t="s">
        <v>1647</v>
      </c>
      <c r="C4354" s="2889" t="s">
        <v>1555</v>
      </c>
      <c r="D4354" s="2889" t="s">
        <v>1106</v>
      </c>
      <c r="E4354" s="2889" t="s">
        <v>1426</v>
      </c>
      <c r="F4354" s="2891"/>
      <c r="G4354" s="2890">
        <v>2.3340073810470856</v>
      </c>
    </row>
    <row r="4355" spans="2:7" ht="15" hidden="1" outlineLevel="2">
      <c r="B4355" s="2889" t="s">
        <v>1648</v>
      </c>
      <c r="C4355" s="2889" t="s">
        <v>1555</v>
      </c>
      <c r="D4355" s="2889" t="s">
        <v>1106</v>
      </c>
      <c r="E4355" s="2889" t="s">
        <v>1426</v>
      </c>
      <c r="F4355" s="2891"/>
      <c r="G4355" s="2890">
        <v>1.5885259024588489</v>
      </c>
    </row>
    <row r="4356" spans="2:7" ht="15" hidden="1" outlineLevel="2">
      <c r="B4356" s="2889" t="s">
        <v>1649</v>
      </c>
      <c r="C4356" s="2889" t="s">
        <v>1555</v>
      </c>
      <c r="D4356" s="2889" t="s">
        <v>1106</v>
      </c>
      <c r="E4356" s="2889" t="s">
        <v>1426</v>
      </c>
      <c r="F4356" s="2891"/>
      <c r="G4356" s="2890">
        <v>11.162206115542936</v>
      </c>
    </row>
    <row r="4357" spans="2:7" ht="15" hidden="1" outlineLevel="2">
      <c r="B4357" s="2889" t="s">
        <v>1650</v>
      </c>
      <c r="C4357" s="2889" t="s">
        <v>1555</v>
      </c>
      <c r="D4357" s="2889" t="s">
        <v>1106</v>
      </c>
      <c r="E4357" s="2889" t="s">
        <v>1426</v>
      </c>
      <c r="F4357" s="3040"/>
      <c r="G4357" s="2890">
        <v>40.075866510922239</v>
      </c>
    </row>
    <row r="4358" spans="2:7" ht="15" hidden="1" outlineLevel="2">
      <c r="B4358" s="2889" t="s">
        <v>1651</v>
      </c>
      <c r="C4358" s="2889" t="s">
        <v>1555</v>
      </c>
      <c r="D4358" s="2889" t="s">
        <v>1106</v>
      </c>
      <c r="E4358" s="2889" t="s">
        <v>1426</v>
      </c>
      <c r="F4358" s="3040"/>
      <c r="G4358" s="2890">
        <v>20.253077445864474</v>
      </c>
    </row>
    <row r="4359" spans="2:7" ht="15" hidden="1" outlineLevel="2">
      <c r="B4359" s="2889" t="s">
        <v>1652</v>
      </c>
      <c r="C4359" s="2889" t="s">
        <v>1555</v>
      </c>
      <c r="D4359" s="2889" t="s">
        <v>1106</v>
      </c>
      <c r="E4359" s="2889" t="s">
        <v>1426</v>
      </c>
      <c r="F4359" s="3040"/>
      <c r="G4359" s="2890">
        <v>5.2984218559263185</v>
      </c>
    </row>
    <row r="4360" spans="2:7" ht="15" hidden="1" outlineLevel="2">
      <c r="B4360" s="2889" t="s">
        <v>1653</v>
      </c>
      <c r="C4360" s="2889" t="s">
        <v>1555</v>
      </c>
      <c r="D4360" s="2889" t="s">
        <v>1106</v>
      </c>
      <c r="E4360" s="2889" t="s">
        <v>1426</v>
      </c>
      <c r="F4360" s="3040"/>
      <c r="G4360" s="2890">
        <v>96.609876106145265</v>
      </c>
    </row>
    <row r="4361" spans="2:7" ht="15" hidden="1" outlineLevel="2">
      <c r="B4361" s="2889" t="s">
        <v>1407</v>
      </c>
      <c r="C4361" s="2889" t="s">
        <v>1556</v>
      </c>
      <c r="D4361" s="2889" t="s">
        <v>1106</v>
      </c>
      <c r="E4361" s="2889" t="s">
        <v>1426</v>
      </c>
      <c r="F4361" s="3040"/>
      <c r="G4361" s="2890">
        <v>1389.7914665156632</v>
      </c>
    </row>
    <row r="4362" spans="2:7" ht="15" hidden="1" outlineLevel="2">
      <c r="B4362" s="2889" t="s">
        <v>1631</v>
      </c>
      <c r="C4362" s="2889" t="s">
        <v>1556</v>
      </c>
      <c r="D4362" s="2889" t="s">
        <v>1106</v>
      </c>
      <c r="E4362" s="2889" t="s">
        <v>1426</v>
      </c>
      <c r="F4362" s="2890">
        <v>0.34716001822801501</v>
      </c>
      <c r="G4362" s="2890">
        <v>9429.7069584766014</v>
      </c>
    </row>
    <row r="4363" spans="2:7" ht="15" hidden="1" outlineLevel="2">
      <c r="B4363" s="2889" t="s">
        <v>1632</v>
      </c>
      <c r="C4363" s="2889" t="s">
        <v>1556</v>
      </c>
      <c r="D4363" s="2889" t="s">
        <v>1106</v>
      </c>
      <c r="E4363" s="2889" t="s">
        <v>1426</v>
      </c>
      <c r="F4363" s="3040"/>
      <c r="G4363" s="2890">
        <v>14435.690907101165</v>
      </c>
    </row>
    <row r="4364" spans="2:7" ht="15" hidden="1" outlineLevel="2">
      <c r="B4364" s="2889" t="s">
        <v>1633</v>
      </c>
      <c r="C4364" s="2889" t="s">
        <v>1556</v>
      </c>
      <c r="D4364" s="2889" t="s">
        <v>1106</v>
      </c>
      <c r="E4364" s="2889" t="s">
        <v>1426</v>
      </c>
      <c r="F4364" s="3040"/>
      <c r="G4364" s="2890">
        <v>1519.4956602554444</v>
      </c>
    </row>
    <row r="4365" spans="2:7" ht="15" hidden="1" outlineLevel="2">
      <c r="B4365" s="2889" t="s">
        <v>1634</v>
      </c>
      <c r="C4365" s="2889" t="s">
        <v>1556</v>
      </c>
      <c r="D4365" s="2889" t="s">
        <v>1106</v>
      </c>
      <c r="E4365" s="2889" t="s">
        <v>1426</v>
      </c>
      <c r="F4365" s="3040"/>
      <c r="G4365" s="2890">
        <v>569.95442395293242</v>
      </c>
    </row>
    <row r="4366" spans="2:7" ht="15" hidden="1" outlineLevel="2">
      <c r="B4366" s="2889" t="s">
        <v>1635</v>
      </c>
      <c r="C4366" s="2889" t="s">
        <v>1556</v>
      </c>
      <c r="D4366" s="2889" t="s">
        <v>1106</v>
      </c>
      <c r="E4366" s="2889" t="s">
        <v>1426</v>
      </c>
      <c r="F4366" s="3040"/>
      <c r="G4366" s="2890">
        <v>2992.281414077916</v>
      </c>
    </row>
    <row r="4367" spans="2:7" ht="15" hidden="1" outlineLevel="2">
      <c r="B4367" s="2889" t="s">
        <v>1636</v>
      </c>
      <c r="C4367" s="2889" t="s">
        <v>1556</v>
      </c>
      <c r="D4367" s="2889" t="s">
        <v>1106</v>
      </c>
      <c r="E4367" s="2889" t="s">
        <v>1426</v>
      </c>
      <c r="F4367" s="3040"/>
      <c r="G4367" s="2890">
        <v>1697.1855198050157</v>
      </c>
    </row>
    <row r="4368" spans="2:7" ht="15" hidden="1" outlineLevel="2">
      <c r="B4368" s="2889" t="s">
        <v>1637</v>
      </c>
      <c r="C4368" s="2889" t="s">
        <v>1556</v>
      </c>
      <c r="D4368" s="2889" t="s">
        <v>1106</v>
      </c>
      <c r="E4368" s="2889" t="s">
        <v>1426</v>
      </c>
      <c r="F4368" s="3040"/>
      <c r="G4368" s="2890">
        <v>2408.0360283179816</v>
      </c>
    </row>
    <row r="4369" spans="2:7" ht="15" hidden="1" outlineLevel="2">
      <c r="B4369" s="2889" t="s">
        <v>1638</v>
      </c>
      <c r="C4369" s="2889" t="s">
        <v>1556</v>
      </c>
      <c r="D4369" s="2889" t="s">
        <v>1106</v>
      </c>
      <c r="E4369" s="2889" t="s">
        <v>1426</v>
      </c>
      <c r="F4369" s="3040"/>
      <c r="G4369" s="2890">
        <v>572.7152177249485</v>
      </c>
    </row>
    <row r="4370" spans="2:7" ht="15" hidden="1" outlineLevel="2">
      <c r="B4370" s="2889" t="s">
        <v>1639</v>
      </c>
      <c r="C4370" s="2889" t="s">
        <v>1556</v>
      </c>
      <c r="D4370" s="2889" t="s">
        <v>1106</v>
      </c>
      <c r="E4370" s="2889" t="s">
        <v>1426</v>
      </c>
      <c r="F4370" s="3040"/>
      <c r="G4370" s="2890">
        <v>3927.2117245516311</v>
      </c>
    </row>
    <row r="4371" spans="2:7" ht="15" hidden="1" outlineLevel="2">
      <c r="B4371" s="2889" t="s">
        <v>1640</v>
      </c>
      <c r="C4371" s="2889" t="s">
        <v>1556</v>
      </c>
      <c r="D4371" s="2889" t="s">
        <v>1106</v>
      </c>
      <c r="E4371" s="2889" t="s">
        <v>1426</v>
      </c>
      <c r="F4371" s="3040"/>
      <c r="G4371" s="2890">
        <v>561.84073363483833</v>
      </c>
    </row>
    <row r="4372" spans="2:7" ht="15" hidden="1" outlineLevel="2">
      <c r="B4372" s="2889" t="s">
        <v>1641</v>
      </c>
      <c r="C4372" s="2889" t="s">
        <v>1556</v>
      </c>
      <c r="D4372" s="2889" t="s">
        <v>1106</v>
      </c>
      <c r="E4372" s="2889" t="s">
        <v>1426</v>
      </c>
      <c r="F4372" s="3040"/>
      <c r="G4372" s="2890">
        <v>4270.1208080855749</v>
      </c>
    </row>
    <row r="4373" spans="2:7" ht="15" hidden="1" outlineLevel="2">
      <c r="B4373" s="2889" t="s">
        <v>1642</v>
      </c>
      <c r="C4373" s="2889" t="s">
        <v>1556</v>
      </c>
      <c r="D4373" s="2889" t="s">
        <v>1106</v>
      </c>
      <c r="E4373" s="2889" t="s">
        <v>1426</v>
      </c>
      <c r="F4373" s="3040"/>
      <c r="G4373" s="2890">
        <v>4881.2636858415399</v>
      </c>
    </row>
    <row r="4374" spans="2:7" ht="15" hidden="1" outlineLevel="2">
      <c r="B4374" s="2889" t="s">
        <v>1643</v>
      </c>
      <c r="C4374" s="2889" t="s">
        <v>1556</v>
      </c>
      <c r="D4374" s="2889" t="s">
        <v>1106</v>
      </c>
      <c r="E4374" s="2889" t="s">
        <v>1426</v>
      </c>
      <c r="F4374" s="3040"/>
      <c r="G4374" s="2890">
        <v>498.73762222152556</v>
      </c>
    </row>
    <row r="4375" spans="2:7" ht="15" hidden="1" outlineLevel="2">
      <c r="B4375" s="2889" t="s">
        <v>1644</v>
      </c>
      <c r="C4375" s="2889" t="s">
        <v>1556</v>
      </c>
      <c r="D4375" s="2889" t="s">
        <v>1106</v>
      </c>
      <c r="E4375" s="2889" t="s">
        <v>1426</v>
      </c>
      <c r="F4375" s="3040"/>
      <c r="G4375" s="2890">
        <v>17015.696469152448</v>
      </c>
    </row>
    <row r="4376" spans="2:7" ht="15" hidden="1" outlineLevel="2">
      <c r="B4376" s="2889" t="s">
        <v>1645</v>
      </c>
      <c r="C4376" s="2889" t="s">
        <v>1556</v>
      </c>
      <c r="D4376" s="2889" t="s">
        <v>1106</v>
      </c>
      <c r="E4376" s="2889" t="s">
        <v>1426</v>
      </c>
      <c r="F4376" s="3040"/>
      <c r="G4376" s="2890">
        <v>15545.302471621861</v>
      </c>
    </row>
    <row r="4377" spans="2:7" ht="15" hidden="1" outlineLevel="2">
      <c r="B4377" s="2889" t="s">
        <v>1646</v>
      </c>
      <c r="C4377" s="2889" t="s">
        <v>1556</v>
      </c>
      <c r="D4377" s="2889" t="s">
        <v>1106</v>
      </c>
      <c r="E4377" s="2889" t="s">
        <v>1426</v>
      </c>
      <c r="F4377" s="2891"/>
      <c r="G4377" s="2890">
        <v>805.26417078854342</v>
      </c>
    </row>
    <row r="4378" spans="2:7" ht="15" hidden="1" outlineLevel="2">
      <c r="B4378" s="2889" t="s">
        <v>1647</v>
      </c>
      <c r="C4378" s="2889" t="s">
        <v>1556</v>
      </c>
      <c r="D4378" s="2889" t="s">
        <v>1106</v>
      </c>
      <c r="E4378" s="2889" t="s">
        <v>1426</v>
      </c>
      <c r="F4378" s="2891"/>
      <c r="G4378" s="2890">
        <v>1689.3912250738754</v>
      </c>
    </row>
    <row r="4379" spans="2:7" ht="15" hidden="1" outlineLevel="2">
      <c r="B4379" s="2889" t="s">
        <v>1648</v>
      </c>
      <c r="C4379" s="2889" t="s">
        <v>1556</v>
      </c>
      <c r="D4379" s="2889" t="s">
        <v>1106</v>
      </c>
      <c r="E4379" s="2889" t="s">
        <v>1426</v>
      </c>
      <c r="F4379" s="2891"/>
      <c r="G4379" s="2890">
        <v>478.26406213455232</v>
      </c>
    </row>
    <row r="4380" spans="2:7" ht="15" hidden="1" outlineLevel="2">
      <c r="B4380" s="2889" t="s">
        <v>1649</v>
      </c>
      <c r="C4380" s="2889" t="s">
        <v>1556</v>
      </c>
      <c r="D4380" s="2889" t="s">
        <v>1106</v>
      </c>
      <c r="E4380" s="2889" t="s">
        <v>1426</v>
      </c>
      <c r="F4380" s="2891"/>
      <c r="G4380" s="2890">
        <v>645.4548798533707</v>
      </c>
    </row>
    <row r="4381" spans="2:7" ht="15" hidden="1" outlineLevel="2">
      <c r="B4381" s="2889" t="s">
        <v>1650</v>
      </c>
      <c r="C4381" s="2889" t="s">
        <v>1556</v>
      </c>
      <c r="D4381" s="2889" t="s">
        <v>1106</v>
      </c>
      <c r="E4381" s="2889" t="s">
        <v>1426</v>
      </c>
      <c r="F4381" s="2891"/>
      <c r="G4381" s="2890">
        <v>2531.467368757093</v>
      </c>
    </row>
    <row r="4382" spans="2:7" ht="15" hidden="1" outlineLevel="2">
      <c r="B4382" s="2889" t="s">
        <v>1651</v>
      </c>
      <c r="C4382" s="2889" t="s">
        <v>1556</v>
      </c>
      <c r="D4382" s="2889" t="s">
        <v>1106</v>
      </c>
      <c r="E4382" s="2889" t="s">
        <v>1426</v>
      </c>
      <c r="F4382" s="2891"/>
      <c r="G4382" s="2890">
        <v>1618.2292911925458</v>
      </c>
    </row>
    <row r="4383" spans="2:7" ht="15" hidden="1" outlineLevel="2">
      <c r="B4383" s="2889" t="s">
        <v>1652</v>
      </c>
      <c r="C4383" s="2889" t="s">
        <v>1556</v>
      </c>
      <c r="D4383" s="2889" t="s">
        <v>1106</v>
      </c>
      <c r="E4383" s="2889" t="s">
        <v>1426</v>
      </c>
      <c r="F4383" s="2891"/>
      <c r="G4383" s="2890">
        <v>901.95047695305709</v>
      </c>
    </row>
    <row r="4384" spans="2:7" ht="15" hidden="1" outlineLevel="2">
      <c r="B4384" s="2889" t="s">
        <v>1653</v>
      </c>
      <c r="C4384" s="2889" t="s">
        <v>1556</v>
      </c>
      <c r="D4384" s="2889" t="s">
        <v>1106</v>
      </c>
      <c r="E4384" s="2889" t="s">
        <v>1426</v>
      </c>
      <c r="F4384" s="3040"/>
      <c r="G4384" s="2890">
        <v>11947.517405634475</v>
      </c>
    </row>
    <row r="4385" spans="2:7" ht="15" hidden="1" outlineLevel="2">
      <c r="B4385" s="2889" t="s">
        <v>1407</v>
      </c>
      <c r="C4385" s="2889" t="s">
        <v>1557</v>
      </c>
      <c r="D4385" s="2889" t="s">
        <v>1106</v>
      </c>
      <c r="E4385" s="2889" t="s">
        <v>1426</v>
      </c>
      <c r="F4385" s="3040"/>
      <c r="G4385" s="2890">
        <v>607.01783185409033</v>
      </c>
    </row>
    <row r="4386" spans="2:7" ht="15" hidden="1" outlineLevel="2">
      <c r="B4386" s="2889" t="s">
        <v>1631</v>
      </c>
      <c r="C4386" s="2889" t="s">
        <v>1557</v>
      </c>
      <c r="D4386" s="2889" t="s">
        <v>1106</v>
      </c>
      <c r="E4386" s="2889" t="s">
        <v>1426</v>
      </c>
      <c r="F4386" s="2890">
        <v>7.6930378378637684E-2</v>
      </c>
      <c r="G4386" s="2890">
        <v>2572.0578003392188</v>
      </c>
    </row>
    <row r="4387" spans="2:7" ht="15" hidden="1" outlineLevel="2">
      <c r="B4387" s="2889" t="s">
        <v>1632</v>
      </c>
      <c r="C4387" s="2889" t="s">
        <v>1557</v>
      </c>
      <c r="D4387" s="2889" t="s">
        <v>1106</v>
      </c>
      <c r="E4387" s="2889" t="s">
        <v>1426</v>
      </c>
      <c r="F4387" s="3040"/>
      <c r="G4387" s="2890">
        <v>4707.0697407743173</v>
      </c>
    </row>
    <row r="4388" spans="2:7" ht="15" hidden="1" outlineLevel="2">
      <c r="B4388" s="2889" t="s">
        <v>1633</v>
      </c>
      <c r="C4388" s="2889" t="s">
        <v>1557</v>
      </c>
      <c r="D4388" s="2889" t="s">
        <v>1106</v>
      </c>
      <c r="E4388" s="2889" t="s">
        <v>1426</v>
      </c>
      <c r="F4388" s="3040"/>
      <c r="G4388" s="2890">
        <v>125.95339813709955</v>
      </c>
    </row>
    <row r="4389" spans="2:7" ht="15" hidden="1" outlineLevel="2">
      <c r="B4389" s="2889" t="s">
        <v>1634</v>
      </c>
      <c r="C4389" s="2889" t="s">
        <v>1557</v>
      </c>
      <c r="D4389" s="2889" t="s">
        <v>1106</v>
      </c>
      <c r="E4389" s="2889" t="s">
        <v>1426</v>
      </c>
      <c r="F4389" s="3040"/>
      <c r="G4389" s="2890">
        <v>305.17360721034731</v>
      </c>
    </row>
    <row r="4390" spans="2:7" ht="15" hidden="1" outlineLevel="2">
      <c r="B4390" s="2889" t="s">
        <v>1635</v>
      </c>
      <c r="C4390" s="2889" t="s">
        <v>1557</v>
      </c>
      <c r="D4390" s="2889" t="s">
        <v>1106</v>
      </c>
      <c r="E4390" s="2889" t="s">
        <v>1426</v>
      </c>
      <c r="F4390" s="3040"/>
      <c r="G4390" s="2890">
        <v>656.03013850612604</v>
      </c>
    </row>
    <row r="4391" spans="2:7" ht="15" hidden="1" outlineLevel="2">
      <c r="B4391" s="2889" t="s">
        <v>1636</v>
      </c>
      <c r="C4391" s="2889" t="s">
        <v>1557</v>
      </c>
      <c r="D4391" s="2889" t="s">
        <v>1106</v>
      </c>
      <c r="E4391" s="2889" t="s">
        <v>1426</v>
      </c>
      <c r="F4391" s="3040"/>
      <c r="G4391" s="2890">
        <v>598.32503580396838</v>
      </c>
    </row>
    <row r="4392" spans="2:7" ht="15" hidden="1" outlineLevel="2">
      <c r="B4392" s="2889" t="s">
        <v>1637</v>
      </c>
      <c r="C4392" s="2889" t="s">
        <v>1557</v>
      </c>
      <c r="D4392" s="2889" t="s">
        <v>1106</v>
      </c>
      <c r="E4392" s="2889" t="s">
        <v>1426</v>
      </c>
      <c r="F4392" s="3040"/>
      <c r="G4392" s="2890">
        <v>207.98024047999135</v>
      </c>
    </row>
    <row r="4393" spans="2:7" ht="15" hidden="1" outlineLevel="2">
      <c r="B4393" s="2889" t="s">
        <v>1638</v>
      </c>
      <c r="C4393" s="2889" t="s">
        <v>1557</v>
      </c>
      <c r="D4393" s="2889" t="s">
        <v>1106</v>
      </c>
      <c r="E4393" s="2889" t="s">
        <v>1426</v>
      </c>
      <c r="F4393" s="3040"/>
      <c r="G4393" s="2890">
        <v>426.41071783502503</v>
      </c>
    </row>
    <row r="4394" spans="2:7" ht="15" hidden="1" outlineLevel="2">
      <c r="B4394" s="2889" t="s">
        <v>1639</v>
      </c>
      <c r="C4394" s="2889" t="s">
        <v>1557</v>
      </c>
      <c r="D4394" s="2889" t="s">
        <v>1106</v>
      </c>
      <c r="E4394" s="2889" t="s">
        <v>1426</v>
      </c>
      <c r="F4394" s="3040"/>
      <c r="G4394" s="2890">
        <v>1587.4564197371226</v>
      </c>
    </row>
    <row r="4395" spans="2:7" ht="15" hidden="1" outlineLevel="2">
      <c r="B4395" s="2889" t="s">
        <v>1640</v>
      </c>
      <c r="C4395" s="2889" t="s">
        <v>1557</v>
      </c>
      <c r="D4395" s="2889" t="s">
        <v>1106</v>
      </c>
      <c r="E4395" s="2889" t="s">
        <v>1426</v>
      </c>
      <c r="F4395" s="3040"/>
      <c r="G4395" s="2890">
        <v>156.00837594152705</v>
      </c>
    </row>
    <row r="4396" spans="2:7" ht="15" hidden="1" outlineLevel="2">
      <c r="B4396" s="2889" t="s">
        <v>1641</v>
      </c>
      <c r="C4396" s="2889" t="s">
        <v>1557</v>
      </c>
      <c r="D4396" s="2889" t="s">
        <v>1106</v>
      </c>
      <c r="E4396" s="2889" t="s">
        <v>1426</v>
      </c>
      <c r="F4396" s="3040"/>
      <c r="G4396" s="2890">
        <v>1059.4140776082343</v>
      </c>
    </row>
    <row r="4397" spans="2:7" ht="15" hidden="1" outlineLevel="2">
      <c r="B4397" s="2889" t="s">
        <v>1642</v>
      </c>
      <c r="C4397" s="2889" t="s">
        <v>1557</v>
      </c>
      <c r="D4397" s="2889" t="s">
        <v>1106</v>
      </c>
      <c r="E4397" s="2889" t="s">
        <v>1426</v>
      </c>
      <c r="F4397" s="3040"/>
      <c r="G4397" s="2890">
        <v>1438.8467342943018</v>
      </c>
    </row>
    <row r="4398" spans="2:7" ht="15" hidden="1" outlineLevel="2">
      <c r="B4398" s="2889" t="s">
        <v>1643</v>
      </c>
      <c r="C4398" s="2889" t="s">
        <v>1557</v>
      </c>
      <c r="D4398" s="2889" t="s">
        <v>1106</v>
      </c>
      <c r="E4398" s="2889" t="s">
        <v>1426</v>
      </c>
      <c r="F4398" s="3040"/>
      <c r="G4398" s="2890">
        <v>193.60686371485122</v>
      </c>
    </row>
    <row r="4399" spans="2:7" ht="15" hidden="1" outlineLevel="2">
      <c r="B4399" s="2889" t="s">
        <v>1644</v>
      </c>
      <c r="C4399" s="2889" t="s">
        <v>1557</v>
      </c>
      <c r="D4399" s="2889" t="s">
        <v>1106</v>
      </c>
      <c r="E4399" s="2889" t="s">
        <v>1426</v>
      </c>
      <c r="F4399" s="3040"/>
      <c r="G4399" s="2890">
        <v>2663.2389956805355</v>
      </c>
    </row>
    <row r="4400" spans="2:7" ht="15" hidden="1" outlineLevel="2">
      <c r="B4400" s="2889" t="s">
        <v>1645</v>
      </c>
      <c r="C4400" s="2889" t="s">
        <v>1557</v>
      </c>
      <c r="D4400" s="2889" t="s">
        <v>1106</v>
      </c>
      <c r="E4400" s="2889" t="s">
        <v>1426</v>
      </c>
      <c r="F4400" s="3040"/>
      <c r="G4400" s="2890">
        <v>1955.4222215357438</v>
      </c>
    </row>
    <row r="4401" spans="2:7" ht="15" hidden="1" outlineLevel="2">
      <c r="B4401" s="2889" t="s">
        <v>1646</v>
      </c>
      <c r="C4401" s="2889" t="s">
        <v>1557</v>
      </c>
      <c r="D4401" s="2889" t="s">
        <v>1106</v>
      </c>
      <c r="E4401" s="2889" t="s">
        <v>1426</v>
      </c>
      <c r="F4401" s="3040"/>
      <c r="G4401" s="2890">
        <v>160.16994117996566</v>
      </c>
    </row>
    <row r="4402" spans="2:7" ht="15" hidden="1" outlineLevel="2">
      <c r="B4402" s="2889" t="s">
        <v>1647</v>
      </c>
      <c r="C4402" s="2889" t="s">
        <v>1557</v>
      </c>
      <c r="D4402" s="2889" t="s">
        <v>1106</v>
      </c>
      <c r="E4402" s="2889" t="s">
        <v>1426</v>
      </c>
      <c r="F4402" s="3040"/>
      <c r="G4402" s="2890">
        <v>86.280877570141953</v>
      </c>
    </row>
    <row r="4403" spans="2:7" ht="15" hidden="1" outlineLevel="2">
      <c r="B4403" s="2889" t="s">
        <v>1648</v>
      </c>
      <c r="C4403" s="2889" t="s">
        <v>1557</v>
      </c>
      <c r="D4403" s="2889" t="s">
        <v>1106</v>
      </c>
      <c r="E4403" s="2889" t="s">
        <v>1426</v>
      </c>
      <c r="F4403" s="3040"/>
      <c r="G4403" s="2890">
        <v>58.722746654508413</v>
      </c>
    </row>
    <row r="4404" spans="2:7" ht="15" hidden="1" outlineLevel="2">
      <c r="B4404" s="2889" t="s">
        <v>1649</v>
      </c>
      <c r="C4404" s="2889" t="s">
        <v>1557</v>
      </c>
      <c r="D4404" s="2889" t="s">
        <v>1106</v>
      </c>
      <c r="E4404" s="2889" t="s">
        <v>1426</v>
      </c>
      <c r="F4404" s="3040"/>
      <c r="G4404" s="2890">
        <v>412.63144561905841</v>
      </c>
    </row>
    <row r="4405" spans="2:7" ht="15" hidden="1" outlineLevel="2">
      <c r="B4405" s="2889" t="s">
        <v>1650</v>
      </c>
      <c r="C4405" s="2889" t="s">
        <v>1557</v>
      </c>
      <c r="D4405" s="2889" t="s">
        <v>1106</v>
      </c>
      <c r="E4405" s="2889" t="s">
        <v>1426</v>
      </c>
      <c r="F4405" s="3040"/>
      <c r="G4405" s="2890">
        <v>1481.478106044116</v>
      </c>
    </row>
    <row r="4406" spans="2:7" ht="15" hidden="1" outlineLevel="2">
      <c r="B4406" s="2889" t="s">
        <v>1651</v>
      </c>
      <c r="C4406" s="2889" t="s">
        <v>1557</v>
      </c>
      <c r="D4406" s="2889" t="s">
        <v>1106</v>
      </c>
      <c r="E4406" s="2889" t="s">
        <v>1426</v>
      </c>
      <c r="F4406" s="3040"/>
      <c r="G4406" s="2890">
        <v>748.6921368370422</v>
      </c>
    </row>
    <row r="4407" spans="2:7" ht="15" hidden="1" outlineLevel="2">
      <c r="B4407" s="2889" t="s">
        <v>1652</v>
      </c>
      <c r="C4407" s="2889" t="s">
        <v>1557</v>
      </c>
      <c r="D4407" s="2889" t="s">
        <v>1106</v>
      </c>
      <c r="E4407" s="2889" t="s">
        <v>1426</v>
      </c>
      <c r="F4407" s="3040"/>
      <c r="G4407" s="2890">
        <v>195.86580753221844</v>
      </c>
    </row>
    <row r="4408" spans="2:7" ht="15" hidden="1" outlineLevel="2">
      <c r="B4408" s="2889" t="s">
        <v>1653</v>
      </c>
      <c r="C4408" s="2889" t="s">
        <v>1557</v>
      </c>
      <c r="D4408" s="2889" t="s">
        <v>1106</v>
      </c>
      <c r="E4408" s="2889" t="s">
        <v>1426</v>
      </c>
      <c r="F4408" s="3040"/>
      <c r="G4408" s="2890">
        <v>3571.3621852879669</v>
      </c>
    </row>
    <row r="4409" spans="2:7" ht="15" hidden="1" outlineLevel="2">
      <c r="B4409" s="2889" t="s">
        <v>1407</v>
      </c>
      <c r="C4409" s="2889" t="s">
        <v>1591</v>
      </c>
      <c r="D4409" s="2889" t="s">
        <v>1559</v>
      </c>
      <c r="E4409" s="2889" t="s">
        <v>1426</v>
      </c>
      <c r="F4409" s="3040"/>
      <c r="G4409" s="2890">
        <v>1.1998162028731316E-2</v>
      </c>
    </row>
    <row r="4410" spans="2:7" ht="15" hidden="1" outlineLevel="2">
      <c r="B4410" s="2889" t="s">
        <v>1631</v>
      </c>
      <c r="C4410" s="2889" t="s">
        <v>1591</v>
      </c>
      <c r="D4410" s="2889" t="s">
        <v>1559</v>
      </c>
      <c r="E4410" s="2889" t="s">
        <v>1426</v>
      </c>
      <c r="F4410" s="2890">
        <v>2.345460143416961E-5</v>
      </c>
      <c r="G4410" s="2890">
        <v>0.57495193200366446</v>
      </c>
    </row>
    <row r="4411" spans="2:7" ht="15" hidden="1" outlineLevel="2">
      <c r="B4411" s="2889" t="s">
        <v>1632</v>
      </c>
      <c r="C4411" s="2889" t="s">
        <v>1591</v>
      </c>
      <c r="D4411" s="2889" t="s">
        <v>1559</v>
      </c>
      <c r="E4411" s="2889" t="s">
        <v>1426</v>
      </c>
      <c r="F4411" s="3040"/>
      <c r="G4411" s="2890">
        <v>0.6910940108453576</v>
      </c>
    </row>
    <row r="4412" spans="2:7" ht="15" hidden="1" outlineLevel="2">
      <c r="B4412" s="2889" t="s">
        <v>1633</v>
      </c>
      <c r="C4412" s="2889" t="s">
        <v>1591</v>
      </c>
      <c r="D4412" s="2889" t="s">
        <v>1559</v>
      </c>
      <c r="E4412" s="2889" t="s">
        <v>1426</v>
      </c>
      <c r="F4412" s="3040"/>
      <c r="G4412" s="2890">
        <v>4.1273656989865237E-2</v>
      </c>
    </row>
    <row r="4413" spans="2:7" ht="15" hidden="1" outlineLevel="2">
      <c r="B4413" s="2889" t="s">
        <v>1634</v>
      </c>
      <c r="C4413" s="2889" t="s">
        <v>1591</v>
      </c>
      <c r="D4413" s="2889" t="s">
        <v>1559</v>
      </c>
      <c r="E4413" s="2889" t="s">
        <v>1426</v>
      </c>
      <c r="F4413" s="3040"/>
      <c r="G4413" s="2890">
        <v>1.2958012484047661E-2</v>
      </c>
    </row>
    <row r="4414" spans="2:7" ht="15" hidden="1" outlineLevel="2">
      <c r="B4414" s="2889" t="s">
        <v>1635</v>
      </c>
      <c r="C4414" s="2889" t="s">
        <v>1591</v>
      </c>
      <c r="D4414" s="2889" t="s">
        <v>1559</v>
      </c>
      <c r="E4414" s="2889" t="s">
        <v>1426</v>
      </c>
      <c r="F4414" s="3040"/>
      <c r="G4414" s="2890">
        <v>0.21788658108718578</v>
      </c>
    </row>
    <row r="4415" spans="2:7" ht="15" hidden="1" outlineLevel="2">
      <c r="B4415" s="2889" t="s">
        <v>1636</v>
      </c>
      <c r="C4415" s="2889" t="s">
        <v>1591</v>
      </c>
      <c r="D4415" s="2889" t="s">
        <v>1559</v>
      </c>
      <c r="E4415" s="2889" t="s">
        <v>1426</v>
      </c>
      <c r="F4415" s="3040"/>
      <c r="G4415" s="2890">
        <v>2.8315657555904029E-2</v>
      </c>
    </row>
    <row r="4416" spans="2:7" ht="15" hidden="1" outlineLevel="2">
      <c r="B4416" s="2889" t="s">
        <v>1637</v>
      </c>
      <c r="C4416" s="2889" t="s">
        <v>1591</v>
      </c>
      <c r="D4416" s="2889" t="s">
        <v>1559</v>
      </c>
      <c r="E4416" s="2889" t="s">
        <v>1426</v>
      </c>
      <c r="F4416" s="2891"/>
      <c r="G4416" s="2890">
        <v>5.951085950432513E-2</v>
      </c>
    </row>
    <row r="4417" spans="2:7" ht="15" hidden="1" outlineLevel="2">
      <c r="B4417" s="2889" t="s">
        <v>1638</v>
      </c>
      <c r="C4417" s="2889" t="s">
        <v>1591</v>
      </c>
      <c r="D4417" s="2889" t="s">
        <v>1559</v>
      </c>
      <c r="E4417" s="2889" t="s">
        <v>1426</v>
      </c>
      <c r="F4417" s="2891"/>
      <c r="G4417" s="2890">
        <v>7.6788212773714171E-2</v>
      </c>
    </row>
    <row r="4418" spans="2:7" ht="15" hidden="1" outlineLevel="2">
      <c r="B4418" s="2889" t="s">
        <v>1639</v>
      </c>
      <c r="C4418" s="2889" t="s">
        <v>1591</v>
      </c>
      <c r="D4418" s="2889" t="s">
        <v>1559</v>
      </c>
      <c r="E4418" s="2889" t="s">
        <v>1426</v>
      </c>
      <c r="F4418" s="2891"/>
      <c r="G4418" s="2890">
        <v>0.36186459385038555</v>
      </c>
    </row>
    <row r="4419" spans="2:7" ht="15" hidden="1" outlineLevel="2">
      <c r="B4419" s="2889" t="s">
        <v>1640</v>
      </c>
      <c r="C4419" s="2889" t="s">
        <v>1591</v>
      </c>
      <c r="D4419" s="2889" t="s">
        <v>1559</v>
      </c>
      <c r="E4419" s="2889" t="s">
        <v>1426</v>
      </c>
      <c r="F4419" s="2891"/>
      <c r="G4419" s="2890">
        <v>7.7268149244829012E-2</v>
      </c>
    </row>
    <row r="4420" spans="2:7" ht="15" hidden="1" outlineLevel="2">
      <c r="B4420" s="2889" t="s">
        <v>1641</v>
      </c>
      <c r="C4420" s="2889" t="s">
        <v>1591</v>
      </c>
      <c r="D4420" s="2889" t="s">
        <v>1559</v>
      </c>
      <c r="E4420" s="2889" t="s">
        <v>1426</v>
      </c>
      <c r="F4420" s="2891"/>
      <c r="G4420" s="2890">
        <v>0.15885563780174566</v>
      </c>
    </row>
    <row r="4421" spans="2:7" ht="15" hidden="1" outlineLevel="2">
      <c r="B4421" s="2889" t="s">
        <v>1642</v>
      </c>
      <c r="C4421" s="2889" t="s">
        <v>1591</v>
      </c>
      <c r="D4421" s="2889" t="s">
        <v>1559</v>
      </c>
      <c r="E4421" s="2889" t="s">
        <v>1426</v>
      </c>
      <c r="F4421" s="2891"/>
      <c r="G4421" s="2890">
        <v>0.46744820860197744</v>
      </c>
    </row>
    <row r="4422" spans="2:7" ht="15" hidden="1" outlineLevel="2">
      <c r="B4422" s="2889" t="s">
        <v>1643</v>
      </c>
      <c r="C4422" s="2889" t="s">
        <v>1591</v>
      </c>
      <c r="D4422" s="2889" t="s">
        <v>1559</v>
      </c>
      <c r="E4422" s="2889" t="s">
        <v>1426</v>
      </c>
      <c r="F4422" s="2891"/>
      <c r="G4422" s="2890">
        <v>4.5500497691978871E-2</v>
      </c>
    </row>
    <row r="4423" spans="2:7" ht="15" hidden="1" outlineLevel="2">
      <c r="B4423" s="2889" t="s">
        <v>1644</v>
      </c>
      <c r="C4423" s="2889" t="s">
        <v>1591</v>
      </c>
      <c r="D4423" s="2889" t="s">
        <v>1559</v>
      </c>
      <c r="E4423" s="2889" t="s">
        <v>1426</v>
      </c>
      <c r="F4423" s="3040"/>
      <c r="G4423" s="2890">
        <v>1.4292205341455246</v>
      </c>
    </row>
    <row r="4424" spans="2:7" ht="15" hidden="1" outlineLevel="2">
      <c r="B4424" s="2889" t="s">
        <v>1645</v>
      </c>
      <c r="C4424" s="2889" t="s">
        <v>1591</v>
      </c>
      <c r="D4424" s="2889" t="s">
        <v>1559</v>
      </c>
      <c r="E4424" s="2889" t="s">
        <v>1426</v>
      </c>
      <c r="F4424" s="3040"/>
      <c r="G4424" s="2890">
        <v>0.69829299392000821</v>
      </c>
    </row>
    <row r="4425" spans="2:7" ht="15" hidden="1" outlineLevel="2">
      <c r="B4425" s="2889" t="s">
        <v>1646</v>
      </c>
      <c r="C4425" s="2889" t="s">
        <v>1591</v>
      </c>
      <c r="D4425" s="2889" t="s">
        <v>1559</v>
      </c>
      <c r="E4425" s="2889" t="s">
        <v>1426</v>
      </c>
      <c r="F4425" s="3040"/>
      <c r="G4425" s="2890">
        <v>4.5593004670123588E-2</v>
      </c>
    </row>
    <row r="4426" spans="2:7" ht="15" hidden="1" outlineLevel="2">
      <c r="B4426" s="2889" t="s">
        <v>1647</v>
      </c>
      <c r="C4426" s="2889" t="s">
        <v>1591</v>
      </c>
      <c r="D4426" s="2889" t="s">
        <v>1559</v>
      </c>
      <c r="E4426" s="2889" t="s">
        <v>1426</v>
      </c>
      <c r="F4426" s="2891"/>
      <c r="G4426" s="2890">
        <v>3.5034629610201914E-2</v>
      </c>
    </row>
    <row r="4427" spans="2:7" ht="15" hidden="1" outlineLevel="2">
      <c r="B4427" s="2889" t="s">
        <v>1648</v>
      </c>
      <c r="C4427" s="2889" t="s">
        <v>1591</v>
      </c>
      <c r="D4427" s="2889" t="s">
        <v>1559</v>
      </c>
      <c r="E4427" s="2889" t="s">
        <v>1426</v>
      </c>
      <c r="F4427" s="3040"/>
      <c r="G4427" s="2890">
        <v>7.7268149244829012E-2</v>
      </c>
    </row>
    <row r="4428" spans="2:7" ht="15" hidden="1" outlineLevel="2">
      <c r="B4428" s="2889" t="s">
        <v>1649</v>
      </c>
      <c r="C4428" s="2889" t="s">
        <v>1591</v>
      </c>
      <c r="D4428" s="2889" t="s">
        <v>1559</v>
      </c>
      <c r="E4428" s="2889" t="s">
        <v>1426</v>
      </c>
      <c r="F4428" s="3040"/>
      <c r="G4428" s="2890">
        <v>7.5828384851565955E-2</v>
      </c>
    </row>
    <row r="4429" spans="2:7" ht="15" hidden="1" outlineLevel="2">
      <c r="B4429" s="2889" t="s">
        <v>1650</v>
      </c>
      <c r="C4429" s="2889" t="s">
        <v>1591</v>
      </c>
      <c r="D4429" s="2889" t="s">
        <v>1559</v>
      </c>
      <c r="E4429" s="2889" t="s">
        <v>1426</v>
      </c>
      <c r="F4429" s="2891"/>
      <c r="G4429" s="2890">
        <v>0.10846338127553809</v>
      </c>
    </row>
    <row r="4430" spans="2:7" ht="15" hidden="1" outlineLevel="2">
      <c r="B4430" s="2889" t="s">
        <v>1651</v>
      </c>
      <c r="C4430" s="2889" t="s">
        <v>1591</v>
      </c>
      <c r="D4430" s="2889" t="s">
        <v>1559</v>
      </c>
      <c r="E4430" s="2889" t="s">
        <v>1426</v>
      </c>
      <c r="F4430" s="3040"/>
      <c r="G4430" s="2890">
        <v>4.895248033170721E-2</v>
      </c>
    </row>
    <row r="4431" spans="2:7" ht="15" hidden="1" outlineLevel="2">
      <c r="B4431" s="2889" t="s">
        <v>1652</v>
      </c>
      <c r="C4431" s="2889" t="s">
        <v>1591</v>
      </c>
      <c r="D4431" s="2889" t="s">
        <v>1559</v>
      </c>
      <c r="E4431" s="2889" t="s">
        <v>1426</v>
      </c>
      <c r="F4431" s="3040"/>
      <c r="G4431" s="2890">
        <v>7.7268149243838666E-2</v>
      </c>
    </row>
    <row r="4432" spans="2:7" ht="15" hidden="1" outlineLevel="2">
      <c r="B4432" s="2889" t="s">
        <v>1653</v>
      </c>
      <c r="C4432" s="2889" t="s">
        <v>1591</v>
      </c>
      <c r="D4432" s="2889" t="s">
        <v>1559</v>
      </c>
      <c r="E4432" s="2889" t="s">
        <v>1426</v>
      </c>
      <c r="F4432" s="3040"/>
      <c r="G4432" s="2890">
        <v>8.6866669800039792E-2</v>
      </c>
    </row>
    <row r="4433" spans="2:7" ht="15" hidden="1" outlineLevel="2">
      <c r="B4433" s="2889" t="s">
        <v>1407</v>
      </c>
      <c r="C4433" s="2889" t="s">
        <v>1592</v>
      </c>
      <c r="D4433" s="2889" t="s">
        <v>1559</v>
      </c>
      <c r="E4433" s="2889" t="s">
        <v>1426</v>
      </c>
      <c r="F4433" s="2891"/>
      <c r="G4433" s="2890">
        <v>3.2064114795481493</v>
      </c>
    </row>
    <row r="4434" spans="2:7" ht="15" hidden="1" outlineLevel="2">
      <c r="B4434" s="2889" t="s">
        <v>1631</v>
      </c>
      <c r="C4434" s="2889" t="s">
        <v>1592</v>
      </c>
      <c r="D4434" s="2889" t="s">
        <v>1559</v>
      </c>
      <c r="E4434" s="2889" t="s">
        <v>1426</v>
      </c>
      <c r="F4434" s="3039">
        <v>3.4254043259993143E-3</v>
      </c>
      <c r="G4434" s="2890">
        <v>153.65123158384466</v>
      </c>
    </row>
    <row r="4435" spans="2:7" ht="15" hidden="1" outlineLevel="2">
      <c r="B4435" s="2889" t="s">
        <v>1632</v>
      </c>
      <c r="C4435" s="2889" t="s">
        <v>1592</v>
      </c>
      <c r="D4435" s="2889" t="s">
        <v>1559</v>
      </c>
      <c r="E4435" s="2889" t="s">
        <v>1426</v>
      </c>
      <c r="F4435" s="2891"/>
      <c r="G4435" s="2890">
        <v>184.68934547638278</v>
      </c>
    </row>
    <row r="4436" spans="2:7" ht="15" hidden="1" outlineLevel="2">
      <c r="B4436" s="2889" t="s">
        <v>1633</v>
      </c>
      <c r="C4436" s="2889" t="s">
        <v>1592</v>
      </c>
      <c r="D4436" s="2889" t="s">
        <v>1559</v>
      </c>
      <c r="E4436" s="2889" t="s">
        <v>1426</v>
      </c>
      <c r="F4436" s="3040"/>
      <c r="G4436" s="2890">
        <v>11.030056844473028</v>
      </c>
    </row>
    <row r="4437" spans="2:7" ht="15" hidden="1" outlineLevel="2">
      <c r="B4437" s="2889" t="s">
        <v>1634</v>
      </c>
      <c r="C4437" s="2889" t="s">
        <v>1592</v>
      </c>
      <c r="D4437" s="2889" t="s">
        <v>1559</v>
      </c>
      <c r="E4437" s="2889" t="s">
        <v>1426</v>
      </c>
      <c r="F4437" s="3040"/>
      <c r="G4437" s="2890">
        <v>2.6021645822646068E-29</v>
      </c>
    </row>
    <row r="4438" spans="2:7" ht="15" hidden="1" outlineLevel="2">
      <c r="B4438" s="2889" t="s">
        <v>1635</v>
      </c>
      <c r="C4438" s="2889" t="s">
        <v>1592</v>
      </c>
      <c r="D4438" s="2889" t="s">
        <v>1559</v>
      </c>
      <c r="E4438" s="2889" t="s">
        <v>1426</v>
      </c>
      <c r="F4438" s="3040"/>
      <c r="G4438" s="2890">
        <v>58.228450080055396</v>
      </c>
    </row>
    <row r="4439" spans="2:7" ht="15" hidden="1" outlineLevel="2">
      <c r="B4439" s="2889" t="s">
        <v>1636</v>
      </c>
      <c r="C4439" s="2889" t="s">
        <v>1592</v>
      </c>
      <c r="D4439" s="2889" t="s">
        <v>1559</v>
      </c>
      <c r="E4439" s="2889" t="s">
        <v>1426</v>
      </c>
      <c r="F4439" s="3040"/>
      <c r="G4439" s="2890">
        <v>7.5671357898725056</v>
      </c>
    </row>
    <row r="4440" spans="2:7" ht="15" hidden="1" outlineLevel="2">
      <c r="B4440" s="2889" t="s">
        <v>1637</v>
      </c>
      <c r="C4440" s="2889" t="s">
        <v>1592</v>
      </c>
      <c r="D4440" s="2889" t="s">
        <v>1559</v>
      </c>
      <c r="E4440" s="2889" t="s">
        <v>1426</v>
      </c>
      <c r="F4440" s="3040"/>
      <c r="G4440" s="2890">
        <v>15.903800947910694</v>
      </c>
    </row>
    <row r="4441" spans="2:7" ht="15" hidden="1" outlineLevel="2">
      <c r="B4441" s="2889" t="s">
        <v>1638</v>
      </c>
      <c r="C4441" s="2889" t="s">
        <v>1592</v>
      </c>
      <c r="D4441" s="2889" t="s">
        <v>1559</v>
      </c>
      <c r="E4441" s="2889" t="s">
        <v>1426</v>
      </c>
      <c r="F4441" s="3040"/>
      <c r="G4441" s="2890">
        <v>2.6021645822646068E-29</v>
      </c>
    </row>
    <row r="4442" spans="2:7" ht="15" hidden="1" outlineLevel="2">
      <c r="B4442" s="2889" t="s">
        <v>1639</v>
      </c>
      <c r="C4442" s="2889" t="s">
        <v>1592</v>
      </c>
      <c r="D4442" s="2889" t="s">
        <v>1559</v>
      </c>
      <c r="E4442" s="2889" t="s">
        <v>1426</v>
      </c>
      <c r="F4442" s="3040"/>
      <c r="G4442" s="2890">
        <v>96.705362551070351</v>
      </c>
    </row>
    <row r="4443" spans="2:7" ht="15" hidden="1" outlineLevel="2">
      <c r="B4443" s="2889" t="s">
        <v>1640</v>
      </c>
      <c r="C4443" s="2889" t="s">
        <v>1592</v>
      </c>
      <c r="D4443" s="2889" t="s">
        <v>1559</v>
      </c>
      <c r="E4443" s="2889" t="s">
        <v>1426</v>
      </c>
      <c r="F4443" s="3040"/>
      <c r="G4443" s="2890">
        <v>15.647293957154277</v>
      </c>
    </row>
    <row r="4444" spans="2:7" ht="15" hidden="1" outlineLevel="2">
      <c r="B4444" s="2889" t="s">
        <v>1641</v>
      </c>
      <c r="C4444" s="2889" t="s">
        <v>1592</v>
      </c>
      <c r="D4444" s="2889" t="s">
        <v>1559</v>
      </c>
      <c r="E4444" s="2889" t="s">
        <v>1426</v>
      </c>
      <c r="F4444" s="3040"/>
      <c r="G4444" s="2890">
        <v>42.452909528431597</v>
      </c>
    </row>
    <row r="4445" spans="2:7" ht="15" hidden="1" outlineLevel="2">
      <c r="B4445" s="2889" t="s">
        <v>1642</v>
      </c>
      <c r="C4445" s="2889" t="s">
        <v>1592</v>
      </c>
      <c r="D4445" s="2889" t="s">
        <v>1559</v>
      </c>
      <c r="E4445" s="2889" t="s">
        <v>1426</v>
      </c>
      <c r="F4445" s="3040"/>
      <c r="G4445" s="2890">
        <v>124.92191856571966</v>
      </c>
    </row>
    <row r="4446" spans="2:7" ht="15" hidden="1" outlineLevel="2">
      <c r="B4446" s="2889" t="s">
        <v>1643</v>
      </c>
      <c r="C4446" s="2889" t="s">
        <v>1592</v>
      </c>
      <c r="D4446" s="2889" t="s">
        <v>1559</v>
      </c>
      <c r="E4446" s="2889" t="s">
        <v>1426</v>
      </c>
      <c r="F4446" s="3040"/>
      <c r="G4446" s="2890">
        <v>13.408056245664625</v>
      </c>
    </row>
    <row r="4447" spans="2:7" ht="15" hidden="1" outlineLevel="2">
      <c r="B4447" s="2889" t="s">
        <v>1644</v>
      </c>
      <c r="C4447" s="2889" t="s">
        <v>1592</v>
      </c>
      <c r="D4447" s="2889" t="s">
        <v>1559</v>
      </c>
      <c r="E4447" s="2889" t="s">
        <v>1426</v>
      </c>
      <c r="F4447" s="2891"/>
      <c r="G4447" s="2890">
        <v>381.94785105815777</v>
      </c>
    </row>
    <row r="4448" spans="2:7" ht="15" hidden="1" outlineLevel="2">
      <c r="B4448" s="2889" t="s">
        <v>1645</v>
      </c>
      <c r="C4448" s="2889" t="s">
        <v>1592</v>
      </c>
      <c r="D4448" s="2889" t="s">
        <v>1559</v>
      </c>
      <c r="E4448" s="2889" t="s">
        <v>1426</v>
      </c>
      <c r="F4448" s="2891"/>
      <c r="G4448" s="2890">
        <v>186.61316161515191</v>
      </c>
    </row>
    <row r="4449" spans="2:7" ht="15" hidden="1" outlineLevel="2">
      <c r="B4449" s="2889" t="s">
        <v>1646</v>
      </c>
      <c r="C4449" s="2889" t="s">
        <v>1592</v>
      </c>
      <c r="D4449" s="2889" t="s">
        <v>1559</v>
      </c>
      <c r="E4449" s="2889" t="s">
        <v>1426</v>
      </c>
      <c r="F4449" s="3040"/>
      <c r="G4449" s="2890">
        <v>2.6021645822646023E-29</v>
      </c>
    </row>
    <row r="4450" spans="2:7" ht="15" hidden="1" outlineLevel="2">
      <c r="B4450" s="2889" t="s">
        <v>1647</v>
      </c>
      <c r="C4450" s="2889" t="s">
        <v>1592</v>
      </c>
      <c r="D4450" s="2889" t="s">
        <v>1559</v>
      </c>
      <c r="E4450" s="2889" t="s">
        <v>1426</v>
      </c>
      <c r="F4450" s="3040"/>
      <c r="G4450" s="2890">
        <v>9.3627251683353077</v>
      </c>
    </row>
    <row r="4451" spans="2:7" ht="15" hidden="1" outlineLevel="2">
      <c r="B4451" s="2889" t="s">
        <v>1648</v>
      </c>
      <c r="C4451" s="2889" t="s">
        <v>1592</v>
      </c>
      <c r="D4451" s="2889" t="s">
        <v>1559</v>
      </c>
      <c r="E4451" s="2889" t="s">
        <v>1426</v>
      </c>
      <c r="F4451" s="3040"/>
      <c r="G4451" s="2890">
        <v>2.6021645822646068E-29</v>
      </c>
    </row>
    <row r="4452" spans="2:7" ht="15" hidden="1" outlineLevel="2">
      <c r="B4452" s="2889" t="s">
        <v>1649</v>
      </c>
      <c r="C4452" s="2889" t="s">
        <v>1592</v>
      </c>
      <c r="D4452" s="2889" t="s">
        <v>1559</v>
      </c>
      <c r="E4452" s="2889" t="s">
        <v>1426</v>
      </c>
      <c r="F4452" s="3040"/>
      <c r="G4452" s="2890">
        <v>2.6021645822646068E-29</v>
      </c>
    </row>
    <row r="4453" spans="2:7" ht="15" hidden="1" outlineLevel="2">
      <c r="B4453" s="2889" t="s">
        <v>1650</v>
      </c>
      <c r="C4453" s="2889" t="s">
        <v>1592</v>
      </c>
      <c r="D4453" s="2889" t="s">
        <v>1559</v>
      </c>
      <c r="E4453" s="2889" t="s">
        <v>1426</v>
      </c>
      <c r="F4453" s="3040"/>
      <c r="G4453" s="2890">
        <v>28.985977098955715</v>
      </c>
    </row>
    <row r="4454" spans="2:7" ht="15" hidden="1" outlineLevel="2">
      <c r="B4454" s="2889" t="s">
        <v>1651</v>
      </c>
      <c r="C4454" s="2889" t="s">
        <v>1592</v>
      </c>
      <c r="D4454" s="2889" t="s">
        <v>1559</v>
      </c>
      <c r="E4454" s="2889" t="s">
        <v>1426</v>
      </c>
      <c r="F4454" s="3040"/>
      <c r="G4454" s="2890">
        <v>2.6001288280000003E-29</v>
      </c>
    </row>
    <row r="4455" spans="2:7" ht="15" hidden="1" outlineLevel="2">
      <c r="B4455" s="2889" t="s">
        <v>1652</v>
      </c>
      <c r="C4455" s="2889" t="s">
        <v>1592</v>
      </c>
      <c r="D4455" s="2889" t="s">
        <v>1559</v>
      </c>
      <c r="E4455" s="2889" t="s">
        <v>1426</v>
      </c>
      <c r="F4455" s="3040"/>
      <c r="G4455" s="2890">
        <v>2.6001288280000003E-29</v>
      </c>
    </row>
    <row r="4456" spans="2:7" ht="15" hidden="1" outlineLevel="2">
      <c r="B4456" s="2889" t="s">
        <v>1653</v>
      </c>
      <c r="C4456" s="2889" t="s">
        <v>1592</v>
      </c>
      <c r="D4456" s="2889" t="s">
        <v>1559</v>
      </c>
      <c r="E4456" s="2889" t="s">
        <v>1426</v>
      </c>
      <c r="F4456" s="3040"/>
      <c r="G4456" s="2890">
        <v>23.214422429791544</v>
      </c>
    </row>
    <row r="4457" spans="2:7" ht="15" hidden="1" outlineLevel="2">
      <c r="B4457" s="2889" t="s">
        <v>1407</v>
      </c>
      <c r="C4457" s="2889" t="s">
        <v>1593</v>
      </c>
      <c r="D4457" s="2889" t="s">
        <v>1559</v>
      </c>
      <c r="E4457" s="2889" t="s">
        <v>1426</v>
      </c>
      <c r="F4457" s="3040"/>
      <c r="G4457" s="2890">
        <v>83.900870991751745</v>
      </c>
    </row>
    <row r="4458" spans="2:7" ht="15" hidden="1" outlineLevel="2">
      <c r="B4458" s="2889" t="s">
        <v>1631</v>
      </c>
      <c r="C4458" s="2889" t="s">
        <v>1593</v>
      </c>
      <c r="D4458" s="2889" t="s">
        <v>1559</v>
      </c>
      <c r="E4458" s="2889" t="s">
        <v>1426</v>
      </c>
      <c r="F4458" s="2890">
        <v>0.1783965451353498</v>
      </c>
      <c r="G4458" s="2890">
        <v>4020.5302942067983</v>
      </c>
    </row>
    <row r="4459" spans="2:7" ht="15" hidden="1" outlineLevel="2">
      <c r="B4459" s="2889" t="s">
        <v>1632</v>
      </c>
      <c r="C4459" s="2889" t="s">
        <v>1593</v>
      </c>
      <c r="D4459" s="2889" t="s">
        <v>1559</v>
      </c>
      <c r="E4459" s="2889" t="s">
        <v>1426</v>
      </c>
      <c r="F4459" s="3040"/>
      <c r="G4459" s="2890">
        <v>4832.6898281569183</v>
      </c>
    </row>
    <row r="4460" spans="2:7" ht="15" hidden="1" outlineLevel="2">
      <c r="B4460" s="2889" t="s">
        <v>1633</v>
      </c>
      <c r="C4460" s="2889" t="s">
        <v>1593</v>
      </c>
      <c r="D4460" s="2889" t="s">
        <v>1559</v>
      </c>
      <c r="E4460" s="2889" t="s">
        <v>1426</v>
      </c>
      <c r="F4460" s="3040"/>
      <c r="G4460" s="2890">
        <v>288.61897974000595</v>
      </c>
    </row>
    <row r="4461" spans="2:7" ht="15" hidden="1" outlineLevel="2">
      <c r="B4461" s="2889" t="s">
        <v>1634</v>
      </c>
      <c r="C4461" s="2889" t="s">
        <v>1593</v>
      </c>
      <c r="D4461" s="2889" t="s">
        <v>1559</v>
      </c>
      <c r="E4461" s="2889" t="s">
        <v>1426</v>
      </c>
      <c r="F4461" s="3040"/>
      <c r="G4461" s="2890">
        <v>90.612929842838838</v>
      </c>
    </row>
    <row r="4462" spans="2:7" ht="15" hidden="1" outlineLevel="2">
      <c r="B4462" s="2889" t="s">
        <v>1635</v>
      </c>
      <c r="C4462" s="2889" t="s">
        <v>1593</v>
      </c>
      <c r="D4462" s="2889" t="s">
        <v>1559</v>
      </c>
      <c r="E4462" s="2889" t="s">
        <v>1426</v>
      </c>
      <c r="F4462" s="3040"/>
      <c r="G4462" s="2890">
        <v>1523.6395843298974</v>
      </c>
    </row>
    <row r="4463" spans="2:7" ht="15" hidden="1" outlineLevel="2">
      <c r="B4463" s="2889" t="s">
        <v>1636</v>
      </c>
      <c r="C4463" s="2889" t="s">
        <v>1593</v>
      </c>
      <c r="D4463" s="2889" t="s">
        <v>1559</v>
      </c>
      <c r="E4463" s="2889" t="s">
        <v>1426</v>
      </c>
      <c r="F4463" s="3040"/>
      <c r="G4463" s="2890">
        <v>198.00599656117365</v>
      </c>
    </row>
    <row r="4464" spans="2:7" ht="15" hidden="1" outlineLevel="2">
      <c r="B4464" s="2889" t="s">
        <v>1637</v>
      </c>
      <c r="C4464" s="2889" t="s">
        <v>1593</v>
      </c>
      <c r="D4464" s="2889" t="s">
        <v>1559</v>
      </c>
      <c r="E4464" s="2889" t="s">
        <v>1426</v>
      </c>
      <c r="F4464" s="2891"/>
      <c r="G4464" s="2890">
        <v>416.14820896023201</v>
      </c>
    </row>
    <row r="4465" spans="2:7" ht="15" hidden="1" outlineLevel="2">
      <c r="B4465" s="2889" t="s">
        <v>1638</v>
      </c>
      <c r="C4465" s="2889" t="s">
        <v>1593</v>
      </c>
      <c r="D4465" s="2889" t="s">
        <v>1559</v>
      </c>
      <c r="E4465" s="2889" t="s">
        <v>1426</v>
      </c>
      <c r="F4465" s="2891"/>
      <c r="G4465" s="2890">
        <v>536.96546391625645</v>
      </c>
    </row>
    <row r="4466" spans="2:7" ht="15" hidden="1" outlineLevel="2">
      <c r="B4466" s="2889" t="s">
        <v>1639</v>
      </c>
      <c r="C4466" s="2889" t="s">
        <v>1593</v>
      </c>
      <c r="D4466" s="2889" t="s">
        <v>1559</v>
      </c>
      <c r="E4466" s="2889" t="s">
        <v>1426</v>
      </c>
      <c r="F4466" s="2891"/>
      <c r="G4466" s="2890">
        <v>2530.4496440769017</v>
      </c>
    </row>
    <row r="4467" spans="2:7" ht="15" hidden="1" outlineLevel="2">
      <c r="B4467" s="2889" t="s">
        <v>1640</v>
      </c>
      <c r="C4467" s="2889" t="s">
        <v>1593</v>
      </c>
      <c r="D4467" s="2889" t="s">
        <v>1559</v>
      </c>
      <c r="E4467" s="2889" t="s">
        <v>1426</v>
      </c>
      <c r="F4467" s="2891"/>
      <c r="G4467" s="2890">
        <v>540.32149599598881</v>
      </c>
    </row>
    <row r="4468" spans="2:7" ht="15" hidden="1" outlineLevel="2">
      <c r="B4468" s="2889" t="s">
        <v>1641</v>
      </c>
      <c r="C4468" s="2889" t="s">
        <v>1593</v>
      </c>
      <c r="D4468" s="2889" t="s">
        <v>1559</v>
      </c>
      <c r="E4468" s="2889" t="s">
        <v>1426</v>
      </c>
      <c r="F4468" s="2891"/>
      <c r="G4468" s="2890">
        <v>1110.8472381772367</v>
      </c>
    </row>
    <row r="4469" spans="2:7" ht="15" hidden="1" outlineLevel="2">
      <c r="B4469" s="2889" t="s">
        <v>1642</v>
      </c>
      <c r="C4469" s="2889" t="s">
        <v>1593</v>
      </c>
      <c r="D4469" s="2889" t="s">
        <v>1559</v>
      </c>
      <c r="E4469" s="2889" t="s">
        <v>1426</v>
      </c>
      <c r="F4469" s="2891"/>
      <c r="G4469" s="2890">
        <v>3268.777193384949</v>
      </c>
    </row>
    <row r="4470" spans="2:7" ht="15" hidden="1" outlineLevel="2">
      <c r="B4470" s="2889" t="s">
        <v>1643</v>
      </c>
      <c r="C4470" s="2889" t="s">
        <v>1593</v>
      </c>
      <c r="D4470" s="2889" t="s">
        <v>1559</v>
      </c>
      <c r="E4470" s="2889" t="s">
        <v>1426</v>
      </c>
      <c r="F4470" s="2891"/>
      <c r="G4470" s="2890">
        <v>318.17627797599408</v>
      </c>
    </row>
    <row r="4471" spans="2:7" ht="15" hidden="1" outlineLevel="2">
      <c r="B4471" s="2889" t="s">
        <v>1644</v>
      </c>
      <c r="C4471" s="2889" t="s">
        <v>1593</v>
      </c>
      <c r="D4471" s="2889" t="s">
        <v>1559</v>
      </c>
      <c r="E4471" s="2889" t="s">
        <v>1426</v>
      </c>
      <c r="F4471" s="2891"/>
      <c r="G4471" s="2890">
        <v>9994.2693129035761</v>
      </c>
    </row>
    <row r="4472" spans="2:7" ht="15" hidden="1" outlineLevel="2">
      <c r="B4472" s="2889" t="s">
        <v>1645</v>
      </c>
      <c r="C4472" s="2889" t="s">
        <v>1593</v>
      </c>
      <c r="D4472" s="2889" t="s">
        <v>1559</v>
      </c>
      <c r="E4472" s="2889" t="s">
        <v>1426</v>
      </c>
      <c r="F4472" s="2891"/>
      <c r="G4472" s="2890">
        <v>4883.0292888303475</v>
      </c>
    </row>
    <row r="4473" spans="2:7" ht="15" hidden="1" outlineLevel="2">
      <c r="B4473" s="2889" t="s">
        <v>1646</v>
      </c>
      <c r="C4473" s="2889" t="s">
        <v>1593</v>
      </c>
      <c r="D4473" s="2889" t="s">
        <v>1559</v>
      </c>
      <c r="E4473" s="2889" t="s">
        <v>1426</v>
      </c>
      <c r="F4473" s="2891"/>
      <c r="G4473" s="2890">
        <v>318.82329993485723</v>
      </c>
    </row>
    <row r="4474" spans="2:7" ht="15" hidden="1" outlineLevel="2">
      <c r="B4474" s="2889" t="s">
        <v>1647</v>
      </c>
      <c r="C4474" s="2889" t="s">
        <v>1593</v>
      </c>
      <c r="D4474" s="2889" t="s">
        <v>1559</v>
      </c>
      <c r="E4474" s="2889" t="s">
        <v>1426</v>
      </c>
      <c r="F4474" s="3040"/>
      <c r="G4474" s="2890">
        <v>244.99043918104124</v>
      </c>
    </row>
    <row r="4475" spans="2:7" ht="15" hidden="1" outlineLevel="2">
      <c r="B4475" s="2889" t="s">
        <v>1648</v>
      </c>
      <c r="C4475" s="2889" t="s">
        <v>1593</v>
      </c>
      <c r="D4475" s="2889" t="s">
        <v>1559</v>
      </c>
      <c r="E4475" s="2889" t="s">
        <v>1426</v>
      </c>
      <c r="F4475" s="3040"/>
      <c r="G4475" s="2890">
        <v>540.32149599598881</v>
      </c>
    </row>
    <row r="4476" spans="2:7" ht="15" hidden="1" outlineLevel="2">
      <c r="B4476" s="2889" t="s">
        <v>1649</v>
      </c>
      <c r="C4476" s="2889" t="s">
        <v>1593</v>
      </c>
      <c r="D4476" s="2889" t="s">
        <v>1559</v>
      </c>
      <c r="E4476" s="2889" t="s">
        <v>1426</v>
      </c>
      <c r="F4476" s="2891"/>
      <c r="G4476" s="2890">
        <v>530.25332747577033</v>
      </c>
    </row>
    <row r="4477" spans="2:7" ht="15" hidden="1" outlineLevel="2">
      <c r="B4477" s="2889" t="s">
        <v>1650</v>
      </c>
      <c r="C4477" s="2889" t="s">
        <v>1593</v>
      </c>
      <c r="D4477" s="2889" t="s">
        <v>1559</v>
      </c>
      <c r="E4477" s="2889" t="s">
        <v>1426</v>
      </c>
      <c r="F4477" s="3040"/>
      <c r="G4477" s="2890">
        <v>758.46383147360336</v>
      </c>
    </row>
    <row r="4478" spans="2:7" ht="15" hidden="1" outlineLevel="2">
      <c r="B4478" s="2889" t="s">
        <v>1651</v>
      </c>
      <c r="C4478" s="2889" t="s">
        <v>1593</v>
      </c>
      <c r="D4478" s="2889" t="s">
        <v>1559</v>
      </c>
      <c r="E4478" s="2889" t="s">
        <v>1426</v>
      </c>
      <c r="F4478" s="3040"/>
      <c r="G4478" s="2890">
        <v>342.31549447706152</v>
      </c>
    </row>
    <row r="4479" spans="2:7" ht="15" hidden="1" outlineLevel="2">
      <c r="B4479" s="2889" t="s">
        <v>1652</v>
      </c>
      <c r="C4479" s="2889" t="s">
        <v>1593</v>
      </c>
      <c r="D4479" s="2889" t="s">
        <v>1559</v>
      </c>
      <c r="E4479" s="2889" t="s">
        <v>1426</v>
      </c>
      <c r="F4479" s="3040"/>
      <c r="G4479" s="2890">
        <v>540.3214960693191</v>
      </c>
    </row>
    <row r="4480" spans="2:7" ht="15" hidden="1" outlineLevel="2">
      <c r="B4480" s="2889" t="s">
        <v>1653</v>
      </c>
      <c r="C4480" s="2889" t="s">
        <v>1593</v>
      </c>
      <c r="D4480" s="2889" t="s">
        <v>1559</v>
      </c>
      <c r="E4480" s="2889" t="s">
        <v>1426</v>
      </c>
      <c r="F4480" s="3040"/>
      <c r="G4480" s="2890">
        <v>607.44220954041339</v>
      </c>
    </row>
    <row r="4481" spans="2:7" ht="15" hidden="1" outlineLevel="2">
      <c r="B4481" s="2889" t="s">
        <v>1407</v>
      </c>
      <c r="C4481" s="2889" t="s">
        <v>1594</v>
      </c>
      <c r="D4481" s="2889" t="s">
        <v>1559</v>
      </c>
      <c r="E4481" s="2889" t="s">
        <v>1426</v>
      </c>
      <c r="F4481" s="3040"/>
      <c r="G4481" s="2890">
        <v>17.314300642795118</v>
      </c>
    </row>
    <row r="4482" spans="2:7" ht="15" hidden="1" outlineLevel="2">
      <c r="B4482" s="2889" t="s">
        <v>1631</v>
      </c>
      <c r="C4482" s="2889" t="s">
        <v>1594</v>
      </c>
      <c r="D4482" s="2889" t="s">
        <v>1559</v>
      </c>
      <c r="E4482" s="2889" t="s">
        <v>1426</v>
      </c>
      <c r="F4482" s="2890">
        <v>5.1808914362204771E-2</v>
      </c>
      <c r="G4482" s="2890">
        <v>829.7012505210962</v>
      </c>
    </row>
    <row r="4483" spans="2:7" ht="15" hidden="1" outlineLevel="2">
      <c r="B4483" s="2889" t="s">
        <v>1632</v>
      </c>
      <c r="C4483" s="2889" t="s">
        <v>1594</v>
      </c>
      <c r="D4483" s="2889" t="s">
        <v>1559</v>
      </c>
      <c r="E4483" s="2889" t="s">
        <v>1426</v>
      </c>
      <c r="F4483" s="3040"/>
      <c r="G4483" s="2890">
        <v>997.30405529258462</v>
      </c>
    </row>
    <row r="4484" spans="2:7" ht="15" hidden="1" outlineLevel="2">
      <c r="B4484" s="2889" t="s">
        <v>1633</v>
      </c>
      <c r="C4484" s="2889" t="s">
        <v>1594</v>
      </c>
      <c r="D4484" s="2889" t="s">
        <v>1559</v>
      </c>
      <c r="E4484" s="2889" t="s">
        <v>1426</v>
      </c>
      <c r="F4484" s="3040"/>
      <c r="G4484" s="2890">
        <v>59.561188151646171</v>
      </c>
    </row>
    <row r="4485" spans="2:7" ht="15" hidden="1" outlineLevel="2">
      <c r="B4485" s="2889" t="s">
        <v>1634</v>
      </c>
      <c r="C4485" s="2889" t="s">
        <v>1594</v>
      </c>
      <c r="D4485" s="2889" t="s">
        <v>1559</v>
      </c>
      <c r="E4485" s="2889" t="s">
        <v>1426</v>
      </c>
      <c r="F4485" s="3040"/>
      <c r="G4485" s="2890">
        <v>18.699446512503656</v>
      </c>
    </row>
    <row r="4486" spans="2:7" ht="15" hidden="1" outlineLevel="2">
      <c r="B4486" s="2889" t="s">
        <v>1635</v>
      </c>
      <c r="C4486" s="2889" t="s">
        <v>1594</v>
      </c>
      <c r="D4486" s="2889" t="s">
        <v>1559</v>
      </c>
      <c r="E4486" s="2889" t="s">
        <v>1426</v>
      </c>
      <c r="F4486" s="3040"/>
      <c r="G4486" s="2890">
        <v>314.42756326910262</v>
      </c>
    </row>
    <row r="4487" spans="2:7" ht="15" hidden="1" outlineLevel="2">
      <c r="B4487" s="2889" t="s">
        <v>1636</v>
      </c>
      <c r="C4487" s="2889" t="s">
        <v>1594</v>
      </c>
      <c r="D4487" s="2889" t="s">
        <v>1559</v>
      </c>
      <c r="E4487" s="2889" t="s">
        <v>1426</v>
      </c>
      <c r="F4487" s="3040"/>
      <c r="G4487" s="2890">
        <v>40.861745300020679</v>
      </c>
    </row>
    <row r="4488" spans="2:7" ht="15" hidden="1" outlineLevel="2">
      <c r="B4488" s="2889" t="s">
        <v>1637</v>
      </c>
      <c r="C4488" s="2889" t="s">
        <v>1594</v>
      </c>
      <c r="D4488" s="2889" t="s">
        <v>1559</v>
      </c>
      <c r="E4488" s="2889" t="s">
        <v>1426</v>
      </c>
      <c r="F4488" s="3040"/>
      <c r="G4488" s="2890">
        <v>85.878869282056371</v>
      </c>
    </row>
    <row r="4489" spans="2:7" ht="15" hidden="1" outlineLevel="2">
      <c r="B4489" s="2889" t="s">
        <v>1638</v>
      </c>
      <c r="C4489" s="2889" t="s">
        <v>1594</v>
      </c>
      <c r="D4489" s="2889" t="s">
        <v>1559</v>
      </c>
      <c r="E4489" s="2889" t="s">
        <v>1426</v>
      </c>
      <c r="F4489" s="3040"/>
      <c r="G4489" s="2890">
        <v>110.8115112461734</v>
      </c>
    </row>
    <row r="4490" spans="2:7" ht="15" hidden="1" outlineLevel="2">
      <c r="B4490" s="2889" t="s">
        <v>1639</v>
      </c>
      <c r="C4490" s="2889" t="s">
        <v>1594</v>
      </c>
      <c r="D4490" s="2889" t="s">
        <v>1559</v>
      </c>
      <c r="E4490" s="2889" t="s">
        <v>1426</v>
      </c>
      <c r="F4490" s="3040"/>
      <c r="G4490" s="2890">
        <v>522.19909663467911</v>
      </c>
    </row>
    <row r="4491" spans="2:7" ht="15" hidden="1" outlineLevel="2">
      <c r="B4491" s="2889" t="s">
        <v>1640</v>
      </c>
      <c r="C4491" s="2889" t="s">
        <v>1594</v>
      </c>
      <c r="D4491" s="2889" t="s">
        <v>1559</v>
      </c>
      <c r="E4491" s="2889" t="s">
        <v>1426</v>
      </c>
      <c r="F4491" s="3040"/>
      <c r="G4491" s="2890">
        <v>111.50406737889084</v>
      </c>
    </row>
    <row r="4492" spans="2:7" ht="15" hidden="1" outlineLevel="2">
      <c r="B4492" s="2889" t="s">
        <v>1641</v>
      </c>
      <c r="C4492" s="2889" t="s">
        <v>1594</v>
      </c>
      <c r="D4492" s="2889" t="s">
        <v>1559</v>
      </c>
      <c r="E4492" s="2889" t="s">
        <v>1426</v>
      </c>
      <c r="F4492" s="3040"/>
      <c r="G4492" s="2890">
        <v>229.24122842607429</v>
      </c>
    </row>
    <row r="4493" spans="2:7" ht="15" hidden="1" outlineLevel="2">
      <c r="B4493" s="2889" t="s">
        <v>1642</v>
      </c>
      <c r="C4493" s="2889" t="s">
        <v>1594</v>
      </c>
      <c r="D4493" s="2889" t="s">
        <v>1559</v>
      </c>
      <c r="E4493" s="2889" t="s">
        <v>1426</v>
      </c>
      <c r="F4493" s="3040"/>
      <c r="G4493" s="2890">
        <v>674.5651197116722</v>
      </c>
    </row>
    <row r="4494" spans="2:7" ht="15" hidden="1" outlineLevel="2">
      <c r="B4494" s="2889" t="s">
        <v>1643</v>
      </c>
      <c r="C4494" s="2889" t="s">
        <v>1594</v>
      </c>
      <c r="D4494" s="2889" t="s">
        <v>1559</v>
      </c>
      <c r="E4494" s="2889" t="s">
        <v>1426</v>
      </c>
      <c r="F4494" s="3040"/>
      <c r="G4494" s="2890">
        <v>65.660823548959257</v>
      </c>
    </row>
    <row r="4495" spans="2:7" ht="15" hidden="1" outlineLevel="2">
      <c r="B4495" s="2889" t="s">
        <v>1644</v>
      </c>
      <c r="C4495" s="2889" t="s">
        <v>1594</v>
      </c>
      <c r="D4495" s="2889" t="s">
        <v>1559</v>
      </c>
      <c r="E4495" s="2889" t="s">
        <v>1426</v>
      </c>
      <c r="F4495" s="3040"/>
      <c r="G4495" s="2890">
        <v>2062.4786077436861</v>
      </c>
    </row>
    <row r="4496" spans="2:7" ht="15" hidden="1" outlineLevel="2">
      <c r="B4496" s="2889" t="s">
        <v>1645</v>
      </c>
      <c r="C4496" s="2889" t="s">
        <v>1594</v>
      </c>
      <c r="D4496" s="2889" t="s">
        <v>1559</v>
      </c>
      <c r="E4496" s="2889" t="s">
        <v>1426</v>
      </c>
      <c r="F4496" s="3040"/>
      <c r="G4496" s="2890">
        <v>1007.6922529913478</v>
      </c>
    </row>
    <row r="4497" spans="2:7" ht="15" hidden="1" outlineLevel="2">
      <c r="B4497" s="2889" t="s">
        <v>1646</v>
      </c>
      <c r="C4497" s="2889" t="s">
        <v>1594</v>
      </c>
      <c r="D4497" s="2889" t="s">
        <v>1559</v>
      </c>
      <c r="E4497" s="2889" t="s">
        <v>1426</v>
      </c>
      <c r="F4497" s="2891"/>
      <c r="G4497" s="2890">
        <v>65.79431006561272</v>
      </c>
    </row>
    <row r="4498" spans="2:7" ht="15" hidden="1" outlineLevel="2">
      <c r="B4498" s="2889" t="s">
        <v>1647</v>
      </c>
      <c r="C4498" s="2889" t="s">
        <v>1594</v>
      </c>
      <c r="D4498" s="2889" t="s">
        <v>1559</v>
      </c>
      <c r="E4498" s="2889" t="s">
        <v>1426</v>
      </c>
      <c r="F4498" s="2891"/>
      <c r="G4498" s="2890">
        <v>50.55776296018324</v>
      </c>
    </row>
    <row r="4499" spans="2:7" ht="15" hidden="1" outlineLevel="2">
      <c r="B4499" s="2889" t="s">
        <v>1648</v>
      </c>
      <c r="C4499" s="2889" t="s">
        <v>1594</v>
      </c>
      <c r="D4499" s="2889" t="s">
        <v>1559</v>
      </c>
      <c r="E4499" s="2889" t="s">
        <v>1426</v>
      </c>
      <c r="F4499" s="2891"/>
      <c r="G4499" s="2890">
        <v>111.50406737889084</v>
      </c>
    </row>
    <row r="4500" spans="2:7" ht="15" hidden="1" outlineLevel="2">
      <c r="B4500" s="2889" t="s">
        <v>1649</v>
      </c>
      <c r="C4500" s="2889" t="s">
        <v>1594</v>
      </c>
      <c r="D4500" s="2889" t="s">
        <v>1559</v>
      </c>
      <c r="E4500" s="2889" t="s">
        <v>1426</v>
      </c>
      <c r="F4500" s="2891"/>
      <c r="G4500" s="2890">
        <v>109.42632205002275</v>
      </c>
    </row>
    <row r="4501" spans="2:7" ht="15" hidden="1" outlineLevel="2">
      <c r="B4501" s="2889" t="s">
        <v>1650</v>
      </c>
      <c r="C4501" s="2889" t="s">
        <v>1594</v>
      </c>
      <c r="D4501" s="2889" t="s">
        <v>1559</v>
      </c>
      <c r="E4501" s="2889" t="s">
        <v>1426</v>
      </c>
      <c r="F4501" s="2891"/>
      <c r="G4501" s="2890">
        <v>156.52129293443102</v>
      </c>
    </row>
    <row r="4502" spans="2:7" ht="15" hidden="1" outlineLevel="2">
      <c r="B4502" s="2889" t="s">
        <v>1651</v>
      </c>
      <c r="C4502" s="2889" t="s">
        <v>1594</v>
      </c>
      <c r="D4502" s="2889" t="s">
        <v>1559</v>
      </c>
      <c r="E4502" s="2889" t="s">
        <v>1426</v>
      </c>
      <c r="F4502" s="2891"/>
      <c r="G4502" s="2890">
        <v>70.642363894968597</v>
      </c>
    </row>
    <row r="4503" spans="2:7" ht="15" hidden="1" outlineLevel="2">
      <c r="B4503" s="2889" t="s">
        <v>1652</v>
      </c>
      <c r="C4503" s="2889" t="s">
        <v>1594</v>
      </c>
      <c r="D4503" s="2889" t="s">
        <v>1559</v>
      </c>
      <c r="E4503" s="2889" t="s">
        <v>1426</v>
      </c>
      <c r="F4503" s="3040"/>
      <c r="G4503" s="2890">
        <v>111.50406738292817</v>
      </c>
    </row>
    <row r="4504" spans="2:7" ht="15" hidden="1" outlineLevel="2">
      <c r="B4504" s="2889" t="s">
        <v>1653</v>
      </c>
      <c r="C4504" s="2889" t="s">
        <v>1594</v>
      </c>
      <c r="D4504" s="2889" t="s">
        <v>1559</v>
      </c>
      <c r="E4504" s="2889" t="s">
        <v>1426</v>
      </c>
      <c r="F4504" s="3040"/>
      <c r="G4504" s="2890">
        <v>125.35549931894866</v>
      </c>
    </row>
    <row r="4505" spans="2:7" ht="15" hidden="1" outlineLevel="2">
      <c r="B4505" s="2889" t="s">
        <v>1407</v>
      </c>
      <c r="C4505" s="2889" t="s">
        <v>1595</v>
      </c>
      <c r="D4505" s="2889" t="s">
        <v>1559</v>
      </c>
      <c r="E4505" s="2889" t="s">
        <v>1426</v>
      </c>
      <c r="F4505" s="3040"/>
      <c r="G4505" s="2890">
        <v>114.22880460026066</v>
      </c>
    </row>
    <row r="4506" spans="2:7" ht="15" hidden="1" outlineLevel="2">
      <c r="B4506" s="2889" t="s">
        <v>1631</v>
      </c>
      <c r="C4506" s="2889" t="s">
        <v>1595</v>
      </c>
      <c r="D4506" s="2889" t="s">
        <v>1559</v>
      </c>
      <c r="E4506" s="2889" t="s">
        <v>1426</v>
      </c>
      <c r="F4506" s="2890">
        <v>0.13483777688399134</v>
      </c>
      <c r="G4506" s="2890">
        <v>5473.8443261483071</v>
      </c>
    </row>
    <row r="4507" spans="2:7" ht="15" hidden="1" outlineLevel="2">
      <c r="B4507" s="2889" t="s">
        <v>1632</v>
      </c>
      <c r="C4507" s="2889" t="s">
        <v>1595</v>
      </c>
      <c r="D4507" s="2889" t="s">
        <v>1559</v>
      </c>
      <c r="E4507" s="2889" t="s">
        <v>1426</v>
      </c>
      <c r="F4507" s="3040"/>
      <c r="G4507" s="2890">
        <v>6579.5789531181044</v>
      </c>
    </row>
    <row r="4508" spans="2:7" ht="15" hidden="1" outlineLevel="2">
      <c r="B4508" s="2889" t="s">
        <v>1633</v>
      </c>
      <c r="C4508" s="2889" t="s">
        <v>1595</v>
      </c>
      <c r="D4508" s="2889" t="s">
        <v>1559</v>
      </c>
      <c r="E4508" s="2889" t="s">
        <v>1426</v>
      </c>
      <c r="F4508" s="3040"/>
      <c r="G4508" s="2890">
        <v>392.94709168039361</v>
      </c>
    </row>
    <row r="4509" spans="2:7" ht="15" hidden="1" outlineLevel="2">
      <c r="B4509" s="2889" t="s">
        <v>1634</v>
      </c>
      <c r="C4509" s="2889" t="s">
        <v>1595</v>
      </c>
      <c r="D4509" s="2889" t="s">
        <v>1559</v>
      </c>
      <c r="E4509" s="2889" t="s">
        <v>1426</v>
      </c>
      <c r="F4509" s="3040"/>
      <c r="G4509" s="2890">
        <v>123.36713488400383</v>
      </c>
    </row>
    <row r="4510" spans="2:7" ht="15" hidden="1" outlineLevel="2">
      <c r="B4510" s="2889" t="s">
        <v>1635</v>
      </c>
      <c r="C4510" s="2889" t="s">
        <v>1595</v>
      </c>
      <c r="D4510" s="2889" t="s">
        <v>1559</v>
      </c>
      <c r="E4510" s="2889" t="s">
        <v>1426</v>
      </c>
      <c r="F4510" s="3040"/>
      <c r="G4510" s="2890">
        <v>2074.3947911072255</v>
      </c>
    </row>
    <row r="4511" spans="2:7" ht="15" hidden="1" outlineLevel="2">
      <c r="B4511" s="2889" t="s">
        <v>1636</v>
      </c>
      <c r="C4511" s="2889" t="s">
        <v>1595</v>
      </c>
      <c r="D4511" s="2889" t="s">
        <v>1559</v>
      </c>
      <c r="E4511" s="2889" t="s">
        <v>1426</v>
      </c>
      <c r="F4511" s="3040"/>
      <c r="G4511" s="2890">
        <v>269.57999294508249</v>
      </c>
    </row>
    <row r="4512" spans="2:7" ht="15" hidden="1" outlineLevel="2">
      <c r="B4512" s="2889" t="s">
        <v>1637</v>
      </c>
      <c r="C4512" s="2889" t="s">
        <v>1595</v>
      </c>
      <c r="D4512" s="2889" t="s">
        <v>1559</v>
      </c>
      <c r="E4512" s="2889" t="s">
        <v>1426</v>
      </c>
      <c r="F4512" s="3040"/>
      <c r="G4512" s="2890">
        <v>566.5747892983818</v>
      </c>
    </row>
    <row r="4513" spans="2:7" ht="15" hidden="1" outlineLevel="2">
      <c r="B4513" s="2889" t="s">
        <v>1638</v>
      </c>
      <c r="C4513" s="2889" t="s">
        <v>1595</v>
      </c>
      <c r="D4513" s="2889" t="s">
        <v>1559</v>
      </c>
      <c r="E4513" s="2889" t="s">
        <v>1426</v>
      </c>
      <c r="F4513" s="3040"/>
      <c r="G4513" s="2890">
        <v>731.06431952941193</v>
      </c>
    </row>
    <row r="4514" spans="2:7" ht="15" hidden="1" outlineLevel="2">
      <c r="B4514" s="2889" t="s">
        <v>1639</v>
      </c>
      <c r="C4514" s="2889" t="s">
        <v>1595</v>
      </c>
      <c r="D4514" s="2889" t="s">
        <v>1559</v>
      </c>
      <c r="E4514" s="2889" t="s">
        <v>1426</v>
      </c>
      <c r="F4514" s="3040"/>
      <c r="G4514" s="2890">
        <v>3445.1403425478238</v>
      </c>
    </row>
    <row r="4515" spans="2:7" ht="15" hidden="1" outlineLevel="2">
      <c r="B4515" s="2889" t="s">
        <v>1640</v>
      </c>
      <c r="C4515" s="2889" t="s">
        <v>1595</v>
      </c>
      <c r="D4515" s="2889" t="s">
        <v>1559</v>
      </c>
      <c r="E4515" s="2889" t="s">
        <v>1426</v>
      </c>
      <c r="F4515" s="3040"/>
      <c r="G4515" s="2890">
        <v>735.63337552939686</v>
      </c>
    </row>
    <row r="4516" spans="2:7" ht="15" hidden="1" outlineLevel="2">
      <c r="B4516" s="2889" t="s">
        <v>1641</v>
      </c>
      <c r="C4516" s="2889" t="s">
        <v>1595</v>
      </c>
      <c r="D4516" s="2889" t="s">
        <v>1559</v>
      </c>
      <c r="E4516" s="2889" t="s">
        <v>1426</v>
      </c>
      <c r="F4516" s="3040"/>
      <c r="G4516" s="2890">
        <v>1512.3893477226566</v>
      </c>
    </row>
    <row r="4517" spans="2:7" ht="15" hidden="1" outlineLevel="2">
      <c r="B4517" s="2889" t="s">
        <v>1642</v>
      </c>
      <c r="C4517" s="2889" t="s">
        <v>1595</v>
      </c>
      <c r="D4517" s="2889" t="s">
        <v>1559</v>
      </c>
      <c r="E4517" s="2889" t="s">
        <v>1426</v>
      </c>
      <c r="F4517" s="3040"/>
      <c r="G4517" s="2890">
        <v>4450.3529954877522</v>
      </c>
    </row>
    <row r="4518" spans="2:7" ht="15" hidden="1" outlineLevel="2">
      <c r="B4518" s="2889" t="s">
        <v>1643</v>
      </c>
      <c r="C4518" s="2889" t="s">
        <v>1595</v>
      </c>
      <c r="D4518" s="2889" t="s">
        <v>1559</v>
      </c>
      <c r="E4518" s="2889" t="s">
        <v>1426</v>
      </c>
      <c r="F4518" s="3040"/>
      <c r="G4518" s="2890">
        <v>433.18870314840188</v>
      </c>
    </row>
    <row r="4519" spans="2:7" ht="15" hidden="1" outlineLevel="2">
      <c r="B4519" s="2889" t="s">
        <v>1644</v>
      </c>
      <c r="C4519" s="2889" t="s">
        <v>1595</v>
      </c>
      <c r="D4519" s="2889" t="s">
        <v>1559</v>
      </c>
      <c r="E4519" s="2889" t="s">
        <v>1426</v>
      </c>
      <c r="F4519" s="3040"/>
      <c r="G4519" s="2890">
        <v>13606.934012804872</v>
      </c>
    </row>
    <row r="4520" spans="2:7" ht="15" hidden="1" outlineLevel="2">
      <c r="B4520" s="2889" t="s">
        <v>1645</v>
      </c>
      <c r="C4520" s="2889" t="s">
        <v>1595</v>
      </c>
      <c r="D4520" s="2889" t="s">
        <v>1559</v>
      </c>
      <c r="E4520" s="2889" t="s">
        <v>1426</v>
      </c>
      <c r="F4520" s="3040"/>
      <c r="G4520" s="2890">
        <v>6648.1161081175915</v>
      </c>
    </row>
    <row r="4521" spans="2:7" ht="15" hidden="1" outlineLevel="2">
      <c r="B4521" s="2889" t="s">
        <v>1646</v>
      </c>
      <c r="C4521" s="2889" t="s">
        <v>1595</v>
      </c>
      <c r="D4521" s="2889" t="s">
        <v>1559</v>
      </c>
      <c r="E4521" s="2889" t="s">
        <v>1426</v>
      </c>
      <c r="F4521" s="3040"/>
      <c r="G4521" s="2890">
        <v>434.06943155049373</v>
      </c>
    </row>
    <row r="4522" spans="2:7" ht="15" hidden="1" outlineLevel="2">
      <c r="B4522" s="2889" t="s">
        <v>1647</v>
      </c>
      <c r="C4522" s="2889" t="s">
        <v>1595</v>
      </c>
      <c r="D4522" s="2889" t="s">
        <v>1559</v>
      </c>
      <c r="E4522" s="2889" t="s">
        <v>1426</v>
      </c>
      <c r="F4522" s="3040"/>
      <c r="G4522" s="2890">
        <v>333.54806928777475</v>
      </c>
    </row>
    <row r="4523" spans="2:7" ht="15" hidden="1" outlineLevel="2">
      <c r="B4523" s="2889" t="s">
        <v>1648</v>
      </c>
      <c r="C4523" s="2889" t="s">
        <v>1595</v>
      </c>
      <c r="D4523" s="2889" t="s">
        <v>1559</v>
      </c>
      <c r="E4523" s="2889" t="s">
        <v>1426</v>
      </c>
      <c r="F4523" s="3040"/>
      <c r="G4523" s="2890">
        <v>735.63337552939686</v>
      </c>
    </row>
    <row r="4524" spans="2:7" ht="15" hidden="1" outlineLevel="2">
      <c r="B4524" s="2889" t="s">
        <v>1649</v>
      </c>
      <c r="C4524" s="2889" t="s">
        <v>1595</v>
      </c>
      <c r="D4524" s="2889" t="s">
        <v>1559</v>
      </c>
      <c r="E4524" s="2889" t="s">
        <v>1426</v>
      </c>
      <c r="F4524" s="3040"/>
      <c r="G4524" s="2890">
        <v>721.92610783959299</v>
      </c>
    </row>
    <row r="4525" spans="2:7" ht="15" hidden="1" outlineLevel="2">
      <c r="B4525" s="2889" t="s">
        <v>1650</v>
      </c>
      <c r="C4525" s="2889" t="s">
        <v>1595</v>
      </c>
      <c r="D4525" s="2889" t="s">
        <v>1559</v>
      </c>
      <c r="E4525" s="2889" t="s">
        <v>1426</v>
      </c>
      <c r="F4525" s="3040"/>
      <c r="G4525" s="2890">
        <v>1032.6284039372747</v>
      </c>
    </row>
    <row r="4526" spans="2:7" ht="15" hidden="1" outlineLevel="2">
      <c r="B4526" s="2889" t="s">
        <v>1651</v>
      </c>
      <c r="C4526" s="2889" t="s">
        <v>1595</v>
      </c>
      <c r="D4526" s="2889" t="s">
        <v>1559</v>
      </c>
      <c r="E4526" s="2889" t="s">
        <v>1426</v>
      </c>
      <c r="F4526" s="3040"/>
      <c r="G4526" s="2890">
        <v>466.05351416785169</v>
      </c>
    </row>
    <row r="4527" spans="2:7" ht="15" hidden="1" outlineLevel="2">
      <c r="B4527" s="2889" t="s">
        <v>1652</v>
      </c>
      <c r="C4527" s="2889" t="s">
        <v>1595</v>
      </c>
      <c r="D4527" s="2889" t="s">
        <v>1559</v>
      </c>
      <c r="E4527" s="2889" t="s">
        <v>1426</v>
      </c>
      <c r="F4527" s="3040"/>
      <c r="G4527" s="2890">
        <v>735.63337552004998</v>
      </c>
    </row>
    <row r="4528" spans="2:7" ht="15" hidden="1" outlineLevel="2">
      <c r="B4528" s="2889" t="s">
        <v>1653</v>
      </c>
      <c r="C4528" s="2889" t="s">
        <v>1595</v>
      </c>
      <c r="D4528" s="2889" t="s">
        <v>1559</v>
      </c>
      <c r="E4528" s="2889" t="s">
        <v>1426</v>
      </c>
      <c r="F4528" s="3040"/>
      <c r="G4528" s="2890">
        <v>827.01638951450514</v>
      </c>
    </row>
    <row r="4529" spans="2:7" ht="15" hidden="1" outlineLevel="2">
      <c r="B4529" s="2889" t="s">
        <v>1407</v>
      </c>
      <c r="C4529" s="2889" t="s">
        <v>1596</v>
      </c>
      <c r="D4529" s="2889" t="s">
        <v>1559</v>
      </c>
      <c r="E4529" s="2889" t="s">
        <v>1426</v>
      </c>
      <c r="F4529" s="3040"/>
      <c r="G4529" s="2890">
        <v>13.468560388639375</v>
      </c>
    </row>
    <row r="4530" spans="2:7" ht="15" hidden="1" outlineLevel="2">
      <c r="B4530" s="2889" t="s">
        <v>1631</v>
      </c>
      <c r="C4530" s="2889" t="s">
        <v>1596</v>
      </c>
      <c r="D4530" s="2889" t="s">
        <v>1559</v>
      </c>
      <c r="E4530" s="2889" t="s">
        <v>1426</v>
      </c>
      <c r="F4530" s="2890">
        <v>2.5860788763594836E-2</v>
      </c>
      <c r="G4530" s="2890">
        <v>645.41337422681465</v>
      </c>
    </row>
    <row r="4531" spans="2:7" ht="15" hidden="1" outlineLevel="2">
      <c r="B4531" s="2889" t="s">
        <v>1632</v>
      </c>
      <c r="C4531" s="2889" t="s">
        <v>1596</v>
      </c>
      <c r="D4531" s="2889" t="s">
        <v>1559</v>
      </c>
      <c r="E4531" s="2889" t="s">
        <v>1426</v>
      </c>
      <c r="F4531" s="3040"/>
      <c r="G4531" s="2890">
        <v>775.78913900107375</v>
      </c>
    </row>
    <row r="4532" spans="2:7" ht="15" hidden="1" outlineLevel="2">
      <c r="B4532" s="2889" t="s">
        <v>1633</v>
      </c>
      <c r="C4532" s="2889" t="s">
        <v>1596</v>
      </c>
      <c r="D4532" s="2889" t="s">
        <v>1559</v>
      </c>
      <c r="E4532" s="2889" t="s">
        <v>1426</v>
      </c>
      <c r="F4532" s="3040"/>
      <c r="G4532" s="2890">
        <v>46.331843866946443</v>
      </c>
    </row>
    <row r="4533" spans="2:7" ht="15" hidden="1" outlineLevel="2">
      <c r="B4533" s="2889" t="s">
        <v>1634</v>
      </c>
      <c r="C4533" s="2889" t="s">
        <v>1596</v>
      </c>
      <c r="D4533" s="2889" t="s">
        <v>1559</v>
      </c>
      <c r="E4533" s="2889" t="s">
        <v>1426</v>
      </c>
      <c r="F4533" s="3040"/>
      <c r="G4533" s="2890">
        <v>14.546045469014084</v>
      </c>
    </row>
    <row r="4534" spans="2:7" ht="15" hidden="1" outlineLevel="2">
      <c r="B4534" s="2889" t="s">
        <v>1635</v>
      </c>
      <c r="C4534" s="2889" t="s">
        <v>1596</v>
      </c>
      <c r="D4534" s="2889" t="s">
        <v>1559</v>
      </c>
      <c r="E4534" s="2889" t="s">
        <v>1426</v>
      </c>
      <c r="F4534" s="3040"/>
      <c r="G4534" s="2890">
        <v>244.58907132588095</v>
      </c>
    </row>
    <row r="4535" spans="2:7" ht="15" hidden="1" outlineLevel="2">
      <c r="B4535" s="2889" t="s">
        <v>1636</v>
      </c>
      <c r="C4535" s="2889" t="s">
        <v>1596</v>
      </c>
      <c r="D4535" s="2889" t="s">
        <v>1559</v>
      </c>
      <c r="E4535" s="2889" t="s">
        <v>1426</v>
      </c>
      <c r="F4535" s="3040"/>
      <c r="G4535" s="2890">
        <v>31.785793891183808</v>
      </c>
    </row>
    <row r="4536" spans="2:7" ht="15" hidden="1" outlineLevel="2">
      <c r="B4536" s="2889" t="s">
        <v>1637</v>
      </c>
      <c r="C4536" s="2889" t="s">
        <v>1596</v>
      </c>
      <c r="D4536" s="2889" t="s">
        <v>1559</v>
      </c>
      <c r="E4536" s="2889" t="s">
        <v>1426</v>
      </c>
      <c r="F4536" s="3040"/>
      <c r="G4536" s="2890">
        <v>66.804051326556987</v>
      </c>
    </row>
    <row r="4537" spans="2:7" ht="15" hidden="1" outlineLevel="2">
      <c r="B4537" s="2889" t="s">
        <v>1638</v>
      </c>
      <c r="C4537" s="2889" t="s">
        <v>1596</v>
      </c>
      <c r="D4537" s="2889" t="s">
        <v>1559</v>
      </c>
      <c r="E4537" s="2889" t="s">
        <v>1426</v>
      </c>
      <c r="F4537" s="3040"/>
      <c r="G4537" s="2890">
        <v>86.198779994437501</v>
      </c>
    </row>
    <row r="4538" spans="2:7" ht="15" hidden="1" outlineLevel="2">
      <c r="B4538" s="2889" t="s">
        <v>1639</v>
      </c>
      <c r="C4538" s="2889" t="s">
        <v>1596</v>
      </c>
      <c r="D4538" s="2889" t="s">
        <v>1559</v>
      </c>
      <c r="E4538" s="2889" t="s">
        <v>1426</v>
      </c>
      <c r="F4538" s="3040"/>
      <c r="G4538" s="2890">
        <v>406.2117401866999</v>
      </c>
    </row>
    <row r="4539" spans="2:7" ht="15" hidden="1" outlineLevel="2">
      <c r="B4539" s="2889" t="s">
        <v>1640</v>
      </c>
      <c r="C4539" s="2889" t="s">
        <v>1596</v>
      </c>
      <c r="D4539" s="2889" t="s">
        <v>1559</v>
      </c>
      <c r="E4539" s="2889" t="s">
        <v>1426</v>
      </c>
      <c r="F4539" s="3040"/>
      <c r="G4539" s="2890">
        <v>86.737528034707111</v>
      </c>
    </row>
    <row r="4540" spans="2:7" ht="15" hidden="1" outlineLevel="2">
      <c r="B4540" s="2889" t="s">
        <v>1641</v>
      </c>
      <c r="C4540" s="2889" t="s">
        <v>1596</v>
      </c>
      <c r="D4540" s="2889" t="s">
        <v>1559</v>
      </c>
      <c r="E4540" s="2889" t="s">
        <v>1426</v>
      </c>
      <c r="F4540" s="3040"/>
      <c r="G4540" s="2890">
        <v>178.32370929753625</v>
      </c>
    </row>
    <row r="4541" spans="2:7" ht="15" hidden="1" outlineLevel="2">
      <c r="B4541" s="2889" t="s">
        <v>1642</v>
      </c>
      <c r="C4541" s="2889" t="s">
        <v>1596</v>
      </c>
      <c r="D4541" s="2889" t="s">
        <v>1559</v>
      </c>
      <c r="E4541" s="2889" t="s">
        <v>1426</v>
      </c>
      <c r="F4541" s="3040"/>
      <c r="G4541" s="2890">
        <v>524.73516862056374</v>
      </c>
    </row>
    <row r="4542" spans="2:7" ht="15" hidden="1" outlineLevel="2">
      <c r="B4542" s="2889" t="s">
        <v>1643</v>
      </c>
      <c r="C4542" s="2889" t="s">
        <v>1596</v>
      </c>
      <c r="D4542" s="2889" t="s">
        <v>1559</v>
      </c>
      <c r="E4542" s="2889" t="s">
        <v>1426</v>
      </c>
      <c r="F4542" s="3040"/>
      <c r="G4542" s="2890">
        <v>51.076684723236369</v>
      </c>
    </row>
    <row r="4543" spans="2:7" ht="15" hidden="1" outlineLevel="2">
      <c r="B4543" s="2889" t="s">
        <v>1644</v>
      </c>
      <c r="C4543" s="2889" t="s">
        <v>1596</v>
      </c>
      <c r="D4543" s="2889" t="s">
        <v>1559</v>
      </c>
      <c r="E4543" s="2889" t="s">
        <v>1426</v>
      </c>
      <c r="F4543" s="2891"/>
      <c r="G4543" s="2890">
        <v>1604.3747800744782</v>
      </c>
    </row>
    <row r="4544" spans="2:7" ht="15" hidden="1" outlineLevel="2">
      <c r="B4544" s="2889" t="s">
        <v>1645</v>
      </c>
      <c r="C4544" s="2889" t="s">
        <v>1596</v>
      </c>
      <c r="D4544" s="2889" t="s">
        <v>1559</v>
      </c>
      <c r="E4544" s="2889" t="s">
        <v>1426</v>
      </c>
      <c r="F4544" s="2891"/>
      <c r="G4544" s="2890">
        <v>783.87033198002428</v>
      </c>
    </row>
    <row r="4545" spans="2:7" ht="15" hidden="1" outlineLevel="2">
      <c r="B4545" s="2889" t="s">
        <v>1646</v>
      </c>
      <c r="C4545" s="2889" t="s">
        <v>1596</v>
      </c>
      <c r="D4545" s="2889" t="s">
        <v>1559</v>
      </c>
      <c r="E4545" s="2889" t="s">
        <v>1426</v>
      </c>
      <c r="F4545" s="2891"/>
      <c r="G4545" s="2890">
        <v>51.180529217185828</v>
      </c>
    </row>
    <row r="4546" spans="2:7" ht="15" hidden="1" outlineLevel="2">
      <c r="B4546" s="2889" t="s">
        <v>1647</v>
      </c>
      <c r="C4546" s="2889" t="s">
        <v>1596</v>
      </c>
      <c r="D4546" s="2889" t="s">
        <v>1559</v>
      </c>
      <c r="E4546" s="2889" t="s">
        <v>1426</v>
      </c>
      <c r="F4546" s="2891"/>
      <c r="G4546" s="2890">
        <v>39.328203565459624</v>
      </c>
    </row>
    <row r="4547" spans="2:7" ht="15" hidden="1" outlineLevel="2">
      <c r="B4547" s="2889" t="s">
        <v>1648</v>
      </c>
      <c r="C4547" s="2889" t="s">
        <v>1596</v>
      </c>
      <c r="D4547" s="2889" t="s">
        <v>1559</v>
      </c>
      <c r="E4547" s="2889" t="s">
        <v>1426</v>
      </c>
      <c r="F4547" s="2891"/>
      <c r="G4547" s="2890">
        <v>86.737528034707111</v>
      </c>
    </row>
    <row r="4548" spans="2:7" ht="15" hidden="1" outlineLevel="2">
      <c r="B4548" s="2889" t="s">
        <v>1649</v>
      </c>
      <c r="C4548" s="2889" t="s">
        <v>1596</v>
      </c>
      <c r="D4548" s="2889" t="s">
        <v>1559</v>
      </c>
      <c r="E4548" s="2889" t="s">
        <v>1426</v>
      </c>
      <c r="F4548" s="2891"/>
      <c r="G4548" s="2890">
        <v>85.121290335723501</v>
      </c>
    </row>
    <row r="4549" spans="2:7" ht="15" hidden="1" outlineLevel="2">
      <c r="B4549" s="2889" t="s">
        <v>1650</v>
      </c>
      <c r="C4549" s="2889" t="s">
        <v>1596</v>
      </c>
      <c r="D4549" s="2889" t="s">
        <v>1559</v>
      </c>
      <c r="E4549" s="2889" t="s">
        <v>1426</v>
      </c>
      <c r="F4549" s="2891"/>
      <c r="G4549" s="2890">
        <v>121.75574246050925</v>
      </c>
    </row>
    <row r="4550" spans="2:7" ht="15" hidden="1" outlineLevel="2">
      <c r="B4550" s="2889" t="s">
        <v>1651</v>
      </c>
      <c r="C4550" s="2889" t="s">
        <v>1596</v>
      </c>
      <c r="D4550" s="2889" t="s">
        <v>1559</v>
      </c>
      <c r="E4550" s="2889" t="s">
        <v>1426</v>
      </c>
      <c r="F4550" s="2891"/>
      <c r="G4550" s="2890">
        <v>54.951728350653831</v>
      </c>
    </row>
    <row r="4551" spans="2:7" ht="15" hidden="1" outlineLevel="2">
      <c r="B4551" s="2889" t="s">
        <v>1652</v>
      </c>
      <c r="C4551" s="2889" t="s">
        <v>1596</v>
      </c>
      <c r="D4551" s="2889" t="s">
        <v>1559</v>
      </c>
      <c r="E4551" s="2889" t="s">
        <v>1426</v>
      </c>
      <c r="F4551" s="2891"/>
      <c r="G4551" s="2890">
        <v>86.737528034865477</v>
      </c>
    </row>
    <row r="4552" spans="2:7" ht="15" hidden="1" outlineLevel="2">
      <c r="B4552" s="2889" t="s">
        <v>1653</v>
      </c>
      <c r="C4552" s="2889" t="s">
        <v>1596</v>
      </c>
      <c r="D4552" s="2889" t="s">
        <v>1559</v>
      </c>
      <c r="E4552" s="2889" t="s">
        <v>1426</v>
      </c>
      <c r="F4552" s="2891"/>
      <c r="G4552" s="2890">
        <v>97.512386264789228</v>
      </c>
    </row>
    <row r="4553" spans="2:7" ht="15" hidden="1" outlineLevel="2">
      <c r="B4553" s="2889" t="s">
        <v>1407</v>
      </c>
      <c r="C4553" s="2889" t="s">
        <v>1597</v>
      </c>
      <c r="D4553" s="2889" t="s">
        <v>1559</v>
      </c>
      <c r="E4553" s="2889" t="s">
        <v>1426</v>
      </c>
      <c r="F4553" s="2891"/>
      <c r="G4553" s="2890">
        <v>0.32082952351062732</v>
      </c>
    </row>
    <row r="4554" spans="2:7" ht="15" hidden="1" outlineLevel="2">
      <c r="B4554" s="2889" t="s">
        <v>1631</v>
      </c>
      <c r="C4554" s="2889" t="s">
        <v>1597</v>
      </c>
      <c r="D4554" s="2889" t="s">
        <v>1559</v>
      </c>
      <c r="E4554" s="2889" t="s">
        <v>1426</v>
      </c>
      <c r="F4554" s="3039">
        <v>5.400954619712426E-4</v>
      </c>
      <c r="G4554" s="2890">
        <v>15.374149160054172</v>
      </c>
    </row>
    <row r="4555" spans="2:7" ht="15" hidden="1" outlineLevel="2">
      <c r="B4555" s="2889" t="s">
        <v>1632</v>
      </c>
      <c r="C4555" s="2889" t="s">
        <v>1597</v>
      </c>
      <c r="D4555" s="2889" t="s">
        <v>1559</v>
      </c>
      <c r="E4555" s="2889" t="s">
        <v>1426</v>
      </c>
      <c r="F4555" s="2891"/>
      <c r="G4555" s="2890">
        <v>18.47977974369487</v>
      </c>
    </row>
    <row r="4556" spans="2:7" ht="15" hidden="1" outlineLevel="2">
      <c r="B4556" s="2889" t="s">
        <v>1633</v>
      </c>
      <c r="C4556" s="2889" t="s">
        <v>1597</v>
      </c>
      <c r="D4556" s="2889" t="s">
        <v>1559</v>
      </c>
      <c r="E4556" s="2889" t="s">
        <v>1426</v>
      </c>
      <c r="F4556" s="2891"/>
      <c r="G4556" s="2890">
        <v>1.1036533018772345</v>
      </c>
    </row>
    <row r="4557" spans="2:7" ht="15" hidden="1" outlineLevel="2">
      <c r="B4557" s="2889" t="s">
        <v>1634</v>
      </c>
      <c r="C4557" s="2889" t="s">
        <v>1597</v>
      </c>
      <c r="D4557" s="2889" t="s">
        <v>1559</v>
      </c>
      <c r="E4557" s="2889" t="s">
        <v>1426</v>
      </c>
      <c r="F4557" s="2891"/>
      <c r="G4557" s="2890">
        <v>0.34649578994111901</v>
      </c>
    </row>
    <row r="4558" spans="2:7" ht="15" hidden="1" outlineLevel="2">
      <c r="B4558" s="2889" t="s">
        <v>1635</v>
      </c>
      <c r="C4558" s="2889" t="s">
        <v>1597</v>
      </c>
      <c r="D4558" s="2889" t="s">
        <v>1559</v>
      </c>
      <c r="E4558" s="2889" t="s">
        <v>1426</v>
      </c>
      <c r="F4558" s="2891"/>
      <c r="G4558" s="2890">
        <v>5.8262645405521658</v>
      </c>
    </row>
    <row r="4559" spans="2:7" ht="15" hidden="1" outlineLevel="2">
      <c r="B4559" s="2889" t="s">
        <v>1636</v>
      </c>
      <c r="C4559" s="2889" t="s">
        <v>1597</v>
      </c>
      <c r="D4559" s="2889" t="s">
        <v>1559</v>
      </c>
      <c r="E4559" s="2889" t="s">
        <v>1426</v>
      </c>
      <c r="F4559" s="2891"/>
      <c r="G4559" s="2890">
        <v>0.75715760812675015</v>
      </c>
    </row>
    <row r="4560" spans="2:7" ht="15" hidden="1" outlineLevel="2">
      <c r="B4560" s="2889" t="s">
        <v>1637</v>
      </c>
      <c r="C4560" s="2889" t="s">
        <v>1597</v>
      </c>
      <c r="D4560" s="2889" t="s">
        <v>1559</v>
      </c>
      <c r="E4560" s="2889" t="s">
        <v>1426</v>
      </c>
      <c r="F4560" s="2891"/>
      <c r="G4560" s="2890">
        <v>1.5913142809533578</v>
      </c>
    </row>
    <row r="4561" spans="2:7" ht="15" hidden="1" outlineLevel="2">
      <c r="B4561" s="2889" t="s">
        <v>1638</v>
      </c>
      <c r="C4561" s="2889" t="s">
        <v>1597</v>
      </c>
      <c r="D4561" s="2889" t="s">
        <v>1559</v>
      </c>
      <c r="E4561" s="2889" t="s">
        <v>1426</v>
      </c>
      <c r="F4561" s="2891"/>
      <c r="G4561" s="2890">
        <v>2.0533084642688482</v>
      </c>
    </row>
    <row r="4562" spans="2:7" ht="15" hidden="1" outlineLevel="2">
      <c r="B4562" s="2889" t="s">
        <v>1639</v>
      </c>
      <c r="C4562" s="2889" t="s">
        <v>1597</v>
      </c>
      <c r="D4562" s="2889" t="s">
        <v>1559</v>
      </c>
      <c r="E4562" s="2889" t="s">
        <v>1426</v>
      </c>
      <c r="F4562" s="2891"/>
      <c r="G4562" s="2890">
        <v>9.67621731830301</v>
      </c>
    </row>
    <row r="4563" spans="2:7" ht="15" hidden="1" outlineLevel="2">
      <c r="B4563" s="2889" t="s">
        <v>1640</v>
      </c>
      <c r="C4563" s="2889" t="s">
        <v>1597</v>
      </c>
      <c r="D4563" s="2889" t="s">
        <v>1559</v>
      </c>
      <c r="E4563" s="2889" t="s">
        <v>1426</v>
      </c>
      <c r="F4563" s="2891"/>
      <c r="G4563" s="2890">
        <v>2.0661424734008036</v>
      </c>
    </row>
    <row r="4564" spans="2:7" ht="15" hidden="1" outlineLevel="2">
      <c r="B4564" s="2889" t="s">
        <v>1641</v>
      </c>
      <c r="C4564" s="2889" t="s">
        <v>1597</v>
      </c>
      <c r="D4564" s="2889" t="s">
        <v>1559</v>
      </c>
      <c r="E4564" s="2889" t="s">
        <v>1426</v>
      </c>
      <c r="F4564" s="2891"/>
      <c r="G4564" s="2890">
        <v>4.2477832515043072</v>
      </c>
    </row>
    <row r="4565" spans="2:7" ht="15" hidden="1" outlineLevel="2">
      <c r="B4565" s="2889" t="s">
        <v>1642</v>
      </c>
      <c r="C4565" s="2889" t="s">
        <v>1597</v>
      </c>
      <c r="D4565" s="2889" t="s">
        <v>1559</v>
      </c>
      <c r="E4565" s="2889" t="s">
        <v>1426</v>
      </c>
      <c r="F4565" s="2891"/>
      <c r="G4565" s="2890">
        <v>12.499518230443339</v>
      </c>
    </row>
    <row r="4566" spans="2:7" ht="15" hidden="1" outlineLevel="2">
      <c r="B4566" s="2889" t="s">
        <v>1643</v>
      </c>
      <c r="C4566" s="2889" t="s">
        <v>1597</v>
      </c>
      <c r="D4566" s="2889" t="s">
        <v>1559</v>
      </c>
      <c r="E4566" s="2889" t="s">
        <v>1426</v>
      </c>
      <c r="F4566" s="2891"/>
      <c r="G4566" s="2890">
        <v>1.216678789128556</v>
      </c>
    </row>
    <row r="4567" spans="2:7" ht="15" hidden="1" outlineLevel="2">
      <c r="B4567" s="2889" t="s">
        <v>1644</v>
      </c>
      <c r="C4567" s="2889" t="s">
        <v>1597</v>
      </c>
      <c r="D4567" s="2889" t="s">
        <v>1559</v>
      </c>
      <c r="E4567" s="2889" t="s">
        <v>1426</v>
      </c>
      <c r="F4567" s="2891"/>
      <c r="G4567" s="2890">
        <v>38.217216136923085</v>
      </c>
    </row>
    <row r="4568" spans="2:7" ht="15" hidden="1" outlineLevel="2">
      <c r="B4568" s="2889" t="s">
        <v>1645</v>
      </c>
      <c r="C4568" s="2889" t="s">
        <v>1597</v>
      </c>
      <c r="D4568" s="2889" t="s">
        <v>1559</v>
      </c>
      <c r="E4568" s="2889" t="s">
        <v>1426</v>
      </c>
      <c r="F4568" s="3040"/>
      <c r="G4568" s="2890">
        <v>18.672277556558132</v>
      </c>
    </row>
    <row r="4569" spans="2:7" ht="15" hidden="1" outlineLevel="2">
      <c r="B4569" s="2889" t="s">
        <v>1646</v>
      </c>
      <c r="C4569" s="2889" t="s">
        <v>1597</v>
      </c>
      <c r="D4569" s="2889" t="s">
        <v>1559</v>
      </c>
      <c r="E4569" s="2889" t="s">
        <v>1426</v>
      </c>
      <c r="F4569" s="3040"/>
      <c r="G4569" s="2890">
        <v>1.2191520005109011</v>
      </c>
    </row>
    <row r="4570" spans="2:7" ht="15" hidden="1" outlineLevel="2">
      <c r="B4570" s="2889" t="s">
        <v>1647</v>
      </c>
      <c r="C4570" s="2889" t="s">
        <v>1597</v>
      </c>
      <c r="D4570" s="2889" t="s">
        <v>1559</v>
      </c>
      <c r="E4570" s="2889" t="s">
        <v>1426</v>
      </c>
      <c r="F4570" s="3040"/>
      <c r="G4570" s="2890">
        <v>0.93682220675024708</v>
      </c>
    </row>
    <row r="4571" spans="2:7" ht="15" hidden="1" outlineLevel="2">
      <c r="B4571" s="2889" t="s">
        <v>1648</v>
      </c>
      <c r="C4571" s="2889" t="s">
        <v>1597</v>
      </c>
      <c r="D4571" s="2889" t="s">
        <v>1559</v>
      </c>
      <c r="E4571" s="2889" t="s">
        <v>1426</v>
      </c>
      <c r="F4571" s="3040"/>
      <c r="G4571" s="2890">
        <v>2.0661424734008036</v>
      </c>
    </row>
    <row r="4572" spans="2:7" ht="15" hidden="1" outlineLevel="2">
      <c r="B4572" s="2889" t="s">
        <v>1649</v>
      </c>
      <c r="C4572" s="2889" t="s">
        <v>1597</v>
      </c>
      <c r="D4572" s="2889" t="s">
        <v>1559</v>
      </c>
      <c r="E4572" s="2889" t="s">
        <v>1426</v>
      </c>
      <c r="F4572" s="3040"/>
      <c r="G4572" s="2890">
        <v>2.0276423949913895</v>
      </c>
    </row>
    <row r="4573" spans="2:7" ht="15" hidden="1" outlineLevel="2">
      <c r="B4573" s="2889" t="s">
        <v>1650</v>
      </c>
      <c r="C4573" s="2889" t="s">
        <v>1597</v>
      </c>
      <c r="D4573" s="2889" t="s">
        <v>1559</v>
      </c>
      <c r="E4573" s="2889" t="s">
        <v>1426</v>
      </c>
      <c r="F4573" s="3040"/>
      <c r="G4573" s="2890">
        <v>2.9002983460274092</v>
      </c>
    </row>
    <row r="4574" spans="2:7" ht="15" hidden="1" outlineLevel="2">
      <c r="B4574" s="2889" t="s">
        <v>1651</v>
      </c>
      <c r="C4574" s="2889" t="s">
        <v>1597</v>
      </c>
      <c r="D4574" s="2889" t="s">
        <v>1559</v>
      </c>
      <c r="E4574" s="2889" t="s">
        <v>1426</v>
      </c>
      <c r="F4574" s="3040"/>
      <c r="G4574" s="2890">
        <v>1.3089845243992875</v>
      </c>
    </row>
    <row r="4575" spans="2:7" ht="15" hidden="1" outlineLevel="2">
      <c r="B4575" s="2889" t="s">
        <v>1652</v>
      </c>
      <c r="C4575" s="2889" t="s">
        <v>1597</v>
      </c>
      <c r="D4575" s="2889" t="s">
        <v>1559</v>
      </c>
      <c r="E4575" s="2889" t="s">
        <v>1426</v>
      </c>
      <c r="F4575" s="3040"/>
      <c r="G4575" s="2890">
        <v>2.0661424734243501</v>
      </c>
    </row>
    <row r="4576" spans="2:7" ht="15" hidden="1" outlineLevel="2">
      <c r="B4576" s="2889" t="s">
        <v>1653</v>
      </c>
      <c r="C4576" s="2889" t="s">
        <v>1597</v>
      </c>
      <c r="D4576" s="2889" t="s">
        <v>1559</v>
      </c>
      <c r="E4576" s="2889" t="s">
        <v>1426</v>
      </c>
      <c r="F4576" s="3040"/>
      <c r="G4576" s="2890">
        <v>2.322804858196895</v>
      </c>
    </row>
    <row r="4577" spans="2:7" ht="15" hidden="1" outlineLevel="2">
      <c r="B4577" s="2889" t="s">
        <v>1407</v>
      </c>
      <c r="C4577" s="2889" t="s">
        <v>1425</v>
      </c>
      <c r="D4577" s="2889" t="s">
        <v>197</v>
      </c>
      <c r="E4577" s="2889" t="s">
        <v>1426</v>
      </c>
      <c r="F4577" s="3040"/>
      <c r="G4577" s="2890">
        <v>3.3456514020855851E-2</v>
      </c>
    </row>
    <row r="4578" spans="2:7" ht="15" hidden="1" outlineLevel="2">
      <c r="B4578" s="2889" t="s">
        <v>1631</v>
      </c>
      <c r="C4578" s="2889" t="s">
        <v>1425</v>
      </c>
      <c r="D4578" s="2889" t="s">
        <v>197</v>
      </c>
      <c r="E4578" s="2889" t="s">
        <v>1426</v>
      </c>
      <c r="F4578" s="2890">
        <v>5.5708340968698725E-6</v>
      </c>
      <c r="G4578" s="2890">
        <v>6.219018949945785E-2</v>
      </c>
    </row>
    <row r="4579" spans="2:7" ht="15" hidden="1" outlineLevel="2">
      <c r="B4579" s="2889" t="s">
        <v>1632</v>
      </c>
      <c r="C4579" s="2889" t="s">
        <v>1425</v>
      </c>
      <c r="D4579" s="2889" t="s">
        <v>197</v>
      </c>
      <c r="E4579" s="2889" t="s">
        <v>1426</v>
      </c>
      <c r="F4579" s="3040"/>
      <c r="G4579" s="2890">
        <v>0.12722594928147507</v>
      </c>
    </row>
    <row r="4580" spans="2:7" ht="15" hidden="1" outlineLevel="2">
      <c r="B4580" s="2889" t="s">
        <v>1633</v>
      </c>
      <c r="C4580" s="2889" t="s">
        <v>1425</v>
      </c>
      <c r="D4580" s="2889" t="s">
        <v>197</v>
      </c>
      <c r="E4580" s="2889" t="s">
        <v>1426</v>
      </c>
      <c r="F4580" s="3040"/>
      <c r="G4580" s="2890">
        <v>4.4769528637189838E-2</v>
      </c>
    </row>
    <row r="4581" spans="2:7" ht="15" hidden="1" outlineLevel="2">
      <c r="B4581" s="2889" t="s">
        <v>1634</v>
      </c>
      <c r="C4581" s="2889" t="s">
        <v>1425</v>
      </c>
      <c r="D4581" s="2889" t="s">
        <v>197</v>
      </c>
      <c r="E4581" s="2889" t="s">
        <v>1426</v>
      </c>
      <c r="F4581" s="3040"/>
      <c r="G4581" s="2890">
        <v>0.29141500293023287</v>
      </c>
    </row>
    <row r="4582" spans="2:7" ht="15" hidden="1" outlineLevel="2">
      <c r="B4582" s="2889" t="s">
        <v>1635</v>
      </c>
      <c r="C4582" s="2889" t="s">
        <v>1425</v>
      </c>
      <c r="D4582" s="2889" t="s">
        <v>197</v>
      </c>
      <c r="E4582" s="2889" t="s">
        <v>1426</v>
      </c>
      <c r="F4582" s="3040"/>
      <c r="G4582" s="2890">
        <v>0.32980601949692007</v>
      </c>
    </row>
    <row r="4583" spans="2:7" ht="15" hidden="1" outlineLevel="2">
      <c r="B4583" s="2889" t="s">
        <v>1636</v>
      </c>
      <c r="C4583" s="2889" t="s">
        <v>1425</v>
      </c>
      <c r="D4583" s="2889" t="s">
        <v>197</v>
      </c>
      <c r="E4583" s="2889" t="s">
        <v>1426</v>
      </c>
      <c r="F4583" s="3040"/>
      <c r="G4583" s="2890">
        <v>0.16037511920716455</v>
      </c>
    </row>
    <row r="4584" spans="2:7" ht="15" hidden="1" outlineLevel="2">
      <c r="B4584" s="2889" t="s">
        <v>1637</v>
      </c>
      <c r="C4584" s="2889" t="s">
        <v>1425</v>
      </c>
      <c r="D4584" s="2889" t="s">
        <v>197</v>
      </c>
      <c r="E4584" s="2889" t="s">
        <v>1426</v>
      </c>
      <c r="F4584" s="3040"/>
      <c r="G4584" s="2890">
        <v>7.5387068535670496E-2</v>
      </c>
    </row>
    <row r="4585" spans="2:7" ht="15" hidden="1" outlineLevel="2">
      <c r="B4585" s="2889" t="s">
        <v>1638</v>
      </c>
      <c r="C4585" s="2889" t="s">
        <v>1425</v>
      </c>
      <c r="D4585" s="2889" t="s">
        <v>197</v>
      </c>
      <c r="E4585" s="2889" t="s">
        <v>1426</v>
      </c>
      <c r="F4585" s="3040"/>
      <c r="G4585" s="2890">
        <v>0.26298216247193229</v>
      </c>
    </row>
    <row r="4586" spans="2:7" ht="15" hidden="1" outlineLevel="2">
      <c r="B4586" s="2889" t="s">
        <v>1639</v>
      </c>
      <c r="C4586" s="2889" t="s">
        <v>1425</v>
      </c>
      <c r="D4586" s="2889" t="s">
        <v>197</v>
      </c>
      <c r="E4586" s="2889" t="s">
        <v>1426</v>
      </c>
      <c r="F4586" s="3040"/>
      <c r="G4586" s="2890">
        <v>0.40126335285226877</v>
      </c>
    </row>
    <row r="4587" spans="2:7" ht="15" hidden="1" outlineLevel="2">
      <c r="B4587" s="2889" t="s">
        <v>1640</v>
      </c>
      <c r="C4587" s="2889" t="s">
        <v>1425</v>
      </c>
      <c r="D4587" s="2889" t="s">
        <v>197</v>
      </c>
      <c r="E4587" s="2889" t="s">
        <v>1426</v>
      </c>
      <c r="F4587" s="3040"/>
      <c r="G4587" s="2890">
        <v>0.12273453443120345</v>
      </c>
    </row>
    <row r="4588" spans="2:7" ht="15" hidden="1" outlineLevel="2">
      <c r="B4588" s="2889" t="s">
        <v>1641</v>
      </c>
      <c r="C4588" s="2889" t="s">
        <v>1425</v>
      </c>
      <c r="D4588" s="2889" t="s">
        <v>197</v>
      </c>
      <c r="E4588" s="2889" t="s">
        <v>1426</v>
      </c>
      <c r="F4588" s="2891"/>
      <c r="G4588" s="2890">
        <v>0.1502354616987146</v>
      </c>
    </row>
    <row r="4589" spans="2:7" ht="15" hidden="1" outlineLevel="2">
      <c r="B4589" s="2889" t="s">
        <v>1642</v>
      </c>
      <c r="C4589" s="2889" t="s">
        <v>1425</v>
      </c>
      <c r="D4589" s="2889" t="s">
        <v>197</v>
      </c>
      <c r="E4589" s="2889" t="s">
        <v>1426</v>
      </c>
      <c r="F4589" s="2891"/>
      <c r="G4589" s="2890">
        <v>6.8152440307595152E-2</v>
      </c>
    </row>
    <row r="4590" spans="2:7" ht="15" hidden="1" outlineLevel="2">
      <c r="B4590" s="2889" t="s">
        <v>1643</v>
      </c>
      <c r="C4590" s="2889" t="s">
        <v>1425</v>
      </c>
      <c r="D4590" s="2889" t="s">
        <v>197</v>
      </c>
      <c r="E4590" s="2889" t="s">
        <v>1426</v>
      </c>
      <c r="F4590" s="2891"/>
      <c r="G4590" s="2890">
        <v>0.33290352753736768</v>
      </c>
    </row>
    <row r="4591" spans="2:7" ht="15" hidden="1" outlineLevel="2">
      <c r="B4591" s="2889" t="s">
        <v>1644</v>
      </c>
      <c r="C4591" s="2889" t="s">
        <v>1425</v>
      </c>
      <c r="D4591" s="2889" t="s">
        <v>197</v>
      </c>
      <c r="E4591" s="2889" t="s">
        <v>1426</v>
      </c>
      <c r="F4591" s="2891"/>
      <c r="G4591" s="2890">
        <v>0.14595212361279411</v>
      </c>
    </row>
    <row r="4592" spans="2:7" ht="15" hidden="1" outlineLevel="2">
      <c r="B4592" s="2889" t="s">
        <v>1645</v>
      </c>
      <c r="C4592" s="2889" t="s">
        <v>1425</v>
      </c>
      <c r="D4592" s="2889" t="s">
        <v>197</v>
      </c>
      <c r="E4592" s="2889" t="s">
        <v>1426</v>
      </c>
      <c r="F4592" s="2891"/>
      <c r="G4592" s="2890">
        <v>5.7064151977385943E-2</v>
      </c>
    </row>
    <row r="4593" spans="2:7" ht="15" hidden="1" outlineLevel="2">
      <c r="B4593" s="2889" t="s">
        <v>1646</v>
      </c>
      <c r="C4593" s="2889" t="s">
        <v>1425</v>
      </c>
      <c r="D4593" s="2889" t="s">
        <v>197</v>
      </c>
      <c r="E4593" s="2889" t="s">
        <v>1426</v>
      </c>
      <c r="F4593" s="2891"/>
      <c r="G4593" s="2890">
        <v>0.41135675082889311</v>
      </c>
    </row>
    <row r="4594" spans="2:7" ht="15" hidden="1" outlineLevel="2">
      <c r="B4594" s="2889" t="s">
        <v>1647</v>
      </c>
      <c r="C4594" s="2889" t="s">
        <v>1425</v>
      </c>
      <c r="D4594" s="2889" t="s">
        <v>197</v>
      </c>
      <c r="E4594" s="2889" t="s">
        <v>1426</v>
      </c>
      <c r="F4594" s="2891"/>
      <c r="G4594" s="2890">
        <v>0.11281288140024114</v>
      </c>
    </row>
    <row r="4595" spans="2:7" ht="15" hidden="1" outlineLevel="2">
      <c r="B4595" s="2889" t="s">
        <v>1648</v>
      </c>
      <c r="C4595" s="2889" t="s">
        <v>1425</v>
      </c>
      <c r="D4595" s="2889" t="s">
        <v>197</v>
      </c>
      <c r="E4595" s="2889" t="s">
        <v>1426</v>
      </c>
      <c r="F4595" s="3040"/>
      <c r="G4595" s="2890">
        <v>0.10168193029243625</v>
      </c>
    </row>
    <row r="4596" spans="2:7" ht="15" hidden="1" outlineLevel="2">
      <c r="B4596" s="2889" t="s">
        <v>1649</v>
      </c>
      <c r="C4596" s="2889" t="s">
        <v>1425</v>
      </c>
      <c r="D4596" s="2889" t="s">
        <v>197</v>
      </c>
      <c r="E4596" s="2889" t="s">
        <v>1426</v>
      </c>
      <c r="F4596" s="3040"/>
      <c r="G4596" s="2890">
        <v>0.26512378526951963</v>
      </c>
    </row>
    <row r="4597" spans="2:7" ht="15" hidden="1" outlineLevel="2">
      <c r="B4597" s="2889" t="s">
        <v>1650</v>
      </c>
      <c r="C4597" s="2889" t="s">
        <v>1425</v>
      </c>
      <c r="D4597" s="2889" t="s">
        <v>197</v>
      </c>
      <c r="E4597" s="2889" t="s">
        <v>1426</v>
      </c>
      <c r="F4597" s="3040"/>
      <c r="G4597" s="2890">
        <v>0.24228956248418743</v>
      </c>
    </row>
    <row r="4598" spans="2:7" ht="15" hidden="1" outlineLevel="2">
      <c r="B4598" s="2889" t="s">
        <v>1651</v>
      </c>
      <c r="C4598" s="2889" t="s">
        <v>1425</v>
      </c>
      <c r="D4598" s="2889" t="s">
        <v>197</v>
      </c>
      <c r="E4598" s="2889" t="s">
        <v>1426</v>
      </c>
      <c r="F4598" s="3040"/>
      <c r="G4598" s="2890">
        <v>0.18610777644276197</v>
      </c>
    </row>
    <row r="4599" spans="2:7" ht="15" hidden="1" outlineLevel="2">
      <c r="B4599" s="2889" t="s">
        <v>1652</v>
      </c>
      <c r="C4599" s="2889" t="s">
        <v>1425</v>
      </c>
      <c r="D4599" s="2889" t="s">
        <v>197</v>
      </c>
      <c r="E4599" s="2889" t="s">
        <v>1426</v>
      </c>
      <c r="F4599" s="3040"/>
      <c r="G4599" s="2890">
        <v>0.28293770298027537</v>
      </c>
    </row>
    <row r="4600" spans="2:7" ht="15" hidden="1" outlineLevel="2">
      <c r="B4600" s="2889" t="s">
        <v>1653</v>
      </c>
      <c r="C4600" s="2889" t="s">
        <v>1425</v>
      </c>
      <c r="D4600" s="2889" t="s">
        <v>197</v>
      </c>
      <c r="E4600" s="2889" t="s">
        <v>1426</v>
      </c>
      <c r="F4600" s="3040"/>
      <c r="G4600" s="2890">
        <v>5.4461997501739343E-36</v>
      </c>
    </row>
    <row r="4601" spans="2:7" ht="15" hidden="1" outlineLevel="2">
      <c r="B4601" s="2889" t="s">
        <v>1407</v>
      </c>
      <c r="C4601" s="2889" t="s">
        <v>1427</v>
      </c>
      <c r="D4601" s="2889" t="s">
        <v>197</v>
      </c>
      <c r="E4601" s="2889" t="s">
        <v>1426</v>
      </c>
      <c r="F4601" s="3040"/>
      <c r="G4601" s="2890">
        <v>1446.4053030323942</v>
      </c>
    </row>
    <row r="4602" spans="2:7" ht="15" hidden="1" outlineLevel="2">
      <c r="B4602" s="2889" t="s">
        <v>1631</v>
      </c>
      <c r="C4602" s="2889" t="s">
        <v>1427</v>
      </c>
      <c r="D4602" s="2889" t="s">
        <v>197</v>
      </c>
      <c r="E4602" s="2889" t="s">
        <v>1426</v>
      </c>
      <c r="F4602" s="2890">
        <v>7.591361101367966E-2</v>
      </c>
      <c r="G4602" s="2890">
        <v>2688.6305600069909</v>
      </c>
    </row>
    <row r="4603" spans="2:7" ht="15" hidden="1" outlineLevel="2">
      <c r="B4603" s="2889" t="s">
        <v>1632</v>
      </c>
      <c r="C4603" s="2889" t="s">
        <v>1427</v>
      </c>
      <c r="D4603" s="2889" t="s">
        <v>197</v>
      </c>
      <c r="E4603" s="2889" t="s">
        <v>1426</v>
      </c>
      <c r="F4603" s="3040"/>
      <c r="G4603" s="2890">
        <v>5500.2828290000116</v>
      </c>
    </row>
    <row r="4604" spans="2:7" ht="15" hidden="1" outlineLevel="2">
      <c r="B4604" s="2889" t="s">
        <v>1633</v>
      </c>
      <c r="C4604" s="2889" t="s">
        <v>1427</v>
      </c>
      <c r="D4604" s="2889" t="s">
        <v>197</v>
      </c>
      <c r="E4604" s="2889" t="s">
        <v>1426</v>
      </c>
      <c r="F4604" s="3040"/>
      <c r="G4604" s="2890">
        <v>1935.49386126543</v>
      </c>
    </row>
    <row r="4605" spans="2:7" ht="15" hidden="1" outlineLevel="2">
      <c r="B4605" s="2889" t="s">
        <v>1634</v>
      </c>
      <c r="C4605" s="2889" t="s">
        <v>1427</v>
      </c>
      <c r="D4605" s="2889" t="s">
        <v>197</v>
      </c>
      <c r="E4605" s="2889" t="s">
        <v>1426</v>
      </c>
      <c r="F4605" s="3040"/>
      <c r="G4605" s="2890">
        <v>12598.570747964222</v>
      </c>
    </row>
    <row r="4606" spans="2:7" ht="15" hidden="1" outlineLevel="2">
      <c r="B4606" s="2889" t="s">
        <v>1635</v>
      </c>
      <c r="C4606" s="2889" t="s">
        <v>1427</v>
      </c>
      <c r="D4606" s="2889" t="s">
        <v>197</v>
      </c>
      <c r="E4606" s="2889" t="s">
        <v>1426</v>
      </c>
      <c r="F4606" s="3040"/>
      <c r="G4606" s="2890">
        <v>14258.303681287831</v>
      </c>
    </row>
    <row r="4607" spans="2:7" ht="15" hidden="1" outlineLevel="2">
      <c r="B4607" s="2889" t="s">
        <v>1636</v>
      </c>
      <c r="C4607" s="2889" t="s">
        <v>1427</v>
      </c>
      <c r="D4607" s="2889" t="s">
        <v>197</v>
      </c>
      <c r="E4607" s="2889" t="s">
        <v>1426</v>
      </c>
      <c r="F4607" s="3040"/>
      <c r="G4607" s="2890">
        <v>6933.4004184210798</v>
      </c>
    </row>
    <row r="4608" spans="2:7" ht="15" hidden="1" outlineLevel="2">
      <c r="B4608" s="2889" t="s">
        <v>1637</v>
      </c>
      <c r="C4608" s="2889" t="s">
        <v>1427</v>
      </c>
      <c r="D4608" s="2889" t="s">
        <v>197</v>
      </c>
      <c r="E4608" s="2889" t="s">
        <v>1426</v>
      </c>
      <c r="F4608" s="3040"/>
      <c r="G4608" s="2890">
        <v>3259.1625763979682</v>
      </c>
    </row>
    <row r="4609" spans="2:7" ht="15" hidden="1" outlineLevel="2">
      <c r="B4609" s="2889" t="s">
        <v>1638</v>
      </c>
      <c r="C4609" s="2889" t="s">
        <v>1427</v>
      </c>
      <c r="D4609" s="2889" t="s">
        <v>197</v>
      </c>
      <c r="E4609" s="2889" t="s">
        <v>1426</v>
      </c>
      <c r="F4609" s="3040"/>
      <c r="G4609" s="2890">
        <v>11369.348375419426</v>
      </c>
    </row>
    <row r="4610" spans="2:7" ht="15" hidden="1" outlineLevel="2">
      <c r="B4610" s="2889" t="s">
        <v>1639</v>
      </c>
      <c r="C4610" s="2889" t="s">
        <v>1427</v>
      </c>
      <c r="D4610" s="2889" t="s">
        <v>197</v>
      </c>
      <c r="E4610" s="2889" t="s">
        <v>1426</v>
      </c>
      <c r="F4610" s="3040"/>
      <c r="G4610" s="2890">
        <v>17347.577280931982</v>
      </c>
    </row>
    <row r="4611" spans="2:7" ht="15" hidden="1" outlineLevel="2">
      <c r="B4611" s="2889" t="s">
        <v>1640</v>
      </c>
      <c r="C4611" s="2889" t="s">
        <v>1427</v>
      </c>
      <c r="D4611" s="2889" t="s">
        <v>197</v>
      </c>
      <c r="E4611" s="2889" t="s">
        <v>1426</v>
      </c>
      <c r="F4611" s="3040"/>
      <c r="G4611" s="2890">
        <v>5306.1047393930148</v>
      </c>
    </row>
    <row r="4612" spans="2:7" ht="15" hidden="1" outlineLevel="2">
      <c r="B4612" s="2889" t="s">
        <v>1641</v>
      </c>
      <c r="C4612" s="2889" t="s">
        <v>1427</v>
      </c>
      <c r="D4612" s="2889" t="s">
        <v>197</v>
      </c>
      <c r="E4612" s="2889" t="s">
        <v>1426</v>
      </c>
      <c r="F4612" s="3040"/>
      <c r="G4612" s="2890">
        <v>6495.0351823221745</v>
      </c>
    </row>
    <row r="4613" spans="2:7" ht="15" hidden="1" outlineLevel="2">
      <c r="B4613" s="2889" t="s">
        <v>1642</v>
      </c>
      <c r="C4613" s="2889" t="s">
        <v>1427</v>
      </c>
      <c r="D4613" s="2889" t="s">
        <v>197</v>
      </c>
      <c r="E4613" s="2889" t="s">
        <v>1426</v>
      </c>
      <c r="F4613" s="3040"/>
      <c r="G4613" s="2890">
        <v>2946.3912625322996</v>
      </c>
    </row>
    <row r="4614" spans="2:7" ht="15" hidden="1" outlineLevel="2">
      <c r="B4614" s="2889" t="s">
        <v>1643</v>
      </c>
      <c r="C4614" s="2889" t="s">
        <v>1427</v>
      </c>
      <c r="D4614" s="2889" t="s">
        <v>197</v>
      </c>
      <c r="E4614" s="2889" t="s">
        <v>1426</v>
      </c>
      <c r="F4614" s="3040"/>
      <c r="G4614" s="2890">
        <v>14392.211294073415</v>
      </c>
    </row>
    <row r="4615" spans="2:7" ht="15" hidden="1" outlineLevel="2">
      <c r="B4615" s="2889" t="s">
        <v>1644</v>
      </c>
      <c r="C4615" s="2889" t="s">
        <v>1427</v>
      </c>
      <c r="D4615" s="2889" t="s">
        <v>197</v>
      </c>
      <c r="E4615" s="2889" t="s">
        <v>1426</v>
      </c>
      <c r="F4615" s="3040"/>
      <c r="G4615" s="2890">
        <v>6309.8596357959514</v>
      </c>
    </row>
    <row r="4616" spans="2:7" ht="15" hidden="1" outlineLevel="2">
      <c r="B4616" s="2889" t="s">
        <v>1645</v>
      </c>
      <c r="C4616" s="2889" t="s">
        <v>1427</v>
      </c>
      <c r="D4616" s="2889" t="s">
        <v>197</v>
      </c>
      <c r="E4616" s="2889" t="s">
        <v>1426</v>
      </c>
      <c r="F4616" s="3040"/>
      <c r="G4616" s="2890">
        <v>2467.0189766709268</v>
      </c>
    </row>
    <row r="4617" spans="2:7" ht="15" hidden="1" outlineLevel="2">
      <c r="B4617" s="2889" t="s">
        <v>1646</v>
      </c>
      <c r="C4617" s="2889" t="s">
        <v>1427</v>
      </c>
      <c r="D4617" s="2889" t="s">
        <v>197</v>
      </c>
      <c r="E4617" s="2889" t="s">
        <v>1426</v>
      </c>
      <c r="F4617" s="3040"/>
      <c r="G4617" s="2890">
        <v>17783.940385431873</v>
      </c>
    </row>
    <row r="4618" spans="2:7" ht="15" hidden="1" outlineLevel="2">
      <c r="B4618" s="2889" t="s">
        <v>1647</v>
      </c>
      <c r="C4618" s="2889" t="s">
        <v>1427</v>
      </c>
      <c r="D4618" s="2889" t="s">
        <v>197</v>
      </c>
      <c r="E4618" s="2889" t="s">
        <v>1426</v>
      </c>
      <c r="F4618" s="3040"/>
      <c r="G4618" s="2890">
        <v>4877.1704471672283</v>
      </c>
    </row>
    <row r="4619" spans="2:7" ht="15" hidden="1" outlineLevel="2">
      <c r="B4619" s="2889" t="s">
        <v>1648</v>
      </c>
      <c r="C4619" s="2889" t="s">
        <v>1427</v>
      </c>
      <c r="D4619" s="2889" t="s">
        <v>197</v>
      </c>
      <c r="E4619" s="2889" t="s">
        <v>1426</v>
      </c>
      <c r="F4619" s="3040"/>
      <c r="G4619" s="2890">
        <v>4395.9540108853525</v>
      </c>
    </row>
    <row r="4620" spans="2:7" ht="15" hidden="1" outlineLevel="2">
      <c r="B4620" s="2889" t="s">
        <v>1649</v>
      </c>
      <c r="C4620" s="2889" t="s">
        <v>1427</v>
      </c>
      <c r="D4620" s="2889" t="s">
        <v>197</v>
      </c>
      <c r="E4620" s="2889" t="s">
        <v>1426</v>
      </c>
      <c r="F4620" s="3040"/>
      <c r="G4620" s="2890">
        <v>11461.935152314667</v>
      </c>
    </row>
    <row r="4621" spans="2:7" ht="15" hidden="1" outlineLevel="2">
      <c r="B4621" s="2889" t="s">
        <v>1650</v>
      </c>
      <c r="C4621" s="2889" t="s">
        <v>1427</v>
      </c>
      <c r="D4621" s="2889" t="s">
        <v>197</v>
      </c>
      <c r="E4621" s="2889" t="s">
        <v>1426</v>
      </c>
      <c r="F4621" s="3040"/>
      <c r="G4621" s="2890">
        <v>10474.754908187642</v>
      </c>
    </row>
    <row r="4622" spans="2:7" ht="15" hidden="1" outlineLevel="2">
      <c r="B4622" s="2889" t="s">
        <v>1651</v>
      </c>
      <c r="C4622" s="2889" t="s">
        <v>1427</v>
      </c>
      <c r="D4622" s="2889" t="s">
        <v>197</v>
      </c>
      <c r="E4622" s="2889" t="s">
        <v>1426</v>
      </c>
      <c r="F4622" s="3040"/>
      <c r="G4622" s="2890">
        <v>8045.8875259068309</v>
      </c>
    </row>
    <row r="4623" spans="2:7" ht="15" hidden="1" outlineLevel="2">
      <c r="B4623" s="2889" t="s">
        <v>1652</v>
      </c>
      <c r="C4623" s="2889" t="s">
        <v>1427</v>
      </c>
      <c r="D4623" s="2889" t="s">
        <v>197</v>
      </c>
      <c r="E4623" s="2889" t="s">
        <v>1426</v>
      </c>
      <c r="F4623" s="3040"/>
      <c r="G4623" s="2890">
        <v>12232.077089572012</v>
      </c>
    </row>
    <row r="4624" spans="2:7" ht="15" hidden="1" outlineLevel="2">
      <c r="B4624" s="2889" t="s">
        <v>1653</v>
      </c>
      <c r="C4624" s="2889" t="s">
        <v>1427</v>
      </c>
      <c r="D4624" s="2889" t="s">
        <v>197</v>
      </c>
      <c r="E4624" s="2889" t="s">
        <v>1426</v>
      </c>
      <c r="F4624" s="3040"/>
      <c r="G4624" s="2890">
        <v>4.8596835975054899E-28</v>
      </c>
    </row>
    <row r="4625" spans="2:7" ht="15" hidden="1" outlineLevel="2">
      <c r="B4625" s="2889" t="s">
        <v>1407</v>
      </c>
      <c r="C4625" s="2889" t="s">
        <v>1428</v>
      </c>
      <c r="D4625" s="2889" t="s">
        <v>197</v>
      </c>
      <c r="E4625" s="2889" t="s">
        <v>1426</v>
      </c>
      <c r="F4625" s="3040"/>
      <c r="G4625" s="2890">
        <v>129.78666739986681</v>
      </c>
    </row>
    <row r="4626" spans="2:7" ht="15" hidden="1" outlineLevel="2">
      <c r="B4626" s="2889" t="s">
        <v>1631</v>
      </c>
      <c r="C4626" s="2889" t="s">
        <v>1428</v>
      </c>
      <c r="D4626" s="2889" t="s">
        <v>197</v>
      </c>
      <c r="E4626" s="2889" t="s">
        <v>1426</v>
      </c>
      <c r="F4626" s="2890">
        <v>5.7095484283100715E-3</v>
      </c>
      <c r="G4626" s="2890">
        <v>241.25228628463543</v>
      </c>
    </row>
    <row r="4627" spans="2:7" ht="15" hidden="1" outlineLevel="2">
      <c r="B4627" s="2889" t="s">
        <v>1632</v>
      </c>
      <c r="C4627" s="2889" t="s">
        <v>1428</v>
      </c>
      <c r="D4627" s="2889" t="s">
        <v>197</v>
      </c>
      <c r="E4627" s="2889" t="s">
        <v>1426</v>
      </c>
      <c r="F4627" s="2891"/>
      <c r="G4627" s="2890">
        <v>493.54329037037172</v>
      </c>
    </row>
    <row r="4628" spans="2:7" ht="15" hidden="1" outlineLevel="2">
      <c r="B4628" s="2889" t="s">
        <v>1633</v>
      </c>
      <c r="C4628" s="2889" t="s">
        <v>1428</v>
      </c>
      <c r="D4628" s="2889" t="s">
        <v>197</v>
      </c>
      <c r="E4628" s="2889" t="s">
        <v>1426</v>
      </c>
      <c r="F4628" s="2891"/>
      <c r="G4628" s="2890">
        <v>173.67289391436199</v>
      </c>
    </row>
    <row r="4629" spans="2:7" ht="15" hidden="1" outlineLevel="2">
      <c r="B4629" s="2889" t="s">
        <v>1634</v>
      </c>
      <c r="C4629" s="2889" t="s">
        <v>1428</v>
      </c>
      <c r="D4629" s="2889" t="s">
        <v>197</v>
      </c>
      <c r="E4629" s="2889" t="s">
        <v>1426</v>
      </c>
      <c r="F4629" s="2891"/>
      <c r="G4629" s="2890">
        <v>1130.4763311048457</v>
      </c>
    </row>
    <row r="4630" spans="2:7" ht="15" hidden="1" outlineLevel="2">
      <c r="B4630" s="2889" t="s">
        <v>1635</v>
      </c>
      <c r="C4630" s="2889" t="s">
        <v>1428</v>
      </c>
      <c r="D4630" s="2889" t="s">
        <v>197</v>
      </c>
      <c r="E4630" s="2889" t="s">
        <v>1426</v>
      </c>
      <c r="F4630" s="2891"/>
      <c r="G4630" s="2890">
        <v>1279.4047710411257</v>
      </c>
    </row>
    <row r="4631" spans="2:7" ht="15" hidden="1" outlineLevel="2">
      <c r="B4631" s="2889" t="s">
        <v>1636</v>
      </c>
      <c r="C4631" s="2889" t="s">
        <v>1428</v>
      </c>
      <c r="D4631" s="2889" t="s">
        <v>197</v>
      </c>
      <c r="E4631" s="2889" t="s">
        <v>1426</v>
      </c>
      <c r="F4631" s="2891"/>
      <c r="G4631" s="2890">
        <v>622.13768561217785</v>
      </c>
    </row>
    <row r="4632" spans="2:7" ht="15" hidden="1" outlineLevel="2">
      <c r="B4632" s="2889" t="s">
        <v>1637</v>
      </c>
      <c r="C4632" s="2889" t="s">
        <v>1428</v>
      </c>
      <c r="D4632" s="2889" t="s">
        <v>197</v>
      </c>
      <c r="E4632" s="2889" t="s">
        <v>1426</v>
      </c>
      <c r="F4632" s="2891"/>
      <c r="G4632" s="2890">
        <v>292.44630708957425</v>
      </c>
    </row>
    <row r="4633" spans="2:7" ht="15" hidden="1" outlineLevel="2">
      <c r="B4633" s="2889" t="s">
        <v>1638</v>
      </c>
      <c r="C4633" s="2889" t="s">
        <v>1428</v>
      </c>
      <c r="D4633" s="2889" t="s">
        <v>197</v>
      </c>
      <c r="E4633" s="2889" t="s">
        <v>1426</v>
      </c>
      <c r="F4633" s="2891"/>
      <c r="G4633" s="2890">
        <v>1020.1775000577402</v>
      </c>
    </row>
    <row r="4634" spans="2:7" ht="15" hidden="1" outlineLevel="2">
      <c r="B4634" s="2889" t="s">
        <v>1639</v>
      </c>
      <c r="C4634" s="2889" t="s">
        <v>1428</v>
      </c>
      <c r="D4634" s="2889" t="s">
        <v>197</v>
      </c>
      <c r="E4634" s="2889" t="s">
        <v>1426</v>
      </c>
      <c r="F4634" s="3040"/>
      <c r="G4634" s="2890">
        <v>1556.6072194200224</v>
      </c>
    </row>
    <row r="4635" spans="2:7" ht="15" hidden="1" outlineLevel="2">
      <c r="B4635" s="2889" t="s">
        <v>1640</v>
      </c>
      <c r="C4635" s="2889" t="s">
        <v>1428</v>
      </c>
      <c r="D4635" s="2889" t="s">
        <v>197</v>
      </c>
      <c r="E4635" s="2889" t="s">
        <v>1426</v>
      </c>
      <c r="F4635" s="3040"/>
      <c r="G4635" s="2890">
        <v>476.11956555469538</v>
      </c>
    </row>
    <row r="4636" spans="2:7" ht="15" hidden="1" outlineLevel="2">
      <c r="B4636" s="2889" t="s">
        <v>1641</v>
      </c>
      <c r="C4636" s="2889" t="s">
        <v>1428</v>
      </c>
      <c r="D4636" s="2889" t="s">
        <v>197</v>
      </c>
      <c r="E4636" s="2889" t="s">
        <v>1426</v>
      </c>
      <c r="F4636" s="3040"/>
      <c r="G4636" s="2890">
        <v>582.80278300850466</v>
      </c>
    </row>
    <row r="4637" spans="2:7" ht="15" hidden="1" outlineLevel="2">
      <c r="B4637" s="2889" t="s">
        <v>1642</v>
      </c>
      <c r="C4637" s="2889" t="s">
        <v>1428</v>
      </c>
      <c r="D4637" s="2889" t="s">
        <v>197</v>
      </c>
      <c r="E4637" s="2889" t="s">
        <v>1426</v>
      </c>
      <c r="F4637" s="2891"/>
      <c r="G4637" s="2890">
        <v>264.38133759925324</v>
      </c>
    </row>
    <row r="4638" spans="2:7" ht="15" hidden="1" outlineLevel="2">
      <c r="B4638" s="2889" t="s">
        <v>1643</v>
      </c>
      <c r="C4638" s="2889" t="s">
        <v>1428</v>
      </c>
      <c r="D4638" s="2889" t="s">
        <v>197</v>
      </c>
      <c r="E4638" s="2889" t="s">
        <v>1426</v>
      </c>
      <c r="F4638" s="3040"/>
      <c r="G4638" s="2890">
        <v>1291.420332457722</v>
      </c>
    </row>
    <row r="4639" spans="2:7" ht="15" hidden="1" outlineLevel="2">
      <c r="B4639" s="2889" t="s">
        <v>1644</v>
      </c>
      <c r="C4639" s="2889" t="s">
        <v>1428</v>
      </c>
      <c r="D4639" s="2889" t="s">
        <v>197</v>
      </c>
      <c r="E4639" s="2889" t="s">
        <v>1426</v>
      </c>
      <c r="F4639" s="3040"/>
      <c r="G4639" s="2890">
        <v>566.18701526424775</v>
      </c>
    </row>
    <row r="4640" spans="2:7" ht="15" hidden="1" outlineLevel="2">
      <c r="B4640" s="2889" t="s">
        <v>1645</v>
      </c>
      <c r="C4640" s="2889" t="s">
        <v>1428</v>
      </c>
      <c r="D4640" s="2889" t="s">
        <v>197</v>
      </c>
      <c r="E4640" s="2889" t="s">
        <v>1426</v>
      </c>
      <c r="F4640" s="2891"/>
      <c r="G4640" s="2890">
        <v>221.36696082244919</v>
      </c>
    </row>
    <row r="4641" spans="2:7" ht="15" hidden="1" outlineLevel="2">
      <c r="B4641" s="2889" t="s">
        <v>1646</v>
      </c>
      <c r="C4641" s="2889" t="s">
        <v>1428</v>
      </c>
      <c r="D4641" s="2889" t="s">
        <v>197</v>
      </c>
      <c r="E4641" s="2889" t="s">
        <v>1426</v>
      </c>
      <c r="F4641" s="3040"/>
      <c r="G4641" s="2890">
        <v>1595.7621144784241</v>
      </c>
    </row>
    <row r="4642" spans="2:7" ht="15" hidden="1" outlineLevel="2">
      <c r="B4642" s="2889" t="s">
        <v>1647</v>
      </c>
      <c r="C4642" s="2889" t="s">
        <v>1428</v>
      </c>
      <c r="D4642" s="2889" t="s">
        <v>197</v>
      </c>
      <c r="E4642" s="2889" t="s">
        <v>1426</v>
      </c>
      <c r="F4642" s="3040"/>
      <c r="G4642" s="2890">
        <v>437.63109751607777</v>
      </c>
    </row>
    <row r="4643" spans="2:7" ht="15" hidden="1" outlineLevel="2">
      <c r="B4643" s="2889" t="s">
        <v>1648</v>
      </c>
      <c r="C4643" s="2889" t="s">
        <v>1428</v>
      </c>
      <c r="D4643" s="2889" t="s">
        <v>197</v>
      </c>
      <c r="E4643" s="2889" t="s">
        <v>1426</v>
      </c>
      <c r="F4643" s="3040"/>
      <c r="G4643" s="2890">
        <v>394.45118064923759</v>
      </c>
    </row>
    <row r="4644" spans="2:7" ht="15" hidden="1" outlineLevel="2">
      <c r="B4644" s="2889" t="s">
        <v>1649</v>
      </c>
      <c r="C4644" s="2889" t="s">
        <v>1428</v>
      </c>
      <c r="D4644" s="2889" t="s">
        <v>197</v>
      </c>
      <c r="E4644" s="2889" t="s">
        <v>1426</v>
      </c>
      <c r="F4644" s="2891"/>
      <c r="G4644" s="2890">
        <v>1028.4853386226332</v>
      </c>
    </row>
    <row r="4645" spans="2:7" ht="15" hidden="1" outlineLevel="2">
      <c r="B4645" s="2889" t="s">
        <v>1650</v>
      </c>
      <c r="C4645" s="2889" t="s">
        <v>1428</v>
      </c>
      <c r="D4645" s="2889" t="s">
        <v>197</v>
      </c>
      <c r="E4645" s="2889" t="s">
        <v>1426</v>
      </c>
      <c r="F4645" s="2891"/>
      <c r="G4645" s="2890">
        <v>939.90517367932432</v>
      </c>
    </row>
    <row r="4646" spans="2:7" ht="15" hidden="1" outlineLevel="2">
      <c r="B4646" s="2889" t="s">
        <v>1651</v>
      </c>
      <c r="C4646" s="2889" t="s">
        <v>1428</v>
      </c>
      <c r="D4646" s="2889" t="s">
        <v>197</v>
      </c>
      <c r="E4646" s="2889" t="s">
        <v>1426</v>
      </c>
      <c r="F4646" s="2891"/>
      <c r="G4646" s="2890">
        <v>721.96167891038374</v>
      </c>
    </row>
    <row r="4647" spans="2:7" ht="15" hidden="1" outlineLevel="2">
      <c r="B4647" s="2889" t="s">
        <v>1652</v>
      </c>
      <c r="C4647" s="2889" t="s">
        <v>1428</v>
      </c>
      <c r="D4647" s="2889" t="s">
        <v>197</v>
      </c>
      <c r="E4647" s="2889" t="s">
        <v>1426</v>
      </c>
      <c r="F4647" s="3040"/>
      <c r="G4647" s="2890">
        <v>1097.5903288672137</v>
      </c>
    </row>
    <row r="4648" spans="2:7" ht="15" hidden="1" outlineLevel="2">
      <c r="B4648" s="2889" t="s">
        <v>1653</v>
      </c>
      <c r="C4648" s="2889" t="s">
        <v>1428</v>
      </c>
      <c r="D4648" s="2889" t="s">
        <v>197</v>
      </c>
      <c r="E4648" s="2889" t="s">
        <v>1426</v>
      </c>
      <c r="F4648" s="3040"/>
      <c r="G4648" s="2890">
        <v>1.0979987026936561E-28</v>
      </c>
    </row>
    <row r="4649" spans="2:7" ht="15" hidden="1" outlineLevel="2">
      <c r="B4649" s="2889" t="s">
        <v>1407</v>
      </c>
      <c r="C4649" s="2889" t="s">
        <v>1429</v>
      </c>
      <c r="D4649" s="2889" t="s">
        <v>197</v>
      </c>
      <c r="E4649" s="2889" t="s">
        <v>1426</v>
      </c>
      <c r="F4649" s="3040"/>
      <c r="G4649" s="2890">
        <v>0.7214365704901381</v>
      </c>
    </row>
    <row r="4650" spans="2:7" ht="15" hidden="1" outlineLevel="2">
      <c r="B4650" s="2889" t="s">
        <v>1631</v>
      </c>
      <c r="C4650" s="2889" t="s">
        <v>1429</v>
      </c>
      <c r="D4650" s="2889" t="s">
        <v>197</v>
      </c>
      <c r="E4650" s="2889" t="s">
        <v>1426</v>
      </c>
      <c r="F4650" s="2890">
        <v>3.4775931108175498E-5</v>
      </c>
      <c r="G4650" s="2890">
        <v>1.341032897925073</v>
      </c>
    </row>
    <row r="4651" spans="2:7" ht="15" hidden="1" outlineLevel="2">
      <c r="B4651" s="2889" t="s">
        <v>1632</v>
      </c>
      <c r="C4651" s="2889" t="s">
        <v>1429</v>
      </c>
      <c r="D4651" s="2889" t="s">
        <v>197</v>
      </c>
      <c r="E4651" s="2889" t="s">
        <v>1426</v>
      </c>
      <c r="F4651" s="3040"/>
      <c r="G4651" s="2890">
        <v>2.7434266858076253</v>
      </c>
    </row>
    <row r="4652" spans="2:7" ht="15" hidden="1" outlineLevel="2">
      <c r="B4652" s="2889" t="s">
        <v>1633</v>
      </c>
      <c r="C4652" s="2889" t="s">
        <v>1429</v>
      </c>
      <c r="D4652" s="2889" t="s">
        <v>197</v>
      </c>
      <c r="E4652" s="2889" t="s">
        <v>1426</v>
      </c>
      <c r="F4652" s="3040"/>
      <c r="G4652" s="2890">
        <v>0.96538388597748936</v>
      </c>
    </row>
    <row r="4653" spans="2:7" ht="15" hidden="1" outlineLevel="2">
      <c r="B4653" s="2889" t="s">
        <v>1634</v>
      </c>
      <c r="C4653" s="2889" t="s">
        <v>1429</v>
      </c>
      <c r="D4653" s="2889" t="s">
        <v>197</v>
      </c>
      <c r="E4653" s="2889" t="s">
        <v>1426</v>
      </c>
      <c r="F4653" s="3040"/>
      <c r="G4653" s="2890">
        <v>6.2839037136132836</v>
      </c>
    </row>
    <row r="4654" spans="2:7" ht="15" hidden="1" outlineLevel="2">
      <c r="B4654" s="2889" t="s">
        <v>1635</v>
      </c>
      <c r="C4654" s="2889" t="s">
        <v>1429</v>
      </c>
      <c r="D4654" s="2889" t="s">
        <v>197</v>
      </c>
      <c r="E4654" s="2889" t="s">
        <v>1426</v>
      </c>
      <c r="F4654" s="3040"/>
      <c r="G4654" s="2890">
        <v>7.1117433419020708</v>
      </c>
    </row>
    <row r="4655" spans="2:7" ht="15" hidden="1" outlineLevel="2">
      <c r="B4655" s="2889" t="s">
        <v>1636</v>
      </c>
      <c r="C4655" s="2889" t="s">
        <v>1429</v>
      </c>
      <c r="D4655" s="2889" t="s">
        <v>197</v>
      </c>
      <c r="E4655" s="2889" t="s">
        <v>1426</v>
      </c>
      <c r="F4655" s="3040"/>
      <c r="G4655" s="2890">
        <v>3.4582360060621604</v>
      </c>
    </row>
    <row r="4656" spans="2:7" ht="15" hidden="1" outlineLevel="2">
      <c r="B4656" s="2889" t="s">
        <v>1637</v>
      </c>
      <c r="C4656" s="2889" t="s">
        <v>1429</v>
      </c>
      <c r="D4656" s="2889" t="s">
        <v>197</v>
      </c>
      <c r="E4656" s="2889" t="s">
        <v>1426</v>
      </c>
      <c r="F4656" s="3040"/>
      <c r="G4656" s="2890">
        <v>1.6256021151539979</v>
      </c>
    </row>
    <row r="4657" spans="2:7" ht="15" hidden="1" outlineLevel="2">
      <c r="B4657" s="2889" t="s">
        <v>1638</v>
      </c>
      <c r="C4657" s="2889" t="s">
        <v>1429</v>
      </c>
      <c r="D4657" s="2889" t="s">
        <v>197</v>
      </c>
      <c r="E4657" s="2889" t="s">
        <v>1426</v>
      </c>
      <c r="F4657" s="3040"/>
      <c r="G4657" s="2890">
        <v>5.670792286756142</v>
      </c>
    </row>
    <row r="4658" spans="2:7" ht="15" hidden="1" outlineLevel="2">
      <c r="B4658" s="2889" t="s">
        <v>1639</v>
      </c>
      <c r="C4658" s="2889" t="s">
        <v>1429</v>
      </c>
      <c r="D4658" s="2889" t="s">
        <v>197</v>
      </c>
      <c r="E4658" s="2889" t="s">
        <v>1426</v>
      </c>
      <c r="F4658" s="2891"/>
      <c r="G4658" s="2890">
        <v>8.6526060550124022</v>
      </c>
    </row>
    <row r="4659" spans="2:7" ht="15" hidden="1" outlineLevel="2">
      <c r="B4659" s="2889" t="s">
        <v>1640</v>
      </c>
      <c r="C4659" s="2889" t="s">
        <v>1429</v>
      </c>
      <c r="D4659" s="2889" t="s">
        <v>197</v>
      </c>
      <c r="E4659" s="2889" t="s">
        <v>1426</v>
      </c>
      <c r="F4659" s="2891"/>
      <c r="G4659" s="2890">
        <v>2.6465752012736274</v>
      </c>
    </row>
    <row r="4660" spans="2:7" ht="15" hidden="1" outlineLevel="2">
      <c r="B4660" s="2889" t="s">
        <v>1641</v>
      </c>
      <c r="C4660" s="2889" t="s">
        <v>1429</v>
      </c>
      <c r="D4660" s="2889" t="s">
        <v>197</v>
      </c>
      <c r="E4660" s="2889" t="s">
        <v>1426</v>
      </c>
      <c r="F4660" s="3040"/>
      <c r="G4660" s="2890">
        <v>3.239588224031074</v>
      </c>
    </row>
    <row r="4661" spans="2:7" ht="15" hidden="1" outlineLevel="2">
      <c r="B4661" s="2889" t="s">
        <v>1642</v>
      </c>
      <c r="C4661" s="2889" t="s">
        <v>1429</v>
      </c>
      <c r="D4661" s="2889" t="s">
        <v>197</v>
      </c>
      <c r="E4661" s="2889" t="s">
        <v>1426</v>
      </c>
      <c r="F4661" s="3040"/>
      <c r="G4661" s="2890">
        <v>1.4695985608535682</v>
      </c>
    </row>
    <row r="4662" spans="2:7" ht="15" hidden="1" outlineLevel="2">
      <c r="B4662" s="2889" t="s">
        <v>1643</v>
      </c>
      <c r="C4662" s="2889" t="s">
        <v>1429</v>
      </c>
      <c r="D4662" s="2889" t="s">
        <v>197</v>
      </c>
      <c r="E4662" s="2889" t="s">
        <v>1426</v>
      </c>
      <c r="F4662" s="3040"/>
      <c r="G4662" s="2890">
        <v>7.1785348723716753</v>
      </c>
    </row>
    <row r="4663" spans="2:7" ht="15" hidden="1" outlineLevel="2">
      <c r="B4663" s="2889" t="s">
        <v>1644</v>
      </c>
      <c r="C4663" s="2889" t="s">
        <v>1429</v>
      </c>
      <c r="D4663" s="2889" t="s">
        <v>197</v>
      </c>
      <c r="E4663" s="2889" t="s">
        <v>1426</v>
      </c>
      <c r="F4663" s="3040"/>
      <c r="G4663" s="2890">
        <v>3.1472258544413418</v>
      </c>
    </row>
    <row r="4664" spans="2:7" ht="15" hidden="1" outlineLevel="2">
      <c r="B4664" s="2889" t="s">
        <v>1645</v>
      </c>
      <c r="C4664" s="2889" t="s">
        <v>1429</v>
      </c>
      <c r="D4664" s="2889" t="s">
        <v>197</v>
      </c>
      <c r="E4664" s="2889" t="s">
        <v>1426</v>
      </c>
      <c r="F4664" s="3040"/>
      <c r="G4664" s="2890">
        <v>1.2304974979885466</v>
      </c>
    </row>
    <row r="4665" spans="2:7" ht="15" hidden="1" outlineLevel="2">
      <c r="B4665" s="2889" t="s">
        <v>1646</v>
      </c>
      <c r="C4665" s="2889" t="s">
        <v>1429</v>
      </c>
      <c r="D4665" s="2889" t="s">
        <v>197</v>
      </c>
      <c r="E4665" s="2889" t="s">
        <v>1426</v>
      </c>
      <c r="F4665" s="3040"/>
      <c r="G4665" s="2890">
        <v>8.870256988129297</v>
      </c>
    </row>
    <row r="4666" spans="2:7" ht="15" hidden="1" outlineLevel="2">
      <c r="B4666" s="2889" t="s">
        <v>1647</v>
      </c>
      <c r="C4666" s="2889" t="s">
        <v>1429</v>
      </c>
      <c r="D4666" s="2889" t="s">
        <v>197</v>
      </c>
      <c r="E4666" s="2889" t="s">
        <v>1426</v>
      </c>
      <c r="F4666" s="3040"/>
      <c r="G4666" s="2890">
        <v>2.4326309109128976</v>
      </c>
    </row>
    <row r="4667" spans="2:7" ht="15" hidden="1" outlineLevel="2">
      <c r="B4667" s="2889" t="s">
        <v>1648</v>
      </c>
      <c r="C4667" s="2889" t="s">
        <v>1429</v>
      </c>
      <c r="D4667" s="2889" t="s">
        <v>197</v>
      </c>
      <c r="E4667" s="2889" t="s">
        <v>1426</v>
      </c>
      <c r="F4667" s="3040"/>
      <c r="G4667" s="2890">
        <v>2.1926098127378615</v>
      </c>
    </row>
    <row r="4668" spans="2:7" ht="15" hidden="1" outlineLevel="2">
      <c r="B4668" s="2889" t="s">
        <v>1649</v>
      </c>
      <c r="C4668" s="2889" t="s">
        <v>1429</v>
      </c>
      <c r="D4668" s="2889" t="s">
        <v>197</v>
      </c>
      <c r="E4668" s="2889" t="s">
        <v>1426</v>
      </c>
      <c r="F4668" s="3040"/>
      <c r="G4668" s="2890">
        <v>5.7169746698979962</v>
      </c>
    </row>
    <row r="4669" spans="2:7" ht="15" hidden="1" outlineLevel="2">
      <c r="B4669" s="2889" t="s">
        <v>1650</v>
      </c>
      <c r="C4669" s="2889" t="s">
        <v>1429</v>
      </c>
      <c r="D4669" s="2889" t="s">
        <v>197</v>
      </c>
      <c r="E4669" s="2889" t="s">
        <v>1426</v>
      </c>
      <c r="F4669" s="3040"/>
      <c r="G4669" s="2890">
        <v>5.2245898437738143</v>
      </c>
    </row>
    <row r="4670" spans="2:7" ht="15" hidden="1" outlineLevel="2">
      <c r="B4670" s="2889" t="s">
        <v>1651</v>
      </c>
      <c r="C4670" s="2889" t="s">
        <v>1429</v>
      </c>
      <c r="D4670" s="2889" t="s">
        <v>197</v>
      </c>
      <c r="E4670" s="2889" t="s">
        <v>1426</v>
      </c>
      <c r="F4670" s="3040"/>
      <c r="G4670" s="2890">
        <v>4.0131210431438324</v>
      </c>
    </row>
    <row r="4671" spans="2:7" ht="15" hidden="1" outlineLevel="2">
      <c r="B4671" s="2889" t="s">
        <v>1652</v>
      </c>
      <c r="C4671" s="2889" t="s">
        <v>1429</v>
      </c>
      <c r="D4671" s="2889" t="s">
        <v>197</v>
      </c>
      <c r="E4671" s="2889" t="s">
        <v>1426</v>
      </c>
      <c r="F4671" s="3040"/>
      <c r="G4671" s="2890">
        <v>6.1011044395495988</v>
      </c>
    </row>
    <row r="4672" spans="2:7" ht="15" hidden="1" outlineLevel="2">
      <c r="B4672" s="2889" t="s">
        <v>1653</v>
      </c>
      <c r="C4672" s="2889" t="s">
        <v>1429</v>
      </c>
      <c r="D4672" s="2889" t="s">
        <v>197</v>
      </c>
      <c r="E4672" s="2889" t="s">
        <v>1426</v>
      </c>
      <c r="F4672" s="3040"/>
      <c r="G4672" s="2890">
        <v>5.6168157526635201E-32</v>
      </c>
    </row>
    <row r="4673" spans="2:7" ht="15" hidden="1" outlineLevel="2">
      <c r="B4673" s="2889" t="s">
        <v>1407</v>
      </c>
      <c r="C4673" s="2889" t="s">
        <v>1430</v>
      </c>
      <c r="D4673" s="2889" t="s">
        <v>197</v>
      </c>
      <c r="E4673" s="2889" t="s">
        <v>1426</v>
      </c>
      <c r="F4673" s="3040"/>
      <c r="G4673" s="2890">
        <v>0.14807385192438766</v>
      </c>
    </row>
    <row r="4674" spans="2:7" ht="15" hidden="1" outlineLevel="2">
      <c r="B4674" s="2889" t="s">
        <v>1631</v>
      </c>
      <c r="C4674" s="2889" t="s">
        <v>1430</v>
      </c>
      <c r="D4674" s="2889" t="s">
        <v>197</v>
      </c>
      <c r="E4674" s="2889" t="s">
        <v>1426</v>
      </c>
      <c r="F4674" s="2890">
        <v>7.4846185154332063E-6</v>
      </c>
      <c r="G4674" s="2890">
        <v>0.2752452274343512</v>
      </c>
    </row>
    <row r="4675" spans="2:7" ht="15" hidden="1" outlineLevel="2">
      <c r="B4675" s="2889" t="s">
        <v>1632</v>
      </c>
      <c r="C4675" s="2889" t="s">
        <v>1430</v>
      </c>
      <c r="D4675" s="2889" t="s">
        <v>197</v>
      </c>
      <c r="E4675" s="2889" t="s">
        <v>1426</v>
      </c>
      <c r="F4675" s="2891"/>
      <c r="G4675" s="2890">
        <v>0.56308431002487314</v>
      </c>
    </row>
    <row r="4676" spans="2:7" ht="15" hidden="1" outlineLevel="2">
      <c r="B4676" s="2889" t="s">
        <v>1633</v>
      </c>
      <c r="C4676" s="2889" t="s">
        <v>1430</v>
      </c>
      <c r="D4676" s="2889" t="s">
        <v>197</v>
      </c>
      <c r="E4676" s="2889" t="s">
        <v>1426</v>
      </c>
      <c r="F4676" s="2891"/>
      <c r="G4676" s="2890">
        <v>0.19814355887326254</v>
      </c>
    </row>
    <row r="4677" spans="2:7" ht="15" hidden="1" outlineLevel="2">
      <c r="B4677" s="2889" t="s">
        <v>1634</v>
      </c>
      <c r="C4677" s="2889" t="s">
        <v>1430</v>
      </c>
      <c r="D4677" s="2889" t="s">
        <v>197</v>
      </c>
      <c r="E4677" s="2889" t="s">
        <v>1426</v>
      </c>
      <c r="F4677" s="2891"/>
      <c r="G4677" s="2890">
        <v>1.2897627418767206</v>
      </c>
    </row>
    <row r="4678" spans="2:7" ht="15" hidden="1" outlineLevel="2">
      <c r="B4678" s="2889" t="s">
        <v>1635</v>
      </c>
      <c r="C4678" s="2889" t="s">
        <v>1430</v>
      </c>
      <c r="D4678" s="2889" t="s">
        <v>197</v>
      </c>
      <c r="E4678" s="2889" t="s">
        <v>1426</v>
      </c>
      <c r="F4678" s="2891"/>
      <c r="G4678" s="2890">
        <v>1.4596758000206738</v>
      </c>
    </row>
    <row r="4679" spans="2:7" ht="15" hidden="1" outlineLevel="2">
      <c r="B4679" s="2889" t="s">
        <v>1636</v>
      </c>
      <c r="C4679" s="2889" t="s">
        <v>1430</v>
      </c>
      <c r="D4679" s="2889" t="s">
        <v>197</v>
      </c>
      <c r="E4679" s="2889" t="s">
        <v>1426</v>
      </c>
      <c r="F4679" s="2891"/>
      <c r="G4679" s="2890">
        <v>0.70979787596128829</v>
      </c>
    </row>
    <row r="4680" spans="2:7" ht="15" hidden="1" outlineLevel="2">
      <c r="B4680" s="2889" t="s">
        <v>1637</v>
      </c>
      <c r="C4680" s="2889" t="s">
        <v>1430</v>
      </c>
      <c r="D4680" s="2889" t="s">
        <v>197</v>
      </c>
      <c r="E4680" s="2889" t="s">
        <v>1426</v>
      </c>
      <c r="F4680" s="2891"/>
      <c r="G4680" s="2890">
        <v>0.33365251807731028</v>
      </c>
    </row>
    <row r="4681" spans="2:7" ht="15" hidden="1" outlineLevel="2">
      <c r="B4681" s="2889" t="s">
        <v>1638</v>
      </c>
      <c r="C4681" s="2889" t="s">
        <v>1430</v>
      </c>
      <c r="D4681" s="2889" t="s">
        <v>197</v>
      </c>
      <c r="E4681" s="2889" t="s">
        <v>1426</v>
      </c>
      <c r="F4681" s="2891"/>
      <c r="G4681" s="2890">
        <v>1.1639219378973105</v>
      </c>
    </row>
    <row r="4682" spans="2:7" ht="15" hidden="1" outlineLevel="2">
      <c r="B4682" s="2889" t="s">
        <v>1639</v>
      </c>
      <c r="C4682" s="2889" t="s">
        <v>1430</v>
      </c>
      <c r="D4682" s="2889" t="s">
        <v>197</v>
      </c>
      <c r="E4682" s="2889" t="s">
        <v>1426</v>
      </c>
      <c r="F4682" s="2891"/>
      <c r="G4682" s="2890">
        <v>1.7759351343787664</v>
      </c>
    </row>
    <row r="4683" spans="2:7" ht="15" hidden="1" outlineLevel="2">
      <c r="B4683" s="2889" t="s">
        <v>1640</v>
      </c>
      <c r="C4683" s="2889" t="s">
        <v>1430</v>
      </c>
      <c r="D4683" s="2889" t="s">
        <v>197</v>
      </c>
      <c r="E4683" s="2889" t="s">
        <v>1426</v>
      </c>
      <c r="F4683" s="2891"/>
      <c r="G4683" s="2890">
        <v>0.54320566562483918</v>
      </c>
    </row>
    <row r="4684" spans="2:7" ht="15" hidden="1" outlineLevel="2">
      <c r="B4684" s="2889" t="s">
        <v>1641</v>
      </c>
      <c r="C4684" s="2889" t="s">
        <v>1430</v>
      </c>
      <c r="D4684" s="2889" t="s">
        <v>197</v>
      </c>
      <c r="E4684" s="2889" t="s">
        <v>1426</v>
      </c>
      <c r="F4684" s="2891"/>
      <c r="G4684" s="2890">
        <v>0.66492070588807461</v>
      </c>
    </row>
    <row r="4685" spans="2:7" ht="15" hidden="1" outlineLevel="2">
      <c r="B4685" s="2889" t="s">
        <v>1642</v>
      </c>
      <c r="C4685" s="2889" t="s">
        <v>1430</v>
      </c>
      <c r="D4685" s="2889" t="s">
        <v>197</v>
      </c>
      <c r="E4685" s="2889" t="s">
        <v>1426</v>
      </c>
      <c r="F4685" s="3040"/>
      <c r="G4685" s="2890">
        <v>0.30163304895824067</v>
      </c>
    </row>
    <row r="4686" spans="2:7" ht="15" hidden="1" outlineLevel="2">
      <c r="B4686" s="2889" t="s">
        <v>1643</v>
      </c>
      <c r="C4686" s="2889" t="s">
        <v>1430</v>
      </c>
      <c r="D4686" s="2889" t="s">
        <v>197</v>
      </c>
      <c r="E4686" s="2889" t="s">
        <v>1426</v>
      </c>
      <c r="F4686" s="3040"/>
      <c r="G4686" s="2890">
        <v>1.4733833395586828</v>
      </c>
    </row>
    <row r="4687" spans="2:7" ht="15" hidden="1" outlineLevel="2">
      <c r="B4687" s="2889" t="s">
        <v>1644</v>
      </c>
      <c r="C4687" s="2889" t="s">
        <v>1430</v>
      </c>
      <c r="D4687" s="2889" t="s">
        <v>197</v>
      </c>
      <c r="E4687" s="2889" t="s">
        <v>1426</v>
      </c>
      <c r="F4687" s="2891"/>
      <c r="G4687" s="2890">
        <v>0.64596337958175765</v>
      </c>
    </row>
    <row r="4688" spans="2:7" ht="15" hidden="1" outlineLevel="2">
      <c r="B4688" s="2889" t="s">
        <v>1645</v>
      </c>
      <c r="C4688" s="2889" t="s">
        <v>1430</v>
      </c>
      <c r="D4688" s="2889" t="s">
        <v>197</v>
      </c>
      <c r="E4688" s="2889" t="s">
        <v>1426</v>
      </c>
      <c r="F4688" s="3040"/>
      <c r="G4688" s="2890">
        <v>0.25255776988333783</v>
      </c>
    </row>
    <row r="4689" spans="2:7" ht="15" hidden="1" outlineLevel="2">
      <c r="B4689" s="2889" t="s">
        <v>1646</v>
      </c>
      <c r="C4689" s="2889" t="s">
        <v>1430</v>
      </c>
      <c r="D4689" s="2889" t="s">
        <v>197</v>
      </c>
      <c r="E4689" s="2889" t="s">
        <v>1426</v>
      </c>
      <c r="F4689" s="3040"/>
      <c r="G4689" s="2890">
        <v>1.8206077339672686</v>
      </c>
    </row>
    <row r="4690" spans="2:7" ht="15" hidden="1" outlineLevel="2">
      <c r="B4690" s="2889" t="s">
        <v>1647</v>
      </c>
      <c r="C4690" s="2889" t="s">
        <v>1430</v>
      </c>
      <c r="D4690" s="2889" t="s">
        <v>197</v>
      </c>
      <c r="E4690" s="2889" t="s">
        <v>1426</v>
      </c>
      <c r="F4690" s="3040"/>
      <c r="G4690" s="2890">
        <v>0.49929406555280859</v>
      </c>
    </row>
    <row r="4691" spans="2:7" ht="15" hidden="1" outlineLevel="2">
      <c r="B4691" s="2889" t="s">
        <v>1648</v>
      </c>
      <c r="C4691" s="2889" t="s">
        <v>1430</v>
      </c>
      <c r="D4691" s="2889" t="s">
        <v>197</v>
      </c>
      <c r="E4691" s="2889" t="s">
        <v>1426</v>
      </c>
      <c r="F4691" s="3040"/>
      <c r="G4691" s="2890">
        <v>0.45002998573222991</v>
      </c>
    </row>
    <row r="4692" spans="2:7" ht="15" hidden="1" outlineLevel="2">
      <c r="B4692" s="2889" t="s">
        <v>1649</v>
      </c>
      <c r="C4692" s="2889" t="s">
        <v>1430</v>
      </c>
      <c r="D4692" s="2889" t="s">
        <v>197</v>
      </c>
      <c r="E4692" s="2889" t="s">
        <v>1426</v>
      </c>
      <c r="F4692" s="3040"/>
      <c r="G4692" s="2890">
        <v>1.1734009836068384</v>
      </c>
    </row>
    <row r="4693" spans="2:7" ht="15" hidden="1" outlineLevel="2">
      <c r="B4693" s="2889" t="s">
        <v>1650</v>
      </c>
      <c r="C4693" s="2889" t="s">
        <v>1430</v>
      </c>
      <c r="D4693" s="2889" t="s">
        <v>197</v>
      </c>
      <c r="E4693" s="2889" t="s">
        <v>1426</v>
      </c>
      <c r="F4693" s="3040"/>
      <c r="G4693" s="2890">
        <v>1.0723393081190162</v>
      </c>
    </row>
    <row r="4694" spans="2:7" ht="15" hidden="1" outlineLevel="2">
      <c r="B4694" s="2889" t="s">
        <v>1651</v>
      </c>
      <c r="C4694" s="2889" t="s">
        <v>1430</v>
      </c>
      <c r="D4694" s="2889" t="s">
        <v>197</v>
      </c>
      <c r="E4694" s="2889" t="s">
        <v>1426</v>
      </c>
      <c r="F4694" s="3040"/>
      <c r="G4694" s="2890">
        <v>0.82368760201841917</v>
      </c>
    </row>
    <row r="4695" spans="2:7" ht="15" hidden="1" outlineLevel="2">
      <c r="B4695" s="2889" t="s">
        <v>1652</v>
      </c>
      <c r="C4695" s="2889" t="s">
        <v>1430</v>
      </c>
      <c r="D4695" s="2889" t="s">
        <v>197</v>
      </c>
      <c r="E4695" s="2889" t="s">
        <v>1426</v>
      </c>
      <c r="F4695" s="3040"/>
      <c r="G4695" s="2890">
        <v>1.2522428520113245</v>
      </c>
    </row>
    <row r="4696" spans="2:7" ht="15" hidden="1" outlineLevel="2">
      <c r="B4696" s="2889" t="s">
        <v>1653</v>
      </c>
      <c r="C4696" s="2889" t="s">
        <v>1430</v>
      </c>
      <c r="D4696" s="2889" t="s">
        <v>197</v>
      </c>
      <c r="E4696" s="2889" t="s">
        <v>1426</v>
      </c>
      <c r="F4696" s="3040"/>
      <c r="G4696" s="2890">
        <v>3.5778994380424386E-35</v>
      </c>
    </row>
    <row r="4697" spans="2:7" ht="15" hidden="1" outlineLevel="2">
      <c r="B4697" s="2889" t="s">
        <v>1407</v>
      </c>
      <c r="C4697" s="2889" t="s">
        <v>1431</v>
      </c>
      <c r="D4697" s="2889" t="s">
        <v>197</v>
      </c>
      <c r="E4697" s="2889" t="s">
        <v>1426</v>
      </c>
      <c r="F4697" s="3040"/>
      <c r="G4697" s="2890">
        <v>11.017324150749189</v>
      </c>
    </row>
    <row r="4698" spans="2:7" ht="15" hidden="1" outlineLevel="2">
      <c r="B4698" s="2889" t="s">
        <v>1631</v>
      </c>
      <c r="C4698" s="2889" t="s">
        <v>1431</v>
      </c>
      <c r="D4698" s="2889" t="s">
        <v>197</v>
      </c>
      <c r="E4698" s="2889" t="s">
        <v>1426</v>
      </c>
      <c r="F4698" s="2890">
        <v>4.9421665841808157E-4</v>
      </c>
      <c r="G4698" s="2890">
        <v>20.479403310092888</v>
      </c>
    </row>
    <row r="4699" spans="2:7" ht="15" hidden="1" outlineLevel="2">
      <c r="B4699" s="2889" t="s">
        <v>1632</v>
      </c>
      <c r="C4699" s="2889" t="s">
        <v>1431</v>
      </c>
      <c r="D4699" s="2889" t="s">
        <v>197</v>
      </c>
      <c r="E4699" s="2889" t="s">
        <v>1426</v>
      </c>
      <c r="F4699" s="3040"/>
      <c r="G4699" s="2890">
        <v>41.895865909008975</v>
      </c>
    </row>
    <row r="4700" spans="2:7" ht="15" hidden="1" outlineLevel="2">
      <c r="B4700" s="2889" t="s">
        <v>1633</v>
      </c>
      <c r="C4700" s="2889" t="s">
        <v>1431</v>
      </c>
      <c r="D4700" s="2889" t="s">
        <v>197</v>
      </c>
      <c r="E4700" s="2889" t="s">
        <v>1426</v>
      </c>
      <c r="F4700" s="3040"/>
      <c r="G4700" s="2890">
        <v>14.742731197750869</v>
      </c>
    </row>
    <row r="4701" spans="2:7" ht="15" hidden="1" outlineLevel="2">
      <c r="B4701" s="2889" t="s">
        <v>1634</v>
      </c>
      <c r="C4701" s="2889" t="s">
        <v>1431</v>
      </c>
      <c r="D4701" s="2889" t="s">
        <v>197</v>
      </c>
      <c r="E4701" s="2889" t="s">
        <v>1426</v>
      </c>
      <c r="F4701" s="3040"/>
      <c r="G4701" s="2890">
        <v>95.963802761381245</v>
      </c>
    </row>
    <row r="4702" spans="2:7" ht="15" hidden="1" outlineLevel="2">
      <c r="B4702" s="2889" t="s">
        <v>1635</v>
      </c>
      <c r="C4702" s="2889" t="s">
        <v>1431</v>
      </c>
      <c r="D4702" s="2889" t="s">
        <v>197</v>
      </c>
      <c r="E4702" s="2889" t="s">
        <v>1426</v>
      </c>
      <c r="F4702" s="3040"/>
      <c r="G4702" s="2890">
        <v>108.60603486935501</v>
      </c>
    </row>
    <row r="4703" spans="2:7" ht="15" hidden="1" outlineLevel="2">
      <c r="B4703" s="2889" t="s">
        <v>1636</v>
      </c>
      <c r="C4703" s="2889" t="s">
        <v>1431</v>
      </c>
      <c r="D4703" s="2889" t="s">
        <v>197</v>
      </c>
      <c r="E4703" s="2889" t="s">
        <v>1426</v>
      </c>
      <c r="F4703" s="3040"/>
      <c r="G4703" s="2890">
        <v>52.811982925073693</v>
      </c>
    </row>
    <row r="4704" spans="2:7" ht="15" hidden="1" outlineLevel="2">
      <c r="B4704" s="2889" t="s">
        <v>1637</v>
      </c>
      <c r="C4704" s="2889" t="s">
        <v>1431</v>
      </c>
      <c r="D4704" s="2889" t="s">
        <v>197</v>
      </c>
      <c r="E4704" s="2889" t="s">
        <v>1426</v>
      </c>
      <c r="F4704" s="3040"/>
      <c r="G4704" s="2890">
        <v>24.825170243437945</v>
      </c>
    </row>
    <row r="4705" spans="2:7" ht="15" hidden="1" outlineLevel="2">
      <c r="B4705" s="2889" t="s">
        <v>1638</v>
      </c>
      <c r="C4705" s="2889" t="s">
        <v>1431</v>
      </c>
      <c r="D4705" s="2889" t="s">
        <v>197</v>
      </c>
      <c r="E4705" s="2889" t="s">
        <v>1426</v>
      </c>
      <c r="F4705" s="3040"/>
      <c r="G4705" s="2890">
        <v>86.600760315249133</v>
      </c>
    </row>
    <row r="4706" spans="2:7" ht="15" hidden="1" outlineLevel="2">
      <c r="B4706" s="2889" t="s">
        <v>1639</v>
      </c>
      <c r="C4706" s="2889" t="s">
        <v>1431</v>
      </c>
      <c r="D4706" s="2889" t="s">
        <v>197</v>
      </c>
      <c r="E4706" s="2889" t="s">
        <v>1426</v>
      </c>
      <c r="F4706" s="3040"/>
      <c r="G4706" s="2890">
        <v>132.13713834145312</v>
      </c>
    </row>
    <row r="4707" spans="2:7" ht="15" hidden="1" outlineLevel="2">
      <c r="B4707" s="2889" t="s">
        <v>1640</v>
      </c>
      <c r="C4707" s="2889" t="s">
        <v>1431</v>
      </c>
      <c r="D4707" s="2889" t="s">
        <v>197</v>
      </c>
      <c r="E4707" s="2889" t="s">
        <v>1426</v>
      </c>
      <c r="F4707" s="3040"/>
      <c r="G4707" s="2890">
        <v>40.416800485362387</v>
      </c>
    </row>
    <row r="4708" spans="2:7" ht="15" hidden="1" outlineLevel="2">
      <c r="B4708" s="2889" t="s">
        <v>1641</v>
      </c>
      <c r="C4708" s="2889" t="s">
        <v>1431</v>
      </c>
      <c r="D4708" s="2889" t="s">
        <v>197</v>
      </c>
      <c r="E4708" s="2889" t="s">
        <v>1426</v>
      </c>
      <c r="F4708" s="2891"/>
      <c r="G4708" s="2890">
        <v>49.472926876175698</v>
      </c>
    </row>
    <row r="4709" spans="2:7" ht="15" hidden="1" outlineLevel="2">
      <c r="B4709" s="2889" t="s">
        <v>1642</v>
      </c>
      <c r="C4709" s="2889" t="s">
        <v>1431</v>
      </c>
      <c r="D4709" s="2889" t="s">
        <v>197</v>
      </c>
      <c r="E4709" s="2889" t="s">
        <v>1426</v>
      </c>
      <c r="F4709" s="2891"/>
      <c r="G4709" s="2890">
        <v>22.442780075340124</v>
      </c>
    </row>
    <row r="4710" spans="2:7" ht="15" hidden="1" outlineLevel="2">
      <c r="B4710" s="2889" t="s">
        <v>1643</v>
      </c>
      <c r="C4710" s="2889" t="s">
        <v>1431</v>
      </c>
      <c r="D4710" s="2889" t="s">
        <v>197</v>
      </c>
      <c r="E4710" s="2889" t="s">
        <v>1426</v>
      </c>
      <c r="F4710" s="2891"/>
      <c r="G4710" s="2890">
        <v>109.62605153524565</v>
      </c>
    </row>
    <row r="4711" spans="2:7" ht="15" hidden="1" outlineLevel="2">
      <c r="B4711" s="2889" t="s">
        <v>1644</v>
      </c>
      <c r="C4711" s="2889" t="s">
        <v>1431</v>
      </c>
      <c r="D4711" s="2889" t="s">
        <v>197</v>
      </c>
      <c r="E4711" s="2889" t="s">
        <v>1426</v>
      </c>
      <c r="F4711" s="2891"/>
      <c r="G4711" s="2890">
        <v>48.062448595231452</v>
      </c>
    </row>
    <row r="4712" spans="2:7" ht="15" hidden="1" outlineLevel="2">
      <c r="B4712" s="2889" t="s">
        <v>1645</v>
      </c>
      <c r="C4712" s="2889" t="s">
        <v>1431</v>
      </c>
      <c r="D4712" s="2889" t="s">
        <v>197</v>
      </c>
      <c r="E4712" s="2889" t="s">
        <v>1426</v>
      </c>
      <c r="F4712" s="2891"/>
      <c r="G4712" s="2890">
        <v>18.791377593876206</v>
      </c>
    </row>
    <row r="4713" spans="2:7" ht="15" hidden="1" outlineLevel="2">
      <c r="B4713" s="2889" t="s">
        <v>1646</v>
      </c>
      <c r="C4713" s="2889" t="s">
        <v>1431</v>
      </c>
      <c r="D4713" s="2889" t="s">
        <v>197</v>
      </c>
      <c r="E4713" s="2889" t="s">
        <v>1426</v>
      </c>
      <c r="F4713" s="2891"/>
      <c r="G4713" s="2890">
        <v>135.46096728331955</v>
      </c>
    </row>
    <row r="4714" spans="2:7" ht="15" hidden="1" outlineLevel="2">
      <c r="B4714" s="2889" t="s">
        <v>1647</v>
      </c>
      <c r="C4714" s="2889" t="s">
        <v>1431</v>
      </c>
      <c r="D4714" s="2889" t="s">
        <v>197</v>
      </c>
      <c r="E4714" s="2889" t="s">
        <v>1426</v>
      </c>
      <c r="F4714" s="3040"/>
      <c r="G4714" s="2890">
        <v>37.149600597385636</v>
      </c>
    </row>
    <row r="4715" spans="2:7" ht="15" hidden="1" outlineLevel="2">
      <c r="B4715" s="2889" t="s">
        <v>1648</v>
      </c>
      <c r="C4715" s="2889" t="s">
        <v>1431</v>
      </c>
      <c r="D4715" s="2889" t="s">
        <v>197</v>
      </c>
      <c r="E4715" s="2889" t="s">
        <v>1426</v>
      </c>
      <c r="F4715" s="3040"/>
      <c r="G4715" s="2890">
        <v>33.48414774084452</v>
      </c>
    </row>
    <row r="4716" spans="2:7" ht="15" hidden="1" outlineLevel="2">
      <c r="B4716" s="2889" t="s">
        <v>1649</v>
      </c>
      <c r="C4716" s="2889" t="s">
        <v>1431</v>
      </c>
      <c r="D4716" s="2889" t="s">
        <v>197</v>
      </c>
      <c r="E4716" s="2889" t="s">
        <v>1426</v>
      </c>
      <c r="F4716" s="3040"/>
      <c r="G4716" s="2890">
        <v>87.306026459601966</v>
      </c>
    </row>
    <row r="4717" spans="2:7" ht="15" hidden="1" outlineLevel="2">
      <c r="B4717" s="2889" t="s">
        <v>1650</v>
      </c>
      <c r="C4717" s="2889" t="s">
        <v>1431</v>
      </c>
      <c r="D4717" s="2889" t="s">
        <v>197</v>
      </c>
      <c r="E4717" s="2889" t="s">
        <v>1426</v>
      </c>
      <c r="F4717" s="3040"/>
      <c r="G4717" s="2890">
        <v>79.786643482630453</v>
      </c>
    </row>
    <row r="4718" spans="2:7" ht="15" hidden="1" outlineLevel="2">
      <c r="B4718" s="2889" t="s">
        <v>1651</v>
      </c>
      <c r="C4718" s="2889" t="s">
        <v>1431</v>
      </c>
      <c r="D4718" s="2889" t="s">
        <v>197</v>
      </c>
      <c r="E4718" s="2889" t="s">
        <v>1426</v>
      </c>
      <c r="F4718" s="3040"/>
      <c r="G4718" s="2890">
        <v>61.285843822354501</v>
      </c>
    </row>
    <row r="4719" spans="2:7" ht="15" hidden="1" outlineLevel="2">
      <c r="B4719" s="2889" t="s">
        <v>1652</v>
      </c>
      <c r="C4719" s="2889" t="s">
        <v>1431</v>
      </c>
      <c r="D4719" s="2889" t="s">
        <v>197</v>
      </c>
      <c r="E4719" s="2889" t="s">
        <v>1426</v>
      </c>
      <c r="F4719" s="3040"/>
      <c r="G4719" s="2890">
        <v>93.172210550254633</v>
      </c>
    </row>
    <row r="4720" spans="2:7" ht="15" hidden="1" outlineLevel="2">
      <c r="B4720" s="2889" t="s">
        <v>1653</v>
      </c>
      <c r="C4720" s="2889" t="s">
        <v>1431</v>
      </c>
      <c r="D4720" s="2889" t="s">
        <v>197</v>
      </c>
      <c r="E4720" s="2889" t="s">
        <v>1426</v>
      </c>
      <c r="F4720" s="3040"/>
      <c r="G4720" s="2890">
        <v>3.7452592939091155E-31</v>
      </c>
    </row>
    <row r="4721" spans="2:7" ht="15" hidden="1" outlineLevel="2">
      <c r="B4721" s="2889" t="s">
        <v>1407</v>
      </c>
      <c r="C4721" s="2889" t="s">
        <v>1432</v>
      </c>
      <c r="D4721" s="2889" t="s">
        <v>197</v>
      </c>
      <c r="E4721" s="2889" t="s">
        <v>1426</v>
      </c>
      <c r="F4721" s="3040"/>
      <c r="G4721" s="2890">
        <v>2.7594361322636186E-2</v>
      </c>
    </row>
    <row r="4722" spans="2:7" ht="15" hidden="1" outlineLevel="2">
      <c r="B4722" s="2889" t="s">
        <v>1631</v>
      </c>
      <c r="C4722" s="2889" t="s">
        <v>1432</v>
      </c>
      <c r="D4722" s="2889" t="s">
        <v>197</v>
      </c>
      <c r="E4722" s="2889" t="s">
        <v>1426</v>
      </c>
      <c r="F4722" s="2890">
        <v>1.059922675584318E-6</v>
      </c>
      <c r="G4722" s="2890">
        <v>5.1293407108130198E-2</v>
      </c>
    </row>
    <row r="4723" spans="2:7" ht="15" hidden="1" outlineLevel="2">
      <c r="B4723" s="2889" t="s">
        <v>1632</v>
      </c>
      <c r="C4723" s="2889" t="s">
        <v>1432</v>
      </c>
      <c r="D4723" s="2889" t="s">
        <v>197</v>
      </c>
      <c r="E4723" s="2889" t="s">
        <v>1426</v>
      </c>
      <c r="F4723" s="3040"/>
      <c r="G4723" s="2890">
        <v>0.10493379531791923</v>
      </c>
    </row>
    <row r="4724" spans="2:7" ht="15" hidden="1" outlineLevel="2">
      <c r="B4724" s="2889" t="s">
        <v>1633</v>
      </c>
      <c r="C4724" s="2889" t="s">
        <v>1432</v>
      </c>
      <c r="D4724" s="2889" t="s">
        <v>197</v>
      </c>
      <c r="E4724" s="2889" t="s">
        <v>1426</v>
      </c>
      <c r="F4724" s="3040"/>
      <c r="G4724" s="2890">
        <v>3.6925133051812199E-2</v>
      </c>
    </row>
    <row r="4725" spans="2:7" ht="15" hidden="1" outlineLevel="2">
      <c r="B4725" s="2889" t="s">
        <v>1634</v>
      </c>
      <c r="C4725" s="2889" t="s">
        <v>1432</v>
      </c>
      <c r="D4725" s="2889" t="s">
        <v>197</v>
      </c>
      <c r="E4725" s="2889" t="s">
        <v>1426</v>
      </c>
      <c r="F4725" s="3040"/>
      <c r="G4725" s="2890">
        <v>0.24035403438550634</v>
      </c>
    </row>
    <row r="4726" spans="2:7" ht="15" hidden="1" outlineLevel="2">
      <c r="B4726" s="2889" t="s">
        <v>1635</v>
      </c>
      <c r="C4726" s="2889" t="s">
        <v>1432</v>
      </c>
      <c r="D4726" s="2889" t="s">
        <v>197</v>
      </c>
      <c r="E4726" s="2889" t="s">
        <v>1426</v>
      </c>
      <c r="F4726" s="3040"/>
      <c r="G4726" s="2890">
        <v>0.26831382715914309</v>
      </c>
    </row>
    <row r="4727" spans="2:7" ht="15" hidden="1" outlineLevel="2">
      <c r="B4727" s="2889" t="s">
        <v>1636</v>
      </c>
      <c r="C4727" s="2889" t="s">
        <v>1432</v>
      </c>
      <c r="D4727" s="2889" t="s">
        <v>197</v>
      </c>
      <c r="E4727" s="2889" t="s">
        <v>1426</v>
      </c>
      <c r="F4727" s="3040"/>
      <c r="G4727" s="2890">
        <v>0.13227460551797254</v>
      </c>
    </row>
    <row r="4728" spans="2:7" ht="15" hidden="1" outlineLevel="2">
      <c r="B4728" s="2889" t="s">
        <v>1637</v>
      </c>
      <c r="C4728" s="2889" t="s">
        <v>1432</v>
      </c>
      <c r="D4728" s="2889" t="s">
        <v>197</v>
      </c>
      <c r="E4728" s="2889" t="s">
        <v>1426</v>
      </c>
      <c r="F4728" s="3040"/>
      <c r="G4728" s="2890">
        <v>6.2177938475616625E-2</v>
      </c>
    </row>
    <row r="4729" spans="2:7" ht="15" hidden="1" outlineLevel="2">
      <c r="B4729" s="2889" t="s">
        <v>1638</v>
      </c>
      <c r="C4729" s="2889" t="s">
        <v>1432</v>
      </c>
      <c r="D4729" s="2889" t="s">
        <v>197</v>
      </c>
      <c r="E4729" s="2889" t="s">
        <v>1426</v>
      </c>
      <c r="F4729" s="3040"/>
      <c r="G4729" s="2890">
        <v>0.21690321576909077</v>
      </c>
    </row>
    <row r="4730" spans="2:7" ht="15" hidden="1" outlineLevel="2">
      <c r="B4730" s="2889" t="s">
        <v>1639</v>
      </c>
      <c r="C4730" s="2889" t="s">
        <v>1432</v>
      </c>
      <c r="D4730" s="2889" t="s">
        <v>197</v>
      </c>
      <c r="E4730" s="2889" t="s">
        <v>1426</v>
      </c>
      <c r="F4730" s="3040"/>
      <c r="G4730" s="2890">
        <v>0.3309550391823185</v>
      </c>
    </row>
    <row r="4731" spans="2:7" ht="15" hidden="1" outlineLevel="2">
      <c r="B4731" s="2889" t="s">
        <v>1640</v>
      </c>
      <c r="C4731" s="2889" t="s">
        <v>1432</v>
      </c>
      <c r="D4731" s="2889" t="s">
        <v>197</v>
      </c>
      <c r="E4731" s="2889" t="s">
        <v>1426</v>
      </c>
      <c r="F4731" s="3040"/>
      <c r="G4731" s="2890">
        <v>0.1012292817848494</v>
      </c>
    </row>
    <row r="4732" spans="2:7" ht="15" hidden="1" outlineLevel="2">
      <c r="B4732" s="2889" t="s">
        <v>1641</v>
      </c>
      <c r="C4732" s="2889" t="s">
        <v>1432</v>
      </c>
      <c r="D4732" s="2889" t="s">
        <v>197</v>
      </c>
      <c r="E4732" s="2889" t="s">
        <v>1426</v>
      </c>
      <c r="F4732" s="3040"/>
      <c r="G4732" s="2890">
        <v>0.12391157534506413</v>
      </c>
    </row>
    <row r="4733" spans="2:7" ht="15" hidden="1" outlineLevel="2">
      <c r="B4733" s="2889" t="s">
        <v>1642</v>
      </c>
      <c r="C4733" s="2889" t="s">
        <v>1432</v>
      </c>
      <c r="D4733" s="2889" t="s">
        <v>197</v>
      </c>
      <c r="E4733" s="2889" t="s">
        <v>1426</v>
      </c>
      <c r="F4733" s="3040"/>
      <c r="G4733" s="2890">
        <v>5.62109184706708E-2</v>
      </c>
    </row>
    <row r="4734" spans="2:7" ht="15" hidden="1" outlineLevel="2">
      <c r="B4734" s="2889" t="s">
        <v>1643</v>
      </c>
      <c r="C4734" s="2889" t="s">
        <v>1432</v>
      </c>
      <c r="D4734" s="2889" t="s">
        <v>197</v>
      </c>
      <c r="E4734" s="2889" t="s">
        <v>1426</v>
      </c>
      <c r="F4734" s="3040"/>
      <c r="G4734" s="2890">
        <v>0.27457300070126561</v>
      </c>
    </row>
    <row r="4735" spans="2:7" ht="15" hidden="1" outlineLevel="2">
      <c r="B4735" s="2889" t="s">
        <v>1644</v>
      </c>
      <c r="C4735" s="2889" t="s">
        <v>1432</v>
      </c>
      <c r="D4735" s="2889" t="s">
        <v>197</v>
      </c>
      <c r="E4735" s="2889" t="s">
        <v>1426</v>
      </c>
      <c r="F4735" s="3040"/>
      <c r="G4735" s="2890">
        <v>0.12037878120142176</v>
      </c>
    </row>
    <row r="4736" spans="2:7" ht="15" hidden="1" outlineLevel="2">
      <c r="B4736" s="2889" t="s">
        <v>1645</v>
      </c>
      <c r="C4736" s="2889" t="s">
        <v>1432</v>
      </c>
      <c r="D4736" s="2889" t="s">
        <v>197</v>
      </c>
      <c r="E4736" s="2889" t="s">
        <v>1426</v>
      </c>
      <c r="F4736" s="3040"/>
      <c r="G4736" s="2890">
        <v>4.7065496591518374E-2</v>
      </c>
    </row>
    <row r="4737" spans="2:7" ht="15" hidden="1" outlineLevel="2">
      <c r="B4737" s="2889" t="s">
        <v>1646</v>
      </c>
      <c r="C4737" s="2889" t="s">
        <v>1432</v>
      </c>
      <c r="D4737" s="2889" t="s">
        <v>197</v>
      </c>
      <c r="E4737" s="2889" t="s">
        <v>1426</v>
      </c>
      <c r="F4737" s="3040"/>
      <c r="G4737" s="2890">
        <v>0.33928011739530589</v>
      </c>
    </row>
    <row r="4738" spans="2:7" ht="15" hidden="1" outlineLevel="2">
      <c r="B4738" s="2889" t="s">
        <v>1647</v>
      </c>
      <c r="C4738" s="2889" t="s">
        <v>1432</v>
      </c>
      <c r="D4738" s="2889" t="s">
        <v>197</v>
      </c>
      <c r="E4738" s="2889" t="s">
        <v>1426</v>
      </c>
      <c r="F4738" s="3040"/>
      <c r="G4738" s="2890">
        <v>9.3046087829646407E-2</v>
      </c>
    </row>
    <row r="4739" spans="2:7" ht="15" hidden="1" outlineLevel="2">
      <c r="B4739" s="2889" t="s">
        <v>1648</v>
      </c>
      <c r="C4739" s="2889" t="s">
        <v>1432</v>
      </c>
      <c r="D4739" s="2889" t="s">
        <v>197</v>
      </c>
      <c r="E4739" s="2889" t="s">
        <v>1426</v>
      </c>
      <c r="F4739" s="3040"/>
      <c r="G4739" s="2890">
        <v>8.3865502436421685E-2</v>
      </c>
    </row>
    <row r="4740" spans="2:7" ht="15" hidden="1" outlineLevel="2">
      <c r="B4740" s="2889" t="s">
        <v>1649</v>
      </c>
      <c r="C4740" s="2889" t="s">
        <v>1432</v>
      </c>
      <c r="D4740" s="2889" t="s">
        <v>197</v>
      </c>
      <c r="E4740" s="2889" t="s">
        <v>1426</v>
      </c>
      <c r="F4740" s="3040"/>
      <c r="G4740" s="2890">
        <v>0.21866965126155821</v>
      </c>
    </row>
    <row r="4741" spans="2:7" ht="15" hidden="1" outlineLevel="2">
      <c r="B4741" s="2889" t="s">
        <v>1650</v>
      </c>
      <c r="C4741" s="2889" t="s">
        <v>1432</v>
      </c>
      <c r="D4741" s="2889" t="s">
        <v>197</v>
      </c>
      <c r="E4741" s="2889" t="s">
        <v>1426</v>
      </c>
      <c r="F4741" s="3040"/>
      <c r="G4741" s="2890">
        <v>0.19983616003619828</v>
      </c>
    </row>
    <row r="4742" spans="2:7" ht="15" hidden="1" outlineLevel="2">
      <c r="B4742" s="2889" t="s">
        <v>1651</v>
      </c>
      <c r="C4742" s="2889" t="s">
        <v>1432</v>
      </c>
      <c r="D4742" s="2889" t="s">
        <v>197</v>
      </c>
      <c r="E4742" s="2889" t="s">
        <v>1426</v>
      </c>
      <c r="F4742" s="3040"/>
      <c r="G4742" s="2890">
        <v>0.15349855454929506</v>
      </c>
    </row>
    <row r="4743" spans="2:7" ht="15" hidden="1" outlineLevel="2">
      <c r="B4743" s="2889" t="s">
        <v>1652</v>
      </c>
      <c r="C4743" s="2889" t="s">
        <v>1432</v>
      </c>
      <c r="D4743" s="2889" t="s">
        <v>197</v>
      </c>
      <c r="E4743" s="2889" t="s">
        <v>1426</v>
      </c>
      <c r="F4743" s="3040"/>
      <c r="G4743" s="2890">
        <v>0.23336224832429675</v>
      </c>
    </row>
    <row r="4744" spans="2:7" ht="15" hidden="1" outlineLevel="2">
      <c r="B4744" s="2889" t="s">
        <v>1653</v>
      </c>
      <c r="C4744" s="2889" t="s">
        <v>1432</v>
      </c>
      <c r="D4744" s="2889" t="s">
        <v>197</v>
      </c>
      <c r="E4744" s="2889" t="s">
        <v>1426</v>
      </c>
      <c r="F4744" s="3040"/>
      <c r="G4744" s="2890">
        <v>1.0268559227017843E-34</v>
      </c>
    </row>
    <row r="4745" spans="2:7" ht="15" hidden="1" outlineLevel="2">
      <c r="B4745" s="2889" t="s">
        <v>1407</v>
      </c>
      <c r="C4745" s="2889" t="s">
        <v>1433</v>
      </c>
      <c r="D4745" s="2889" t="s">
        <v>197</v>
      </c>
      <c r="E4745" s="2889" t="s">
        <v>1426</v>
      </c>
      <c r="F4745" s="3040"/>
      <c r="G4745" s="2890">
        <v>10.183025679151571</v>
      </c>
    </row>
    <row r="4746" spans="2:7" ht="15" hidden="1" outlineLevel="2">
      <c r="B4746" s="2889" t="s">
        <v>1631</v>
      </c>
      <c r="C4746" s="2889" t="s">
        <v>1433</v>
      </c>
      <c r="D4746" s="2889" t="s">
        <v>197</v>
      </c>
      <c r="E4746" s="2889" t="s">
        <v>1426</v>
      </c>
      <c r="F4746" s="2890">
        <v>4.7445631506761452E-4</v>
      </c>
      <c r="G4746" s="2890">
        <v>18.928580510523975</v>
      </c>
    </row>
    <row r="4747" spans="2:7" ht="15" hidden="1" outlineLevel="2">
      <c r="B4747" s="2889" t="s">
        <v>1632</v>
      </c>
      <c r="C4747" s="2889" t="s">
        <v>1433</v>
      </c>
      <c r="D4747" s="2889" t="s">
        <v>197</v>
      </c>
      <c r="E4747" s="2889" t="s">
        <v>1426</v>
      </c>
      <c r="F4747" s="3040"/>
      <c r="G4747" s="2890">
        <v>38.72325093205616</v>
      </c>
    </row>
    <row r="4748" spans="2:7" ht="15" hidden="1" outlineLevel="2">
      <c r="B4748" s="2889" t="s">
        <v>1633</v>
      </c>
      <c r="C4748" s="2889" t="s">
        <v>1433</v>
      </c>
      <c r="D4748" s="2889" t="s">
        <v>197</v>
      </c>
      <c r="E4748" s="2889" t="s">
        <v>1426</v>
      </c>
      <c r="F4748" s="3040"/>
      <c r="G4748" s="2890">
        <v>13.626323306626809</v>
      </c>
    </row>
    <row r="4749" spans="2:7" ht="15" hidden="1" outlineLevel="2">
      <c r="B4749" s="2889" t="s">
        <v>1634</v>
      </c>
      <c r="C4749" s="2889" t="s">
        <v>1433</v>
      </c>
      <c r="D4749" s="2889" t="s">
        <v>197</v>
      </c>
      <c r="E4749" s="2889" t="s">
        <v>1426</v>
      </c>
      <c r="F4749" s="3040"/>
      <c r="G4749" s="2890">
        <v>88.69680194152825</v>
      </c>
    </row>
    <row r="4750" spans="2:7" ht="15" hidden="1" outlineLevel="2">
      <c r="B4750" s="2889" t="s">
        <v>1635</v>
      </c>
      <c r="C4750" s="2889" t="s">
        <v>1433</v>
      </c>
      <c r="D4750" s="2889" t="s">
        <v>197</v>
      </c>
      <c r="E4750" s="2889" t="s">
        <v>1426</v>
      </c>
      <c r="F4750" s="3040"/>
      <c r="G4750" s="2890">
        <v>99.014719983292778</v>
      </c>
    </row>
    <row r="4751" spans="2:7" ht="15" hidden="1" outlineLevel="2">
      <c r="B4751" s="2889" t="s">
        <v>1636</v>
      </c>
      <c r="C4751" s="2889" t="s">
        <v>1433</v>
      </c>
      <c r="D4751" s="2889" t="s">
        <v>197</v>
      </c>
      <c r="E4751" s="2889" t="s">
        <v>1426</v>
      </c>
      <c r="F4751" s="3040"/>
      <c r="G4751" s="2890">
        <v>48.812736588412648</v>
      </c>
    </row>
    <row r="4752" spans="2:7" ht="15" hidden="1" outlineLevel="2">
      <c r="B4752" s="2889" t="s">
        <v>1637</v>
      </c>
      <c r="C4752" s="2889" t="s">
        <v>1433</v>
      </c>
      <c r="D4752" s="2889" t="s">
        <v>197</v>
      </c>
      <c r="E4752" s="2889" t="s">
        <v>1426</v>
      </c>
      <c r="F4752" s="3040"/>
      <c r="G4752" s="2890">
        <v>22.945239316110879</v>
      </c>
    </row>
    <row r="4753" spans="2:7" ht="15" hidden="1" outlineLevel="2">
      <c r="B4753" s="2889" t="s">
        <v>1638</v>
      </c>
      <c r="C4753" s="2889" t="s">
        <v>1433</v>
      </c>
      <c r="D4753" s="2889" t="s">
        <v>197</v>
      </c>
      <c r="E4753" s="2889" t="s">
        <v>1426</v>
      </c>
      <c r="F4753" s="3040"/>
      <c r="G4753" s="2890">
        <v>80.04283420745513</v>
      </c>
    </row>
    <row r="4754" spans="2:7" ht="15" hidden="1" outlineLevel="2">
      <c r="B4754" s="2889" t="s">
        <v>1639</v>
      </c>
      <c r="C4754" s="2889" t="s">
        <v>1433</v>
      </c>
      <c r="D4754" s="2889" t="s">
        <v>197</v>
      </c>
      <c r="E4754" s="2889" t="s">
        <v>1426</v>
      </c>
      <c r="F4754" s="2891"/>
      <c r="G4754" s="2890">
        <v>122.13090888575901</v>
      </c>
    </row>
    <row r="4755" spans="2:7" ht="15" hidden="1" outlineLevel="2">
      <c r="B4755" s="2889" t="s">
        <v>1640</v>
      </c>
      <c r="C4755" s="2889" t="s">
        <v>1433</v>
      </c>
      <c r="D4755" s="2889" t="s">
        <v>197</v>
      </c>
      <c r="E4755" s="2889" t="s">
        <v>1426</v>
      </c>
      <c r="F4755" s="2891"/>
      <c r="G4755" s="2890">
        <v>37.356185970564724</v>
      </c>
    </row>
    <row r="4756" spans="2:7" ht="15" hidden="1" outlineLevel="2">
      <c r="B4756" s="2889" t="s">
        <v>1641</v>
      </c>
      <c r="C4756" s="2889" t="s">
        <v>1433</v>
      </c>
      <c r="D4756" s="2889" t="s">
        <v>197</v>
      </c>
      <c r="E4756" s="2889" t="s">
        <v>1426</v>
      </c>
      <c r="F4756" s="2891"/>
      <c r="G4756" s="2890">
        <v>45.726534127736457</v>
      </c>
    </row>
    <row r="4757" spans="2:7" ht="15" hidden="1" outlineLevel="2">
      <c r="B4757" s="2889" t="s">
        <v>1642</v>
      </c>
      <c r="C4757" s="2889" t="s">
        <v>1433</v>
      </c>
      <c r="D4757" s="2889" t="s">
        <v>197</v>
      </c>
      <c r="E4757" s="2889" t="s">
        <v>1426</v>
      </c>
      <c r="F4757" s="2891"/>
      <c r="G4757" s="2890">
        <v>20.743272270349735</v>
      </c>
    </row>
    <row r="4758" spans="2:7" ht="15" hidden="1" outlineLevel="2">
      <c r="B4758" s="2889" t="s">
        <v>1643</v>
      </c>
      <c r="C4758" s="2889" t="s">
        <v>1433</v>
      </c>
      <c r="D4758" s="2889" t="s">
        <v>197</v>
      </c>
      <c r="E4758" s="2889" t="s">
        <v>1426</v>
      </c>
      <c r="F4758" s="2891"/>
      <c r="G4758" s="2890">
        <v>101.32445802647196</v>
      </c>
    </row>
    <row r="4759" spans="2:7" ht="15" hidden="1" outlineLevel="2">
      <c r="B4759" s="2889" t="s">
        <v>1644</v>
      </c>
      <c r="C4759" s="2889" t="s">
        <v>1433</v>
      </c>
      <c r="D4759" s="2889" t="s">
        <v>197</v>
      </c>
      <c r="E4759" s="2889" t="s">
        <v>1426</v>
      </c>
      <c r="F4759" s="2891"/>
      <c r="G4759" s="2890">
        <v>44.422852662994622</v>
      </c>
    </row>
    <row r="4760" spans="2:7" ht="15" hidden="1" outlineLevel="2">
      <c r="B4760" s="2889" t="s">
        <v>1645</v>
      </c>
      <c r="C4760" s="2889" t="s">
        <v>1433</v>
      </c>
      <c r="D4760" s="2889" t="s">
        <v>197</v>
      </c>
      <c r="E4760" s="2889" t="s">
        <v>1426</v>
      </c>
      <c r="F4760" s="2891"/>
      <c r="G4760" s="2890">
        <v>17.368372866302117</v>
      </c>
    </row>
    <row r="4761" spans="2:7" ht="15" hidden="1" outlineLevel="2">
      <c r="B4761" s="2889" t="s">
        <v>1646</v>
      </c>
      <c r="C4761" s="2889" t="s">
        <v>1433</v>
      </c>
      <c r="D4761" s="2889" t="s">
        <v>197</v>
      </c>
      <c r="E4761" s="2889" t="s">
        <v>1426</v>
      </c>
      <c r="F4761" s="2891"/>
      <c r="G4761" s="2890">
        <v>125.20301293654849</v>
      </c>
    </row>
    <row r="4762" spans="2:7" ht="15" hidden="1" outlineLevel="2">
      <c r="B4762" s="2889" t="s">
        <v>1647</v>
      </c>
      <c r="C4762" s="2889" t="s">
        <v>1433</v>
      </c>
      <c r="D4762" s="2889" t="s">
        <v>197</v>
      </c>
      <c r="E4762" s="2889" t="s">
        <v>1426</v>
      </c>
      <c r="F4762" s="2891"/>
      <c r="G4762" s="2890">
        <v>34.336400085605774</v>
      </c>
    </row>
    <row r="4763" spans="2:7" ht="15" hidden="1" outlineLevel="2">
      <c r="B4763" s="2889" t="s">
        <v>1648</v>
      </c>
      <c r="C4763" s="2889" t="s">
        <v>1433</v>
      </c>
      <c r="D4763" s="2889" t="s">
        <v>197</v>
      </c>
      <c r="E4763" s="2889" t="s">
        <v>1426</v>
      </c>
      <c r="F4763" s="2891"/>
      <c r="G4763" s="2890">
        <v>30.948526691705531</v>
      </c>
    </row>
    <row r="4764" spans="2:7" ht="15" hidden="1" outlineLevel="2">
      <c r="B4764" s="2889" t="s">
        <v>1649</v>
      </c>
      <c r="C4764" s="2889" t="s">
        <v>1433</v>
      </c>
      <c r="D4764" s="2889" t="s">
        <v>197</v>
      </c>
      <c r="E4764" s="2889" t="s">
        <v>1426</v>
      </c>
      <c r="F4764" s="2891"/>
      <c r="G4764" s="2890">
        <v>80.694650593849516</v>
      </c>
    </row>
    <row r="4765" spans="2:7" ht="15" hidden="1" outlineLevel="2">
      <c r="B4765" s="2889" t="s">
        <v>1650</v>
      </c>
      <c r="C4765" s="2889" t="s">
        <v>1433</v>
      </c>
      <c r="D4765" s="2889" t="s">
        <v>197</v>
      </c>
      <c r="E4765" s="2889" t="s">
        <v>1426</v>
      </c>
      <c r="F4765" s="2891"/>
      <c r="G4765" s="2890">
        <v>73.744684358536276</v>
      </c>
    </row>
    <row r="4766" spans="2:7" ht="15" hidden="1" outlineLevel="2">
      <c r="B4766" s="2889" t="s">
        <v>1651</v>
      </c>
      <c r="C4766" s="2889" t="s">
        <v>1433</v>
      </c>
      <c r="D4766" s="2889" t="s">
        <v>197</v>
      </c>
      <c r="E4766" s="2889" t="s">
        <v>1426</v>
      </c>
      <c r="F4766" s="2891"/>
      <c r="G4766" s="2890">
        <v>56.644891292917542</v>
      </c>
    </row>
    <row r="4767" spans="2:7" ht="15" hidden="1" outlineLevel="2">
      <c r="B4767" s="2889" t="s">
        <v>1652</v>
      </c>
      <c r="C4767" s="2889" t="s">
        <v>1433</v>
      </c>
      <c r="D4767" s="2889" t="s">
        <v>197</v>
      </c>
      <c r="E4767" s="2889" t="s">
        <v>1426</v>
      </c>
      <c r="F4767" s="2891"/>
      <c r="G4767" s="2890">
        <v>86.116623850581817</v>
      </c>
    </row>
    <row r="4768" spans="2:7" ht="15" hidden="1" outlineLevel="2">
      <c r="B4768" s="2889" t="s">
        <v>1653</v>
      </c>
      <c r="C4768" s="2889" t="s">
        <v>1433</v>
      </c>
      <c r="D4768" s="2889" t="s">
        <v>197</v>
      </c>
      <c r="E4768" s="2889" t="s">
        <v>1426</v>
      </c>
      <c r="F4768" s="2891"/>
      <c r="G4768" s="2890">
        <v>1.3029741115138325E-30</v>
      </c>
    </row>
    <row r="4769" spans="2:7" ht="15" hidden="1" outlineLevel="2">
      <c r="B4769" s="2889" t="s">
        <v>1407</v>
      </c>
      <c r="C4769" s="2889" t="s">
        <v>1434</v>
      </c>
      <c r="D4769" s="2889" t="s">
        <v>197</v>
      </c>
      <c r="E4769" s="2889" t="s">
        <v>1426</v>
      </c>
      <c r="F4769" s="2891"/>
      <c r="G4769" s="2890">
        <v>28.285758239622794</v>
      </c>
    </row>
    <row r="4770" spans="2:7" ht="15" hidden="1" outlineLevel="2">
      <c r="B4770" s="2889" t="s">
        <v>1631</v>
      </c>
      <c r="C4770" s="2889" t="s">
        <v>1434</v>
      </c>
      <c r="D4770" s="2889" t="s">
        <v>197</v>
      </c>
      <c r="E4770" s="2889" t="s">
        <v>1426</v>
      </c>
      <c r="F4770" s="3039">
        <v>1.3395457533123207E-3</v>
      </c>
      <c r="G4770" s="2890">
        <v>52.578603723110895</v>
      </c>
    </row>
    <row r="4771" spans="2:7" ht="15" hidden="1" outlineLevel="2">
      <c r="B4771" s="2889" t="s">
        <v>1632</v>
      </c>
      <c r="C4771" s="2889" t="s">
        <v>1434</v>
      </c>
      <c r="D4771" s="2889" t="s">
        <v>197</v>
      </c>
      <c r="E4771" s="2889" t="s">
        <v>1426</v>
      </c>
      <c r="F4771" s="2891"/>
      <c r="G4771" s="2890">
        <v>107.56304795310963</v>
      </c>
    </row>
    <row r="4772" spans="2:7" ht="15" hidden="1" outlineLevel="2">
      <c r="B4772" s="2889" t="s">
        <v>1633</v>
      </c>
      <c r="C4772" s="2889" t="s">
        <v>1434</v>
      </c>
      <c r="D4772" s="2889" t="s">
        <v>197</v>
      </c>
      <c r="E4772" s="2889" t="s">
        <v>1426</v>
      </c>
      <c r="F4772" s="2891"/>
      <c r="G4772" s="2890">
        <v>37.850336346076574</v>
      </c>
    </row>
    <row r="4773" spans="2:7" ht="15" hidden="1" outlineLevel="2">
      <c r="B4773" s="2889" t="s">
        <v>1634</v>
      </c>
      <c r="C4773" s="2889" t="s">
        <v>1434</v>
      </c>
      <c r="D4773" s="2889" t="s">
        <v>197</v>
      </c>
      <c r="E4773" s="2889" t="s">
        <v>1426</v>
      </c>
      <c r="F4773" s="2891"/>
      <c r="G4773" s="2890">
        <v>246.37647444100796</v>
      </c>
    </row>
    <row r="4774" spans="2:7" ht="15" hidden="1" outlineLevel="2">
      <c r="B4774" s="2889" t="s">
        <v>1635</v>
      </c>
      <c r="C4774" s="2889" t="s">
        <v>1434</v>
      </c>
      <c r="D4774" s="2889" t="s">
        <v>197</v>
      </c>
      <c r="E4774" s="2889" t="s">
        <v>1426</v>
      </c>
      <c r="F4774" s="2891"/>
      <c r="G4774" s="2890">
        <v>275.03685212351633</v>
      </c>
    </row>
    <row r="4775" spans="2:7" ht="15" hidden="1" outlineLevel="2">
      <c r="B4775" s="2889" t="s">
        <v>1636</v>
      </c>
      <c r="C4775" s="2889" t="s">
        <v>1434</v>
      </c>
      <c r="D4775" s="2889" t="s">
        <v>197</v>
      </c>
      <c r="E4775" s="2889" t="s">
        <v>1426</v>
      </c>
      <c r="F4775" s="2891"/>
      <c r="G4775" s="2890">
        <v>135.58891337489544</v>
      </c>
    </row>
    <row r="4776" spans="2:7" ht="15" hidden="1" outlineLevel="2">
      <c r="B4776" s="2889" t="s">
        <v>1637</v>
      </c>
      <c r="C4776" s="2889" t="s">
        <v>1434</v>
      </c>
      <c r="D4776" s="2889" t="s">
        <v>197</v>
      </c>
      <c r="E4776" s="2889" t="s">
        <v>1426</v>
      </c>
      <c r="F4776" s="2891"/>
      <c r="G4776" s="2890">
        <v>63.735870412953133</v>
      </c>
    </row>
    <row r="4777" spans="2:7" ht="15" hidden="1" outlineLevel="2">
      <c r="B4777" s="2889" t="s">
        <v>1638</v>
      </c>
      <c r="C4777" s="2889" t="s">
        <v>1434</v>
      </c>
      <c r="D4777" s="2889" t="s">
        <v>197</v>
      </c>
      <c r="E4777" s="2889" t="s">
        <v>1426</v>
      </c>
      <c r="F4777" s="2891"/>
      <c r="G4777" s="2890">
        <v>222.33789830256848</v>
      </c>
    </row>
    <row r="4778" spans="2:7" ht="15" hidden="1" outlineLevel="2">
      <c r="B4778" s="2889" t="s">
        <v>1639</v>
      </c>
      <c r="C4778" s="2889" t="s">
        <v>1434</v>
      </c>
      <c r="D4778" s="2889" t="s">
        <v>197</v>
      </c>
      <c r="E4778" s="2889" t="s">
        <v>1426</v>
      </c>
      <c r="F4778" s="2891"/>
      <c r="G4778" s="2890">
        <v>339.24754148615511</v>
      </c>
    </row>
    <row r="4779" spans="2:7" ht="15" hidden="1" outlineLevel="2">
      <c r="B4779" s="2889" t="s">
        <v>1640</v>
      </c>
      <c r="C4779" s="2889" t="s">
        <v>1434</v>
      </c>
      <c r="D4779" s="2889" t="s">
        <v>197</v>
      </c>
      <c r="E4779" s="2889" t="s">
        <v>1426</v>
      </c>
      <c r="F4779" s="3040"/>
      <c r="G4779" s="2890">
        <v>103.76568813498633</v>
      </c>
    </row>
    <row r="4780" spans="2:7" ht="15" hidden="1" outlineLevel="2">
      <c r="B4780" s="2889" t="s">
        <v>1641</v>
      </c>
      <c r="C4780" s="2889" t="s">
        <v>1434</v>
      </c>
      <c r="D4780" s="2889" t="s">
        <v>197</v>
      </c>
      <c r="E4780" s="2889" t="s">
        <v>1426</v>
      </c>
      <c r="F4780" s="3040"/>
      <c r="G4780" s="2890">
        <v>127.01629420824636</v>
      </c>
    </row>
    <row r="4781" spans="2:7" ht="15" hidden="1" outlineLevel="2">
      <c r="B4781" s="2889" t="s">
        <v>1642</v>
      </c>
      <c r="C4781" s="2889" t="s">
        <v>1434</v>
      </c>
      <c r="D4781" s="2889" t="s">
        <v>197</v>
      </c>
      <c r="E4781" s="2889" t="s">
        <v>1426</v>
      </c>
      <c r="F4781" s="3040"/>
      <c r="G4781" s="2890">
        <v>57.619350256299974</v>
      </c>
    </row>
    <row r="4782" spans="2:7" ht="15" hidden="1" outlineLevel="2">
      <c r="B4782" s="2889" t="s">
        <v>1643</v>
      </c>
      <c r="C4782" s="2889" t="s">
        <v>1434</v>
      </c>
      <c r="D4782" s="2889" t="s">
        <v>197</v>
      </c>
      <c r="E4782" s="2889" t="s">
        <v>1426</v>
      </c>
      <c r="F4782" s="3040"/>
      <c r="G4782" s="2890">
        <v>281.45275421916176</v>
      </c>
    </row>
    <row r="4783" spans="2:7" ht="15" hidden="1" outlineLevel="2">
      <c r="B4783" s="2889" t="s">
        <v>1644</v>
      </c>
      <c r="C4783" s="2889" t="s">
        <v>1434</v>
      </c>
      <c r="D4783" s="2889" t="s">
        <v>197</v>
      </c>
      <c r="E4783" s="2889" t="s">
        <v>1426</v>
      </c>
      <c r="F4783" s="3040"/>
      <c r="G4783" s="2890">
        <v>123.39500090473058</v>
      </c>
    </row>
    <row r="4784" spans="2:7" ht="15" hidden="1" outlineLevel="2">
      <c r="B4784" s="2889" t="s">
        <v>1645</v>
      </c>
      <c r="C4784" s="2889" t="s">
        <v>1434</v>
      </c>
      <c r="D4784" s="2889" t="s">
        <v>197</v>
      </c>
      <c r="E4784" s="2889" t="s">
        <v>1426</v>
      </c>
      <c r="F4784" s="3040"/>
      <c r="G4784" s="2890">
        <v>48.244788491639881</v>
      </c>
    </row>
    <row r="4785" spans="2:7" ht="15" hidden="1" outlineLevel="2">
      <c r="B4785" s="2889" t="s">
        <v>1646</v>
      </c>
      <c r="C4785" s="2889" t="s">
        <v>1434</v>
      </c>
      <c r="D4785" s="2889" t="s">
        <v>197</v>
      </c>
      <c r="E4785" s="2889" t="s">
        <v>1426</v>
      </c>
      <c r="F4785" s="3040"/>
      <c r="G4785" s="2890">
        <v>347.78101059718119</v>
      </c>
    </row>
    <row r="4786" spans="2:7" ht="15" hidden="1" outlineLevel="2">
      <c r="B4786" s="2889" t="s">
        <v>1647</v>
      </c>
      <c r="C4786" s="2889" t="s">
        <v>1434</v>
      </c>
      <c r="D4786" s="2889" t="s">
        <v>197</v>
      </c>
      <c r="E4786" s="2889" t="s">
        <v>1426</v>
      </c>
      <c r="F4786" s="3040"/>
      <c r="G4786" s="2890">
        <v>95.377505078119214</v>
      </c>
    </row>
    <row r="4787" spans="2:7" ht="15" hidden="1" outlineLevel="2">
      <c r="B4787" s="2889" t="s">
        <v>1648</v>
      </c>
      <c r="C4787" s="2889" t="s">
        <v>1434</v>
      </c>
      <c r="D4787" s="2889" t="s">
        <v>197</v>
      </c>
      <c r="E4787" s="2889" t="s">
        <v>1426</v>
      </c>
      <c r="F4787" s="3040"/>
      <c r="G4787" s="2890">
        <v>85.966832069728909</v>
      </c>
    </row>
    <row r="4788" spans="2:7" ht="15" hidden="1" outlineLevel="2">
      <c r="B4788" s="2889" t="s">
        <v>1649</v>
      </c>
      <c r="C4788" s="2889" t="s">
        <v>1434</v>
      </c>
      <c r="D4788" s="2889" t="s">
        <v>197</v>
      </c>
      <c r="E4788" s="2889" t="s">
        <v>1426</v>
      </c>
      <c r="F4788" s="3040"/>
      <c r="G4788" s="2890">
        <v>224.14857071263691</v>
      </c>
    </row>
    <row r="4789" spans="2:7" ht="15" hidden="1" outlineLevel="2">
      <c r="B4789" s="2889" t="s">
        <v>1650</v>
      </c>
      <c r="C4789" s="2889" t="s">
        <v>1434</v>
      </c>
      <c r="D4789" s="2889" t="s">
        <v>197</v>
      </c>
      <c r="E4789" s="2889" t="s">
        <v>1426</v>
      </c>
      <c r="F4789" s="3040"/>
      <c r="G4789" s="2890">
        <v>204.84337885306908</v>
      </c>
    </row>
    <row r="4790" spans="2:7" ht="15" hidden="1" outlineLevel="2">
      <c r="B4790" s="2889" t="s">
        <v>1651</v>
      </c>
      <c r="C4790" s="2889" t="s">
        <v>1434</v>
      </c>
      <c r="D4790" s="2889" t="s">
        <v>197</v>
      </c>
      <c r="E4790" s="2889" t="s">
        <v>1426</v>
      </c>
      <c r="F4790" s="3040"/>
      <c r="G4790" s="2890">
        <v>157.34463231973592</v>
      </c>
    </row>
    <row r="4791" spans="2:7" ht="15" hidden="1" outlineLevel="2">
      <c r="B4791" s="2889" t="s">
        <v>1652</v>
      </c>
      <c r="C4791" s="2889" t="s">
        <v>1434</v>
      </c>
      <c r="D4791" s="2889" t="s">
        <v>197</v>
      </c>
      <c r="E4791" s="2889" t="s">
        <v>1426</v>
      </c>
      <c r="F4791" s="3040"/>
      <c r="G4791" s="2890">
        <v>239.20928830170703</v>
      </c>
    </row>
    <row r="4792" spans="2:7" ht="15" hidden="1" outlineLevel="2">
      <c r="B4792" s="2889" t="s">
        <v>1653</v>
      </c>
      <c r="C4792" s="2889" t="s">
        <v>1434</v>
      </c>
      <c r="D4792" s="2889" t="s">
        <v>197</v>
      </c>
      <c r="E4792" s="2889" t="s">
        <v>1426</v>
      </c>
      <c r="F4792" s="3040"/>
      <c r="G4792" s="2890">
        <v>1.540882820570414E-32</v>
      </c>
    </row>
    <row r="4793" spans="2:7" ht="15" hidden="1" outlineLevel="2">
      <c r="B4793" s="2889" t="s">
        <v>1407</v>
      </c>
      <c r="C4793" s="2889" t="s">
        <v>1435</v>
      </c>
      <c r="D4793" s="2889" t="s">
        <v>197</v>
      </c>
      <c r="E4793" s="2889" t="s">
        <v>1426</v>
      </c>
      <c r="F4793" s="3040"/>
      <c r="G4793" s="2890">
        <v>20.795545367537141</v>
      </c>
    </row>
    <row r="4794" spans="2:7" ht="15" hidden="1" outlineLevel="2">
      <c r="B4794" s="2889" t="s">
        <v>1631</v>
      </c>
      <c r="C4794" s="2889" t="s">
        <v>1435</v>
      </c>
      <c r="D4794" s="2889" t="s">
        <v>197</v>
      </c>
      <c r="E4794" s="2889" t="s">
        <v>1426</v>
      </c>
      <c r="F4794" s="2890">
        <v>1.2208815814322542E-3</v>
      </c>
      <c r="G4794" s="2890">
        <v>38.655507139248847</v>
      </c>
    </row>
    <row r="4795" spans="2:7" ht="15" hidden="1" outlineLevel="2">
      <c r="B4795" s="2889" t="s">
        <v>1632</v>
      </c>
      <c r="C4795" s="2889" t="s">
        <v>1435</v>
      </c>
      <c r="D4795" s="2889" t="s">
        <v>197</v>
      </c>
      <c r="E4795" s="2889" t="s">
        <v>1426</v>
      </c>
      <c r="F4795" s="3040"/>
      <c r="G4795" s="2890">
        <v>79.079760456691147</v>
      </c>
    </row>
    <row r="4796" spans="2:7" ht="15" hidden="1" outlineLevel="2">
      <c r="B4796" s="2889" t="s">
        <v>1633</v>
      </c>
      <c r="C4796" s="2889" t="s">
        <v>1435</v>
      </c>
      <c r="D4796" s="2889" t="s">
        <v>197</v>
      </c>
      <c r="E4796" s="2889" t="s">
        <v>1426</v>
      </c>
      <c r="F4796" s="3040"/>
      <c r="G4796" s="2890">
        <v>27.82736031497026</v>
      </c>
    </row>
    <row r="4797" spans="2:7" ht="15" hidden="1" outlineLevel="2">
      <c r="B4797" s="2889" t="s">
        <v>1634</v>
      </c>
      <c r="C4797" s="2889" t="s">
        <v>1435</v>
      </c>
      <c r="D4797" s="2889" t="s">
        <v>197</v>
      </c>
      <c r="E4797" s="2889" t="s">
        <v>1426</v>
      </c>
      <c r="F4797" s="3040"/>
      <c r="G4797" s="2890">
        <v>181.13464832459377</v>
      </c>
    </row>
    <row r="4798" spans="2:7" ht="15" hidden="1" outlineLevel="2">
      <c r="B4798" s="2889" t="s">
        <v>1635</v>
      </c>
      <c r="C4798" s="2889" t="s">
        <v>1435</v>
      </c>
      <c r="D4798" s="2889" t="s">
        <v>197</v>
      </c>
      <c r="E4798" s="2889" t="s">
        <v>1426</v>
      </c>
      <c r="F4798" s="3040"/>
      <c r="G4798" s="2890">
        <v>202.20563236622567</v>
      </c>
    </row>
    <row r="4799" spans="2:7" ht="15" hidden="1" outlineLevel="2">
      <c r="B4799" s="2889" t="s">
        <v>1636</v>
      </c>
      <c r="C4799" s="2889" t="s">
        <v>1435</v>
      </c>
      <c r="D4799" s="2889" t="s">
        <v>197</v>
      </c>
      <c r="E4799" s="2889" t="s">
        <v>1426</v>
      </c>
      <c r="F4799" s="2891"/>
      <c r="G4799" s="2890">
        <v>99.684272434038448</v>
      </c>
    </row>
    <row r="4800" spans="2:7" ht="15" hidden="1" outlineLevel="2">
      <c r="B4800" s="2889" t="s">
        <v>1637</v>
      </c>
      <c r="C4800" s="2889" t="s">
        <v>1435</v>
      </c>
      <c r="D4800" s="2889" t="s">
        <v>197</v>
      </c>
      <c r="E4800" s="2889" t="s">
        <v>1426</v>
      </c>
      <c r="F4800" s="2891"/>
      <c r="G4800" s="2890">
        <v>46.858281472168187</v>
      </c>
    </row>
    <row r="4801" spans="2:7" ht="15" hidden="1" outlineLevel="2">
      <c r="B4801" s="2889" t="s">
        <v>1638</v>
      </c>
      <c r="C4801" s="2889" t="s">
        <v>1435</v>
      </c>
      <c r="D4801" s="2889" t="s">
        <v>197</v>
      </c>
      <c r="E4801" s="2889" t="s">
        <v>1426</v>
      </c>
      <c r="F4801" s="2891"/>
      <c r="G4801" s="2890">
        <v>163.46163993283884</v>
      </c>
    </row>
    <row r="4802" spans="2:7" ht="15" hidden="1" outlineLevel="2">
      <c r="B4802" s="2889" t="s">
        <v>1639</v>
      </c>
      <c r="C4802" s="2889" t="s">
        <v>1435</v>
      </c>
      <c r="D4802" s="2889" t="s">
        <v>197</v>
      </c>
      <c r="E4802" s="2889" t="s">
        <v>1426</v>
      </c>
      <c r="F4802" s="2891"/>
      <c r="G4802" s="2890">
        <v>249.41300317907019</v>
      </c>
    </row>
    <row r="4803" spans="2:7" ht="15" hidden="1" outlineLevel="2">
      <c r="B4803" s="2889" t="s">
        <v>1640</v>
      </c>
      <c r="C4803" s="2889" t="s">
        <v>1435</v>
      </c>
      <c r="D4803" s="2889" t="s">
        <v>197</v>
      </c>
      <c r="E4803" s="2889" t="s">
        <v>1426</v>
      </c>
      <c r="F4803" s="2891"/>
      <c r="G4803" s="2890">
        <v>76.287978081635359</v>
      </c>
    </row>
    <row r="4804" spans="2:7" ht="15" hidden="1" outlineLevel="2">
      <c r="B4804" s="2889" t="s">
        <v>1641</v>
      </c>
      <c r="C4804" s="2889" t="s">
        <v>1435</v>
      </c>
      <c r="D4804" s="2889" t="s">
        <v>197</v>
      </c>
      <c r="E4804" s="2889" t="s">
        <v>1426</v>
      </c>
      <c r="F4804" s="2891"/>
      <c r="G4804" s="2890">
        <v>93.381703617299223</v>
      </c>
    </row>
    <row r="4805" spans="2:7" ht="15" hidden="1" outlineLevel="2">
      <c r="B4805" s="2889" t="s">
        <v>1642</v>
      </c>
      <c r="C4805" s="2889" t="s">
        <v>1435</v>
      </c>
      <c r="D4805" s="2889" t="s">
        <v>197</v>
      </c>
      <c r="E4805" s="2889" t="s">
        <v>1426</v>
      </c>
      <c r="F4805" s="2891"/>
      <c r="G4805" s="2890">
        <v>42.361451300908016</v>
      </c>
    </row>
    <row r="4806" spans="2:7" ht="15" hidden="1" outlineLevel="2">
      <c r="B4806" s="2889" t="s">
        <v>1643</v>
      </c>
      <c r="C4806" s="2889" t="s">
        <v>1435</v>
      </c>
      <c r="D4806" s="2889" t="s">
        <v>197</v>
      </c>
      <c r="E4806" s="2889" t="s">
        <v>1426</v>
      </c>
      <c r="F4806" s="3040"/>
      <c r="G4806" s="2890">
        <v>206.92255401432075</v>
      </c>
    </row>
    <row r="4807" spans="2:7" ht="15" hidden="1" outlineLevel="2">
      <c r="B4807" s="2889" t="s">
        <v>1644</v>
      </c>
      <c r="C4807" s="2889" t="s">
        <v>1435</v>
      </c>
      <c r="D4807" s="2889" t="s">
        <v>197</v>
      </c>
      <c r="E4807" s="2889" t="s">
        <v>1426</v>
      </c>
      <c r="F4807" s="3040"/>
      <c r="G4807" s="2890">
        <v>90.719363303972585</v>
      </c>
    </row>
    <row r="4808" spans="2:7" ht="15" hidden="1" outlineLevel="2">
      <c r="B4808" s="2889" t="s">
        <v>1645</v>
      </c>
      <c r="C4808" s="2889" t="s">
        <v>1435</v>
      </c>
      <c r="D4808" s="2889" t="s">
        <v>197</v>
      </c>
      <c r="E4808" s="2889" t="s">
        <v>1426</v>
      </c>
      <c r="F4808" s="3040"/>
      <c r="G4808" s="2890">
        <v>35.469307378178527</v>
      </c>
    </row>
    <row r="4809" spans="2:7" ht="15" hidden="1" outlineLevel="2">
      <c r="B4809" s="2889" t="s">
        <v>1646</v>
      </c>
      <c r="C4809" s="2889" t="s">
        <v>1435</v>
      </c>
      <c r="D4809" s="2889" t="s">
        <v>197</v>
      </c>
      <c r="E4809" s="2889" t="s">
        <v>1426</v>
      </c>
      <c r="F4809" s="3040"/>
      <c r="G4809" s="2890">
        <v>255.68679495760557</v>
      </c>
    </row>
    <row r="4810" spans="2:7" ht="15" hidden="1" outlineLevel="2">
      <c r="B4810" s="2889" t="s">
        <v>1647</v>
      </c>
      <c r="C4810" s="2889" t="s">
        <v>1435</v>
      </c>
      <c r="D4810" s="2889" t="s">
        <v>197</v>
      </c>
      <c r="E4810" s="2889" t="s">
        <v>1426</v>
      </c>
      <c r="F4810" s="3040"/>
      <c r="G4810" s="2890">
        <v>70.121011811876031</v>
      </c>
    </row>
    <row r="4811" spans="2:7" ht="15" hidden="1" outlineLevel="2">
      <c r="B4811" s="2889" t="s">
        <v>1648</v>
      </c>
      <c r="C4811" s="2889" t="s">
        <v>1435</v>
      </c>
      <c r="D4811" s="2889" t="s">
        <v>197</v>
      </c>
      <c r="E4811" s="2889" t="s">
        <v>1426</v>
      </c>
      <c r="F4811" s="3040"/>
      <c r="G4811" s="2890">
        <v>63.202372191583741</v>
      </c>
    </row>
    <row r="4812" spans="2:7" ht="15" hidden="1" outlineLevel="2">
      <c r="B4812" s="2889" t="s">
        <v>1649</v>
      </c>
      <c r="C4812" s="2889" t="s">
        <v>1435</v>
      </c>
      <c r="D4812" s="2889" t="s">
        <v>197</v>
      </c>
      <c r="E4812" s="2889" t="s">
        <v>1426</v>
      </c>
      <c r="F4812" s="3040"/>
      <c r="G4812" s="2890">
        <v>164.79280336456816</v>
      </c>
    </row>
    <row r="4813" spans="2:7" ht="15" hidden="1" outlineLevel="2">
      <c r="B4813" s="2889" t="s">
        <v>1650</v>
      </c>
      <c r="C4813" s="2889" t="s">
        <v>1435</v>
      </c>
      <c r="D4813" s="2889" t="s">
        <v>197</v>
      </c>
      <c r="E4813" s="2889" t="s">
        <v>1426</v>
      </c>
      <c r="F4813" s="3040"/>
      <c r="G4813" s="2890">
        <v>150.59973591377306</v>
      </c>
    </row>
    <row r="4814" spans="2:7" ht="15" hidden="1" outlineLevel="2">
      <c r="B4814" s="2889" t="s">
        <v>1651</v>
      </c>
      <c r="C4814" s="2889" t="s">
        <v>1435</v>
      </c>
      <c r="D4814" s="2889" t="s">
        <v>197</v>
      </c>
      <c r="E4814" s="2889" t="s">
        <v>1426</v>
      </c>
      <c r="F4814" s="3040"/>
      <c r="G4814" s="2890">
        <v>115.67894580615162</v>
      </c>
    </row>
    <row r="4815" spans="2:7" ht="15" hidden="1" outlineLevel="2">
      <c r="B4815" s="2889" t="s">
        <v>1652</v>
      </c>
      <c r="C4815" s="2889" t="s">
        <v>1435</v>
      </c>
      <c r="D4815" s="2889" t="s">
        <v>197</v>
      </c>
      <c r="E4815" s="2889" t="s">
        <v>1426</v>
      </c>
      <c r="F4815" s="3040"/>
      <c r="G4815" s="2890">
        <v>175.86544013752658</v>
      </c>
    </row>
    <row r="4816" spans="2:7" ht="15" hidden="1" outlineLevel="2">
      <c r="B4816" s="2889" t="s">
        <v>1653</v>
      </c>
      <c r="C4816" s="2889" t="s">
        <v>1435</v>
      </c>
      <c r="D4816" s="2889" t="s">
        <v>197</v>
      </c>
      <c r="E4816" s="2889" t="s">
        <v>1426</v>
      </c>
      <c r="F4816" s="3040"/>
      <c r="G4816" s="2890">
        <v>1.8693729389601288E-30</v>
      </c>
    </row>
    <row r="4817" spans="2:7" ht="15" hidden="1" outlineLevel="2">
      <c r="B4817" s="2889" t="s">
        <v>1407</v>
      </c>
      <c r="C4817" s="2889" t="s">
        <v>1460</v>
      </c>
      <c r="D4817" s="2889" t="s">
        <v>1105</v>
      </c>
      <c r="E4817" s="2889" t="s">
        <v>1426</v>
      </c>
      <c r="F4817" s="3040"/>
      <c r="G4817" s="2890">
        <v>585.73383072857894</v>
      </c>
    </row>
    <row r="4818" spans="2:7" ht="15" hidden="1" outlineLevel="2">
      <c r="B4818" s="2889" t="s">
        <v>1631</v>
      </c>
      <c r="C4818" s="2889" t="s">
        <v>1460</v>
      </c>
      <c r="D4818" s="2889" t="s">
        <v>1105</v>
      </c>
      <c r="E4818" s="2889" t="s">
        <v>1426</v>
      </c>
      <c r="F4818" s="2890">
        <v>0.17141661872200284</v>
      </c>
      <c r="G4818" s="2890">
        <v>5864.7825924575491</v>
      </c>
    </row>
    <row r="4819" spans="2:7" ht="15" hidden="1" outlineLevel="2">
      <c r="B4819" s="2889" t="s">
        <v>1632</v>
      </c>
      <c r="C4819" s="2889" t="s">
        <v>1460</v>
      </c>
      <c r="D4819" s="2889" t="s">
        <v>1105</v>
      </c>
      <c r="E4819" s="2889" t="s">
        <v>1426</v>
      </c>
      <c r="F4819" s="3040"/>
      <c r="G4819" s="2890">
        <v>8970.713241220119</v>
      </c>
    </row>
    <row r="4820" spans="2:7" ht="15" hidden="1" outlineLevel="2">
      <c r="B4820" s="2889" t="s">
        <v>1633</v>
      </c>
      <c r="C4820" s="2889" t="s">
        <v>1460</v>
      </c>
      <c r="D4820" s="2889" t="s">
        <v>1105</v>
      </c>
      <c r="E4820" s="2889" t="s">
        <v>1426</v>
      </c>
      <c r="F4820" s="3040"/>
      <c r="G4820" s="2890">
        <v>329.28218213815569</v>
      </c>
    </row>
    <row r="4821" spans="2:7" ht="15" hidden="1" outlineLevel="2">
      <c r="B4821" s="2889" t="s">
        <v>1634</v>
      </c>
      <c r="C4821" s="2889" t="s">
        <v>1460</v>
      </c>
      <c r="D4821" s="2889" t="s">
        <v>1105</v>
      </c>
      <c r="E4821" s="2889" t="s">
        <v>1426</v>
      </c>
      <c r="F4821" s="3040"/>
      <c r="G4821" s="2890">
        <v>231.38747408109805</v>
      </c>
    </row>
    <row r="4822" spans="2:7" ht="15" hidden="1" outlineLevel="2">
      <c r="B4822" s="2889" t="s">
        <v>1635</v>
      </c>
      <c r="C4822" s="2889" t="s">
        <v>1460</v>
      </c>
      <c r="D4822" s="2889" t="s">
        <v>1105</v>
      </c>
      <c r="E4822" s="2889" t="s">
        <v>1426</v>
      </c>
      <c r="F4822" s="3040"/>
      <c r="G4822" s="2890">
        <v>1477.3199383849005</v>
      </c>
    </row>
    <row r="4823" spans="2:7" ht="15" hidden="1" outlineLevel="2">
      <c r="B4823" s="2889" t="s">
        <v>1636</v>
      </c>
      <c r="C4823" s="2889" t="s">
        <v>1460</v>
      </c>
      <c r="D4823" s="2889" t="s">
        <v>1105</v>
      </c>
      <c r="E4823" s="2889" t="s">
        <v>1426</v>
      </c>
      <c r="F4823" s="3040"/>
      <c r="G4823" s="2890">
        <v>569.56913568653567</v>
      </c>
    </row>
    <row r="4824" spans="2:7" ht="15" hidden="1" outlineLevel="2">
      <c r="B4824" s="2889" t="s">
        <v>1637</v>
      </c>
      <c r="C4824" s="2889" t="s">
        <v>1460</v>
      </c>
      <c r="D4824" s="2889" t="s">
        <v>1105</v>
      </c>
      <c r="E4824" s="2889" t="s">
        <v>1426</v>
      </c>
      <c r="F4824" s="3040"/>
      <c r="G4824" s="2890">
        <v>676.36349042196366</v>
      </c>
    </row>
    <row r="4825" spans="2:7" ht="15" hidden="1" outlineLevel="2">
      <c r="B4825" s="2889" t="s">
        <v>1638</v>
      </c>
      <c r="C4825" s="2889" t="s">
        <v>1460</v>
      </c>
      <c r="D4825" s="2889" t="s">
        <v>1105</v>
      </c>
      <c r="E4825" s="2889" t="s">
        <v>1426</v>
      </c>
      <c r="F4825" s="3040"/>
      <c r="G4825" s="2890">
        <v>418.27734181256534</v>
      </c>
    </row>
    <row r="4826" spans="2:7" ht="15" hidden="1" outlineLevel="2">
      <c r="B4826" s="2889" t="s">
        <v>1639</v>
      </c>
      <c r="C4826" s="2889" t="s">
        <v>1460</v>
      </c>
      <c r="D4826" s="2889" t="s">
        <v>1105</v>
      </c>
      <c r="E4826" s="2889" t="s">
        <v>1426</v>
      </c>
      <c r="F4826" s="3040"/>
      <c r="G4826" s="2890">
        <v>2082.4869279698496</v>
      </c>
    </row>
    <row r="4827" spans="2:7" ht="15" hidden="1" outlineLevel="2">
      <c r="B4827" s="2889" t="s">
        <v>1640</v>
      </c>
      <c r="C4827" s="2889" t="s">
        <v>1460</v>
      </c>
      <c r="D4827" s="2889" t="s">
        <v>1105</v>
      </c>
      <c r="E4827" s="2889" t="s">
        <v>1426</v>
      </c>
      <c r="F4827" s="3040"/>
      <c r="G4827" s="2890">
        <v>311.48317081668608</v>
      </c>
    </row>
    <row r="4828" spans="2:7" ht="15" hidden="1" outlineLevel="2">
      <c r="B4828" s="2889" t="s">
        <v>1641</v>
      </c>
      <c r="C4828" s="2889" t="s">
        <v>1460</v>
      </c>
      <c r="D4828" s="2889" t="s">
        <v>1105</v>
      </c>
      <c r="E4828" s="2889" t="s">
        <v>1426</v>
      </c>
      <c r="F4828" s="3040"/>
      <c r="G4828" s="2890">
        <v>2002.3915727239646</v>
      </c>
    </row>
    <row r="4829" spans="2:7" ht="15" hidden="1" outlineLevel="2">
      <c r="B4829" s="2889" t="s">
        <v>1642</v>
      </c>
      <c r="C4829" s="2889" t="s">
        <v>1460</v>
      </c>
      <c r="D4829" s="2889" t="s">
        <v>1105</v>
      </c>
      <c r="E4829" s="2889" t="s">
        <v>1426</v>
      </c>
      <c r="F4829" s="3040"/>
      <c r="G4829" s="2890">
        <v>5321.9118384811973</v>
      </c>
    </row>
    <row r="4830" spans="2:7" ht="15" hidden="1" outlineLevel="2">
      <c r="B4830" s="2889" t="s">
        <v>1643</v>
      </c>
      <c r="C4830" s="2889" t="s">
        <v>1460</v>
      </c>
      <c r="D4830" s="2889" t="s">
        <v>1105</v>
      </c>
      <c r="E4830" s="2889" t="s">
        <v>1426</v>
      </c>
      <c r="F4830" s="3040"/>
      <c r="G4830" s="2890">
        <v>329.48391964223151</v>
      </c>
    </row>
    <row r="4831" spans="2:7" ht="15" hidden="1" outlineLevel="2">
      <c r="B4831" s="2889" t="s">
        <v>1644</v>
      </c>
      <c r="C4831" s="2889" t="s">
        <v>1460</v>
      </c>
      <c r="D4831" s="2889" t="s">
        <v>1105</v>
      </c>
      <c r="E4831" s="2889" t="s">
        <v>1426</v>
      </c>
      <c r="F4831" s="3040"/>
      <c r="G4831" s="2890">
        <v>7840.4765827600477</v>
      </c>
    </row>
    <row r="4832" spans="2:7" ht="15" hidden="1" outlineLevel="2">
      <c r="B4832" s="2889" t="s">
        <v>1645</v>
      </c>
      <c r="C4832" s="2889" t="s">
        <v>1460</v>
      </c>
      <c r="D4832" s="2889" t="s">
        <v>1105</v>
      </c>
      <c r="E4832" s="2889" t="s">
        <v>1426</v>
      </c>
      <c r="F4832" s="3040"/>
      <c r="G4832" s="2890">
        <v>5989.3749209399357</v>
      </c>
    </row>
    <row r="4833" spans="2:7" ht="15" hidden="1" outlineLevel="2">
      <c r="B4833" s="2889" t="s">
        <v>1646</v>
      </c>
      <c r="C4833" s="2889" t="s">
        <v>1460</v>
      </c>
      <c r="D4833" s="2889" t="s">
        <v>1105</v>
      </c>
      <c r="E4833" s="2889" t="s">
        <v>1426</v>
      </c>
      <c r="F4833" s="3040"/>
      <c r="G4833" s="2890">
        <v>703.06191334968537</v>
      </c>
    </row>
    <row r="4834" spans="2:7" ht="15" hidden="1" outlineLevel="2">
      <c r="B4834" s="2889" t="s">
        <v>1647</v>
      </c>
      <c r="C4834" s="2889" t="s">
        <v>1460</v>
      </c>
      <c r="D4834" s="2889" t="s">
        <v>1105</v>
      </c>
      <c r="E4834" s="2889" t="s">
        <v>1426</v>
      </c>
      <c r="F4834" s="3040"/>
      <c r="G4834" s="2890">
        <v>320.38265623720895</v>
      </c>
    </row>
    <row r="4835" spans="2:7" ht="15" hidden="1" outlineLevel="2">
      <c r="B4835" s="2889" t="s">
        <v>1648</v>
      </c>
      <c r="C4835" s="2889" t="s">
        <v>1460</v>
      </c>
      <c r="D4835" s="2889" t="s">
        <v>1105</v>
      </c>
      <c r="E4835" s="2889" t="s">
        <v>1426</v>
      </c>
      <c r="F4835" s="3040"/>
      <c r="G4835" s="2890">
        <v>133.49279606888405</v>
      </c>
    </row>
    <row r="4836" spans="2:7" ht="15" hidden="1" outlineLevel="2">
      <c r="B4836" s="2889" t="s">
        <v>1649</v>
      </c>
      <c r="C4836" s="2889" t="s">
        <v>1460</v>
      </c>
      <c r="D4836" s="2889" t="s">
        <v>1105</v>
      </c>
      <c r="E4836" s="2889" t="s">
        <v>1426</v>
      </c>
      <c r="F4836" s="3040"/>
      <c r="G4836" s="2890">
        <v>596.26772387437336</v>
      </c>
    </row>
    <row r="4837" spans="2:7" ht="15" hidden="1" outlineLevel="2">
      <c r="B4837" s="2889" t="s">
        <v>1650</v>
      </c>
      <c r="C4837" s="2889" t="s">
        <v>1460</v>
      </c>
      <c r="D4837" s="2889" t="s">
        <v>1105</v>
      </c>
      <c r="E4837" s="2889" t="s">
        <v>1426</v>
      </c>
      <c r="F4837" s="3040"/>
      <c r="G4837" s="2890">
        <v>1343.8273722187325</v>
      </c>
    </row>
    <row r="4838" spans="2:7" ht="15" hidden="1" outlineLevel="2">
      <c r="B4838" s="2889" t="s">
        <v>1651</v>
      </c>
      <c r="C4838" s="2889" t="s">
        <v>1460</v>
      </c>
      <c r="D4838" s="2889" t="s">
        <v>1105</v>
      </c>
      <c r="E4838" s="2889" t="s">
        <v>1426</v>
      </c>
      <c r="F4838" s="2891"/>
      <c r="G4838" s="2890">
        <v>1165.8372272032475</v>
      </c>
    </row>
    <row r="4839" spans="2:7" ht="15" hidden="1" outlineLevel="2">
      <c r="B4839" s="2889" t="s">
        <v>1652</v>
      </c>
      <c r="C4839" s="2889" t="s">
        <v>1460</v>
      </c>
      <c r="D4839" s="2889" t="s">
        <v>1105</v>
      </c>
      <c r="E4839" s="2889" t="s">
        <v>1426</v>
      </c>
      <c r="F4839" s="2891"/>
      <c r="G4839" s="2890">
        <v>729.76053953719838</v>
      </c>
    </row>
    <row r="4840" spans="2:7" ht="15" hidden="1" outlineLevel="2">
      <c r="B4840" s="2889" t="s">
        <v>1653</v>
      </c>
      <c r="C4840" s="2889" t="s">
        <v>1460</v>
      </c>
      <c r="D4840" s="2889" t="s">
        <v>1105</v>
      </c>
      <c r="E4840" s="2889" t="s">
        <v>1426</v>
      </c>
      <c r="F4840" s="2891"/>
      <c r="G4840" s="2890">
        <v>5660.0941161375122</v>
      </c>
    </row>
    <row r="4841" spans="2:7" ht="15" hidden="1" outlineLevel="2">
      <c r="B4841" s="2889" t="s">
        <v>1407</v>
      </c>
      <c r="C4841" s="2889" t="s">
        <v>1461</v>
      </c>
      <c r="D4841" s="2889" t="s">
        <v>1105</v>
      </c>
      <c r="E4841" s="2889" t="s">
        <v>1426</v>
      </c>
      <c r="F4841" s="2891"/>
      <c r="G4841" s="2890">
        <v>136.48354666299397</v>
      </c>
    </row>
    <row r="4842" spans="2:7" ht="15" hidden="1" outlineLevel="2">
      <c r="B4842" s="2889" t="s">
        <v>1631</v>
      </c>
      <c r="C4842" s="2889" t="s">
        <v>1461</v>
      </c>
      <c r="D4842" s="2889" t="s">
        <v>1105</v>
      </c>
      <c r="E4842" s="2889" t="s">
        <v>1426</v>
      </c>
      <c r="F4842" s="3039">
        <v>4.0264582391522627E-2</v>
      </c>
      <c r="G4842" s="2890">
        <v>1383.7336298814432</v>
      </c>
    </row>
    <row r="4843" spans="2:7" ht="15" hidden="1" outlineLevel="2">
      <c r="B4843" s="2889" t="s">
        <v>1632</v>
      </c>
      <c r="C4843" s="2889" t="s">
        <v>1461</v>
      </c>
      <c r="D4843" s="2889" t="s">
        <v>1105</v>
      </c>
      <c r="E4843" s="2889" t="s">
        <v>1426</v>
      </c>
      <c r="F4843" s="2891"/>
      <c r="G4843" s="2890">
        <v>2116.5447755703744</v>
      </c>
    </row>
    <row r="4844" spans="2:7" ht="15" hidden="1" outlineLevel="2">
      <c r="B4844" s="2889" t="s">
        <v>1633</v>
      </c>
      <c r="C4844" s="2889" t="s">
        <v>1461</v>
      </c>
      <c r="D4844" s="2889" t="s">
        <v>1105</v>
      </c>
      <c r="E4844" s="2889" t="s">
        <v>1426</v>
      </c>
      <c r="F4844" s="2891"/>
      <c r="G4844" s="2890">
        <v>77.690621510703807</v>
      </c>
    </row>
    <row r="4845" spans="2:7" ht="15" hidden="1" outlineLevel="2">
      <c r="B4845" s="2889" t="s">
        <v>1634</v>
      </c>
      <c r="C4845" s="2889" t="s">
        <v>1461</v>
      </c>
      <c r="D4845" s="2889" t="s">
        <v>1105</v>
      </c>
      <c r="E4845" s="2889" t="s">
        <v>1426</v>
      </c>
      <c r="F4845" s="3040"/>
      <c r="G4845" s="2890">
        <v>54.593418688270759</v>
      </c>
    </row>
    <row r="4846" spans="2:7" ht="15" hidden="1" outlineLevel="2">
      <c r="B4846" s="2889" t="s">
        <v>1635</v>
      </c>
      <c r="C4846" s="2889" t="s">
        <v>1461</v>
      </c>
      <c r="D4846" s="2889" t="s">
        <v>1105</v>
      </c>
      <c r="E4846" s="2889" t="s">
        <v>1426</v>
      </c>
      <c r="F4846" s="3040"/>
      <c r="G4846" s="2890">
        <v>348.55792747647604</v>
      </c>
    </row>
    <row r="4847" spans="2:7" ht="15" hidden="1" outlineLevel="2">
      <c r="B4847" s="2889" t="s">
        <v>1636</v>
      </c>
      <c r="C4847" s="2889" t="s">
        <v>1461</v>
      </c>
      <c r="D4847" s="2889" t="s">
        <v>1105</v>
      </c>
      <c r="E4847" s="2889" t="s">
        <v>1426</v>
      </c>
      <c r="F4847" s="3040"/>
      <c r="G4847" s="2890">
        <v>134.38378850828261</v>
      </c>
    </row>
    <row r="4848" spans="2:7" ht="15" hidden="1" outlineLevel="2">
      <c r="B4848" s="2889" t="s">
        <v>1637</v>
      </c>
      <c r="C4848" s="2889" t="s">
        <v>1461</v>
      </c>
      <c r="D4848" s="2889" t="s">
        <v>1105</v>
      </c>
      <c r="E4848" s="2889" t="s">
        <v>1426</v>
      </c>
      <c r="F4848" s="2891"/>
      <c r="G4848" s="2890">
        <v>159.58069513023406</v>
      </c>
    </row>
    <row r="4849" spans="2:7" ht="15" hidden="1" outlineLevel="2">
      <c r="B4849" s="2889" t="s">
        <v>1638</v>
      </c>
      <c r="C4849" s="2889" t="s">
        <v>1461</v>
      </c>
      <c r="D4849" s="2889" t="s">
        <v>1105</v>
      </c>
      <c r="E4849" s="2889" t="s">
        <v>1426</v>
      </c>
      <c r="F4849" s="3040"/>
      <c r="G4849" s="2890">
        <v>98.68811954218009</v>
      </c>
    </row>
    <row r="4850" spans="2:7" ht="15" hidden="1" outlineLevel="2">
      <c r="B4850" s="2889" t="s">
        <v>1639</v>
      </c>
      <c r="C4850" s="2889" t="s">
        <v>1461</v>
      </c>
      <c r="D4850" s="2889" t="s">
        <v>1105</v>
      </c>
      <c r="E4850" s="2889" t="s">
        <v>1426</v>
      </c>
      <c r="F4850" s="3040"/>
      <c r="G4850" s="2890">
        <v>491.3408042023928</v>
      </c>
    </row>
    <row r="4851" spans="2:7" ht="15" hidden="1" outlineLevel="2">
      <c r="B4851" s="2889" t="s">
        <v>1640</v>
      </c>
      <c r="C4851" s="2889" t="s">
        <v>1461</v>
      </c>
      <c r="D4851" s="2889" t="s">
        <v>1105</v>
      </c>
      <c r="E4851" s="2889" t="s">
        <v>1426</v>
      </c>
      <c r="F4851" s="2891"/>
      <c r="G4851" s="2890">
        <v>73.491148968531419</v>
      </c>
    </row>
    <row r="4852" spans="2:7" ht="15" hidden="1" outlineLevel="2">
      <c r="B4852" s="2889" t="s">
        <v>1641</v>
      </c>
      <c r="C4852" s="2889" t="s">
        <v>1461</v>
      </c>
      <c r="D4852" s="2889" t="s">
        <v>1105</v>
      </c>
      <c r="E4852" s="2889" t="s">
        <v>1426</v>
      </c>
      <c r="F4852" s="3040"/>
      <c r="G4852" s="2890">
        <v>472.44289235975748</v>
      </c>
    </row>
    <row r="4853" spans="2:7" ht="15" hidden="1" outlineLevel="2">
      <c r="B4853" s="2889" t="s">
        <v>1642</v>
      </c>
      <c r="C4853" s="2889" t="s">
        <v>1461</v>
      </c>
      <c r="D4853" s="2889" t="s">
        <v>1105</v>
      </c>
      <c r="E4853" s="2889" t="s">
        <v>1426</v>
      </c>
      <c r="F4853" s="3040"/>
      <c r="G4853" s="2890">
        <v>1255.6486070370242</v>
      </c>
    </row>
    <row r="4854" spans="2:7" ht="15" hidden="1" outlineLevel="2">
      <c r="B4854" s="2889" t="s">
        <v>1643</v>
      </c>
      <c r="C4854" s="2889" t="s">
        <v>1461</v>
      </c>
      <c r="D4854" s="2889" t="s">
        <v>1105</v>
      </c>
      <c r="E4854" s="2889" t="s">
        <v>1426</v>
      </c>
      <c r="F4854" s="3040"/>
      <c r="G4854" s="2890">
        <v>77.738245769101965</v>
      </c>
    </row>
    <row r="4855" spans="2:7" ht="15" hidden="1" outlineLevel="2">
      <c r="B4855" s="2889" t="s">
        <v>1644</v>
      </c>
      <c r="C4855" s="2889" t="s">
        <v>1461</v>
      </c>
      <c r="D4855" s="2889" t="s">
        <v>1105</v>
      </c>
      <c r="E4855" s="2889" t="s">
        <v>1426</v>
      </c>
      <c r="F4855" s="2891"/>
      <c r="G4855" s="2890">
        <v>1849.8767335004391</v>
      </c>
    </row>
    <row r="4856" spans="2:7" ht="15" hidden="1" outlineLevel="2">
      <c r="B4856" s="2889" t="s">
        <v>1645</v>
      </c>
      <c r="C4856" s="2889" t="s">
        <v>1461</v>
      </c>
      <c r="D4856" s="2889" t="s">
        <v>1105</v>
      </c>
      <c r="E4856" s="2889" t="s">
        <v>1426</v>
      </c>
      <c r="F4856" s="2891"/>
      <c r="G4856" s="2890">
        <v>1413.1296793462102</v>
      </c>
    </row>
    <row r="4857" spans="2:7" ht="15" hidden="1" outlineLevel="2">
      <c r="B4857" s="2889" t="s">
        <v>1646</v>
      </c>
      <c r="C4857" s="2889" t="s">
        <v>1461</v>
      </c>
      <c r="D4857" s="2889" t="s">
        <v>1105</v>
      </c>
      <c r="E4857" s="2889" t="s">
        <v>1426</v>
      </c>
      <c r="F4857" s="2891"/>
      <c r="G4857" s="2890">
        <v>165.87999447565525</v>
      </c>
    </row>
    <row r="4858" spans="2:7" ht="15" hidden="1" outlineLevel="2">
      <c r="B4858" s="2889" t="s">
        <v>1647</v>
      </c>
      <c r="C4858" s="2889" t="s">
        <v>1461</v>
      </c>
      <c r="D4858" s="2889" t="s">
        <v>1105</v>
      </c>
      <c r="E4858" s="2889" t="s">
        <v>1426</v>
      </c>
      <c r="F4858" s="3040"/>
      <c r="G4858" s="2890">
        <v>75.590882048864742</v>
      </c>
    </row>
    <row r="4859" spans="2:7" ht="15" hidden="1" outlineLevel="2">
      <c r="B4859" s="2889" t="s">
        <v>1648</v>
      </c>
      <c r="C4859" s="2889" t="s">
        <v>1461</v>
      </c>
      <c r="D4859" s="2889" t="s">
        <v>1105</v>
      </c>
      <c r="E4859" s="2889" t="s">
        <v>1426</v>
      </c>
      <c r="F4859" s="3040"/>
      <c r="G4859" s="2890">
        <v>31.496196819563494</v>
      </c>
    </row>
    <row r="4860" spans="2:7" ht="15" hidden="1" outlineLevel="2">
      <c r="B4860" s="2889" t="s">
        <v>1649</v>
      </c>
      <c r="C4860" s="2889" t="s">
        <v>1461</v>
      </c>
      <c r="D4860" s="2889" t="s">
        <v>1105</v>
      </c>
      <c r="E4860" s="2889" t="s">
        <v>1426</v>
      </c>
      <c r="F4860" s="3040"/>
      <c r="G4860" s="2890">
        <v>140.68301668912616</v>
      </c>
    </row>
    <row r="4861" spans="2:7" ht="15" hidden="1" outlineLevel="2">
      <c r="B4861" s="2889" t="s">
        <v>1650</v>
      </c>
      <c r="C4861" s="2889" t="s">
        <v>1461</v>
      </c>
      <c r="D4861" s="2889" t="s">
        <v>1105</v>
      </c>
      <c r="E4861" s="2889" t="s">
        <v>1426</v>
      </c>
      <c r="F4861" s="3040"/>
      <c r="G4861" s="2890">
        <v>317.06175137997491</v>
      </c>
    </row>
    <row r="4862" spans="2:7" ht="15" hidden="1" outlineLevel="2">
      <c r="B4862" s="2889" t="s">
        <v>1651</v>
      </c>
      <c r="C4862" s="2889" t="s">
        <v>1461</v>
      </c>
      <c r="D4862" s="2889" t="s">
        <v>1105</v>
      </c>
      <c r="E4862" s="2889" t="s">
        <v>1426</v>
      </c>
      <c r="F4862" s="3040"/>
      <c r="G4862" s="2890">
        <v>275.06681161823451</v>
      </c>
    </row>
    <row r="4863" spans="2:7" ht="15" hidden="1" outlineLevel="2">
      <c r="B4863" s="2889" t="s">
        <v>1652</v>
      </c>
      <c r="C4863" s="2889" t="s">
        <v>1461</v>
      </c>
      <c r="D4863" s="2889" t="s">
        <v>1105</v>
      </c>
      <c r="E4863" s="2889" t="s">
        <v>1426</v>
      </c>
      <c r="F4863" s="3040"/>
      <c r="G4863" s="2890">
        <v>172.17924993111362</v>
      </c>
    </row>
    <row r="4864" spans="2:7" ht="15" hidden="1" outlineLevel="2">
      <c r="B4864" s="2889" t="s">
        <v>1653</v>
      </c>
      <c r="C4864" s="2889" t="s">
        <v>1461</v>
      </c>
      <c r="D4864" s="2889" t="s">
        <v>1105</v>
      </c>
      <c r="E4864" s="2889" t="s">
        <v>1426</v>
      </c>
      <c r="F4864" s="3040"/>
      <c r="G4864" s="2890">
        <v>1335.4392876193074</v>
      </c>
    </row>
    <row r="4865" spans="2:7" ht="15" hidden="1" outlineLevel="2">
      <c r="B4865" s="2889" t="s">
        <v>1407</v>
      </c>
      <c r="C4865" s="2889" t="s">
        <v>1462</v>
      </c>
      <c r="D4865" s="2889" t="s">
        <v>1105</v>
      </c>
      <c r="E4865" s="2889" t="s">
        <v>1426</v>
      </c>
      <c r="F4865" s="3040"/>
      <c r="G4865" s="2890">
        <v>378.68888805363827</v>
      </c>
    </row>
    <row r="4866" spans="2:7" ht="15" hidden="1" outlineLevel="2">
      <c r="B4866" s="2889" t="s">
        <v>1631</v>
      </c>
      <c r="C4866" s="2889" t="s">
        <v>1462</v>
      </c>
      <c r="D4866" s="2889" t="s">
        <v>1105</v>
      </c>
      <c r="E4866" s="2889" t="s">
        <v>1426</v>
      </c>
      <c r="F4866" s="2890">
        <v>0.12299801942185914</v>
      </c>
      <c r="G4866" s="2890">
        <v>3839.3247121136696</v>
      </c>
    </row>
    <row r="4867" spans="2:7" ht="15" hidden="1" outlineLevel="2">
      <c r="B4867" s="2889" t="s">
        <v>1632</v>
      </c>
      <c r="C4867" s="2889" t="s">
        <v>1462</v>
      </c>
      <c r="D4867" s="2889" t="s">
        <v>1105</v>
      </c>
      <c r="E4867" s="2889" t="s">
        <v>1426</v>
      </c>
      <c r="F4867" s="3040"/>
      <c r="G4867" s="2890">
        <v>5872.5924607387506</v>
      </c>
    </row>
    <row r="4868" spans="2:7" ht="15" hidden="1" outlineLevel="2">
      <c r="B4868" s="2889" t="s">
        <v>1633</v>
      </c>
      <c r="C4868" s="2889" t="s">
        <v>1462</v>
      </c>
      <c r="D4868" s="2889" t="s">
        <v>1105</v>
      </c>
      <c r="E4868" s="2889" t="s">
        <v>1426</v>
      </c>
      <c r="F4868" s="3040"/>
      <c r="G4868" s="2890">
        <v>215.56146089660345</v>
      </c>
    </row>
    <row r="4869" spans="2:7" ht="15" hidden="1" outlineLevel="2">
      <c r="B4869" s="2889" t="s">
        <v>1634</v>
      </c>
      <c r="C4869" s="2889" t="s">
        <v>1462</v>
      </c>
      <c r="D4869" s="2889" t="s">
        <v>1105</v>
      </c>
      <c r="E4869" s="2889" t="s">
        <v>1426</v>
      </c>
      <c r="F4869" s="2891"/>
      <c r="G4869" s="2890">
        <v>151.47563042406236</v>
      </c>
    </row>
    <row r="4870" spans="2:7" ht="15" hidden="1" outlineLevel="2">
      <c r="B4870" s="2889" t="s">
        <v>1635</v>
      </c>
      <c r="C4870" s="2889" t="s">
        <v>1462</v>
      </c>
      <c r="D4870" s="2889" t="s">
        <v>1105</v>
      </c>
      <c r="E4870" s="2889" t="s">
        <v>1426</v>
      </c>
      <c r="F4870" s="2891"/>
      <c r="G4870" s="2890">
        <v>967.11340291623799</v>
      </c>
    </row>
    <row r="4871" spans="2:7" ht="15" hidden="1" outlineLevel="2">
      <c r="B4871" s="2889" t="s">
        <v>1636</v>
      </c>
      <c r="C4871" s="2889" t="s">
        <v>1462</v>
      </c>
      <c r="D4871" s="2889" t="s">
        <v>1105</v>
      </c>
      <c r="E4871" s="2889" t="s">
        <v>1426</v>
      </c>
      <c r="F4871" s="3040"/>
      <c r="G4871" s="2890">
        <v>372.86296930752854</v>
      </c>
    </row>
    <row r="4872" spans="2:7" ht="15" hidden="1" outlineLevel="2">
      <c r="B4872" s="2889" t="s">
        <v>1637</v>
      </c>
      <c r="C4872" s="2889" t="s">
        <v>1462</v>
      </c>
      <c r="D4872" s="2889" t="s">
        <v>1105</v>
      </c>
      <c r="E4872" s="2889" t="s">
        <v>1426</v>
      </c>
      <c r="F4872" s="3040"/>
      <c r="G4872" s="2890">
        <v>442.77495823612981</v>
      </c>
    </row>
    <row r="4873" spans="2:7" ht="15" hidden="1" outlineLevel="2">
      <c r="B4873" s="2889" t="s">
        <v>1638</v>
      </c>
      <c r="C4873" s="2889" t="s">
        <v>1462</v>
      </c>
      <c r="D4873" s="2889" t="s">
        <v>1105</v>
      </c>
      <c r="E4873" s="2889" t="s">
        <v>1426</v>
      </c>
      <c r="F4873" s="3040"/>
      <c r="G4873" s="2890">
        <v>273.82127446328212</v>
      </c>
    </row>
    <row r="4874" spans="2:7" ht="15" hidden="1" outlineLevel="2">
      <c r="B4874" s="2889" t="s">
        <v>1639</v>
      </c>
      <c r="C4874" s="2889" t="s">
        <v>1462</v>
      </c>
      <c r="D4874" s="2889" t="s">
        <v>1105</v>
      </c>
      <c r="E4874" s="2889" t="s">
        <v>1426</v>
      </c>
      <c r="F4874" s="3040"/>
      <c r="G4874" s="2890">
        <v>1363.280257736601</v>
      </c>
    </row>
    <row r="4875" spans="2:7" ht="15" hidden="1" outlineLevel="2">
      <c r="B4875" s="2889" t="s">
        <v>1640</v>
      </c>
      <c r="C4875" s="2889" t="s">
        <v>1462</v>
      </c>
      <c r="D4875" s="2889" t="s">
        <v>1105</v>
      </c>
      <c r="E4875" s="2889" t="s">
        <v>1426</v>
      </c>
      <c r="F4875" s="3040"/>
      <c r="G4875" s="2890">
        <v>203.90948627354223</v>
      </c>
    </row>
    <row r="4876" spans="2:7" ht="15" hidden="1" outlineLevel="2">
      <c r="B4876" s="2889" t="s">
        <v>1641</v>
      </c>
      <c r="C4876" s="2889" t="s">
        <v>1462</v>
      </c>
      <c r="D4876" s="2889" t="s">
        <v>1105</v>
      </c>
      <c r="E4876" s="2889" t="s">
        <v>1426</v>
      </c>
      <c r="F4876" s="3040"/>
      <c r="G4876" s="2890">
        <v>1310.846653498279</v>
      </c>
    </row>
    <row r="4877" spans="2:7" ht="15" hidden="1" outlineLevel="2">
      <c r="B4877" s="2889" t="s">
        <v>1642</v>
      </c>
      <c r="C4877" s="2889" t="s">
        <v>1462</v>
      </c>
      <c r="D4877" s="2889" t="s">
        <v>1105</v>
      </c>
      <c r="E4877" s="2889" t="s">
        <v>1426</v>
      </c>
      <c r="F4877" s="3040"/>
      <c r="G4877" s="2890">
        <v>3483.9394782910499</v>
      </c>
    </row>
    <row r="4878" spans="2:7" ht="15" hidden="1" outlineLevel="2">
      <c r="B4878" s="2889" t="s">
        <v>1643</v>
      </c>
      <c r="C4878" s="2889" t="s">
        <v>1462</v>
      </c>
      <c r="D4878" s="2889" t="s">
        <v>1105</v>
      </c>
      <c r="E4878" s="2889" t="s">
        <v>1426</v>
      </c>
      <c r="F4878" s="3040"/>
      <c r="G4878" s="2890">
        <v>215.69354665665585</v>
      </c>
    </row>
    <row r="4879" spans="2:7" ht="15" hidden="1" outlineLevel="2">
      <c r="B4879" s="2889" t="s">
        <v>1644</v>
      </c>
      <c r="C4879" s="2889" t="s">
        <v>1462</v>
      </c>
      <c r="D4879" s="2889" t="s">
        <v>1105</v>
      </c>
      <c r="E4879" s="2889" t="s">
        <v>1426</v>
      </c>
      <c r="F4879" s="3040"/>
      <c r="G4879" s="2890">
        <v>5132.6925078705981</v>
      </c>
    </row>
    <row r="4880" spans="2:7" ht="15" hidden="1" outlineLevel="2">
      <c r="B4880" s="2889" t="s">
        <v>1645</v>
      </c>
      <c r="C4880" s="2889" t="s">
        <v>1462</v>
      </c>
      <c r="D4880" s="2889" t="s">
        <v>1105</v>
      </c>
      <c r="E4880" s="2889" t="s">
        <v>1426</v>
      </c>
      <c r="F4880" s="3040"/>
      <c r="G4880" s="2890">
        <v>3920.8877081330338</v>
      </c>
    </row>
    <row r="4881" spans="2:7" ht="15" hidden="1" outlineLevel="2">
      <c r="B4881" s="2889" t="s">
        <v>1646</v>
      </c>
      <c r="C4881" s="2889" t="s">
        <v>1462</v>
      </c>
      <c r="D4881" s="2889" t="s">
        <v>1105</v>
      </c>
      <c r="E4881" s="2889" t="s">
        <v>1426</v>
      </c>
      <c r="F4881" s="3040"/>
      <c r="G4881" s="2890">
        <v>460.25289164395497</v>
      </c>
    </row>
    <row r="4882" spans="2:7" ht="15" hidden="1" outlineLevel="2">
      <c r="B4882" s="2889" t="s">
        <v>1647</v>
      </c>
      <c r="C4882" s="2889" t="s">
        <v>1462</v>
      </c>
      <c r="D4882" s="2889" t="s">
        <v>1105</v>
      </c>
      <c r="E4882" s="2889" t="s">
        <v>1426</v>
      </c>
      <c r="F4882" s="3040"/>
      <c r="G4882" s="2890">
        <v>209.73545299563699</v>
      </c>
    </row>
    <row r="4883" spans="2:7" ht="15" hidden="1" outlineLevel="2">
      <c r="B4883" s="2889" t="s">
        <v>1648</v>
      </c>
      <c r="C4883" s="2889" t="s">
        <v>1462</v>
      </c>
      <c r="D4883" s="2889" t="s">
        <v>1105</v>
      </c>
      <c r="E4883" s="2889" t="s">
        <v>1426</v>
      </c>
      <c r="F4883" s="3040"/>
      <c r="G4883" s="2890">
        <v>87.38973520673801</v>
      </c>
    </row>
    <row r="4884" spans="2:7" ht="15" hidden="1" outlineLevel="2">
      <c r="B4884" s="2889" t="s">
        <v>1649</v>
      </c>
      <c r="C4884" s="2889" t="s">
        <v>1462</v>
      </c>
      <c r="D4884" s="2889" t="s">
        <v>1105</v>
      </c>
      <c r="E4884" s="2889" t="s">
        <v>1426</v>
      </c>
      <c r="F4884" s="3040"/>
      <c r="G4884" s="2890">
        <v>390.3409745847236</v>
      </c>
    </row>
    <row r="4885" spans="2:7" ht="15" hidden="1" outlineLevel="2">
      <c r="B4885" s="2889" t="s">
        <v>1650</v>
      </c>
      <c r="C4885" s="2889" t="s">
        <v>1462</v>
      </c>
      <c r="D4885" s="2889" t="s">
        <v>1105</v>
      </c>
      <c r="E4885" s="2889" t="s">
        <v>1426</v>
      </c>
      <c r="F4885" s="3040"/>
      <c r="G4885" s="2890">
        <v>879.72374165275039</v>
      </c>
    </row>
    <row r="4886" spans="2:7" ht="15" hidden="1" outlineLevel="2">
      <c r="B4886" s="2889" t="s">
        <v>1651</v>
      </c>
      <c r="C4886" s="2889" t="s">
        <v>1462</v>
      </c>
      <c r="D4886" s="2889" t="s">
        <v>1105</v>
      </c>
      <c r="E4886" s="2889" t="s">
        <v>1426</v>
      </c>
      <c r="F4886" s="2891"/>
      <c r="G4886" s="2890">
        <v>763.20409956412709</v>
      </c>
    </row>
    <row r="4887" spans="2:7" ht="15" hidden="1" outlineLevel="2">
      <c r="B4887" s="2889" t="s">
        <v>1652</v>
      </c>
      <c r="C4887" s="2889" t="s">
        <v>1462</v>
      </c>
      <c r="D4887" s="2889" t="s">
        <v>1105</v>
      </c>
      <c r="E4887" s="2889" t="s">
        <v>1426</v>
      </c>
      <c r="F4887" s="2891"/>
      <c r="G4887" s="2890">
        <v>477.73093688658491</v>
      </c>
    </row>
    <row r="4888" spans="2:7" ht="15" hidden="1" outlineLevel="2">
      <c r="B4888" s="2889" t="s">
        <v>1653</v>
      </c>
      <c r="C4888" s="2889" t="s">
        <v>1462</v>
      </c>
      <c r="D4888" s="2889" t="s">
        <v>1105</v>
      </c>
      <c r="E4888" s="2889" t="s">
        <v>1426</v>
      </c>
      <c r="F4888" s="2891"/>
      <c r="G4888" s="2890">
        <v>3705.326617768555</v>
      </c>
    </row>
    <row r="4889" spans="2:7" ht="15" hidden="1" outlineLevel="2">
      <c r="B4889" s="2889" t="s">
        <v>1407</v>
      </c>
      <c r="C4889" s="2889" t="s">
        <v>1463</v>
      </c>
      <c r="D4889" s="2889" t="s">
        <v>1105</v>
      </c>
      <c r="E4889" s="2889" t="s">
        <v>1426</v>
      </c>
      <c r="F4889" s="2891"/>
      <c r="G4889" s="2890">
        <v>192.28596424197795</v>
      </c>
    </row>
    <row r="4890" spans="2:7" ht="15" hidden="1" outlineLevel="2">
      <c r="B4890" s="2889" t="s">
        <v>1631</v>
      </c>
      <c r="C4890" s="2889" t="s">
        <v>1463</v>
      </c>
      <c r="D4890" s="2889" t="s">
        <v>1105</v>
      </c>
      <c r="E4890" s="2889" t="s">
        <v>1426</v>
      </c>
      <c r="F4890" s="3039">
        <v>8.7448058575009827E-2</v>
      </c>
      <c r="G4890" s="2890">
        <v>1949.4837018132544</v>
      </c>
    </row>
    <row r="4891" spans="2:7" ht="15" hidden="1" outlineLevel="2">
      <c r="B4891" s="2889" t="s">
        <v>1632</v>
      </c>
      <c r="C4891" s="2889" t="s">
        <v>1463</v>
      </c>
      <c r="D4891" s="2889" t="s">
        <v>1105</v>
      </c>
      <c r="E4891" s="2889" t="s">
        <v>1426</v>
      </c>
      <c r="F4891" s="2891"/>
      <c r="G4891" s="2890">
        <v>2981.9112184965397</v>
      </c>
    </row>
    <row r="4892" spans="2:7" ht="15" hidden="1" outlineLevel="2">
      <c r="B4892" s="2889" t="s">
        <v>1633</v>
      </c>
      <c r="C4892" s="2889" t="s">
        <v>1463</v>
      </c>
      <c r="D4892" s="2889" t="s">
        <v>1105</v>
      </c>
      <c r="E4892" s="2889" t="s">
        <v>1426</v>
      </c>
      <c r="F4892" s="2891"/>
      <c r="G4892" s="2890">
        <v>109.45511104844792</v>
      </c>
    </row>
    <row r="4893" spans="2:7" ht="15" hidden="1" outlineLevel="2">
      <c r="B4893" s="2889" t="s">
        <v>1634</v>
      </c>
      <c r="C4893" s="2889" t="s">
        <v>1463</v>
      </c>
      <c r="D4893" s="2889" t="s">
        <v>1105</v>
      </c>
      <c r="E4893" s="2889" t="s">
        <v>1426</v>
      </c>
      <c r="F4893" s="2891"/>
      <c r="G4893" s="2890">
        <v>76.914414292915538</v>
      </c>
    </row>
    <row r="4894" spans="2:7" ht="15" hidden="1" outlineLevel="2">
      <c r="B4894" s="2889" t="s">
        <v>1635</v>
      </c>
      <c r="C4894" s="2889" t="s">
        <v>1463</v>
      </c>
      <c r="D4894" s="2889" t="s">
        <v>1105</v>
      </c>
      <c r="E4894" s="2889" t="s">
        <v>1426</v>
      </c>
      <c r="F4894" s="2891"/>
      <c r="G4894" s="2890">
        <v>491.06871590513663</v>
      </c>
    </row>
    <row r="4895" spans="2:7" ht="15" hidden="1" outlineLevel="2">
      <c r="B4895" s="2889" t="s">
        <v>1636</v>
      </c>
      <c r="C4895" s="2889" t="s">
        <v>1463</v>
      </c>
      <c r="D4895" s="2889" t="s">
        <v>1105</v>
      </c>
      <c r="E4895" s="2889" t="s">
        <v>1426</v>
      </c>
      <c r="F4895" s="2891"/>
      <c r="G4895" s="2890">
        <v>189.327740445486</v>
      </c>
    </row>
    <row r="4896" spans="2:7" ht="15" hidden="1" outlineLevel="2">
      <c r="B4896" s="2889" t="s">
        <v>1637</v>
      </c>
      <c r="C4896" s="2889" t="s">
        <v>1463</v>
      </c>
      <c r="D4896" s="2889" t="s">
        <v>1105</v>
      </c>
      <c r="E4896" s="2889" t="s">
        <v>1426</v>
      </c>
      <c r="F4896" s="3040"/>
      <c r="G4896" s="2890">
        <v>224.82668286322004</v>
      </c>
    </row>
    <row r="4897" spans="2:7" ht="15" hidden="1" outlineLevel="2">
      <c r="B4897" s="2889" t="s">
        <v>1638</v>
      </c>
      <c r="C4897" s="2889" t="s">
        <v>1463</v>
      </c>
      <c r="D4897" s="2889" t="s">
        <v>1105</v>
      </c>
      <c r="E4897" s="2889" t="s">
        <v>1426</v>
      </c>
      <c r="F4897" s="3040"/>
      <c r="G4897" s="2890">
        <v>139.03752008417314</v>
      </c>
    </row>
    <row r="4898" spans="2:7" ht="15" hidden="1" outlineLevel="2">
      <c r="B4898" s="2889" t="s">
        <v>1639</v>
      </c>
      <c r="C4898" s="2889" t="s">
        <v>1463</v>
      </c>
      <c r="D4898" s="2889" t="s">
        <v>1105</v>
      </c>
      <c r="E4898" s="2889" t="s">
        <v>1426</v>
      </c>
      <c r="F4898" s="2891"/>
      <c r="G4898" s="2890">
        <v>692.22962385077051</v>
      </c>
    </row>
    <row r="4899" spans="2:7" ht="15" hidden="1" outlineLevel="2">
      <c r="B4899" s="2889" t="s">
        <v>1640</v>
      </c>
      <c r="C4899" s="2889" t="s">
        <v>1463</v>
      </c>
      <c r="D4899" s="2889" t="s">
        <v>1105</v>
      </c>
      <c r="E4899" s="2889" t="s">
        <v>1426</v>
      </c>
      <c r="F4899" s="3040"/>
      <c r="G4899" s="2890">
        <v>103.53859250606941</v>
      </c>
    </row>
    <row r="4900" spans="2:7" ht="15" hidden="1" outlineLevel="2">
      <c r="B4900" s="2889" t="s">
        <v>1641</v>
      </c>
      <c r="C4900" s="2889" t="s">
        <v>1463</v>
      </c>
      <c r="D4900" s="2889" t="s">
        <v>1105</v>
      </c>
      <c r="E4900" s="2889" t="s">
        <v>1426</v>
      </c>
      <c r="F4900" s="3040"/>
      <c r="G4900" s="2890">
        <v>665.60550651228209</v>
      </c>
    </row>
    <row r="4901" spans="2:7" ht="15" hidden="1" outlineLevel="2">
      <c r="B4901" s="2889" t="s">
        <v>1642</v>
      </c>
      <c r="C4901" s="2889" t="s">
        <v>1463</v>
      </c>
      <c r="D4901" s="2889" t="s">
        <v>1105</v>
      </c>
      <c r="E4901" s="2889" t="s">
        <v>1426</v>
      </c>
      <c r="F4901" s="3040"/>
      <c r="G4901" s="2890">
        <v>1769.0311974163974</v>
      </c>
    </row>
    <row r="4902" spans="2:7" ht="15" hidden="1" outlineLevel="2">
      <c r="B4902" s="2889" t="s">
        <v>1643</v>
      </c>
      <c r="C4902" s="2889" t="s">
        <v>1463</v>
      </c>
      <c r="D4902" s="2889" t="s">
        <v>1105</v>
      </c>
      <c r="E4902" s="2889" t="s">
        <v>1426</v>
      </c>
      <c r="F4902" s="3040"/>
      <c r="G4902" s="2890">
        <v>109.52217700691291</v>
      </c>
    </row>
    <row r="4903" spans="2:7" ht="15" hidden="1" outlineLevel="2">
      <c r="B4903" s="2889" t="s">
        <v>1644</v>
      </c>
      <c r="C4903" s="2889" t="s">
        <v>1463</v>
      </c>
      <c r="D4903" s="2889" t="s">
        <v>1105</v>
      </c>
      <c r="E4903" s="2889" t="s">
        <v>1426</v>
      </c>
      <c r="F4903" s="3040"/>
      <c r="G4903" s="2890">
        <v>2606.2144858817987</v>
      </c>
    </row>
    <row r="4904" spans="2:7" ht="15" hidden="1" outlineLevel="2">
      <c r="B4904" s="2889" t="s">
        <v>1645</v>
      </c>
      <c r="C4904" s="2889" t="s">
        <v>1463</v>
      </c>
      <c r="D4904" s="2889" t="s">
        <v>1105</v>
      </c>
      <c r="E4904" s="2889" t="s">
        <v>1426</v>
      </c>
      <c r="F4904" s="3040"/>
      <c r="G4904" s="2890">
        <v>1990.8990980372341</v>
      </c>
    </row>
    <row r="4905" spans="2:7" ht="15" hidden="1" outlineLevel="2">
      <c r="B4905" s="2889" t="s">
        <v>1646</v>
      </c>
      <c r="C4905" s="2889" t="s">
        <v>1463</v>
      </c>
      <c r="D4905" s="2889" t="s">
        <v>1105</v>
      </c>
      <c r="E4905" s="2889" t="s">
        <v>1426</v>
      </c>
      <c r="F4905" s="3040"/>
      <c r="G4905" s="2890">
        <v>233.7013781967953</v>
      </c>
    </row>
    <row r="4906" spans="2:7" ht="15" hidden="1" outlineLevel="2">
      <c r="B4906" s="2889" t="s">
        <v>1647</v>
      </c>
      <c r="C4906" s="2889" t="s">
        <v>1463</v>
      </c>
      <c r="D4906" s="2889" t="s">
        <v>1105</v>
      </c>
      <c r="E4906" s="2889" t="s">
        <v>1426</v>
      </c>
      <c r="F4906" s="3040"/>
      <c r="G4906" s="2890">
        <v>106.49685390972913</v>
      </c>
    </row>
    <row r="4907" spans="2:7" ht="15" hidden="1" outlineLevel="2">
      <c r="B4907" s="2889" t="s">
        <v>1648</v>
      </c>
      <c r="C4907" s="2889" t="s">
        <v>1463</v>
      </c>
      <c r="D4907" s="2889" t="s">
        <v>1105</v>
      </c>
      <c r="E4907" s="2889" t="s">
        <v>1426</v>
      </c>
      <c r="F4907" s="3040"/>
      <c r="G4907" s="2890">
        <v>44.373688935511097</v>
      </c>
    </row>
    <row r="4908" spans="2:7" ht="15" hidden="1" outlineLevel="2">
      <c r="B4908" s="2889" t="s">
        <v>1649</v>
      </c>
      <c r="C4908" s="2889" t="s">
        <v>1463</v>
      </c>
      <c r="D4908" s="2889" t="s">
        <v>1105</v>
      </c>
      <c r="E4908" s="2889" t="s">
        <v>1426</v>
      </c>
      <c r="F4908" s="3040"/>
      <c r="G4908" s="2890">
        <v>198.20246063453419</v>
      </c>
    </row>
    <row r="4909" spans="2:7" ht="15" hidden="1" outlineLevel="2">
      <c r="B4909" s="2889" t="s">
        <v>1650</v>
      </c>
      <c r="C4909" s="2889" t="s">
        <v>1463</v>
      </c>
      <c r="D4909" s="2889" t="s">
        <v>1105</v>
      </c>
      <c r="E4909" s="2889" t="s">
        <v>1426</v>
      </c>
      <c r="F4909" s="3040"/>
      <c r="G4909" s="2890">
        <v>446.69508995442351</v>
      </c>
    </row>
    <row r="4910" spans="2:7" ht="15" hidden="1" outlineLevel="2">
      <c r="B4910" s="2889" t="s">
        <v>1651</v>
      </c>
      <c r="C4910" s="2889" t="s">
        <v>1463</v>
      </c>
      <c r="D4910" s="2889" t="s">
        <v>1105</v>
      </c>
      <c r="E4910" s="2889" t="s">
        <v>1426</v>
      </c>
      <c r="F4910" s="3040"/>
      <c r="G4910" s="2890">
        <v>387.53015098087985</v>
      </c>
    </row>
    <row r="4911" spans="2:7" ht="15" hidden="1" outlineLevel="2">
      <c r="B4911" s="2889" t="s">
        <v>1652</v>
      </c>
      <c r="C4911" s="2889" t="s">
        <v>1463</v>
      </c>
      <c r="D4911" s="2889" t="s">
        <v>1105</v>
      </c>
      <c r="E4911" s="2889" t="s">
        <v>1426</v>
      </c>
      <c r="F4911" s="3040"/>
      <c r="G4911" s="2890">
        <v>242.5761156934758</v>
      </c>
    </row>
    <row r="4912" spans="2:7" ht="15" hidden="1" outlineLevel="2">
      <c r="B4912" s="2889" t="s">
        <v>1653</v>
      </c>
      <c r="C4912" s="2889" t="s">
        <v>1463</v>
      </c>
      <c r="D4912" s="2889" t="s">
        <v>1105</v>
      </c>
      <c r="E4912" s="2889" t="s">
        <v>1426</v>
      </c>
      <c r="F4912" s="3040"/>
      <c r="G4912" s="2890">
        <v>1881.4439426397366</v>
      </c>
    </row>
    <row r="4913" spans="2:7" ht="15" hidden="1" outlineLevel="2">
      <c r="B4913" s="2889" t="s">
        <v>1407</v>
      </c>
      <c r="C4913" s="2889" t="s">
        <v>1464</v>
      </c>
      <c r="D4913" s="2889" t="s">
        <v>1105</v>
      </c>
      <c r="E4913" s="2889" t="s">
        <v>1426</v>
      </c>
      <c r="F4913" s="3040"/>
      <c r="G4913" s="2890">
        <v>18.472194354192006</v>
      </c>
    </row>
    <row r="4914" spans="2:7" ht="15" hidden="1" outlineLevel="2">
      <c r="B4914" s="2889" t="s">
        <v>1631</v>
      </c>
      <c r="C4914" s="2889" t="s">
        <v>1464</v>
      </c>
      <c r="D4914" s="2889" t="s">
        <v>1105</v>
      </c>
      <c r="E4914" s="2889" t="s">
        <v>1426</v>
      </c>
      <c r="F4914" s="2890">
        <v>5.1802243113613297E-3</v>
      </c>
      <c r="G4914" s="2890">
        <v>187.27960591098969</v>
      </c>
    </row>
    <row r="4915" spans="2:7" ht="15" hidden="1" outlineLevel="2">
      <c r="B4915" s="2889" t="s">
        <v>1632</v>
      </c>
      <c r="C4915" s="2889" t="s">
        <v>1464</v>
      </c>
      <c r="D4915" s="2889" t="s">
        <v>1105</v>
      </c>
      <c r="E4915" s="2889" t="s">
        <v>1426</v>
      </c>
      <c r="F4915" s="3040"/>
      <c r="G4915" s="2890">
        <v>286.46107521720245</v>
      </c>
    </row>
    <row r="4916" spans="2:7" ht="15" hidden="1" outlineLevel="2">
      <c r="B4916" s="2889" t="s">
        <v>1633</v>
      </c>
      <c r="C4916" s="2889" t="s">
        <v>1464</v>
      </c>
      <c r="D4916" s="2889" t="s">
        <v>1105</v>
      </c>
      <c r="E4916" s="2889" t="s">
        <v>1426</v>
      </c>
      <c r="F4916" s="3040"/>
      <c r="G4916" s="2890">
        <v>10.514939883582437</v>
      </c>
    </row>
    <row r="4917" spans="2:7" ht="15" hidden="1" outlineLevel="2">
      <c r="B4917" s="2889" t="s">
        <v>1634</v>
      </c>
      <c r="C4917" s="2889" t="s">
        <v>1464</v>
      </c>
      <c r="D4917" s="2889" t="s">
        <v>1105</v>
      </c>
      <c r="E4917" s="2889" t="s">
        <v>1426</v>
      </c>
      <c r="F4917" s="3040"/>
      <c r="G4917" s="2890">
        <v>7.3888769617925014</v>
      </c>
    </row>
    <row r="4918" spans="2:7" ht="15" hidden="1" outlineLevel="2">
      <c r="B4918" s="2889" t="s">
        <v>1635</v>
      </c>
      <c r="C4918" s="2889" t="s">
        <v>1464</v>
      </c>
      <c r="D4918" s="2889" t="s">
        <v>1105</v>
      </c>
      <c r="E4918" s="2889" t="s">
        <v>1426</v>
      </c>
      <c r="F4918" s="3040"/>
      <c r="G4918" s="2890">
        <v>47.175137575942578</v>
      </c>
    </row>
    <row r="4919" spans="2:7" ht="15" hidden="1" outlineLevel="2">
      <c r="B4919" s="2889" t="s">
        <v>1636</v>
      </c>
      <c r="C4919" s="2889" t="s">
        <v>1464</v>
      </c>
      <c r="D4919" s="2889" t="s">
        <v>1105</v>
      </c>
      <c r="E4919" s="2889" t="s">
        <v>1426</v>
      </c>
      <c r="F4919" s="2891"/>
      <c r="G4919" s="2890">
        <v>18.188003028591279</v>
      </c>
    </row>
    <row r="4920" spans="2:7" ht="15" hidden="1" outlineLevel="2">
      <c r="B4920" s="2889" t="s">
        <v>1637</v>
      </c>
      <c r="C4920" s="2889" t="s">
        <v>1464</v>
      </c>
      <c r="D4920" s="2889" t="s">
        <v>1105</v>
      </c>
      <c r="E4920" s="2889" t="s">
        <v>1426</v>
      </c>
      <c r="F4920" s="2891"/>
      <c r="G4920" s="2890">
        <v>21.598254760556177</v>
      </c>
    </row>
    <row r="4921" spans="2:7" ht="15" hidden="1" outlineLevel="2">
      <c r="B4921" s="2889" t="s">
        <v>1638</v>
      </c>
      <c r="C4921" s="2889" t="s">
        <v>1464</v>
      </c>
      <c r="D4921" s="2889" t="s">
        <v>1105</v>
      </c>
      <c r="E4921" s="2889" t="s">
        <v>1426</v>
      </c>
      <c r="F4921" s="2891"/>
      <c r="G4921" s="2890">
        <v>13.356816101550981</v>
      </c>
    </row>
    <row r="4922" spans="2:7" ht="15" hidden="1" outlineLevel="2">
      <c r="B4922" s="2889" t="s">
        <v>1639</v>
      </c>
      <c r="C4922" s="2889" t="s">
        <v>1464</v>
      </c>
      <c r="D4922" s="2889" t="s">
        <v>1105</v>
      </c>
      <c r="E4922" s="2889" t="s">
        <v>1426</v>
      </c>
      <c r="F4922" s="2891"/>
      <c r="G4922" s="2890">
        <v>66.499899586583794</v>
      </c>
    </row>
    <row r="4923" spans="2:7" ht="15" hidden="1" outlineLevel="2">
      <c r="B4923" s="2889" t="s">
        <v>1640</v>
      </c>
      <c r="C4923" s="2889" t="s">
        <v>1464</v>
      </c>
      <c r="D4923" s="2889" t="s">
        <v>1105</v>
      </c>
      <c r="E4923" s="2889" t="s">
        <v>1426</v>
      </c>
      <c r="F4923" s="2891"/>
      <c r="G4923" s="2890">
        <v>9.9465641343640279</v>
      </c>
    </row>
    <row r="4924" spans="2:7" ht="15" hidden="1" outlineLevel="2">
      <c r="B4924" s="2889" t="s">
        <v>1641</v>
      </c>
      <c r="C4924" s="2889" t="s">
        <v>1464</v>
      </c>
      <c r="D4924" s="2889" t="s">
        <v>1105</v>
      </c>
      <c r="E4924" s="2889" t="s">
        <v>1426</v>
      </c>
      <c r="F4924" s="2891"/>
      <c r="G4924" s="2890">
        <v>63.942195893677592</v>
      </c>
    </row>
    <row r="4925" spans="2:7" ht="15" hidden="1" outlineLevel="2">
      <c r="B4925" s="2889" t="s">
        <v>1642</v>
      </c>
      <c r="C4925" s="2889" t="s">
        <v>1464</v>
      </c>
      <c r="D4925" s="2889" t="s">
        <v>1105</v>
      </c>
      <c r="E4925" s="2889" t="s">
        <v>1426</v>
      </c>
      <c r="F4925" s="3040"/>
      <c r="G4925" s="2890">
        <v>169.94413547383414</v>
      </c>
    </row>
    <row r="4926" spans="2:7" ht="15" hidden="1" outlineLevel="2">
      <c r="B4926" s="2889" t="s">
        <v>1643</v>
      </c>
      <c r="C4926" s="2889" t="s">
        <v>1464</v>
      </c>
      <c r="D4926" s="2889" t="s">
        <v>1105</v>
      </c>
      <c r="E4926" s="2889" t="s">
        <v>1426</v>
      </c>
      <c r="F4926" s="3040"/>
      <c r="G4926" s="2890">
        <v>10.521383532948866</v>
      </c>
    </row>
    <row r="4927" spans="2:7" ht="15" hidden="1" outlineLevel="2">
      <c r="B4927" s="2889" t="s">
        <v>1644</v>
      </c>
      <c r="C4927" s="2889" t="s">
        <v>1464</v>
      </c>
      <c r="D4927" s="2889" t="s">
        <v>1105</v>
      </c>
      <c r="E4927" s="2889" t="s">
        <v>1426</v>
      </c>
      <c r="F4927" s="3040"/>
      <c r="G4927" s="2890">
        <v>250.36920222292625</v>
      </c>
    </row>
    <row r="4928" spans="2:7" ht="15" hidden="1" outlineLevel="2">
      <c r="B4928" s="2889" t="s">
        <v>1645</v>
      </c>
      <c r="C4928" s="2889" t="s">
        <v>1464</v>
      </c>
      <c r="D4928" s="2889" t="s">
        <v>1105</v>
      </c>
      <c r="E4928" s="2889" t="s">
        <v>1426</v>
      </c>
      <c r="F4928" s="3040"/>
      <c r="G4928" s="2890">
        <v>191.25824905285347</v>
      </c>
    </row>
    <row r="4929" spans="2:7" ht="15" hidden="1" outlineLevel="2">
      <c r="B4929" s="2889" t="s">
        <v>1646</v>
      </c>
      <c r="C4929" s="2889" t="s">
        <v>1464</v>
      </c>
      <c r="D4929" s="2889" t="s">
        <v>1105</v>
      </c>
      <c r="E4929" s="2889" t="s">
        <v>1426</v>
      </c>
      <c r="F4929" s="3040"/>
      <c r="G4929" s="2890">
        <v>22.450821852183669</v>
      </c>
    </row>
    <row r="4930" spans="2:7" ht="15" hidden="1" outlineLevel="2">
      <c r="B4930" s="2889" t="s">
        <v>1647</v>
      </c>
      <c r="C4930" s="2889" t="s">
        <v>1464</v>
      </c>
      <c r="D4930" s="2889" t="s">
        <v>1105</v>
      </c>
      <c r="E4930" s="2889" t="s">
        <v>1426</v>
      </c>
      <c r="F4930" s="3040"/>
      <c r="G4930" s="2890">
        <v>10.230750147334179</v>
      </c>
    </row>
    <row r="4931" spans="2:7" ht="15" hidden="1" outlineLevel="2">
      <c r="B4931" s="2889" t="s">
        <v>1648</v>
      </c>
      <c r="C4931" s="2889" t="s">
        <v>1464</v>
      </c>
      <c r="D4931" s="2889" t="s">
        <v>1105</v>
      </c>
      <c r="E4931" s="2889" t="s">
        <v>1426</v>
      </c>
      <c r="F4931" s="3040"/>
      <c r="G4931" s="2890">
        <v>4.2628130006015459</v>
      </c>
    </row>
    <row r="4932" spans="2:7" ht="15" hidden="1" outlineLevel="2">
      <c r="B4932" s="2889" t="s">
        <v>1649</v>
      </c>
      <c r="C4932" s="2889" t="s">
        <v>1464</v>
      </c>
      <c r="D4932" s="2889" t="s">
        <v>1105</v>
      </c>
      <c r="E4932" s="2889" t="s">
        <v>1426</v>
      </c>
      <c r="F4932" s="3040"/>
      <c r="G4932" s="2890">
        <v>19.040566633437617</v>
      </c>
    </row>
    <row r="4933" spans="2:7" ht="15" hidden="1" outlineLevel="2">
      <c r="B4933" s="2889" t="s">
        <v>1650</v>
      </c>
      <c r="C4933" s="2889" t="s">
        <v>1464</v>
      </c>
      <c r="D4933" s="2889" t="s">
        <v>1105</v>
      </c>
      <c r="E4933" s="2889" t="s">
        <v>1426</v>
      </c>
      <c r="F4933" s="3040"/>
      <c r="G4933" s="2890">
        <v>42.9123294389683</v>
      </c>
    </row>
    <row r="4934" spans="2:7" ht="15" hidden="1" outlineLevel="2">
      <c r="B4934" s="2889" t="s">
        <v>1651</v>
      </c>
      <c r="C4934" s="2889" t="s">
        <v>1464</v>
      </c>
      <c r="D4934" s="2889" t="s">
        <v>1105</v>
      </c>
      <c r="E4934" s="2889" t="s">
        <v>1426</v>
      </c>
      <c r="F4934" s="3040"/>
      <c r="G4934" s="2890">
        <v>37.228571553874872</v>
      </c>
    </row>
    <row r="4935" spans="2:7" ht="15" hidden="1" outlineLevel="2">
      <c r="B4935" s="2889" t="s">
        <v>1652</v>
      </c>
      <c r="C4935" s="2889" t="s">
        <v>1464</v>
      </c>
      <c r="D4935" s="2889" t="s">
        <v>1105</v>
      </c>
      <c r="E4935" s="2889" t="s">
        <v>1426</v>
      </c>
      <c r="F4935" s="3040"/>
      <c r="G4935" s="2890">
        <v>23.303376170697863</v>
      </c>
    </row>
    <row r="4936" spans="2:7" ht="15" hidden="1" outlineLevel="2">
      <c r="B4936" s="2889" t="s">
        <v>1653</v>
      </c>
      <c r="C4936" s="2889" t="s">
        <v>1464</v>
      </c>
      <c r="D4936" s="2889" t="s">
        <v>1105</v>
      </c>
      <c r="E4936" s="2889" t="s">
        <v>1426</v>
      </c>
      <c r="F4936" s="3040"/>
      <c r="G4936" s="2890">
        <v>180.74329653592577</v>
      </c>
    </row>
    <row r="4937" spans="2:7" ht="15" hidden="1" outlineLevel="2">
      <c r="B4937" s="2889" t="s">
        <v>1407</v>
      </c>
      <c r="C4937" s="2889" t="s">
        <v>1465</v>
      </c>
      <c r="D4937" s="2889" t="s">
        <v>1105</v>
      </c>
      <c r="E4937" s="2889" t="s">
        <v>1426</v>
      </c>
      <c r="F4937" s="3040"/>
      <c r="G4937" s="2890">
        <v>16.389019422585918</v>
      </c>
    </row>
    <row r="4938" spans="2:7" ht="15" hidden="1" outlineLevel="2">
      <c r="B4938" s="2889" t="s">
        <v>1631</v>
      </c>
      <c r="C4938" s="2889" t="s">
        <v>1465</v>
      </c>
      <c r="D4938" s="2889" t="s">
        <v>1105</v>
      </c>
      <c r="E4938" s="2889" t="s">
        <v>1426</v>
      </c>
      <c r="F4938" s="2890">
        <v>5.7979484059478784E-3</v>
      </c>
      <c r="G4938" s="2890">
        <v>166.15941357230355</v>
      </c>
    </row>
    <row r="4939" spans="2:7" ht="15" hidden="1" outlineLevel="2">
      <c r="B4939" s="2889" t="s">
        <v>1632</v>
      </c>
      <c r="C4939" s="2889" t="s">
        <v>1465</v>
      </c>
      <c r="D4939" s="2889" t="s">
        <v>1105</v>
      </c>
      <c r="E4939" s="2889" t="s">
        <v>1426</v>
      </c>
      <c r="F4939" s="3040"/>
      <c r="G4939" s="2890">
        <v>254.15581983890581</v>
      </c>
    </row>
    <row r="4940" spans="2:7" ht="15" hidden="1" outlineLevel="2">
      <c r="B4940" s="2889" t="s">
        <v>1633</v>
      </c>
      <c r="C4940" s="2889" t="s">
        <v>1465</v>
      </c>
      <c r="D4940" s="2889" t="s">
        <v>1105</v>
      </c>
      <c r="E4940" s="2889" t="s">
        <v>1426</v>
      </c>
      <c r="F4940" s="3040"/>
      <c r="G4940" s="2890">
        <v>9.329135801951951</v>
      </c>
    </row>
    <row r="4941" spans="2:7" ht="15" hidden="1" outlineLevel="2">
      <c r="B4941" s="2889" t="s">
        <v>1634</v>
      </c>
      <c r="C4941" s="2889" t="s">
        <v>1465</v>
      </c>
      <c r="D4941" s="2889" t="s">
        <v>1105</v>
      </c>
      <c r="E4941" s="2889" t="s">
        <v>1426</v>
      </c>
      <c r="F4941" s="3040"/>
      <c r="G4941" s="2890">
        <v>6.5556071528947273</v>
      </c>
    </row>
    <row r="4942" spans="2:7" ht="15" hidden="1" outlineLevel="2">
      <c r="B4942" s="2889" t="s">
        <v>1635</v>
      </c>
      <c r="C4942" s="2889" t="s">
        <v>1465</v>
      </c>
      <c r="D4942" s="2889" t="s">
        <v>1105</v>
      </c>
      <c r="E4942" s="2889" t="s">
        <v>1426</v>
      </c>
      <c r="F4942" s="3040"/>
      <c r="G4942" s="2890">
        <v>41.855032600512956</v>
      </c>
    </row>
    <row r="4943" spans="2:7" ht="15" hidden="1" outlineLevel="2">
      <c r="B4943" s="2889" t="s">
        <v>1636</v>
      </c>
      <c r="C4943" s="2889" t="s">
        <v>1465</v>
      </c>
      <c r="D4943" s="2889" t="s">
        <v>1105</v>
      </c>
      <c r="E4943" s="2889" t="s">
        <v>1426</v>
      </c>
      <c r="F4943" s="3040"/>
      <c r="G4943" s="2890">
        <v>16.136882733126861</v>
      </c>
    </row>
    <row r="4944" spans="2:7" ht="15" hidden="1" outlineLevel="2">
      <c r="B4944" s="2889" t="s">
        <v>1637</v>
      </c>
      <c r="C4944" s="2889" t="s">
        <v>1465</v>
      </c>
      <c r="D4944" s="2889" t="s">
        <v>1105</v>
      </c>
      <c r="E4944" s="2889" t="s">
        <v>1426</v>
      </c>
      <c r="F4944" s="3040"/>
      <c r="G4944" s="2890">
        <v>19.16254408592577</v>
      </c>
    </row>
    <row r="4945" spans="2:7" ht="15" hidden="1" outlineLevel="2">
      <c r="B4945" s="2889" t="s">
        <v>1638</v>
      </c>
      <c r="C4945" s="2889" t="s">
        <v>1465</v>
      </c>
      <c r="D4945" s="2889" t="s">
        <v>1105</v>
      </c>
      <c r="E4945" s="2889" t="s">
        <v>1426</v>
      </c>
      <c r="F4945" s="3040"/>
      <c r="G4945" s="2890">
        <v>11.850521449572073</v>
      </c>
    </row>
    <row r="4946" spans="2:7" ht="15" hidden="1" outlineLevel="2">
      <c r="B4946" s="2889" t="s">
        <v>1639</v>
      </c>
      <c r="C4946" s="2889" t="s">
        <v>1465</v>
      </c>
      <c r="D4946" s="2889" t="s">
        <v>1105</v>
      </c>
      <c r="E4946" s="2889" t="s">
        <v>1426</v>
      </c>
      <c r="F4946" s="3040"/>
      <c r="G4946" s="2890">
        <v>59.000459302741575</v>
      </c>
    </row>
    <row r="4947" spans="2:7" ht="15" hidden="1" outlineLevel="2">
      <c r="B4947" s="2889" t="s">
        <v>1640</v>
      </c>
      <c r="C4947" s="2889" t="s">
        <v>1465</v>
      </c>
      <c r="D4947" s="2889" t="s">
        <v>1105</v>
      </c>
      <c r="E4947" s="2889" t="s">
        <v>1426</v>
      </c>
      <c r="F4947" s="3040"/>
      <c r="G4947" s="2890">
        <v>8.8248573131628305</v>
      </c>
    </row>
    <row r="4948" spans="2:7" ht="15" hidden="1" outlineLevel="2">
      <c r="B4948" s="2889" t="s">
        <v>1641</v>
      </c>
      <c r="C4948" s="2889" t="s">
        <v>1465</v>
      </c>
      <c r="D4948" s="2889" t="s">
        <v>1105</v>
      </c>
      <c r="E4948" s="2889" t="s">
        <v>1426</v>
      </c>
      <c r="F4948" s="3040"/>
      <c r="G4948" s="2890">
        <v>56.731206658947208</v>
      </c>
    </row>
    <row r="4949" spans="2:7" ht="15" hidden="1" outlineLevel="2">
      <c r="B4949" s="2889" t="s">
        <v>1642</v>
      </c>
      <c r="C4949" s="2889" t="s">
        <v>1465</v>
      </c>
      <c r="D4949" s="2889" t="s">
        <v>1105</v>
      </c>
      <c r="E4949" s="2889" t="s">
        <v>1426</v>
      </c>
      <c r="F4949" s="3040"/>
      <c r="G4949" s="2890">
        <v>150.77900616723082</v>
      </c>
    </row>
    <row r="4950" spans="2:7" ht="15" hidden="1" outlineLevel="2">
      <c r="B4950" s="2889" t="s">
        <v>1643</v>
      </c>
      <c r="C4950" s="2889" t="s">
        <v>1465</v>
      </c>
      <c r="D4950" s="2889" t="s">
        <v>1105</v>
      </c>
      <c r="E4950" s="2889" t="s">
        <v>1426</v>
      </c>
      <c r="F4950" s="3040"/>
      <c r="G4950" s="2890">
        <v>9.3348530011260564</v>
      </c>
    </row>
    <row r="4951" spans="2:7" ht="15" hidden="1" outlineLevel="2">
      <c r="B4951" s="2889" t="s">
        <v>1644</v>
      </c>
      <c r="C4951" s="2889" t="s">
        <v>1465</v>
      </c>
      <c r="D4951" s="2889" t="s">
        <v>1105</v>
      </c>
      <c r="E4951" s="2889" t="s">
        <v>1426</v>
      </c>
      <c r="F4951" s="3040"/>
      <c r="G4951" s="2890">
        <v>222.13421905272094</v>
      </c>
    </row>
    <row r="4952" spans="2:7" ht="15" hidden="1" outlineLevel="2">
      <c r="B4952" s="2889" t="s">
        <v>1645</v>
      </c>
      <c r="C4952" s="2889" t="s">
        <v>1465</v>
      </c>
      <c r="D4952" s="2889" t="s">
        <v>1105</v>
      </c>
      <c r="E4952" s="2889" t="s">
        <v>1426</v>
      </c>
      <c r="F4952" s="3040"/>
      <c r="G4952" s="2890">
        <v>169.68934005574718</v>
      </c>
    </row>
    <row r="4953" spans="2:7" ht="15" hidden="1" outlineLevel="2">
      <c r="B4953" s="2889" t="s">
        <v>1646</v>
      </c>
      <c r="C4953" s="2889" t="s">
        <v>1465</v>
      </c>
      <c r="D4953" s="2889" t="s">
        <v>1105</v>
      </c>
      <c r="E4953" s="2889" t="s">
        <v>1426</v>
      </c>
      <c r="F4953" s="3040"/>
      <c r="G4953" s="2890">
        <v>19.918962585036532</v>
      </c>
    </row>
    <row r="4954" spans="2:7" ht="15" hidden="1" outlineLevel="2">
      <c r="B4954" s="2889" t="s">
        <v>1647</v>
      </c>
      <c r="C4954" s="2889" t="s">
        <v>1465</v>
      </c>
      <c r="D4954" s="2889" t="s">
        <v>1105</v>
      </c>
      <c r="E4954" s="2889" t="s">
        <v>1426</v>
      </c>
      <c r="F4954" s="3040"/>
      <c r="G4954" s="2890">
        <v>9.0769967728903111</v>
      </c>
    </row>
    <row r="4955" spans="2:7" ht="15" hidden="1" outlineLevel="2">
      <c r="B4955" s="2889" t="s">
        <v>1648</v>
      </c>
      <c r="C4955" s="2889" t="s">
        <v>1465</v>
      </c>
      <c r="D4955" s="2889" t="s">
        <v>1105</v>
      </c>
      <c r="E4955" s="2889" t="s">
        <v>1426</v>
      </c>
      <c r="F4955" s="3040"/>
      <c r="G4955" s="2890">
        <v>3.7820802762731436</v>
      </c>
    </row>
    <row r="4956" spans="2:7" ht="15" hidden="1" outlineLevel="2">
      <c r="B4956" s="2889" t="s">
        <v>1649</v>
      </c>
      <c r="C4956" s="2889" t="s">
        <v>1465</v>
      </c>
      <c r="D4956" s="2889" t="s">
        <v>1105</v>
      </c>
      <c r="E4956" s="2889" t="s">
        <v>1426</v>
      </c>
      <c r="F4956" s="3040"/>
      <c r="G4956" s="2890">
        <v>16.893296173503671</v>
      </c>
    </row>
    <row r="4957" spans="2:7" ht="15" hidden="1" outlineLevel="2">
      <c r="B4957" s="2889" t="s">
        <v>1650</v>
      </c>
      <c r="C4957" s="2889" t="s">
        <v>1465</v>
      </c>
      <c r="D4957" s="2889" t="s">
        <v>1105</v>
      </c>
      <c r="E4957" s="2889" t="s">
        <v>1426</v>
      </c>
      <c r="F4957" s="3040"/>
      <c r="G4957" s="2890">
        <v>38.072962253561748</v>
      </c>
    </row>
    <row r="4958" spans="2:7" ht="15" hidden="1" outlineLevel="2">
      <c r="B4958" s="2889" t="s">
        <v>1651</v>
      </c>
      <c r="C4958" s="2889" t="s">
        <v>1465</v>
      </c>
      <c r="D4958" s="2889" t="s">
        <v>1105</v>
      </c>
      <c r="E4958" s="2889" t="s">
        <v>1426</v>
      </c>
      <c r="F4958" s="3040"/>
      <c r="G4958" s="2890">
        <v>33.030173560982064</v>
      </c>
    </row>
    <row r="4959" spans="2:7" ht="15" hidden="1" outlineLevel="2">
      <c r="B4959" s="2889" t="s">
        <v>1652</v>
      </c>
      <c r="C4959" s="2889" t="s">
        <v>1465</v>
      </c>
      <c r="D4959" s="2889" t="s">
        <v>1105</v>
      </c>
      <c r="E4959" s="2889" t="s">
        <v>1426</v>
      </c>
      <c r="F4959" s="3040"/>
      <c r="G4959" s="2890">
        <v>20.675376971111305</v>
      </c>
    </row>
    <row r="4960" spans="2:7" ht="15" hidden="1" outlineLevel="2">
      <c r="B4960" s="2889" t="s">
        <v>1653</v>
      </c>
      <c r="C4960" s="2889" t="s">
        <v>1465</v>
      </c>
      <c r="D4960" s="2889" t="s">
        <v>1105</v>
      </c>
      <c r="E4960" s="2889" t="s">
        <v>1426</v>
      </c>
      <c r="F4960" s="3040"/>
      <c r="G4960" s="2890">
        <v>160.36022166420429</v>
      </c>
    </row>
    <row r="4961" spans="2:7" ht="15" hidden="1" outlineLevel="2">
      <c r="B4961" s="2889" t="s">
        <v>1407</v>
      </c>
      <c r="C4961" s="2889" t="s">
        <v>1602</v>
      </c>
      <c r="D4961" s="2889" t="s">
        <v>1599</v>
      </c>
      <c r="E4961" s="2889" t="s">
        <v>1426</v>
      </c>
      <c r="F4961" s="3040"/>
      <c r="G4961" s="2890">
        <v>644.23711407806172</v>
      </c>
    </row>
    <row r="4962" spans="2:7" ht="15" hidden="1" outlineLevel="2">
      <c r="B4962" s="2889" t="s">
        <v>1631</v>
      </c>
      <c r="C4962" s="2889" t="s">
        <v>1602</v>
      </c>
      <c r="D4962" s="2889" t="s">
        <v>1599</v>
      </c>
      <c r="E4962" s="2889" t="s">
        <v>1426</v>
      </c>
      <c r="F4962" s="2890">
        <v>1.7736484479236297E-2</v>
      </c>
      <c r="G4962" s="2890">
        <v>589.45238494461307</v>
      </c>
    </row>
    <row r="4963" spans="2:7" ht="15" hidden="1" outlineLevel="2">
      <c r="B4963" s="2889" t="s">
        <v>1632</v>
      </c>
      <c r="C4963" s="2889" t="s">
        <v>1602</v>
      </c>
      <c r="D4963" s="2889" t="s">
        <v>1599</v>
      </c>
      <c r="E4963" s="2889" t="s">
        <v>1426</v>
      </c>
      <c r="F4963" s="3040"/>
      <c r="G4963" s="2890">
        <v>328.18196273844922</v>
      </c>
    </row>
    <row r="4964" spans="2:7" ht="15" hidden="1" outlineLevel="2">
      <c r="B4964" s="2889" t="s">
        <v>1633</v>
      </c>
      <c r="C4964" s="2889" t="s">
        <v>1602</v>
      </c>
      <c r="D4964" s="2889" t="s">
        <v>1599</v>
      </c>
      <c r="E4964" s="2889" t="s">
        <v>1426</v>
      </c>
      <c r="F4964" s="3040"/>
      <c r="G4964" s="2890">
        <v>383.9966136891872</v>
      </c>
    </row>
    <row r="4965" spans="2:7" ht="15" hidden="1" outlineLevel="2">
      <c r="B4965" s="2889" t="s">
        <v>1634</v>
      </c>
      <c r="C4965" s="2889" t="s">
        <v>1602</v>
      </c>
      <c r="D4965" s="2889" t="s">
        <v>1599</v>
      </c>
      <c r="E4965" s="2889" t="s">
        <v>1426</v>
      </c>
      <c r="F4965" s="2891"/>
      <c r="G4965" s="2890">
        <v>264.91603424066614</v>
      </c>
    </row>
    <row r="4966" spans="2:7" ht="15" hidden="1" outlineLevel="2">
      <c r="B4966" s="2889" t="s">
        <v>1635</v>
      </c>
      <c r="C4966" s="2889" t="s">
        <v>1602</v>
      </c>
      <c r="D4966" s="2889" t="s">
        <v>1599</v>
      </c>
      <c r="E4966" s="2889" t="s">
        <v>1426</v>
      </c>
      <c r="F4966" s="2891"/>
      <c r="G4966" s="2890">
        <v>247.16547225372301</v>
      </c>
    </row>
    <row r="4967" spans="2:7" ht="15" hidden="1" outlineLevel="2">
      <c r="B4967" s="2889" t="s">
        <v>1636</v>
      </c>
      <c r="C4967" s="2889" t="s">
        <v>1602</v>
      </c>
      <c r="D4967" s="2889" t="s">
        <v>1599</v>
      </c>
      <c r="E4967" s="2889" t="s">
        <v>1426</v>
      </c>
      <c r="F4967" s="2891"/>
      <c r="G4967" s="2890">
        <v>25.117736361345759</v>
      </c>
    </row>
    <row r="4968" spans="2:7" ht="15" hidden="1" outlineLevel="2">
      <c r="B4968" s="2889" t="s">
        <v>1637</v>
      </c>
      <c r="C4968" s="2889" t="s">
        <v>1602</v>
      </c>
      <c r="D4968" s="2889" t="s">
        <v>1599</v>
      </c>
      <c r="E4968" s="2889" t="s">
        <v>1426</v>
      </c>
      <c r="F4968" s="2891"/>
      <c r="G4968" s="2890">
        <v>988.48691428226732</v>
      </c>
    </row>
    <row r="4969" spans="2:7" ht="15" hidden="1" outlineLevel="2">
      <c r="B4969" s="2889" t="s">
        <v>1638</v>
      </c>
      <c r="C4969" s="2889" t="s">
        <v>1602</v>
      </c>
      <c r="D4969" s="2889" t="s">
        <v>1599</v>
      </c>
      <c r="E4969" s="2889" t="s">
        <v>1426</v>
      </c>
      <c r="F4969" s="2891"/>
      <c r="G4969" s="2890">
        <v>814.71378933249014</v>
      </c>
    </row>
    <row r="4970" spans="2:7" ht="15" hidden="1" outlineLevel="2">
      <c r="B4970" s="2889" t="s">
        <v>1639</v>
      </c>
      <c r="C4970" s="2889" t="s">
        <v>1602</v>
      </c>
      <c r="D4970" s="2889" t="s">
        <v>1599</v>
      </c>
      <c r="E4970" s="2889" t="s">
        <v>1426</v>
      </c>
      <c r="F4970" s="2891"/>
      <c r="G4970" s="2890">
        <v>138.8085835261833</v>
      </c>
    </row>
    <row r="4971" spans="2:7" ht="15" hidden="1" outlineLevel="2">
      <c r="B4971" s="2889" t="s">
        <v>1640</v>
      </c>
      <c r="C4971" s="2889" t="s">
        <v>1602</v>
      </c>
      <c r="D4971" s="2889" t="s">
        <v>1599</v>
      </c>
      <c r="E4971" s="2889" t="s">
        <v>1426</v>
      </c>
      <c r="F4971" s="2891"/>
      <c r="G4971" s="2890">
        <v>1411.2711801671114</v>
      </c>
    </row>
    <row r="4972" spans="2:7" ht="15" hidden="1" outlineLevel="2">
      <c r="B4972" s="2889" t="s">
        <v>1641</v>
      </c>
      <c r="C4972" s="2889" t="s">
        <v>1602</v>
      </c>
      <c r="D4972" s="2889" t="s">
        <v>1599</v>
      </c>
      <c r="E4972" s="2889" t="s">
        <v>1426</v>
      </c>
      <c r="F4972" s="2891"/>
      <c r="G4972" s="2890">
        <v>373.35943868605199</v>
      </c>
    </row>
    <row r="4973" spans="2:7" ht="15" hidden="1" outlineLevel="2">
      <c r="B4973" s="2889" t="s">
        <v>1642</v>
      </c>
      <c r="C4973" s="2889" t="s">
        <v>1602</v>
      </c>
      <c r="D4973" s="2889" t="s">
        <v>1599</v>
      </c>
      <c r="E4973" s="2889" t="s">
        <v>1426</v>
      </c>
      <c r="F4973" s="2891"/>
      <c r="G4973" s="2890">
        <v>168.40297060030616</v>
      </c>
    </row>
    <row r="4974" spans="2:7" ht="15" hidden="1" outlineLevel="2">
      <c r="B4974" s="2889" t="s">
        <v>1643</v>
      </c>
      <c r="C4974" s="2889" t="s">
        <v>1602</v>
      </c>
      <c r="D4974" s="2889" t="s">
        <v>1599</v>
      </c>
      <c r="E4974" s="2889" t="s">
        <v>1426</v>
      </c>
      <c r="F4974" s="2891"/>
      <c r="G4974" s="2890">
        <v>201.95335889543961</v>
      </c>
    </row>
    <row r="4975" spans="2:7" ht="15" hidden="1" outlineLevel="2">
      <c r="B4975" s="2889" t="s">
        <v>1644</v>
      </c>
      <c r="C4975" s="2889" t="s">
        <v>1602</v>
      </c>
      <c r="D4975" s="2889" t="s">
        <v>1599</v>
      </c>
      <c r="E4975" s="2889" t="s">
        <v>1426</v>
      </c>
      <c r="F4975" s="2891"/>
      <c r="G4975" s="2890">
        <v>105.72095573337965</v>
      </c>
    </row>
    <row r="4976" spans="2:7" ht="15" hidden="1" outlineLevel="2">
      <c r="B4976" s="2889" t="s">
        <v>1645</v>
      </c>
      <c r="C4976" s="2889" t="s">
        <v>1602</v>
      </c>
      <c r="D4976" s="2889" t="s">
        <v>1599</v>
      </c>
      <c r="E4976" s="2889" t="s">
        <v>1426</v>
      </c>
      <c r="F4976" s="2891"/>
      <c r="G4976" s="2890">
        <v>401.97059524972798</v>
      </c>
    </row>
    <row r="4977" spans="2:7" ht="15" hidden="1" outlineLevel="2">
      <c r="B4977" s="2889" t="s">
        <v>1646</v>
      </c>
      <c r="C4977" s="2889" t="s">
        <v>1602</v>
      </c>
      <c r="D4977" s="2889" t="s">
        <v>1599</v>
      </c>
      <c r="E4977" s="2889" t="s">
        <v>1426</v>
      </c>
      <c r="F4977" s="2891"/>
      <c r="G4977" s="2890">
        <v>275.20789235953862</v>
      </c>
    </row>
    <row r="4978" spans="2:7" ht="15" hidden="1" outlineLevel="2">
      <c r="B4978" s="2889" t="s">
        <v>1647</v>
      </c>
      <c r="C4978" s="2889" t="s">
        <v>1602</v>
      </c>
      <c r="D4978" s="2889" t="s">
        <v>1599</v>
      </c>
      <c r="E4978" s="2889" t="s">
        <v>1426</v>
      </c>
      <c r="F4978" s="2891"/>
      <c r="G4978" s="2890">
        <v>566.02769447817309</v>
      </c>
    </row>
    <row r="4979" spans="2:7" ht="15" hidden="1" outlineLevel="2">
      <c r="B4979" s="2889" t="s">
        <v>1648</v>
      </c>
      <c r="C4979" s="2889" t="s">
        <v>1602</v>
      </c>
      <c r="D4979" s="2889" t="s">
        <v>1599</v>
      </c>
      <c r="E4979" s="2889" t="s">
        <v>1426</v>
      </c>
      <c r="F4979" s="2891"/>
      <c r="G4979" s="2890">
        <v>499.87870960659404</v>
      </c>
    </row>
    <row r="4980" spans="2:7" ht="15" hidden="1" outlineLevel="2">
      <c r="B4980" s="2889" t="s">
        <v>1649</v>
      </c>
      <c r="C4980" s="2889" t="s">
        <v>1602</v>
      </c>
      <c r="D4980" s="2889" t="s">
        <v>1599</v>
      </c>
      <c r="E4980" s="2889" t="s">
        <v>1426</v>
      </c>
      <c r="F4980" s="2891"/>
      <c r="G4980" s="2890">
        <v>304.21260182194868</v>
      </c>
    </row>
    <row r="4981" spans="2:7" ht="15" hidden="1" outlineLevel="2">
      <c r="B4981" s="2889" t="s">
        <v>1650</v>
      </c>
      <c r="C4981" s="2889" t="s">
        <v>1602</v>
      </c>
      <c r="D4981" s="2889" t="s">
        <v>1599</v>
      </c>
      <c r="E4981" s="2889" t="s">
        <v>1426</v>
      </c>
      <c r="F4981" s="2891"/>
      <c r="G4981" s="2890">
        <v>118.73512888054715</v>
      </c>
    </row>
    <row r="4982" spans="2:7" ht="15" hidden="1" outlineLevel="2">
      <c r="B4982" s="2889" t="s">
        <v>1651</v>
      </c>
      <c r="C4982" s="2889" t="s">
        <v>1602</v>
      </c>
      <c r="D4982" s="2889" t="s">
        <v>1599</v>
      </c>
      <c r="E4982" s="2889" t="s">
        <v>1426</v>
      </c>
      <c r="F4982" s="2891"/>
      <c r="G4982" s="2890">
        <v>1181.141502274781</v>
      </c>
    </row>
    <row r="4983" spans="2:7" ht="15" hidden="1" outlineLevel="2">
      <c r="B4983" s="2889" t="s">
        <v>1652</v>
      </c>
      <c r="C4983" s="2889" t="s">
        <v>1602</v>
      </c>
      <c r="D4983" s="2889" t="s">
        <v>1599</v>
      </c>
      <c r="E4983" s="2889" t="s">
        <v>1426</v>
      </c>
      <c r="F4983" s="2891"/>
      <c r="G4983" s="2890">
        <v>994.66451391479893</v>
      </c>
    </row>
    <row r="4984" spans="2:7" ht="15" hidden="1" outlineLevel="2">
      <c r="B4984" s="2889" t="s">
        <v>1653</v>
      </c>
      <c r="C4984" s="2889" t="s">
        <v>1602</v>
      </c>
      <c r="D4984" s="2889" t="s">
        <v>1599</v>
      </c>
      <c r="E4984" s="2889" t="s">
        <v>1426</v>
      </c>
      <c r="F4984" s="2891"/>
      <c r="G4984" s="2890">
        <v>1.4161849396318106E-29</v>
      </c>
    </row>
    <row r="4985" spans="2:7" ht="15" hidden="1" outlineLevel="2">
      <c r="B4985" s="2889" t="s">
        <v>1407</v>
      </c>
      <c r="C4985" s="2889" t="s">
        <v>1439</v>
      </c>
      <c r="D4985" s="2889" t="s">
        <v>1437</v>
      </c>
      <c r="E4985" s="2889" t="s">
        <v>1426</v>
      </c>
      <c r="F4985" s="2891"/>
      <c r="G4985" s="2890">
        <v>1.0800699774071823E-29</v>
      </c>
    </row>
    <row r="4986" spans="2:7" ht="15" hidden="1" outlineLevel="2">
      <c r="B4986" s="2889" t="s">
        <v>1631</v>
      </c>
      <c r="C4986" s="2889" t="s">
        <v>1439</v>
      </c>
      <c r="D4986" s="2889" t="s">
        <v>1437</v>
      </c>
      <c r="E4986" s="2889" t="s">
        <v>1426</v>
      </c>
      <c r="F4986" s="3039">
        <v>0.57705415091552159</v>
      </c>
      <c r="G4986" s="2890">
        <v>19083.152012938397</v>
      </c>
    </row>
    <row r="4987" spans="2:7" ht="15" hidden="1" outlineLevel="2">
      <c r="B4987" s="2889" t="s">
        <v>1632</v>
      </c>
      <c r="C4987" s="2889" t="s">
        <v>1439</v>
      </c>
      <c r="D4987" s="2889" t="s">
        <v>1437</v>
      </c>
      <c r="E4987" s="2889" t="s">
        <v>1426</v>
      </c>
      <c r="F4987" s="2891"/>
      <c r="G4987" s="2890">
        <v>13.7021273564749</v>
      </c>
    </row>
    <row r="4988" spans="2:7" ht="15" hidden="1" outlineLevel="2">
      <c r="B4988" s="2889" t="s">
        <v>1633</v>
      </c>
      <c r="C4988" s="2889" t="s">
        <v>1439</v>
      </c>
      <c r="D4988" s="2889" t="s">
        <v>1437</v>
      </c>
      <c r="E4988" s="2889" t="s">
        <v>1426</v>
      </c>
      <c r="F4988" s="2891"/>
      <c r="G4988" s="2890">
        <v>1.3196731293639925E-29</v>
      </c>
    </row>
    <row r="4989" spans="2:7" ht="15" hidden="1" outlineLevel="2">
      <c r="B4989" s="2889" t="s">
        <v>1634</v>
      </c>
      <c r="C4989" s="2889" t="s">
        <v>1439</v>
      </c>
      <c r="D4989" s="2889" t="s">
        <v>1437</v>
      </c>
      <c r="E4989" s="2889" t="s">
        <v>1426</v>
      </c>
      <c r="F4989" s="2891"/>
      <c r="G4989" s="2890">
        <v>1.2941865666466332E-29</v>
      </c>
    </row>
    <row r="4990" spans="2:7" ht="15" hidden="1" outlineLevel="2">
      <c r="B4990" s="2889" t="s">
        <v>1635</v>
      </c>
      <c r="C4990" s="2889" t="s">
        <v>1439</v>
      </c>
      <c r="D4990" s="2889" t="s">
        <v>1437</v>
      </c>
      <c r="E4990" s="2889" t="s">
        <v>1426</v>
      </c>
      <c r="F4990" s="3040"/>
      <c r="G4990" s="2890">
        <v>5.1709206365457501</v>
      </c>
    </row>
    <row r="4991" spans="2:7" ht="15" hidden="1" outlineLevel="2">
      <c r="B4991" s="2889" t="s">
        <v>1636</v>
      </c>
      <c r="C4991" s="2889" t="s">
        <v>1439</v>
      </c>
      <c r="D4991" s="2889" t="s">
        <v>1437</v>
      </c>
      <c r="E4991" s="2889" t="s">
        <v>1426</v>
      </c>
      <c r="F4991" s="3040"/>
      <c r="G4991" s="2890">
        <v>2.8862541582913706E-30</v>
      </c>
    </row>
    <row r="4992" spans="2:7" ht="15" hidden="1" outlineLevel="2">
      <c r="B4992" s="2889" t="s">
        <v>1637</v>
      </c>
      <c r="C4992" s="2889" t="s">
        <v>1439</v>
      </c>
      <c r="D4992" s="2889" t="s">
        <v>1437</v>
      </c>
      <c r="E4992" s="2889" t="s">
        <v>1426</v>
      </c>
      <c r="F4992" s="3040"/>
      <c r="G4992" s="2890">
        <v>2.1486815209001712E-28</v>
      </c>
    </row>
    <row r="4993" spans="2:7" ht="15" hidden="1" outlineLevel="2">
      <c r="B4993" s="2889" t="s">
        <v>1638</v>
      </c>
      <c r="C4993" s="2889" t="s">
        <v>1439</v>
      </c>
      <c r="D4993" s="2889" t="s">
        <v>1437</v>
      </c>
      <c r="E4993" s="2889" t="s">
        <v>1426</v>
      </c>
      <c r="F4993" s="3040"/>
      <c r="G4993" s="2890">
        <v>0.44042558424449618</v>
      </c>
    </row>
    <row r="4994" spans="2:7" ht="15" hidden="1" outlineLevel="2">
      <c r="B4994" s="2889" t="s">
        <v>1639</v>
      </c>
      <c r="C4994" s="2889" t="s">
        <v>1439</v>
      </c>
      <c r="D4994" s="2889" t="s">
        <v>1437</v>
      </c>
      <c r="E4994" s="2889" t="s">
        <v>1426</v>
      </c>
      <c r="F4994" s="3040"/>
      <c r="G4994" s="2890">
        <v>5.5460958861494731</v>
      </c>
    </row>
    <row r="4995" spans="2:7" ht="15" hidden="1" outlineLevel="2">
      <c r="B4995" s="2889" t="s">
        <v>1640</v>
      </c>
      <c r="C4995" s="2889" t="s">
        <v>1439</v>
      </c>
      <c r="D4995" s="2889" t="s">
        <v>1437</v>
      </c>
      <c r="E4995" s="2889" t="s">
        <v>1426</v>
      </c>
      <c r="F4995" s="3040"/>
      <c r="G4995" s="2890">
        <v>0.32624110103422671</v>
      </c>
    </row>
    <row r="4996" spans="2:7" ht="15" hidden="1" outlineLevel="2">
      <c r="B4996" s="2889" t="s">
        <v>1641</v>
      </c>
      <c r="C4996" s="2889" t="s">
        <v>1439</v>
      </c>
      <c r="D4996" s="2889" t="s">
        <v>1437</v>
      </c>
      <c r="E4996" s="2889" t="s">
        <v>1426</v>
      </c>
      <c r="F4996" s="3040"/>
      <c r="G4996" s="2890">
        <v>2.6166589767479464E-28</v>
      </c>
    </row>
    <row r="4997" spans="2:7" ht="15" hidden="1" outlineLevel="2">
      <c r="B4997" s="2889" t="s">
        <v>1642</v>
      </c>
      <c r="C4997" s="2889" t="s">
        <v>1439</v>
      </c>
      <c r="D4997" s="2889" t="s">
        <v>1437</v>
      </c>
      <c r="E4997" s="2889" t="s">
        <v>1426</v>
      </c>
      <c r="F4997" s="3040"/>
      <c r="G4997" s="2890">
        <v>1.2545998713324452E-28</v>
      </c>
    </row>
    <row r="4998" spans="2:7" ht="15" hidden="1" outlineLevel="2">
      <c r="B4998" s="2889" t="s">
        <v>1643</v>
      </c>
      <c r="C4998" s="2889" t="s">
        <v>1439</v>
      </c>
      <c r="D4998" s="2889" t="s">
        <v>1437</v>
      </c>
      <c r="E4998" s="2889" t="s">
        <v>1426</v>
      </c>
      <c r="F4998" s="3040"/>
      <c r="G4998" s="2890">
        <v>2.963962154097215E-28</v>
      </c>
    </row>
    <row r="4999" spans="2:7" ht="15" hidden="1" outlineLevel="2">
      <c r="B4999" s="2889" t="s">
        <v>1644</v>
      </c>
      <c r="C4999" s="2889" t="s">
        <v>1439</v>
      </c>
      <c r="D4999" s="2889" t="s">
        <v>1437</v>
      </c>
      <c r="E4999" s="2889" t="s">
        <v>1426</v>
      </c>
      <c r="F4999" s="3040"/>
      <c r="G4999" s="2890">
        <v>11.418437984075728</v>
      </c>
    </row>
    <row r="5000" spans="2:7" ht="15" hidden="1" outlineLevel="2">
      <c r="B5000" s="2889" t="s">
        <v>1645</v>
      </c>
      <c r="C5000" s="2889" t="s">
        <v>1439</v>
      </c>
      <c r="D5000" s="2889" t="s">
        <v>1437</v>
      </c>
      <c r="E5000" s="2889" t="s">
        <v>1426</v>
      </c>
      <c r="F5000" s="3040"/>
      <c r="G5000" s="2890">
        <v>0.75035403335883288</v>
      </c>
    </row>
    <row r="5001" spans="2:7" ht="15" hidden="1" outlineLevel="2">
      <c r="B5001" s="2889" t="s">
        <v>1646</v>
      </c>
      <c r="C5001" s="2889" t="s">
        <v>1439</v>
      </c>
      <c r="D5001" s="2889" t="s">
        <v>1437</v>
      </c>
      <c r="E5001" s="2889" t="s">
        <v>1426</v>
      </c>
      <c r="F5001" s="3040"/>
      <c r="G5001" s="2890">
        <v>1.2070919861616314</v>
      </c>
    </row>
    <row r="5002" spans="2:7" ht="15" hidden="1" outlineLevel="2">
      <c r="B5002" s="2889" t="s">
        <v>1647</v>
      </c>
      <c r="C5002" s="2889" t="s">
        <v>1439</v>
      </c>
      <c r="D5002" s="2889" t="s">
        <v>1437</v>
      </c>
      <c r="E5002" s="2889" t="s">
        <v>1426</v>
      </c>
      <c r="F5002" s="3040"/>
      <c r="G5002" s="2890">
        <v>2.6262408646441644</v>
      </c>
    </row>
    <row r="5003" spans="2:7" ht="15" hidden="1" outlineLevel="2">
      <c r="B5003" s="2889" t="s">
        <v>1648</v>
      </c>
      <c r="C5003" s="2889" t="s">
        <v>1439</v>
      </c>
      <c r="D5003" s="2889" t="s">
        <v>1437</v>
      </c>
      <c r="E5003" s="2889" t="s">
        <v>1426</v>
      </c>
      <c r="F5003" s="3040"/>
      <c r="G5003" s="2890">
        <v>1.310900246665383E-29</v>
      </c>
    </row>
    <row r="5004" spans="2:7" ht="15" hidden="1" outlineLevel="2">
      <c r="B5004" s="2889" t="s">
        <v>1649</v>
      </c>
      <c r="C5004" s="2889" t="s">
        <v>1439</v>
      </c>
      <c r="D5004" s="2889" t="s">
        <v>1437</v>
      </c>
      <c r="E5004" s="2889" t="s">
        <v>1426</v>
      </c>
      <c r="F5004" s="3040"/>
      <c r="G5004" s="2890">
        <v>16.312053089128646</v>
      </c>
    </row>
    <row r="5005" spans="2:7" ht="15" hidden="1" outlineLevel="2">
      <c r="B5005" s="2889" t="s">
        <v>1650</v>
      </c>
      <c r="C5005" s="2889" t="s">
        <v>1439</v>
      </c>
      <c r="D5005" s="2889" t="s">
        <v>1437</v>
      </c>
      <c r="E5005" s="2889" t="s">
        <v>1426</v>
      </c>
      <c r="F5005" s="3040"/>
      <c r="G5005" s="2890">
        <v>95.262425811614619</v>
      </c>
    </row>
    <row r="5006" spans="2:7" ht="15" hidden="1" outlineLevel="2">
      <c r="B5006" s="2889" t="s">
        <v>1651</v>
      </c>
      <c r="C5006" s="2889" t="s">
        <v>1439</v>
      </c>
      <c r="D5006" s="2889" t="s">
        <v>1437</v>
      </c>
      <c r="E5006" s="2889" t="s">
        <v>1426</v>
      </c>
      <c r="F5006" s="3040"/>
      <c r="G5006" s="2890">
        <v>390.83676561208318</v>
      </c>
    </row>
    <row r="5007" spans="2:7" ht="15" hidden="1" outlineLevel="2">
      <c r="B5007" s="2889" t="s">
        <v>1652</v>
      </c>
      <c r="C5007" s="2889" t="s">
        <v>1439</v>
      </c>
      <c r="D5007" s="2889" t="s">
        <v>1437</v>
      </c>
      <c r="E5007" s="2889" t="s">
        <v>1426</v>
      </c>
      <c r="F5007" s="3040"/>
      <c r="G5007" s="2890">
        <v>1.0825125124E-29</v>
      </c>
    </row>
    <row r="5008" spans="2:7" ht="15" hidden="1" outlineLevel="2">
      <c r="B5008" s="2889" t="s">
        <v>1653</v>
      </c>
      <c r="C5008" s="2889" t="s">
        <v>1439</v>
      </c>
      <c r="D5008" s="2889" t="s">
        <v>1437</v>
      </c>
      <c r="E5008" s="2889" t="s">
        <v>1426</v>
      </c>
      <c r="F5008" s="3040"/>
      <c r="G5008" s="2890">
        <v>2.4695875283605399E-28</v>
      </c>
    </row>
    <row r="5009" spans="2:7" ht="15" hidden="1" outlineLevel="2">
      <c r="B5009" s="2889" t="s">
        <v>1407</v>
      </c>
      <c r="C5009" s="2889" t="s">
        <v>1629</v>
      </c>
      <c r="D5009" s="2889" t="s">
        <v>1630</v>
      </c>
      <c r="E5009" s="2889" t="s">
        <v>1426</v>
      </c>
      <c r="F5009" s="3040"/>
      <c r="G5009" s="2890">
        <v>6.5972143187212042</v>
      </c>
    </row>
    <row r="5010" spans="2:7" ht="15" hidden="1" outlineLevel="2">
      <c r="B5010" s="2889" t="s">
        <v>1631</v>
      </c>
      <c r="C5010" s="2889" t="s">
        <v>1629</v>
      </c>
      <c r="D5010" s="2889" t="s">
        <v>1630</v>
      </c>
      <c r="E5010" s="2889" t="s">
        <v>1426</v>
      </c>
      <c r="F5010" s="3039">
        <v>1.5052875154613956E-33</v>
      </c>
      <c r="G5010" s="2890">
        <v>1.6409897687458338E-29</v>
      </c>
    </row>
    <row r="5011" spans="2:7" ht="15" hidden="1" outlineLevel="2">
      <c r="B5011" s="2889" t="s">
        <v>1632</v>
      </c>
      <c r="C5011" s="2889" t="s">
        <v>1629</v>
      </c>
      <c r="D5011" s="2889" t="s">
        <v>1630</v>
      </c>
      <c r="E5011" s="2889" t="s">
        <v>1426</v>
      </c>
      <c r="F5011" s="2891"/>
      <c r="G5011" s="2890">
        <v>1.1859124293233922E-30</v>
      </c>
    </row>
    <row r="5012" spans="2:7" ht="15" hidden="1" outlineLevel="2">
      <c r="B5012" s="2889" t="s">
        <v>1633</v>
      </c>
      <c r="C5012" s="2889" t="s">
        <v>1629</v>
      </c>
      <c r="D5012" s="2889" t="s">
        <v>1630</v>
      </c>
      <c r="E5012" s="2889" t="s">
        <v>1426</v>
      </c>
      <c r="F5012" s="2891"/>
      <c r="G5012" s="2890">
        <v>2.0277223627944984E-29</v>
      </c>
    </row>
    <row r="5013" spans="2:7" ht="15" hidden="1" outlineLevel="2">
      <c r="B5013" s="2889" t="s">
        <v>1634</v>
      </c>
      <c r="C5013" s="2889" t="s">
        <v>1629</v>
      </c>
      <c r="D5013" s="2889" t="s">
        <v>1630</v>
      </c>
      <c r="E5013" s="2889" t="s">
        <v>1426</v>
      </c>
      <c r="F5013" s="2891"/>
      <c r="G5013" s="2890">
        <v>8.295574892227551E-30</v>
      </c>
    </row>
    <row r="5014" spans="2:7" ht="15" hidden="1" outlineLevel="2">
      <c r="B5014" s="2889" t="s">
        <v>1635</v>
      </c>
      <c r="C5014" s="2889" t="s">
        <v>1629</v>
      </c>
      <c r="D5014" s="2889" t="s">
        <v>1630</v>
      </c>
      <c r="E5014" s="2889" t="s">
        <v>1426</v>
      </c>
      <c r="F5014" s="2891"/>
      <c r="G5014" s="2890">
        <v>1.3456627778411454E-31</v>
      </c>
    </row>
    <row r="5015" spans="2:7" ht="15" hidden="1" outlineLevel="2">
      <c r="B5015" s="2889" t="s">
        <v>1636</v>
      </c>
      <c r="C5015" s="2889" t="s">
        <v>1629</v>
      </c>
      <c r="D5015" s="2889" t="s">
        <v>1630</v>
      </c>
      <c r="E5015" s="2889" t="s">
        <v>1426</v>
      </c>
      <c r="F5015" s="2891"/>
      <c r="G5015" s="2890">
        <v>3.0023057417662033E-30</v>
      </c>
    </row>
    <row r="5016" spans="2:7" ht="15" hidden="1" outlineLevel="2">
      <c r="B5016" s="2889" t="s">
        <v>1637</v>
      </c>
      <c r="C5016" s="2889" t="s">
        <v>1629</v>
      </c>
      <c r="D5016" s="2889" t="s">
        <v>1630</v>
      </c>
      <c r="E5016" s="2889" t="s">
        <v>1426</v>
      </c>
      <c r="F5016" s="2891"/>
      <c r="G5016" s="2890">
        <v>2.6063399786129779E-29</v>
      </c>
    </row>
    <row r="5017" spans="2:7" ht="15" hidden="1" outlineLevel="2">
      <c r="B5017" s="2889" t="s">
        <v>1638</v>
      </c>
      <c r="C5017" s="2889" t="s">
        <v>1629</v>
      </c>
      <c r="D5017" s="2889" t="s">
        <v>1630</v>
      </c>
      <c r="E5017" s="2889" t="s">
        <v>1426</v>
      </c>
      <c r="F5017" s="3040"/>
      <c r="G5017" s="2890">
        <v>3.0680674812669762E-29</v>
      </c>
    </row>
    <row r="5018" spans="2:7" ht="15" hidden="1" outlineLevel="2">
      <c r="B5018" s="2889" t="s">
        <v>1639</v>
      </c>
      <c r="C5018" s="2889" t="s">
        <v>1629</v>
      </c>
      <c r="D5018" s="2889" t="s">
        <v>1630</v>
      </c>
      <c r="E5018" s="2889" t="s">
        <v>1426</v>
      </c>
      <c r="F5018" s="3040"/>
      <c r="G5018" s="2890">
        <v>1.3149400217429464E-31</v>
      </c>
    </row>
    <row r="5019" spans="2:7" ht="15" hidden="1" outlineLevel="2">
      <c r="B5019" s="2889" t="s">
        <v>1640</v>
      </c>
      <c r="C5019" s="2889" t="s">
        <v>1629</v>
      </c>
      <c r="D5019" s="2889" t="s">
        <v>1630</v>
      </c>
      <c r="E5019" s="2889" t="s">
        <v>1426</v>
      </c>
      <c r="F5019" s="3040"/>
      <c r="G5019" s="2890">
        <v>3129.9053258562585</v>
      </c>
    </row>
    <row r="5020" spans="2:7" ht="15" hidden="1" outlineLevel="2">
      <c r="B5020" s="2889" t="s">
        <v>1641</v>
      </c>
      <c r="C5020" s="2889" t="s">
        <v>1629</v>
      </c>
      <c r="D5020" s="2889" t="s">
        <v>1630</v>
      </c>
      <c r="E5020" s="2889" t="s">
        <v>1426</v>
      </c>
      <c r="F5020" s="3040"/>
      <c r="G5020" s="2890">
        <v>3.0023057417662033E-30</v>
      </c>
    </row>
    <row r="5021" spans="2:7" ht="15" hidden="1" outlineLevel="2">
      <c r="B5021" s="2889" t="s">
        <v>1642</v>
      </c>
      <c r="C5021" s="2889" t="s">
        <v>1629</v>
      </c>
      <c r="D5021" s="2889" t="s">
        <v>1630</v>
      </c>
      <c r="E5021" s="2889" t="s">
        <v>1426</v>
      </c>
      <c r="F5021" s="3040"/>
      <c r="G5021" s="2890">
        <v>1.8151226406706658E-29</v>
      </c>
    </row>
    <row r="5022" spans="2:7" ht="15" hidden="1" outlineLevel="2">
      <c r="B5022" s="2889" t="s">
        <v>1643</v>
      </c>
      <c r="C5022" s="2889" t="s">
        <v>1629</v>
      </c>
      <c r="D5022" s="2889" t="s">
        <v>1630</v>
      </c>
      <c r="E5022" s="2889" t="s">
        <v>1426</v>
      </c>
      <c r="F5022" s="3040"/>
      <c r="G5022" s="2890">
        <v>3.5411677514379905E-30</v>
      </c>
    </row>
    <row r="5023" spans="2:7" ht="15" hidden="1" outlineLevel="2">
      <c r="B5023" s="2889" t="s">
        <v>1644</v>
      </c>
      <c r="C5023" s="2889" t="s">
        <v>1629</v>
      </c>
      <c r="D5023" s="2889" t="s">
        <v>1630</v>
      </c>
      <c r="E5023" s="2889" t="s">
        <v>1426</v>
      </c>
      <c r="F5023" s="3040"/>
      <c r="G5023" s="2890">
        <v>1.6409817621205942E-29</v>
      </c>
    </row>
    <row r="5024" spans="2:7" ht="15" hidden="1" outlineLevel="2">
      <c r="B5024" s="2889" t="s">
        <v>1645</v>
      </c>
      <c r="C5024" s="2889" t="s">
        <v>1629</v>
      </c>
      <c r="D5024" s="2889" t="s">
        <v>1630</v>
      </c>
      <c r="E5024" s="2889" t="s">
        <v>1426</v>
      </c>
      <c r="F5024" s="3040"/>
      <c r="G5024" s="2890">
        <v>1.6411632203999995E-29</v>
      </c>
    </row>
    <row r="5025" spans="2:7" ht="15" hidden="1" outlineLevel="2">
      <c r="B5025" s="2889" t="s">
        <v>1646</v>
      </c>
      <c r="C5025" s="2889" t="s">
        <v>1629</v>
      </c>
      <c r="D5025" s="2889" t="s">
        <v>1630</v>
      </c>
      <c r="E5025" s="2889" t="s">
        <v>1426</v>
      </c>
      <c r="F5025" s="3040"/>
      <c r="G5025" s="2890">
        <v>1.0497217153884028E-29</v>
      </c>
    </row>
    <row r="5026" spans="2:7" ht="15" hidden="1" outlineLevel="2">
      <c r="B5026" s="2889" t="s">
        <v>1647</v>
      </c>
      <c r="C5026" s="2889" t="s">
        <v>1629</v>
      </c>
      <c r="D5026" s="2889" t="s">
        <v>1630</v>
      </c>
      <c r="E5026" s="2889" t="s">
        <v>1426</v>
      </c>
      <c r="F5026" s="3040"/>
      <c r="G5026" s="2890">
        <v>1.2556964165000301E-30</v>
      </c>
    </row>
    <row r="5027" spans="2:7" ht="15" hidden="1" outlineLevel="2">
      <c r="B5027" s="2889" t="s">
        <v>1648</v>
      </c>
      <c r="C5027" s="2889" t="s">
        <v>1629</v>
      </c>
      <c r="D5027" s="2889" t="s">
        <v>1630</v>
      </c>
      <c r="E5027" s="2889" t="s">
        <v>1426</v>
      </c>
      <c r="F5027" s="3040"/>
      <c r="G5027" s="2890">
        <v>2.0277223627944984E-29</v>
      </c>
    </row>
    <row r="5028" spans="2:7" ht="15" hidden="1" outlineLevel="2">
      <c r="B5028" s="2889" t="s">
        <v>1649</v>
      </c>
      <c r="C5028" s="2889" t="s">
        <v>1629</v>
      </c>
      <c r="D5028" s="2889" t="s">
        <v>1630</v>
      </c>
      <c r="E5028" s="2889" t="s">
        <v>1426</v>
      </c>
      <c r="F5028" s="3040"/>
      <c r="G5028" s="2890">
        <v>7.3562761348962141E-30</v>
      </c>
    </row>
    <row r="5029" spans="2:7" ht="15" hidden="1" outlineLevel="2">
      <c r="B5029" s="2889" t="s">
        <v>1650</v>
      </c>
      <c r="C5029" s="2889" t="s">
        <v>1629</v>
      </c>
      <c r="D5029" s="2889" t="s">
        <v>1630</v>
      </c>
      <c r="E5029" s="2889" t="s">
        <v>1426</v>
      </c>
      <c r="F5029" s="3040"/>
      <c r="G5029" s="2890">
        <v>1.8944843593013732E-29</v>
      </c>
    </row>
    <row r="5030" spans="2:7" ht="15" hidden="1" outlineLevel="2">
      <c r="B5030" s="2889" t="s">
        <v>1651</v>
      </c>
      <c r="C5030" s="2889" t="s">
        <v>1629</v>
      </c>
      <c r="D5030" s="2889" t="s">
        <v>1630</v>
      </c>
      <c r="E5030" s="2889" t="s">
        <v>1426</v>
      </c>
      <c r="F5030" s="3040"/>
      <c r="G5030" s="2890">
        <v>3.0018436612999997E-30</v>
      </c>
    </row>
    <row r="5031" spans="2:7" ht="15" hidden="1" outlineLevel="2">
      <c r="B5031" s="2889" t="s">
        <v>1652</v>
      </c>
      <c r="C5031" s="2889" t="s">
        <v>1629</v>
      </c>
      <c r="D5031" s="2889" t="s">
        <v>1630</v>
      </c>
      <c r="E5031" s="2889" t="s">
        <v>1426</v>
      </c>
      <c r="F5031" s="3040"/>
      <c r="G5031" s="2890">
        <v>3.3823720964000013E-29</v>
      </c>
    </row>
    <row r="5032" spans="2:7" ht="15" hidden="1" outlineLevel="2">
      <c r="B5032" s="2889" t="s">
        <v>1653</v>
      </c>
      <c r="C5032" s="2889" t="s">
        <v>1629</v>
      </c>
      <c r="D5032" s="2889" t="s">
        <v>1630</v>
      </c>
      <c r="E5032" s="2889" t="s">
        <v>1426</v>
      </c>
      <c r="F5032" s="3040"/>
      <c r="G5032" s="2890">
        <v>3.0023057417662033E-30</v>
      </c>
    </row>
    <row r="5033" spans="2:7" ht="15" hidden="1" outlineLevel="2">
      <c r="B5033" s="2889" t="s">
        <v>1407</v>
      </c>
      <c r="C5033" s="2889" t="s">
        <v>1606</v>
      </c>
      <c r="D5033" s="2889" t="s">
        <v>1604</v>
      </c>
      <c r="E5033" s="2889" t="s">
        <v>1426</v>
      </c>
      <c r="F5033" s="3040"/>
      <c r="G5033" s="2890">
        <v>7.9720101268876722E-32</v>
      </c>
    </row>
    <row r="5034" spans="2:7" ht="15" hidden="1" outlineLevel="2">
      <c r="B5034" s="2889" t="s">
        <v>1631</v>
      </c>
      <c r="C5034" s="2889" t="s">
        <v>1606</v>
      </c>
      <c r="D5034" s="2889" t="s">
        <v>1604</v>
      </c>
      <c r="E5034" s="2889" t="s">
        <v>1426</v>
      </c>
      <c r="F5034" s="2890">
        <v>2.3468378065165502E-36</v>
      </c>
      <c r="G5034" s="2890">
        <v>7.9720101268876722E-32</v>
      </c>
    </row>
    <row r="5035" spans="2:7" ht="15" hidden="1" outlineLevel="2">
      <c r="B5035" s="2889" t="s">
        <v>1632</v>
      </c>
      <c r="C5035" s="2889" t="s">
        <v>1606</v>
      </c>
      <c r="D5035" s="2889" t="s">
        <v>1604</v>
      </c>
      <c r="E5035" s="2889" t="s">
        <v>1426</v>
      </c>
      <c r="F5035" s="3040"/>
      <c r="G5035" s="2890">
        <v>72.367194478489935</v>
      </c>
    </row>
    <row r="5036" spans="2:7" ht="15" hidden="1" outlineLevel="2">
      <c r="B5036" s="2889" t="s">
        <v>1633</v>
      </c>
      <c r="C5036" s="2889" t="s">
        <v>1606</v>
      </c>
      <c r="D5036" s="2889" t="s">
        <v>1604</v>
      </c>
      <c r="E5036" s="2889" t="s">
        <v>1426</v>
      </c>
      <c r="F5036" s="3040"/>
      <c r="G5036" s="2890">
        <v>7.9720101268876722E-32</v>
      </c>
    </row>
    <row r="5037" spans="2:7" ht="15" hidden="1" outlineLevel="2">
      <c r="B5037" s="2889" t="s">
        <v>1634</v>
      </c>
      <c r="C5037" s="2889" t="s">
        <v>1606</v>
      </c>
      <c r="D5037" s="2889" t="s">
        <v>1604</v>
      </c>
      <c r="E5037" s="2889" t="s">
        <v>1426</v>
      </c>
      <c r="F5037" s="3040"/>
      <c r="G5037" s="2890">
        <v>7.9720101268876722E-32</v>
      </c>
    </row>
    <row r="5038" spans="2:7" ht="15" hidden="1" outlineLevel="2">
      <c r="B5038" s="2889" t="s">
        <v>1635</v>
      </c>
      <c r="C5038" s="2889" t="s">
        <v>1606</v>
      </c>
      <c r="D5038" s="2889" t="s">
        <v>1604</v>
      </c>
      <c r="E5038" s="2889" t="s">
        <v>1426</v>
      </c>
      <c r="F5038" s="3040"/>
      <c r="G5038" s="2890">
        <v>72.367194478489935</v>
      </c>
    </row>
    <row r="5039" spans="2:7" ht="15" hidden="1" outlineLevel="2">
      <c r="B5039" s="2889" t="s">
        <v>1636</v>
      </c>
      <c r="C5039" s="2889" t="s">
        <v>1606</v>
      </c>
      <c r="D5039" s="2889" t="s">
        <v>1604</v>
      </c>
      <c r="E5039" s="2889" t="s">
        <v>1426</v>
      </c>
      <c r="F5039" s="3040"/>
      <c r="G5039" s="2890">
        <v>7.9720101268876722E-32</v>
      </c>
    </row>
    <row r="5040" spans="2:7" ht="15" hidden="1" outlineLevel="2">
      <c r="B5040" s="2889" t="s">
        <v>1637</v>
      </c>
      <c r="C5040" s="2889" t="s">
        <v>1606</v>
      </c>
      <c r="D5040" s="2889" t="s">
        <v>1604</v>
      </c>
      <c r="E5040" s="2889" t="s">
        <v>1426</v>
      </c>
      <c r="F5040" s="3040"/>
      <c r="G5040" s="2890">
        <v>7.9720101268876722E-32</v>
      </c>
    </row>
    <row r="5041" spans="2:7" ht="15" hidden="1" outlineLevel="2">
      <c r="B5041" s="2889" t="s">
        <v>1638</v>
      </c>
      <c r="C5041" s="2889" t="s">
        <v>1606</v>
      </c>
      <c r="D5041" s="2889" t="s">
        <v>1604</v>
      </c>
      <c r="E5041" s="2889" t="s">
        <v>1426</v>
      </c>
      <c r="F5041" s="3040"/>
      <c r="G5041" s="2890">
        <v>7.9720101268876722E-32</v>
      </c>
    </row>
    <row r="5042" spans="2:7" ht="15" hidden="1" outlineLevel="2">
      <c r="B5042" s="2889" t="s">
        <v>1639</v>
      </c>
      <c r="C5042" s="2889" t="s">
        <v>1606</v>
      </c>
      <c r="D5042" s="2889" t="s">
        <v>1604</v>
      </c>
      <c r="E5042" s="2889" t="s">
        <v>1426</v>
      </c>
      <c r="F5042" s="3040"/>
      <c r="G5042" s="2890">
        <v>7.9720101268876722E-32</v>
      </c>
    </row>
    <row r="5043" spans="2:7" ht="15" hidden="1" outlineLevel="2">
      <c r="B5043" s="2889" t="s">
        <v>1640</v>
      </c>
      <c r="C5043" s="2889" t="s">
        <v>1606</v>
      </c>
      <c r="D5043" s="2889" t="s">
        <v>1604</v>
      </c>
      <c r="E5043" s="2889" t="s">
        <v>1426</v>
      </c>
      <c r="F5043" s="3040"/>
      <c r="G5043" s="2890">
        <v>7.9720101268876722E-32</v>
      </c>
    </row>
    <row r="5044" spans="2:7" ht="15" hidden="1" outlineLevel="2">
      <c r="B5044" s="2889" t="s">
        <v>1641</v>
      </c>
      <c r="C5044" s="2889" t="s">
        <v>1606</v>
      </c>
      <c r="D5044" s="2889" t="s">
        <v>1604</v>
      </c>
      <c r="E5044" s="2889" t="s">
        <v>1426</v>
      </c>
      <c r="F5044" s="3040"/>
      <c r="G5044" s="2890">
        <v>32.894184444489994</v>
      </c>
    </row>
    <row r="5045" spans="2:7" ht="15" hidden="1" outlineLevel="2">
      <c r="B5045" s="2889" t="s">
        <v>1642</v>
      </c>
      <c r="C5045" s="2889" t="s">
        <v>1606</v>
      </c>
      <c r="D5045" s="2889" t="s">
        <v>1604</v>
      </c>
      <c r="E5045" s="2889" t="s">
        <v>1426</v>
      </c>
      <c r="F5045" s="3040"/>
      <c r="G5045" s="2890">
        <v>26.315340949307451</v>
      </c>
    </row>
    <row r="5046" spans="2:7" ht="15" hidden="1" outlineLevel="2">
      <c r="B5046" s="2889" t="s">
        <v>1643</v>
      </c>
      <c r="C5046" s="2889" t="s">
        <v>1606</v>
      </c>
      <c r="D5046" s="2889" t="s">
        <v>1604</v>
      </c>
      <c r="E5046" s="2889" t="s">
        <v>1426</v>
      </c>
      <c r="F5046" s="3040"/>
      <c r="G5046" s="2890">
        <v>97.666706199576709</v>
      </c>
    </row>
    <row r="5047" spans="2:7" ht="15" hidden="1" outlineLevel="2">
      <c r="B5047" s="2889" t="s">
        <v>1644</v>
      </c>
      <c r="C5047" s="2889" t="s">
        <v>1606</v>
      </c>
      <c r="D5047" s="2889" t="s">
        <v>1604</v>
      </c>
      <c r="E5047" s="2889" t="s">
        <v>1426</v>
      </c>
      <c r="F5047" s="3040"/>
      <c r="G5047" s="2890">
        <v>7.9720101268876722E-32</v>
      </c>
    </row>
    <row r="5048" spans="2:7" ht="15" hidden="1" outlineLevel="2">
      <c r="B5048" s="2889" t="s">
        <v>1645</v>
      </c>
      <c r="C5048" s="2889" t="s">
        <v>1606</v>
      </c>
      <c r="D5048" s="2889" t="s">
        <v>1604</v>
      </c>
      <c r="E5048" s="2889" t="s">
        <v>1426</v>
      </c>
      <c r="F5048" s="3040"/>
      <c r="G5048" s="2890">
        <v>7.9710240719999993E-32</v>
      </c>
    </row>
    <row r="5049" spans="2:7" ht="15" hidden="1" outlineLevel="2">
      <c r="B5049" s="2889" t="s">
        <v>1646</v>
      </c>
      <c r="C5049" s="2889" t="s">
        <v>1606</v>
      </c>
      <c r="D5049" s="2889" t="s">
        <v>1604</v>
      </c>
      <c r="E5049" s="2889" t="s">
        <v>1426</v>
      </c>
      <c r="F5049" s="2891"/>
      <c r="G5049" s="2890">
        <v>7.9720101268876426E-32</v>
      </c>
    </row>
    <row r="5050" spans="2:7" ht="15" hidden="1" outlineLevel="2">
      <c r="B5050" s="2889" t="s">
        <v>1647</v>
      </c>
      <c r="C5050" s="2889" t="s">
        <v>1606</v>
      </c>
      <c r="D5050" s="2889" t="s">
        <v>1604</v>
      </c>
      <c r="E5050" s="2889" t="s">
        <v>1426</v>
      </c>
      <c r="F5050" s="2891"/>
      <c r="G5050" s="2890">
        <v>7.9720101268876722E-32</v>
      </c>
    </row>
    <row r="5051" spans="2:7" ht="15" hidden="1" outlineLevel="2">
      <c r="B5051" s="2889" t="s">
        <v>1648</v>
      </c>
      <c r="C5051" s="2889" t="s">
        <v>1606</v>
      </c>
      <c r="D5051" s="2889" t="s">
        <v>1604</v>
      </c>
      <c r="E5051" s="2889" t="s">
        <v>1426</v>
      </c>
      <c r="F5051" s="2891"/>
      <c r="G5051" s="2890">
        <v>7.9720101268876722E-32</v>
      </c>
    </row>
    <row r="5052" spans="2:7" ht="15" hidden="1" outlineLevel="2">
      <c r="B5052" s="2889" t="s">
        <v>1649</v>
      </c>
      <c r="C5052" s="2889" t="s">
        <v>1606</v>
      </c>
      <c r="D5052" s="2889" t="s">
        <v>1604</v>
      </c>
      <c r="E5052" s="2889" t="s">
        <v>1426</v>
      </c>
      <c r="F5052" s="2891"/>
      <c r="G5052" s="2890">
        <v>7.9720101268876722E-32</v>
      </c>
    </row>
    <row r="5053" spans="2:7" ht="15" hidden="1" outlineLevel="2">
      <c r="B5053" s="2889" t="s">
        <v>1650</v>
      </c>
      <c r="C5053" s="2889" t="s">
        <v>1606</v>
      </c>
      <c r="D5053" s="2889" t="s">
        <v>1604</v>
      </c>
      <c r="E5053" s="2889" t="s">
        <v>1426</v>
      </c>
      <c r="F5053" s="2891"/>
      <c r="G5053" s="2890">
        <v>26.315340949307451</v>
      </c>
    </row>
    <row r="5054" spans="2:7" ht="15" hidden="1" outlineLevel="2">
      <c r="B5054" s="2889" t="s">
        <v>1651</v>
      </c>
      <c r="C5054" s="2889" t="s">
        <v>1606</v>
      </c>
      <c r="D5054" s="2889" t="s">
        <v>1604</v>
      </c>
      <c r="E5054" s="2889" t="s">
        <v>1426</v>
      </c>
      <c r="F5054" s="2891"/>
      <c r="G5054" s="2890">
        <v>7.9710240719999993E-32</v>
      </c>
    </row>
    <row r="5055" spans="2:7" ht="15" hidden="1" outlineLevel="2">
      <c r="B5055" s="2889" t="s">
        <v>1652</v>
      </c>
      <c r="C5055" s="2889" t="s">
        <v>1606</v>
      </c>
      <c r="D5055" s="2889" t="s">
        <v>1604</v>
      </c>
      <c r="E5055" s="2889" t="s">
        <v>1426</v>
      </c>
      <c r="F5055" s="2891"/>
      <c r="G5055" s="2890">
        <v>7.9710240719999993E-32</v>
      </c>
    </row>
    <row r="5056" spans="2:7" ht="15" hidden="1" outlineLevel="2">
      <c r="B5056" s="2889" t="s">
        <v>1653</v>
      </c>
      <c r="C5056" s="2889" t="s">
        <v>1606</v>
      </c>
      <c r="D5056" s="2889" t="s">
        <v>1604</v>
      </c>
      <c r="E5056" s="2889" t="s">
        <v>1426</v>
      </c>
      <c r="F5056" s="3040"/>
      <c r="G5056" s="2890">
        <v>72.367194478489935</v>
      </c>
    </row>
    <row r="5057" spans="2:7" ht="15" hidden="1" outlineLevel="2">
      <c r="B5057" s="2889" t="s">
        <v>1407</v>
      </c>
      <c r="C5057" s="2889" t="s">
        <v>1614</v>
      </c>
      <c r="D5057" s="2889" t="s">
        <v>1615</v>
      </c>
      <c r="E5057" s="2889" t="s">
        <v>1426</v>
      </c>
      <c r="F5057" s="3040"/>
      <c r="G5057" s="2890">
        <v>125.76542773134474</v>
      </c>
    </row>
    <row r="5058" spans="2:7" ht="15" hidden="1" outlineLevel="2">
      <c r="B5058" s="2889" t="s">
        <v>1631</v>
      </c>
      <c r="C5058" s="2889" t="s">
        <v>1614</v>
      </c>
      <c r="D5058" s="2889" t="s">
        <v>1615</v>
      </c>
      <c r="E5058" s="2889" t="s">
        <v>1426</v>
      </c>
      <c r="F5058" s="2890">
        <v>6.6885691685737853E-3</v>
      </c>
      <c r="G5058" s="2890">
        <v>155.96218990722787</v>
      </c>
    </row>
    <row r="5059" spans="2:7" ht="15" hidden="1" outlineLevel="2">
      <c r="B5059" s="2889" t="s">
        <v>1632</v>
      </c>
      <c r="C5059" s="2889" t="s">
        <v>1614</v>
      </c>
      <c r="D5059" s="2889" t="s">
        <v>1615</v>
      </c>
      <c r="E5059" s="2889" t="s">
        <v>1426</v>
      </c>
      <c r="F5059" s="2891"/>
      <c r="G5059" s="2890">
        <v>301.15392868910487</v>
      </c>
    </row>
    <row r="5060" spans="2:7" ht="15" hidden="1" outlineLevel="2">
      <c r="B5060" s="2889" t="s">
        <v>1633</v>
      </c>
      <c r="C5060" s="2889" t="s">
        <v>1614</v>
      </c>
      <c r="D5060" s="2889" t="s">
        <v>1615</v>
      </c>
      <c r="E5060" s="2889" t="s">
        <v>1426</v>
      </c>
      <c r="F5060" s="3040"/>
      <c r="G5060" s="2890">
        <v>6.3939927866126531E-30</v>
      </c>
    </row>
    <row r="5061" spans="2:7" ht="15" hidden="1" outlineLevel="2">
      <c r="B5061" s="2889" t="s">
        <v>1634</v>
      </c>
      <c r="C5061" s="2889" t="s">
        <v>1614</v>
      </c>
      <c r="D5061" s="2889" t="s">
        <v>1615</v>
      </c>
      <c r="E5061" s="2889" t="s">
        <v>1426</v>
      </c>
      <c r="F5061" s="3040"/>
      <c r="G5061" s="2890">
        <v>6.7959081952121128E-30</v>
      </c>
    </row>
    <row r="5062" spans="2:7" ht="15" hidden="1" outlineLevel="2">
      <c r="B5062" s="2889" t="s">
        <v>1635</v>
      </c>
      <c r="C5062" s="2889" t="s">
        <v>1614</v>
      </c>
      <c r="D5062" s="2889" t="s">
        <v>1615</v>
      </c>
      <c r="E5062" s="2889" t="s">
        <v>1426</v>
      </c>
      <c r="F5062" s="2891"/>
      <c r="G5062" s="2890">
        <v>86.34797149467262</v>
      </c>
    </row>
    <row r="5063" spans="2:7" ht="15" hidden="1" outlineLevel="2">
      <c r="B5063" s="2889" t="s">
        <v>1636</v>
      </c>
      <c r="C5063" s="2889" t="s">
        <v>1614</v>
      </c>
      <c r="D5063" s="2889" t="s">
        <v>1615</v>
      </c>
      <c r="E5063" s="2889" t="s">
        <v>1426</v>
      </c>
      <c r="F5063" s="3040"/>
      <c r="G5063" s="2890">
        <v>156.34202811417143</v>
      </c>
    </row>
    <row r="5064" spans="2:7" ht="15" hidden="1" outlineLevel="2">
      <c r="B5064" s="2889" t="s">
        <v>1637</v>
      </c>
      <c r="C5064" s="2889" t="s">
        <v>1614</v>
      </c>
      <c r="D5064" s="2889" t="s">
        <v>1615</v>
      </c>
      <c r="E5064" s="2889" t="s">
        <v>1426</v>
      </c>
      <c r="F5064" s="3040"/>
      <c r="G5064" s="2890">
        <v>3.5733218701167044</v>
      </c>
    </row>
    <row r="5065" spans="2:7" ht="15" hidden="1" outlineLevel="2">
      <c r="B5065" s="2889" t="s">
        <v>1638</v>
      </c>
      <c r="C5065" s="2889" t="s">
        <v>1614</v>
      </c>
      <c r="D5065" s="2889" t="s">
        <v>1615</v>
      </c>
      <c r="E5065" s="2889" t="s">
        <v>1426</v>
      </c>
      <c r="F5065" s="3040"/>
      <c r="G5065" s="2890">
        <v>1.2436048323365563E-30</v>
      </c>
    </row>
    <row r="5066" spans="2:7" ht="15" hidden="1" outlineLevel="2">
      <c r="B5066" s="2889" t="s">
        <v>1639</v>
      </c>
      <c r="C5066" s="2889" t="s">
        <v>1614</v>
      </c>
      <c r="D5066" s="2889" t="s">
        <v>1615</v>
      </c>
      <c r="E5066" s="2889" t="s">
        <v>1426</v>
      </c>
      <c r="F5066" s="2891"/>
      <c r="G5066" s="2890">
        <v>363.24167628879417</v>
      </c>
    </row>
    <row r="5067" spans="2:7" ht="15" hidden="1" outlineLevel="2">
      <c r="B5067" s="2889" t="s">
        <v>1640</v>
      </c>
      <c r="C5067" s="2889" t="s">
        <v>1614</v>
      </c>
      <c r="D5067" s="2889" t="s">
        <v>1615</v>
      </c>
      <c r="E5067" s="2889" t="s">
        <v>1426</v>
      </c>
      <c r="F5067" s="2891"/>
      <c r="G5067" s="2890">
        <v>19.584352636609502</v>
      </c>
    </row>
    <row r="5068" spans="2:7" ht="15" hidden="1" outlineLevel="2">
      <c r="B5068" s="2889" t="s">
        <v>1641</v>
      </c>
      <c r="C5068" s="2889" t="s">
        <v>1614</v>
      </c>
      <c r="D5068" s="2889" t="s">
        <v>1615</v>
      </c>
      <c r="E5068" s="2889" t="s">
        <v>1426</v>
      </c>
      <c r="F5068" s="2891"/>
      <c r="G5068" s="2890">
        <v>157.62616095091926</v>
      </c>
    </row>
    <row r="5069" spans="2:7" ht="15" hidden="1" outlineLevel="2">
      <c r="B5069" s="2889" t="s">
        <v>1642</v>
      </c>
      <c r="C5069" s="2889" t="s">
        <v>1614</v>
      </c>
      <c r="D5069" s="2889" t="s">
        <v>1615</v>
      </c>
      <c r="E5069" s="2889" t="s">
        <v>1426</v>
      </c>
      <c r="F5069" s="3040"/>
      <c r="G5069" s="2890">
        <v>197.93776471432295</v>
      </c>
    </row>
    <row r="5070" spans="2:7" ht="15" hidden="1" outlineLevel="2">
      <c r="B5070" s="2889" t="s">
        <v>1643</v>
      </c>
      <c r="C5070" s="2889" t="s">
        <v>1614</v>
      </c>
      <c r="D5070" s="2889" t="s">
        <v>1615</v>
      </c>
      <c r="E5070" s="2889" t="s">
        <v>1426</v>
      </c>
      <c r="F5070" s="3040"/>
      <c r="G5070" s="2890">
        <v>8.0791428019865141E-30</v>
      </c>
    </row>
    <row r="5071" spans="2:7" ht="15" hidden="1" outlineLevel="2">
      <c r="B5071" s="2889" t="s">
        <v>1644</v>
      </c>
      <c r="C5071" s="2889" t="s">
        <v>1614</v>
      </c>
      <c r="D5071" s="2889" t="s">
        <v>1615</v>
      </c>
      <c r="E5071" s="2889" t="s">
        <v>1426</v>
      </c>
      <c r="F5071" s="3040"/>
      <c r="G5071" s="2890">
        <v>236.50807771485592</v>
      </c>
    </row>
    <row r="5072" spans="2:7" ht="15" hidden="1" outlineLevel="2">
      <c r="B5072" s="2889" t="s">
        <v>1645</v>
      </c>
      <c r="C5072" s="2889" t="s">
        <v>1614</v>
      </c>
      <c r="D5072" s="2889" t="s">
        <v>1615</v>
      </c>
      <c r="E5072" s="2889" t="s">
        <v>1426</v>
      </c>
      <c r="F5072" s="3040"/>
      <c r="G5072" s="2890">
        <v>154.76207798803901</v>
      </c>
    </row>
    <row r="5073" spans="2:7" ht="15" hidden="1" outlineLevel="2">
      <c r="B5073" s="2889" t="s">
        <v>1646</v>
      </c>
      <c r="C5073" s="2889" t="s">
        <v>1614</v>
      </c>
      <c r="D5073" s="2889" t="s">
        <v>1615</v>
      </c>
      <c r="E5073" s="2889" t="s">
        <v>1426</v>
      </c>
      <c r="F5073" s="3040"/>
      <c r="G5073" s="2890">
        <v>1.0428807545197997E-29</v>
      </c>
    </row>
    <row r="5074" spans="2:7" ht="15" hidden="1" outlineLevel="2">
      <c r="B5074" s="2889" t="s">
        <v>1647</v>
      </c>
      <c r="C5074" s="2889" t="s">
        <v>1614</v>
      </c>
      <c r="D5074" s="2889" t="s">
        <v>1615</v>
      </c>
      <c r="E5074" s="2889" t="s">
        <v>1426</v>
      </c>
      <c r="F5074" s="3040"/>
      <c r="G5074" s="2890">
        <v>3.173088276097573E-29</v>
      </c>
    </row>
    <row r="5075" spans="2:7" ht="15" hidden="1" outlineLevel="2">
      <c r="B5075" s="2889" t="s">
        <v>1648</v>
      </c>
      <c r="C5075" s="2889" t="s">
        <v>1614</v>
      </c>
      <c r="D5075" s="2889" t="s">
        <v>1615</v>
      </c>
      <c r="E5075" s="2889" t="s">
        <v>1426</v>
      </c>
      <c r="F5075" s="3040"/>
      <c r="G5075" s="2890">
        <v>1.8185952543475339</v>
      </c>
    </row>
    <row r="5076" spans="2:7" ht="15" hidden="1" outlineLevel="2">
      <c r="B5076" s="2889" t="s">
        <v>1649</v>
      </c>
      <c r="C5076" s="2889" t="s">
        <v>1614</v>
      </c>
      <c r="D5076" s="2889" t="s">
        <v>1615</v>
      </c>
      <c r="E5076" s="2889" t="s">
        <v>1426</v>
      </c>
      <c r="F5076" s="3040"/>
      <c r="G5076" s="2890">
        <v>1.3653770425009171E-30</v>
      </c>
    </row>
    <row r="5077" spans="2:7" ht="15" hidden="1" outlineLevel="2">
      <c r="B5077" s="2889" t="s">
        <v>1650</v>
      </c>
      <c r="C5077" s="2889" t="s">
        <v>1614</v>
      </c>
      <c r="D5077" s="2889" t="s">
        <v>1615</v>
      </c>
      <c r="E5077" s="2889" t="s">
        <v>1426</v>
      </c>
      <c r="F5077" s="3040"/>
      <c r="G5077" s="2890">
        <v>182.81411312857585</v>
      </c>
    </row>
    <row r="5078" spans="2:7" ht="15" hidden="1" outlineLevel="2">
      <c r="B5078" s="2889" t="s">
        <v>1651</v>
      </c>
      <c r="C5078" s="2889" t="s">
        <v>1614</v>
      </c>
      <c r="D5078" s="2889" t="s">
        <v>1615</v>
      </c>
      <c r="E5078" s="2889" t="s">
        <v>1426</v>
      </c>
      <c r="F5078" s="3040"/>
      <c r="G5078" s="2890">
        <v>3.9397285844655876</v>
      </c>
    </row>
    <row r="5079" spans="2:7" ht="15" hidden="1" outlineLevel="2">
      <c r="B5079" s="2889" t="s">
        <v>1652</v>
      </c>
      <c r="C5079" s="2889" t="s">
        <v>1614</v>
      </c>
      <c r="D5079" s="2889" t="s">
        <v>1615</v>
      </c>
      <c r="E5079" s="2889" t="s">
        <v>1426</v>
      </c>
      <c r="F5079" s="2891"/>
      <c r="G5079" s="2890">
        <v>1.8185952544074</v>
      </c>
    </row>
    <row r="5080" spans="2:7" ht="15" hidden="1" outlineLevel="2">
      <c r="B5080" s="2889" t="s">
        <v>1653</v>
      </c>
      <c r="C5080" s="2889" t="s">
        <v>1614</v>
      </c>
      <c r="D5080" s="2889" t="s">
        <v>1615</v>
      </c>
      <c r="E5080" s="2889" t="s">
        <v>1426</v>
      </c>
      <c r="F5080" s="2891"/>
      <c r="G5080" s="2890">
        <v>153.41750339997955</v>
      </c>
    </row>
    <row r="5081" spans="2:7" ht="15" outlineLevel="1" collapsed="1">
      <c r="B5081" s="2892"/>
      <c r="C5081" s="2892"/>
      <c r="D5081" s="2892"/>
      <c r="E5081" s="3044" t="s">
        <v>1684</v>
      </c>
      <c r="F5081" s="2891">
        <f>SUBTOTAL(9,F3617:F5080)</f>
        <v>6.6763646010321196</v>
      </c>
      <c r="G5081" s="3043">
        <f>SUBTOTAL(9,G3617:G5080)</f>
        <v>2109619.4317848776</v>
      </c>
    </row>
    <row r="5082" spans="2:7" ht="15">
      <c r="B5082" s="2892"/>
      <c r="C5082" s="2892"/>
      <c r="D5082" s="2892"/>
      <c r="E5082" s="3044" t="s">
        <v>1382</v>
      </c>
      <c r="F5082" s="2891">
        <f>SUBTOTAL(9,F17:F5080)</f>
        <v>1466.2725802679988</v>
      </c>
      <c r="G5082" s="3043">
        <f>SUBTOTAL(9,G17:G5080)</f>
        <v>3591419.5664793812</v>
      </c>
    </row>
    <row r="5087" spans="2:7" ht="15">
      <c r="B5087" s="3046" t="s">
        <v>1686</v>
      </c>
    </row>
    <row r="5088" spans="2:7" ht="18">
      <c r="B5088" s="2888" t="s">
        <v>1403</v>
      </c>
      <c r="C5088" s="2888" t="s">
        <v>1404</v>
      </c>
      <c r="D5088" s="2888" t="s">
        <v>1405</v>
      </c>
      <c r="E5088" s="2888" t="s">
        <v>1406</v>
      </c>
      <c r="F5088" s="2888" t="s">
        <v>1655</v>
      </c>
      <c r="G5088" s="2888" t="s">
        <v>1656</v>
      </c>
    </row>
    <row r="5089" spans="2:7" ht="15" hidden="1" outlineLevel="2">
      <c r="B5089" s="2889" t="s">
        <v>1407</v>
      </c>
      <c r="C5089" s="2889" t="s">
        <v>1408</v>
      </c>
      <c r="D5089" s="2889" t="s">
        <v>197</v>
      </c>
      <c r="E5089" s="2889" t="s">
        <v>217</v>
      </c>
      <c r="F5089" s="2890">
        <v>3.1361120053399928E-4</v>
      </c>
      <c r="G5089" s="2890">
        <v>0.19128313565227872</v>
      </c>
    </row>
    <row r="5090" spans="2:7" ht="15" hidden="1" outlineLevel="2">
      <c r="B5090" s="2889" t="s">
        <v>1631</v>
      </c>
      <c r="C5090" s="2889" t="s">
        <v>1408</v>
      </c>
      <c r="D5090" s="2889" t="s">
        <v>197</v>
      </c>
      <c r="E5090" s="2889" t="s">
        <v>217</v>
      </c>
      <c r="F5090" s="2890">
        <v>5.8380535195254161E-4</v>
      </c>
      <c r="G5090" s="2890">
        <v>0.35556396398702633</v>
      </c>
    </row>
    <row r="5091" spans="2:7" ht="15" hidden="1" outlineLevel="2">
      <c r="B5091" s="2889" t="s">
        <v>1632</v>
      </c>
      <c r="C5091" s="2889" t="s">
        <v>1408</v>
      </c>
      <c r="D5091" s="2889" t="s">
        <v>197</v>
      </c>
      <c r="E5091" s="2889" t="s">
        <v>217</v>
      </c>
      <c r="F5091" s="2890">
        <v>1.1927206808498806E-3</v>
      </c>
      <c r="G5091" s="2890">
        <v>0.72739728040289386</v>
      </c>
    </row>
    <row r="5092" spans="2:7" ht="15" hidden="1" outlineLevel="2">
      <c r="B5092" s="2889" t="s">
        <v>1633</v>
      </c>
      <c r="C5092" s="2889" t="s">
        <v>1408</v>
      </c>
      <c r="D5092" s="2889" t="s">
        <v>197</v>
      </c>
      <c r="E5092" s="2889" t="s">
        <v>217</v>
      </c>
      <c r="F5092" s="2890">
        <v>4.1970611334212274E-4</v>
      </c>
      <c r="G5092" s="2890">
        <v>0.25596369913852324</v>
      </c>
    </row>
    <row r="5093" spans="2:7" ht="15" hidden="1" outlineLevel="2">
      <c r="B5093" s="2889" t="s">
        <v>1634</v>
      </c>
      <c r="C5093" s="2889" t="s">
        <v>1408</v>
      </c>
      <c r="D5093" s="2889" t="s">
        <v>197</v>
      </c>
      <c r="E5093" s="2889" t="s">
        <v>217</v>
      </c>
      <c r="F5093" s="2890">
        <v>2.7316361427384486E-3</v>
      </c>
      <c r="G5093" s="2890">
        <v>1.6661259253040788</v>
      </c>
    </row>
    <row r="5094" spans="2:7" ht="15" hidden="1" outlineLevel="2">
      <c r="B5094" s="2889" t="s">
        <v>1635</v>
      </c>
      <c r="C5094" s="2889" t="s">
        <v>1408</v>
      </c>
      <c r="D5094" s="2889" t="s">
        <v>197</v>
      </c>
      <c r="E5094" s="2889" t="s">
        <v>217</v>
      </c>
      <c r="F5094" s="2890">
        <v>3.0918712131196239E-3</v>
      </c>
      <c r="G5094" s="2890">
        <v>1.8856203365723994</v>
      </c>
    </row>
    <row r="5095" spans="2:7" ht="15" hidden="1" outlineLevel="2">
      <c r="B5095" s="2889" t="s">
        <v>1636</v>
      </c>
      <c r="C5095" s="2889" t="s">
        <v>1408</v>
      </c>
      <c r="D5095" s="2889" t="s">
        <v>197</v>
      </c>
      <c r="E5095" s="2889" t="s">
        <v>217</v>
      </c>
      <c r="F5095" s="2890">
        <v>1.5034877391004414E-3</v>
      </c>
      <c r="G5095" s="2890">
        <v>0.91692252117684248</v>
      </c>
    </row>
    <row r="5096" spans="2:7" ht="15" hidden="1" outlineLevel="2">
      <c r="B5096" s="2889" t="s">
        <v>1637</v>
      </c>
      <c r="C5096" s="2889" t="s">
        <v>1408</v>
      </c>
      <c r="D5096" s="2889" t="s">
        <v>197</v>
      </c>
      <c r="E5096" s="2889" t="s">
        <v>217</v>
      </c>
      <c r="F5096" s="2890">
        <v>7.067403502474842E-4</v>
      </c>
      <c r="G5096" s="2890">
        <v>0.43101510898029383</v>
      </c>
    </row>
    <row r="5097" spans="2:7" ht="15" hidden="1" outlineLevel="2">
      <c r="B5097" s="2889" t="s">
        <v>1638</v>
      </c>
      <c r="C5097" s="2889" t="s">
        <v>1408</v>
      </c>
      <c r="D5097" s="2889" t="s">
        <v>197</v>
      </c>
      <c r="E5097" s="2889" t="s">
        <v>217</v>
      </c>
      <c r="F5097" s="2890">
        <v>2.4651146391015078E-3</v>
      </c>
      <c r="G5097" s="2890">
        <v>1.5035649757936125</v>
      </c>
    </row>
    <row r="5098" spans="2:7" ht="15" hidden="1" outlineLevel="2">
      <c r="B5098" s="2889" t="s">
        <v>1639</v>
      </c>
      <c r="C5098" s="2889" t="s">
        <v>1408</v>
      </c>
      <c r="D5098" s="2889" t="s">
        <v>197</v>
      </c>
      <c r="E5098" s="2889" t="s">
        <v>217</v>
      </c>
      <c r="F5098" s="2890">
        <v>3.7617713225847867E-3</v>
      </c>
      <c r="G5098" s="2890">
        <v>2.2941701573355466</v>
      </c>
    </row>
    <row r="5099" spans="2:7" ht="15" hidden="1" outlineLevel="2">
      <c r="B5099" s="2889" t="s">
        <v>1640</v>
      </c>
      <c r="C5099" s="2889" t="s">
        <v>1408</v>
      </c>
      <c r="D5099" s="2889" t="s">
        <v>197</v>
      </c>
      <c r="E5099" s="2889" t="s">
        <v>217</v>
      </c>
      <c r="F5099" s="2890">
        <v>1.1504759885282523E-3</v>
      </c>
      <c r="G5099" s="2890">
        <v>0.70171731050919905</v>
      </c>
    </row>
    <row r="5100" spans="2:7" ht="15" hidden="1" outlineLevel="2">
      <c r="B5100" s="2889" t="s">
        <v>1641</v>
      </c>
      <c r="C5100" s="2889" t="s">
        <v>1408</v>
      </c>
      <c r="D5100" s="2889" t="s">
        <v>197</v>
      </c>
      <c r="E5100" s="2889" t="s">
        <v>217</v>
      </c>
      <c r="F5100" s="2890">
        <v>1.4084296352669344E-3</v>
      </c>
      <c r="G5100" s="2890">
        <v>0.85895051878247175</v>
      </c>
    </row>
    <row r="5101" spans="2:7" ht="15" hidden="1" outlineLevel="2">
      <c r="B5101" s="2889" t="s">
        <v>1642</v>
      </c>
      <c r="C5101" s="2889" t="s">
        <v>1408</v>
      </c>
      <c r="D5101" s="2889" t="s">
        <v>197</v>
      </c>
      <c r="E5101" s="2889" t="s">
        <v>217</v>
      </c>
      <c r="F5101" s="2890">
        <v>6.3891657182191936E-4</v>
      </c>
      <c r="G5101" s="2890">
        <v>0.3896519280581171</v>
      </c>
    </row>
    <row r="5102" spans="2:7" ht="15" hidden="1" outlineLevel="2">
      <c r="B5102" s="2889" t="s">
        <v>1643</v>
      </c>
      <c r="C5102" s="2889" t="s">
        <v>1408</v>
      </c>
      <c r="D5102" s="2889" t="s">
        <v>197</v>
      </c>
      <c r="E5102" s="2889" t="s">
        <v>217</v>
      </c>
      <c r="F5102" s="2890">
        <v>3.1208091333729295E-3</v>
      </c>
      <c r="G5102" s="2890">
        <v>1.9033307783944065</v>
      </c>
    </row>
    <row r="5103" spans="2:7" ht="15" hidden="1" outlineLevel="2">
      <c r="B5103" s="2889" t="s">
        <v>1644</v>
      </c>
      <c r="C5103" s="2889" t="s">
        <v>1408</v>
      </c>
      <c r="D5103" s="2889" t="s">
        <v>197</v>
      </c>
      <c r="E5103" s="2889" t="s">
        <v>217</v>
      </c>
      <c r="F5103" s="2890">
        <v>1.3682747475967769E-3</v>
      </c>
      <c r="G5103" s="2890">
        <v>0.83446113407900402</v>
      </c>
    </row>
    <row r="5104" spans="2:7" ht="15" hidden="1" outlineLevel="2">
      <c r="B5104" s="2889" t="s">
        <v>1645</v>
      </c>
      <c r="C5104" s="2889" t="s">
        <v>1408</v>
      </c>
      <c r="D5104" s="2889" t="s">
        <v>197</v>
      </c>
      <c r="E5104" s="2889" t="s">
        <v>217</v>
      </c>
      <c r="F5104" s="3039">
        <v>5.3496567486231955E-4</v>
      </c>
      <c r="G5104" s="2890">
        <v>0.32625641658943949</v>
      </c>
    </row>
    <row r="5105" spans="2:7" ht="15" hidden="1" outlineLevel="2">
      <c r="B5105" s="2889" t="s">
        <v>1646</v>
      </c>
      <c r="C5105" s="2889" t="s">
        <v>1408</v>
      </c>
      <c r="D5105" s="2889" t="s">
        <v>197</v>
      </c>
      <c r="E5105" s="2889" t="s">
        <v>217</v>
      </c>
      <c r="F5105" s="3039">
        <v>3.8563973149799051E-3</v>
      </c>
      <c r="G5105" s="2890">
        <v>2.3518767540235155</v>
      </c>
    </row>
    <row r="5106" spans="2:7" ht="15" hidden="1" outlineLevel="2">
      <c r="B5106" s="2889" t="s">
        <v>1647</v>
      </c>
      <c r="C5106" s="2889" t="s">
        <v>1408</v>
      </c>
      <c r="D5106" s="2889" t="s">
        <v>197</v>
      </c>
      <c r="E5106" s="2889" t="s">
        <v>217</v>
      </c>
      <c r="F5106" s="3039">
        <v>1.0574738608080301E-3</v>
      </c>
      <c r="G5106" s="2890">
        <v>0.64499215720162451</v>
      </c>
    </row>
    <row r="5107" spans="2:7" ht="15" hidden="1" outlineLevel="2">
      <c r="B5107" s="2889" t="s">
        <v>1648</v>
      </c>
      <c r="C5107" s="2889" t="s">
        <v>1408</v>
      </c>
      <c r="D5107" s="2889" t="s">
        <v>197</v>
      </c>
      <c r="E5107" s="2889" t="s">
        <v>217</v>
      </c>
      <c r="F5107" s="3039">
        <v>1.0778588515426605E-3</v>
      </c>
      <c r="G5107" s="2890">
        <v>0.65742582300586283</v>
      </c>
    </row>
    <row r="5108" spans="2:7" ht="15" hidden="1" outlineLevel="2">
      <c r="B5108" s="2889" t="s">
        <v>1649</v>
      </c>
      <c r="C5108" s="2889" t="s">
        <v>1408</v>
      </c>
      <c r="D5108" s="2889" t="s">
        <v>197</v>
      </c>
      <c r="E5108" s="2889" t="s">
        <v>217</v>
      </c>
      <c r="F5108" s="3039">
        <v>2.485190605547622E-3</v>
      </c>
      <c r="G5108" s="2890">
        <v>1.5158083494134906</v>
      </c>
    </row>
    <row r="5109" spans="2:7" ht="15" hidden="1" outlineLevel="2">
      <c r="B5109" s="2889" t="s">
        <v>1650</v>
      </c>
      <c r="C5109" s="2889" t="s">
        <v>1408</v>
      </c>
      <c r="D5109" s="2889" t="s">
        <v>197</v>
      </c>
      <c r="E5109" s="2889" t="s">
        <v>217</v>
      </c>
      <c r="F5109" s="3039">
        <v>2.2711484372410482E-3</v>
      </c>
      <c r="G5109" s="2890">
        <v>1.3852581011973732</v>
      </c>
    </row>
    <row r="5110" spans="2:7" ht="15" hidden="1" outlineLevel="2">
      <c r="B5110" s="2889" t="s">
        <v>1651</v>
      </c>
      <c r="C5110" s="2889" t="s">
        <v>1408</v>
      </c>
      <c r="D5110" s="2889" t="s">
        <v>197</v>
      </c>
      <c r="E5110" s="2889" t="s">
        <v>217</v>
      </c>
      <c r="F5110" s="3039">
        <v>1.7445183806224771E-3</v>
      </c>
      <c r="G5110" s="2890">
        <v>1.0640458289903718</v>
      </c>
    </row>
    <row r="5111" spans="2:7" ht="15" hidden="1" outlineLevel="2">
      <c r="B5111" s="2889" t="s">
        <v>1652</v>
      </c>
      <c r="C5111" s="2889" t="s">
        <v>1408</v>
      </c>
      <c r="D5111" s="2889" t="s">
        <v>197</v>
      </c>
      <c r="E5111" s="2889" t="s">
        <v>217</v>
      </c>
      <c r="F5111" s="3039">
        <v>2.6521723520431147E-3</v>
      </c>
      <c r="G5111" s="2890">
        <v>1.6176572506777971</v>
      </c>
    </row>
    <row r="5112" spans="2:7" ht="15" hidden="1" outlineLevel="2">
      <c r="B5112" s="2889" t="s">
        <v>1653</v>
      </c>
      <c r="C5112" s="2889" t="s">
        <v>1408</v>
      </c>
      <c r="D5112" s="2889" t="s">
        <v>197</v>
      </c>
      <c r="E5112" s="2889" t="s">
        <v>217</v>
      </c>
      <c r="F5112" s="3039">
        <v>6.7325372663441813E-35</v>
      </c>
      <c r="G5112" s="2890">
        <v>3.4215421049509254E-32</v>
      </c>
    </row>
    <row r="5113" spans="2:7" ht="15" hidden="1" outlineLevel="2">
      <c r="B5113" s="2889" t="s">
        <v>1407</v>
      </c>
      <c r="C5113" s="2889" t="s">
        <v>1409</v>
      </c>
      <c r="D5113" s="2889" t="s">
        <v>197</v>
      </c>
      <c r="E5113" s="2889" t="s">
        <v>217</v>
      </c>
      <c r="F5113" s="3039">
        <v>3.307231916091914E-4</v>
      </c>
      <c r="G5113" s="2890">
        <v>0.46402565820661557</v>
      </c>
    </row>
    <row r="5114" spans="2:7" ht="15" hidden="1" outlineLevel="2">
      <c r="B5114" s="2889" t="s">
        <v>1631</v>
      </c>
      <c r="C5114" s="2889" t="s">
        <v>1409</v>
      </c>
      <c r="D5114" s="2889" t="s">
        <v>197</v>
      </c>
      <c r="E5114" s="2889" t="s">
        <v>217</v>
      </c>
      <c r="F5114" s="2890">
        <v>6.21342149410344E-4</v>
      </c>
      <c r="G5114" s="2890">
        <v>0.86254777236149827</v>
      </c>
    </row>
    <row r="5115" spans="2:7" ht="15" hidden="1" outlineLevel="2">
      <c r="B5115" s="2889" t="s">
        <v>1632</v>
      </c>
      <c r="C5115" s="2889" t="s">
        <v>1409</v>
      </c>
      <c r="D5115" s="2889" t="s">
        <v>197</v>
      </c>
      <c r="E5115" s="2889" t="s">
        <v>217</v>
      </c>
      <c r="F5115" s="2890">
        <v>1.2559628782545362E-3</v>
      </c>
      <c r="G5115" s="2890">
        <v>1.7645618417897038</v>
      </c>
    </row>
    <row r="5116" spans="2:7" ht="15" hidden="1" outlineLevel="2">
      <c r="B5116" s="2889" t="s">
        <v>1633</v>
      </c>
      <c r="C5116" s="2889" t="s">
        <v>1409</v>
      </c>
      <c r="D5116" s="2889" t="s">
        <v>197</v>
      </c>
      <c r="E5116" s="2889" t="s">
        <v>217</v>
      </c>
      <c r="F5116" s="3039">
        <v>4.4061387803540417E-4</v>
      </c>
      <c r="G5116" s="2890">
        <v>0.62093132087088487</v>
      </c>
    </row>
    <row r="5117" spans="2:7" ht="15" hidden="1" outlineLevel="2">
      <c r="B5117" s="2889" t="s">
        <v>1634</v>
      </c>
      <c r="C5117" s="2889" t="s">
        <v>1409</v>
      </c>
      <c r="D5117" s="2889" t="s">
        <v>197</v>
      </c>
      <c r="E5117" s="2889" t="s">
        <v>217</v>
      </c>
      <c r="F5117" s="2890">
        <v>2.8612811836397738E-3</v>
      </c>
      <c r="G5117" s="2890">
        <v>4.0417838497035676</v>
      </c>
    </row>
    <row r="5118" spans="2:7" ht="15" hidden="1" outlineLevel="2">
      <c r="B5118" s="2889" t="s">
        <v>1635</v>
      </c>
      <c r="C5118" s="2889" t="s">
        <v>1409</v>
      </c>
      <c r="D5118" s="2889" t="s">
        <v>197</v>
      </c>
      <c r="E5118" s="2889" t="s">
        <v>217</v>
      </c>
      <c r="F5118" s="2890">
        <v>3.2558132127021113E-3</v>
      </c>
      <c r="G5118" s="2890">
        <v>4.5742440157680857</v>
      </c>
    </row>
    <row r="5119" spans="2:7" ht="15" hidden="1" outlineLevel="2">
      <c r="B5119" s="2889" t="s">
        <v>1636</v>
      </c>
      <c r="C5119" s="2889" t="s">
        <v>1409</v>
      </c>
      <c r="D5119" s="2889" t="s">
        <v>197</v>
      </c>
      <c r="E5119" s="2889" t="s">
        <v>217</v>
      </c>
      <c r="F5119" s="2890">
        <v>1.5830305359563134E-3</v>
      </c>
      <c r="G5119" s="2890">
        <v>2.2243248515943104</v>
      </c>
    </row>
    <row r="5120" spans="2:7" ht="15" hidden="1" outlineLevel="2">
      <c r="B5120" s="2889" t="s">
        <v>1637</v>
      </c>
      <c r="C5120" s="2889" t="s">
        <v>1409</v>
      </c>
      <c r="D5120" s="2889" t="s">
        <v>197</v>
      </c>
      <c r="E5120" s="2889" t="s">
        <v>217</v>
      </c>
      <c r="F5120" s="2890">
        <v>7.419459042913273E-4</v>
      </c>
      <c r="G5120" s="2890">
        <v>1.045581517904945</v>
      </c>
    </row>
    <row r="5121" spans="2:7" ht="15" hidden="1" outlineLevel="2">
      <c r="B5121" s="2889" t="s">
        <v>1638</v>
      </c>
      <c r="C5121" s="2889" t="s">
        <v>1409</v>
      </c>
      <c r="D5121" s="2889" t="s">
        <v>197</v>
      </c>
      <c r="E5121" s="2889" t="s">
        <v>217</v>
      </c>
      <c r="F5121" s="2890">
        <v>2.5821108789347768E-3</v>
      </c>
      <c r="G5121" s="2890">
        <v>3.6474341623808386</v>
      </c>
    </row>
    <row r="5122" spans="2:7" ht="15" hidden="1" outlineLevel="2">
      <c r="B5122" s="2889" t="s">
        <v>1639</v>
      </c>
      <c r="C5122" s="2889" t="s">
        <v>1409</v>
      </c>
      <c r="D5122" s="2889" t="s">
        <v>197</v>
      </c>
      <c r="E5122" s="2889" t="s">
        <v>217</v>
      </c>
      <c r="F5122" s="2890">
        <v>3.9491636078358879E-3</v>
      </c>
      <c r="G5122" s="2890">
        <v>5.5653279925763899</v>
      </c>
    </row>
    <row r="5123" spans="2:7" ht="15" hidden="1" outlineLevel="2">
      <c r="B5123" s="2889" t="s">
        <v>1640</v>
      </c>
      <c r="C5123" s="2889" t="s">
        <v>1409</v>
      </c>
      <c r="D5123" s="2889" t="s">
        <v>197</v>
      </c>
      <c r="E5123" s="2889" t="s">
        <v>217</v>
      </c>
      <c r="F5123" s="2890">
        <v>1.213250737124487E-3</v>
      </c>
      <c r="G5123" s="2890">
        <v>1.7022669932022918</v>
      </c>
    </row>
    <row r="5124" spans="2:7" ht="15" hidden="1" outlineLevel="2">
      <c r="B5124" s="2889" t="s">
        <v>1641</v>
      </c>
      <c r="C5124" s="2889" t="s">
        <v>1409</v>
      </c>
      <c r="D5124" s="2889" t="s">
        <v>197</v>
      </c>
      <c r="E5124" s="2889" t="s">
        <v>217</v>
      </c>
      <c r="F5124" s="2890">
        <v>1.4831093445569496E-3</v>
      </c>
      <c r="G5124" s="2890">
        <v>2.0836912360586655</v>
      </c>
    </row>
    <row r="5125" spans="2:7" ht="15" hidden="1" outlineLevel="2">
      <c r="B5125" s="2889" t="s">
        <v>1642</v>
      </c>
      <c r="C5125" s="2889" t="s">
        <v>1409</v>
      </c>
      <c r="D5125" s="2889" t="s">
        <v>197</v>
      </c>
      <c r="E5125" s="2889" t="s">
        <v>217</v>
      </c>
      <c r="F5125" s="2890">
        <v>6.7279425870099042E-4</v>
      </c>
      <c r="G5125" s="2890">
        <v>0.94524102416381095</v>
      </c>
    </row>
    <row r="5126" spans="2:7" ht="15" hidden="1" outlineLevel="2">
      <c r="B5126" s="2889" t="s">
        <v>1643</v>
      </c>
      <c r="C5126" s="2889" t="s">
        <v>1409</v>
      </c>
      <c r="D5126" s="2889" t="s">
        <v>197</v>
      </c>
      <c r="E5126" s="2889" t="s">
        <v>217</v>
      </c>
      <c r="F5126" s="2890">
        <v>3.2916884525917029E-3</v>
      </c>
      <c r="G5126" s="2890">
        <v>4.6172080796564359</v>
      </c>
    </row>
    <row r="5127" spans="2:7" ht="15" hidden="1" outlineLevel="2">
      <c r="B5127" s="2889" t="s">
        <v>1644</v>
      </c>
      <c r="C5127" s="2889" t="s">
        <v>1409</v>
      </c>
      <c r="D5127" s="2889" t="s">
        <v>197</v>
      </c>
      <c r="E5127" s="2889" t="s">
        <v>217</v>
      </c>
      <c r="F5127" s="2890">
        <v>1.4364349756927194E-3</v>
      </c>
      <c r="G5127" s="2890">
        <v>2.0242843753182562</v>
      </c>
    </row>
    <row r="5128" spans="2:7" ht="15" hidden="1" outlineLevel="2">
      <c r="B5128" s="2889" t="s">
        <v>1645</v>
      </c>
      <c r="C5128" s="2889" t="s">
        <v>1409</v>
      </c>
      <c r="D5128" s="2889" t="s">
        <v>197</v>
      </c>
      <c r="E5128" s="2889" t="s">
        <v>217</v>
      </c>
      <c r="F5128" s="2890">
        <v>5.6161512201095311E-4</v>
      </c>
      <c r="G5128" s="2890">
        <v>0.79145158689685846</v>
      </c>
    </row>
    <row r="5129" spans="2:7" ht="15" hidden="1" outlineLevel="2">
      <c r="B5129" s="2889" t="s">
        <v>1646</v>
      </c>
      <c r="C5129" s="2889" t="s">
        <v>1409</v>
      </c>
      <c r="D5129" s="2889" t="s">
        <v>197</v>
      </c>
      <c r="E5129" s="2889" t="s">
        <v>217</v>
      </c>
      <c r="F5129" s="2890">
        <v>4.0608758011232045E-3</v>
      </c>
      <c r="G5129" s="2890">
        <v>5.7053192347224719</v>
      </c>
    </row>
    <row r="5130" spans="2:7" ht="15" hidden="1" outlineLevel="2">
      <c r="B5130" s="2889" t="s">
        <v>1647</v>
      </c>
      <c r="C5130" s="2889" t="s">
        <v>1409</v>
      </c>
      <c r="D5130" s="2889" t="s">
        <v>197</v>
      </c>
      <c r="E5130" s="2889" t="s">
        <v>217</v>
      </c>
      <c r="F5130" s="2890">
        <v>1.1076615543168151E-3</v>
      </c>
      <c r="G5130" s="2890">
        <v>1.5646595563857857</v>
      </c>
    </row>
    <row r="5131" spans="2:7" ht="15" hidden="1" outlineLevel="2">
      <c r="B5131" s="2889" t="s">
        <v>1648</v>
      </c>
      <c r="C5131" s="2889" t="s">
        <v>1409</v>
      </c>
      <c r="D5131" s="2889" t="s">
        <v>197</v>
      </c>
      <c r="E5131" s="2889" t="s">
        <v>217</v>
      </c>
      <c r="F5131" s="2890">
        <v>1.1290134810229228E-3</v>
      </c>
      <c r="G5131" s="2890">
        <v>1.7793647067525642</v>
      </c>
    </row>
    <row r="5132" spans="2:7" ht="15" hidden="1" outlineLevel="2">
      <c r="B5132" s="2889" t="s">
        <v>1649</v>
      </c>
      <c r="C5132" s="2889" t="s">
        <v>1409</v>
      </c>
      <c r="D5132" s="2889" t="s">
        <v>197</v>
      </c>
      <c r="E5132" s="2889" t="s">
        <v>217</v>
      </c>
      <c r="F5132" s="2890">
        <v>2.6031381909864008E-3</v>
      </c>
      <c r="G5132" s="2890">
        <v>3.6771369343396452</v>
      </c>
    </row>
    <row r="5133" spans="2:7" ht="15" hidden="1" outlineLevel="2">
      <c r="B5133" s="2889" t="s">
        <v>1650</v>
      </c>
      <c r="C5133" s="2889" t="s">
        <v>1409</v>
      </c>
      <c r="D5133" s="2889" t="s">
        <v>197</v>
      </c>
      <c r="E5133" s="2889" t="s">
        <v>217</v>
      </c>
      <c r="F5133" s="2890">
        <v>2.395071938047819E-3</v>
      </c>
      <c r="G5133" s="2890">
        <v>3.3604376077039673</v>
      </c>
    </row>
    <row r="5134" spans="2:7" ht="15" hidden="1" outlineLevel="2">
      <c r="B5134" s="2889" t="s">
        <v>1651</v>
      </c>
      <c r="C5134" s="2889" t="s">
        <v>1409</v>
      </c>
      <c r="D5134" s="2889" t="s">
        <v>197</v>
      </c>
      <c r="E5134" s="2889" t="s">
        <v>217</v>
      </c>
      <c r="F5134" s="2890">
        <v>1.8273140724471722E-3</v>
      </c>
      <c r="G5134" s="2890">
        <v>2.5812258728068342</v>
      </c>
    </row>
    <row r="5135" spans="2:7" ht="15" hidden="1" outlineLevel="2">
      <c r="B5135" s="2889" t="s">
        <v>1652</v>
      </c>
      <c r="C5135" s="2889" t="s">
        <v>1409</v>
      </c>
      <c r="D5135" s="2889" t="s">
        <v>197</v>
      </c>
      <c r="E5135" s="2889" t="s">
        <v>217</v>
      </c>
      <c r="F5135" s="2890">
        <v>2.7780460947831372E-3</v>
      </c>
      <c r="G5135" s="2890">
        <v>3.924208145406566</v>
      </c>
    </row>
    <row r="5136" spans="2:7" ht="15" hidden="1" outlineLevel="2">
      <c r="B5136" s="2889" t="s">
        <v>1653</v>
      </c>
      <c r="C5136" s="2889" t="s">
        <v>1409</v>
      </c>
      <c r="D5136" s="2889" t="s">
        <v>197</v>
      </c>
      <c r="E5136" s="2889" t="s">
        <v>217</v>
      </c>
      <c r="F5136" s="2890">
        <v>3.2053891469483028E-35</v>
      </c>
      <c r="G5136" s="2890">
        <v>4.5034053800298448E-32</v>
      </c>
    </row>
    <row r="5137" spans="2:7" ht="15" hidden="1" outlineLevel="2">
      <c r="B5137" s="2889" t="s">
        <v>1407</v>
      </c>
      <c r="C5137" s="2889" t="s">
        <v>1410</v>
      </c>
      <c r="D5137" s="2889" t="s">
        <v>197</v>
      </c>
      <c r="E5137" s="2889" t="s">
        <v>217</v>
      </c>
      <c r="F5137" s="3039">
        <v>5.2828861422462463E-4</v>
      </c>
      <c r="G5137" s="2890">
        <v>1.8054964728112008</v>
      </c>
    </row>
    <row r="5138" spans="2:7" ht="15" hidden="1" outlineLevel="2">
      <c r="B5138" s="2889" t="s">
        <v>1631</v>
      </c>
      <c r="C5138" s="2889" t="s">
        <v>1410</v>
      </c>
      <c r="D5138" s="2889" t="s">
        <v>197</v>
      </c>
      <c r="E5138" s="2889" t="s">
        <v>217</v>
      </c>
      <c r="F5138" s="3039">
        <v>9.91776051435735E-4</v>
      </c>
      <c r="G5138" s="2890">
        <v>3.3561245917512377</v>
      </c>
    </row>
    <row r="5139" spans="2:7" ht="15" hidden="1" outlineLevel="2">
      <c r="B5139" s="2889" t="s">
        <v>1632</v>
      </c>
      <c r="C5139" s="2889" t="s">
        <v>1410</v>
      </c>
      <c r="D5139" s="2889" t="s">
        <v>197</v>
      </c>
      <c r="E5139" s="2889" t="s">
        <v>217</v>
      </c>
      <c r="F5139" s="3039">
        <v>2.0064326319665167E-3</v>
      </c>
      <c r="G5139" s="2890">
        <v>6.8658097540113587</v>
      </c>
    </row>
    <row r="5140" spans="2:7" ht="15" hidden="1" outlineLevel="2">
      <c r="B5140" s="2889" t="s">
        <v>1633</v>
      </c>
      <c r="C5140" s="2889" t="s">
        <v>1410</v>
      </c>
      <c r="D5140" s="2889" t="s">
        <v>197</v>
      </c>
      <c r="E5140" s="2889" t="s">
        <v>217</v>
      </c>
      <c r="F5140" s="3039">
        <v>7.0404290585165887E-4</v>
      </c>
      <c r="G5140" s="2890">
        <v>2.4160095702774931</v>
      </c>
    </row>
    <row r="5141" spans="2:7" ht="15" hidden="1" outlineLevel="2">
      <c r="B5141" s="2889" t="s">
        <v>1634</v>
      </c>
      <c r="C5141" s="2889" t="s">
        <v>1410</v>
      </c>
      <c r="D5141" s="2889" t="s">
        <v>197</v>
      </c>
      <c r="E5141" s="2889" t="s">
        <v>217</v>
      </c>
      <c r="F5141" s="3039">
        <v>4.5727184562497645E-3</v>
      </c>
      <c r="G5141" s="2890">
        <v>15.726351441532586</v>
      </c>
    </row>
    <row r="5142" spans="2:7" ht="15" hidden="1" outlineLevel="2">
      <c r="B5142" s="2889" t="s">
        <v>1635</v>
      </c>
      <c r="C5142" s="2889" t="s">
        <v>1410</v>
      </c>
      <c r="D5142" s="2889" t="s">
        <v>197</v>
      </c>
      <c r="E5142" s="2889" t="s">
        <v>217</v>
      </c>
      <c r="F5142" s="3039">
        <v>5.2721986214487194E-3</v>
      </c>
      <c r="G5142" s="2890">
        <v>18.040516502077104</v>
      </c>
    </row>
    <row r="5143" spans="2:7" ht="15" hidden="1" outlineLevel="2">
      <c r="B5143" s="2889" t="s">
        <v>1636</v>
      </c>
      <c r="C5143" s="2889" t="s">
        <v>1410</v>
      </c>
      <c r="D5143" s="2889" t="s">
        <v>197</v>
      </c>
      <c r="E5143" s="2889" t="s">
        <v>217</v>
      </c>
      <c r="F5143" s="2890">
        <v>2.5289518742556724E-3</v>
      </c>
      <c r="G5143" s="2890">
        <v>8.6547230257102932</v>
      </c>
    </row>
    <row r="5144" spans="2:7" ht="15" hidden="1" outlineLevel="2">
      <c r="B5144" s="2889" t="s">
        <v>1637</v>
      </c>
      <c r="C5144" s="2889" t="s">
        <v>1410</v>
      </c>
      <c r="D5144" s="2889" t="s">
        <v>197</v>
      </c>
      <c r="E5144" s="2889" t="s">
        <v>217</v>
      </c>
      <c r="F5144" s="2890">
        <v>1.1855330136133651E-3</v>
      </c>
      <c r="G5144" s="2890">
        <v>4.0683002402015331</v>
      </c>
    </row>
    <row r="5145" spans="2:7" ht="15" hidden="1" outlineLevel="2">
      <c r="B5145" s="2889" t="s">
        <v>1638</v>
      </c>
      <c r="C5145" s="2889" t="s">
        <v>1410</v>
      </c>
      <c r="D5145" s="2889" t="s">
        <v>197</v>
      </c>
      <c r="E5145" s="2889" t="s">
        <v>217</v>
      </c>
      <c r="F5145" s="2890">
        <v>4.1265657616612137E-3</v>
      </c>
      <c r="G5145" s="2890">
        <v>14.191960329025109</v>
      </c>
    </row>
    <row r="5146" spans="2:7" ht="15" hidden="1" outlineLevel="2">
      <c r="B5146" s="2889" t="s">
        <v>1639</v>
      </c>
      <c r="C5146" s="2889" t="s">
        <v>1410</v>
      </c>
      <c r="D5146" s="2889" t="s">
        <v>197</v>
      </c>
      <c r="E5146" s="2889" t="s">
        <v>217</v>
      </c>
      <c r="F5146" s="2890">
        <v>6.3102457595637538E-3</v>
      </c>
      <c r="G5146" s="2890">
        <v>21.654365801222575</v>
      </c>
    </row>
    <row r="5147" spans="2:7" ht="15" hidden="1" outlineLevel="2">
      <c r="B5147" s="2889" t="s">
        <v>1640</v>
      </c>
      <c r="C5147" s="2889" t="s">
        <v>1410</v>
      </c>
      <c r="D5147" s="2889" t="s">
        <v>197</v>
      </c>
      <c r="E5147" s="2889" t="s">
        <v>217</v>
      </c>
      <c r="F5147" s="2890">
        <v>1.9380152422837592E-3</v>
      </c>
      <c r="G5147" s="2890">
        <v>6.6234241203993509</v>
      </c>
    </row>
    <row r="5148" spans="2:7" ht="15" hidden="1" outlineLevel="2">
      <c r="B5148" s="2889" t="s">
        <v>1641</v>
      </c>
      <c r="C5148" s="2889" t="s">
        <v>1410</v>
      </c>
      <c r="D5148" s="2889" t="s">
        <v>197</v>
      </c>
      <c r="E5148" s="2889" t="s">
        <v>217</v>
      </c>
      <c r="F5148" s="2890">
        <v>2.3693045376474648E-3</v>
      </c>
      <c r="G5148" s="2890">
        <v>8.1075292361021845</v>
      </c>
    </row>
    <row r="5149" spans="2:7" ht="15" hidden="1" outlineLevel="2">
      <c r="B5149" s="2889" t="s">
        <v>1642</v>
      </c>
      <c r="C5149" s="2889" t="s">
        <v>1410</v>
      </c>
      <c r="D5149" s="2889" t="s">
        <v>197</v>
      </c>
      <c r="E5149" s="2889" t="s">
        <v>217</v>
      </c>
      <c r="F5149" s="2890">
        <v>1.0748056115748523E-3</v>
      </c>
      <c r="G5149" s="2890">
        <v>3.6778772791046763</v>
      </c>
    </row>
    <row r="5150" spans="2:7" ht="15" hidden="1" outlineLevel="2">
      <c r="B5150" s="2889" t="s">
        <v>1643</v>
      </c>
      <c r="C5150" s="2889" t="s">
        <v>1410</v>
      </c>
      <c r="D5150" s="2889" t="s">
        <v>197</v>
      </c>
      <c r="E5150" s="2889" t="s">
        <v>217</v>
      </c>
      <c r="F5150" s="2890">
        <v>5.2579593204454518E-3</v>
      </c>
      <c r="G5150" s="2890">
        <v>17.965296003351767</v>
      </c>
    </row>
    <row r="5151" spans="2:7" ht="15" hidden="1" outlineLevel="2">
      <c r="B5151" s="2889" t="s">
        <v>1644</v>
      </c>
      <c r="C5151" s="2889" t="s">
        <v>1410</v>
      </c>
      <c r="D5151" s="2889" t="s">
        <v>197</v>
      </c>
      <c r="E5151" s="2889" t="s">
        <v>217</v>
      </c>
      <c r="F5151" s="2890">
        <v>2.2952354431595434E-3</v>
      </c>
      <c r="G5151" s="2890">
        <v>7.8763691714869859</v>
      </c>
    </row>
    <row r="5152" spans="2:7" ht="15" hidden="1" outlineLevel="2">
      <c r="B5152" s="2889" t="s">
        <v>1645</v>
      </c>
      <c r="C5152" s="2889" t="s">
        <v>1410</v>
      </c>
      <c r="D5152" s="2889" t="s">
        <v>197</v>
      </c>
      <c r="E5152" s="2889" t="s">
        <v>217</v>
      </c>
      <c r="F5152" s="2890">
        <v>8.9738750846535481E-4</v>
      </c>
      <c r="G5152" s="2890">
        <v>3.0794944862783331</v>
      </c>
    </row>
    <row r="5153" spans="2:7" ht="15" hidden="1" outlineLevel="2">
      <c r="B5153" s="2889" t="s">
        <v>1646</v>
      </c>
      <c r="C5153" s="2889" t="s">
        <v>1410</v>
      </c>
      <c r="D5153" s="2889" t="s">
        <v>197</v>
      </c>
      <c r="E5153" s="2889" t="s">
        <v>217</v>
      </c>
      <c r="F5153" s="2890">
        <v>6.4873532194281444E-3</v>
      </c>
      <c r="G5153" s="2890">
        <v>22.199075422477559</v>
      </c>
    </row>
    <row r="5154" spans="2:7" ht="15" hidden="1" outlineLevel="2">
      <c r="B5154" s="2889" t="s">
        <v>1647</v>
      </c>
      <c r="C5154" s="2889" t="s">
        <v>1410</v>
      </c>
      <c r="D5154" s="2889" t="s">
        <v>197</v>
      </c>
      <c r="E5154" s="2889" t="s">
        <v>217</v>
      </c>
      <c r="F5154" s="2890">
        <v>1.7701946246596288E-3</v>
      </c>
      <c r="G5154" s="2890">
        <v>6.0880053664410454</v>
      </c>
    </row>
    <row r="5155" spans="2:7" ht="15" hidden="1" outlineLevel="2">
      <c r="B5155" s="2889" t="s">
        <v>1648</v>
      </c>
      <c r="C5155" s="2889" t="s">
        <v>1410</v>
      </c>
      <c r="D5155" s="2889" t="s">
        <v>197</v>
      </c>
      <c r="E5155" s="2889" t="s">
        <v>217</v>
      </c>
      <c r="F5155" s="2890">
        <v>2.0101872126722432E-3</v>
      </c>
      <c r="G5155" s="2890">
        <v>6.9233946740333785</v>
      </c>
    </row>
    <row r="5156" spans="2:7" ht="15" hidden="1" outlineLevel="2">
      <c r="B5156" s="2889" t="s">
        <v>1649</v>
      </c>
      <c r="C5156" s="2889" t="s">
        <v>1410</v>
      </c>
      <c r="D5156" s="2889" t="s">
        <v>197</v>
      </c>
      <c r="E5156" s="2889" t="s">
        <v>217</v>
      </c>
      <c r="F5156" s="2890">
        <v>4.1601694866194236E-3</v>
      </c>
      <c r="G5156" s="2890">
        <v>14.307536574203839</v>
      </c>
    </row>
    <row r="5157" spans="2:7" ht="15" hidden="1" outlineLevel="2">
      <c r="B5157" s="2889" t="s">
        <v>1650</v>
      </c>
      <c r="C5157" s="2889" t="s">
        <v>1410</v>
      </c>
      <c r="D5157" s="2889" t="s">
        <v>197</v>
      </c>
      <c r="E5157" s="2889" t="s">
        <v>217</v>
      </c>
      <c r="F5157" s="2890">
        <v>3.8258257755548809E-3</v>
      </c>
      <c r="G5157" s="2890">
        <v>13.075269687632064</v>
      </c>
    </row>
    <row r="5158" spans="2:7" ht="15" hidden="1" outlineLevel="2">
      <c r="B5158" s="2889" t="s">
        <v>1651</v>
      </c>
      <c r="C5158" s="2889" t="s">
        <v>1410</v>
      </c>
      <c r="D5158" s="2889" t="s">
        <v>197</v>
      </c>
      <c r="E5158" s="2889" t="s">
        <v>217</v>
      </c>
      <c r="F5158" s="2890">
        <v>2.920296600984348E-3</v>
      </c>
      <c r="G5158" s="2890">
        <v>10.043399929485441</v>
      </c>
    </row>
    <row r="5159" spans="2:7" ht="15" hidden="1" outlineLevel="2">
      <c r="B5159" s="2889" t="s">
        <v>1652</v>
      </c>
      <c r="C5159" s="2889" t="s">
        <v>1410</v>
      </c>
      <c r="D5159" s="2889" t="s">
        <v>197</v>
      </c>
      <c r="E5159" s="2889" t="s">
        <v>217</v>
      </c>
      <c r="F5159" s="2890">
        <v>4.439694420993236E-3</v>
      </c>
      <c r="G5159" s="2890">
        <v>15.268868643745213</v>
      </c>
    </row>
    <row r="5160" spans="2:7" ht="15" hidden="1" outlineLevel="2">
      <c r="B5160" s="2889" t="s">
        <v>1653</v>
      </c>
      <c r="C5160" s="2889" t="s">
        <v>1410</v>
      </c>
      <c r="D5160" s="2889" t="s">
        <v>197</v>
      </c>
      <c r="E5160" s="2889" t="s">
        <v>217</v>
      </c>
      <c r="F5160" s="2890">
        <v>3.6466111776779181E-34</v>
      </c>
      <c r="G5160" s="2890">
        <v>2.0506426766045641E-30</v>
      </c>
    </row>
    <row r="5161" spans="2:7" ht="15" hidden="1" outlineLevel="2">
      <c r="B5161" s="2889" t="s">
        <v>1407</v>
      </c>
      <c r="C5161" s="2889" t="s">
        <v>1411</v>
      </c>
      <c r="D5161" s="2889" t="s">
        <v>197</v>
      </c>
      <c r="E5161" s="2889" t="s">
        <v>217</v>
      </c>
      <c r="F5161" s="2890">
        <v>8.6766147210659216E-6</v>
      </c>
      <c r="G5161" s="2890">
        <v>1.1372059441536986E-2</v>
      </c>
    </row>
    <row r="5162" spans="2:7" ht="15" hidden="1" outlineLevel="2">
      <c r="B5162" s="2889" t="s">
        <v>1631</v>
      </c>
      <c r="C5162" s="2889" t="s">
        <v>1411</v>
      </c>
      <c r="D5162" s="2889" t="s">
        <v>197</v>
      </c>
      <c r="E5162" s="2889" t="s">
        <v>217</v>
      </c>
      <c r="F5162" s="2890">
        <v>1.6255472777299019E-5</v>
      </c>
      <c r="G5162" s="2890">
        <v>2.1138786807130064E-2</v>
      </c>
    </row>
    <row r="5163" spans="2:7" ht="15" hidden="1" outlineLevel="2">
      <c r="B5163" s="2889" t="s">
        <v>1632</v>
      </c>
      <c r="C5163" s="2889" t="s">
        <v>1411</v>
      </c>
      <c r="D5163" s="2889" t="s">
        <v>197</v>
      </c>
      <c r="E5163" s="2889" t="s">
        <v>217</v>
      </c>
      <c r="F5163" s="2890">
        <v>3.2962229421609667E-5</v>
      </c>
      <c r="G5163" s="2890">
        <v>4.3244840383316503E-2</v>
      </c>
    </row>
    <row r="5164" spans="2:7" ht="15" hidden="1" outlineLevel="2">
      <c r="B5164" s="2889" t="s">
        <v>1633</v>
      </c>
      <c r="C5164" s="2889" t="s">
        <v>1411</v>
      </c>
      <c r="D5164" s="2889" t="s">
        <v>197</v>
      </c>
      <c r="E5164" s="2889" t="s">
        <v>217</v>
      </c>
      <c r="F5164" s="2890">
        <v>1.1573073168326589E-5</v>
      </c>
      <c r="G5164" s="2890">
        <v>1.5217406963080615E-2</v>
      </c>
    </row>
    <row r="5165" spans="2:7" ht="15" hidden="1" outlineLevel="2">
      <c r="B5165" s="2889" t="s">
        <v>1634</v>
      </c>
      <c r="C5165" s="2889" t="s">
        <v>1411</v>
      </c>
      <c r="D5165" s="2889" t="s">
        <v>197</v>
      </c>
      <c r="E5165" s="2889" t="s">
        <v>217</v>
      </c>
      <c r="F5165" s="2890">
        <v>7.5201010928826732E-5</v>
      </c>
      <c r="G5165" s="2890">
        <v>9.9053599707410525E-2</v>
      </c>
    </row>
    <row r="5166" spans="2:7" ht="15" hidden="1" outlineLevel="2">
      <c r="B5166" s="2889" t="s">
        <v>1635</v>
      </c>
      <c r="C5166" s="2889" t="s">
        <v>1411</v>
      </c>
      <c r="D5166" s="2889" t="s">
        <v>197</v>
      </c>
      <c r="E5166" s="2889" t="s">
        <v>217</v>
      </c>
      <c r="F5166" s="2890">
        <v>8.5447524196979955E-5</v>
      </c>
      <c r="G5166" s="2890">
        <v>0.11210283411049547</v>
      </c>
    </row>
    <row r="5167" spans="2:7" ht="15" hidden="1" outlineLevel="2">
      <c r="B5167" s="2889" t="s">
        <v>1636</v>
      </c>
      <c r="C5167" s="2889" t="s">
        <v>1411</v>
      </c>
      <c r="D5167" s="2889" t="s">
        <v>197</v>
      </c>
      <c r="E5167" s="2889" t="s">
        <v>217</v>
      </c>
      <c r="F5167" s="2890">
        <v>4.1547234773168233E-5</v>
      </c>
      <c r="G5167" s="2890">
        <v>5.4512400616013243E-2</v>
      </c>
    </row>
    <row r="5168" spans="2:7" ht="15" hidden="1" outlineLevel="2">
      <c r="B5168" s="2889" t="s">
        <v>1637</v>
      </c>
      <c r="C5168" s="2889" t="s">
        <v>1411</v>
      </c>
      <c r="D5168" s="2889" t="s">
        <v>197</v>
      </c>
      <c r="E5168" s="2889" t="s">
        <v>217</v>
      </c>
      <c r="F5168" s="2890">
        <v>1.9487807655414429E-5</v>
      </c>
      <c r="G5168" s="2890">
        <v>2.5624474645200474E-2</v>
      </c>
    </row>
    <row r="5169" spans="2:7" ht="15" hidden="1" outlineLevel="2">
      <c r="B5169" s="2889" t="s">
        <v>1638</v>
      </c>
      <c r="C5169" s="2889" t="s">
        <v>1411</v>
      </c>
      <c r="D5169" s="2889" t="s">
        <v>197</v>
      </c>
      <c r="E5169" s="2889" t="s">
        <v>217</v>
      </c>
      <c r="F5169" s="2890">
        <v>6.7863777662427344E-5</v>
      </c>
      <c r="G5169" s="2890">
        <v>8.9389025898029245E-2</v>
      </c>
    </row>
    <row r="5170" spans="2:7" ht="15" hidden="1" outlineLevel="2">
      <c r="B5170" s="2889" t="s">
        <v>1639</v>
      </c>
      <c r="C5170" s="2889" t="s">
        <v>1411</v>
      </c>
      <c r="D5170" s="2889" t="s">
        <v>197</v>
      </c>
      <c r="E5170" s="2889" t="s">
        <v>217</v>
      </c>
      <c r="F5170" s="2890">
        <v>1.0372797624424983E-4</v>
      </c>
      <c r="G5170" s="2890">
        <v>0.13639168997419962</v>
      </c>
    </row>
    <row r="5171" spans="2:7" ht="15" hidden="1" outlineLevel="2">
      <c r="B5171" s="2889" t="s">
        <v>1640</v>
      </c>
      <c r="C5171" s="2889" t="s">
        <v>1411</v>
      </c>
      <c r="D5171" s="2889" t="s">
        <v>197</v>
      </c>
      <c r="E5171" s="2889" t="s">
        <v>217</v>
      </c>
      <c r="F5171" s="2890">
        <v>3.182996479893862E-5</v>
      </c>
      <c r="G5171" s="2890">
        <v>4.1718125737179965E-2</v>
      </c>
    </row>
    <row r="5172" spans="2:7" ht="15" hidden="1" outlineLevel="2">
      <c r="B5172" s="2889" t="s">
        <v>1641</v>
      </c>
      <c r="C5172" s="2889" t="s">
        <v>1411</v>
      </c>
      <c r="D5172" s="2889" t="s">
        <v>197</v>
      </c>
      <c r="E5172" s="2889" t="s">
        <v>217</v>
      </c>
      <c r="F5172" s="2890">
        <v>3.8923610385818956E-5</v>
      </c>
      <c r="G5172" s="2890">
        <v>5.1065834882100439E-2</v>
      </c>
    </row>
    <row r="5173" spans="2:7" ht="15" hidden="1" outlineLevel="2">
      <c r="B5173" s="2889" t="s">
        <v>1642</v>
      </c>
      <c r="C5173" s="2889" t="s">
        <v>1411</v>
      </c>
      <c r="D5173" s="2889" t="s">
        <v>197</v>
      </c>
      <c r="E5173" s="2889" t="s">
        <v>217</v>
      </c>
      <c r="F5173" s="2890">
        <v>1.7657206550038633E-5</v>
      </c>
      <c r="G5173" s="2890">
        <v>2.3165368847043403E-2</v>
      </c>
    </row>
    <row r="5174" spans="2:7" ht="15" hidden="1" outlineLevel="2">
      <c r="B5174" s="2889" t="s">
        <v>1643</v>
      </c>
      <c r="C5174" s="2889" t="s">
        <v>1411</v>
      </c>
      <c r="D5174" s="2889" t="s">
        <v>197</v>
      </c>
      <c r="E5174" s="2889" t="s">
        <v>217</v>
      </c>
      <c r="F5174" s="2890">
        <v>8.635227615885936E-5</v>
      </c>
      <c r="G5174" s="2890">
        <v>0.11315564886130366</v>
      </c>
    </row>
    <row r="5175" spans="2:7" ht="15" hidden="1" outlineLevel="2">
      <c r="B5175" s="2889" t="s">
        <v>1644</v>
      </c>
      <c r="C5175" s="2889" t="s">
        <v>1411</v>
      </c>
      <c r="D5175" s="2889" t="s">
        <v>197</v>
      </c>
      <c r="E5175" s="2889" t="s">
        <v>217</v>
      </c>
      <c r="F5175" s="2890">
        <v>3.7729147502074639E-5</v>
      </c>
      <c r="G5175" s="2890">
        <v>4.9609884143550664E-2</v>
      </c>
    </row>
    <row r="5176" spans="2:7" ht="15" hidden="1" outlineLevel="2">
      <c r="B5176" s="2889" t="s">
        <v>1645</v>
      </c>
      <c r="C5176" s="2889" t="s">
        <v>1411</v>
      </c>
      <c r="D5176" s="2889" t="s">
        <v>197</v>
      </c>
      <c r="E5176" s="2889" t="s">
        <v>217</v>
      </c>
      <c r="F5176" s="2890">
        <v>1.4751278886446963E-5</v>
      </c>
      <c r="G5176" s="2890">
        <v>1.9396420221807636E-2</v>
      </c>
    </row>
    <row r="5177" spans="2:7" ht="15" hidden="1" outlineLevel="2">
      <c r="B5177" s="2889" t="s">
        <v>1646</v>
      </c>
      <c r="C5177" s="2889" t="s">
        <v>1411</v>
      </c>
      <c r="D5177" s="2889" t="s">
        <v>197</v>
      </c>
      <c r="E5177" s="2889" t="s">
        <v>217</v>
      </c>
      <c r="F5177" s="2890">
        <v>1.0657599152028385E-4</v>
      </c>
      <c r="G5177" s="2890">
        <v>0.13982249711693656</v>
      </c>
    </row>
    <row r="5178" spans="2:7" ht="15" hidden="1" outlineLevel="2">
      <c r="B5178" s="2889" t="s">
        <v>1647</v>
      </c>
      <c r="C5178" s="2889" t="s">
        <v>1411</v>
      </c>
      <c r="D5178" s="2889" t="s">
        <v>197</v>
      </c>
      <c r="E5178" s="2889" t="s">
        <v>217</v>
      </c>
      <c r="F5178" s="2890">
        <v>2.9111875327015196E-5</v>
      </c>
      <c r="G5178" s="2890">
        <v>3.8345698941539143E-2</v>
      </c>
    </row>
    <row r="5179" spans="2:7" ht="15" hidden="1" outlineLevel="2">
      <c r="B5179" s="2889" t="s">
        <v>1648</v>
      </c>
      <c r="C5179" s="2889" t="s">
        <v>1411</v>
      </c>
      <c r="D5179" s="2889" t="s">
        <v>197</v>
      </c>
      <c r="E5179" s="2889" t="s">
        <v>217</v>
      </c>
      <c r="F5179" s="2890">
        <v>3.3068755568634801E-5</v>
      </c>
      <c r="G5179" s="2890">
        <v>4.3607578479223495E-2</v>
      </c>
    </row>
    <row r="5180" spans="2:7" ht="15" hidden="1" outlineLevel="2">
      <c r="B5180" s="2889" t="s">
        <v>1649</v>
      </c>
      <c r="C5180" s="2889" t="s">
        <v>1411</v>
      </c>
      <c r="D5180" s="2889" t="s">
        <v>197</v>
      </c>
      <c r="E5180" s="2889" t="s">
        <v>217</v>
      </c>
      <c r="F5180" s="2890">
        <v>6.841640743662543E-5</v>
      </c>
      <c r="G5180" s="2890">
        <v>9.0117014950568411E-2</v>
      </c>
    </row>
    <row r="5181" spans="2:7" ht="15" hidden="1" outlineLevel="2">
      <c r="B5181" s="2889" t="s">
        <v>1650</v>
      </c>
      <c r="C5181" s="2889" t="s">
        <v>1411</v>
      </c>
      <c r="D5181" s="2889" t="s">
        <v>197</v>
      </c>
      <c r="E5181" s="2889" t="s">
        <v>217</v>
      </c>
      <c r="F5181" s="2890">
        <v>6.283539442394502E-5</v>
      </c>
      <c r="G5181" s="2890">
        <v>8.2355532646229801E-2</v>
      </c>
    </row>
    <row r="5182" spans="2:7" ht="15" hidden="1" outlineLevel="2">
      <c r="B5182" s="2889" t="s">
        <v>1651</v>
      </c>
      <c r="C5182" s="2889" t="s">
        <v>1411</v>
      </c>
      <c r="D5182" s="2889" t="s">
        <v>197</v>
      </c>
      <c r="E5182" s="2889" t="s">
        <v>217</v>
      </c>
      <c r="F5182" s="2890">
        <v>4.8025984871774048E-5</v>
      </c>
      <c r="G5182" s="2890">
        <v>6.32590858247562E-2</v>
      </c>
    </row>
    <row r="5183" spans="2:7" ht="15" hidden="1" outlineLevel="2">
      <c r="B5183" s="2889" t="s">
        <v>1652</v>
      </c>
      <c r="C5183" s="2889" t="s">
        <v>1411</v>
      </c>
      <c r="D5183" s="2889" t="s">
        <v>197</v>
      </c>
      <c r="E5183" s="2889" t="s">
        <v>217</v>
      </c>
      <c r="F5183" s="3039">
        <v>7.3013400838222681E-5</v>
      </c>
      <c r="G5183" s="2890">
        <v>9.6172118095266768E-2</v>
      </c>
    </row>
    <row r="5184" spans="2:7" ht="15" hidden="1" outlineLevel="2">
      <c r="B5184" s="2889" t="s">
        <v>1653</v>
      </c>
      <c r="C5184" s="2889" t="s">
        <v>1411</v>
      </c>
      <c r="D5184" s="2889" t="s">
        <v>197</v>
      </c>
      <c r="E5184" s="2889" t="s">
        <v>217</v>
      </c>
      <c r="F5184" s="3039">
        <v>1.25115406112099E-40</v>
      </c>
      <c r="G5184" s="2890">
        <v>1.6424750101005877E-37</v>
      </c>
    </row>
    <row r="5185" spans="2:7" ht="15" hidden="1" outlineLevel="2">
      <c r="B5185" s="2889" t="s">
        <v>1407</v>
      </c>
      <c r="C5185" s="2889" t="s">
        <v>1412</v>
      </c>
      <c r="D5185" s="2889" t="s">
        <v>197</v>
      </c>
      <c r="E5185" s="2889" t="s">
        <v>217</v>
      </c>
      <c r="F5185" s="3039">
        <v>9.373399868776816E-4</v>
      </c>
      <c r="G5185" s="2890">
        <v>1.2275932206977453</v>
      </c>
    </row>
    <row r="5186" spans="2:7" ht="15" hidden="1" outlineLevel="2">
      <c r="B5186" s="2889" t="s">
        <v>1631</v>
      </c>
      <c r="C5186" s="2889" t="s">
        <v>1412</v>
      </c>
      <c r="D5186" s="2889" t="s">
        <v>197</v>
      </c>
      <c r="E5186" s="2889" t="s">
        <v>217</v>
      </c>
      <c r="F5186" s="3039">
        <v>1.7560881175287216E-3</v>
      </c>
      <c r="G5186" s="2890">
        <v>2.2818968435970044</v>
      </c>
    </row>
    <row r="5187" spans="2:7" ht="15" hidden="1" outlineLevel="2">
      <c r="B5187" s="2889" t="s">
        <v>1632</v>
      </c>
      <c r="C5187" s="2889" t="s">
        <v>1412</v>
      </c>
      <c r="D5187" s="2889" t="s">
        <v>197</v>
      </c>
      <c r="E5187" s="2889" t="s">
        <v>217</v>
      </c>
      <c r="F5187" s="3039">
        <v>3.5609314318175117E-3</v>
      </c>
      <c r="G5187" s="2890">
        <v>4.668202728453168</v>
      </c>
    </row>
    <row r="5188" spans="2:7" ht="15" hidden="1" outlineLevel="2">
      <c r="B5188" s="2889" t="s">
        <v>1633</v>
      </c>
      <c r="C5188" s="2889" t="s">
        <v>1412</v>
      </c>
      <c r="D5188" s="2889" t="s">
        <v>197</v>
      </c>
      <c r="E5188" s="2889" t="s">
        <v>217</v>
      </c>
      <c r="F5188" s="3039">
        <v>1.2502471976435069E-3</v>
      </c>
      <c r="G5188" s="2890">
        <v>1.642693811146843</v>
      </c>
    </row>
    <row r="5189" spans="2:7" ht="15" hidden="1" outlineLevel="2">
      <c r="B5189" s="2889" t="s">
        <v>1634</v>
      </c>
      <c r="C5189" s="2889" t="s">
        <v>1412</v>
      </c>
      <c r="D5189" s="2889" t="s">
        <v>197</v>
      </c>
      <c r="E5189" s="2889" t="s">
        <v>217</v>
      </c>
      <c r="F5189" s="3039">
        <v>8.1240110935279029E-3</v>
      </c>
      <c r="G5189" s="2890">
        <v>10.692673619835196</v>
      </c>
    </row>
    <row r="5190" spans="2:7" ht="15" hidden="1" outlineLevel="2">
      <c r="B5190" s="2889" t="s">
        <v>1635</v>
      </c>
      <c r="C5190" s="2889" t="s">
        <v>1412</v>
      </c>
      <c r="D5190" s="2889" t="s">
        <v>197</v>
      </c>
      <c r="E5190" s="2889" t="s">
        <v>217</v>
      </c>
      <c r="F5190" s="3039">
        <v>9.2309489215447495E-3</v>
      </c>
      <c r="G5190" s="2890">
        <v>12.10130374271878</v>
      </c>
    </row>
    <row r="5191" spans="2:7" ht="15" hidden="1" outlineLevel="2">
      <c r="B5191" s="2889" t="s">
        <v>1636</v>
      </c>
      <c r="C5191" s="2889" t="s">
        <v>1412</v>
      </c>
      <c r="D5191" s="2889" t="s">
        <v>197</v>
      </c>
      <c r="E5191" s="2889" t="s">
        <v>217</v>
      </c>
      <c r="F5191" s="3039">
        <v>4.4883742965749623E-3</v>
      </c>
      <c r="G5191" s="2890">
        <v>5.8845196237673356</v>
      </c>
    </row>
    <row r="5192" spans="2:7" ht="15" hidden="1" outlineLevel="2">
      <c r="B5192" s="2889" t="s">
        <v>1637</v>
      </c>
      <c r="C5192" s="2889" t="s">
        <v>1412</v>
      </c>
      <c r="D5192" s="2889" t="s">
        <v>197</v>
      </c>
      <c r="E5192" s="2889" t="s">
        <v>217</v>
      </c>
      <c r="F5192" s="3039">
        <v>2.105281549772204E-3</v>
      </c>
      <c r="G5192" s="2890">
        <v>2.7661162586444537</v>
      </c>
    </row>
    <row r="5193" spans="2:7" ht="15" hidden="1" outlineLevel="2">
      <c r="B5193" s="2889" t="s">
        <v>1638</v>
      </c>
      <c r="C5193" s="2889" t="s">
        <v>1412</v>
      </c>
      <c r="D5193" s="2889" t="s">
        <v>197</v>
      </c>
      <c r="E5193" s="2889" t="s">
        <v>217</v>
      </c>
      <c r="F5193" s="3039">
        <v>7.33137011268195E-3</v>
      </c>
      <c r="G5193" s="2890">
        <v>9.6493984808816453</v>
      </c>
    </row>
    <row r="5194" spans="2:7" ht="15" hidden="1" outlineLevel="2">
      <c r="B5194" s="2889" t="s">
        <v>1639</v>
      </c>
      <c r="C5194" s="2889" t="s">
        <v>1412</v>
      </c>
      <c r="D5194" s="2889" t="s">
        <v>197</v>
      </c>
      <c r="E5194" s="2889" t="s">
        <v>217</v>
      </c>
      <c r="F5194" s="3039">
        <v>1.1205801430358134E-2</v>
      </c>
      <c r="G5194" s="2890">
        <v>14.723232600856754</v>
      </c>
    </row>
    <row r="5195" spans="2:7" ht="15" hidden="1" outlineLevel="2">
      <c r="B5195" s="2889" t="s">
        <v>1640</v>
      </c>
      <c r="C5195" s="2889" t="s">
        <v>1412</v>
      </c>
      <c r="D5195" s="2889" t="s">
        <v>197</v>
      </c>
      <c r="E5195" s="2889" t="s">
        <v>217</v>
      </c>
      <c r="F5195" s="3039">
        <v>3.4386115687616583E-3</v>
      </c>
      <c r="G5195" s="2890">
        <v>4.5033994958714061</v>
      </c>
    </row>
    <row r="5196" spans="2:7" ht="15" hidden="1" outlineLevel="2">
      <c r="B5196" s="2889" t="s">
        <v>1641</v>
      </c>
      <c r="C5196" s="2889" t="s">
        <v>1412</v>
      </c>
      <c r="D5196" s="2889" t="s">
        <v>197</v>
      </c>
      <c r="E5196" s="2889" t="s">
        <v>217</v>
      </c>
      <c r="F5196" s="3039">
        <v>4.2049426131352593E-3</v>
      </c>
      <c r="G5196" s="2890">
        <v>5.5124692555893899</v>
      </c>
    </row>
    <row r="5197" spans="2:7" ht="15" hidden="1" outlineLevel="2">
      <c r="B5197" s="2889" t="s">
        <v>1642</v>
      </c>
      <c r="C5197" s="2889" t="s">
        <v>1412</v>
      </c>
      <c r="D5197" s="2889" t="s">
        <v>197</v>
      </c>
      <c r="E5197" s="2889" t="s">
        <v>217</v>
      </c>
      <c r="F5197" s="3039">
        <v>1.907519745497433E-3</v>
      </c>
      <c r="G5197" s="2890">
        <v>2.5006632126576469</v>
      </c>
    </row>
    <row r="5198" spans="2:7" ht="15" hidden="1" outlineLevel="2">
      <c r="B5198" s="2889" t="s">
        <v>1643</v>
      </c>
      <c r="C5198" s="2889" t="s">
        <v>1412</v>
      </c>
      <c r="D5198" s="2889" t="s">
        <v>197</v>
      </c>
      <c r="E5198" s="2889" t="s">
        <v>217</v>
      </c>
      <c r="F5198" s="3039">
        <v>9.3286939425509495E-3</v>
      </c>
      <c r="G5198" s="2890">
        <v>12.214960410761217</v>
      </c>
    </row>
    <row r="5199" spans="2:7" ht="15" hidden="1" outlineLevel="2">
      <c r="B5199" s="2889" t="s">
        <v>1644</v>
      </c>
      <c r="C5199" s="2889" t="s">
        <v>1412</v>
      </c>
      <c r="D5199" s="2889" t="s">
        <v>197</v>
      </c>
      <c r="E5199" s="2889" t="s">
        <v>217</v>
      </c>
      <c r="F5199" s="3039">
        <v>4.0759013273109117E-3</v>
      </c>
      <c r="G5199" s="2890">
        <v>5.3553061366746482</v>
      </c>
    </row>
    <row r="5200" spans="2:7" ht="15" hidden="1" outlineLevel="2">
      <c r="B5200" s="2889" t="s">
        <v>1645</v>
      </c>
      <c r="C5200" s="2889" t="s">
        <v>1412</v>
      </c>
      <c r="D5200" s="2889" t="s">
        <v>197</v>
      </c>
      <c r="E5200" s="2889" t="s">
        <v>217</v>
      </c>
      <c r="F5200" s="3039">
        <v>1.5935900939354603E-3</v>
      </c>
      <c r="G5200" s="2890">
        <v>2.0938095890717583</v>
      </c>
    </row>
    <row r="5201" spans="2:7" ht="15" hidden="1" outlineLevel="2">
      <c r="B5201" s="2889" t="s">
        <v>1646</v>
      </c>
      <c r="C5201" s="2889" t="s">
        <v>1412</v>
      </c>
      <c r="D5201" s="2889" t="s">
        <v>197</v>
      </c>
      <c r="E5201" s="2889" t="s">
        <v>217</v>
      </c>
      <c r="F5201" s="3039">
        <v>1.1513479615290086E-2</v>
      </c>
      <c r="G5201" s="2890">
        <v>15.093593859471019</v>
      </c>
    </row>
    <row r="5202" spans="2:7" ht="15" hidden="1" outlineLevel="2">
      <c r="B5202" s="2889" t="s">
        <v>1647</v>
      </c>
      <c r="C5202" s="2889" t="s">
        <v>1412</v>
      </c>
      <c r="D5202" s="2889" t="s">
        <v>197</v>
      </c>
      <c r="E5202" s="2889" t="s">
        <v>217</v>
      </c>
      <c r="F5202" s="3039">
        <v>3.1449747615885201E-3</v>
      </c>
      <c r="G5202" s="2890">
        <v>4.1393555625878005</v>
      </c>
    </row>
    <row r="5203" spans="2:7" ht="15" hidden="1" outlineLevel="2">
      <c r="B5203" s="2889" t="s">
        <v>1648</v>
      </c>
      <c r="C5203" s="2889" t="s">
        <v>1412</v>
      </c>
      <c r="D5203" s="2889" t="s">
        <v>197</v>
      </c>
      <c r="E5203" s="2889" t="s">
        <v>217</v>
      </c>
      <c r="F5203" s="3039">
        <v>3.5724403725154903E-3</v>
      </c>
      <c r="G5203" s="2890">
        <v>4.707361583349627</v>
      </c>
    </row>
    <row r="5204" spans="2:7" ht="15" hidden="1" outlineLevel="2">
      <c r="B5204" s="2889" t="s">
        <v>1649</v>
      </c>
      <c r="C5204" s="2889" t="s">
        <v>1412</v>
      </c>
      <c r="D5204" s="2889" t="s">
        <v>197</v>
      </c>
      <c r="E5204" s="2889" t="s">
        <v>217</v>
      </c>
      <c r="F5204" s="3039">
        <v>7.39107051508391E-3</v>
      </c>
      <c r="G5204" s="2890">
        <v>9.7279760086367464</v>
      </c>
    </row>
    <row r="5205" spans="2:7" ht="15" hidden="1" outlineLevel="2">
      <c r="B5205" s="2889" t="s">
        <v>1650</v>
      </c>
      <c r="C5205" s="2889" t="s">
        <v>1412</v>
      </c>
      <c r="D5205" s="2889" t="s">
        <v>197</v>
      </c>
      <c r="E5205" s="2889" t="s">
        <v>217</v>
      </c>
      <c r="F5205" s="3039">
        <v>6.7881454002035628E-3</v>
      </c>
      <c r="G5205" s="2890">
        <v>8.8901390289644162</v>
      </c>
    </row>
    <row r="5206" spans="2:7" ht="15" hidden="1" outlineLevel="2">
      <c r="B5206" s="2889" t="s">
        <v>1651</v>
      </c>
      <c r="C5206" s="2889" t="s">
        <v>1412</v>
      </c>
      <c r="D5206" s="2889" t="s">
        <v>197</v>
      </c>
      <c r="E5206" s="2889" t="s">
        <v>217</v>
      </c>
      <c r="F5206" s="3039">
        <v>5.1882796426460003E-3</v>
      </c>
      <c r="G5206" s="2890">
        <v>6.8287101244723001</v>
      </c>
    </row>
    <row r="5207" spans="2:7" ht="15" hidden="1" outlineLevel="2">
      <c r="B5207" s="2889" t="s">
        <v>1652</v>
      </c>
      <c r="C5207" s="2889" t="s">
        <v>1412</v>
      </c>
      <c r="D5207" s="2889" t="s">
        <v>197</v>
      </c>
      <c r="E5207" s="2889" t="s">
        <v>217</v>
      </c>
      <c r="F5207" s="3039">
        <v>7.887685661363171E-3</v>
      </c>
      <c r="G5207" s="2890">
        <v>10.38161656148235</v>
      </c>
    </row>
    <row r="5208" spans="2:7" ht="15" hidden="1" outlineLevel="2">
      <c r="B5208" s="2889" t="s">
        <v>1653</v>
      </c>
      <c r="C5208" s="2889" t="s">
        <v>1412</v>
      </c>
      <c r="D5208" s="2889" t="s">
        <v>197</v>
      </c>
      <c r="E5208" s="2889" t="s">
        <v>217</v>
      </c>
      <c r="F5208" s="2890">
        <v>1.0678882109993598E-36</v>
      </c>
      <c r="G5208" s="2890">
        <v>1.3999479659600153E-33</v>
      </c>
    </row>
    <row r="5209" spans="2:7" ht="15" hidden="1" outlineLevel="2">
      <c r="B5209" s="2889" t="s">
        <v>1407</v>
      </c>
      <c r="C5209" s="2889" t="s">
        <v>1413</v>
      </c>
      <c r="D5209" s="2889" t="s">
        <v>197</v>
      </c>
      <c r="E5209" s="2889" t="s">
        <v>217</v>
      </c>
      <c r="F5209" s="2890">
        <v>3.0885749659337384E-4</v>
      </c>
      <c r="G5209" s="2890">
        <v>0.38453548307281227</v>
      </c>
    </row>
    <row r="5210" spans="2:7" ht="15" hidden="1" outlineLevel="2">
      <c r="B5210" s="2889" t="s">
        <v>1631</v>
      </c>
      <c r="C5210" s="2889" t="s">
        <v>1413</v>
      </c>
      <c r="D5210" s="2889" t="s">
        <v>197</v>
      </c>
      <c r="E5210" s="2889" t="s">
        <v>217</v>
      </c>
      <c r="F5210" s="2890">
        <v>5.8026215994798032E-4</v>
      </c>
      <c r="G5210" s="2890">
        <v>0.71478876563541771</v>
      </c>
    </row>
    <row r="5211" spans="2:7" ht="15" hidden="1" outlineLevel="2">
      <c r="B5211" s="2889" t="s">
        <v>1632</v>
      </c>
      <c r="C5211" s="2889" t="s">
        <v>1413</v>
      </c>
      <c r="D5211" s="2889" t="s">
        <v>197</v>
      </c>
      <c r="E5211" s="2889" t="s">
        <v>217</v>
      </c>
      <c r="F5211" s="2890">
        <v>1.1729250395252765E-3</v>
      </c>
      <c r="G5211" s="2890">
        <v>1.4622828598574302</v>
      </c>
    </row>
    <row r="5212" spans="2:7" ht="15" hidden="1" outlineLevel="2">
      <c r="B5212" s="2889" t="s">
        <v>1633</v>
      </c>
      <c r="C5212" s="2889" t="s">
        <v>1413</v>
      </c>
      <c r="D5212" s="2889" t="s">
        <v>197</v>
      </c>
      <c r="E5212" s="2889" t="s">
        <v>217</v>
      </c>
      <c r="F5212" s="2890">
        <v>4.1148292787524188E-4</v>
      </c>
      <c r="G5212" s="2890">
        <v>0.51456270495308432</v>
      </c>
    </row>
    <row r="5213" spans="2:7" ht="15" hidden="1" outlineLevel="2">
      <c r="B5213" s="2889" t="s">
        <v>1634</v>
      </c>
      <c r="C5213" s="2889" t="s">
        <v>1413</v>
      </c>
      <c r="D5213" s="2889" t="s">
        <v>197</v>
      </c>
      <c r="E5213" s="2889" t="s">
        <v>217</v>
      </c>
      <c r="F5213" s="2890">
        <v>2.6721082589601401E-3</v>
      </c>
      <c r="G5213" s="2890">
        <v>3.3494065019859502</v>
      </c>
    </row>
    <row r="5214" spans="2:7" ht="15" hidden="1" outlineLevel="2">
      <c r="B5214" s="2889" t="s">
        <v>1635</v>
      </c>
      <c r="C5214" s="2889" t="s">
        <v>1413</v>
      </c>
      <c r="D5214" s="2889" t="s">
        <v>197</v>
      </c>
      <c r="E5214" s="2889" t="s">
        <v>217</v>
      </c>
      <c r="F5214" s="2890">
        <v>3.0405563600721889E-3</v>
      </c>
      <c r="G5214" s="2890">
        <v>3.7906547676807612</v>
      </c>
    </row>
    <row r="5215" spans="2:7" ht="15" hidden="1" outlineLevel="2">
      <c r="B5215" s="2889" t="s">
        <v>1636</v>
      </c>
      <c r="C5215" s="2889" t="s">
        <v>1413</v>
      </c>
      <c r="D5215" s="2889" t="s">
        <v>197</v>
      </c>
      <c r="E5215" s="2889" t="s">
        <v>217</v>
      </c>
      <c r="F5215" s="2890">
        <v>1.4783692129691705E-3</v>
      </c>
      <c r="G5215" s="2890">
        <v>1.8432858044636347</v>
      </c>
    </row>
    <row r="5216" spans="2:7" ht="15" hidden="1" outlineLevel="2">
      <c r="B5216" s="2889" t="s">
        <v>1637</v>
      </c>
      <c r="C5216" s="2889" t="s">
        <v>1413</v>
      </c>
      <c r="D5216" s="2889" t="s">
        <v>197</v>
      </c>
      <c r="E5216" s="2889" t="s">
        <v>217</v>
      </c>
      <c r="F5216" s="2890">
        <v>6.9289266586131256E-4</v>
      </c>
      <c r="G5216" s="2890">
        <v>0.86646796599019815</v>
      </c>
    </row>
    <row r="5217" spans="2:7" ht="15" hidden="1" outlineLevel="2">
      <c r="B5217" s="2889" t="s">
        <v>1638</v>
      </c>
      <c r="C5217" s="2889" t="s">
        <v>1413</v>
      </c>
      <c r="D5217" s="2889" t="s">
        <v>197</v>
      </c>
      <c r="E5217" s="2889" t="s">
        <v>217</v>
      </c>
      <c r="F5217" s="2890">
        <v>2.411395378397858E-3</v>
      </c>
      <c r="G5217" s="2890">
        <v>3.0226103097630568</v>
      </c>
    </row>
    <row r="5218" spans="2:7" ht="15" hidden="1" outlineLevel="2">
      <c r="B5218" s="2889" t="s">
        <v>1639</v>
      </c>
      <c r="C5218" s="2889" t="s">
        <v>1413</v>
      </c>
      <c r="D5218" s="2889" t="s">
        <v>197</v>
      </c>
      <c r="E5218" s="2889" t="s">
        <v>217</v>
      </c>
      <c r="F5218" s="2890">
        <v>3.6880659413534686E-3</v>
      </c>
      <c r="G5218" s="2890">
        <v>4.6119565112335579</v>
      </c>
    </row>
    <row r="5219" spans="2:7" ht="15" hidden="1" outlineLevel="2">
      <c r="B5219" s="2889" t="s">
        <v>1640</v>
      </c>
      <c r="C5219" s="2889" t="s">
        <v>1413</v>
      </c>
      <c r="D5219" s="2889" t="s">
        <v>197</v>
      </c>
      <c r="E5219" s="2889" t="s">
        <v>217</v>
      </c>
      <c r="F5219" s="2890">
        <v>1.1330365830021247E-3</v>
      </c>
      <c r="G5219" s="2890">
        <v>1.4106599890349791</v>
      </c>
    </row>
    <row r="5220" spans="2:7" ht="15" hidden="1" outlineLevel="2">
      <c r="B5220" s="2889" t="s">
        <v>1641</v>
      </c>
      <c r="C5220" s="2889" t="s">
        <v>1413</v>
      </c>
      <c r="D5220" s="2889" t="s">
        <v>197</v>
      </c>
      <c r="E5220" s="2889" t="s">
        <v>217</v>
      </c>
      <c r="F5220" s="2890">
        <v>1.3850541045637521E-3</v>
      </c>
      <c r="G5220" s="2890">
        <v>1.7267445394132335</v>
      </c>
    </row>
    <row r="5221" spans="2:7" ht="15" hidden="1" outlineLevel="2">
      <c r="B5221" s="2889" t="s">
        <v>1642</v>
      </c>
      <c r="C5221" s="2889" t="s">
        <v>1413</v>
      </c>
      <c r="D5221" s="2889" t="s">
        <v>197</v>
      </c>
      <c r="E5221" s="2889" t="s">
        <v>217</v>
      </c>
      <c r="F5221" s="2890">
        <v>6.2831250648130287E-4</v>
      </c>
      <c r="G5221" s="2890">
        <v>0.7833156219153764</v>
      </c>
    </row>
    <row r="5222" spans="2:7" ht="15" hidden="1" outlineLevel="2">
      <c r="B5222" s="2889" t="s">
        <v>1643</v>
      </c>
      <c r="C5222" s="2889" t="s">
        <v>1413</v>
      </c>
      <c r="D5222" s="2889" t="s">
        <v>197</v>
      </c>
      <c r="E5222" s="2889" t="s">
        <v>217</v>
      </c>
      <c r="F5222" s="2890">
        <v>3.0740599678214793E-3</v>
      </c>
      <c r="G5222" s="2890">
        <v>3.8262565709909659</v>
      </c>
    </row>
    <row r="5223" spans="2:7" ht="15" hidden="1" outlineLevel="2">
      <c r="B5223" s="2889" t="s">
        <v>1644</v>
      </c>
      <c r="C5223" s="2889" t="s">
        <v>1413</v>
      </c>
      <c r="D5223" s="2889" t="s">
        <v>197</v>
      </c>
      <c r="E5223" s="2889" t="s">
        <v>217</v>
      </c>
      <c r="F5223" s="2890">
        <v>1.3414657340488974E-3</v>
      </c>
      <c r="G5223" s="2890">
        <v>1.6775142610368468</v>
      </c>
    </row>
    <row r="5224" spans="2:7" ht="15" hidden="1" outlineLevel="2">
      <c r="B5224" s="2889" t="s">
        <v>1645</v>
      </c>
      <c r="C5224" s="2889" t="s">
        <v>1413</v>
      </c>
      <c r="D5224" s="2889" t="s">
        <v>197</v>
      </c>
      <c r="E5224" s="2889" t="s">
        <v>217</v>
      </c>
      <c r="F5224" s="2890">
        <v>5.2448425894817906E-4</v>
      </c>
      <c r="G5224" s="2890">
        <v>0.6558717520718037</v>
      </c>
    </row>
    <row r="5225" spans="2:7" ht="15" hidden="1" outlineLevel="2">
      <c r="B5225" s="2889" t="s">
        <v>1646</v>
      </c>
      <c r="C5225" s="2889" t="s">
        <v>1413</v>
      </c>
      <c r="D5225" s="2889" t="s">
        <v>197</v>
      </c>
      <c r="E5225" s="2889" t="s">
        <v>217</v>
      </c>
      <c r="F5225" s="2890">
        <v>3.7923923913146793E-3</v>
      </c>
      <c r="G5225" s="2890">
        <v>4.7279663763727804</v>
      </c>
    </row>
    <row r="5226" spans="2:7" ht="15" hidden="1" outlineLevel="2">
      <c r="B5226" s="2889" t="s">
        <v>1647</v>
      </c>
      <c r="C5226" s="2889" t="s">
        <v>1413</v>
      </c>
      <c r="D5226" s="2889" t="s">
        <v>197</v>
      </c>
      <c r="E5226" s="2889" t="s">
        <v>217</v>
      </c>
      <c r="F5226" s="2890">
        <v>1.0344291626603003E-3</v>
      </c>
      <c r="G5226" s="2890">
        <v>1.2966248314806292</v>
      </c>
    </row>
    <row r="5227" spans="2:7" ht="15" hidden="1" outlineLevel="2">
      <c r="B5227" s="2889" t="s">
        <v>1648</v>
      </c>
      <c r="C5227" s="2889" t="s">
        <v>1413</v>
      </c>
      <c r="D5227" s="2889" t="s">
        <v>197</v>
      </c>
      <c r="E5227" s="2889" t="s">
        <v>217</v>
      </c>
      <c r="F5227" s="2890">
        <v>1.174541507956911E-3</v>
      </c>
      <c r="G5227" s="2890">
        <v>1.4745485833354928</v>
      </c>
    </row>
    <row r="5228" spans="2:7" ht="15" hidden="1" outlineLevel="2">
      <c r="B5228" s="2889" t="s">
        <v>1649</v>
      </c>
      <c r="C5228" s="2889" t="s">
        <v>1413</v>
      </c>
      <c r="D5228" s="2889" t="s">
        <v>197</v>
      </c>
      <c r="E5228" s="2889" t="s">
        <v>217</v>
      </c>
      <c r="F5228" s="3039">
        <v>2.4310326030294979E-3</v>
      </c>
      <c r="G5228" s="2890">
        <v>3.0472241031264842</v>
      </c>
    </row>
    <row r="5229" spans="2:7" ht="15" hidden="1" outlineLevel="2">
      <c r="B5229" s="2889" t="s">
        <v>1650</v>
      </c>
      <c r="C5229" s="2889" t="s">
        <v>1413</v>
      </c>
      <c r="D5229" s="2889" t="s">
        <v>197</v>
      </c>
      <c r="E5229" s="2889" t="s">
        <v>217</v>
      </c>
      <c r="F5229" s="3039">
        <v>2.2367222338953454E-3</v>
      </c>
      <c r="G5229" s="2890">
        <v>2.7847758491560843</v>
      </c>
    </row>
    <row r="5230" spans="2:7" ht="15" hidden="1" outlineLevel="2">
      <c r="B5230" s="2889" t="s">
        <v>1651</v>
      </c>
      <c r="C5230" s="2889" t="s">
        <v>1413</v>
      </c>
      <c r="D5230" s="2889" t="s">
        <v>197</v>
      </c>
      <c r="E5230" s="2889" t="s">
        <v>217</v>
      </c>
      <c r="F5230" s="3039">
        <v>1.7065020640447885E-3</v>
      </c>
      <c r="G5230" s="2890">
        <v>2.1390476854942326</v>
      </c>
    </row>
    <row r="5231" spans="2:7" ht="15" hidden="1" outlineLevel="2">
      <c r="B5231" s="2889" t="s">
        <v>1652</v>
      </c>
      <c r="C5231" s="2889" t="s">
        <v>1413</v>
      </c>
      <c r="D5231" s="2889" t="s">
        <v>197</v>
      </c>
      <c r="E5231" s="2889" t="s">
        <v>217</v>
      </c>
      <c r="F5231" s="3039">
        <v>2.5943765226834415E-3</v>
      </c>
      <c r="G5231" s="2890">
        <v>3.2519704604813668</v>
      </c>
    </row>
    <row r="5232" spans="2:7" ht="15" hidden="1" outlineLevel="2">
      <c r="B5232" s="2889" t="s">
        <v>1653</v>
      </c>
      <c r="C5232" s="2889" t="s">
        <v>1413</v>
      </c>
      <c r="D5232" s="2889" t="s">
        <v>197</v>
      </c>
      <c r="E5232" s="2889" t="s">
        <v>217</v>
      </c>
      <c r="F5232" s="3039">
        <v>1.2721410398433914E-35</v>
      </c>
      <c r="G5232" s="2890">
        <v>1.4837036410084692E-32</v>
      </c>
    </row>
    <row r="5233" spans="2:7" ht="15" hidden="1" outlineLevel="2">
      <c r="B5233" s="2889" t="s">
        <v>1407</v>
      </c>
      <c r="C5233" s="2889" t="s">
        <v>1414</v>
      </c>
      <c r="D5233" s="2889" t="s">
        <v>197</v>
      </c>
      <c r="E5233" s="2889" t="s">
        <v>217</v>
      </c>
      <c r="F5233" s="3039">
        <v>4.0285334961292479E-3</v>
      </c>
      <c r="G5233" s="2890">
        <v>4.1772842770633227</v>
      </c>
    </row>
    <row r="5234" spans="2:7" ht="15" hidden="1" outlineLevel="2">
      <c r="B5234" s="2889" t="s">
        <v>1631</v>
      </c>
      <c r="C5234" s="2889" t="s">
        <v>1414</v>
      </c>
      <c r="D5234" s="2889" t="s">
        <v>197</v>
      </c>
      <c r="E5234" s="2889" t="s">
        <v>217</v>
      </c>
      <c r="F5234" s="3039">
        <v>7.5630146551103157E-3</v>
      </c>
      <c r="G5234" s="2890">
        <v>7.7648853358242462</v>
      </c>
    </row>
    <row r="5235" spans="2:7" ht="15" hidden="1" outlineLevel="2">
      <c r="B5235" s="2889" t="s">
        <v>1632</v>
      </c>
      <c r="C5235" s="2889" t="s">
        <v>1414</v>
      </c>
      <c r="D5235" s="2889" t="s">
        <v>197</v>
      </c>
      <c r="E5235" s="2889" t="s">
        <v>217</v>
      </c>
      <c r="F5235" s="2890">
        <v>1.5300286158764779E-2</v>
      </c>
      <c r="G5235" s="2890">
        <v>15.885064052815455</v>
      </c>
    </row>
    <row r="5236" spans="2:7" ht="15" hidden="1" outlineLevel="2">
      <c r="B5236" s="2889" t="s">
        <v>1633</v>
      </c>
      <c r="C5236" s="2889" t="s">
        <v>1414</v>
      </c>
      <c r="D5236" s="2889" t="s">
        <v>197</v>
      </c>
      <c r="E5236" s="2889" t="s">
        <v>217</v>
      </c>
      <c r="F5236" s="2890">
        <v>5.3687451205203561E-3</v>
      </c>
      <c r="G5236" s="2890">
        <v>5.5897922709828611</v>
      </c>
    </row>
    <row r="5237" spans="2:7" ht="15" hidden="1" outlineLevel="2">
      <c r="B5237" s="2889" t="s">
        <v>1634</v>
      </c>
      <c r="C5237" s="2889" t="s">
        <v>1414</v>
      </c>
      <c r="D5237" s="2889" t="s">
        <v>197</v>
      </c>
      <c r="E5237" s="2889" t="s">
        <v>217</v>
      </c>
      <c r="F5237" s="2890">
        <v>3.4869559580518981E-2</v>
      </c>
      <c r="G5237" s="2890">
        <v>36.385234552153698</v>
      </c>
    </row>
    <row r="5238" spans="2:7" ht="15" hidden="1" outlineLevel="2">
      <c r="B5238" s="2889" t="s">
        <v>1635</v>
      </c>
      <c r="C5238" s="2889" t="s">
        <v>1414</v>
      </c>
      <c r="D5238" s="2889" t="s">
        <v>197</v>
      </c>
      <c r="E5238" s="2889" t="s">
        <v>217</v>
      </c>
      <c r="F5238" s="2890">
        <v>3.9662689190984916E-2</v>
      </c>
      <c r="G5238" s="2890">
        <v>41.178602899261925</v>
      </c>
    </row>
    <row r="5239" spans="2:7" ht="15" hidden="1" outlineLevel="2">
      <c r="B5239" s="2889" t="s">
        <v>1636</v>
      </c>
      <c r="C5239" s="2889" t="s">
        <v>1414</v>
      </c>
      <c r="D5239" s="2889" t="s">
        <v>197</v>
      </c>
      <c r="E5239" s="2889" t="s">
        <v>217</v>
      </c>
      <c r="F5239" s="2890">
        <v>1.9284813428773723E-2</v>
      </c>
      <c r="G5239" s="2890">
        <v>20.023969960715004</v>
      </c>
    </row>
    <row r="5240" spans="2:7" ht="15" hidden="1" outlineLevel="2">
      <c r="B5240" s="2889" t="s">
        <v>1637</v>
      </c>
      <c r="C5240" s="2889" t="s">
        <v>1414</v>
      </c>
      <c r="D5240" s="2889" t="s">
        <v>197</v>
      </c>
      <c r="E5240" s="2889" t="s">
        <v>217</v>
      </c>
      <c r="F5240" s="2890">
        <v>9.0403869085305451E-3</v>
      </c>
      <c r="G5240" s="2890">
        <v>9.4126082279582217</v>
      </c>
    </row>
    <row r="5241" spans="2:7" ht="15" hidden="1" outlineLevel="2">
      <c r="B5241" s="2889" t="s">
        <v>1638</v>
      </c>
      <c r="C5241" s="2889" t="s">
        <v>1414</v>
      </c>
      <c r="D5241" s="2889" t="s">
        <v>197</v>
      </c>
      <c r="E5241" s="2889" t="s">
        <v>217</v>
      </c>
      <c r="F5241" s="2890">
        <v>3.1467382306889238E-2</v>
      </c>
      <c r="G5241" s="2890">
        <v>32.835192119010671</v>
      </c>
    </row>
    <row r="5242" spans="2:7" ht="15" hidden="1" outlineLevel="2">
      <c r="B5242" s="2889" t="s">
        <v>1639</v>
      </c>
      <c r="C5242" s="2889" t="s">
        <v>1414</v>
      </c>
      <c r="D5242" s="2889" t="s">
        <v>197</v>
      </c>
      <c r="E5242" s="2889" t="s">
        <v>217</v>
      </c>
      <c r="F5242" s="2890">
        <v>4.8119341281874339E-2</v>
      </c>
      <c r="G5242" s="2890">
        <v>50.100572749177601</v>
      </c>
    </row>
    <row r="5243" spans="2:7" ht="15" hidden="1" outlineLevel="2">
      <c r="B5243" s="2889" t="s">
        <v>1640</v>
      </c>
      <c r="C5243" s="2889" t="s">
        <v>1414</v>
      </c>
      <c r="D5243" s="2889" t="s">
        <v>197</v>
      </c>
      <c r="E5243" s="2889" t="s">
        <v>217</v>
      </c>
      <c r="F5243" s="2890">
        <v>1.4778583799093805E-2</v>
      </c>
      <c r="G5243" s="2890">
        <v>15.324270609494237</v>
      </c>
    </row>
    <row r="5244" spans="2:7" ht="15" hidden="1" outlineLevel="2">
      <c r="B5244" s="2889" t="s">
        <v>1641</v>
      </c>
      <c r="C5244" s="2889" t="s">
        <v>1414</v>
      </c>
      <c r="D5244" s="2889" t="s">
        <v>197</v>
      </c>
      <c r="E5244" s="2889" t="s">
        <v>217</v>
      </c>
      <c r="F5244" s="2890">
        <v>1.8067410270553891E-2</v>
      </c>
      <c r="G5244" s="2890">
        <v>18.757949143869368</v>
      </c>
    </row>
    <row r="5245" spans="2:7" ht="15" hidden="1" outlineLevel="2">
      <c r="B5245" s="2889" t="s">
        <v>1642</v>
      </c>
      <c r="C5245" s="2889" t="s">
        <v>1414</v>
      </c>
      <c r="D5245" s="2889" t="s">
        <v>197</v>
      </c>
      <c r="E5245" s="2889" t="s">
        <v>217</v>
      </c>
      <c r="F5245" s="2890">
        <v>8.1960559538365729E-3</v>
      </c>
      <c r="G5245" s="2890">
        <v>8.5093134761534923</v>
      </c>
    </row>
    <row r="5246" spans="2:7" ht="15" hidden="1" outlineLevel="2">
      <c r="B5246" s="2889" t="s">
        <v>1643</v>
      </c>
      <c r="C5246" s="2889" t="s">
        <v>1414</v>
      </c>
      <c r="D5246" s="2889" t="s">
        <v>197</v>
      </c>
      <c r="E5246" s="2889" t="s">
        <v>217</v>
      </c>
      <c r="F5246" s="2890">
        <v>4.0095269884675926E-2</v>
      </c>
      <c r="G5246" s="2890">
        <v>41.565346769197689</v>
      </c>
    </row>
    <row r="5247" spans="2:7" ht="15" hidden="1" outlineLevel="2">
      <c r="B5247" s="2889" t="s">
        <v>1644</v>
      </c>
      <c r="C5247" s="2889" t="s">
        <v>1414</v>
      </c>
      <c r="D5247" s="2889" t="s">
        <v>197</v>
      </c>
      <c r="E5247" s="2889" t="s">
        <v>217</v>
      </c>
      <c r="F5247" s="2890">
        <v>1.7502518150407449E-2</v>
      </c>
      <c r="G5247" s="2890">
        <v>18.223151866174312</v>
      </c>
    </row>
    <row r="5248" spans="2:7" ht="15" hidden="1" outlineLevel="2">
      <c r="B5248" s="2889" t="s">
        <v>1645</v>
      </c>
      <c r="C5248" s="2889" t="s">
        <v>1414</v>
      </c>
      <c r="D5248" s="2889" t="s">
        <v>197</v>
      </c>
      <c r="E5248" s="2889" t="s">
        <v>217</v>
      </c>
      <c r="F5248" s="2890">
        <v>6.8431073461608519E-3</v>
      </c>
      <c r="G5248" s="2890">
        <v>7.1248593543095451</v>
      </c>
    </row>
    <row r="5249" spans="2:7" ht="15" hidden="1" outlineLevel="2">
      <c r="B5249" s="2889" t="s">
        <v>1646</v>
      </c>
      <c r="C5249" s="2889" t="s">
        <v>1414</v>
      </c>
      <c r="D5249" s="2889" t="s">
        <v>197</v>
      </c>
      <c r="E5249" s="2889" t="s">
        <v>217</v>
      </c>
      <c r="F5249" s="2890">
        <v>4.9470071073057571E-2</v>
      </c>
      <c r="G5249" s="2890">
        <v>51.360815695897756</v>
      </c>
    </row>
    <row r="5250" spans="2:7" ht="15" hidden="1" outlineLevel="2">
      <c r="B5250" s="2889" t="s">
        <v>1647</v>
      </c>
      <c r="C5250" s="2889" t="s">
        <v>1414</v>
      </c>
      <c r="D5250" s="2889" t="s">
        <v>197</v>
      </c>
      <c r="E5250" s="2889" t="s">
        <v>217</v>
      </c>
      <c r="F5250" s="2890">
        <v>1.3498737490036128E-2</v>
      </c>
      <c r="G5250" s="2890">
        <v>14.085486023776323</v>
      </c>
    </row>
    <row r="5251" spans="2:7" ht="15" hidden="1" outlineLevel="2">
      <c r="B5251" s="2889" t="s">
        <v>1648</v>
      </c>
      <c r="C5251" s="2889" t="s">
        <v>1414</v>
      </c>
      <c r="D5251" s="2889" t="s">
        <v>197</v>
      </c>
      <c r="E5251" s="2889" t="s">
        <v>217</v>
      </c>
      <c r="F5251" s="2890">
        <v>1.5328790279751548E-2</v>
      </c>
      <c r="G5251" s="2890">
        <v>16.01831032055232</v>
      </c>
    </row>
    <row r="5252" spans="2:7" ht="15" hidden="1" outlineLevel="2">
      <c r="B5252" s="2889" t="s">
        <v>1649</v>
      </c>
      <c r="C5252" s="2889" t="s">
        <v>1414</v>
      </c>
      <c r="D5252" s="2889" t="s">
        <v>197</v>
      </c>
      <c r="E5252" s="2889" t="s">
        <v>217</v>
      </c>
      <c r="F5252" s="2890">
        <v>3.17236458417035E-2</v>
      </c>
      <c r="G5252" s="2890">
        <v>33.102579577477066</v>
      </c>
    </row>
    <row r="5253" spans="2:7" ht="15" hidden="1" outlineLevel="2">
      <c r="B5253" s="2889" t="s">
        <v>1650</v>
      </c>
      <c r="C5253" s="2889" t="s">
        <v>1414</v>
      </c>
      <c r="D5253" s="2889" t="s">
        <v>197</v>
      </c>
      <c r="E5253" s="2889" t="s">
        <v>217</v>
      </c>
      <c r="F5253" s="2890">
        <v>2.917433019709776E-2</v>
      </c>
      <c r="G5253" s="2890">
        <v>30.251556081785765</v>
      </c>
    </row>
    <row r="5254" spans="2:7" ht="15" hidden="1" outlineLevel="2">
      <c r="B5254" s="2889" t="s">
        <v>1651</v>
      </c>
      <c r="C5254" s="2889" t="s">
        <v>1414</v>
      </c>
      <c r="D5254" s="2889" t="s">
        <v>197</v>
      </c>
      <c r="E5254" s="2889" t="s">
        <v>217</v>
      </c>
      <c r="F5254" s="2890">
        <v>2.2268920797414347E-2</v>
      </c>
      <c r="G5254" s="2890">
        <v>23.236881716136118</v>
      </c>
    </row>
    <row r="5255" spans="2:7" ht="15" hidden="1" outlineLevel="2">
      <c r="B5255" s="2889" t="s">
        <v>1652</v>
      </c>
      <c r="C5255" s="2889" t="s">
        <v>1414</v>
      </c>
      <c r="D5255" s="2889" t="s">
        <v>197</v>
      </c>
      <c r="E5255" s="2889" t="s">
        <v>217</v>
      </c>
      <c r="F5255" s="2890">
        <v>3.3855200425178665E-2</v>
      </c>
      <c r="G5255" s="2890">
        <v>35.32679399798608</v>
      </c>
    </row>
    <row r="5256" spans="2:7" ht="15" hidden="1" outlineLevel="2">
      <c r="B5256" s="2889" t="s">
        <v>1653</v>
      </c>
      <c r="C5256" s="2889" t="s">
        <v>1414</v>
      </c>
      <c r="D5256" s="2889" t="s">
        <v>197</v>
      </c>
      <c r="E5256" s="2889" t="s">
        <v>217</v>
      </c>
      <c r="F5256" s="2890">
        <v>1.6597304970493812E-33</v>
      </c>
      <c r="G5256" s="2890">
        <v>2.1675830777834775E-30</v>
      </c>
    </row>
    <row r="5257" spans="2:7" ht="15" hidden="1" outlineLevel="2">
      <c r="B5257" s="2889" t="s">
        <v>1407</v>
      </c>
      <c r="C5257" s="2889" t="s">
        <v>1415</v>
      </c>
      <c r="D5257" s="2889" t="s">
        <v>197</v>
      </c>
      <c r="E5257" s="2889" t="s">
        <v>217</v>
      </c>
      <c r="F5257" s="2890">
        <v>1.3241117115386706E-2</v>
      </c>
      <c r="G5257" s="2890">
        <v>8.9540046803672304</v>
      </c>
    </row>
    <row r="5258" spans="2:7" ht="15" hidden="1" outlineLevel="2">
      <c r="B5258" s="2889" t="s">
        <v>1631</v>
      </c>
      <c r="C5258" s="2889" t="s">
        <v>1415</v>
      </c>
      <c r="D5258" s="2889" t="s">
        <v>197</v>
      </c>
      <c r="E5258" s="2889" t="s">
        <v>217</v>
      </c>
      <c r="F5258" s="2890">
        <v>2.4834482234941391E-2</v>
      </c>
      <c r="G5258" s="2890">
        <v>16.644039048352433</v>
      </c>
    </row>
    <row r="5259" spans="2:7" ht="15" hidden="1" outlineLevel="2">
      <c r="B5259" s="2889" t="s">
        <v>1632</v>
      </c>
      <c r="C5259" s="2889" t="s">
        <v>1415</v>
      </c>
      <c r="D5259" s="2889" t="s">
        <v>197</v>
      </c>
      <c r="E5259" s="2889" t="s">
        <v>217</v>
      </c>
      <c r="F5259" s="2890">
        <v>5.029563892653844E-2</v>
      </c>
      <c r="G5259" s="2890">
        <v>34.049648477356506</v>
      </c>
    </row>
    <row r="5260" spans="2:7" ht="15" hidden="1" outlineLevel="2">
      <c r="B5260" s="2889" t="s">
        <v>1633</v>
      </c>
      <c r="C5260" s="2889" t="s">
        <v>1415</v>
      </c>
      <c r="D5260" s="2889" t="s">
        <v>197</v>
      </c>
      <c r="E5260" s="2889" t="s">
        <v>217</v>
      </c>
      <c r="F5260" s="2890">
        <v>1.7653214269495492E-2</v>
      </c>
      <c r="G5260" s="2890">
        <v>11.981732881397019</v>
      </c>
    </row>
    <row r="5261" spans="2:7" ht="15" hidden="1" outlineLevel="2">
      <c r="B5261" s="2889" t="s">
        <v>1634</v>
      </c>
      <c r="C5261" s="2889" t="s">
        <v>1415</v>
      </c>
      <c r="D5261" s="2889" t="s">
        <v>197</v>
      </c>
      <c r="E5261" s="2889" t="s">
        <v>217</v>
      </c>
      <c r="F5261" s="2890">
        <v>0.11468091640277145</v>
      </c>
      <c r="G5261" s="2890">
        <v>77.991774755330084</v>
      </c>
    </row>
    <row r="5262" spans="2:7" ht="15" hidden="1" outlineLevel="2">
      <c r="B5262" s="2889" t="s">
        <v>1635</v>
      </c>
      <c r="C5262" s="2889" t="s">
        <v>1415</v>
      </c>
      <c r="D5262" s="2889" t="s">
        <v>197</v>
      </c>
      <c r="E5262" s="2889" t="s">
        <v>217</v>
      </c>
      <c r="F5262" s="2890">
        <v>0.13038060703548562</v>
      </c>
      <c r="G5262" s="2890">
        <v>88.266382977534363</v>
      </c>
    </row>
    <row r="5263" spans="2:7" ht="15" hidden="1" outlineLevel="2">
      <c r="B5263" s="2889" t="s">
        <v>1636</v>
      </c>
      <c r="C5263" s="2889" t="s">
        <v>1415</v>
      </c>
      <c r="D5263" s="2889" t="s">
        <v>197</v>
      </c>
      <c r="E5263" s="2889" t="s">
        <v>217</v>
      </c>
      <c r="F5263" s="2890">
        <v>6.3394373353471298E-2</v>
      </c>
      <c r="G5263" s="2890">
        <v>42.921398396968961</v>
      </c>
    </row>
    <row r="5264" spans="2:7" ht="15" hidden="1" outlineLevel="2">
      <c r="B5264" s="2889" t="s">
        <v>1637</v>
      </c>
      <c r="C5264" s="2889" t="s">
        <v>1415</v>
      </c>
      <c r="D5264" s="2889" t="s">
        <v>197</v>
      </c>
      <c r="E5264" s="2889" t="s">
        <v>217</v>
      </c>
      <c r="F5264" s="2890">
        <v>2.9726119619235349E-2</v>
      </c>
      <c r="G5264" s="2890">
        <v>20.175935659371035</v>
      </c>
    </row>
    <row r="5265" spans="2:7" ht="15" hidden="1" outlineLevel="2">
      <c r="B5265" s="2889" t="s">
        <v>1638</v>
      </c>
      <c r="C5265" s="2889" t="s">
        <v>1415</v>
      </c>
      <c r="D5265" s="2889" t="s">
        <v>197</v>
      </c>
      <c r="E5265" s="2889" t="s">
        <v>217</v>
      </c>
      <c r="F5265" s="2890">
        <v>0.10349171854710809</v>
      </c>
      <c r="G5265" s="2890">
        <v>70.382246672353133</v>
      </c>
    </row>
    <row r="5266" spans="2:7" ht="15" hidden="1" outlineLevel="2">
      <c r="B5266" s="2889" t="s">
        <v>1639</v>
      </c>
      <c r="C5266" s="2889" t="s">
        <v>1415</v>
      </c>
      <c r="D5266" s="2889" t="s">
        <v>197</v>
      </c>
      <c r="E5266" s="2889" t="s">
        <v>217</v>
      </c>
      <c r="F5266" s="2890">
        <v>0.15822353263029929</v>
      </c>
      <c r="G5266" s="2890">
        <v>107.39060647665133</v>
      </c>
    </row>
    <row r="5267" spans="2:7" ht="15" hidden="1" outlineLevel="2">
      <c r="B5267" s="2889" t="s">
        <v>1640</v>
      </c>
      <c r="C5267" s="2889" t="s">
        <v>1415</v>
      </c>
      <c r="D5267" s="2889" t="s">
        <v>197</v>
      </c>
      <c r="E5267" s="2889" t="s">
        <v>217</v>
      </c>
      <c r="F5267" s="3039">
        <v>4.857477310507187E-2</v>
      </c>
      <c r="G5267" s="2890">
        <v>32.847597261163898</v>
      </c>
    </row>
    <row r="5268" spans="2:7" ht="15" hidden="1" outlineLevel="2">
      <c r="B5268" s="2889" t="s">
        <v>1641</v>
      </c>
      <c r="C5268" s="2889" t="s">
        <v>1415</v>
      </c>
      <c r="D5268" s="2889" t="s">
        <v>197</v>
      </c>
      <c r="E5268" s="2889" t="s">
        <v>217</v>
      </c>
      <c r="F5268" s="3039">
        <v>5.9391841985835227E-2</v>
      </c>
      <c r="G5268" s="2890">
        <v>40.207691991214887</v>
      </c>
    </row>
    <row r="5269" spans="2:7" ht="15" hidden="1" outlineLevel="2">
      <c r="B5269" s="2889" t="s">
        <v>1642</v>
      </c>
      <c r="C5269" s="2889" t="s">
        <v>1415</v>
      </c>
      <c r="D5269" s="2889" t="s">
        <v>197</v>
      </c>
      <c r="E5269" s="2889" t="s">
        <v>217</v>
      </c>
      <c r="F5269" s="3039">
        <v>2.6942356916585523E-2</v>
      </c>
      <c r="G5269" s="2890">
        <v>18.239721171412143</v>
      </c>
    </row>
    <row r="5270" spans="2:7" ht="15" hidden="1" outlineLevel="2">
      <c r="B5270" s="2889" t="s">
        <v>1643</v>
      </c>
      <c r="C5270" s="2889" t="s">
        <v>1415</v>
      </c>
      <c r="D5270" s="2889" t="s">
        <v>197</v>
      </c>
      <c r="E5270" s="2889" t="s">
        <v>217</v>
      </c>
      <c r="F5270" s="3039">
        <v>0.13178336380759276</v>
      </c>
      <c r="G5270" s="2890">
        <v>89.095361805530487</v>
      </c>
    </row>
    <row r="5271" spans="2:7" ht="15" hidden="1" outlineLevel="2">
      <c r="B5271" s="2889" t="s">
        <v>1644</v>
      </c>
      <c r="C5271" s="2889" t="s">
        <v>1415</v>
      </c>
      <c r="D5271" s="2889" t="s">
        <v>197</v>
      </c>
      <c r="E5271" s="2889" t="s">
        <v>217</v>
      </c>
      <c r="F5271" s="3039">
        <v>5.7550897944251111E-2</v>
      </c>
      <c r="G5271" s="2890">
        <v>39.061338724013808</v>
      </c>
    </row>
    <row r="5272" spans="2:7" ht="15" hidden="1" outlineLevel="2">
      <c r="B5272" s="2889" t="s">
        <v>1645</v>
      </c>
      <c r="C5272" s="2889" t="s">
        <v>1415</v>
      </c>
      <c r="D5272" s="2889" t="s">
        <v>197</v>
      </c>
      <c r="E5272" s="2889" t="s">
        <v>217</v>
      </c>
      <c r="F5272" s="3039">
        <v>2.2501150080422909E-2</v>
      </c>
      <c r="G5272" s="2890">
        <v>15.272156507810053</v>
      </c>
    </row>
    <row r="5273" spans="2:7" ht="15" hidden="1" outlineLevel="2">
      <c r="B5273" s="2889" t="s">
        <v>1646</v>
      </c>
      <c r="C5273" s="2889" t="s">
        <v>1415</v>
      </c>
      <c r="D5273" s="2889" t="s">
        <v>197</v>
      </c>
      <c r="E5273" s="2889" t="s">
        <v>217</v>
      </c>
      <c r="F5273" s="3039">
        <v>0.16261972144537795</v>
      </c>
      <c r="G5273" s="2890">
        <v>110.09187011362901</v>
      </c>
    </row>
    <row r="5274" spans="2:7" ht="15" hidden="1" outlineLevel="2">
      <c r="B5274" s="2889" t="s">
        <v>1647</v>
      </c>
      <c r="C5274" s="2889" t="s">
        <v>1415</v>
      </c>
      <c r="D5274" s="2889" t="s">
        <v>197</v>
      </c>
      <c r="E5274" s="2889" t="s">
        <v>217</v>
      </c>
      <c r="F5274" s="2890">
        <v>4.4395387385369509E-2</v>
      </c>
      <c r="G5274" s="2890">
        <v>30.192255620822149</v>
      </c>
    </row>
    <row r="5275" spans="2:7" ht="15" hidden="1" outlineLevel="2">
      <c r="B5275" s="2889" t="s">
        <v>1648</v>
      </c>
      <c r="C5275" s="2889" t="s">
        <v>1415</v>
      </c>
      <c r="D5275" s="2889" t="s">
        <v>197</v>
      </c>
      <c r="E5275" s="2889" t="s">
        <v>217</v>
      </c>
      <c r="F5275" s="2890">
        <v>5.0421339997414646E-2</v>
      </c>
      <c r="G5275" s="2890">
        <v>34.335270738461595</v>
      </c>
    </row>
    <row r="5276" spans="2:7" ht="15" hidden="1" outlineLevel="2">
      <c r="B5276" s="2889" t="s">
        <v>1649</v>
      </c>
      <c r="C5276" s="2889" t="s">
        <v>1415</v>
      </c>
      <c r="D5276" s="2889" t="s">
        <v>197</v>
      </c>
      <c r="E5276" s="2889" t="s">
        <v>217</v>
      </c>
      <c r="F5276" s="2890">
        <v>0.1043344968080278</v>
      </c>
      <c r="G5276" s="2890">
        <v>70.955437534597422</v>
      </c>
    </row>
    <row r="5277" spans="2:7" ht="15" hidden="1" outlineLevel="2">
      <c r="B5277" s="2889" t="s">
        <v>1650</v>
      </c>
      <c r="C5277" s="2889" t="s">
        <v>1415</v>
      </c>
      <c r="D5277" s="2889" t="s">
        <v>197</v>
      </c>
      <c r="E5277" s="2889" t="s">
        <v>217</v>
      </c>
      <c r="F5277" s="3039">
        <v>9.589122851983109E-2</v>
      </c>
      <c r="G5277" s="2890">
        <v>64.844232202589751</v>
      </c>
    </row>
    <row r="5278" spans="2:7" ht="15" hidden="1" outlineLevel="2">
      <c r="B5278" s="2889" t="s">
        <v>1651</v>
      </c>
      <c r="C5278" s="2889" t="s">
        <v>1415</v>
      </c>
      <c r="D5278" s="2889" t="s">
        <v>197</v>
      </c>
      <c r="E5278" s="2889" t="s">
        <v>217</v>
      </c>
      <c r="F5278" s="2890">
        <v>7.3239258185491332E-2</v>
      </c>
      <c r="G5278" s="2890">
        <v>49.808282798379317</v>
      </c>
    </row>
    <row r="5279" spans="2:7" ht="15" hidden="1" outlineLevel="2">
      <c r="B5279" s="2889" t="s">
        <v>1652</v>
      </c>
      <c r="C5279" s="2889" t="s">
        <v>1415</v>
      </c>
      <c r="D5279" s="2889" t="s">
        <v>197</v>
      </c>
      <c r="E5279" s="2889" t="s">
        <v>217</v>
      </c>
      <c r="F5279" s="2890">
        <v>0.11134485324987248</v>
      </c>
      <c r="G5279" s="2890">
        <v>75.723021232441809</v>
      </c>
    </row>
    <row r="5280" spans="2:7" ht="15" hidden="1" outlineLevel="2">
      <c r="B5280" s="2889" t="s">
        <v>1653</v>
      </c>
      <c r="C5280" s="2889" t="s">
        <v>1415</v>
      </c>
      <c r="D5280" s="2889" t="s">
        <v>197</v>
      </c>
      <c r="E5280" s="2889" t="s">
        <v>217</v>
      </c>
      <c r="F5280" s="3039">
        <v>3.2387271652855731E-33</v>
      </c>
      <c r="G5280" s="2890">
        <v>2.1925866068221845E-30</v>
      </c>
    </row>
    <row r="5281" spans="2:7" ht="15" hidden="1" outlineLevel="2">
      <c r="B5281" s="2889" t="s">
        <v>1407</v>
      </c>
      <c r="C5281" s="2889" t="s">
        <v>1416</v>
      </c>
      <c r="D5281" s="2889" t="s">
        <v>197</v>
      </c>
      <c r="E5281" s="2889" t="s">
        <v>217</v>
      </c>
      <c r="F5281" s="2890">
        <v>1.4874603130603078E-3</v>
      </c>
      <c r="G5281" s="2890">
        <v>1.9480616581416537</v>
      </c>
    </row>
    <row r="5282" spans="2:7" ht="15" hidden="1" outlineLevel="2">
      <c r="B5282" s="2889" t="s">
        <v>1631</v>
      </c>
      <c r="C5282" s="2889" t="s">
        <v>1416</v>
      </c>
      <c r="D5282" s="2889" t="s">
        <v>197</v>
      </c>
      <c r="E5282" s="2889" t="s">
        <v>217</v>
      </c>
      <c r="F5282" s="2890">
        <v>2.7867262661299174E-3</v>
      </c>
      <c r="G5282" s="2890">
        <v>3.6211278552893913</v>
      </c>
    </row>
    <row r="5283" spans="2:7" ht="15" hidden="1" outlineLevel="2">
      <c r="B5283" s="2889" t="s">
        <v>1632</v>
      </c>
      <c r="C5283" s="2889" t="s">
        <v>1416</v>
      </c>
      <c r="D5283" s="2889" t="s">
        <v>197</v>
      </c>
      <c r="E5283" s="2889" t="s">
        <v>217</v>
      </c>
      <c r="F5283" s="2890">
        <v>5.6508224740235164E-3</v>
      </c>
      <c r="G5283" s="2890">
        <v>7.4079452945079707</v>
      </c>
    </row>
    <row r="5284" spans="2:7" ht="15" hidden="1" outlineLevel="2">
      <c r="B5284" s="2889" t="s">
        <v>1633</v>
      </c>
      <c r="C5284" s="2889" t="s">
        <v>1416</v>
      </c>
      <c r="D5284" s="2889" t="s">
        <v>197</v>
      </c>
      <c r="E5284" s="2889" t="s">
        <v>217</v>
      </c>
      <c r="F5284" s="3039">
        <v>1.9840091501422052E-3</v>
      </c>
      <c r="G5284" s="2890">
        <v>2.6067809643422444</v>
      </c>
    </row>
    <row r="5285" spans="2:7" ht="15" hidden="1" outlineLevel="2">
      <c r="B5285" s="2889" t="s">
        <v>1634</v>
      </c>
      <c r="C5285" s="2889" t="s">
        <v>1416</v>
      </c>
      <c r="D5285" s="2889" t="s">
        <v>197</v>
      </c>
      <c r="E5285" s="2889" t="s">
        <v>217</v>
      </c>
      <c r="F5285" s="3039">
        <v>1.2891951052548228E-2</v>
      </c>
      <c r="G5285" s="2890">
        <v>16.968123570809578</v>
      </c>
    </row>
    <row r="5286" spans="2:7" ht="15" hidden="1" outlineLevel="2">
      <c r="B5286" s="2889" t="s">
        <v>1635</v>
      </c>
      <c r="C5286" s="2889" t="s">
        <v>1416</v>
      </c>
      <c r="D5286" s="2889" t="s">
        <v>197</v>
      </c>
      <c r="E5286" s="2889" t="s">
        <v>217</v>
      </c>
      <c r="F5286" s="3039">
        <v>1.464853929319033E-2</v>
      </c>
      <c r="G5286" s="2890">
        <v>19.203503086775562</v>
      </c>
    </row>
    <row r="5287" spans="2:7" ht="15" hidden="1" outlineLevel="2">
      <c r="B5287" s="2889" t="s">
        <v>1636</v>
      </c>
      <c r="C5287" s="2889" t="s">
        <v>1416</v>
      </c>
      <c r="D5287" s="2889" t="s">
        <v>197</v>
      </c>
      <c r="E5287" s="2889" t="s">
        <v>217</v>
      </c>
      <c r="F5287" s="2890">
        <v>7.1225733854141261E-3</v>
      </c>
      <c r="G5287" s="2890">
        <v>9.3381137691202678</v>
      </c>
    </row>
    <row r="5288" spans="2:7" ht="15" hidden="1" outlineLevel="2">
      <c r="B5288" s="2889" t="s">
        <v>1637</v>
      </c>
      <c r="C5288" s="2889" t="s">
        <v>1416</v>
      </c>
      <c r="D5288" s="2889" t="s">
        <v>197</v>
      </c>
      <c r="E5288" s="2889" t="s">
        <v>217</v>
      </c>
      <c r="F5288" s="2890">
        <v>3.3408586747085012E-3</v>
      </c>
      <c r="G5288" s="2890">
        <v>4.3895371853479501</v>
      </c>
    </row>
    <row r="5289" spans="2:7" ht="15" hidden="1" outlineLevel="2">
      <c r="B5289" s="2889" t="s">
        <v>1638</v>
      </c>
      <c r="C5289" s="2889" t="s">
        <v>1416</v>
      </c>
      <c r="D5289" s="2889" t="s">
        <v>197</v>
      </c>
      <c r="E5289" s="2889" t="s">
        <v>217</v>
      </c>
      <c r="F5289" s="2890">
        <v>1.1634102916539364E-2</v>
      </c>
      <c r="G5289" s="2890">
        <v>15.312572825631575</v>
      </c>
    </row>
    <row r="5290" spans="2:7" ht="15" hidden="1" outlineLevel="2">
      <c r="B5290" s="2889" t="s">
        <v>1639</v>
      </c>
      <c r="C5290" s="2889" t="s">
        <v>1416</v>
      </c>
      <c r="D5290" s="2889" t="s">
        <v>197</v>
      </c>
      <c r="E5290" s="2889" t="s">
        <v>217</v>
      </c>
      <c r="F5290" s="2890">
        <v>1.7782416882123453E-2</v>
      </c>
      <c r="G5290" s="2890">
        <v>23.364221528448127</v>
      </c>
    </row>
    <row r="5291" spans="2:7" ht="15" hidden="1" outlineLevel="2">
      <c r="B5291" s="2889" t="s">
        <v>1640</v>
      </c>
      <c r="C5291" s="2889" t="s">
        <v>1416</v>
      </c>
      <c r="D5291" s="2889" t="s">
        <v>197</v>
      </c>
      <c r="E5291" s="2889" t="s">
        <v>217</v>
      </c>
      <c r="F5291" s="2890">
        <v>5.4567147002255326E-3</v>
      </c>
      <c r="G5291" s="2890">
        <v>7.1464210982750052</v>
      </c>
    </row>
    <row r="5292" spans="2:7" ht="15" hidden="1" outlineLevel="2">
      <c r="B5292" s="2889" t="s">
        <v>1641</v>
      </c>
      <c r="C5292" s="2889" t="s">
        <v>1416</v>
      </c>
      <c r="D5292" s="2889" t="s">
        <v>197</v>
      </c>
      <c r="E5292" s="2889" t="s">
        <v>217</v>
      </c>
      <c r="F5292" s="2890">
        <v>6.6727953699173021E-3</v>
      </c>
      <c r="G5292" s="2890">
        <v>8.7477080344205067</v>
      </c>
    </row>
    <row r="5293" spans="2:7" ht="15" hidden="1" outlineLevel="2">
      <c r="B5293" s="2889" t="s">
        <v>1642</v>
      </c>
      <c r="C5293" s="2889" t="s">
        <v>1416</v>
      </c>
      <c r="D5293" s="2889" t="s">
        <v>197</v>
      </c>
      <c r="E5293" s="2889" t="s">
        <v>217</v>
      </c>
      <c r="F5293" s="2890">
        <v>3.0270320949908449E-3</v>
      </c>
      <c r="G5293" s="2890">
        <v>3.9682871461072908</v>
      </c>
    </row>
    <row r="5294" spans="2:7" ht="15" hidden="1" outlineLevel="2">
      <c r="B5294" s="2889" t="s">
        <v>1643</v>
      </c>
      <c r="C5294" s="2889" t="s">
        <v>1416</v>
      </c>
      <c r="D5294" s="2889" t="s">
        <v>197</v>
      </c>
      <c r="E5294" s="2889" t="s">
        <v>217</v>
      </c>
      <c r="F5294" s="2890">
        <v>1.4803643191125569E-2</v>
      </c>
      <c r="G5294" s="2890">
        <v>19.383859592415597</v>
      </c>
    </row>
    <row r="5295" spans="2:7" ht="15" hidden="1" outlineLevel="2">
      <c r="B5295" s="2889" t="s">
        <v>1644</v>
      </c>
      <c r="C5295" s="2889" t="s">
        <v>1416</v>
      </c>
      <c r="D5295" s="2889" t="s">
        <v>197</v>
      </c>
      <c r="E5295" s="2889" t="s">
        <v>217</v>
      </c>
      <c r="F5295" s="2890">
        <v>6.4680239181768781E-3</v>
      </c>
      <c r="G5295" s="2890">
        <v>8.4983040958436575</v>
      </c>
    </row>
    <row r="5296" spans="2:7" ht="15" hidden="1" outlineLevel="2">
      <c r="B5296" s="2889" t="s">
        <v>1645</v>
      </c>
      <c r="C5296" s="2889" t="s">
        <v>1416</v>
      </c>
      <c r="D5296" s="2889" t="s">
        <v>197</v>
      </c>
      <c r="E5296" s="2889" t="s">
        <v>217</v>
      </c>
      <c r="F5296" s="2890">
        <v>2.5288582676869609E-3</v>
      </c>
      <c r="G5296" s="2890">
        <v>3.3226547161907241</v>
      </c>
    </row>
    <row r="5297" spans="2:7" ht="15" hidden="1" outlineLevel="2">
      <c r="B5297" s="2889" t="s">
        <v>1646</v>
      </c>
      <c r="C5297" s="2889" t="s">
        <v>1416</v>
      </c>
      <c r="D5297" s="2889" t="s">
        <v>197</v>
      </c>
      <c r="E5297" s="2889" t="s">
        <v>217</v>
      </c>
      <c r="F5297" s="2890">
        <v>1.8270670175817405E-2</v>
      </c>
      <c r="G5297" s="2890">
        <v>23.951939243276328</v>
      </c>
    </row>
    <row r="5298" spans="2:7" ht="15" hidden="1" outlineLevel="2">
      <c r="B5298" s="2889" t="s">
        <v>1647</v>
      </c>
      <c r="C5298" s="2889" t="s">
        <v>1416</v>
      </c>
      <c r="D5298" s="2889" t="s">
        <v>197</v>
      </c>
      <c r="E5298" s="2889" t="s">
        <v>217</v>
      </c>
      <c r="F5298" s="3039">
        <v>4.9907448448321635E-3</v>
      </c>
      <c r="G5298" s="2890">
        <v>6.568718095452768</v>
      </c>
    </row>
    <row r="5299" spans="2:7" ht="15" hidden="1" outlineLevel="2">
      <c r="B5299" s="2889" t="s">
        <v>1648</v>
      </c>
      <c r="C5299" s="2889" t="s">
        <v>1416</v>
      </c>
      <c r="D5299" s="2889" t="s">
        <v>197</v>
      </c>
      <c r="E5299" s="2889" t="s">
        <v>217</v>
      </c>
      <c r="F5299" s="3039">
        <v>5.6690849032878616E-3</v>
      </c>
      <c r="G5299" s="2890">
        <v>6.6953415830537093</v>
      </c>
    </row>
    <row r="5300" spans="2:7" ht="15" hidden="1" outlineLevel="2">
      <c r="B5300" s="2889" t="s">
        <v>1649</v>
      </c>
      <c r="C5300" s="2889" t="s">
        <v>1416</v>
      </c>
      <c r="D5300" s="2889" t="s">
        <v>197</v>
      </c>
      <c r="E5300" s="2889" t="s">
        <v>217</v>
      </c>
      <c r="F5300" s="2890">
        <v>1.172885058721109E-2</v>
      </c>
      <c r="G5300" s="2890">
        <v>15.43726916626974</v>
      </c>
    </row>
    <row r="5301" spans="2:7" ht="15" hidden="1" outlineLevel="2">
      <c r="B5301" s="2889" t="s">
        <v>1650</v>
      </c>
      <c r="C5301" s="2889" t="s">
        <v>1416</v>
      </c>
      <c r="D5301" s="2889" t="s">
        <v>197</v>
      </c>
      <c r="E5301" s="2889" t="s">
        <v>217</v>
      </c>
      <c r="F5301" s="2890">
        <v>1.077206701464356E-2</v>
      </c>
      <c r="G5301" s="2890">
        <v>14.107712605452319</v>
      </c>
    </row>
    <row r="5302" spans="2:7" ht="15" hidden="1" outlineLevel="2">
      <c r="B5302" s="2889" t="s">
        <v>1651</v>
      </c>
      <c r="C5302" s="2889" t="s">
        <v>1416</v>
      </c>
      <c r="D5302" s="2889" t="s">
        <v>197</v>
      </c>
      <c r="E5302" s="2889" t="s">
        <v>217</v>
      </c>
      <c r="F5302" s="2890">
        <v>8.2332517713019828E-3</v>
      </c>
      <c r="G5302" s="2890">
        <v>10.836435626843578</v>
      </c>
    </row>
    <row r="5303" spans="2:7" ht="15" hidden="1" outlineLevel="2">
      <c r="B5303" s="2889" t="s">
        <v>1652</v>
      </c>
      <c r="C5303" s="2889" t="s">
        <v>1416</v>
      </c>
      <c r="D5303" s="2889" t="s">
        <v>197</v>
      </c>
      <c r="E5303" s="2889" t="s">
        <v>217</v>
      </c>
      <c r="F5303" s="2890">
        <v>1.2516919994073655E-2</v>
      </c>
      <c r="G5303" s="2890">
        <v>16.474525303320039</v>
      </c>
    </row>
    <row r="5304" spans="2:7" ht="15" hidden="1" outlineLevel="2">
      <c r="B5304" s="2889" t="s">
        <v>1653</v>
      </c>
      <c r="C5304" s="2889" t="s">
        <v>1416</v>
      </c>
      <c r="D5304" s="2889" t="s">
        <v>197</v>
      </c>
      <c r="E5304" s="2889" t="s">
        <v>217</v>
      </c>
      <c r="F5304" s="2890">
        <v>1.7007358932577879E-34</v>
      </c>
      <c r="G5304" s="2890">
        <v>2.2295797325932862E-31</v>
      </c>
    </row>
    <row r="5305" spans="2:7" ht="15" hidden="1" outlineLevel="2">
      <c r="B5305" s="2889" t="s">
        <v>1407</v>
      </c>
      <c r="C5305" s="2889" t="s">
        <v>1417</v>
      </c>
      <c r="D5305" s="2889" t="s">
        <v>197</v>
      </c>
      <c r="E5305" s="2889" t="s">
        <v>217</v>
      </c>
      <c r="F5305" s="2890">
        <v>2.215066134150906E-3</v>
      </c>
      <c r="G5305" s="2890">
        <v>2.8207847020052514</v>
      </c>
    </row>
    <row r="5306" spans="2:7" ht="15" hidden="1" outlineLevel="2">
      <c r="B5306" s="2889" t="s">
        <v>1631</v>
      </c>
      <c r="C5306" s="2889" t="s">
        <v>1417</v>
      </c>
      <c r="D5306" s="2889" t="s">
        <v>197</v>
      </c>
      <c r="E5306" s="2889" t="s">
        <v>217</v>
      </c>
      <c r="F5306" s="2890">
        <v>4.1530530340291695E-3</v>
      </c>
      <c r="G5306" s="2890">
        <v>5.2433787179537683</v>
      </c>
    </row>
    <row r="5307" spans="2:7" ht="15" hidden="1" outlineLevel="2">
      <c r="B5307" s="2889" t="s">
        <v>1632</v>
      </c>
      <c r="C5307" s="2889" t="s">
        <v>1417</v>
      </c>
      <c r="D5307" s="2889" t="s">
        <v>197</v>
      </c>
      <c r="E5307" s="2889" t="s">
        <v>217</v>
      </c>
      <c r="F5307" s="2890">
        <v>8.4141668842201006E-3</v>
      </c>
      <c r="G5307" s="2890">
        <v>10.726676957534073</v>
      </c>
    </row>
    <row r="5308" spans="2:7" ht="15" hidden="1" outlineLevel="2">
      <c r="B5308" s="2889" t="s">
        <v>1633</v>
      </c>
      <c r="C5308" s="2889" t="s">
        <v>1417</v>
      </c>
      <c r="D5308" s="2889" t="s">
        <v>197</v>
      </c>
      <c r="E5308" s="2889" t="s">
        <v>217</v>
      </c>
      <c r="F5308" s="2890">
        <v>2.9535746899304691E-3</v>
      </c>
      <c r="G5308" s="2890">
        <v>3.7746094324456823</v>
      </c>
    </row>
    <row r="5309" spans="2:7" ht="15" hidden="1" outlineLevel="2">
      <c r="B5309" s="2889" t="s">
        <v>1634</v>
      </c>
      <c r="C5309" s="2889" t="s">
        <v>1417</v>
      </c>
      <c r="D5309" s="2889" t="s">
        <v>197</v>
      </c>
      <c r="E5309" s="2889" t="s">
        <v>217</v>
      </c>
      <c r="F5309" s="2890">
        <v>1.9188828980499208E-2</v>
      </c>
      <c r="G5309" s="2890">
        <v>24.569786478312889</v>
      </c>
    </row>
    <row r="5310" spans="2:7" ht="15" hidden="1" outlineLevel="2">
      <c r="B5310" s="2889" t="s">
        <v>1635</v>
      </c>
      <c r="C5310" s="2889" t="s">
        <v>1417</v>
      </c>
      <c r="D5310" s="2889" t="s">
        <v>197</v>
      </c>
      <c r="E5310" s="2889" t="s">
        <v>217</v>
      </c>
      <c r="F5310" s="2890">
        <v>2.1811909129497094E-2</v>
      </c>
      <c r="G5310" s="2890">
        <v>27.806594654742522</v>
      </c>
    </row>
    <row r="5311" spans="2:7" ht="15" hidden="1" outlineLevel="2">
      <c r="B5311" s="2889" t="s">
        <v>1636</v>
      </c>
      <c r="C5311" s="2889" t="s">
        <v>1417</v>
      </c>
      <c r="D5311" s="2889" t="s">
        <v>197</v>
      </c>
      <c r="E5311" s="2889" t="s">
        <v>217</v>
      </c>
      <c r="F5311" s="2890">
        <v>1.0605546606865548E-2</v>
      </c>
      <c r="G5311" s="2890">
        <v>13.521540582852717</v>
      </c>
    </row>
    <row r="5312" spans="2:7" ht="15" hidden="1" outlineLevel="2">
      <c r="B5312" s="2889" t="s">
        <v>1637</v>
      </c>
      <c r="C5312" s="2889" t="s">
        <v>1417</v>
      </c>
      <c r="D5312" s="2889" t="s">
        <v>197</v>
      </c>
      <c r="E5312" s="2889" t="s">
        <v>217</v>
      </c>
      <c r="F5312" s="2890">
        <v>4.9735003324586488E-3</v>
      </c>
      <c r="G5312" s="2890">
        <v>6.3560321941518616</v>
      </c>
    </row>
    <row r="5313" spans="2:7" ht="15" hidden="1" outlineLevel="2">
      <c r="B5313" s="2889" t="s">
        <v>1638</v>
      </c>
      <c r="C5313" s="2889" t="s">
        <v>1417</v>
      </c>
      <c r="D5313" s="2889" t="s">
        <v>197</v>
      </c>
      <c r="E5313" s="2889" t="s">
        <v>217</v>
      </c>
      <c r="F5313" s="2890">
        <v>1.7316604904831764E-2</v>
      </c>
      <c r="G5313" s="2890">
        <v>22.172550741020299</v>
      </c>
    </row>
    <row r="5314" spans="2:7" ht="15" hidden="1" outlineLevel="2">
      <c r="B5314" s="2889" t="s">
        <v>1639</v>
      </c>
      <c r="C5314" s="2889" t="s">
        <v>1417</v>
      </c>
      <c r="D5314" s="2889" t="s">
        <v>197</v>
      </c>
      <c r="E5314" s="2889" t="s">
        <v>217</v>
      </c>
      <c r="F5314" s="2890">
        <v>2.6472490329112645E-2</v>
      </c>
      <c r="G5314" s="2890">
        <v>33.831321364383861</v>
      </c>
    </row>
    <row r="5315" spans="2:7" ht="15" hidden="1" outlineLevel="2">
      <c r="B5315" s="2889" t="s">
        <v>1640</v>
      </c>
      <c r="C5315" s="2889" t="s">
        <v>1417</v>
      </c>
      <c r="D5315" s="2889" t="s">
        <v>197</v>
      </c>
      <c r="E5315" s="2889" t="s">
        <v>217</v>
      </c>
      <c r="F5315" s="2890">
        <v>8.1259207032454359E-3</v>
      </c>
      <c r="G5315" s="2890">
        <v>10.347987776003336</v>
      </c>
    </row>
    <row r="5316" spans="2:7" ht="15" hidden="1" outlineLevel="2">
      <c r="B5316" s="2889" t="s">
        <v>1641</v>
      </c>
      <c r="C5316" s="2889" t="s">
        <v>1417</v>
      </c>
      <c r="D5316" s="2889" t="s">
        <v>197</v>
      </c>
      <c r="E5316" s="2889" t="s">
        <v>217</v>
      </c>
      <c r="F5316" s="2890">
        <v>9.9359073527342783E-3</v>
      </c>
      <c r="G5316" s="2890">
        <v>12.666645351755795</v>
      </c>
    </row>
    <row r="5317" spans="2:7" ht="15" hidden="1" outlineLevel="2">
      <c r="B5317" s="2889" t="s">
        <v>1642</v>
      </c>
      <c r="C5317" s="2889" t="s">
        <v>1417</v>
      </c>
      <c r="D5317" s="2889" t="s">
        <v>197</v>
      </c>
      <c r="E5317" s="2889" t="s">
        <v>217</v>
      </c>
      <c r="F5317" s="2890">
        <v>4.5072996671934751E-3</v>
      </c>
      <c r="G5317" s="2890">
        <v>5.7460663877013589</v>
      </c>
    </row>
    <row r="5318" spans="2:7" ht="15" hidden="1" outlineLevel="2">
      <c r="B5318" s="2889" t="s">
        <v>1643</v>
      </c>
      <c r="C5318" s="2889" t="s">
        <v>1417</v>
      </c>
      <c r="D5318" s="2889" t="s">
        <v>197</v>
      </c>
      <c r="E5318" s="2889" t="s">
        <v>217</v>
      </c>
      <c r="F5318" s="2890">
        <v>2.2045427173263826E-2</v>
      </c>
      <c r="G5318" s="2890">
        <v>28.067751329447976</v>
      </c>
    </row>
    <row r="5319" spans="2:7" ht="15" hidden="1" outlineLevel="2">
      <c r="B5319" s="2889" t="s">
        <v>1644</v>
      </c>
      <c r="C5319" s="2889" t="s">
        <v>1417</v>
      </c>
      <c r="D5319" s="2889" t="s">
        <v>197</v>
      </c>
      <c r="E5319" s="2889" t="s">
        <v>217</v>
      </c>
      <c r="F5319" s="2890">
        <v>9.628881013856453E-3</v>
      </c>
      <c r="G5319" s="2890">
        <v>12.305508742284458</v>
      </c>
    </row>
    <row r="5320" spans="2:7" ht="15" hidden="1" outlineLevel="2">
      <c r="B5320" s="2889" t="s">
        <v>1645</v>
      </c>
      <c r="C5320" s="2889" t="s">
        <v>1417</v>
      </c>
      <c r="D5320" s="2889" t="s">
        <v>197</v>
      </c>
      <c r="E5320" s="2889" t="s">
        <v>217</v>
      </c>
      <c r="F5320" s="2890">
        <v>3.7646825324488364E-3</v>
      </c>
      <c r="G5320" s="2890">
        <v>4.8111892509149765</v>
      </c>
    </row>
    <row r="5321" spans="2:7" ht="15" hidden="1" outlineLevel="2">
      <c r="B5321" s="2889" t="s">
        <v>1646</v>
      </c>
      <c r="C5321" s="2889" t="s">
        <v>1417</v>
      </c>
      <c r="D5321" s="2889" t="s">
        <v>197</v>
      </c>
      <c r="E5321" s="2889" t="s">
        <v>217</v>
      </c>
      <c r="F5321" s="2890">
        <v>2.720534114247768E-2</v>
      </c>
      <c r="G5321" s="2890">
        <v>34.682310343300664</v>
      </c>
    </row>
    <row r="5322" spans="2:7" ht="15" hidden="1" outlineLevel="2">
      <c r="B5322" s="2889" t="s">
        <v>1647</v>
      </c>
      <c r="C5322" s="2889" t="s">
        <v>1417</v>
      </c>
      <c r="D5322" s="2889" t="s">
        <v>197</v>
      </c>
      <c r="E5322" s="2889" t="s">
        <v>217</v>
      </c>
      <c r="F5322" s="2890">
        <v>7.428399535118731E-3</v>
      </c>
      <c r="G5322" s="2890">
        <v>9.5114765486622712</v>
      </c>
    </row>
    <row r="5323" spans="2:7" ht="15" hidden="1" outlineLevel="2">
      <c r="B5323" s="2889" t="s">
        <v>1648</v>
      </c>
      <c r="C5323" s="2889" t="s">
        <v>1417</v>
      </c>
      <c r="D5323" s="2889" t="s">
        <v>197</v>
      </c>
      <c r="E5323" s="2889" t="s">
        <v>217</v>
      </c>
      <c r="F5323" s="2890">
        <v>7.5715937509626642E-3</v>
      </c>
      <c r="G5323" s="2890">
        <v>8.5730082798359035</v>
      </c>
    </row>
    <row r="5324" spans="2:7" ht="15" hidden="1" outlineLevel="2">
      <c r="B5324" s="2889" t="s">
        <v>1649</v>
      </c>
      <c r="C5324" s="2889" t="s">
        <v>1417</v>
      </c>
      <c r="D5324" s="2889" t="s">
        <v>197</v>
      </c>
      <c r="E5324" s="2889" t="s">
        <v>217</v>
      </c>
      <c r="F5324" s="2890">
        <v>1.7457624912638796E-2</v>
      </c>
      <c r="G5324" s="2890">
        <v>22.353118224096185</v>
      </c>
    </row>
    <row r="5325" spans="2:7" ht="15" hidden="1" outlineLevel="2">
      <c r="B5325" s="2889" t="s">
        <v>1650</v>
      </c>
      <c r="C5325" s="2889" t="s">
        <v>1417</v>
      </c>
      <c r="D5325" s="2889" t="s">
        <v>197</v>
      </c>
      <c r="E5325" s="2889" t="s">
        <v>217</v>
      </c>
      <c r="F5325" s="2890">
        <v>1.604133709323198E-2</v>
      </c>
      <c r="G5325" s="2890">
        <v>20.42791543649243</v>
      </c>
    </row>
    <row r="5326" spans="2:7" ht="15" hidden="1" outlineLevel="2">
      <c r="B5326" s="2889" t="s">
        <v>1651</v>
      </c>
      <c r="C5326" s="2889" t="s">
        <v>1417</v>
      </c>
      <c r="D5326" s="2889" t="s">
        <v>197</v>
      </c>
      <c r="E5326" s="2889" t="s">
        <v>217</v>
      </c>
      <c r="F5326" s="2890">
        <v>1.2254659862426078E-2</v>
      </c>
      <c r="G5326" s="2890">
        <v>15.691121547798108</v>
      </c>
    </row>
    <row r="5327" spans="2:7" ht="15" hidden="1" outlineLevel="2">
      <c r="B5327" s="2889" t="s">
        <v>1652</v>
      </c>
      <c r="C5327" s="2889" t="s">
        <v>1417</v>
      </c>
      <c r="D5327" s="2889" t="s">
        <v>197</v>
      </c>
      <c r="E5327" s="2889" t="s">
        <v>217</v>
      </c>
      <c r="F5327" s="2890">
        <v>1.863062901487457E-2</v>
      </c>
      <c r="G5327" s="2890">
        <v>23.85504873765078</v>
      </c>
    </row>
    <row r="5328" spans="2:7" ht="15" hidden="1" outlineLevel="2">
      <c r="B5328" s="2889" t="s">
        <v>1653</v>
      </c>
      <c r="C5328" s="2889" t="s">
        <v>1417</v>
      </c>
      <c r="D5328" s="2889" t="s">
        <v>197</v>
      </c>
      <c r="E5328" s="2889" t="s">
        <v>217</v>
      </c>
      <c r="F5328" s="2890">
        <v>2.3561475446602918E-34</v>
      </c>
      <c r="G5328" s="2890">
        <v>2.6850061911512384E-31</v>
      </c>
    </row>
    <row r="5329" spans="2:7" ht="15" hidden="1" outlineLevel="2">
      <c r="B5329" s="2889" t="s">
        <v>1407</v>
      </c>
      <c r="C5329" s="2889" t="s">
        <v>1418</v>
      </c>
      <c r="D5329" s="2889" t="s">
        <v>197</v>
      </c>
      <c r="E5329" s="2889" t="s">
        <v>217</v>
      </c>
      <c r="F5329" s="2890">
        <v>4.4449912074997843E-4</v>
      </c>
      <c r="G5329" s="2890">
        <v>3.129223420369053</v>
      </c>
    </row>
    <row r="5330" spans="2:7" ht="15" hidden="1" outlineLevel="2">
      <c r="B5330" s="2889" t="s">
        <v>1631</v>
      </c>
      <c r="C5330" s="2889" t="s">
        <v>1418</v>
      </c>
      <c r="D5330" s="2889" t="s">
        <v>197</v>
      </c>
      <c r="E5330" s="2889" t="s">
        <v>217</v>
      </c>
      <c r="F5330" s="2890">
        <v>8.3457628209423389E-4</v>
      </c>
      <c r="G5330" s="2890">
        <v>5.8167145025079812</v>
      </c>
    </row>
    <row r="5331" spans="2:7" ht="15" hidden="1" outlineLevel="2">
      <c r="B5331" s="2889" t="s">
        <v>1632</v>
      </c>
      <c r="C5331" s="2889" t="s">
        <v>1418</v>
      </c>
      <c r="D5331" s="2889" t="s">
        <v>197</v>
      </c>
      <c r="E5331" s="2889" t="s">
        <v>217</v>
      </c>
      <c r="F5331" s="2890">
        <v>1.6881750385983781E-3</v>
      </c>
      <c r="G5331" s="2890">
        <v>11.899581978210328</v>
      </c>
    </row>
    <row r="5332" spans="2:7" ht="15" hidden="1" outlineLevel="2">
      <c r="B5332" s="2889" t="s">
        <v>1633</v>
      </c>
      <c r="C5332" s="2889" t="s">
        <v>1418</v>
      </c>
      <c r="D5332" s="2889" t="s">
        <v>197</v>
      </c>
      <c r="E5332" s="2889" t="s">
        <v>217</v>
      </c>
      <c r="F5332" s="2890">
        <v>5.9234838741472533E-4</v>
      </c>
      <c r="G5332" s="2890">
        <v>4.1873434930372451</v>
      </c>
    </row>
    <row r="5333" spans="2:7" ht="15" hidden="1" outlineLevel="2">
      <c r="B5333" s="2889" t="s">
        <v>1634</v>
      </c>
      <c r="C5333" s="2889" t="s">
        <v>1418</v>
      </c>
      <c r="D5333" s="2889" t="s">
        <v>197</v>
      </c>
      <c r="E5333" s="2889" t="s">
        <v>217</v>
      </c>
      <c r="F5333" s="2890">
        <v>3.8471621167354688E-3</v>
      </c>
      <c r="G5333" s="2890">
        <v>27.25636303716583</v>
      </c>
    </row>
    <row r="5334" spans="2:7" ht="15" hidden="1" outlineLevel="2">
      <c r="B5334" s="2889" t="s">
        <v>1635</v>
      </c>
      <c r="C5334" s="2889" t="s">
        <v>1418</v>
      </c>
      <c r="D5334" s="2889" t="s">
        <v>197</v>
      </c>
      <c r="E5334" s="2889" t="s">
        <v>217</v>
      </c>
      <c r="F5334" s="2890">
        <v>4.3762310881543063E-3</v>
      </c>
      <c r="G5334" s="2890">
        <v>30.847111523556972</v>
      </c>
    </row>
    <row r="5335" spans="2:7" ht="15" hidden="1" outlineLevel="2">
      <c r="B5335" s="2889" t="s">
        <v>1636</v>
      </c>
      <c r="C5335" s="2889" t="s">
        <v>1418</v>
      </c>
      <c r="D5335" s="2889" t="s">
        <v>197</v>
      </c>
      <c r="E5335" s="2889" t="s">
        <v>217</v>
      </c>
      <c r="F5335" s="2890">
        <v>2.1278104747260501E-3</v>
      </c>
      <c r="G5335" s="2890">
        <v>15.000063888257623</v>
      </c>
    </row>
    <row r="5336" spans="2:7" ht="15" hidden="1" outlineLevel="2">
      <c r="B5336" s="2889" t="s">
        <v>1637</v>
      </c>
      <c r="C5336" s="2889" t="s">
        <v>1418</v>
      </c>
      <c r="D5336" s="2889" t="s">
        <v>197</v>
      </c>
      <c r="E5336" s="2889" t="s">
        <v>217</v>
      </c>
      <c r="F5336" s="2890">
        <v>9.974506877164697E-4</v>
      </c>
      <c r="G5336" s="2890">
        <v>7.0510309630512324</v>
      </c>
    </row>
    <row r="5337" spans="2:7" ht="15" hidden="1" outlineLevel="2">
      <c r="B5337" s="2889" t="s">
        <v>1638</v>
      </c>
      <c r="C5337" s="2889" t="s">
        <v>1418</v>
      </c>
      <c r="D5337" s="2889" t="s">
        <v>197</v>
      </c>
      <c r="E5337" s="2889" t="s">
        <v>217</v>
      </c>
      <c r="F5337" s="2890">
        <v>3.4717997838224724E-3</v>
      </c>
      <c r="G5337" s="2890">
        <v>24.596996143310914</v>
      </c>
    </row>
    <row r="5338" spans="2:7" ht="15" hidden="1" outlineLevel="2">
      <c r="B5338" s="2889" t="s">
        <v>1639</v>
      </c>
      <c r="C5338" s="2889" t="s">
        <v>1418</v>
      </c>
      <c r="D5338" s="2889" t="s">
        <v>197</v>
      </c>
      <c r="E5338" s="2889" t="s">
        <v>217</v>
      </c>
      <c r="F5338" s="2890">
        <v>5.3091400005009642E-3</v>
      </c>
      <c r="G5338" s="2890">
        <v>37.530605524804635</v>
      </c>
    </row>
    <row r="5339" spans="2:7" ht="15" hidden="1" outlineLevel="2">
      <c r="B5339" s="2889" t="s">
        <v>1640</v>
      </c>
      <c r="C5339" s="2889" t="s">
        <v>1418</v>
      </c>
      <c r="D5339" s="2889" t="s">
        <v>197</v>
      </c>
      <c r="E5339" s="2889" t="s">
        <v>217</v>
      </c>
      <c r="F5339" s="2890">
        <v>1.6306349034603403E-3</v>
      </c>
      <c r="G5339" s="2890">
        <v>11.479493797516158</v>
      </c>
    </row>
    <row r="5340" spans="2:7" ht="15" hidden="1" outlineLevel="2">
      <c r="B5340" s="2889" t="s">
        <v>1641</v>
      </c>
      <c r="C5340" s="2889" t="s">
        <v>1418</v>
      </c>
      <c r="D5340" s="2889" t="s">
        <v>197</v>
      </c>
      <c r="E5340" s="2889" t="s">
        <v>217</v>
      </c>
      <c r="F5340" s="2890">
        <v>1.9934896140208127E-3</v>
      </c>
      <c r="G5340" s="2890">
        <v>14.051677346743503</v>
      </c>
    </row>
    <row r="5341" spans="2:7" ht="15" hidden="1" outlineLevel="2">
      <c r="B5341" s="2889" t="s">
        <v>1642</v>
      </c>
      <c r="C5341" s="2889" t="s">
        <v>1418</v>
      </c>
      <c r="D5341" s="2889" t="s">
        <v>197</v>
      </c>
      <c r="E5341" s="2889" t="s">
        <v>217</v>
      </c>
      <c r="F5341" s="2890">
        <v>9.0432163889985883E-4</v>
      </c>
      <c r="G5341" s="2890">
        <v>6.3743677794465228</v>
      </c>
    </row>
    <row r="5342" spans="2:7" ht="15" hidden="1" outlineLevel="2">
      <c r="B5342" s="2889" t="s">
        <v>1643</v>
      </c>
      <c r="C5342" s="2889" t="s">
        <v>1418</v>
      </c>
      <c r="D5342" s="2889" t="s">
        <v>197</v>
      </c>
      <c r="E5342" s="2889" t="s">
        <v>217</v>
      </c>
      <c r="F5342" s="2890">
        <v>4.4240322393461415E-3</v>
      </c>
      <c r="G5342" s="2890">
        <v>31.136822167006891</v>
      </c>
    </row>
    <row r="5343" spans="2:7" ht="15" hidden="1" outlineLevel="2">
      <c r="B5343" s="2889" t="s">
        <v>1644</v>
      </c>
      <c r="C5343" s="2889" t="s">
        <v>1418</v>
      </c>
      <c r="D5343" s="2889" t="s">
        <v>197</v>
      </c>
      <c r="E5343" s="2889" t="s">
        <v>217</v>
      </c>
      <c r="F5343" s="2890">
        <v>1.9311010803236787E-3</v>
      </c>
      <c r="G5343" s="2890">
        <v>13.65107123640853</v>
      </c>
    </row>
    <row r="5344" spans="2:7" ht="15" hidden="1" outlineLevel="2">
      <c r="B5344" s="2889" t="s">
        <v>1645</v>
      </c>
      <c r="C5344" s="2889" t="s">
        <v>1418</v>
      </c>
      <c r="D5344" s="2889" t="s">
        <v>197</v>
      </c>
      <c r="E5344" s="2889" t="s">
        <v>217</v>
      </c>
      <c r="F5344" s="2890">
        <v>7.5501911501571473E-4</v>
      </c>
      <c r="G5344" s="2890">
        <v>5.3372720479562723</v>
      </c>
    </row>
    <row r="5345" spans="2:7" ht="15" hidden="1" outlineLevel="2">
      <c r="B5345" s="2889" t="s">
        <v>1646</v>
      </c>
      <c r="C5345" s="2889" t="s">
        <v>1418</v>
      </c>
      <c r="D5345" s="2889" t="s">
        <v>197</v>
      </c>
      <c r="E5345" s="2889" t="s">
        <v>217</v>
      </c>
      <c r="F5345" s="2890">
        <v>5.4583376137682721E-3</v>
      </c>
      <c r="G5345" s="2890">
        <v>38.474657890932569</v>
      </c>
    </row>
    <row r="5346" spans="2:7" ht="15" hidden="1" outlineLevel="2">
      <c r="B5346" s="2889" t="s">
        <v>1647</v>
      </c>
      <c r="C5346" s="2889" t="s">
        <v>1418</v>
      </c>
      <c r="D5346" s="2889" t="s">
        <v>197</v>
      </c>
      <c r="E5346" s="2889" t="s">
        <v>217</v>
      </c>
      <c r="F5346" s="2890">
        <v>1.4893164136066518E-3</v>
      </c>
      <c r="G5346" s="2890">
        <v>10.551507874477634</v>
      </c>
    </row>
    <row r="5347" spans="2:7" ht="15" hidden="1" outlineLevel="2">
      <c r="B5347" s="2889" t="s">
        <v>1648</v>
      </c>
      <c r="C5347" s="2889" t="s">
        <v>1418</v>
      </c>
      <c r="D5347" s="2889" t="s">
        <v>197</v>
      </c>
      <c r="E5347" s="2889" t="s">
        <v>217</v>
      </c>
      <c r="F5347" s="2890">
        <v>1.3448523921790363E-3</v>
      </c>
      <c r="G5347" s="2890">
        <v>9.5104189969686743</v>
      </c>
    </row>
    <row r="5348" spans="2:7" ht="15" hidden="1" outlineLevel="2">
      <c r="B5348" s="2889" t="s">
        <v>1649</v>
      </c>
      <c r="C5348" s="2889" t="s">
        <v>1418</v>
      </c>
      <c r="D5348" s="2889" t="s">
        <v>197</v>
      </c>
      <c r="E5348" s="2889" t="s">
        <v>217</v>
      </c>
      <c r="F5348" s="2890">
        <v>3.5000728076189165E-3</v>
      </c>
      <c r="G5348" s="2890">
        <v>24.797311481424781</v>
      </c>
    </row>
    <row r="5349" spans="2:7" ht="15" hidden="1" outlineLevel="2">
      <c r="B5349" s="2889" t="s">
        <v>1650</v>
      </c>
      <c r="C5349" s="2889" t="s">
        <v>1418</v>
      </c>
      <c r="D5349" s="2889" t="s">
        <v>197</v>
      </c>
      <c r="E5349" s="2889" t="s">
        <v>217</v>
      </c>
      <c r="F5349" s="2890">
        <v>3.2190292266454971E-3</v>
      </c>
      <c r="G5349" s="2890">
        <v>22.661605327077275</v>
      </c>
    </row>
    <row r="5350" spans="2:7" ht="15" hidden="1" outlineLevel="2">
      <c r="B5350" s="2889" t="s">
        <v>1651</v>
      </c>
      <c r="C5350" s="2889" t="s">
        <v>1418</v>
      </c>
      <c r="D5350" s="2889" t="s">
        <v>197</v>
      </c>
      <c r="E5350" s="2889" t="s">
        <v>217</v>
      </c>
      <c r="F5350" s="2890">
        <v>2.4569309679864579E-3</v>
      </c>
      <c r="G5350" s="2890">
        <v>17.406867636016941</v>
      </c>
    </row>
    <row r="5351" spans="2:7" ht="15" hidden="1" outlineLevel="2">
      <c r="B5351" s="2889" t="s">
        <v>1652</v>
      </c>
      <c r="C5351" s="2889" t="s">
        <v>1418</v>
      </c>
      <c r="D5351" s="2889" t="s">
        <v>197</v>
      </c>
      <c r="E5351" s="2889" t="s">
        <v>217</v>
      </c>
      <c r="F5351" s="2890">
        <v>3.7352456640570601E-3</v>
      </c>
      <c r="G5351" s="2890">
        <v>26.463470714495809</v>
      </c>
    </row>
    <row r="5352" spans="2:7" ht="15" hidden="1" outlineLevel="2">
      <c r="B5352" s="2889" t="s">
        <v>1653</v>
      </c>
      <c r="C5352" s="2889" t="s">
        <v>1418</v>
      </c>
      <c r="D5352" s="2889" t="s">
        <v>197</v>
      </c>
      <c r="E5352" s="2889" t="s">
        <v>217</v>
      </c>
      <c r="F5352" s="2890">
        <v>1.5305193420695929E-34</v>
      </c>
      <c r="G5352" s="2890">
        <v>4.470290073252037E-31</v>
      </c>
    </row>
    <row r="5353" spans="2:7" ht="15" hidden="1" outlineLevel="2">
      <c r="B5353" s="2889" t="s">
        <v>1407</v>
      </c>
      <c r="C5353" s="2889" t="s">
        <v>1419</v>
      </c>
      <c r="D5353" s="2889" t="s">
        <v>197</v>
      </c>
      <c r="E5353" s="2889" t="s">
        <v>1420</v>
      </c>
      <c r="F5353" s="2890">
        <v>1.0778537831336322E-5</v>
      </c>
      <c r="G5353" s="2890">
        <v>1.7126596845799324E-2</v>
      </c>
    </row>
    <row r="5354" spans="2:7" ht="15" hidden="1" outlineLevel="2">
      <c r="B5354" s="2889" t="s">
        <v>1631</v>
      </c>
      <c r="C5354" s="2889" t="s">
        <v>1419</v>
      </c>
      <c r="D5354" s="2889" t="s">
        <v>197</v>
      </c>
      <c r="E5354" s="2889" t="s">
        <v>1420</v>
      </c>
      <c r="F5354" s="2890">
        <v>2.0035527617092391E-5</v>
      </c>
      <c r="G5354" s="2890">
        <v>3.1835549585027788E-2</v>
      </c>
    </row>
    <row r="5355" spans="2:7" ht="15" hidden="1" outlineLevel="2">
      <c r="B5355" s="2889" t="s">
        <v>1632</v>
      </c>
      <c r="C5355" s="2889" t="s">
        <v>1419</v>
      </c>
      <c r="D5355" s="2889" t="s">
        <v>197</v>
      </c>
      <c r="E5355" s="2889" t="s">
        <v>1420</v>
      </c>
      <c r="F5355" s="2890">
        <v>4.0987819283817823E-5</v>
      </c>
      <c r="G5355" s="2890">
        <v>6.5127728430840665E-2</v>
      </c>
    </row>
    <row r="5356" spans="2:7" ht="15" hidden="1" outlineLevel="2">
      <c r="B5356" s="2889" t="s">
        <v>1633</v>
      </c>
      <c r="C5356" s="2889" t="s">
        <v>1419</v>
      </c>
      <c r="D5356" s="2889" t="s">
        <v>197</v>
      </c>
      <c r="E5356" s="2889" t="s">
        <v>1420</v>
      </c>
      <c r="F5356" s="2890">
        <v>1.4423199867423419E-5</v>
      </c>
      <c r="G5356" s="2890">
        <v>2.2917797965404999E-2</v>
      </c>
    </row>
    <row r="5357" spans="2:7" ht="15" hidden="1" outlineLevel="2">
      <c r="B5357" s="2889" t="s">
        <v>1634</v>
      </c>
      <c r="C5357" s="2889" t="s">
        <v>1419</v>
      </c>
      <c r="D5357" s="2889" t="s">
        <v>197</v>
      </c>
      <c r="E5357" s="2889" t="s">
        <v>1420</v>
      </c>
      <c r="F5357" s="2890">
        <v>9.3883907498955901E-5</v>
      </c>
      <c r="G5357" s="2890">
        <v>0.14917718069827599</v>
      </c>
    </row>
    <row r="5358" spans="2:7" ht="15" hidden="1" outlineLevel="2">
      <c r="B5358" s="2889" t="s">
        <v>1635</v>
      </c>
      <c r="C5358" s="2889" t="s">
        <v>1419</v>
      </c>
      <c r="D5358" s="2889" t="s">
        <v>197</v>
      </c>
      <c r="E5358" s="2889" t="s">
        <v>1420</v>
      </c>
      <c r="F5358" s="2890">
        <v>1.0625201362252415E-4</v>
      </c>
      <c r="G5358" s="2890">
        <v>0.16882978743079097</v>
      </c>
    </row>
    <row r="5359" spans="2:7" ht="15" hidden="1" outlineLevel="2">
      <c r="B5359" s="2889" t="s">
        <v>1636</v>
      </c>
      <c r="C5359" s="2889" t="s">
        <v>1419</v>
      </c>
      <c r="D5359" s="2889" t="s">
        <v>197</v>
      </c>
      <c r="E5359" s="2889" t="s">
        <v>1420</v>
      </c>
      <c r="F5359" s="2890">
        <v>5.1667371275658477E-5</v>
      </c>
      <c r="G5359" s="2890">
        <v>8.2097071419455964E-2</v>
      </c>
    </row>
    <row r="5360" spans="2:7" ht="15" hidden="1" outlineLevel="2">
      <c r="B5360" s="2889" t="s">
        <v>1637</v>
      </c>
      <c r="C5360" s="2889" t="s">
        <v>1419</v>
      </c>
      <c r="D5360" s="2889" t="s">
        <v>197</v>
      </c>
      <c r="E5360" s="2889" t="s">
        <v>1420</v>
      </c>
      <c r="F5360" s="2890">
        <v>2.4287110741290029E-5</v>
      </c>
      <c r="G5360" s="2890">
        <v>3.8591106505006342E-2</v>
      </c>
    </row>
    <row r="5361" spans="2:7" ht="15" hidden="1" outlineLevel="2">
      <c r="B5361" s="2889" t="s">
        <v>1638</v>
      </c>
      <c r="C5361" s="2889" t="s">
        <v>1419</v>
      </c>
      <c r="D5361" s="2889" t="s">
        <v>197</v>
      </c>
      <c r="E5361" s="2889" t="s">
        <v>1420</v>
      </c>
      <c r="F5361" s="2890">
        <v>8.4723838298198404E-5</v>
      </c>
      <c r="G5361" s="2890">
        <v>0.13462218976607512</v>
      </c>
    </row>
    <row r="5362" spans="2:7" ht="15" hidden="1" outlineLevel="2">
      <c r="B5362" s="2889" t="s">
        <v>1639</v>
      </c>
      <c r="C5362" s="2889" t="s">
        <v>1419</v>
      </c>
      <c r="D5362" s="2889" t="s">
        <v>197</v>
      </c>
      <c r="E5362" s="2889" t="s">
        <v>1420</v>
      </c>
      <c r="F5362" s="2890">
        <v>1.292732924574455E-4</v>
      </c>
      <c r="G5362" s="2890">
        <v>0.20540928011448684</v>
      </c>
    </row>
    <row r="5363" spans="2:7" ht="15" hidden="1" outlineLevel="2">
      <c r="B5363" s="2889" t="s">
        <v>1640</v>
      </c>
      <c r="C5363" s="2889" t="s">
        <v>1419</v>
      </c>
      <c r="D5363" s="2889" t="s">
        <v>197</v>
      </c>
      <c r="E5363" s="2889" t="s">
        <v>1420</v>
      </c>
      <c r="F5363" s="2890">
        <v>3.9540837300622429E-5</v>
      </c>
      <c r="G5363" s="2890">
        <v>6.282856885325952E-2</v>
      </c>
    </row>
    <row r="5364" spans="2:7" ht="15" hidden="1" outlineLevel="2">
      <c r="B5364" s="2889" t="s">
        <v>1641</v>
      </c>
      <c r="C5364" s="2889" t="s">
        <v>1419</v>
      </c>
      <c r="D5364" s="2889" t="s">
        <v>197</v>
      </c>
      <c r="E5364" s="2889" t="s">
        <v>1420</v>
      </c>
      <c r="F5364" s="2890">
        <v>4.8400662451561153E-5</v>
      </c>
      <c r="G5364" s="2890">
        <v>7.690645260499239E-2</v>
      </c>
    </row>
    <row r="5365" spans="2:7" ht="15" hidden="1" outlineLevel="2">
      <c r="B5365" s="2889" t="s">
        <v>1642</v>
      </c>
      <c r="C5365" s="2889" t="s">
        <v>1419</v>
      </c>
      <c r="D5365" s="2889" t="s">
        <v>197</v>
      </c>
      <c r="E5365" s="2889" t="s">
        <v>1420</v>
      </c>
      <c r="F5365" s="2890">
        <v>2.1956358547836675E-5</v>
      </c>
      <c r="G5365" s="2890">
        <v>3.4887629233067527E-2</v>
      </c>
    </row>
    <row r="5366" spans="2:7" ht="15" hidden="1" outlineLevel="2">
      <c r="B5366" s="2889" t="s">
        <v>1643</v>
      </c>
      <c r="C5366" s="2889" t="s">
        <v>1419</v>
      </c>
      <c r="D5366" s="2889" t="s">
        <v>197</v>
      </c>
      <c r="E5366" s="2889" t="s">
        <v>1420</v>
      </c>
      <c r="F5366" s="2890">
        <v>1.0724999399532801E-4</v>
      </c>
      <c r="G5366" s="2890">
        <v>0.17041544184496119</v>
      </c>
    </row>
    <row r="5367" spans="2:7" ht="15" hidden="1" outlineLevel="2">
      <c r="B5367" s="2889" t="s">
        <v>1644</v>
      </c>
      <c r="C5367" s="2889" t="s">
        <v>1419</v>
      </c>
      <c r="D5367" s="2889" t="s">
        <v>197</v>
      </c>
      <c r="E5367" s="2889" t="s">
        <v>1420</v>
      </c>
      <c r="F5367" s="2890">
        <v>4.7020708348263922E-5</v>
      </c>
      <c r="G5367" s="2890">
        <v>7.4713799260217359E-2</v>
      </c>
    </row>
    <row r="5368" spans="2:7" ht="15" hidden="1" outlineLevel="2">
      <c r="B5368" s="2889" t="s">
        <v>1645</v>
      </c>
      <c r="C5368" s="2889" t="s">
        <v>1419</v>
      </c>
      <c r="D5368" s="2889" t="s">
        <v>197</v>
      </c>
      <c r="E5368" s="2889" t="s">
        <v>1420</v>
      </c>
      <c r="F5368" s="2890">
        <v>1.8384088485587773E-5</v>
      </c>
      <c r="G5368" s="2890">
        <v>2.9211487241755617E-2</v>
      </c>
    </row>
    <row r="5369" spans="2:7" ht="15" hidden="1" outlineLevel="2">
      <c r="B5369" s="2889" t="s">
        <v>1646</v>
      </c>
      <c r="C5369" s="2889" t="s">
        <v>1419</v>
      </c>
      <c r="D5369" s="2889" t="s">
        <v>197</v>
      </c>
      <c r="E5369" s="2889" t="s">
        <v>1420</v>
      </c>
      <c r="F5369" s="2890">
        <v>1.325250323798442E-4</v>
      </c>
      <c r="G5369" s="2890">
        <v>0.21057622520236288</v>
      </c>
    </row>
    <row r="5370" spans="2:7" ht="15" hidden="1" outlineLevel="2">
      <c r="B5370" s="2889" t="s">
        <v>1647</v>
      </c>
      <c r="C5370" s="2889" t="s">
        <v>1419</v>
      </c>
      <c r="D5370" s="2889" t="s">
        <v>197</v>
      </c>
      <c r="E5370" s="2889" t="s">
        <v>1420</v>
      </c>
      <c r="F5370" s="2890">
        <v>3.6344404156566337E-5</v>
      </c>
      <c r="G5370" s="2890">
        <v>5.7749651134125418E-2</v>
      </c>
    </row>
    <row r="5371" spans="2:7" ht="15" hidden="1" outlineLevel="2">
      <c r="B5371" s="2889" t="s">
        <v>1648</v>
      </c>
      <c r="C5371" s="2889" t="s">
        <v>1419</v>
      </c>
      <c r="D5371" s="2889" t="s">
        <v>197</v>
      </c>
      <c r="E5371" s="2889" t="s">
        <v>1420</v>
      </c>
      <c r="F5371" s="2890">
        <v>3.2758398066284498E-5</v>
      </c>
      <c r="G5371" s="2890">
        <v>5.2051636989664904E-2</v>
      </c>
    </row>
    <row r="5372" spans="2:7" ht="15" hidden="1" outlineLevel="2">
      <c r="B5372" s="2889" t="s">
        <v>1649</v>
      </c>
      <c r="C5372" s="2889" t="s">
        <v>1419</v>
      </c>
      <c r="D5372" s="2889" t="s">
        <v>197</v>
      </c>
      <c r="E5372" s="2889" t="s">
        <v>1420</v>
      </c>
      <c r="F5372" s="2890">
        <v>8.5413733794647472E-5</v>
      </c>
      <c r="G5372" s="2890">
        <v>0.13571859051337171</v>
      </c>
    </row>
    <row r="5373" spans="2:7" ht="15" hidden="1" outlineLevel="2">
      <c r="B5373" s="2889" t="s">
        <v>1650</v>
      </c>
      <c r="C5373" s="2889" t="s">
        <v>1419</v>
      </c>
      <c r="D5373" s="2889" t="s">
        <v>197</v>
      </c>
      <c r="E5373" s="2889" t="s">
        <v>1420</v>
      </c>
      <c r="F5373" s="2890">
        <v>7.8057308710230124E-5</v>
      </c>
      <c r="G5373" s="2890">
        <v>0.12402961119902271</v>
      </c>
    </row>
    <row r="5374" spans="2:7" ht="15" hidden="1" outlineLevel="2">
      <c r="B5374" s="2889" t="s">
        <v>1651</v>
      </c>
      <c r="C5374" s="2889" t="s">
        <v>1419</v>
      </c>
      <c r="D5374" s="2889" t="s">
        <v>197</v>
      </c>
      <c r="E5374" s="2889" t="s">
        <v>1420</v>
      </c>
      <c r="F5374" s="2890">
        <v>5.9957536615459128E-5</v>
      </c>
      <c r="G5374" s="2890">
        <v>9.5269860378409635E-2</v>
      </c>
    </row>
    <row r="5375" spans="2:7" ht="15" hidden="1" outlineLevel="2">
      <c r="B5375" s="2889" t="s">
        <v>1652</v>
      </c>
      <c r="C5375" s="2889" t="s">
        <v>1419</v>
      </c>
      <c r="D5375" s="2889" t="s">
        <v>197</v>
      </c>
      <c r="E5375" s="2889" t="s">
        <v>1420</v>
      </c>
      <c r="F5375" s="2890">
        <v>9.1152803749606744E-5</v>
      </c>
      <c r="G5375" s="2890">
        <v>0.14483764705943181</v>
      </c>
    </row>
    <row r="5376" spans="2:7" ht="15" hidden="1" outlineLevel="2">
      <c r="B5376" s="2889" t="s">
        <v>1653</v>
      </c>
      <c r="C5376" s="2889" t="s">
        <v>1419</v>
      </c>
      <c r="D5376" s="2889" t="s">
        <v>197</v>
      </c>
      <c r="E5376" s="2889" t="s">
        <v>1420</v>
      </c>
      <c r="F5376" s="2890">
        <v>2.6379085957552315E-36</v>
      </c>
      <c r="G5376" s="2890">
        <v>4.1915162723227706E-33</v>
      </c>
    </row>
    <row r="5377" spans="2:7" ht="15" hidden="1" outlineLevel="2">
      <c r="B5377" s="2889" t="s">
        <v>1407</v>
      </c>
      <c r="C5377" s="2889" t="s">
        <v>1421</v>
      </c>
      <c r="D5377" s="2889" t="s">
        <v>197</v>
      </c>
      <c r="E5377" s="2889" t="s">
        <v>1420</v>
      </c>
      <c r="F5377" s="2890">
        <v>2.2117353562977091E-6</v>
      </c>
      <c r="G5377" s="2890">
        <v>2.3309109073780084E-2</v>
      </c>
    </row>
    <row r="5378" spans="2:7" ht="15" hidden="1" outlineLevel="2">
      <c r="B5378" s="2889" t="s">
        <v>1631</v>
      </c>
      <c r="C5378" s="2889" t="s">
        <v>1421</v>
      </c>
      <c r="D5378" s="2889" t="s">
        <v>197</v>
      </c>
      <c r="E5378" s="2889" t="s">
        <v>1420</v>
      </c>
      <c r="F5378" s="2890">
        <v>4.1112562073365846E-6</v>
      </c>
      <c r="G5378" s="2890">
        <v>4.3327890813225987E-2</v>
      </c>
    </row>
    <row r="5379" spans="2:7" ht="15" hidden="1" outlineLevel="2">
      <c r="B5379" s="2889" t="s">
        <v>1632</v>
      </c>
      <c r="C5379" s="2889" t="s">
        <v>1421</v>
      </c>
      <c r="D5379" s="2889" t="s">
        <v>197</v>
      </c>
      <c r="E5379" s="2889" t="s">
        <v>1420</v>
      </c>
      <c r="F5379" s="2890">
        <v>8.4106333985163646E-6</v>
      </c>
      <c r="G5379" s="2890">
        <v>8.8638182920546149E-2</v>
      </c>
    </row>
    <row r="5380" spans="2:7" ht="15" hidden="1" outlineLevel="2">
      <c r="B5380" s="2889" t="s">
        <v>1633</v>
      </c>
      <c r="C5380" s="2889" t="s">
        <v>1421</v>
      </c>
      <c r="D5380" s="2889" t="s">
        <v>197</v>
      </c>
      <c r="E5380" s="2889" t="s">
        <v>1420</v>
      </c>
      <c r="F5380" s="2890">
        <v>2.9596149071792842E-6</v>
      </c>
      <c r="G5380" s="2890">
        <v>3.119087996620195E-2</v>
      </c>
    </row>
    <row r="5381" spans="2:7" ht="15" hidden="1" outlineLevel="2">
      <c r="B5381" s="2889" t="s">
        <v>1634</v>
      </c>
      <c r="C5381" s="2889" t="s">
        <v>1421</v>
      </c>
      <c r="D5381" s="2889" t="s">
        <v>197</v>
      </c>
      <c r="E5381" s="2889" t="s">
        <v>1420</v>
      </c>
      <c r="F5381" s="2890">
        <v>1.9264806027455372E-5</v>
      </c>
      <c r="G5381" s="2890">
        <v>0.20302842350956091</v>
      </c>
    </row>
    <row r="5382" spans="2:7" ht="15" hidden="1" outlineLevel="2">
      <c r="B5382" s="2889" t="s">
        <v>1635</v>
      </c>
      <c r="C5382" s="2889" t="s">
        <v>1421</v>
      </c>
      <c r="D5382" s="2889" t="s">
        <v>197</v>
      </c>
      <c r="E5382" s="2889" t="s">
        <v>1420</v>
      </c>
      <c r="F5382" s="2890">
        <v>2.1802737004946369E-5</v>
      </c>
      <c r="G5382" s="2890">
        <v>0.22977529123826573</v>
      </c>
    </row>
    <row r="5383" spans="2:7" ht="15" hidden="1" outlineLevel="2">
      <c r="B5383" s="2889" t="s">
        <v>1636</v>
      </c>
      <c r="C5383" s="2889" t="s">
        <v>1421</v>
      </c>
      <c r="D5383" s="2889" t="s">
        <v>197</v>
      </c>
      <c r="E5383" s="2889" t="s">
        <v>1420</v>
      </c>
      <c r="F5383" s="2890">
        <v>1.0602038102517792E-5</v>
      </c>
      <c r="G5383" s="2890">
        <v>0.11173309818955129</v>
      </c>
    </row>
    <row r="5384" spans="2:7" ht="15" hidden="1" outlineLevel="2">
      <c r="B5384" s="2889" t="s">
        <v>1637</v>
      </c>
      <c r="C5384" s="2889" t="s">
        <v>1421</v>
      </c>
      <c r="D5384" s="2889" t="s">
        <v>197</v>
      </c>
      <c r="E5384" s="2889" t="s">
        <v>1420</v>
      </c>
      <c r="F5384" s="2890">
        <v>4.9836683889197731E-6</v>
      </c>
      <c r="G5384" s="2890">
        <v>5.2522071439770647E-2</v>
      </c>
    </row>
    <row r="5385" spans="2:7" ht="15" hidden="1" outlineLevel="2">
      <c r="B5385" s="2889" t="s">
        <v>1638</v>
      </c>
      <c r="C5385" s="2889" t="s">
        <v>1421</v>
      </c>
      <c r="D5385" s="2889" t="s">
        <v>197</v>
      </c>
      <c r="E5385" s="2889" t="s">
        <v>1420</v>
      </c>
      <c r="F5385" s="2890">
        <v>1.7385166571569018E-5</v>
      </c>
      <c r="G5385" s="2890">
        <v>0.18321925637187497</v>
      </c>
    </row>
    <row r="5386" spans="2:7" ht="15" hidden="1" outlineLevel="2">
      <c r="B5386" s="2889" t="s">
        <v>1639</v>
      </c>
      <c r="C5386" s="2889" t="s">
        <v>1421</v>
      </c>
      <c r="D5386" s="2889" t="s">
        <v>197</v>
      </c>
      <c r="E5386" s="2889" t="s">
        <v>1420</v>
      </c>
      <c r="F5386" s="2890">
        <v>2.6526633712871366E-5</v>
      </c>
      <c r="G5386" s="2890">
        <v>0.27955997862242954</v>
      </c>
    </row>
    <row r="5387" spans="2:7" ht="15" hidden="1" outlineLevel="2">
      <c r="B5387" s="2889" t="s">
        <v>1640</v>
      </c>
      <c r="C5387" s="2889" t="s">
        <v>1421</v>
      </c>
      <c r="D5387" s="2889" t="s">
        <v>197</v>
      </c>
      <c r="E5387" s="2889" t="s">
        <v>1420</v>
      </c>
      <c r="F5387" s="2890">
        <v>8.1137048188707239E-6</v>
      </c>
      <c r="G5387" s="2890">
        <v>8.5508910053561121E-2</v>
      </c>
    </row>
    <row r="5388" spans="2:7" ht="15" hidden="1" outlineLevel="2">
      <c r="B5388" s="2889" t="s">
        <v>1641</v>
      </c>
      <c r="C5388" s="2889" t="s">
        <v>1421</v>
      </c>
      <c r="D5388" s="2889" t="s">
        <v>197</v>
      </c>
      <c r="E5388" s="2889" t="s">
        <v>1420</v>
      </c>
      <c r="F5388" s="2890">
        <v>9.9317332196545104E-6</v>
      </c>
      <c r="G5388" s="2890">
        <v>0.10466876257594039</v>
      </c>
    </row>
    <row r="5389" spans="2:7" ht="15" hidden="1" outlineLevel="2">
      <c r="B5389" s="2889" t="s">
        <v>1642</v>
      </c>
      <c r="C5389" s="2889" t="s">
        <v>1421</v>
      </c>
      <c r="D5389" s="2889" t="s">
        <v>197</v>
      </c>
      <c r="E5389" s="2889" t="s">
        <v>1420</v>
      </c>
      <c r="F5389" s="2890">
        <v>4.5054049639941511E-6</v>
      </c>
      <c r="G5389" s="2890">
        <v>4.7481713655202692E-2</v>
      </c>
    </row>
    <row r="5390" spans="2:7" ht="15" hidden="1" outlineLevel="2">
      <c r="B5390" s="2889" t="s">
        <v>1643</v>
      </c>
      <c r="C5390" s="2889" t="s">
        <v>1421</v>
      </c>
      <c r="D5390" s="2889" t="s">
        <v>197</v>
      </c>
      <c r="E5390" s="2889" t="s">
        <v>1420</v>
      </c>
      <c r="F5390" s="2890">
        <v>2.2007516875862574E-5</v>
      </c>
      <c r="G5390" s="2890">
        <v>0.23193319920997141</v>
      </c>
    </row>
    <row r="5391" spans="2:7" ht="15" hidden="1" outlineLevel="2">
      <c r="B5391" s="2889" t="s">
        <v>1644</v>
      </c>
      <c r="C5391" s="2889" t="s">
        <v>1421</v>
      </c>
      <c r="D5391" s="2889" t="s">
        <v>197</v>
      </c>
      <c r="E5391" s="2889" t="s">
        <v>1420</v>
      </c>
      <c r="F5391" s="2890">
        <v>9.6485695744154724E-6</v>
      </c>
      <c r="G5391" s="2890">
        <v>0.10168459749628934</v>
      </c>
    </row>
    <row r="5392" spans="2:7" ht="15" hidden="1" outlineLevel="2">
      <c r="B5392" s="2889" t="s">
        <v>1645</v>
      </c>
      <c r="C5392" s="2889" t="s">
        <v>1421</v>
      </c>
      <c r="D5392" s="2889" t="s">
        <v>197</v>
      </c>
      <c r="E5392" s="2889" t="s">
        <v>1420</v>
      </c>
      <c r="F5392" s="2890">
        <v>3.7723839916919854E-6</v>
      </c>
      <c r="G5392" s="2890">
        <v>3.9756516203079545E-2</v>
      </c>
    </row>
    <row r="5393" spans="2:7" ht="15" hidden="1" outlineLevel="2">
      <c r="B5393" s="2889" t="s">
        <v>1646</v>
      </c>
      <c r="C5393" s="2889" t="s">
        <v>1421</v>
      </c>
      <c r="D5393" s="2889" t="s">
        <v>197</v>
      </c>
      <c r="E5393" s="2889" t="s">
        <v>1420</v>
      </c>
      <c r="F5393" s="2890">
        <v>2.7193898241967984E-5</v>
      </c>
      <c r="G5393" s="2890">
        <v>0.28659183016845224</v>
      </c>
    </row>
    <row r="5394" spans="2:7" ht="15" hidden="1" outlineLevel="2">
      <c r="B5394" s="2889" t="s">
        <v>1647</v>
      </c>
      <c r="C5394" s="2889" t="s">
        <v>1421</v>
      </c>
      <c r="D5394" s="2889" t="s">
        <v>197</v>
      </c>
      <c r="E5394" s="2889" t="s">
        <v>1420</v>
      </c>
      <c r="F5394" s="2890">
        <v>7.4578058965349057E-6</v>
      </c>
      <c r="G5394" s="2890">
        <v>7.8596529243642604E-2</v>
      </c>
    </row>
    <row r="5395" spans="2:7" ht="15" hidden="1" outlineLevel="2">
      <c r="B5395" s="2889" t="s">
        <v>1648</v>
      </c>
      <c r="C5395" s="2889" t="s">
        <v>1421</v>
      </c>
      <c r="D5395" s="2889" t="s">
        <v>197</v>
      </c>
      <c r="E5395" s="2889" t="s">
        <v>1420</v>
      </c>
      <c r="F5395" s="2890">
        <v>6.7219719942700706E-6</v>
      </c>
      <c r="G5395" s="2890">
        <v>7.0841620650953466E-2</v>
      </c>
    </row>
    <row r="5396" spans="2:7" ht="15" hidden="1" outlineLevel="2">
      <c r="B5396" s="2889" t="s">
        <v>1649</v>
      </c>
      <c r="C5396" s="2889" t="s">
        <v>1421</v>
      </c>
      <c r="D5396" s="2889" t="s">
        <v>197</v>
      </c>
      <c r="E5396" s="2889" t="s">
        <v>1420</v>
      </c>
      <c r="F5396" s="2890">
        <v>1.7526742416485278E-5</v>
      </c>
      <c r="G5396" s="2890">
        <v>0.18471137064050053</v>
      </c>
    </row>
    <row r="5397" spans="2:7" ht="15" hidden="1" outlineLevel="2">
      <c r="B5397" s="2889" t="s">
        <v>1650</v>
      </c>
      <c r="C5397" s="2889" t="s">
        <v>1421</v>
      </c>
      <c r="D5397" s="2889" t="s">
        <v>197</v>
      </c>
      <c r="E5397" s="2889" t="s">
        <v>1420</v>
      </c>
      <c r="F5397" s="2890">
        <v>1.6017228626518981E-5</v>
      </c>
      <c r="G5397" s="2890">
        <v>0.16880273382675445</v>
      </c>
    </row>
    <row r="5398" spans="2:7" ht="15" hidden="1" outlineLevel="2">
      <c r="B5398" s="2889" t="s">
        <v>1651</v>
      </c>
      <c r="C5398" s="2889" t="s">
        <v>1421</v>
      </c>
      <c r="D5398" s="2889" t="s">
        <v>197</v>
      </c>
      <c r="E5398" s="2889" t="s">
        <v>1420</v>
      </c>
      <c r="F5398" s="2890">
        <v>1.230318479061639E-5</v>
      </c>
      <c r="G5398" s="2890">
        <v>0.1296610794423034</v>
      </c>
    </row>
    <row r="5399" spans="2:7" ht="15" hidden="1" outlineLevel="2">
      <c r="B5399" s="2889" t="s">
        <v>1652</v>
      </c>
      <c r="C5399" s="2889" t="s">
        <v>1421</v>
      </c>
      <c r="D5399" s="2889" t="s">
        <v>197</v>
      </c>
      <c r="E5399" s="2889" t="s">
        <v>1420</v>
      </c>
      <c r="F5399" s="2890">
        <v>1.8704381526942318E-5</v>
      </c>
      <c r="G5399" s="2890">
        <v>0.19712227797568085</v>
      </c>
    </row>
    <row r="5400" spans="2:7" ht="15" hidden="1" outlineLevel="2">
      <c r="B5400" s="2889" t="s">
        <v>1653</v>
      </c>
      <c r="C5400" s="2889" t="s">
        <v>1421</v>
      </c>
      <c r="D5400" s="2889" t="s">
        <v>197</v>
      </c>
      <c r="E5400" s="2889" t="s">
        <v>1420</v>
      </c>
      <c r="F5400" s="2890">
        <v>5.5019376952036936E-37</v>
      </c>
      <c r="G5400" s="2890">
        <v>5.7984014727762259E-33</v>
      </c>
    </row>
    <row r="5401" spans="2:7" ht="15" hidden="1" outlineLevel="2">
      <c r="B5401" s="2889" t="s">
        <v>1407</v>
      </c>
      <c r="C5401" s="2889" t="s">
        <v>1422</v>
      </c>
      <c r="D5401" s="2889" t="s">
        <v>197</v>
      </c>
      <c r="E5401" s="2889" t="s">
        <v>1423</v>
      </c>
      <c r="F5401" s="2890">
        <v>4.3147287449559672E-4</v>
      </c>
      <c r="G5401" s="2890">
        <v>4.5241801433031853E-3</v>
      </c>
    </row>
    <row r="5402" spans="2:7" ht="15" hidden="1" outlineLevel="2">
      <c r="B5402" s="2889" t="s">
        <v>1631</v>
      </c>
      <c r="C5402" s="2889" t="s">
        <v>1422</v>
      </c>
      <c r="D5402" s="2889" t="s">
        <v>197</v>
      </c>
      <c r="E5402" s="2889" t="s">
        <v>1423</v>
      </c>
      <c r="F5402" s="2890">
        <v>8.0203678606623956E-4</v>
      </c>
      <c r="G5402" s="2890">
        <v>8.4096959418351637E-3</v>
      </c>
    </row>
    <row r="5403" spans="2:7" ht="15" hidden="1" outlineLevel="2">
      <c r="B5403" s="2889" t="s">
        <v>1632</v>
      </c>
      <c r="C5403" s="2889" t="s">
        <v>1422</v>
      </c>
      <c r="D5403" s="2889" t="s">
        <v>197</v>
      </c>
      <c r="E5403" s="2889" t="s">
        <v>1423</v>
      </c>
      <c r="F5403" s="2890">
        <v>1.6407709416962728E-3</v>
      </c>
      <c r="G5403" s="2890">
        <v>1.7204203193938922E-2</v>
      </c>
    </row>
    <row r="5404" spans="2:7" ht="15" hidden="1" outlineLevel="2">
      <c r="B5404" s="2889" t="s">
        <v>1633</v>
      </c>
      <c r="C5404" s="2889" t="s">
        <v>1422</v>
      </c>
      <c r="D5404" s="2889" t="s">
        <v>197</v>
      </c>
      <c r="E5404" s="2889" t="s">
        <v>1423</v>
      </c>
      <c r="F5404" s="2890">
        <v>5.7737119690176022E-4</v>
      </c>
      <c r="G5404" s="2890">
        <v>6.053981427425986E-3</v>
      </c>
    </row>
    <row r="5405" spans="2:7" ht="15" hidden="1" outlineLevel="2">
      <c r="B5405" s="2889" t="s">
        <v>1634</v>
      </c>
      <c r="C5405" s="2889" t="s">
        <v>1422</v>
      </c>
      <c r="D5405" s="2889" t="s">
        <v>197</v>
      </c>
      <c r="E5405" s="2889" t="s">
        <v>1423</v>
      </c>
      <c r="F5405" s="2890">
        <v>3.7582376872225902E-3</v>
      </c>
      <c r="G5405" s="2890">
        <v>3.9406791329006916E-2</v>
      </c>
    </row>
    <row r="5406" spans="2:7" ht="15" hidden="1" outlineLevel="2">
      <c r="B5406" s="2889" t="s">
        <v>1635</v>
      </c>
      <c r="C5406" s="2889" t="s">
        <v>1422</v>
      </c>
      <c r="D5406" s="2889" t="s">
        <v>197</v>
      </c>
      <c r="E5406" s="2889" t="s">
        <v>1423</v>
      </c>
      <c r="F5406" s="2890">
        <v>4.2533460494318213E-3</v>
      </c>
      <c r="G5406" s="2890">
        <v>4.4598149027652925E-2</v>
      </c>
    </row>
    <row r="5407" spans="2:7" ht="15" hidden="1" outlineLevel="2">
      <c r="B5407" s="2889" t="s">
        <v>1636</v>
      </c>
      <c r="C5407" s="2889" t="s">
        <v>1422</v>
      </c>
      <c r="D5407" s="2889" t="s">
        <v>197</v>
      </c>
      <c r="E5407" s="2889" t="s">
        <v>1423</v>
      </c>
      <c r="F5407" s="2890">
        <v>2.0682796276645086E-3</v>
      </c>
      <c r="G5407" s="2890">
        <v>2.1686815434195272E-2</v>
      </c>
    </row>
    <row r="5408" spans="2:7" ht="15" hidden="1" outlineLevel="2">
      <c r="B5408" s="2889" t="s">
        <v>1637</v>
      </c>
      <c r="C5408" s="2889" t="s">
        <v>1422</v>
      </c>
      <c r="D5408" s="2889" t="s">
        <v>197</v>
      </c>
      <c r="E5408" s="2889" t="s">
        <v>1423</v>
      </c>
      <c r="F5408" s="2890">
        <v>9.7222965737891152E-4</v>
      </c>
      <c r="G5408" s="2890">
        <v>1.0194253944075232E-2</v>
      </c>
    </row>
    <row r="5409" spans="2:7" ht="15" hidden="1" outlineLevel="2">
      <c r="B5409" s="2889" t="s">
        <v>1638</v>
      </c>
      <c r="C5409" s="2889" t="s">
        <v>1422</v>
      </c>
      <c r="D5409" s="2889" t="s">
        <v>197</v>
      </c>
      <c r="E5409" s="2889" t="s">
        <v>1423</v>
      </c>
      <c r="F5409" s="2890">
        <v>3.391552308856796E-3</v>
      </c>
      <c r="G5409" s="2890">
        <v>3.5561874275231255E-2</v>
      </c>
    </row>
    <row r="5410" spans="2:7" ht="15" hidden="1" outlineLevel="2">
      <c r="B5410" s="2889" t="s">
        <v>1639</v>
      </c>
      <c r="C5410" s="2889" t="s">
        <v>1422</v>
      </c>
      <c r="D5410" s="2889" t="s">
        <v>197</v>
      </c>
      <c r="E5410" s="2889" t="s">
        <v>1423</v>
      </c>
      <c r="F5410" s="2890">
        <v>5.1748950403822198E-3</v>
      </c>
      <c r="G5410" s="2890">
        <v>5.4261097359322816E-2</v>
      </c>
    </row>
    <row r="5411" spans="2:7" ht="15" hidden="1" outlineLevel="2">
      <c r="B5411" s="2889" t="s">
        <v>1640</v>
      </c>
      <c r="C5411" s="2889" t="s">
        <v>1422</v>
      </c>
      <c r="D5411" s="2889" t="s">
        <v>197</v>
      </c>
      <c r="E5411" s="2889" t="s">
        <v>1423</v>
      </c>
      <c r="F5411" s="2890">
        <v>1.5828463196395886E-3</v>
      </c>
      <c r="G5411" s="2890">
        <v>1.6596837648040048E-2</v>
      </c>
    </row>
    <row r="5412" spans="2:7" ht="15" hidden="1" outlineLevel="2">
      <c r="B5412" s="2889" t="s">
        <v>1641</v>
      </c>
      <c r="C5412" s="2889" t="s">
        <v>1422</v>
      </c>
      <c r="D5412" s="2889" t="s">
        <v>197</v>
      </c>
      <c r="E5412" s="2889" t="s">
        <v>1423</v>
      </c>
      <c r="F5412" s="2890">
        <v>1.9375120688498867E-3</v>
      </c>
      <c r="G5412" s="2890">
        <v>2.0315657061078053E-2</v>
      </c>
    </row>
    <row r="5413" spans="2:7" ht="15" hidden="1" outlineLevel="2">
      <c r="B5413" s="2889" t="s">
        <v>1642</v>
      </c>
      <c r="C5413" s="2889" t="s">
        <v>1422</v>
      </c>
      <c r="D5413" s="2889" t="s">
        <v>197</v>
      </c>
      <c r="E5413" s="2889" t="s">
        <v>1423</v>
      </c>
      <c r="F5413" s="2890">
        <v>8.78927474647749E-4</v>
      </c>
      <c r="G5413" s="2890">
        <v>9.2159480498441235E-3</v>
      </c>
    </row>
    <row r="5414" spans="2:7" ht="15" hidden="1" outlineLevel="2">
      <c r="B5414" s="2889" t="s">
        <v>1643</v>
      </c>
      <c r="C5414" s="2889" t="s">
        <v>1422</v>
      </c>
      <c r="D5414" s="2889" t="s">
        <v>197</v>
      </c>
      <c r="E5414" s="2889" t="s">
        <v>1423</v>
      </c>
      <c r="F5414" s="2890">
        <v>4.29329223625233E-3</v>
      </c>
      <c r="G5414" s="2890">
        <v>4.5016969795523533E-2</v>
      </c>
    </row>
    <row r="5415" spans="2:7" ht="15" hidden="1" outlineLevel="2">
      <c r="B5415" s="2889" t="s">
        <v>1644</v>
      </c>
      <c r="C5415" s="2889" t="s">
        <v>1422</v>
      </c>
      <c r="D5415" s="2889" t="s">
        <v>197</v>
      </c>
      <c r="E5415" s="2889" t="s">
        <v>1423</v>
      </c>
      <c r="F5415" s="2890">
        <v>1.8822735087613647E-3</v>
      </c>
      <c r="G5415" s="2890">
        <v>1.9736453541678158E-2</v>
      </c>
    </row>
    <row r="5416" spans="2:7" ht="15" hidden="1" outlineLevel="2">
      <c r="B5416" s="2889" t="s">
        <v>1645</v>
      </c>
      <c r="C5416" s="2889" t="s">
        <v>1422</v>
      </c>
      <c r="D5416" s="2889" t="s">
        <v>197</v>
      </c>
      <c r="E5416" s="2889" t="s">
        <v>1423</v>
      </c>
      <c r="F5416" s="2890">
        <v>7.3592815236315904E-4</v>
      </c>
      <c r="G5416" s="2890">
        <v>7.7165293315870015E-3</v>
      </c>
    </row>
    <row r="5417" spans="2:7" ht="15" hidden="1" outlineLevel="2">
      <c r="B5417" s="2889" t="s">
        <v>1646</v>
      </c>
      <c r="C5417" s="2889" t="s">
        <v>1422</v>
      </c>
      <c r="D5417" s="2889" t="s">
        <v>197</v>
      </c>
      <c r="E5417" s="2889" t="s">
        <v>1423</v>
      </c>
      <c r="F5417" s="2890">
        <v>5.3050709967671899E-3</v>
      </c>
      <c r="G5417" s="2890">
        <v>5.5625941880867565E-2</v>
      </c>
    </row>
    <row r="5418" spans="2:7" ht="15" hidden="1" outlineLevel="2">
      <c r="B5418" s="2889" t="s">
        <v>1647</v>
      </c>
      <c r="C5418" s="2889" t="s">
        <v>1422</v>
      </c>
      <c r="D5418" s="2889" t="s">
        <v>197</v>
      </c>
      <c r="E5418" s="2889" t="s">
        <v>1423</v>
      </c>
      <c r="F5418" s="2890">
        <v>1.4548921803044272E-3</v>
      </c>
      <c r="G5418" s="2890">
        <v>1.5255175063975276E-2</v>
      </c>
    </row>
    <row r="5419" spans="2:7" ht="15" hidden="1" outlineLevel="2">
      <c r="B5419" s="2889" t="s">
        <v>1648</v>
      </c>
      <c r="C5419" s="2889" t="s">
        <v>1422</v>
      </c>
      <c r="D5419" s="2889" t="s">
        <v>197</v>
      </c>
      <c r="E5419" s="2889" t="s">
        <v>1423</v>
      </c>
      <c r="F5419" s="2890">
        <v>1.3113418607978474E-3</v>
      </c>
      <c r="G5419" s="2890">
        <v>1.3749991193070452E-2</v>
      </c>
    </row>
    <row r="5420" spans="2:7" ht="15" hidden="1" outlineLevel="2">
      <c r="B5420" s="2889" t="s">
        <v>1649</v>
      </c>
      <c r="C5420" s="2889" t="s">
        <v>1422</v>
      </c>
      <c r="D5420" s="2889" t="s">
        <v>197</v>
      </c>
      <c r="E5420" s="2889" t="s">
        <v>1423</v>
      </c>
      <c r="F5420" s="2890">
        <v>3.4191745537725774E-3</v>
      </c>
      <c r="G5420" s="2890">
        <v>3.5851449410055768E-2</v>
      </c>
    </row>
    <row r="5421" spans="2:7" ht="15" hidden="1" outlineLevel="2">
      <c r="B5421" s="2889" t="s">
        <v>1650</v>
      </c>
      <c r="C5421" s="2889" t="s">
        <v>1422</v>
      </c>
      <c r="D5421" s="2889" t="s">
        <v>197</v>
      </c>
      <c r="E5421" s="2889" t="s">
        <v>1423</v>
      </c>
      <c r="F5421" s="2890">
        <v>3.124689634286176E-3</v>
      </c>
      <c r="G5421" s="2890">
        <v>3.276373852340473E-2</v>
      </c>
    </row>
    <row r="5422" spans="2:7" ht="15" hidden="1" outlineLevel="2">
      <c r="B5422" s="2889" t="s">
        <v>1651</v>
      </c>
      <c r="C5422" s="2889" t="s">
        <v>1422</v>
      </c>
      <c r="D5422" s="2889" t="s">
        <v>197</v>
      </c>
      <c r="E5422" s="2889" t="s">
        <v>1423</v>
      </c>
      <c r="F5422" s="2890">
        <v>2.4001418362239058E-3</v>
      </c>
      <c r="G5422" s="2890">
        <v>2.5166540181020464E-2</v>
      </c>
    </row>
    <row r="5423" spans="2:7" ht="15" hidden="1" outlineLevel="2">
      <c r="B5423" s="2889" t="s">
        <v>1652</v>
      </c>
      <c r="C5423" s="2889" t="s">
        <v>1422</v>
      </c>
      <c r="D5423" s="2889" t="s">
        <v>197</v>
      </c>
      <c r="E5423" s="2889" t="s">
        <v>1423</v>
      </c>
      <c r="F5423" s="2890">
        <v>3.6489075330967988E-3</v>
      </c>
      <c r="G5423" s="2890">
        <v>3.8260359086493709E-2</v>
      </c>
    </row>
    <row r="5424" spans="2:7" ht="15" hidden="1" outlineLevel="2">
      <c r="B5424" s="2889" t="s">
        <v>1653</v>
      </c>
      <c r="C5424" s="2889" t="s">
        <v>1422</v>
      </c>
      <c r="D5424" s="2889" t="s">
        <v>197</v>
      </c>
      <c r="E5424" s="2889" t="s">
        <v>1423</v>
      </c>
      <c r="F5424" s="2890">
        <v>4.200799385365748E-34</v>
      </c>
      <c r="G5424" s="2890">
        <v>4.4047226276265358E-33</v>
      </c>
    </row>
    <row r="5425" spans="2:7" ht="15" hidden="1" outlineLevel="2">
      <c r="B5425" s="2889" t="s">
        <v>1407</v>
      </c>
      <c r="C5425" s="2889" t="s">
        <v>1424</v>
      </c>
      <c r="D5425" s="2889" t="s">
        <v>197</v>
      </c>
      <c r="E5425" s="2889" t="s">
        <v>1423</v>
      </c>
      <c r="F5425" s="2890">
        <v>1.369523116886923E-4</v>
      </c>
      <c r="G5425" s="2890">
        <v>1.4355735687638863E-3</v>
      </c>
    </row>
    <row r="5426" spans="2:7" ht="15" hidden="1" outlineLevel="2">
      <c r="B5426" s="2889" t="s">
        <v>1631</v>
      </c>
      <c r="C5426" s="2889" t="s">
        <v>1424</v>
      </c>
      <c r="D5426" s="2889" t="s">
        <v>197</v>
      </c>
      <c r="E5426" s="2889" t="s">
        <v>1423</v>
      </c>
      <c r="F5426" s="2890">
        <v>2.5457200493700523E-4</v>
      </c>
      <c r="G5426" s="2890">
        <v>2.6684954758890646E-3</v>
      </c>
    </row>
    <row r="5427" spans="2:7" ht="15" hidden="1" outlineLevel="2">
      <c r="B5427" s="2889" t="s">
        <v>1632</v>
      </c>
      <c r="C5427" s="2889" t="s">
        <v>1424</v>
      </c>
      <c r="D5427" s="2889" t="s">
        <v>197</v>
      </c>
      <c r="E5427" s="2889" t="s">
        <v>1423</v>
      </c>
      <c r="F5427" s="2890">
        <v>5.2079235839338513E-4</v>
      </c>
      <c r="G5427" s="2890">
        <v>5.4590912505382647E-3</v>
      </c>
    </row>
    <row r="5428" spans="2:7" ht="15" hidden="1" outlineLevel="2">
      <c r="B5428" s="2889" t="s">
        <v>1633</v>
      </c>
      <c r="C5428" s="2889" t="s">
        <v>1424</v>
      </c>
      <c r="D5428" s="2889" t="s">
        <v>197</v>
      </c>
      <c r="E5428" s="2889" t="s">
        <v>1423</v>
      </c>
      <c r="F5428" s="2890">
        <v>1.8326147044912667E-4</v>
      </c>
      <c r="G5428" s="2890">
        <v>1.9209996296307914E-3</v>
      </c>
    </row>
    <row r="5429" spans="2:7" ht="15" hidden="1" outlineLevel="2">
      <c r="B5429" s="2889" t="s">
        <v>1634</v>
      </c>
      <c r="C5429" s="2889" t="s">
        <v>1424</v>
      </c>
      <c r="D5429" s="2889" t="s">
        <v>197</v>
      </c>
      <c r="E5429" s="2889" t="s">
        <v>1423</v>
      </c>
      <c r="F5429" s="2890">
        <v>1.1928905128021508E-3</v>
      </c>
      <c r="G5429" s="2890">
        <v>1.2504225608388613E-2</v>
      </c>
    </row>
    <row r="5430" spans="2:7" ht="15" hidden="1" outlineLevel="2">
      <c r="B5430" s="2889" t="s">
        <v>1635</v>
      </c>
      <c r="C5430" s="2889" t="s">
        <v>1424</v>
      </c>
      <c r="D5430" s="2889" t="s">
        <v>197</v>
      </c>
      <c r="E5430" s="2889" t="s">
        <v>1423</v>
      </c>
      <c r="F5430" s="2890">
        <v>1.3500417245570933E-3</v>
      </c>
      <c r="G5430" s="2890">
        <v>1.4151521909207126E-2</v>
      </c>
    </row>
    <row r="5431" spans="2:7" ht="15" hidden="1" outlineLevel="2">
      <c r="B5431" s="2889" t="s">
        <v>1636</v>
      </c>
      <c r="C5431" s="2889" t="s">
        <v>1424</v>
      </c>
      <c r="D5431" s="2889" t="s">
        <v>197</v>
      </c>
      <c r="E5431" s="2889" t="s">
        <v>1423</v>
      </c>
      <c r="F5431" s="2890">
        <v>6.5648644225652769E-4</v>
      </c>
      <c r="G5431" s="2890">
        <v>6.8814713045801685E-3</v>
      </c>
    </row>
    <row r="5432" spans="2:7" ht="15" hidden="1" outlineLevel="2">
      <c r="B5432" s="2889" t="s">
        <v>1637</v>
      </c>
      <c r="C5432" s="2889" t="s">
        <v>1424</v>
      </c>
      <c r="D5432" s="2889" t="s">
        <v>197</v>
      </c>
      <c r="E5432" s="2889" t="s">
        <v>1423</v>
      </c>
      <c r="F5432" s="2890">
        <v>3.085925658816548E-4</v>
      </c>
      <c r="G5432" s="2890">
        <v>3.2347549403924977E-3</v>
      </c>
    </row>
    <row r="5433" spans="2:7" ht="15" hidden="1" outlineLevel="2">
      <c r="B5433" s="2889" t="s">
        <v>1638</v>
      </c>
      <c r="C5433" s="2889" t="s">
        <v>1424</v>
      </c>
      <c r="D5433" s="2889" t="s">
        <v>197</v>
      </c>
      <c r="E5433" s="2889" t="s">
        <v>1423</v>
      </c>
      <c r="F5433" s="2890">
        <v>1.076502278820164E-3</v>
      </c>
      <c r="G5433" s="2890">
        <v>1.128420282450621E-2</v>
      </c>
    </row>
    <row r="5434" spans="2:7" ht="15" hidden="1" outlineLevel="2">
      <c r="B5434" s="2889" t="s">
        <v>1639</v>
      </c>
      <c r="C5434" s="2889" t="s">
        <v>1424</v>
      </c>
      <c r="D5434" s="2889" t="s">
        <v>197</v>
      </c>
      <c r="E5434" s="2889" t="s">
        <v>1423</v>
      </c>
      <c r="F5434" s="2890">
        <v>1.6425478012366643E-3</v>
      </c>
      <c r="G5434" s="2890">
        <v>1.7217656209220562E-2</v>
      </c>
    </row>
    <row r="5435" spans="2:7" ht="15" hidden="1" outlineLevel="2">
      <c r="B5435" s="2889" t="s">
        <v>1640</v>
      </c>
      <c r="C5435" s="2889" t="s">
        <v>1424</v>
      </c>
      <c r="D5435" s="2889" t="s">
        <v>197</v>
      </c>
      <c r="E5435" s="2889" t="s">
        <v>1423</v>
      </c>
      <c r="F5435" s="2890">
        <v>5.0240652197165985E-4</v>
      </c>
      <c r="G5435" s="2890">
        <v>5.2663669447277871E-3</v>
      </c>
    </row>
    <row r="5436" spans="2:7" ht="15" hidden="1" outlineLevel="2">
      <c r="B5436" s="2889" t="s">
        <v>1641</v>
      </c>
      <c r="C5436" s="2889" t="s">
        <v>1424</v>
      </c>
      <c r="D5436" s="2889" t="s">
        <v>197</v>
      </c>
      <c r="E5436" s="2889" t="s">
        <v>1423</v>
      </c>
      <c r="F5436" s="2890">
        <v>6.149799093528519E-4</v>
      </c>
      <c r="G5436" s="2890">
        <v>6.4463958634388314E-3</v>
      </c>
    </row>
    <row r="5437" spans="2:7" ht="15" hidden="1" outlineLevel="2">
      <c r="B5437" s="2889" t="s">
        <v>1642</v>
      </c>
      <c r="C5437" s="2889" t="s">
        <v>1424</v>
      </c>
      <c r="D5437" s="2889" t="s">
        <v>197</v>
      </c>
      <c r="E5437" s="2889" t="s">
        <v>1423</v>
      </c>
      <c r="F5437" s="2890">
        <v>2.7897788547375608E-4</v>
      </c>
      <c r="G5437" s="2890">
        <v>2.9243257256889184E-3</v>
      </c>
    </row>
    <row r="5438" spans="2:7" ht="15" hidden="1" outlineLevel="2">
      <c r="B5438" s="2889" t="s">
        <v>1643</v>
      </c>
      <c r="C5438" s="2889" t="s">
        <v>1424</v>
      </c>
      <c r="D5438" s="2889" t="s">
        <v>197</v>
      </c>
      <c r="E5438" s="2889" t="s">
        <v>1423</v>
      </c>
      <c r="F5438" s="2890">
        <v>1.362720595555842E-3</v>
      </c>
      <c r="G5438" s="2890">
        <v>1.4284437682007142E-2</v>
      </c>
    </row>
    <row r="5439" spans="2:7" ht="15" hidden="1" outlineLevel="2">
      <c r="B5439" s="2889" t="s">
        <v>1644</v>
      </c>
      <c r="C5439" s="2889" t="s">
        <v>1424</v>
      </c>
      <c r="D5439" s="2889" t="s">
        <v>197</v>
      </c>
      <c r="E5439" s="2889" t="s">
        <v>1423</v>
      </c>
      <c r="F5439" s="2890">
        <v>5.974461337778761E-4</v>
      </c>
      <c r="G5439" s="2890">
        <v>6.2626053433086377E-3</v>
      </c>
    </row>
    <row r="5440" spans="2:7" ht="15" hidden="1" outlineLevel="2">
      <c r="B5440" s="2889" t="s">
        <v>1645</v>
      </c>
      <c r="C5440" s="2889" t="s">
        <v>1424</v>
      </c>
      <c r="D5440" s="2889" t="s">
        <v>197</v>
      </c>
      <c r="E5440" s="2889" t="s">
        <v>1423</v>
      </c>
      <c r="F5440" s="2890">
        <v>2.3358868129536717E-4</v>
      </c>
      <c r="G5440" s="2890">
        <v>2.448542456148312E-3</v>
      </c>
    </row>
    <row r="5441" spans="2:7" ht="15" hidden="1" outlineLevel="2">
      <c r="B5441" s="2889" t="s">
        <v>1646</v>
      </c>
      <c r="C5441" s="2889" t="s">
        <v>1424</v>
      </c>
      <c r="D5441" s="2889" t="s">
        <v>197</v>
      </c>
      <c r="E5441" s="2889" t="s">
        <v>1423</v>
      </c>
      <c r="F5441" s="2890">
        <v>1.6838655096871808E-3</v>
      </c>
      <c r="G5441" s="2890">
        <v>1.7650753244989902E-2</v>
      </c>
    </row>
    <row r="5442" spans="2:7" ht="15" hidden="1" outlineLevel="2">
      <c r="B5442" s="2889" t="s">
        <v>1647</v>
      </c>
      <c r="C5442" s="2889" t="s">
        <v>1424</v>
      </c>
      <c r="D5442" s="2889" t="s">
        <v>197</v>
      </c>
      <c r="E5442" s="2889" t="s">
        <v>1423</v>
      </c>
      <c r="F5442" s="2890">
        <v>4.6179308262847318E-4</v>
      </c>
      <c r="G5442" s="2890">
        <v>4.8406461299982098E-3</v>
      </c>
    </row>
    <row r="5443" spans="2:7" ht="15" hidden="1" outlineLevel="2">
      <c r="B5443" s="2889" t="s">
        <v>1648</v>
      </c>
      <c r="C5443" s="2889" t="s">
        <v>1424</v>
      </c>
      <c r="D5443" s="2889" t="s">
        <v>197</v>
      </c>
      <c r="E5443" s="2889" t="s">
        <v>1423</v>
      </c>
      <c r="F5443" s="2890">
        <v>4.1622898023167804E-4</v>
      </c>
      <c r="G5443" s="2890">
        <v>4.3630306474377878E-3</v>
      </c>
    </row>
    <row r="5444" spans="2:7" ht="15" hidden="1" outlineLevel="2">
      <c r="B5444" s="2889" t="s">
        <v>1649</v>
      </c>
      <c r="C5444" s="2889" t="s">
        <v>1424</v>
      </c>
      <c r="D5444" s="2889" t="s">
        <v>197</v>
      </c>
      <c r="E5444" s="2889" t="s">
        <v>1423</v>
      </c>
      <c r="F5444" s="2890">
        <v>1.0852692042733196E-3</v>
      </c>
      <c r="G5444" s="2890">
        <v>1.1376103977405802E-2</v>
      </c>
    </row>
    <row r="5445" spans="2:7" ht="15" hidden="1" outlineLevel="2">
      <c r="B5445" s="2889" t="s">
        <v>1650</v>
      </c>
      <c r="C5445" s="2889" t="s">
        <v>1424</v>
      </c>
      <c r="D5445" s="2889" t="s">
        <v>197</v>
      </c>
      <c r="E5445" s="2889" t="s">
        <v>1423</v>
      </c>
      <c r="F5445" s="2890">
        <v>9.9179742514262292E-4</v>
      </c>
      <c r="G5445" s="2890">
        <v>1.039631237114472E-2</v>
      </c>
    </row>
    <row r="5446" spans="2:7" ht="15" hidden="1" outlineLevel="2">
      <c r="B5446" s="2889" t="s">
        <v>1651</v>
      </c>
      <c r="C5446" s="2889" t="s">
        <v>1424</v>
      </c>
      <c r="D5446" s="2889" t="s">
        <v>197</v>
      </c>
      <c r="E5446" s="2889" t="s">
        <v>1423</v>
      </c>
      <c r="F5446" s="2890">
        <v>7.6182226558378576E-4</v>
      </c>
      <c r="G5446" s="2890">
        <v>7.9856339589474065E-3</v>
      </c>
    </row>
    <row r="5447" spans="2:7" ht="15" hidden="1" outlineLevel="2">
      <c r="B5447" s="2889" t="s">
        <v>1652</v>
      </c>
      <c r="C5447" s="2889" t="s">
        <v>1424</v>
      </c>
      <c r="D5447" s="2889" t="s">
        <v>197</v>
      </c>
      <c r="E5447" s="2889" t="s">
        <v>1423</v>
      </c>
      <c r="F5447" s="2890">
        <v>1.1581897293172774E-3</v>
      </c>
      <c r="G5447" s="2890">
        <v>1.2140467766144313E-2</v>
      </c>
    </row>
    <row r="5448" spans="2:7" ht="15" hidden="1" outlineLevel="2">
      <c r="B5448" s="2889" t="s">
        <v>1653</v>
      </c>
      <c r="C5448" s="2889" t="s">
        <v>1424</v>
      </c>
      <c r="D5448" s="2889" t="s">
        <v>197</v>
      </c>
      <c r="E5448" s="2889" t="s">
        <v>1423</v>
      </c>
      <c r="F5448" s="2890">
        <v>2.6369596790981116E-35</v>
      </c>
      <c r="G5448" s="2890">
        <v>2.7641370213079294E-34</v>
      </c>
    </row>
    <row r="5449" spans="2:7" ht="15" hidden="1" outlineLevel="2">
      <c r="B5449" s="2889" t="s">
        <v>1407</v>
      </c>
      <c r="C5449" s="2889" t="s">
        <v>1425</v>
      </c>
      <c r="D5449" s="2889" t="s">
        <v>197</v>
      </c>
      <c r="E5449" s="2889" t="s">
        <v>1426</v>
      </c>
      <c r="F5449" s="3040"/>
      <c r="G5449" s="2890">
        <v>3.3456514020855851E-2</v>
      </c>
    </row>
    <row r="5450" spans="2:7" ht="15" hidden="1" outlineLevel="2">
      <c r="B5450" s="2889" t="s">
        <v>1631</v>
      </c>
      <c r="C5450" s="2889" t="s">
        <v>1425</v>
      </c>
      <c r="D5450" s="2889" t="s">
        <v>197</v>
      </c>
      <c r="E5450" s="2889" t="s">
        <v>1426</v>
      </c>
      <c r="F5450" s="2890">
        <v>5.5708340968698725E-6</v>
      </c>
      <c r="G5450" s="2890">
        <v>6.219018949945785E-2</v>
      </c>
    </row>
    <row r="5451" spans="2:7" ht="15" hidden="1" outlineLevel="2">
      <c r="B5451" s="2889" t="s">
        <v>1632</v>
      </c>
      <c r="C5451" s="2889" t="s">
        <v>1425</v>
      </c>
      <c r="D5451" s="2889" t="s">
        <v>197</v>
      </c>
      <c r="E5451" s="2889" t="s">
        <v>1426</v>
      </c>
      <c r="F5451" s="3040"/>
      <c r="G5451" s="2890">
        <v>0.12722594928147507</v>
      </c>
    </row>
    <row r="5452" spans="2:7" ht="15" hidden="1" outlineLevel="2">
      <c r="B5452" s="2889" t="s">
        <v>1633</v>
      </c>
      <c r="C5452" s="2889" t="s">
        <v>1425</v>
      </c>
      <c r="D5452" s="2889" t="s">
        <v>197</v>
      </c>
      <c r="E5452" s="2889" t="s">
        <v>1426</v>
      </c>
      <c r="F5452" s="3040"/>
      <c r="G5452" s="2890">
        <v>4.4769528637189838E-2</v>
      </c>
    </row>
    <row r="5453" spans="2:7" ht="15" hidden="1" outlineLevel="2">
      <c r="B5453" s="2889" t="s">
        <v>1634</v>
      </c>
      <c r="C5453" s="2889" t="s">
        <v>1425</v>
      </c>
      <c r="D5453" s="2889" t="s">
        <v>197</v>
      </c>
      <c r="E5453" s="2889" t="s">
        <v>1426</v>
      </c>
      <c r="F5453" s="3040"/>
      <c r="G5453" s="2890">
        <v>0.29141500293023287</v>
      </c>
    </row>
    <row r="5454" spans="2:7" ht="15" hidden="1" outlineLevel="2">
      <c r="B5454" s="2889" t="s">
        <v>1635</v>
      </c>
      <c r="C5454" s="2889" t="s">
        <v>1425</v>
      </c>
      <c r="D5454" s="2889" t="s">
        <v>197</v>
      </c>
      <c r="E5454" s="2889" t="s">
        <v>1426</v>
      </c>
      <c r="F5454" s="3040"/>
      <c r="G5454" s="2890">
        <v>0.32980601949692007</v>
      </c>
    </row>
    <row r="5455" spans="2:7" ht="15" hidden="1" outlineLevel="2">
      <c r="B5455" s="2889" t="s">
        <v>1636</v>
      </c>
      <c r="C5455" s="2889" t="s">
        <v>1425</v>
      </c>
      <c r="D5455" s="2889" t="s">
        <v>197</v>
      </c>
      <c r="E5455" s="2889" t="s">
        <v>1426</v>
      </c>
      <c r="F5455" s="3040"/>
      <c r="G5455" s="2890">
        <v>0.16037511920716455</v>
      </c>
    </row>
    <row r="5456" spans="2:7" ht="15" hidden="1" outlineLevel="2">
      <c r="B5456" s="2889" t="s">
        <v>1637</v>
      </c>
      <c r="C5456" s="2889" t="s">
        <v>1425</v>
      </c>
      <c r="D5456" s="2889" t="s">
        <v>197</v>
      </c>
      <c r="E5456" s="2889" t="s">
        <v>1426</v>
      </c>
      <c r="F5456" s="3040"/>
      <c r="G5456" s="2890">
        <v>7.5387068535670496E-2</v>
      </c>
    </row>
    <row r="5457" spans="2:7" ht="15" hidden="1" outlineLevel="2">
      <c r="B5457" s="2889" t="s">
        <v>1638</v>
      </c>
      <c r="C5457" s="2889" t="s">
        <v>1425</v>
      </c>
      <c r="D5457" s="2889" t="s">
        <v>197</v>
      </c>
      <c r="E5457" s="2889" t="s">
        <v>1426</v>
      </c>
      <c r="F5457" s="3040"/>
      <c r="G5457" s="2890">
        <v>0.26298216247193229</v>
      </c>
    </row>
    <row r="5458" spans="2:7" ht="15" hidden="1" outlineLevel="2">
      <c r="B5458" s="2889" t="s">
        <v>1639</v>
      </c>
      <c r="C5458" s="2889" t="s">
        <v>1425</v>
      </c>
      <c r="D5458" s="2889" t="s">
        <v>197</v>
      </c>
      <c r="E5458" s="2889" t="s">
        <v>1426</v>
      </c>
      <c r="F5458" s="3040"/>
      <c r="G5458" s="2890">
        <v>0.40126335285226877</v>
      </c>
    </row>
    <row r="5459" spans="2:7" ht="15" hidden="1" outlineLevel="2">
      <c r="B5459" s="2889" t="s">
        <v>1640</v>
      </c>
      <c r="C5459" s="2889" t="s">
        <v>1425</v>
      </c>
      <c r="D5459" s="2889" t="s">
        <v>197</v>
      </c>
      <c r="E5459" s="2889" t="s">
        <v>1426</v>
      </c>
      <c r="F5459" s="3040"/>
      <c r="G5459" s="2890">
        <v>0.12273453443120345</v>
      </c>
    </row>
    <row r="5460" spans="2:7" ht="15" hidden="1" outlineLevel="2">
      <c r="B5460" s="2889" t="s">
        <v>1641</v>
      </c>
      <c r="C5460" s="2889" t="s">
        <v>1425</v>
      </c>
      <c r="D5460" s="2889" t="s">
        <v>197</v>
      </c>
      <c r="E5460" s="2889" t="s">
        <v>1426</v>
      </c>
      <c r="F5460" s="3040"/>
      <c r="G5460" s="2890">
        <v>0.1502354616987146</v>
      </c>
    </row>
    <row r="5461" spans="2:7" ht="15" hidden="1" outlineLevel="2">
      <c r="B5461" s="2889" t="s">
        <v>1642</v>
      </c>
      <c r="C5461" s="2889" t="s">
        <v>1425</v>
      </c>
      <c r="D5461" s="2889" t="s">
        <v>197</v>
      </c>
      <c r="E5461" s="2889" t="s">
        <v>1426</v>
      </c>
      <c r="F5461" s="3040"/>
      <c r="G5461" s="2890">
        <v>6.8152440307595152E-2</v>
      </c>
    </row>
    <row r="5462" spans="2:7" ht="15" hidden="1" outlineLevel="2">
      <c r="B5462" s="2889" t="s">
        <v>1643</v>
      </c>
      <c r="C5462" s="2889" t="s">
        <v>1425</v>
      </c>
      <c r="D5462" s="2889" t="s">
        <v>197</v>
      </c>
      <c r="E5462" s="2889" t="s">
        <v>1426</v>
      </c>
      <c r="F5462" s="3040"/>
      <c r="G5462" s="2890">
        <v>0.33290352753736768</v>
      </c>
    </row>
    <row r="5463" spans="2:7" ht="15" hidden="1" outlineLevel="2">
      <c r="B5463" s="2889" t="s">
        <v>1644</v>
      </c>
      <c r="C5463" s="2889" t="s">
        <v>1425</v>
      </c>
      <c r="D5463" s="2889" t="s">
        <v>197</v>
      </c>
      <c r="E5463" s="2889" t="s">
        <v>1426</v>
      </c>
      <c r="F5463" s="3040"/>
      <c r="G5463" s="2890">
        <v>0.14595212361279411</v>
      </c>
    </row>
    <row r="5464" spans="2:7" ht="15" hidden="1" outlineLevel="2">
      <c r="B5464" s="2889" t="s">
        <v>1645</v>
      </c>
      <c r="C5464" s="2889" t="s">
        <v>1425</v>
      </c>
      <c r="D5464" s="2889" t="s">
        <v>197</v>
      </c>
      <c r="E5464" s="2889" t="s">
        <v>1426</v>
      </c>
      <c r="F5464" s="3040"/>
      <c r="G5464" s="2890">
        <v>5.7064151977385943E-2</v>
      </c>
    </row>
    <row r="5465" spans="2:7" ht="15" hidden="1" outlineLevel="2">
      <c r="B5465" s="2889" t="s">
        <v>1646</v>
      </c>
      <c r="C5465" s="2889" t="s">
        <v>1425</v>
      </c>
      <c r="D5465" s="2889" t="s">
        <v>197</v>
      </c>
      <c r="E5465" s="2889" t="s">
        <v>1426</v>
      </c>
      <c r="F5465" s="3040"/>
      <c r="G5465" s="2890">
        <v>0.41135675082889311</v>
      </c>
    </row>
    <row r="5466" spans="2:7" ht="15" hidden="1" outlineLevel="2">
      <c r="B5466" s="2889" t="s">
        <v>1647</v>
      </c>
      <c r="C5466" s="2889" t="s">
        <v>1425</v>
      </c>
      <c r="D5466" s="2889" t="s">
        <v>197</v>
      </c>
      <c r="E5466" s="2889" t="s">
        <v>1426</v>
      </c>
      <c r="F5466" s="3040"/>
      <c r="G5466" s="2890">
        <v>0.11281288140024114</v>
      </c>
    </row>
    <row r="5467" spans="2:7" ht="15" hidden="1" outlineLevel="2">
      <c r="B5467" s="2889" t="s">
        <v>1648</v>
      </c>
      <c r="C5467" s="2889" t="s">
        <v>1425</v>
      </c>
      <c r="D5467" s="2889" t="s">
        <v>197</v>
      </c>
      <c r="E5467" s="2889" t="s">
        <v>1426</v>
      </c>
      <c r="F5467" s="3040"/>
      <c r="G5467" s="2890">
        <v>0.10168193029243625</v>
      </c>
    </row>
    <row r="5468" spans="2:7" ht="15" hidden="1" outlineLevel="2">
      <c r="B5468" s="2889" t="s">
        <v>1649</v>
      </c>
      <c r="C5468" s="2889" t="s">
        <v>1425</v>
      </c>
      <c r="D5468" s="2889" t="s">
        <v>197</v>
      </c>
      <c r="E5468" s="2889" t="s">
        <v>1426</v>
      </c>
      <c r="F5468" s="3040"/>
      <c r="G5468" s="2890">
        <v>0.26512378526951963</v>
      </c>
    </row>
    <row r="5469" spans="2:7" ht="15" hidden="1" outlineLevel="2">
      <c r="B5469" s="2889" t="s">
        <v>1650</v>
      </c>
      <c r="C5469" s="2889" t="s">
        <v>1425</v>
      </c>
      <c r="D5469" s="2889" t="s">
        <v>197</v>
      </c>
      <c r="E5469" s="2889" t="s">
        <v>1426</v>
      </c>
      <c r="F5469" s="3040"/>
      <c r="G5469" s="2890">
        <v>0.24228956248418743</v>
      </c>
    </row>
    <row r="5470" spans="2:7" ht="15" hidden="1" outlineLevel="2">
      <c r="B5470" s="2889" t="s">
        <v>1651</v>
      </c>
      <c r="C5470" s="2889" t="s">
        <v>1425</v>
      </c>
      <c r="D5470" s="2889" t="s">
        <v>197</v>
      </c>
      <c r="E5470" s="2889" t="s">
        <v>1426</v>
      </c>
      <c r="F5470" s="3040"/>
      <c r="G5470" s="2890">
        <v>0.18610777644276197</v>
      </c>
    </row>
    <row r="5471" spans="2:7" ht="15" hidden="1" outlineLevel="2">
      <c r="B5471" s="2889" t="s">
        <v>1652</v>
      </c>
      <c r="C5471" s="2889" t="s">
        <v>1425</v>
      </c>
      <c r="D5471" s="2889" t="s">
        <v>197</v>
      </c>
      <c r="E5471" s="2889" t="s">
        <v>1426</v>
      </c>
      <c r="F5471" s="3040"/>
      <c r="G5471" s="2890">
        <v>0.28293770298027537</v>
      </c>
    </row>
    <row r="5472" spans="2:7" ht="15" hidden="1" outlineLevel="2">
      <c r="B5472" s="2889" t="s">
        <v>1653</v>
      </c>
      <c r="C5472" s="2889" t="s">
        <v>1425</v>
      </c>
      <c r="D5472" s="2889" t="s">
        <v>197</v>
      </c>
      <c r="E5472" s="2889" t="s">
        <v>1426</v>
      </c>
      <c r="F5472" s="3040"/>
      <c r="G5472" s="2890">
        <v>5.4461997501739343E-36</v>
      </c>
    </row>
    <row r="5473" spans="2:7" ht="15" hidden="1" outlineLevel="2">
      <c r="B5473" s="2889" t="s">
        <v>1407</v>
      </c>
      <c r="C5473" s="2889" t="s">
        <v>1427</v>
      </c>
      <c r="D5473" s="2889" t="s">
        <v>197</v>
      </c>
      <c r="E5473" s="2889" t="s">
        <v>1426</v>
      </c>
      <c r="F5473" s="3040"/>
      <c r="G5473" s="2890">
        <v>1446.4053030323942</v>
      </c>
    </row>
    <row r="5474" spans="2:7" ht="15" hidden="1" outlineLevel="2">
      <c r="B5474" s="2889" t="s">
        <v>1631</v>
      </c>
      <c r="C5474" s="2889" t="s">
        <v>1427</v>
      </c>
      <c r="D5474" s="2889" t="s">
        <v>197</v>
      </c>
      <c r="E5474" s="2889" t="s">
        <v>1426</v>
      </c>
      <c r="F5474" s="2890">
        <v>7.591361101367966E-2</v>
      </c>
      <c r="G5474" s="2890">
        <v>2688.6305600069909</v>
      </c>
    </row>
    <row r="5475" spans="2:7" ht="15" hidden="1" outlineLevel="2">
      <c r="B5475" s="2889" t="s">
        <v>1632</v>
      </c>
      <c r="C5475" s="2889" t="s">
        <v>1427</v>
      </c>
      <c r="D5475" s="2889" t="s">
        <v>197</v>
      </c>
      <c r="E5475" s="2889" t="s">
        <v>1426</v>
      </c>
      <c r="F5475" s="3040"/>
      <c r="G5475" s="2890">
        <v>5500.2828290000116</v>
      </c>
    </row>
    <row r="5476" spans="2:7" ht="15" hidden="1" outlineLevel="2">
      <c r="B5476" s="2889" t="s">
        <v>1633</v>
      </c>
      <c r="C5476" s="2889" t="s">
        <v>1427</v>
      </c>
      <c r="D5476" s="2889" t="s">
        <v>197</v>
      </c>
      <c r="E5476" s="2889" t="s">
        <v>1426</v>
      </c>
      <c r="F5476" s="3040"/>
      <c r="G5476" s="2890">
        <v>1935.49386126543</v>
      </c>
    </row>
    <row r="5477" spans="2:7" ht="15" hidden="1" outlineLevel="2">
      <c r="B5477" s="2889" t="s">
        <v>1634</v>
      </c>
      <c r="C5477" s="2889" t="s">
        <v>1427</v>
      </c>
      <c r="D5477" s="2889" t="s">
        <v>197</v>
      </c>
      <c r="E5477" s="2889" t="s">
        <v>1426</v>
      </c>
      <c r="F5477" s="3040"/>
      <c r="G5477" s="2890">
        <v>12598.570747964222</v>
      </c>
    </row>
    <row r="5478" spans="2:7" ht="15" hidden="1" outlineLevel="2">
      <c r="B5478" s="2889" t="s">
        <v>1635</v>
      </c>
      <c r="C5478" s="2889" t="s">
        <v>1427</v>
      </c>
      <c r="D5478" s="2889" t="s">
        <v>197</v>
      </c>
      <c r="E5478" s="2889" t="s">
        <v>1426</v>
      </c>
      <c r="F5478" s="3040"/>
      <c r="G5478" s="2890">
        <v>14258.303681287831</v>
      </c>
    </row>
    <row r="5479" spans="2:7" ht="15" hidden="1" outlineLevel="2">
      <c r="B5479" s="2889" t="s">
        <v>1636</v>
      </c>
      <c r="C5479" s="2889" t="s">
        <v>1427</v>
      </c>
      <c r="D5479" s="2889" t="s">
        <v>197</v>
      </c>
      <c r="E5479" s="2889" t="s">
        <v>1426</v>
      </c>
      <c r="F5479" s="3040"/>
      <c r="G5479" s="2890">
        <v>6933.4004184210798</v>
      </c>
    </row>
    <row r="5480" spans="2:7" ht="15" hidden="1" outlineLevel="2">
      <c r="B5480" s="2889" t="s">
        <v>1637</v>
      </c>
      <c r="C5480" s="2889" t="s">
        <v>1427</v>
      </c>
      <c r="D5480" s="2889" t="s">
        <v>197</v>
      </c>
      <c r="E5480" s="2889" t="s">
        <v>1426</v>
      </c>
      <c r="F5480" s="3040"/>
      <c r="G5480" s="2890">
        <v>3259.1625763979682</v>
      </c>
    </row>
    <row r="5481" spans="2:7" ht="15" hidden="1" outlineLevel="2">
      <c r="B5481" s="2889" t="s">
        <v>1638</v>
      </c>
      <c r="C5481" s="2889" t="s">
        <v>1427</v>
      </c>
      <c r="D5481" s="2889" t="s">
        <v>197</v>
      </c>
      <c r="E5481" s="2889" t="s">
        <v>1426</v>
      </c>
      <c r="F5481" s="3040"/>
      <c r="G5481" s="2890">
        <v>11369.348375419426</v>
      </c>
    </row>
    <row r="5482" spans="2:7" ht="15" hidden="1" outlineLevel="2">
      <c r="B5482" s="2889" t="s">
        <v>1639</v>
      </c>
      <c r="C5482" s="2889" t="s">
        <v>1427</v>
      </c>
      <c r="D5482" s="2889" t="s">
        <v>197</v>
      </c>
      <c r="E5482" s="2889" t="s">
        <v>1426</v>
      </c>
      <c r="F5482" s="3040"/>
      <c r="G5482" s="2890">
        <v>17347.577280931982</v>
      </c>
    </row>
    <row r="5483" spans="2:7" ht="15" hidden="1" outlineLevel="2">
      <c r="B5483" s="2889" t="s">
        <v>1640</v>
      </c>
      <c r="C5483" s="2889" t="s">
        <v>1427</v>
      </c>
      <c r="D5483" s="2889" t="s">
        <v>197</v>
      </c>
      <c r="E5483" s="2889" t="s">
        <v>1426</v>
      </c>
      <c r="F5483" s="3040"/>
      <c r="G5483" s="2890">
        <v>5306.1047393930148</v>
      </c>
    </row>
    <row r="5484" spans="2:7" ht="15" hidden="1" outlineLevel="2">
      <c r="B5484" s="2889" t="s">
        <v>1641</v>
      </c>
      <c r="C5484" s="2889" t="s">
        <v>1427</v>
      </c>
      <c r="D5484" s="2889" t="s">
        <v>197</v>
      </c>
      <c r="E5484" s="2889" t="s">
        <v>1426</v>
      </c>
      <c r="F5484" s="3040"/>
      <c r="G5484" s="2890">
        <v>6495.0351823221745</v>
      </c>
    </row>
    <row r="5485" spans="2:7" ht="15" hidden="1" outlineLevel="2">
      <c r="B5485" s="2889" t="s">
        <v>1642</v>
      </c>
      <c r="C5485" s="2889" t="s">
        <v>1427</v>
      </c>
      <c r="D5485" s="2889" t="s">
        <v>197</v>
      </c>
      <c r="E5485" s="2889" t="s">
        <v>1426</v>
      </c>
      <c r="F5485" s="3040"/>
      <c r="G5485" s="2890">
        <v>2946.3912625322996</v>
      </c>
    </row>
    <row r="5486" spans="2:7" ht="15" hidden="1" outlineLevel="2">
      <c r="B5486" s="2889" t="s">
        <v>1643</v>
      </c>
      <c r="C5486" s="2889" t="s">
        <v>1427</v>
      </c>
      <c r="D5486" s="2889" t="s">
        <v>197</v>
      </c>
      <c r="E5486" s="2889" t="s">
        <v>1426</v>
      </c>
      <c r="F5486" s="3040"/>
      <c r="G5486" s="2890">
        <v>14392.211294073415</v>
      </c>
    </row>
    <row r="5487" spans="2:7" ht="15" hidden="1" outlineLevel="2">
      <c r="B5487" s="2889" t="s">
        <v>1644</v>
      </c>
      <c r="C5487" s="2889" t="s">
        <v>1427</v>
      </c>
      <c r="D5487" s="2889" t="s">
        <v>197</v>
      </c>
      <c r="E5487" s="2889" t="s">
        <v>1426</v>
      </c>
      <c r="F5487" s="3040"/>
      <c r="G5487" s="2890">
        <v>6309.8596357959514</v>
      </c>
    </row>
    <row r="5488" spans="2:7" ht="15" hidden="1" outlineLevel="2">
      <c r="B5488" s="2889" t="s">
        <v>1645</v>
      </c>
      <c r="C5488" s="2889" t="s">
        <v>1427</v>
      </c>
      <c r="D5488" s="2889" t="s">
        <v>197</v>
      </c>
      <c r="E5488" s="2889" t="s">
        <v>1426</v>
      </c>
      <c r="F5488" s="3040"/>
      <c r="G5488" s="2890">
        <v>2467.0189766709268</v>
      </c>
    </row>
    <row r="5489" spans="2:7" ht="15" hidden="1" outlineLevel="2">
      <c r="B5489" s="2889" t="s">
        <v>1646</v>
      </c>
      <c r="C5489" s="2889" t="s">
        <v>1427</v>
      </c>
      <c r="D5489" s="2889" t="s">
        <v>197</v>
      </c>
      <c r="E5489" s="2889" t="s">
        <v>1426</v>
      </c>
      <c r="F5489" s="3040"/>
      <c r="G5489" s="2890">
        <v>17783.940385431873</v>
      </c>
    </row>
    <row r="5490" spans="2:7" ht="15" hidden="1" outlineLevel="2">
      <c r="B5490" s="2889" t="s">
        <v>1647</v>
      </c>
      <c r="C5490" s="2889" t="s">
        <v>1427</v>
      </c>
      <c r="D5490" s="2889" t="s">
        <v>197</v>
      </c>
      <c r="E5490" s="2889" t="s">
        <v>1426</v>
      </c>
      <c r="F5490" s="3040"/>
      <c r="G5490" s="2890">
        <v>4877.1704471672283</v>
      </c>
    </row>
    <row r="5491" spans="2:7" ht="15" hidden="1" outlineLevel="2">
      <c r="B5491" s="2889" t="s">
        <v>1648</v>
      </c>
      <c r="C5491" s="2889" t="s">
        <v>1427</v>
      </c>
      <c r="D5491" s="2889" t="s">
        <v>197</v>
      </c>
      <c r="E5491" s="2889" t="s">
        <v>1426</v>
      </c>
      <c r="F5491" s="3040"/>
      <c r="G5491" s="2890">
        <v>4395.9540108853525</v>
      </c>
    </row>
    <row r="5492" spans="2:7" ht="15" hidden="1" outlineLevel="2">
      <c r="B5492" s="2889" t="s">
        <v>1649</v>
      </c>
      <c r="C5492" s="2889" t="s">
        <v>1427</v>
      </c>
      <c r="D5492" s="2889" t="s">
        <v>197</v>
      </c>
      <c r="E5492" s="2889" t="s">
        <v>1426</v>
      </c>
      <c r="F5492" s="3040"/>
      <c r="G5492" s="2890">
        <v>11461.935152314667</v>
      </c>
    </row>
    <row r="5493" spans="2:7" ht="15" hidden="1" outlineLevel="2">
      <c r="B5493" s="2889" t="s">
        <v>1650</v>
      </c>
      <c r="C5493" s="2889" t="s">
        <v>1427</v>
      </c>
      <c r="D5493" s="2889" t="s">
        <v>197</v>
      </c>
      <c r="E5493" s="2889" t="s">
        <v>1426</v>
      </c>
      <c r="F5493" s="3040"/>
      <c r="G5493" s="2890">
        <v>10474.754908187642</v>
      </c>
    </row>
    <row r="5494" spans="2:7" ht="15" hidden="1" outlineLevel="2">
      <c r="B5494" s="2889" t="s">
        <v>1651</v>
      </c>
      <c r="C5494" s="2889" t="s">
        <v>1427</v>
      </c>
      <c r="D5494" s="2889" t="s">
        <v>197</v>
      </c>
      <c r="E5494" s="2889" t="s">
        <v>1426</v>
      </c>
      <c r="F5494" s="3040"/>
      <c r="G5494" s="2890">
        <v>8045.8875259068309</v>
      </c>
    </row>
    <row r="5495" spans="2:7" ht="15" hidden="1" outlineLevel="2">
      <c r="B5495" s="2889" t="s">
        <v>1652</v>
      </c>
      <c r="C5495" s="2889" t="s">
        <v>1427</v>
      </c>
      <c r="D5495" s="2889" t="s">
        <v>197</v>
      </c>
      <c r="E5495" s="2889" t="s">
        <v>1426</v>
      </c>
      <c r="F5495" s="3040"/>
      <c r="G5495" s="2890">
        <v>12232.077089572012</v>
      </c>
    </row>
    <row r="5496" spans="2:7" ht="15" hidden="1" outlineLevel="2">
      <c r="B5496" s="2889" t="s">
        <v>1653</v>
      </c>
      <c r="C5496" s="2889" t="s">
        <v>1427</v>
      </c>
      <c r="D5496" s="2889" t="s">
        <v>197</v>
      </c>
      <c r="E5496" s="2889" t="s">
        <v>1426</v>
      </c>
      <c r="F5496" s="3040"/>
      <c r="G5496" s="2890">
        <v>4.8596835975054899E-28</v>
      </c>
    </row>
    <row r="5497" spans="2:7" ht="15" hidden="1" outlineLevel="2">
      <c r="B5497" s="2889" t="s">
        <v>1407</v>
      </c>
      <c r="C5497" s="2889" t="s">
        <v>1428</v>
      </c>
      <c r="D5497" s="2889" t="s">
        <v>197</v>
      </c>
      <c r="E5497" s="2889" t="s">
        <v>1426</v>
      </c>
      <c r="F5497" s="3040"/>
      <c r="G5497" s="2890">
        <v>129.78666739986681</v>
      </c>
    </row>
    <row r="5498" spans="2:7" ht="15" hidden="1" outlineLevel="2">
      <c r="B5498" s="2889" t="s">
        <v>1631</v>
      </c>
      <c r="C5498" s="2889" t="s">
        <v>1428</v>
      </c>
      <c r="D5498" s="2889" t="s">
        <v>197</v>
      </c>
      <c r="E5498" s="2889" t="s">
        <v>1426</v>
      </c>
      <c r="F5498" s="2890">
        <v>5.7095484283100715E-3</v>
      </c>
      <c r="G5498" s="2890">
        <v>241.25228628463543</v>
      </c>
    </row>
    <row r="5499" spans="2:7" ht="15" hidden="1" outlineLevel="2">
      <c r="B5499" s="2889" t="s">
        <v>1632</v>
      </c>
      <c r="C5499" s="2889" t="s">
        <v>1428</v>
      </c>
      <c r="D5499" s="2889" t="s">
        <v>197</v>
      </c>
      <c r="E5499" s="2889" t="s">
        <v>1426</v>
      </c>
      <c r="F5499" s="3040"/>
      <c r="G5499" s="2890">
        <v>493.54329037037172</v>
      </c>
    </row>
    <row r="5500" spans="2:7" ht="15" hidden="1" outlineLevel="2">
      <c r="B5500" s="2889" t="s">
        <v>1633</v>
      </c>
      <c r="C5500" s="2889" t="s">
        <v>1428</v>
      </c>
      <c r="D5500" s="2889" t="s">
        <v>197</v>
      </c>
      <c r="E5500" s="2889" t="s">
        <v>1426</v>
      </c>
      <c r="F5500" s="3040"/>
      <c r="G5500" s="2890">
        <v>173.67289391436199</v>
      </c>
    </row>
    <row r="5501" spans="2:7" ht="15" hidden="1" outlineLevel="2">
      <c r="B5501" s="2889" t="s">
        <v>1634</v>
      </c>
      <c r="C5501" s="2889" t="s">
        <v>1428</v>
      </c>
      <c r="D5501" s="2889" t="s">
        <v>197</v>
      </c>
      <c r="E5501" s="2889" t="s">
        <v>1426</v>
      </c>
      <c r="F5501" s="3040"/>
      <c r="G5501" s="2890">
        <v>1130.4763311048457</v>
      </c>
    </row>
    <row r="5502" spans="2:7" ht="15" hidden="1" outlineLevel="2">
      <c r="B5502" s="2889" t="s">
        <v>1635</v>
      </c>
      <c r="C5502" s="2889" t="s">
        <v>1428</v>
      </c>
      <c r="D5502" s="2889" t="s">
        <v>197</v>
      </c>
      <c r="E5502" s="2889" t="s">
        <v>1426</v>
      </c>
      <c r="F5502" s="3040"/>
      <c r="G5502" s="2890">
        <v>1279.4047710411257</v>
      </c>
    </row>
    <row r="5503" spans="2:7" ht="15" hidden="1" outlineLevel="2">
      <c r="B5503" s="2889" t="s">
        <v>1636</v>
      </c>
      <c r="C5503" s="2889" t="s">
        <v>1428</v>
      </c>
      <c r="D5503" s="2889" t="s">
        <v>197</v>
      </c>
      <c r="E5503" s="2889" t="s">
        <v>1426</v>
      </c>
      <c r="F5503" s="3040"/>
      <c r="G5503" s="2890">
        <v>622.13768561217785</v>
      </c>
    </row>
    <row r="5504" spans="2:7" ht="15" hidden="1" outlineLevel="2">
      <c r="B5504" s="2889" t="s">
        <v>1637</v>
      </c>
      <c r="C5504" s="2889" t="s">
        <v>1428</v>
      </c>
      <c r="D5504" s="2889" t="s">
        <v>197</v>
      </c>
      <c r="E5504" s="2889" t="s">
        <v>1426</v>
      </c>
      <c r="F5504" s="3040"/>
      <c r="G5504" s="2890">
        <v>292.44630708957425</v>
      </c>
    </row>
    <row r="5505" spans="2:7" ht="15" hidden="1" outlineLevel="2">
      <c r="B5505" s="2889" t="s">
        <v>1638</v>
      </c>
      <c r="C5505" s="2889" t="s">
        <v>1428</v>
      </c>
      <c r="D5505" s="2889" t="s">
        <v>197</v>
      </c>
      <c r="E5505" s="2889" t="s">
        <v>1426</v>
      </c>
      <c r="F5505" s="3040"/>
      <c r="G5505" s="2890">
        <v>1020.1775000577402</v>
      </c>
    </row>
    <row r="5506" spans="2:7" ht="15" hidden="1" outlineLevel="2">
      <c r="B5506" s="2889" t="s">
        <v>1639</v>
      </c>
      <c r="C5506" s="2889" t="s">
        <v>1428</v>
      </c>
      <c r="D5506" s="2889" t="s">
        <v>197</v>
      </c>
      <c r="E5506" s="2889" t="s">
        <v>1426</v>
      </c>
      <c r="F5506" s="3040"/>
      <c r="G5506" s="2890">
        <v>1556.6072194200224</v>
      </c>
    </row>
    <row r="5507" spans="2:7" ht="15" hidden="1" outlineLevel="2">
      <c r="B5507" s="2889" t="s">
        <v>1640</v>
      </c>
      <c r="C5507" s="2889" t="s">
        <v>1428</v>
      </c>
      <c r="D5507" s="2889" t="s">
        <v>197</v>
      </c>
      <c r="E5507" s="2889" t="s">
        <v>1426</v>
      </c>
      <c r="F5507" s="3040"/>
      <c r="G5507" s="2890">
        <v>476.11956555469538</v>
      </c>
    </row>
    <row r="5508" spans="2:7" ht="15" hidden="1" outlineLevel="2">
      <c r="B5508" s="2889" t="s">
        <v>1641</v>
      </c>
      <c r="C5508" s="2889" t="s">
        <v>1428</v>
      </c>
      <c r="D5508" s="2889" t="s">
        <v>197</v>
      </c>
      <c r="E5508" s="2889" t="s">
        <v>1426</v>
      </c>
      <c r="F5508" s="3040"/>
      <c r="G5508" s="2890">
        <v>582.80278300850466</v>
      </c>
    </row>
    <row r="5509" spans="2:7" ht="15" hidden="1" outlineLevel="2">
      <c r="B5509" s="2889" t="s">
        <v>1642</v>
      </c>
      <c r="C5509" s="2889" t="s">
        <v>1428</v>
      </c>
      <c r="D5509" s="2889" t="s">
        <v>197</v>
      </c>
      <c r="E5509" s="2889" t="s">
        <v>1426</v>
      </c>
      <c r="F5509" s="3040"/>
      <c r="G5509" s="2890">
        <v>264.38133759925324</v>
      </c>
    </row>
    <row r="5510" spans="2:7" ht="15" hidden="1" outlineLevel="2">
      <c r="B5510" s="2889" t="s">
        <v>1643</v>
      </c>
      <c r="C5510" s="2889" t="s">
        <v>1428</v>
      </c>
      <c r="D5510" s="2889" t="s">
        <v>197</v>
      </c>
      <c r="E5510" s="2889" t="s">
        <v>1426</v>
      </c>
      <c r="F5510" s="3040"/>
      <c r="G5510" s="2890">
        <v>1291.420332457722</v>
      </c>
    </row>
    <row r="5511" spans="2:7" ht="15" hidden="1" outlineLevel="2">
      <c r="B5511" s="2889" t="s">
        <v>1644</v>
      </c>
      <c r="C5511" s="2889" t="s">
        <v>1428</v>
      </c>
      <c r="D5511" s="2889" t="s">
        <v>197</v>
      </c>
      <c r="E5511" s="2889" t="s">
        <v>1426</v>
      </c>
      <c r="F5511" s="3040"/>
      <c r="G5511" s="2890">
        <v>566.18701526424775</v>
      </c>
    </row>
    <row r="5512" spans="2:7" ht="15" hidden="1" outlineLevel="2">
      <c r="B5512" s="2889" t="s">
        <v>1645</v>
      </c>
      <c r="C5512" s="2889" t="s">
        <v>1428</v>
      </c>
      <c r="D5512" s="2889" t="s">
        <v>197</v>
      </c>
      <c r="E5512" s="2889" t="s">
        <v>1426</v>
      </c>
      <c r="F5512" s="3040"/>
      <c r="G5512" s="2890">
        <v>221.36696082244919</v>
      </c>
    </row>
    <row r="5513" spans="2:7" ht="15" hidden="1" outlineLevel="2">
      <c r="B5513" s="2889" t="s">
        <v>1646</v>
      </c>
      <c r="C5513" s="2889" t="s">
        <v>1428</v>
      </c>
      <c r="D5513" s="2889" t="s">
        <v>197</v>
      </c>
      <c r="E5513" s="2889" t="s">
        <v>1426</v>
      </c>
      <c r="F5513" s="3040"/>
      <c r="G5513" s="2890">
        <v>1595.7621144784241</v>
      </c>
    </row>
    <row r="5514" spans="2:7" ht="15" hidden="1" outlineLevel="2">
      <c r="B5514" s="2889" t="s">
        <v>1647</v>
      </c>
      <c r="C5514" s="2889" t="s">
        <v>1428</v>
      </c>
      <c r="D5514" s="2889" t="s">
        <v>197</v>
      </c>
      <c r="E5514" s="2889" t="s">
        <v>1426</v>
      </c>
      <c r="F5514" s="3040"/>
      <c r="G5514" s="2890">
        <v>437.63109751607777</v>
      </c>
    </row>
    <row r="5515" spans="2:7" ht="15" hidden="1" outlineLevel="2">
      <c r="B5515" s="2889" t="s">
        <v>1648</v>
      </c>
      <c r="C5515" s="2889" t="s">
        <v>1428</v>
      </c>
      <c r="D5515" s="2889" t="s">
        <v>197</v>
      </c>
      <c r="E5515" s="2889" t="s">
        <v>1426</v>
      </c>
      <c r="F5515" s="3040"/>
      <c r="G5515" s="2890">
        <v>394.45118064923759</v>
      </c>
    </row>
    <row r="5516" spans="2:7" ht="15" hidden="1" outlineLevel="2">
      <c r="B5516" s="2889" t="s">
        <v>1649</v>
      </c>
      <c r="C5516" s="2889" t="s">
        <v>1428</v>
      </c>
      <c r="D5516" s="2889" t="s">
        <v>197</v>
      </c>
      <c r="E5516" s="2889" t="s">
        <v>1426</v>
      </c>
      <c r="F5516" s="3040"/>
      <c r="G5516" s="2890">
        <v>1028.4853386226332</v>
      </c>
    </row>
    <row r="5517" spans="2:7" ht="15" hidden="1" outlineLevel="2">
      <c r="B5517" s="2889" t="s">
        <v>1650</v>
      </c>
      <c r="C5517" s="2889" t="s">
        <v>1428</v>
      </c>
      <c r="D5517" s="2889" t="s">
        <v>197</v>
      </c>
      <c r="E5517" s="2889" t="s">
        <v>1426</v>
      </c>
      <c r="F5517" s="3040"/>
      <c r="G5517" s="2890">
        <v>939.90517367932432</v>
      </c>
    </row>
    <row r="5518" spans="2:7" ht="15" hidden="1" outlineLevel="2">
      <c r="B5518" s="2889" t="s">
        <v>1651</v>
      </c>
      <c r="C5518" s="2889" t="s">
        <v>1428</v>
      </c>
      <c r="D5518" s="2889" t="s">
        <v>197</v>
      </c>
      <c r="E5518" s="2889" t="s">
        <v>1426</v>
      </c>
      <c r="F5518" s="3040"/>
      <c r="G5518" s="2890">
        <v>721.96167891038374</v>
      </c>
    </row>
    <row r="5519" spans="2:7" ht="15" hidden="1" outlineLevel="2">
      <c r="B5519" s="2889" t="s">
        <v>1652</v>
      </c>
      <c r="C5519" s="2889" t="s">
        <v>1428</v>
      </c>
      <c r="D5519" s="2889" t="s">
        <v>197</v>
      </c>
      <c r="E5519" s="2889" t="s">
        <v>1426</v>
      </c>
      <c r="F5519" s="3040"/>
      <c r="G5519" s="2890">
        <v>1097.5903288672137</v>
      </c>
    </row>
    <row r="5520" spans="2:7" ht="15" hidden="1" outlineLevel="2">
      <c r="B5520" s="2889" t="s">
        <v>1653</v>
      </c>
      <c r="C5520" s="2889" t="s">
        <v>1428</v>
      </c>
      <c r="D5520" s="2889" t="s">
        <v>197</v>
      </c>
      <c r="E5520" s="2889" t="s">
        <v>1426</v>
      </c>
      <c r="F5520" s="3040"/>
      <c r="G5520" s="2890">
        <v>1.0979987026936561E-28</v>
      </c>
    </row>
    <row r="5521" spans="2:7" ht="15" hidden="1" outlineLevel="2">
      <c r="B5521" s="2889" t="s">
        <v>1407</v>
      </c>
      <c r="C5521" s="2889" t="s">
        <v>1429</v>
      </c>
      <c r="D5521" s="2889" t="s">
        <v>197</v>
      </c>
      <c r="E5521" s="2889" t="s">
        <v>1426</v>
      </c>
      <c r="F5521" s="3040"/>
      <c r="G5521" s="2890">
        <v>0.7214365704901381</v>
      </c>
    </row>
    <row r="5522" spans="2:7" ht="15" hidden="1" outlineLevel="2">
      <c r="B5522" s="2889" t="s">
        <v>1631</v>
      </c>
      <c r="C5522" s="2889" t="s">
        <v>1429</v>
      </c>
      <c r="D5522" s="2889" t="s">
        <v>197</v>
      </c>
      <c r="E5522" s="2889" t="s">
        <v>1426</v>
      </c>
      <c r="F5522" s="2890">
        <v>3.4775931108175498E-5</v>
      </c>
      <c r="G5522" s="2890">
        <v>1.341032897925073</v>
      </c>
    </row>
    <row r="5523" spans="2:7" ht="15" hidden="1" outlineLevel="2">
      <c r="B5523" s="2889" t="s">
        <v>1632</v>
      </c>
      <c r="C5523" s="2889" t="s">
        <v>1429</v>
      </c>
      <c r="D5523" s="2889" t="s">
        <v>197</v>
      </c>
      <c r="E5523" s="2889" t="s">
        <v>1426</v>
      </c>
      <c r="F5523" s="3040"/>
      <c r="G5523" s="2890">
        <v>2.7434266858076253</v>
      </c>
    </row>
    <row r="5524" spans="2:7" ht="15" hidden="1" outlineLevel="2">
      <c r="B5524" s="2889" t="s">
        <v>1633</v>
      </c>
      <c r="C5524" s="2889" t="s">
        <v>1429</v>
      </c>
      <c r="D5524" s="2889" t="s">
        <v>197</v>
      </c>
      <c r="E5524" s="2889" t="s">
        <v>1426</v>
      </c>
      <c r="F5524" s="3040"/>
      <c r="G5524" s="2890">
        <v>0.96538388597748936</v>
      </c>
    </row>
    <row r="5525" spans="2:7" ht="15" hidden="1" outlineLevel="2">
      <c r="B5525" s="2889" t="s">
        <v>1634</v>
      </c>
      <c r="C5525" s="2889" t="s">
        <v>1429</v>
      </c>
      <c r="D5525" s="2889" t="s">
        <v>197</v>
      </c>
      <c r="E5525" s="2889" t="s">
        <v>1426</v>
      </c>
      <c r="F5525" s="3040"/>
      <c r="G5525" s="2890">
        <v>6.2839037136132836</v>
      </c>
    </row>
    <row r="5526" spans="2:7" ht="15" hidden="1" outlineLevel="2">
      <c r="B5526" s="2889" t="s">
        <v>1635</v>
      </c>
      <c r="C5526" s="2889" t="s">
        <v>1429</v>
      </c>
      <c r="D5526" s="2889" t="s">
        <v>197</v>
      </c>
      <c r="E5526" s="2889" t="s">
        <v>1426</v>
      </c>
      <c r="F5526" s="2891"/>
      <c r="G5526" s="2890">
        <v>7.1117433419020708</v>
      </c>
    </row>
    <row r="5527" spans="2:7" ht="15" hidden="1" outlineLevel="2">
      <c r="B5527" s="2889" t="s">
        <v>1636</v>
      </c>
      <c r="C5527" s="2889" t="s">
        <v>1429</v>
      </c>
      <c r="D5527" s="2889" t="s">
        <v>197</v>
      </c>
      <c r="E5527" s="2889" t="s">
        <v>1426</v>
      </c>
      <c r="F5527" s="2891"/>
      <c r="G5527" s="2890">
        <v>3.4582360060621604</v>
      </c>
    </row>
    <row r="5528" spans="2:7" ht="15" hidden="1" outlineLevel="2">
      <c r="B5528" s="2889" t="s">
        <v>1637</v>
      </c>
      <c r="C5528" s="2889" t="s">
        <v>1429</v>
      </c>
      <c r="D5528" s="2889" t="s">
        <v>197</v>
      </c>
      <c r="E5528" s="2889" t="s">
        <v>1426</v>
      </c>
      <c r="F5528" s="2891"/>
      <c r="G5528" s="2890">
        <v>1.6256021151539979</v>
      </c>
    </row>
    <row r="5529" spans="2:7" ht="15" hidden="1" outlineLevel="2">
      <c r="B5529" s="2889" t="s">
        <v>1638</v>
      </c>
      <c r="C5529" s="2889" t="s">
        <v>1429</v>
      </c>
      <c r="D5529" s="2889" t="s">
        <v>197</v>
      </c>
      <c r="E5529" s="2889" t="s">
        <v>1426</v>
      </c>
      <c r="F5529" s="2891"/>
      <c r="G5529" s="2890">
        <v>5.670792286756142</v>
      </c>
    </row>
    <row r="5530" spans="2:7" ht="15" hidden="1" outlineLevel="2">
      <c r="B5530" s="2889" t="s">
        <v>1639</v>
      </c>
      <c r="C5530" s="2889" t="s">
        <v>1429</v>
      </c>
      <c r="D5530" s="2889" t="s">
        <v>197</v>
      </c>
      <c r="E5530" s="2889" t="s">
        <v>1426</v>
      </c>
      <c r="F5530" s="2891"/>
      <c r="G5530" s="2890">
        <v>8.6526060550124022</v>
      </c>
    </row>
    <row r="5531" spans="2:7" ht="15" hidden="1" outlineLevel="2">
      <c r="B5531" s="2889" t="s">
        <v>1640</v>
      </c>
      <c r="C5531" s="2889" t="s">
        <v>1429</v>
      </c>
      <c r="D5531" s="2889" t="s">
        <v>197</v>
      </c>
      <c r="E5531" s="2889" t="s">
        <v>1426</v>
      </c>
      <c r="F5531" s="2891"/>
      <c r="G5531" s="2890">
        <v>2.6465752012736274</v>
      </c>
    </row>
    <row r="5532" spans="2:7" ht="15" hidden="1" outlineLevel="2">
      <c r="B5532" s="2889" t="s">
        <v>1641</v>
      </c>
      <c r="C5532" s="2889" t="s">
        <v>1429</v>
      </c>
      <c r="D5532" s="2889" t="s">
        <v>197</v>
      </c>
      <c r="E5532" s="2889" t="s">
        <v>1426</v>
      </c>
      <c r="F5532" s="2891"/>
      <c r="G5532" s="2890">
        <v>3.239588224031074</v>
      </c>
    </row>
    <row r="5533" spans="2:7" ht="15" hidden="1" outlineLevel="2">
      <c r="B5533" s="2889" t="s">
        <v>1642</v>
      </c>
      <c r="C5533" s="2889" t="s">
        <v>1429</v>
      </c>
      <c r="D5533" s="2889" t="s">
        <v>197</v>
      </c>
      <c r="E5533" s="2889" t="s">
        <v>1426</v>
      </c>
      <c r="F5533" s="2891"/>
      <c r="G5533" s="2890">
        <v>1.4695985608535682</v>
      </c>
    </row>
    <row r="5534" spans="2:7" ht="15" hidden="1" outlineLevel="2">
      <c r="B5534" s="2889" t="s">
        <v>1643</v>
      </c>
      <c r="C5534" s="2889" t="s">
        <v>1429</v>
      </c>
      <c r="D5534" s="2889" t="s">
        <v>197</v>
      </c>
      <c r="E5534" s="2889" t="s">
        <v>1426</v>
      </c>
      <c r="F5534" s="2891"/>
      <c r="G5534" s="2890">
        <v>7.1785348723716753</v>
      </c>
    </row>
    <row r="5535" spans="2:7" ht="15" hidden="1" outlineLevel="2">
      <c r="B5535" s="2889" t="s">
        <v>1644</v>
      </c>
      <c r="C5535" s="2889" t="s">
        <v>1429</v>
      </c>
      <c r="D5535" s="2889" t="s">
        <v>197</v>
      </c>
      <c r="E5535" s="2889" t="s">
        <v>1426</v>
      </c>
      <c r="F5535" s="2891"/>
      <c r="G5535" s="2890">
        <v>3.1472258544413418</v>
      </c>
    </row>
    <row r="5536" spans="2:7" ht="15" hidden="1" outlineLevel="2">
      <c r="B5536" s="2889" t="s">
        <v>1645</v>
      </c>
      <c r="C5536" s="2889" t="s">
        <v>1429</v>
      </c>
      <c r="D5536" s="2889" t="s">
        <v>197</v>
      </c>
      <c r="E5536" s="2889" t="s">
        <v>1426</v>
      </c>
      <c r="F5536" s="3040"/>
      <c r="G5536" s="2890">
        <v>1.2304974979885466</v>
      </c>
    </row>
    <row r="5537" spans="2:7" ht="15" hidden="1" outlineLevel="2">
      <c r="B5537" s="2889" t="s">
        <v>1646</v>
      </c>
      <c r="C5537" s="2889" t="s">
        <v>1429</v>
      </c>
      <c r="D5537" s="2889" t="s">
        <v>197</v>
      </c>
      <c r="E5537" s="2889" t="s">
        <v>1426</v>
      </c>
      <c r="F5537" s="3040"/>
      <c r="G5537" s="2890">
        <v>8.870256988129297</v>
      </c>
    </row>
    <row r="5538" spans="2:7" ht="15" hidden="1" outlineLevel="2">
      <c r="B5538" s="2889" t="s">
        <v>1647</v>
      </c>
      <c r="C5538" s="2889" t="s">
        <v>1429</v>
      </c>
      <c r="D5538" s="2889" t="s">
        <v>197</v>
      </c>
      <c r="E5538" s="2889" t="s">
        <v>1426</v>
      </c>
      <c r="F5538" s="2891"/>
      <c r="G5538" s="2890">
        <v>2.4326309109128976</v>
      </c>
    </row>
    <row r="5539" spans="2:7" ht="15" hidden="1" outlineLevel="2">
      <c r="B5539" s="2889" t="s">
        <v>1648</v>
      </c>
      <c r="C5539" s="2889" t="s">
        <v>1429</v>
      </c>
      <c r="D5539" s="2889" t="s">
        <v>197</v>
      </c>
      <c r="E5539" s="2889" t="s">
        <v>1426</v>
      </c>
      <c r="F5539" s="3040"/>
      <c r="G5539" s="2890">
        <v>2.1926098127378615</v>
      </c>
    </row>
    <row r="5540" spans="2:7" ht="15" hidden="1" outlineLevel="2">
      <c r="B5540" s="2889" t="s">
        <v>1649</v>
      </c>
      <c r="C5540" s="2889" t="s">
        <v>1429</v>
      </c>
      <c r="D5540" s="2889" t="s">
        <v>197</v>
      </c>
      <c r="E5540" s="2889" t="s">
        <v>1426</v>
      </c>
      <c r="F5540" s="3040"/>
      <c r="G5540" s="2890">
        <v>5.7169746698979962</v>
      </c>
    </row>
    <row r="5541" spans="2:7" ht="15" hidden="1" outlineLevel="2">
      <c r="B5541" s="2889" t="s">
        <v>1650</v>
      </c>
      <c r="C5541" s="2889" t="s">
        <v>1429</v>
      </c>
      <c r="D5541" s="2889" t="s">
        <v>197</v>
      </c>
      <c r="E5541" s="2889" t="s">
        <v>1426</v>
      </c>
      <c r="F5541" s="3040"/>
      <c r="G5541" s="2890">
        <v>5.2245898437738143</v>
      </c>
    </row>
    <row r="5542" spans="2:7" ht="15" hidden="1" outlineLevel="2">
      <c r="B5542" s="2889" t="s">
        <v>1651</v>
      </c>
      <c r="C5542" s="2889" t="s">
        <v>1429</v>
      </c>
      <c r="D5542" s="2889" t="s">
        <v>197</v>
      </c>
      <c r="E5542" s="2889" t="s">
        <v>1426</v>
      </c>
      <c r="F5542" s="3040"/>
      <c r="G5542" s="2890">
        <v>4.0131210431438324</v>
      </c>
    </row>
    <row r="5543" spans="2:7" ht="15" hidden="1" outlineLevel="2">
      <c r="B5543" s="2889" t="s">
        <v>1652</v>
      </c>
      <c r="C5543" s="2889" t="s">
        <v>1429</v>
      </c>
      <c r="D5543" s="2889" t="s">
        <v>197</v>
      </c>
      <c r="E5543" s="2889" t="s">
        <v>1426</v>
      </c>
      <c r="F5543" s="3040"/>
      <c r="G5543" s="2890">
        <v>6.1011044395495988</v>
      </c>
    </row>
    <row r="5544" spans="2:7" ht="15" hidden="1" outlineLevel="2">
      <c r="B5544" s="2889" t="s">
        <v>1653</v>
      </c>
      <c r="C5544" s="2889" t="s">
        <v>1429</v>
      </c>
      <c r="D5544" s="2889" t="s">
        <v>197</v>
      </c>
      <c r="E5544" s="2889" t="s">
        <v>1426</v>
      </c>
      <c r="F5544" s="3040"/>
      <c r="G5544" s="2890">
        <v>5.6168157526635201E-32</v>
      </c>
    </row>
    <row r="5545" spans="2:7" ht="15" hidden="1" outlineLevel="2">
      <c r="B5545" s="2889" t="s">
        <v>1407</v>
      </c>
      <c r="C5545" s="2889" t="s">
        <v>1430</v>
      </c>
      <c r="D5545" s="2889" t="s">
        <v>197</v>
      </c>
      <c r="E5545" s="2889" t="s">
        <v>1426</v>
      </c>
      <c r="F5545" s="3040"/>
      <c r="G5545" s="2890">
        <v>0.14807385192438766</v>
      </c>
    </row>
    <row r="5546" spans="2:7" ht="15" hidden="1" outlineLevel="2">
      <c r="B5546" s="2889" t="s">
        <v>1631</v>
      </c>
      <c r="C5546" s="2889" t="s">
        <v>1430</v>
      </c>
      <c r="D5546" s="2889" t="s">
        <v>197</v>
      </c>
      <c r="E5546" s="2889" t="s">
        <v>1426</v>
      </c>
      <c r="F5546" s="2890">
        <v>7.4846185154332063E-6</v>
      </c>
      <c r="G5546" s="2890">
        <v>0.2752452274343512</v>
      </c>
    </row>
    <row r="5547" spans="2:7" ht="15" hidden="1" outlineLevel="2">
      <c r="B5547" s="2889" t="s">
        <v>1632</v>
      </c>
      <c r="C5547" s="2889" t="s">
        <v>1430</v>
      </c>
      <c r="D5547" s="2889" t="s">
        <v>197</v>
      </c>
      <c r="E5547" s="2889" t="s">
        <v>1426</v>
      </c>
      <c r="F5547" s="3040"/>
      <c r="G5547" s="2890">
        <v>0.56308431002487314</v>
      </c>
    </row>
    <row r="5548" spans="2:7" ht="15" hidden="1" outlineLevel="2">
      <c r="B5548" s="2889" t="s">
        <v>1633</v>
      </c>
      <c r="C5548" s="2889" t="s">
        <v>1430</v>
      </c>
      <c r="D5548" s="2889" t="s">
        <v>197</v>
      </c>
      <c r="E5548" s="2889" t="s">
        <v>1426</v>
      </c>
      <c r="F5548" s="3040"/>
      <c r="G5548" s="2890">
        <v>0.19814355887326254</v>
      </c>
    </row>
    <row r="5549" spans="2:7" ht="15" hidden="1" outlineLevel="2">
      <c r="B5549" s="2889" t="s">
        <v>1634</v>
      </c>
      <c r="C5549" s="2889" t="s">
        <v>1430</v>
      </c>
      <c r="D5549" s="2889" t="s">
        <v>197</v>
      </c>
      <c r="E5549" s="2889" t="s">
        <v>1426</v>
      </c>
      <c r="F5549" s="3040"/>
      <c r="G5549" s="2890">
        <v>1.2897627418767206</v>
      </c>
    </row>
    <row r="5550" spans="2:7" ht="15" hidden="1" outlineLevel="2">
      <c r="B5550" s="2889" t="s">
        <v>1635</v>
      </c>
      <c r="C5550" s="2889" t="s">
        <v>1430</v>
      </c>
      <c r="D5550" s="2889" t="s">
        <v>197</v>
      </c>
      <c r="E5550" s="2889" t="s">
        <v>1426</v>
      </c>
      <c r="F5550" s="3040"/>
      <c r="G5550" s="2890">
        <v>1.4596758000206738</v>
      </c>
    </row>
    <row r="5551" spans="2:7" ht="15" hidden="1" outlineLevel="2">
      <c r="B5551" s="2889" t="s">
        <v>1636</v>
      </c>
      <c r="C5551" s="2889" t="s">
        <v>1430</v>
      </c>
      <c r="D5551" s="2889" t="s">
        <v>197</v>
      </c>
      <c r="E5551" s="2889" t="s">
        <v>1426</v>
      </c>
      <c r="F5551" s="3040"/>
      <c r="G5551" s="2890">
        <v>0.70979787596128829</v>
      </c>
    </row>
    <row r="5552" spans="2:7" ht="15" hidden="1" outlineLevel="2">
      <c r="B5552" s="2889" t="s">
        <v>1637</v>
      </c>
      <c r="C5552" s="2889" t="s">
        <v>1430</v>
      </c>
      <c r="D5552" s="2889" t="s">
        <v>197</v>
      </c>
      <c r="E5552" s="2889" t="s">
        <v>1426</v>
      </c>
      <c r="F5552" s="3040"/>
      <c r="G5552" s="2890">
        <v>0.33365251807731028</v>
      </c>
    </row>
    <row r="5553" spans="2:7" ht="15" hidden="1" outlineLevel="2">
      <c r="B5553" s="2889" t="s">
        <v>1638</v>
      </c>
      <c r="C5553" s="2889" t="s">
        <v>1430</v>
      </c>
      <c r="D5553" s="2889" t="s">
        <v>197</v>
      </c>
      <c r="E5553" s="2889" t="s">
        <v>1426</v>
      </c>
      <c r="F5553" s="3040"/>
      <c r="G5553" s="2890">
        <v>1.1639219378973105</v>
      </c>
    </row>
    <row r="5554" spans="2:7" ht="15" hidden="1" outlineLevel="2">
      <c r="B5554" s="2889" t="s">
        <v>1639</v>
      </c>
      <c r="C5554" s="2889" t="s">
        <v>1430</v>
      </c>
      <c r="D5554" s="2889" t="s">
        <v>197</v>
      </c>
      <c r="E5554" s="2889" t="s">
        <v>1426</v>
      </c>
      <c r="F5554" s="3040"/>
      <c r="G5554" s="2890">
        <v>1.7759351343787664</v>
      </c>
    </row>
    <row r="5555" spans="2:7" ht="15" hidden="1" outlineLevel="2">
      <c r="B5555" s="2889" t="s">
        <v>1640</v>
      </c>
      <c r="C5555" s="2889" t="s">
        <v>1430</v>
      </c>
      <c r="D5555" s="2889" t="s">
        <v>197</v>
      </c>
      <c r="E5555" s="2889" t="s">
        <v>1426</v>
      </c>
      <c r="F5555" s="3040"/>
      <c r="G5555" s="2890">
        <v>0.54320566562483918</v>
      </c>
    </row>
    <row r="5556" spans="2:7" ht="15" hidden="1" outlineLevel="2">
      <c r="B5556" s="2889" t="s">
        <v>1641</v>
      </c>
      <c r="C5556" s="2889" t="s">
        <v>1430</v>
      </c>
      <c r="D5556" s="2889" t="s">
        <v>197</v>
      </c>
      <c r="E5556" s="2889" t="s">
        <v>1426</v>
      </c>
      <c r="F5556" s="3040"/>
      <c r="G5556" s="2890">
        <v>0.66492070588807461</v>
      </c>
    </row>
    <row r="5557" spans="2:7" ht="15" hidden="1" outlineLevel="2">
      <c r="B5557" s="2889" t="s">
        <v>1642</v>
      </c>
      <c r="C5557" s="2889" t="s">
        <v>1430</v>
      </c>
      <c r="D5557" s="2889" t="s">
        <v>197</v>
      </c>
      <c r="E5557" s="2889" t="s">
        <v>1426</v>
      </c>
      <c r="F5557" s="3040"/>
      <c r="G5557" s="2890">
        <v>0.30163304895824067</v>
      </c>
    </row>
    <row r="5558" spans="2:7" ht="15" hidden="1" outlineLevel="2">
      <c r="B5558" s="2889" t="s">
        <v>1643</v>
      </c>
      <c r="C5558" s="2889" t="s">
        <v>1430</v>
      </c>
      <c r="D5558" s="2889" t="s">
        <v>197</v>
      </c>
      <c r="E5558" s="2889" t="s">
        <v>1426</v>
      </c>
      <c r="F5558" s="3040"/>
      <c r="G5558" s="2890">
        <v>1.4733833395586828</v>
      </c>
    </row>
    <row r="5559" spans="2:7" ht="15" hidden="1" outlineLevel="2">
      <c r="B5559" s="2889" t="s">
        <v>1644</v>
      </c>
      <c r="C5559" s="2889" t="s">
        <v>1430</v>
      </c>
      <c r="D5559" s="2889" t="s">
        <v>197</v>
      </c>
      <c r="E5559" s="2889" t="s">
        <v>1426</v>
      </c>
      <c r="F5559" s="2891"/>
      <c r="G5559" s="2890">
        <v>0.64596337958175765</v>
      </c>
    </row>
    <row r="5560" spans="2:7" ht="15" hidden="1" outlineLevel="2">
      <c r="B5560" s="2889" t="s">
        <v>1645</v>
      </c>
      <c r="C5560" s="2889" t="s">
        <v>1430</v>
      </c>
      <c r="D5560" s="2889" t="s">
        <v>197</v>
      </c>
      <c r="E5560" s="2889" t="s">
        <v>1426</v>
      </c>
      <c r="F5560" s="2891"/>
      <c r="G5560" s="2890">
        <v>0.25255776988333783</v>
      </c>
    </row>
    <row r="5561" spans="2:7" ht="15" hidden="1" outlineLevel="2">
      <c r="B5561" s="2889" t="s">
        <v>1646</v>
      </c>
      <c r="C5561" s="2889" t="s">
        <v>1430</v>
      </c>
      <c r="D5561" s="2889" t="s">
        <v>197</v>
      </c>
      <c r="E5561" s="2889" t="s">
        <v>1426</v>
      </c>
      <c r="F5561" s="2891"/>
      <c r="G5561" s="2890">
        <v>1.8206077339672686</v>
      </c>
    </row>
    <row r="5562" spans="2:7" ht="15" hidden="1" outlineLevel="2">
      <c r="B5562" s="2889" t="s">
        <v>1647</v>
      </c>
      <c r="C5562" s="2889" t="s">
        <v>1430</v>
      </c>
      <c r="D5562" s="2889" t="s">
        <v>197</v>
      </c>
      <c r="E5562" s="2889" t="s">
        <v>1426</v>
      </c>
      <c r="F5562" s="2891"/>
      <c r="G5562" s="2890">
        <v>0.49929406555280859</v>
      </c>
    </row>
    <row r="5563" spans="2:7" ht="15" hidden="1" outlineLevel="2">
      <c r="B5563" s="2889" t="s">
        <v>1648</v>
      </c>
      <c r="C5563" s="2889" t="s">
        <v>1430</v>
      </c>
      <c r="D5563" s="2889" t="s">
        <v>197</v>
      </c>
      <c r="E5563" s="2889" t="s">
        <v>1426</v>
      </c>
      <c r="F5563" s="2891"/>
      <c r="G5563" s="2890">
        <v>0.45002998573222991</v>
      </c>
    </row>
    <row r="5564" spans="2:7" ht="15" hidden="1" outlineLevel="2">
      <c r="B5564" s="2889" t="s">
        <v>1649</v>
      </c>
      <c r="C5564" s="2889" t="s">
        <v>1430</v>
      </c>
      <c r="D5564" s="2889" t="s">
        <v>197</v>
      </c>
      <c r="E5564" s="2889" t="s">
        <v>1426</v>
      </c>
      <c r="F5564" s="2891"/>
      <c r="G5564" s="2890">
        <v>1.1734009836068384</v>
      </c>
    </row>
    <row r="5565" spans="2:7" ht="15" hidden="1" outlineLevel="2">
      <c r="B5565" s="2889" t="s">
        <v>1650</v>
      </c>
      <c r="C5565" s="2889" t="s">
        <v>1430</v>
      </c>
      <c r="D5565" s="2889" t="s">
        <v>197</v>
      </c>
      <c r="E5565" s="2889" t="s">
        <v>1426</v>
      </c>
      <c r="F5565" s="3040"/>
      <c r="G5565" s="2890">
        <v>1.0723393081190162</v>
      </c>
    </row>
    <row r="5566" spans="2:7" ht="15" hidden="1" outlineLevel="2">
      <c r="B5566" s="2889" t="s">
        <v>1651</v>
      </c>
      <c r="C5566" s="2889" t="s">
        <v>1430</v>
      </c>
      <c r="D5566" s="2889" t="s">
        <v>197</v>
      </c>
      <c r="E5566" s="2889" t="s">
        <v>1426</v>
      </c>
      <c r="F5566" s="3040"/>
      <c r="G5566" s="2890">
        <v>0.82368760201841917</v>
      </c>
    </row>
    <row r="5567" spans="2:7" ht="15" hidden="1" outlineLevel="2">
      <c r="B5567" s="2889" t="s">
        <v>1652</v>
      </c>
      <c r="C5567" s="2889" t="s">
        <v>1430</v>
      </c>
      <c r="D5567" s="2889" t="s">
        <v>197</v>
      </c>
      <c r="E5567" s="2889" t="s">
        <v>1426</v>
      </c>
      <c r="F5567" s="3040"/>
      <c r="G5567" s="2890">
        <v>1.2522428520113245</v>
      </c>
    </row>
    <row r="5568" spans="2:7" ht="15" hidden="1" outlineLevel="2">
      <c r="B5568" s="2889" t="s">
        <v>1653</v>
      </c>
      <c r="C5568" s="2889" t="s">
        <v>1430</v>
      </c>
      <c r="D5568" s="2889" t="s">
        <v>197</v>
      </c>
      <c r="E5568" s="2889" t="s">
        <v>1426</v>
      </c>
      <c r="F5568" s="3040"/>
      <c r="G5568" s="2890">
        <v>3.5778994380424386E-35</v>
      </c>
    </row>
    <row r="5569" spans="2:7" ht="15" hidden="1" outlineLevel="2">
      <c r="B5569" s="2889" t="s">
        <v>1407</v>
      </c>
      <c r="C5569" s="2889" t="s">
        <v>1431</v>
      </c>
      <c r="D5569" s="2889" t="s">
        <v>197</v>
      </c>
      <c r="E5569" s="2889" t="s">
        <v>1426</v>
      </c>
      <c r="F5569" s="3040"/>
      <c r="G5569" s="2890">
        <v>11.017324150749189</v>
      </c>
    </row>
    <row r="5570" spans="2:7" ht="15" hidden="1" outlineLevel="2">
      <c r="B5570" s="2889" t="s">
        <v>1631</v>
      </c>
      <c r="C5570" s="2889" t="s">
        <v>1431</v>
      </c>
      <c r="D5570" s="2889" t="s">
        <v>197</v>
      </c>
      <c r="E5570" s="2889" t="s">
        <v>1426</v>
      </c>
      <c r="F5570" s="2890">
        <v>4.9421665841808157E-4</v>
      </c>
      <c r="G5570" s="2890">
        <v>20.479403310092888</v>
      </c>
    </row>
    <row r="5571" spans="2:7" ht="15" hidden="1" outlineLevel="2">
      <c r="B5571" s="2889" t="s">
        <v>1632</v>
      </c>
      <c r="C5571" s="2889" t="s">
        <v>1431</v>
      </c>
      <c r="D5571" s="2889" t="s">
        <v>197</v>
      </c>
      <c r="E5571" s="2889" t="s">
        <v>1426</v>
      </c>
      <c r="F5571" s="3040"/>
      <c r="G5571" s="2890">
        <v>41.895865909008975</v>
      </c>
    </row>
    <row r="5572" spans="2:7" ht="15" hidden="1" outlineLevel="2">
      <c r="B5572" s="2889" t="s">
        <v>1633</v>
      </c>
      <c r="C5572" s="2889" t="s">
        <v>1431</v>
      </c>
      <c r="D5572" s="2889" t="s">
        <v>197</v>
      </c>
      <c r="E5572" s="2889" t="s">
        <v>1426</v>
      </c>
      <c r="F5572" s="3040"/>
      <c r="G5572" s="2890">
        <v>14.742731197750869</v>
      </c>
    </row>
    <row r="5573" spans="2:7" ht="15" hidden="1" outlineLevel="2">
      <c r="B5573" s="2889" t="s">
        <v>1634</v>
      </c>
      <c r="C5573" s="2889" t="s">
        <v>1431</v>
      </c>
      <c r="D5573" s="2889" t="s">
        <v>197</v>
      </c>
      <c r="E5573" s="2889" t="s">
        <v>1426</v>
      </c>
      <c r="F5573" s="3040"/>
      <c r="G5573" s="2890">
        <v>95.963802761381245</v>
      </c>
    </row>
    <row r="5574" spans="2:7" ht="15" hidden="1" outlineLevel="2">
      <c r="B5574" s="2889" t="s">
        <v>1635</v>
      </c>
      <c r="C5574" s="2889" t="s">
        <v>1431</v>
      </c>
      <c r="D5574" s="2889" t="s">
        <v>197</v>
      </c>
      <c r="E5574" s="2889" t="s">
        <v>1426</v>
      </c>
      <c r="F5574" s="3040"/>
      <c r="G5574" s="2890">
        <v>108.60603486935501</v>
      </c>
    </row>
    <row r="5575" spans="2:7" ht="15" hidden="1" outlineLevel="2">
      <c r="B5575" s="2889" t="s">
        <v>1636</v>
      </c>
      <c r="C5575" s="2889" t="s">
        <v>1431</v>
      </c>
      <c r="D5575" s="2889" t="s">
        <v>197</v>
      </c>
      <c r="E5575" s="2889" t="s">
        <v>1426</v>
      </c>
      <c r="F5575" s="3040"/>
      <c r="G5575" s="2890">
        <v>52.811982925073693</v>
      </c>
    </row>
    <row r="5576" spans="2:7" ht="15" hidden="1" outlineLevel="2">
      <c r="B5576" s="2889" t="s">
        <v>1637</v>
      </c>
      <c r="C5576" s="2889" t="s">
        <v>1431</v>
      </c>
      <c r="D5576" s="2889" t="s">
        <v>197</v>
      </c>
      <c r="E5576" s="2889" t="s">
        <v>1426</v>
      </c>
      <c r="F5576" s="3040"/>
      <c r="G5576" s="2890">
        <v>24.825170243437945</v>
      </c>
    </row>
    <row r="5577" spans="2:7" ht="15" hidden="1" outlineLevel="2">
      <c r="B5577" s="2889" t="s">
        <v>1638</v>
      </c>
      <c r="C5577" s="2889" t="s">
        <v>1431</v>
      </c>
      <c r="D5577" s="2889" t="s">
        <v>197</v>
      </c>
      <c r="E5577" s="2889" t="s">
        <v>1426</v>
      </c>
      <c r="F5577" s="3040"/>
      <c r="G5577" s="2890">
        <v>86.600760315249133</v>
      </c>
    </row>
    <row r="5578" spans="2:7" ht="15" hidden="1" outlineLevel="2">
      <c r="B5578" s="2889" t="s">
        <v>1639</v>
      </c>
      <c r="C5578" s="2889" t="s">
        <v>1431</v>
      </c>
      <c r="D5578" s="2889" t="s">
        <v>197</v>
      </c>
      <c r="E5578" s="2889" t="s">
        <v>1426</v>
      </c>
      <c r="F5578" s="3040"/>
      <c r="G5578" s="2890">
        <v>132.13713834145312</v>
      </c>
    </row>
    <row r="5579" spans="2:7" ht="15" hidden="1" outlineLevel="2">
      <c r="B5579" s="2889" t="s">
        <v>1640</v>
      </c>
      <c r="C5579" s="2889" t="s">
        <v>1431</v>
      </c>
      <c r="D5579" s="2889" t="s">
        <v>197</v>
      </c>
      <c r="E5579" s="2889" t="s">
        <v>1426</v>
      </c>
      <c r="F5579" s="3040"/>
      <c r="G5579" s="2890">
        <v>40.416800485362387</v>
      </c>
    </row>
    <row r="5580" spans="2:7" ht="15" hidden="1" outlineLevel="2">
      <c r="B5580" s="2889" t="s">
        <v>1641</v>
      </c>
      <c r="C5580" s="2889" t="s">
        <v>1431</v>
      </c>
      <c r="D5580" s="2889" t="s">
        <v>197</v>
      </c>
      <c r="E5580" s="2889" t="s">
        <v>1426</v>
      </c>
      <c r="F5580" s="3040"/>
      <c r="G5580" s="2890">
        <v>49.472926876175698</v>
      </c>
    </row>
    <row r="5581" spans="2:7" ht="15" hidden="1" outlineLevel="2">
      <c r="B5581" s="2889" t="s">
        <v>1642</v>
      </c>
      <c r="C5581" s="2889" t="s">
        <v>1431</v>
      </c>
      <c r="D5581" s="2889" t="s">
        <v>197</v>
      </c>
      <c r="E5581" s="2889" t="s">
        <v>1426</v>
      </c>
      <c r="F5581" s="3040"/>
      <c r="G5581" s="2890">
        <v>22.442780075340124</v>
      </c>
    </row>
    <row r="5582" spans="2:7" ht="15" hidden="1" outlineLevel="2">
      <c r="B5582" s="2889" t="s">
        <v>1643</v>
      </c>
      <c r="C5582" s="2889" t="s">
        <v>1431</v>
      </c>
      <c r="D5582" s="2889" t="s">
        <v>197</v>
      </c>
      <c r="E5582" s="2889" t="s">
        <v>1426</v>
      </c>
      <c r="F5582" s="3040"/>
      <c r="G5582" s="2890">
        <v>109.62605153524565</v>
      </c>
    </row>
    <row r="5583" spans="2:7" ht="15" hidden="1" outlineLevel="2">
      <c r="B5583" s="2889" t="s">
        <v>1644</v>
      </c>
      <c r="C5583" s="2889" t="s">
        <v>1431</v>
      </c>
      <c r="D5583" s="2889" t="s">
        <v>197</v>
      </c>
      <c r="E5583" s="2889" t="s">
        <v>1426</v>
      </c>
      <c r="F5583" s="3040"/>
      <c r="G5583" s="2890">
        <v>48.062448595231452</v>
      </c>
    </row>
    <row r="5584" spans="2:7" ht="15" hidden="1" outlineLevel="2">
      <c r="B5584" s="2889" t="s">
        <v>1645</v>
      </c>
      <c r="C5584" s="2889" t="s">
        <v>1431</v>
      </c>
      <c r="D5584" s="2889" t="s">
        <v>197</v>
      </c>
      <c r="E5584" s="2889" t="s">
        <v>1426</v>
      </c>
      <c r="F5584" s="3040"/>
      <c r="G5584" s="2890">
        <v>18.791377593876206</v>
      </c>
    </row>
    <row r="5585" spans="2:7" ht="15" hidden="1" outlineLevel="2">
      <c r="B5585" s="2889" t="s">
        <v>1646</v>
      </c>
      <c r="C5585" s="2889" t="s">
        <v>1431</v>
      </c>
      <c r="D5585" s="2889" t="s">
        <v>197</v>
      </c>
      <c r="E5585" s="2889" t="s">
        <v>1426</v>
      </c>
      <c r="F5585" s="3040"/>
      <c r="G5585" s="2890">
        <v>135.46096728331955</v>
      </c>
    </row>
    <row r="5586" spans="2:7" ht="15" hidden="1" outlineLevel="2">
      <c r="B5586" s="2889" t="s">
        <v>1647</v>
      </c>
      <c r="C5586" s="2889" t="s">
        <v>1431</v>
      </c>
      <c r="D5586" s="2889" t="s">
        <v>197</v>
      </c>
      <c r="E5586" s="2889" t="s">
        <v>1426</v>
      </c>
      <c r="F5586" s="3040"/>
      <c r="G5586" s="2890">
        <v>37.149600597385636</v>
      </c>
    </row>
    <row r="5587" spans="2:7" ht="15" hidden="1" outlineLevel="2">
      <c r="B5587" s="2889" t="s">
        <v>1648</v>
      </c>
      <c r="C5587" s="2889" t="s">
        <v>1431</v>
      </c>
      <c r="D5587" s="2889" t="s">
        <v>197</v>
      </c>
      <c r="E5587" s="2889" t="s">
        <v>1426</v>
      </c>
      <c r="F5587" s="3040"/>
      <c r="G5587" s="2890">
        <v>33.48414774084452</v>
      </c>
    </row>
    <row r="5588" spans="2:7" ht="15" hidden="1" outlineLevel="2">
      <c r="B5588" s="2889" t="s">
        <v>1649</v>
      </c>
      <c r="C5588" s="2889" t="s">
        <v>1431</v>
      </c>
      <c r="D5588" s="2889" t="s">
        <v>197</v>
      </c>
      <c r="E5588" s="2889" t="s">
        <v>1426</v>
      </c>
      <c r="F5588" s="3040"/>
      <c r="G5588" s="2890">
        <v>87.306026459601966</v>
      </c>
    </row>
    <row r="5589" spans="2:7" ht="15" hidden="1" outlineLevel="2">
      <c r="B5589" s="2889" t="s">
        <v>1650</v>
      </c>
      <c r="C5589" s="2889" t="s">
        <v>1431</v>
      </c>
      <c r="D5589" s="2889" t="s">
        <v>197</v>
      </c>
      <c r="E5589" s="2889" t="s">
        <v>1426</v>
      </c>
      <c r="F5589" s="3040"/>
      <c r="G5589" s="2890">
        <v>79.786643482630453</v>
      </c>
    </row>
    <row r="5590" spans="2:7" ht="15" hidden="1" outlineLevel="2">
      <c r="B5590" s="2889" t="s">
        <v>1651</v>
      </c>
      <c r="C5590" s="2889" t="s">
        <v>1431</v>
      </c>
      <c r="D5590" s="2889" t="s">
        <v>197</v>
      </c>
      <c r="E5590" s="2889" t="s">
        <v>1426</v>
      </c>
      <c r="F5590" s="3040"/>
      <c r="G5590" s="2890">
        <v>61.285843822354501</v>
      </c>
    </row>
    <row r="5591" spans="2:7" ht="15" hidden="1" outlineLevel="2">
      <c r="B5591" s="2889" t="s">
        <v>1652</v>
      </c>
      <c r="C5591" s="2889" t="s">
        <v>1431</v>
      </c>
      <c r="D5591" s="2889" t="s">
        <v>197</v>
      </c>
      <c r="E5591" s="2889" t="s">
        <v>1426</v>
      </c>
      <c r="F5591" s="3040"/>
      <c r="G5591" s="2890">
        <v>93.172210550254633</v>
      </c>
    </row>
    <row r="5592" spans="2:7" ht="15" hidden="1" outlineLevel="2">
      <c r="B5592" s="2889" t="s">
        <v>1653</v>
      </c>
      <c r="C5592" s="2889" t="s">
        <v>1431</v>
      </c>
      <c r="D5592" s="2889" t="s">
        <v>197</v>
      </c>
      <c r="E5592" s="2889" t="s">
        <v>1426</v>
      </c>
      <c r="F5592" s="3040"/>
      <c r="G5592" s="2890">
        <v>3.7452592939091155E-31</v>
      </c>
    </row>
    <row r="5593" spans="2:7" ht="15" hidden="1" outlineLevel="2">
      <c r="B5593" s="2889" t="s">
        <v>1407</v>
      </c>
      <c r="C5593" s="2889" t="s">
        <v>1432</v>
      </c>
      <c r="D5593" s="2889" t="s">
        <v>197</v>
      </c>
      <c r="E5593" s="2889" t="s">
        <v>1426</v>
      </c>
      <c r="F5593" s="3040"/>
      <c r="G5593" s="2890">
        <v>2.7594361322636186E-2</v>
      </c>
    </row>
    <row r="5594" spans="2:7" ht="15" hidden="1" outlineLevel="2">
      <c r="B5594" s="2889" t="s">
        <v>1631</v>
      </c>
      <c r="C5594" s="2889" t="s">
        <v>1432</v>
      </c>
      <c r="D5594" s="2889" t="s">
        <v>197</v>
      </c>
      <c r="E5594" s="2889" t="s">
        <v>1426</v>
      </c>
      <c r="F5594" s="2890">
        <v>1.059922675584318E-6</v>
      </c>
      <c r="G5594" s="2890">
        <v>5.1293407108130198E-2</v>
      </c>
    </row>
    <row r="5595" spans="2:7" ht="15" hidden="1" outlineLevel="2">
      <c r="B5595" s="2889" t="s">
        <v>1632</v>
      </c>
      <c r="C5595" s="2889" t="s">
        <v>1432</v>
      </c>
      <c r="D5595" s="2889" t="s">
        <v>197</v>
      </c>
      <c r="E5595" s="2889" t="s">
        <v>1426</v>
      </c>
      <c r="F5595" s="3040"/>
      <c r="G5595" s="2890">
        <v>0.10493379531791923</v>
      </c>
    </row>
    <row r="5596" spans="2:7" ht="15" hidden="1" outlineLevel="2">
      <c r="B5596" s="2889" t="s">
        <v>1633</v>
      </c>
      <c r="C5596" s="2889" t="s">
        <v>1432</v>
      </c>
      <c r="D5596" s="2889" t="s">
        <v>197</v>
      </c>
      <c r="E5596" s="2889" t="s">
        <v>1426</v>
      </c>
      <c r="F5596" s="3040"/>
      <c r="G5596" s="2890">
        <v>3.6925133051812199E-2</v>
      </c>
    </row>
    <row r="5597" spans="2:7" ht="15" hidden="1" outlineLevel="2">
      <c r="B5597" s="2889" t="s">
        <v>1634</v>
      </c>
      <c r="C5597" s="2889" t="s">
        <v>1432</v>
      </c>
      <c r="D5597" s="2889" t="s">
        <v>197</v>
      </c>
      <c r="E5597" s="2889" t="s">
        <v>1426</v>
      </c>
      <c r="F5597" s="3040"/>
      <c r="G5597" s="2890">
        <v>0.24035403438550634</v>
      </c>
    </row>
    <row r="5598" spans="2:7" ht="15" hidden="1" outlineLevel="2">
      <c r="B5598" s="2889" t="s">
        <v>1635</v>
      </c>
      <c r="C5598" s="2889" t="s">
        <v>1432</v>
      </c>
      <c r="D5598" s="2889" t="s">
        <v>197</v>
      </c>
      <c r="E5598" s="2889" t="s">
        <v>1426</v>
      </c>
      <c r="F5598" s="3040"/>
      <c r="G5598" s="2890">
        <v>0.26831382715914309</v>
      </c>
    </row>
    <row r="5599" spans="2:7" ht="15" hidden="1" outlineLevel="2">
      <c r="B5599" s="2889" t="s">
        <v>1636</v>
      </c>
      <c r="C5599" s="2889" t="s">
        <v>1432</v>
      </c>
      <c r="D5599" s="2889" t="s">
        <v>197</v>
      </c>
      <c r="E5599" s="2889" t="s">
        <v>1426</v>
      </c>
      <c r="F5599" s="3040"/>
      <c r="G5599" s="2890">
        <v>0.13227460551797254</v>
      </c>
    </row>
    <row r="5600" spans="2:7" ht="15" hidden="1" outlineLevel="2">
      <c r="B5600" s="2889" t="s">
        <v>1637</v>
      </c>
      <c r="C5600" s="2889" t="s">
        <v>1432</v>
      </c>
      <c r="D5600" s="2889" t="s">
        <v>197</v>
      </c>
      <c r="E5600" s="2889" t="s">
        <v>1426</v>
      </c>
      <c r="F5600" s="3040"/>
      <c r="G5600" s="2890">
        <v>6.2177938475616625E-2</v>
      </c>
    </row>
    <row r="5601" spans="2:7" ht="15" hidden="1" outlineLevel="2">
      <c r="B5601" s="2889" t="s">
        <v>1638</v>
      </c>
      <c r="C5601" s="2889" t="s">
        <v>1432</v>
      </c>
      <c r="D5601" s="2889" t="s">
        <v>197</v>
      </c>
      <c r="E5601" s="2889" t="s">
        <v>1426</v>
      </c>
      <c r="F5601" s="3040"/>
      <c r="G5601" s="2890">
        <v>0.21690321576909077</v>
      </c>
    </row>
    <row r="5602" spans="2:7" ht="15" hidden="1" outlineLevel="2">
      <c r="B5602" s="2889" t="s">
        <v>1639</v>
      </c>
      <c r="C5602" s="2889" t="s">
        <v>1432</v>
      </c>
      <c r="D5602" s="2889" t="s">
        <v>197</v>
      </c>
      <c r="E5602" s="2889" t="s">
        <v>1426</v>
      </c>
      <c r="F5602" s="3040"/>
      <c r="G5602" s="2890">
        <v>0.3309550391823185</v>
      </c>
    </row>
    <row r="5603" spans="2:7" ht="15" hidden="1" outlineLevel="2">
      <c r="B5603" s="2889" t="s">
        <v>1640</v>
      </c>
      <c r="C5603" s="2889" t="s">
        <v>1432</v>
      </c>
      <c r="D5603" s="2889" t="s">
        <v>197</v>
      </c>
      <c r="E5603" s="2889" t="s">
        <v>1426</v>
      </c>
      <c r="F5603" s="3040"/>
      <c r="G5603" s="2890">
        <v>0.1012292817848494</v>
      </c>
    </row>
    <row r="5604" spans="2:7" ht="15" hidden="1" outlineLevel="2">
      <c r="B5604" s="2889" t="s">
        <v>1641</v>
      </c>
      <c r="C5604" s="2889" t="s">
        <v>1432</v>
      </c>
      <c r="D5604" s="2889" t="s">
        <v>197</v>
      </c>
      <c r="E5604" s="2889" t="s">
        <v>1426</v>
      </c>
      <c r="F5604" s="3040"/>
      <c r="G5604" s="2890">
        <v>0.12391157534506413</v>
      </c>
    </row>
    <row r="5605" spans="2:7" ht="15" hidden="1" outlineLevel="2">
      <c r="B5605" s="2889" t="s">
        <v>1642</v>
      </c>
      <c r="C5605" s="2889" t="s">
        <v>1432</v>
      </c>
      <c r="D5605" s="2889" t="s">
        <v>197</v>
      </c>
      <c r="E5605" s="2889" t="s">
        <v>1426</v>
      </c>
      <c r="F5605" s="2891"/>
      <c r="G5605" s="2890">
        <v>5.62109184706708E-2</v>
      </c>
    </row>
    <row r="5606" spans="2:7" ht="15" hidden="1" outlineLevel="2">
      <c r="B5606" s="2889" t="s">
        <v>1643</v>
      </c>
      <c r="C5606" s="2889" t="s">
        <v>1432</v>
      </c>
      <c r="D5606" s="2889" t="s">
        <v>197</v>
      </c>
      <c r="E5606" s="2889" t="s">
        <v>1426</v>
      </c>
      <c r="F5606" s="2891"/>
      <c r="G5606" s="2890">
        <v>0.27457300070126561</v>
      </c>
    </row>
    <row r="5607" spans="2:7" ht="15" hidden="1" outlineLevel="2">
      <c r="B5607" s="2889" t="s">
        <v>1644</v>
      </c>
      <c r="C5607" s="2889" t="s">
        <v>1432</v>
      </c>
      <c r="D5607" s="2889" t="s">
        <v>197</v>
      </c>
      <c r="E5607" s="2889" t="s">
        <v>1426</v>
      </c>
      <c r="F5607" s="2891"/>
      <c r="G5607" s="2890">
        <v>0.12037878120142176</v>
      </c>
    </row>
    <row r="5608" spans="2:7" ht="15" hidden="1" outlineLevel="2">
      <c r="B5608" s="2889" t="s">
        <v>1645</v>
      </c>
      <c r="C5608" s="2889" t="s">
        <v>1432</v>
      </c>
      <c r="D5608" s="2889" t="s">
        <v>197</v>
      </c>
      <c r="E5608" s="2889" t="s">
        <v>1426</v>
      </c>
      <c r="F5608" s="2891"/>
      <c r="G5608" s="2890">
        <v>4.7065496591518374E-2</v>
      </c>
    </row>
    <row r="5609" spans="2:7" ht="15" hidden="1" outlineLevel="2">
      <c r="B5609" s="2889" t="s">
        <v>1646</v>
      </c>
      <c r="C5609" s="2889" t="s">
        <v>1432</v>
      </c>
      <c r="D5609" s="2889" t="s">
        <v>197</v>
      </c>
      <c r="E5609" s="2889" t="s">
        <v>1426</v>
      </c>
      <c r="F5609" s="2891"/>
      <c r="G5609" s="2890">
        <v>0.33928011739530589</v>
      </c>
    </row>
    <row r="5610" spans="2:7" ht="15" hidden="1" outlineLevel="2">
      <c r="B5610" s="2889" t="s">
        <v>1647</v>
      </c>
      <c r="C5610" s="2889" t="s">
        <v>1432</v>
      </c>
      <c r="D5610" s="2889" t="s">
        <v>197</v>
      </c>
      <c r="E5610" s="2889" t="s">
        <v>1426</v>
      </c>
      <c r="F5610" s="2891"/>
      <c r="G5610" s="2890">
        <v>9.3046087829646407E-2</v>
      </c>
    </row>
    <row r="5611" spans="2:7" ht="15" hidden="1" outlineLevel="2">
      <c r="B5611" s="2889" t="s">
        <v>1648</v>
      </c>
      <c r="C5611" s="2889" t="s">
        <v>1432</v>
      </c>
      <c r="D5611" s="2889" t="s">
        <v>197</v>
      </c>
      <c r="E5611" s="2889" t="s">
        <v>1426</v>
      </c>
      <c r="F5611" s="2891"/>
      <c r="G5611" s="2890">
        <v>8.3865502436421685E-2</v>
      </c>
    </row>
    <row r="5612" spans="2:7" ht="15" hidden="1" outlineLevel="2">
      <c r="B5612" s="2889" t="s">
        <v>1649</v>
      </c>
      <c r="C5612" s="2889" t="s">
        <v>1432</v>
      </c>
      <c r="D5612" s="2889" t="s">
        <v>197</v>
      </c>
      <c r="E5612" s="2889" t="s">
        <v>1426</v>
      </c>
      <c r="F5612" s="2891"/>
      <c r="G5612" s="2890">
        <v>0.21866965126155821</v>
      </c>
    </row>
    <row r="5613" spans="2:7" ht="15" hidden="1" outlineLevel="2">
      <c r="B5613" s="2889" t="s">
        <v>1650</v>
      </c>
      <c r="C5613" s="2889" t="s">
        <v>1432</v>
      </c>
      <c r="D5613" s="2889" t="s">
        <v>197</v>
      </c>
      <c r="E5613" s="2889" t="s">
        <v>1426</v>
      </c>
      <c r="F5613" s="2891"/>
      <c r="G5613" s="2890">
        <v>0.19983616003619828</v>
      </c>
    </row>
    <row r="5614" spans="2:7" ht="15" hidden="1" outlineLevel="2">
      <c r="B5614" s="2889" t="s">
        <v>1651</v>
      </c>
      <c r="C5614" s="2889" t="s">
        <v>1432</v>
      </c>
      <c r="D5614" s="2889" t="s">
        <v>197</v>
      </c>
      <c r="E5614" s="2889" t="s">
        <v>1426</v>
      </c>
      <c r="F5614" s="2891"/>
      <c r="G5614" s="2890">
        <v>0.15349855454929506</v>
      </c>
    </row>
    <row r="5615" spans="2:7" ht="15" hidden="1" outlineLevel="2">
      <c r="B5615" s="2889" t="s">
        <v>1652</v>
      </c>
      <c r="C5615" s="2889" t="s">
        <v>1432</v>
      </c>
      <c r="D5615" s="2889" t="s">
        <v>197</v>
      </c>
      <c r="E5615" s="2889" t="s">
        <v>1426</v>
      </c>
      <c r="F5615" s="2891"/>
      <c r="G5615" s="2890">
        <v>0.23336224832429675</v>
      </c>
    </row>
    <row r="5616" spans="2:7" ht="15" hidden="1" outlineLevel="2">
      <c r="B5616" s="2889" t="s">
        <v>1653</v>
      </c>
      <c r="C5616" s="2889" t="s">
        <v>1432</v>
      </c>
      <c r="D5616" s="2889" t="s">
        <v>197</v>
      </c>
      <c r="E5616" s="2889" t="s">
        <v>1426</v>
      </c>
      <c r="F5616" s="2891"/>
      <c r="G5616" s="2890">
        <v>1.0268559227017843E-34</v>
      </c>
    </row>
    <row r="5617" spans="2:7" ht="15" hidden="1" outlineLevel="2">
      <c r="B5617" s="2889" t="s">
        <v>1407</v>
      </c>
      <c r="C5617" s="2889" t="s">
        <v>1433</v>
      </c>
      <c r="D5617" s="2889" t="s">
        <v>197</v>
      </c>
      <c r="E5617" s="2889" t="s">
        <v>1426</v>
      </c>
      <c r="F5617" s="2891"/>
      <c r="G5617" s="2890">
        <v>10.183025679151571</v>
      </c>
    </row>
    <row r="5618" spans="2:7" ht="15" hidden="1" outlineLevel="2">
      <c r="B5618" s="2889" t="s">
        <v>1631</v>
      </c>
      <c r="C5618" s="2889" t="s">
        <v>1433</v>
      </c>
      <c r="D5618" s="2889" t="s">
        <v>197</v>
      </c>
      <c r="E5618" s="2889" t="s">
        <v>1426</v>
      </c>
      <c r="F5618" s="3039">
        <v>4.7445631506761452E-4</v>
      </c>
      <c r="G5618" s="2890">
        <v>18.928580510523975</v>
      </c>
    </row>
    <row r="5619" spans="2:7" ht="15" hidden="1" outlineLevel="2">
      <c r="B5619" s="2889" t="s">
        <v>1632</v>
      </c>
      <c r="C5619" s="2889" t="s">
        <v>1433</v>
      </c>
      <c r="D5619" s="2889" t="s">
        <v>197</v>
      </c>
      <c r="E5619" s="2889" t="s">
        <v>1426</v>
      </c>
      <c r="F5619" s="2891"/>
      <c r="G5619" s="2890">
        <v>38.72325093205616</v>
      </c>
    </row>
    <row r="5620" spans="2:7" ht="15" hidden="1" outlineLevel="2">
      <c r="B5620" s="2889" t="s">
        <v>1633</v>
      </c>
      <c r="C5620" s="2889" t="s">
        <v>1433</v>
      </c>
      <c r="D5620" s="2889" t="s">
        <v>197</v>
      </c>
      <c r="E5620" s="2889" t="s">
        <v>1426</v>
      </c>
      <c r="F5620" s="2891"/>
      <c r="G5620" s="2890">
        <v>13.626323306626809</v>
      </c>
    </row>
    <row r="5621" spans="2:7" ht="15" hidden="1" outlineLevel="2">
      <c r="B5621" s="2889" t="s">
        <v>1634</v>
      </c>
      <c r="C5621" s="2889" t="s">
        <v>1433</v>
      </c>
      <c r="D5621" s="2889" t="s">
        <v>197</v>
      </c>
      <c r="E5621" s="2889" t="s">
        <v>1426</v>
      </c>
      <c r="F5621" s="2891"/>
      <c r="G5621" s="2890">
        <v>88.69680194152825</v>
      </c>
    </row>
    <row r="5622" spans="2:7" ht="15" hidden="1" outlineLevel="2">
      <c r="B5622" s="2889" t="s">
        <v>1635</v>
      </c>
      <c r="C5622" s="2889" t="s">
        <v>1433</v>
      </c>
      <c r="D5622" s="2889" t="s">
        <v>197</v>
      </c>
      <c r="E5622" s="2889" t="s">
        <v>1426</v>
      </c>
      <c r="F5622" s="2891"/>
      <c r="G5622" s="2890">
        <v>99.014719983292778</v>
      </c>
    </row>
    <row r="5623" spans="2:7" ht="15" hidden="1" outlineLevel="2">
      <c r="B5623" s="2889" t="s">
        <v>1636</v>
      </c>
      <c r="C5623" s="2889" t="s">
        <v>1433</v>
      </c>
      <c r="D5623" s="2889" t="s">
        <v>197</v>
      </c>
      <c r="E5623" s="2889" t="s">
        <v>1426</v>
      </c>
      <c r="F5623" s="2891"/>
      <c r="G5623" s="2890">
        <v>48.812736588412648</v>
      </c>
    </row>
    <row r="5624" spans="2:7" ht="15" hidden="1" outlineLevel="2">
      <c r="B5624" s="2889" t="s">
        <v>1637</v>
      </c>
      <c r="C5624" s="2889" t="s">
        <v>1433</v>
      </c>
      <c r="D5624" s="2889" t="s">
        <v>197</v>
      </c>
      <c r="E5624" s="2889" t="s">
        <v>1426</v>
      </c>
      <c r="F5624" s="2891"/>
      <c r="G5624" s="2890">
        <v>22.945239316110879</v>
      </c>
    </row>
    <row r="5625" spans="2:7" ht="15" hidden="1" outlineLevel="2">
      <c r="B5625" s="2889" t="s">
        <v>1638</v>
      </c>
      <c r="C5625" s="2889" t="s">
        <v>1433</v>
      </c>
      <c r="D5625" s="2889" t="s">
        <v>197</v>
      </c>
      <c r="E5625" s="2889" t="s">
        <v>1426</v>
      </c>
      <c r="F5625" s="2891"/>
      <c r="G5625" s="2890">
        <v>80.04283420745513</v>
      </c>
    </row>
    <row r="5626" spans="2:7" ht="15" hidden="1" outlineLevel="2">
      <c r="B5626" s="2889" t="s">
        <v>1639</v>
      </c>
      <c r="C5626" s="2889" t="s">
        <v>1433</v>
      </c>
      <c r="D5626" s="2889" t="s">
        <v>197</v>
      </c>
      <c r="E5626" s="2889" t="s">
        <v>1426</v>
      </c>
      <c r="F5626" s="2891"/>
      <c r="G5626" s="2890">
        <v>122.13090888575901</v>
      </c>
    </row>
    <row r="5627" spans="2:7" ht="15" hidden="1" outlineLevel="2">
      <c r="B5627" s="2889" t="s">
        <v>1640</v>
      </c>
      <c r="C5627" s="2889" t="s">
        <v>1433</v>
      </c>
      <c r="D5627" s="2889" t="s">
        <v>197</v>
      </c>
      <c r="E5627" s="2889" t="s">
        <v>1426</v>
      </c>
      <c r="F5627" s="2891"/>
      <c r="G5627" s="2890">
        <v>37.356185970564724</v>
      </c>
    </row>
    <row r="5628" spans="2:7" ht="15" hidden="1" outlineLevel="2">
      <c r="B5628" s="2889" t="s">
        <v>1641</v>
      </c>
      <c r="C5628" s="2889" t="s">
        <v>1433</v>
      </c>
      <c r="D5628" s="2889" t="s">
        <v>197</v>
      </c>
      <c r="E5628" s="2889" t="s">
        <v>1426</v>
      </c>
      <c r="F5628" s="2891"/>
      <c r="G5628" s="2890">
        <v>45.726534127736457</v>
      </c>
    </row>
    <row r="5629" spans="2:7" ht="15" hidden="1" outlineLevel="2">
      <c r="B5629" s="2889" t="s">
        <v>1642</v>
      </c>
      <c r="C5629" s="2889" t="s">
        <v>1433</v>
      </c>
      <c r="D5629" s="2889" t="s">
        <v>197</v>
      </c>
      <c r="E5629" s="2889" t="s">
        <v>1426</v>
      </c>
      <c r="F5629" s="2891"/>
      <c r="G5629" s="2890">
        <v>20.743272270349735</v>
      </c>
    </row>
    <row r="5630" spans="2:7" ht="15" hidden="1" outlineLevel="2">
      <c r="B5630" s="2889" t="s">
        <v>1643</v>
      </c>
      <c r="C5630" s="2889" t="s">
        <v>1433</v>
      </c>
      <c r="D5630" s="2889" t="s">
        <v>197</v>
      </c>
      <c r="E5630" s="2889" t="s">
        <v>1426</v>
      </c>
      <c r="F5630" s="3040"/>
      <c r="G5630" s="2890">
        <v>101.32445802647196</v>
      </c>
    </row>
    <row r="5631" spans="2:7" ht="15" hidden="1" outlineLevel="2">
      <c r="B5631" s="2889" t="s">
        <v>1644</v>
      </c>
      <c r="C5631" s="2889" t="s">
        <v>1433</v>
      </c>
      <c r="D5631" s="2889" t="s">
        <v>197</v>
      </c>
      <c r="E5631" s="2889" t="s">
        <v>1426</v>
      </c>
      <c r="F5631" s="3040"/>
      <c r="G5631" s="2890">
        <v>44.422852662994622</v>
      </c>
    </row>
    <row r="5632" spans="2:7" ht="15" hidden="1" outlineLevel="2">
      <c r="B5632" s="2889" t="s">
        <v>1645</v>
      </c>
      <c r="C5632" s="2889" t="s">
        <v>1433</v>
      </c>
      <c r="D5632" s="2889" t="s">
        <v>197</v>
      </c>
      <c r="E5632" s="2889" t="s">
        <v>1426</v>
      </c>
      <c r="F5632" s="3040"/>
      <c r="G5632" s="2890">
        <v>17.368372866302117</v>
      </c>
    </row>
    <row r="5633" spans="2:7" ht="15" hidden="1" outlineLevel="2">
      <c r="B5633" s="2889" t="s">
        <v>1646</v>
      </c>
      <c r="C5633" s="2889" t="s">
        <v>1433</v>
      </c>
      <c r="D5633" s="2889" t="s">
        <v>197</v>
      </c>
      <c r="E5633" s="2889" t="s">
        <v>1426</v>
      </c>
      <c r="F5633" s="3040"/>
      <c r="G5633" s="2890">
        <v>125.20301293654849</v>
      </c>
    </row>
    <row r="5634" spans="2:7" ht="15" hidden="1" outlineLevel="2">
      <c r="B5634" s="2889" t="s">
        <v>1647</v>
      </c>
      <c r="C5634" s="2889" t="s">
        <v>1433</v>
      </c>
      <c r="D5634" s="2889" t="s">
        <v>197</v>
      </c>
      <c r="E5634" s="2889" t="s">
        <v>1426</v>
      </c>
      <c r="F5634" s="3040"/>
      <c r="G5634" s="2890">
        <v>34.336400085605774</v>
      </c>
    </row>
    <row r="5635" spans="2:7" ht="15" hidden="1" outlineLevel="2">
      <c r="B5635" s="2889" t="s">
        <v>1648</v>
      </c>
      <c r="C5635" s="2889" t="s">
        <v>1433</v>
      </c>
      <c r="D5635" s="2889" t="s">
        <v>197</v>
      </c>
      <c r="E5635" s="2889" t="s">
        <v>1426</v>
      </c>
      <c r="F5635" s="3040"/>
      <c r="G5635" s="2890">
        <v>30.948526691705531</v>
      </c>
    </row>
    <row r="5636" spans="2:7" ht="15" hidden="1" outlineLevel="2">
      <c r="B5636" s="2889" t="s">
        <v>1649</v>
      </c>
      <c r="C5636" s="2889" t="s">
        <v>1433</v>
      </c>
      <c r="D5636" s="2889" t="s">
        <v>197</v>
      </c>
      <c r="E5636" s="2889" t="s">
        <v>1426</v>
      </c>
      <c r="F5636" s="3040"/>
      <c r="G5636" s="2890">
        <v>80.694650593849516</v>
      </c>
    </row>
    <row r="5637" spans="2:7" ht="15" hidden="1" outlineLevel="2">
      <c r="B5637" s="2889" t="s">
        <v>1650</v>
      </c>
      <c r="C5637" s="2889" t="s">
        <v>1433</v>
      </c>
      <c r="D5637" s="2889" t="s">
        <v>197</v>
      </c>
      <c r="E5637" s="2889" t="s">
        <v>1426</v>
      </c>
      <c r="F5637" s="3040"/>
      <c r="G5637" s="2890">
        <v>73.744684358536276</v>
      </c>
    </row>
    <row r="5638" spans="2:7" ht="15" hidden="1" outlineLevel="2">
      <c r="B5638" s="2889" t="s">
        <v>1651</v>
      </c>
      <c r="C5638" s="2889" t="s">
        <v>1433</v>
      </c>
      <c r="D5638" s="2889" t="s">
        <v>197</v>
      </c>
      <c r="E5638" s="2889" t="s">
        <v>1426</v>
      </c>
      <c r="F5638" s="3040"/>
      <c r="G5638" s="2890">
        <v>56.644891292917542</v>
      </c>
    </row>
    <row r="5639" spans="2:7" ht="15" hidden="1" outlineLevel="2">
      <c r="B5639" s="2889" t="s">
        <v>1652</v>
      </c>
      <c r="C5639" s="2889" t="s">
        <v>1433</v>
      </c>
      <c r="D5639" s="2889" t="s">
        <v>197</v>
      </c>
      <c r="E5639" s="2889" t="s">
        <v>1426</v>
      </c>
      <c r="F5639" s="3040"/>
      <c r="G5639" s="2890">
        <v>86.116623850581817</v>
      </c>
    </row>
    <row r="5640" spans="2:7" ht="15" hidden="1" outlineLevel="2">
      <c r="B5640" s="2889" t="s">
        <v>1653</v>
      </c>
      <c r="C5640" s="2889" t="s">
        <v>1433</v>
      </c>
      <c r="D5640" s="2889" t="s">
        <v>197</v>
      </c>
      <c r="E5640" s="2889" t="s">
        <v>1426</v>
      </c>
      <c r="F5640" s="3040"/>
      <c r="G5640" s="2890">
        <v>1.3029741115138325E-30</v>
      </c>
    </row>
    <row r="5641" spans="2:7" ht="15" hidden="1" outlineLevel="2">
      <c r="B5641" s="2889" t="s">
        <v>1407</v>
      </c>
      <c r="C5641" s="2889" t="s">
        <v>1434</v>
      </c>
      <c r="D5641" s="2889" t="s">
        <v>197</v>
      </c>
      <c r="E5641" s="2889" t="s">
        <v>1426</v>
      </c>
      <c r="F5641" s="3040"/>
      <c r="G5641" s="2890">
        <v>28.285758239622794</v>
      </c>
    </row>
    <row r="5642" spans="2:7" ht="15" hidden="1" outlineLevel="2">
      <c r="B5642" s="2889" t="s">
        <v>1631</v>
      </c>
      <c r="C5642" s="2889" t="s">
        <v>1434</v>
      </c>
      <c r="D5642" s="2889" t="s">
        <v>197</v>
      </c>
      <c r="E5642" s="2889" t="s">
        <v>1426</v>
      </c>
      <c r="F5642" s="2890">
        <v>1.3395457533123207E-3</v>
      </c>
      <c r="G5642" s="2890">
        <v>52.578603723110895</v>
      </c>
    </row>
    <row r="5643" spans="2:7" ht="15" hidden="1" outlineLevel="2">
      <c r="B5643" s="2889" t="s">
        <v>1632</v>
      </c>
      <c r="C5643" s="2889" t="s">
        <v>1434</v>
      </c>
      <c r="D5643" s="2889" t="s">
        <v>197</v>
      </c>
      <c r="E5643" s="2889" t="s">
        <v>1426</v>
      </c>
      <c r="F5643" s="3040"/>
      <c r="G5643" s="2890">
        <v>107.56304795310963</v>
      </c>
    </row>
    <row r="5644" spans="2:7" ht="15" hidden="1" outlineLevel="2">
      <c r="B5644" s="2889" t="s">
        <v>1633</v>
      </c>
      <c r="C5644" s="2889" t="s">
        <v>1434</v>
      </c>
      <c r="D5644" s="2889" t="s">
        <v>197</v>
      </c>
      <c r="E5644" s="2889" t="s">
        <v>1426</v>
      </c>
      <c r="F5644" s="3040"/>
      <c r="G5644" s="2890">
        <v>37.850336346076574</v>
      </c>
    </row>
    <row r="5645" spans="2:7" ht="15" hidden="1" outlineLevel="2">
      <c r="B5645" s="2889" t="s">
        <v>1634</v>
      </c>
      <c r="C5645" s="2889" t="s">
        <v>1434</v>
      </c>
      <c r="D5645" s="2889" t="s">
        <v>197</v>
      </c>
      <c r="E5645" s="2889" t="s">
        <v>1426</v>
      </c>
      <c r="F5645" s="3040"/>
      <c r="G5645" s="2890">
        <v>246.37647444100796</v>
      </c>
    </row>
    <row r="5646" spans="2:7" ht="15" hidden="1" outlineLevel="2">
      <c r="B5646" s="2889" t="s">
        <v>1635</v>
      </c>
      <c r="C5646" s="2889" t="s">
        <v>1434</v>
      </c>
      <c r="D5646" s="2889" t="s">
        <v>197</v>
      </c>
      <c r="E5646" s="2889" t="s">
        <v>1426</v>
      </c>
      <c r="F5646" s="3040"/>
      <c r="G5646" s="2890">
        <v>275.03685212351633</v>
      </c>
    </row>
    <row r="5647" spans="2:7" ht="15" hidden="1" outlineLevel="2">
      <c r="B5647" s="2889" t="s">
        <v>1636</v>
      </c>
      <c r="C5647" s="2889" t="s">
        <v>1434</v>
      </c>
      <c r="D5647" s="2889" t="s">
        <v>197</v>
      </c>
      <c r="E5647" s="2889" t="s">
        <v>1426</v>
      </c>
      <c r="F5647" s="3040"/>
      <c r="G5647" s="2890">
        <v>135.58891337489544</v>
      </c>
    </row>
    <row r="5648" spans="2:7" ht="15" hidden="1" outlineLevel="2">
      <c r="B5648" s="2889" t="s">
        <v>1637</v>
      </c>
      <c r="C5648" s="2889" t="s">
        <v>1434</v>
      </c>
      <c r="D5648" s="2889" t="s">
        <v>197</v>
      </c>
      <c r="E5648" s="2889" t="s">
        <v>1426</v>
      </c>
      <c r="F5648" s="3040"/>
      <c r="G5648" s="2890">
        <v>63.735870412953133</v>
      </c>
    </row>
    <row r="5649" spans="2:7" ht="15" hidden="1" outlineLevel="2">
      <c r="B5649" s="2889" t="s">
        <v>1638</v>
      </c>
      <c r="C5649" s="2889" t="s">
        <v>1434</v>
      </c>
      <c r="D5649" s="2889" t="s">
        <v>197</v>
      </c>
      <c r="E5649" s="2889" t="s">
        <v>1426</v>
      </c>
      <c r="F5649" s="3040"/>
      <c r="G5649" s="2890">
        <v>222.33789830256848</v>
      </c>
    </row>
    <row r="5650" spans="2:7" ht="15" hidden="1" outlineLevel="2">
      <c r="B5650" s="2889" t="s">
        <v>1639</v>
      </c>
      <c r="C5650" s="2889" t="s">
        <v>1434</v>
      </c>
      <c r="D5650" s="2889" t="s">
        <v>197</v>
      </c>
      <c r="E5650" s="2889" t="s">
        <v>1426</v>
      </c>
      <c r="F5650" s="2891"/>
      <c r="G5650" s="2890">
        <v>339.24754148615511</v>
      </c>
    </row>
    <row r="5651" spans="2:7" ht="15" hidden="1" outlineLevel="2">
      <c r="B5651" s="2889" t="s">
        <v>1640</v>
      </c>
      <c r="C5651" s="2889" t="s">
        <v>1434</v>
      </c>
      <c r="D5651" s="2889" t="s">
        <v>197</v>
      </c>
      <c r="E5651" s="2889" t="s">
        <v>1426</v>
      </c>
      <c r="F5651" s="2891"/>
      <c r="G5651" s="2890">
        <v>103.76568813498633</v>
      </c>
    </row>
    <row r="5652" spans="2:7" ht="15" hidden="1" outlineLevel="2">
      <c r="B5652" s="2889" t="s">
        <v>1641</v>
      </c>
      <c r="C5652" s="2889" t="s">
        <v>1434</v>
      </c>
      <c r="D5652" s="2889" t="s">
        <v>197</v>
      </c>
      <c r="E5652" s="2889" t="s">
        <v>1426</v>
      </c>
      <c r="F5652" s="2891"/>
      <c r="G5652" s="2890">
        <v>127.01629420824636</v>
      </c>
    </row>
    <row r="5653" spans="2:7" ht="15" hidden="1" outlineLevel="2">
      <c r="B5653" s="2889" t="s">
        <v>1642</v>
      </c>
      <c r="C5653" s="2889" t="s">
        <v>1434</v>
      </c>
      <c r="D5653" s="2889" t="s">
        <v>197</v>
      </c>
      <c r="E5653" s="2889" t="s">
        <v>1426</v>
      </c>
      <c r="F5653" s="2891"/>
      <c r="G5653" s="2890">
        <v>57.619350256299974</v>
      </c>
    </row>
    <row r="5654" spans="2:7" ht="15" hidden="1" outlineLevel="2">
      <c r="B5654" s="2889" t="s">
        <v>1643</v>
      </c>
      <c r="C5654" s="2889" t="s">
        <v>1434</v>
      </c>
      <c r="D5654" s="2889" t="s">
        <v>197</v>
      </c>
      <c r="E5654" s="2889" t="s">
        <v>1426</v>
      </c>
      <c r="F5654" s="2891"/>
      <c r="G5654" s="2890">
        <v>281.45275421916176</v>
      </c>
    </row>
    <row r="5655" spans="2:7" ht="15" hidden="1" outlineLevel="2">
      <c r="B5655" s="2889" t="s">
        <v>1644</v>
      </c>
      <c r="C5655" s="2889" t="s">
        <v>1434</v>
      </c>
      <c r="D5655" s="2889" t="s">
        <v>197</v>
      </c>
      <c r="E5655" s="2889" t="s">
        <v>1426</v>
      </c>
      <c r="F5655" s="2891"/>
      <c r="G5655" s="2890">
        <v>123.39500090473058</v>
      </c>
    </row>
    <row r="5656" spans="2:7" ht="15" hidden="1" outlineLevel="2">
      <c r="B5656" s="2889" t="s">
        <v>1645</v>
      </c>
      <c r="C5656" s="2889" t="s">
        <v>1434</v>
      </c>
      <c r="D5656" s="2889" t="s">
        <v>197</v>
      </c>
      <c r="E5656" s="2889" t="s">
        <v>1426</v>
      </c>
      <c r="F5656" s="2891"/>
      <c r="G5656" s="2890">
        <v>48.244788491639881</v>
      </c>
    </row>
    <row r="5657" spans="2:7" ht="15" hidden="1" outlineLevel="2">
      <c r="B5657" s="2889" t="s">
        <v>1646</v>
      </c>
      <c r="C5657" s="2889" t="s">
        <v>1434</v>
      </c>
      <c r="D5657" s="2889" t="s">
        <v>197</v>
      </c>
      <c r="E5657" s="2889" t="s">
        <v>1426</v>
      </c>
      <c r="F5657" s="3040"/>
      <c r="G5657" s="2890">
        <v>347.78101059718119</v>
      </c>
    </row>
    <row r="5658" spans="2:7" ht="15" hidden="1" outlineLevel="2">
      <c r="B5658" s="2889" t="s">
        <v>1647</v>
      </c>
      <c r="C5658" s="2889" t="s">
        <v>1434</v>
      </c>
      <c r="D5658" s="2889" t="s">
        <v>197</v>
      </c>
      <c r="E5658" s="2889" t="s">
        <v>1426</v>
      </c>
      <c r="F5658" s="3040"/>
      <c r="G5658" s="2890">
        <v>95.377505078119214</v>
      </c>
    </row>
    <row r="5659" spans="2:7" ht="15" hidden="1" outlineLevel="2">
      <c r="B5659" s="2889" t="s">
        <v>1648</v>
      </c>
      <c r="C5659" s="2889" t="s">
        <v>1434</v>
      </c>
      <c r="D5659" s="2889" t="s">
        <v>197</v>
      </c>
      <c r="E5659" s="2889" t="s">
        <v>1426</v>
      </c>
      <c r="F5659" s="3040"/>
      <c r="G5659" s="2890">
        <v>85.966832069728909</v>
      </c>
    </row>
    <row r="5660" spans="2:7" ht="15" hidden="1" outlineLevel="2">
      <c r="B5660" s="2889" t="s">
        <v>1649</v>
      </c>
      <c r="C5660" s="2889" t="s">
        <v>1434</v>
      </c>
      <c r="D5660" s="2889" t="s">
        <v>197</v>
      </c>
      <c r="E5660" s="2889" t="s">
        <v>1426</v>
      </c>
      <c r="F5660" s="3040"/>
      <c r="G5660" s="2890">
        <v>224.14857071263691</v>
      </c>
    </row>
    <row r="5661" spans="2:7" ht="15" hidden="1" outlineLevel="2">
      <c r="B5661" s="2889" t="s">
        <v>1650</v>
      </c>
      <c r="C5661" s="2889" t="s">
        <v>1434</v>
      </c>
      <c r="D5661" s="2889" t="s">
        <v>197</v>
      </c>
      <c r="E5661" s="2889" t="s">
        <v>1426</v>
      </c>
      <c r="F5661" s="3040"/>
      <c r="G5661" s="2890">
        <v>204.84337885306908</v>
      </c>
    </row>
    <row r="5662" spans="2:7" ht="15" hidden="1" outlineLevel="2">
      <c r="B5662" s="2889" t="s">
        <v>1651</v>
      </c>
      <c r="C5662" s="2889" t="s">
        <v>1434</v>
      </c>
      <c r="D5662" s="2889" t="s">
        <v>197</v>
      </c>
      <c r="E5662" s="2889" t="s">
        <v>1426</v>
      </c>
      <c r="F5662" s="3040"/>
      <c r="G5662" s="2890">
        <v>157.34463231973592</v>
      </c>
    </row>
    <row r="5663" spans="2:7" ht="15" hidden="1" outlineLevel="2">
      <c r="B5663" s="2889" t="s">
        <v>1652</v>
      </c>
      <c r="C5663" s="2889" t="s">
        <v>1434</v>
      </c>
      <c r="D5663" s="2889" t="s">
        <v>197</v>
      </c>
      <c r="E5663" s="2889" t="s">
        <v>1426</v>
      </c>
      <c r="F5663" s="3040"/>
      <c r="G5663" s="2890">
        <v>239.20928830170703</v>
      </c>
    </row>
    <row r="5664" spans="2:7" ht="15" hidden="1" outlineLevel="2">
      <c r="B5664" s="2889" t="s">
        <v>1653</v>
      </c>
      <c r="C5664" s="2889" t="s">
        <v>1434</v>
      </c>
      <c r="D5664" s="2889" t="s">
        <v>197</v>
      </c>
      <c r="E5664" s="2889" t="s">
        <v>1426</v>
      </c>
      <c r="F5664" s="3040"/>
      <c r="G5664" s="2890">
        <v>1.540882820570414E-32</v>
      </c>
    </row>
    <row r="5665" spans="2:7" ht="15" hidden="1" outlineLevel="2">
      <c r="B5665" s="2889" t="s">
        <v>1407</v>
      </c>
      <c r="C5665" s="2889" t="s">
        <v>1435</v>
      </c>
      <c r="D5665" s="2889" t="s">
        <v>197</v>
      </c>
      <c r="E5665" s="2889" t="s">
        <v>1426</v>
      </c>
      <c r="F5665" s="3040"/>
      <c r="G5665" s="2890">
        <v>20.795545367537141</v>
      </c>
    </row>
    <row r="5666" spans="2:7" ht="15" hidden="1" outlineLevel="2">
      <c r="B5666" s="2889" t="s">
        <v>1631</v>
      </c>
      <c r="C5666" s="2889" t="s">
        <v>1435</v>
      </c>
      <c r="D5666" s="2889" t="s">
        <v>197</v>
      </c>
      <c r="E5666" s="2889" t="s">
        <v>1426</v>
      </c>
      <c r="F5666" s="2890">
        <v>1.2208815814322542E-3</v>
      </c>
      <c r="G5666" s="2890">
        <v>38.655507139248847</v>
      </c>
    </row>
    <row r="5667" spans="2:7" ht="15" hidden="1" outlineLevel="2">
      <c r="B5667" s="2889" t="s">
        <v>1632</v>
      </c>
      <c r="C5667" s="2889" t="s">
        <v>1435</v>
      </c>
      <c r="D5667" s="2889" t="s">
        <v>197</v>
      </c>
      <c r="E5667" s="2889" t="s">
        <v>1426</v>
      </c>
      <c r="F5667" s="3040"/>
      <c r="G5667" s="2890">
        <v>79.079760456691147</v>
      </c>
    </row>
    <row r="5668" spans="2:7" ht="15" hidden="1" outlineLevel="2">
      <c r="B5668" s="2889" t="s">
        <v>1633</v>
      </c>
      <c r="C5668" s="2889" t="s">
        <v>1435</v>
      </c>
      <c r="D5668" s="2889" t="s">
        <v>197</v>
      </c>
      <c r="E5668" s="2889" t="s">
        <v>1426</v>
      </c>
      <c r="F5668" s="3040"/>
      <c r="G5668" s="2890">
        <v>27.82736031497026</v>
      </c>
    </row>
    <row r="5669" spans="2:7" ht="15" hidden="1" outlineLevel="2">
      <c r="B5669" s="2889" t="s">
        <v>1634</v>
      </c>
      <c r="C5669" s="2889" t="s">
        <v>1435</v>
      </c>
      <c r="D5669" s="2889" t="s">
        <v>197</v>
      </c>
      <c r="E5669" s="2889" t="s">
        <v>1426</v>
      </c>
      <c r="F5669" s="3040"/>
      <c r="G5669" s="2890">
        <v>181.13464832459377</v>
      </c>
    </row>
    <row r="5670" spans="2:7" ht="15" hidden="1" outlineLevel="2">
      <c r="B5670" s="2889" t="s">
        <v>1635</v>
      </c>
      <c r="C5670" s="2889" t="s">
        <v>1435</v>
      </c>
      <c r="D5670" s="2889" t="s">
        <v>197</v>
      </c>
      <c r="E5670" s="2889" t="s">
        <v>1426</v>
      </c>
      <c r="F5670" s="3040"/>
      <c r="G5670" s="2890">
        <v>202.20563236622567</v>
      </c>
    </row>
    <row r="5671" spans="2:7" ht="15" hidden="1" outlineLevel="2">
      <c r="B5671" s="2889" t="s">
        <v>1636</v>
      </c>
      <c r="C5671" s="2889" t="s">
        <v>1435</v>
      </c>
      <c r="D5671" s="2889" t="s">
        <v>197</v>
      </c>
      <c r="E5671" s="2889" t="s">
        <v>1426</v>
      </c>
      <c r="F5671" s="3040"/>
      <c r="G5671" s="2890">
        <v>99.684272434038448</v>
      </c>
    </row>
    <row r="5672" spans="2:7" ht="15" hidden="1" outlineLevel="2">
      <c r="B5672" s="2889" t="s">
        <v>1637</v>
      </c>
      <c r="C5672" s="2889" t="s">
        <v>1435</v>
      </c>
      <c r="D5672" s="2889" t="s">
        <v>197</v>
      </c>
      <c r="E5672" s="2889" t="s">
        <v>1426</v>
      </c>
      <c r="F5672" s="3040"/>
      <c r="G5672" s="2890">
        <v>46.858281472168187</v>
      </c>
    </row>
    <row r="5673" spans="2:7" ht="15" hidden="1" outlineLevel="2">
      <c r="B5673" s="2889" t="s">
        <v>1638</v>
      </c>
      <c r="C5673" s="2889" t="s">
        <v>1435</v>
      </c>
      <c r="D5673" s="2889" t="s">
        <v>197</v>
      </c>
      <c r="E5673" s="2889" t="s">
        <v>1426</v>
      </c>
      <c r="F5673" s="3040"/>
      <c r="G5673" s="2890">
        <v>163.46163993283884</v>
      </c>
    </row>
    <row r="5674" spans="2:7" ht="15" hidden="1" outlineLevel="2">
      <c r="B5674" s="2889" t="s">
        <v>1639</v>
      </c>
      <c r="C5674" s="2889" t="s">
        <v>1435</v>
      </c>
      <c r="D5674" s="2889" t="s">
        <v>197</v>
      </c>
      <c r="E5674" s="2889" t="s">
        <v>1426</v>
      </c>
      <c r="F5674" s="3040"/>
      <c r="G5674" s="2890">
        <v>249.41300317907019</v>
      </c>
    </row>
    <row r="5675" spans="2:7" ht="15" hidden="1" outlineLevel="2">
      <c r="B5675" s="2889" t="s">
        <v>1640</v>
      </c>
      <c r="C5675" s="2889" t="s">
        <v>1435</v>
      </c>
      <c r="D5675" s="2889" t="s">
        <v>197</v>
      </c>
      <c r="E5675" s="2889" t="s">
        <v>1426</v>
      </c>
      <c r="F5675" s="3040"/>
      <c r="G5675" s="2890">
        <v>76.287978081635359</v>
      </c>
    </row>
    <row r="5676" spans="2:7" ht="15" hidden="1" outlineLevel="2">
      <c r="B5676" s="2889" t="s">
        <v>1641</v>
      </c>
      <c r="C5676" s="2889" t="s">
        <v>1435</v>
      </c>
      <c r="D5676" s="2889" t="s">
        <v>197</v>
      </c>
      <c r="E5676" s="2889" t="s">
        <v>1426</v>
      </c>
      <c r="F5676" s="3040"/>
      <c r="G5676" s="2890">
        <v>93.381703617299223</v>
      </c>
    </row>
    <row r="5677" spans="2:7" ht="15" hidden="1" outlineLevel="2">
      <c r="B5677" s="2889" t="s">
        <v>1642</v>
      </c>
      <c r="C5677" s="2889" t="s">
        <v>1435</v>
      </c>
      <c r="D5677" s="2889" t="s">
        <v>197</v>
      </c>
      <c r="E5677" s="2889" t="s">
        <v>1426</v>
      </c>
      <c r="F5677" s="3040"/>
      <c r="G5677" s="2890">
        <v>42.361451300908016</v>
      </c>
    </row>
    <row r="5678" spans="2:7" ht="15" hidden="1" outlineLevel="2">
      <c r="B5678" s="2889" t="s">
        <v>1643</v>
      </c>
      <c r="C5678" s="2889" t="s">
        <v>1435</v>
      </c>
      <c r="D5678" s="2889" t="s">
        <v>197</v>
      </c>
      <c r="E5678" s="2889" t="s">
        <v>1426</v>
      </c>
      <c r="F5678" s="3040"/>
      <c r="G5678" s="2890">
        <v>206.92255401432075</v>
      </c>
    </row>
    <row r="5679" spans="2:7" ht="15" hidden="1" outlineLevel="2">
      <c r="B5679" s="2889" t="s">
        <v>1644</v>
      </c>
      <c r="C5679" s="2889" t="s">
        <v>1435</v>
      </c>
      <c r="D5679" s="2889" t="s">
        <v>197</v>
      </c>
      <c r="E5679" s="2889" t="s">
        <v>1426</v>
      </c>
      <c r="F5679" s="3040"/>
      <c r="G5679" s="2890">
        <v>90.719363303972585</v>
      </c>
    </row>
    <row r="5680" spans="2:7" ht="15" hidden="1" outlineLevel="2">
      <c r="B5680" s="2889" t="s">
        <v>1645</v>
      </c>
      <c r="C5680" s="2889" t="s">
        <v>1435</v>
      </c>
      <c r="D5680" s="2889" t="s">
        <v>197</v>
      </c>
      <c r="E5680" s="2889" t="s">
        <v>1426</v>
      </c>
      <c r="F5680" s="3040"/>
      <c r="G5680" s="2890">
        <v>35.469307378178527</v>
      </c>
    </row>
    <row r="5681" spans="2:7" ht="15" hidden="1" outlineLevel="2">
      <c r="B5681" s="2889" t="s">
        <v>1646</v>
      </c>
      <c r="C5681" s="2889" t="s">
        <v>1435</v>
      </c>
      <c r="D5681" s="2889" t="s">
        <v>197</v>
      </c>
      <c r="E5681" s="2889" t="s">
        <v>1426</v>
      </c>
      <c r="F5681" s="3040"/>
      <c r="G5681" s="2890">
        <v>255.68679495760557</v>
      </c>
    </row>
    <row r="5682" spans="2:7" ht="15" hidden="1" outlineLevel="2">
      <c r="B5682" s="2889" t="s">
        <v>1647</v>
      </c>
      <c r="C5682" s="2889" t="s">
        <v>1435</v>
      </c>
      <c r="D5682" s="2889" t="s">
        <v>197</v>
      </c>
      <c r="E5682" s="2889" t="s">
        <v>1426</v>
      </c>
      <c r="F5682" s="3040"/>
      <c r="G5682" s="2890">
        <v>70.121011811876031</v>
      </c>
    </row>
    <row r="5683" spans="2:7" ht="15" hidden="1" outlineLevel="2">
      <c r="B5683" s="2889" t="s">
        <v>1648</v>
      </c>
      <c r="C5683" s="2889" t="s">
        <v>1435</v>
      </c>
      <c r="D5683" s="2889" t="s">
        <v>197</v>
      </c>
      <c r="E5683" s="2889" t="s">
        <v>1426</v>
      </c>
      <c r="F5683" s="3040"/>
      <c r="G5683" s="2890">
        <v>63.202372191583741</v>
      </c>
    </row>
    <row r="5684" spans="2:7" ht="15" hidden="1" outlineLevel="2">
      <c r="B5684" s="2889" t="s">
        <v>1649</v>
      </c>
      <c r="C5684" s="2889" t="s">
        <v>1435</v>
      </c>
      <c r="D5684" s="2889" t="s">
        <v>197</v>
      </c>
      <c r="E5684" s="2889" t="s">
        <v>1426</v>
      </c>
      <c r="F5684" s="3040"/>
      <c r="G5684" s="2890">
        <v>164.79280336456816</v>
      </c>
    </row>
    <row r="5685" spans="2:7" ht="15" hidden="1" outlineLevel="2">
      <c r="B5685" s="2889" t="s">
        <v>1650</v>
      </c>
      <c r="C5685" s="2889" t="s">
        <v>1435</v>
      </c>
      <c r="D5685" s="2889" t="s">
        <v>197</v>
      </c>
      <c r="E5685" s="2889" t="s">
        <v>1426</v>
      </c>
      <c r="F5685" s="3040"/>
      <c r="G5685" s="2890">
        <v>150.59973591377306</v>
      </c>
    </row>
    <row r="5686" spans="2:7" ht="15" hidden="1" outlineLevel="2">
      <c r="B5686" s="2889" t="s">
        <v>1651</v>
      </c>
      <c r="C5686" s="2889" t="s">
        <v>1435</v>
      </c>
      <c r="D5686" s="2889" t="s">
        <v>197</v>
      </c>
      <c r="E5686" s="2889" t="s">
        <v>1426</v>
      </c>
      <c r="F5686" s="3040"/>
      <c r="G5686" s="2890">
        <v>115.67894580615162</v>
      </c>
    </row>
    <row r="5687" spans="2:7" ht="15" hidden="1" outlineLevel="2">
      <c r="B5687" s="2889" t="s">
        <v>1652</v>
      </c>
      <c r="C5687" s="2889" t="s">
        <v>1435</v>
      </c>
      <c r="D5687" s="2889" t="s">
        <v>197</v>
      </c>
      <c r="E5687" s="2889" t="s">
        <v>1426</v>
      </c>
      <c r="F5687" s="3040"/>
      <c r="G5687" s="2890">
        <v>175.86544013752658</v>
      </c>
    </row>
    <row r="5688" spans="2:7" ht="15" hidden="1" outlineLevel="2">
      <c r="B5688" s="2889" t="s">
        <v>1653</v>
      </c>
      <c r="C5688" s="2889" t="s">
        <v>1435</v>
      </c>
      <c r="D5688" s="2889" t="s">
        <v>197</v>
      </c>
      <c r="E5688" s="2889" t="s">
        <v>1426</v>
      </c>
      <c r="F5688" s="3040"/>
      <c r="G5688" s="2890">
        <v>1.8693729389601288E-30</v>
      </c>
    </row>
    <row r="5689" spans="2:7" ht="15" outlineLevel="1" collapsed="1">
      <c r="B5689" s="2889"/>
      <c r="C5689" s="2889"/>
      <c r="D5689" s="3041" t="s">
        <v>1687</v>
      </c>
      <c r="E5689" s="2889"/>
      <c r="F5689" s="3045">
        <f>SUBTOTAL(9,F5089:F5688)</f>
        <v>3.2101395951037954</v>
      </c>
      <c r="G5689" s="2890">
        <f>SUBTOTAL(9,G5089:G5688)</f>
        <v>213384.4794664385</v>
      </c>
    </row>
    <row r="5690" spans="2:7" ht="15" hidden="1" outlineLevel="2">
      <c r="B5690" s="2889" t="s">
        <v>1407</v>
      </c>
      <c r="C5690" s="2889" t="s">
        <v>1436</v>
      </c>
      <c r="D5690" s="2889" t="s">
        <v>1437</v>
      </c>
      <c r="E5690" s="2889" t="s">
        <v>217</v>
      </c>
      <c r="F5690" s="3039">
        <v>2.6027026481861473E-34</v>
      </c>
      <c r="G5690" s="2890">
        <v>1.7109690376180409E-30</v>
      </c>
    </row>
    <row r="5691" spans="2:7" ht="15" hidden="1" outlineLevel="2">
      <c r="B5691" s="2889" t="s">
        <v>1631</v>
      </c>
      <c r="C5691" s="2889" t="s">
        <v>1436</v>
      </c>
      <c r="D5691" s="2889" t="s">
        <v>1437</v>
      </c>
      <c r="E5691" s="2889" t="s">
        <v>217</v>
      </c>
      <c r="F5691" s="3039">
        <v>0.10608789328470504</v>
      </c>
      <c r="G5691" s="2890">
        <v>303.62439702372995</v>
      </c>
    </row>
    <row r="5692" spans="2:7" ht="15" hidden="1" outlineLevel="2">
      <c r="B5692" s="2889" t="s">
        <v>1632</v>
      </c>
      <c r="C5692" s="2889" t="s">
        <v>1436</v>
      </c>
      <c r="D5692" s="2889" t="s">
        <v>1437</v>
      </c>
      <c r="E5692" s="2889" t="s">
        <v>217</v>
      </c>
      <c r="F5692" s="3039">
        <v>7.5074450865664661E-5</v>
      </c>
      <c r="G5692" s="2890">
        <v>0.21800921633107243</v>
      </c>
    </row>
    <row r="5693" spans="2:7" ht="15" hidden="1" outlineLevel="2">
      <c r="B5693" s="2889" t="s">
        <v>1633</v>
      </c>
      <c r="C5693" s="2889" t="s">
        <v>1436</v>
      </c>
      <c r="D5693" s="2889" t="s">
        <v>1437</v>
      </c>
      <c r="E5693" s="2889" t="s">
        <v>217</v>
      </c>
      <c r="F5693" s="3039">
        <v>2.6757713009941471E-34</v>
      </c>
      <c r="G5693" s="2890">
        <v>6.539019983539831E-31</v>
      </c>
    </row>
    <row r="5694" spans="2:7" ht="15" hidden="1" outlineLevel="2">
      <c r="B5694" s="2889" t="s">
        <v>1634</v>
      </c>
      <c r="C5694" s="2889" t="s">
        <v>1436</v>
      </c>
      <c r="D5694" s="2889" t="s">
        <v>1437</v>
      </c>
      <c r="E5694" s="2889" t="s">
        <v>217</v>
      </c>
      <c r="F5694" s="3039">
        <v>1.2726620208700038E-33</v>
      </c>
      <c r="G5694" s="2890">
        <v>2.548002157498148E-30</v>
      </c>
    </row>
    <row r="5695" spans="2:7" ht="15" hidden="1" outlineLevel="2">
      <c r="B5695" s="2889" t="s">
        <v>1635</v>
      </c>
      <c r="C5695" s="2889" t="s">
        <v>1436</v>
      </c>
      <c r="D5695" s="2889" t="s">
        <v>1437</v>
      </c>
      <c r="E5695" s="2889" t="s">
        <v>217</v>
      </c>
      <c r="F5695" s="3039">
        <v>2.8331664148189346E-5</v>
      </c>
      <c r="G5695" s="2890">
        <v>8.2272473986186881E-2</v>
      </c>
    </row>
    <row r="5696" spans="2:7" ht="15" hidden="1" outlineLevel="2">
      <c r="B5696" s="2889" t="s">
        <v>1636</v>
      </c>
      <c r="C5696" s="2889" t="s">
        <v>1436</v>
      </c>
      <c r="D5696" s="2889" t="s">
        <v>1437</v>
      </c>
      <c r="E5696" s="2889" t="s">
        <v>217</v>
      </c>
      <c r="F5696" s="3039">
        <v>3.8952874951531652E-34</v>
      </c>
      <c r="G5696" s="2890">
        <v>6.1605054560983056E-31</v>
      </c>
    </row>
    <row r="5697" spans="2:7" ht="15" hidden="1" outlineLevel="2">
      <c r="B5697" s="2889" t="s">
        <v>1637</v>
      </c>
      <c r="C5697" s="2889" t="s">
        <v>1436</v>
      </c>
      <c r="D5697" s="2889" t="s">
        <v>1437</v>
      </c>
      <c r="E5697" s="2889" t="s">
        <v>217</v>
      </c>
      <c r="F5697" s="2890">
        <v>3.6481196869676405E-36</v>
      </c>
      <c r="G5697" s="2890">
        <v>5.1032962245437871E-32</v>
      </c>
    </row>
    <row r="5698" spans="2:7" ht="15" hidden="1" outlineLevel="2">
      <c r="B5698" s="2889" t="s">
        <v>1638</v>
      </c>
      <c r="C5698" s="2889" t="s">
        <v>1436</v>
      </c>
      <c r="D5698" s="2889" t="s">
        <v>1437</v>
      </c>
      <c r="E5698" s="2889" t="s">
        <v>217</v>
      </c>
      <c r="F5698" s="2890">
        <v>2.3991914587645556E-6</v>
      </c>
      <c r="G5698" s="2890">
        <v>7.0074351444588375E-3</v>
      </c>
    </row>
    <row r="5699" spans="2:7" ht="15" hidden="1" outlineLevel="2">
      <c r="B5699" s="2889" t="s">
        <v>1639</v>
      </c>
      <c r="C5699" s="2889" t="s">
        <v>1436</v>
      </c>
      <c r="D5699" s="2889" t="s">
        <v>1437</v>
      </c>
      <c r="E5699" s="2889" t="s">
        <v>217</v>
      </c>
      <c r="F5699" s="2890">
        <v>3.0242949543144318E-5</v>
      </c>
      <c r="G5699" s="2890">
        <v>8.8241725961892573E-2</v>
      </c>
    </row>
    <row r="5700" spans="2:7" ht="15" hidden="1" outlineLevel="2">
      <c r="B5700" s="2889" t="s">
        <v>1640</v>
      </c>
      <c r="C5700" s="2889" t="s">
        <v>1436</v>
      </c>
      <c r="D5700" s="2889" t="s">
        <v>1437</v>
      </c>
      <c r="E5700" s="2889" t="s">
        <v>217</v>
      </c>
      <c r="F5700" s="3039">
        <v>1.7957041227941505E-6</v>
      </c>
      <c r="G5700" s="2890">
        <v>5.190695610299445E-3</v>
      </c>
    </row>
    <row r="5701" spans="2:7" ht="15" hidden="1" outlineLevel="2">
      <c r="B5701" s="2889" t="s">
        <v>1641</v>
      </c>
      <c r="C5701" s="2889" t="s">
        <v>1436</v>
      </c>
      <c r="D5701" s="2889" t="s">
        <v>1437</v>
      </c>
      <c r="E5701" s="2889" t="s">
        <v>217</v>
      </c>
      <c r="F5701" s="2890">
        <v>9.7425381139052297E-34</v>
      </c>
      <c r="G5701" s="2890">
        <v>6.5488706385837996E-30</v>
      </c>
    </row>
    <row r="5702" spans="2:7" ht="15" hidden="1" outlineLevel="2">
      <c r="B5702" s="2889" t="s">
        <v>1642</v>
      </c>
      <c r="C5702" s="2889" t="s">
        <v>1436</v>
      </c>
      <c r="D5702" s="2889" t="s">
        <v>1437</v>
      </c>
      <c r="E5702" s="2889" t="s">
        <v>217</v>
      </c>
      <c r="F5702" s="2890">
        <v>2.6842632411043145E-34</v>
      </c>
      <c r="G5702" s="2890">
        <v>1.4108141940538616E-30</v>
      </c>
    </row>
    <row r="5703" spans="2:7" ht="15" hidden="1" outlineLevel="2">
      <c r="B5703" s="2889" t="s">
        <v>1643</v>
      </c>
      <c r="C5703" s="2889" t="s">
        <v>1436</v>
      </c>
      <c r="D5703" s="2889" t="s">
        <v>1437</v>
      </c>
      <c r="E5703" s="2889" t="s">
        <v>217</v>
      </c>
      <c r="F5703" s="3039">
        <v>2.2886705725982671E-34</v>
      </c>
      <c r="G5703" s="2890">
        <v>3.4391137315468474E-31</v>
      </c>
    </row>
    <row r="5704" spans="2:7" ht="15" hidden="1" outlineLevel="2">
      <c r="B5704" s="2889" t="s">
        <v>1644</v>
      </c>
      <c r="C5704" s="2889" t="s">
        <v>1436</v>
      </c>
      <c r="D5704" s="2889" t="s">
        <v>1437</v>
      </c>
      <c r="E5704" s="2889" t="s">
        <v>217</v>
      </c>
      <c r="F5704" s="2890">
        <v>6.2264890773870382E-5</v>
      </c>
      <c r="G5704" s="2890">
        <v>0.18167435383544203</v>
      </c>
    </row>
    <row r="5705" spans="2:7" ht="15" hidden="1" outlineLevel="2">
      <c r="B5705" s="2889" t="s">
        <v>1645</v>
      </c>
      <c r="C5705" s="2889" t="s">
        <v>1436</v>
      </c>
      <c r="D5705" s="2889" t="s">
        <v>1437</v>
      </c>
      <c r="E5705" s="2889" t="s">
        <v>217</v>
      </c>
      <c r="F5705" s="2890">
        <v>4.0916936318717795E-6</v>
      </c>
      <c r="G5705" s="2890">
        <v>1.1938599343622174E-2</v>
      </c>
    </row>
    <row r="5706" spans="2:7" ht="15" hidden="1" outlineLevel="2">
      <c r="B5706" s="2889" t="s">
        <v>1646</v>
      </c>
      <c r="C5706" s="2889" t="s">
        <v>1436</v>
      </c>
      <c r="D5706" s="2889" t="s">
        <v>1437</v>
      </c>
      <c r="E5706" s="2889" t="s">
        <v>217</v>
      </c>
      <c r="F5706" s="2890">
        <v>6.6137027373922643E-6</v>
      </c>
      <c r="G5706" s="2890">
        <v>1.9205561446003747E-2</v>
      </c>
    </row>
    <row r="5707" spans="2:7" ht="15" hidden="1" outlineLevel="2">
      <c r="B5707" s="2889" t="s">
        <v>1647</v>
      </c>
      <c r="C5707" s="2889" t="s">
        <v>1436</v>
      </c>
      <c r="D5707" s="2889" t="s">
        <v>1437</v>
      </c>
      <c r="E5707" s="2889" t="s">
        <v>217</v>
      </c>
      <c r="F5707" s="3039">
        <v>1.4306285918916574E-5</v>
      </c>
      <c r="G5707" s="2890">
        <v>4.1785077518369469E-2</v>
      </c>
    </row>
    <row r="5708" spans="2:7" ht="15" hidden="1" outlineLevel="2">
      <c r="B5708" s="2889" t="s">
        <v>1648</v>
      </c>
      <c r="C5708" s="2889" t="s">
        <v>1436</v>
      </c>
      <c r="D5708" s="2889" t="s">
        <v>1437</v>
      </c>
      <c r="E5708" s="2889" t="s">
        <v>217</v>
      </c>
      <c r="F5708" s="3039">
        <v>8.4600258055354856E-35</v>
      </c>
      <c r="G5708" s="2890">
        <v>1.4522433112864399E-31</v>
      </c>
    </row>
    <row r="5709" spans="2:7" ht="15" hidden="1" outlineLevel="2">
      <c r="B5709" s="2889" t="s">
        <v>1649</v>
      </c>
      <c r="C5709" s="2889" t="s">
        <v>1436</v>
      </c>
      <c r="D5709" s="2889" t="s">
        <v>1437</v>
      </c>
      <c r="E5709" s="2889" t="s">
        <v>217</v>
      </c>
      <c r="F5709" s="3039">
        <v>8.8858917893321879E-5</v>
      </c>
      <c r="G5709" s="2890">
        <v>0.25953448303135218</v>
      </c>
    </row>
    <row r="5710" spans="2:7" ht="15" hidden="1" outlineLevel="2">
      <c r="B5710" s="2889" t="s">
        <v>1650</v>
      </c>
      <c r="C5710" s="2889" t="s">
        <v>1436</v>
      </c>
      <c r="D5710" s="2889" t="s">
        <v>1437</v>
      </c>
      <c r="E5710" s="2889" t="s">
        <v>217</v>
      </c>
      <c r="F5710" s="2890">
        <v>4.9085982753307848E-4</v>
      </c>
      <c r="G5710" s="2890">
        <v>1.5156812504459787</v>
      </c>
    </row>
    <row r="5711" spans="2:7" ht="15" hidden="1" outlineLevel="2">
      <c r="B5711" s="2889" t="s">
        <v>1651</v>
      </c>
      <c r="C5711" s="2889" t="s">
        <v>1436</v>
      </c>
      <c r="D5711" s="2889" t="s">
        <v>1437</v>
      </c>
      <c r="E5711" s="2889" t="s">
        <v>217</v>
      </c>
      <c r="F5711" s="2890">
        <v>2.1290600677037856E-3</v>
      </c>
      <c r="G5711" s="2890">
        <v>6.2184481965325373</v>
      </c>
    </row>
    <row r="5712" spans="2:7" ht="15" hidden="1" outlineLevel="2">
      <c r="B5712" s="2889" t="s">
        <v>1652</v>
      </c>
      <c r="C5712" s="2889" t="s">
        <v>1436</v>
      </c>
      <c r="D5712" s="2889" t="s">
        <v>1437</v>
      </c>
      <c r="E5712" s="2889" t="s">
        <v>217</v>
      </c>
      <c r="F5712" s="2890">
        <v>2.63116075488244E-34</v>
      </c>
      <c r="G5712" s="2890">
        <v>3.4472761091999997E-31</v>
      </c>
    </row>
    <row r="5713" spans="2:7" ht="15" hidden="1" outlineLevel="2">
      <c r="B5713" s="2889" t="s">
        <v>1653</v>
      </c>
      <c r="C5713" s="2889" t="s">
        <v>1436</v>
      </c>
      <c r="D5713" s="2889" t="s">
        <v>1437</v>
      </c>
      <c r="E5713" s="2889" t="s">
        <v>217</v>
      </c>
      <c r="F5713" s="2890">
        <v>2.0593414926510195E-34</v>
      </c>
      <c r="G5713" s="2890">
        <v>1.3405188215545494E-30</v>
      </c>
    </row>
    <row r="5714" spans="2:7" ht="15" hidden="1" outlineLevel="2">
      <c r="B5714" s="2889" t="s">
        <v>1407</v>
      </c>
      <c r="C5714" s="2889" t="s">
        <v>1438</v>
      </c>
      <c r="D5714" s="2889" t="s">
        <v>1437</v>
      </c>
      <c r="E5714" s="2889" t="s">
        <v>1420</v>
      </c>
      <c r="F5714" s="2890">
        <v>1.6645027218787266E-36</v>
      </c>
      <c r="G5714" s="2890">
        <v>2.4044512537756401E-32</v>
      </c>
    </row>
    <row r="5715" spans="2:7" ht="15" hidden="1" outlineLevel="2">
      <c r="B5715" s="2889" t="s">
        <v>1631</v>
      </c>
      <c r="C5715" s="2889" t="s">
        <v>1438</v>
      </c>
      <c r="D5715" s="2889" t="s">
        <v>1437</v>
      </c>
      <c r="E5715" s="2889" t="s">
        <v>1420</v>
      </c>
      <c r="F5715" s="2890">
        <v>3.0204867505814241E-2</v>
      </c>
      <c r="G5715" s="2890">
        <v>277.51855549860068</v>
      </c>
    </row>
    <row r="5716" spans="2:7" ht="15" hidden="1" outlineLevel="2">
      <c r="B5716" s="2889" t="s">
        <v>1632</v>
      </c>
      <c r="C5716" s="2889" t="s">
        <v>1438</v>
      </c>
      <c r="D5716" s="2889" t="s">
        <v>1437</v>
      </c>
      <c r="E5716" s="2889" t="s">
        <v>1420</v>
      </c>
      <c r="F5716" s="2890">
        <v>2.1687760857036613E-5</v>
      </c>
      <c r="G5716" s="2890">
        <v>0.19926444626918161</v>
      </c>
    </row>
    <row r="5717" spans="2:7" ht="15" hidden="1" outlineLevel="2">
      <c r="B5717" s="2889" t="s">
        <v>1633</v>
      </c>
      <c r="C5717" s="2889" t="s">
        <v>1438</v>
      </c>
      <c r="D5717" s="2889" t="s">
        <v>1437</v>
      </c>
      <c r="E5717" s="2889" t="s">
        <v>1420</v>
      </c>
      <c r="F5717" s="2890">
        <v>1.6645027218787266E-36</v>
      </c>
      <c r="G5717" s="2890">
        <v>2.4044512537756401E-32</v>
      </c>
    </row>
    <row r="5718" spans="2:7" ht="15" hidden="1" outlineLevel="2">
      <c r="B5718" s="2889" t="s">
        <v>1634</v>
      </c>
      <c r="C5718" s="2889" t="s">
        <v>1438</v>
      </c>
      <c r="D5718" s="2889" t="s">
        <v>1437</v>
      </c>
      <c r="E5718" s="2889" t="s">
        <v>1420</v>
      </c>
      <c r="F5718" s="2890">
        <v>1.6645027218787266E-36</v>
      </c>
      <c r="G5718" s="2890">
        <v>2.4044512537756401E-32</v>
      </c>
    </row>
    <row r="5719" spans="2:7" ht="15" hidden="1" outlineLevel="2">
      <c r="B5719" s="2889" t="s">
        <v>1635</v>
      </c>
      <c r="C5719" s="2889" t="s">
        <v>1438</v>
      </c>
      <c r="D5719" s="2889" t="s">
        <v>1437</v>
      </c>
      <c r="E5719" s="2889" t="s">
        <v>1420</v>
      </c>
      <c r="F5719" s="2890">
        <v>8.1845449905951178E-6</v>
      </c>
      <c r="G5719" s="2890">
        <v>7.5198570808169996E-2</v>
      </c>
    </row>
    <row r="5720" spans="2:7" ht="15" hidden="1" outlineLevel="2">
      <c r="B5720" s="2889" t="s">
        <v>1636</v>
      </c>
      <c r="C5720" s="2889" t="s">
        <v>1438</v>
      </c>
      <c r="D5720" s="2889" t="s">
        <v>1437</v>
      </c>
      <c r="E5720" s="2889" t="s">
        <v>1420</v>
      </c>
      <c r="F5720" s="2890">
        <v>1.6645027218787266E-36</v>
      </c>
      <c r="G5720" s="2890">
        <v>2.4044512537756401E-32</v>
      </c>
    </row>
    <row r="5721" spans="2:7" ht="15" hidden="1" outlineLevel="2">
      <c r="B5721" s="2889" t="s">
        <v>1637</v>
      </c>
      <c r="C5721" s="2889" t="s">
        <v>1438</v>
      </c>
      <c r="D5721" s="2889" t="s">
        <v>1437</v>
      </c>
      <c r="E5721" s="2889" t="s">
        <v>1420</v>
      </c>
      <c r="F5721" s="3039">
        <v>1.6645027218787266E-36</v>
      </c>
      <c r="G5721" s="2890">
        <v>2.4044512537756401E-32</v>
      </c>
    </row>
    <row r="5722" spans="2:7" ht="15" hidden="1" outlineLevel="2">
      <c r="B5722" s="2889" t="s">
        <v>1638</v>
      </c>
      <c r="C5722" s="2889" t="s">
        <v>1438</v>
      </c>
      <c r="D5722" s="2889" t="s">
        <v>1437</v>
      </c>
      <c r="E5722" s="2889" t="s">
        <v>1420</v>
      </c>
      <c r="F5722" s="3039">
        <v>6.9710630690081591E-7</v>
      </c>
      <c r="G5722" s="2890">
        <v>6.4049429622625486E-3</v>
      </c>
    </row>
    <row r="5723" spans="2:7" ht="15" hidden="1" outlineLevel="2">
      <c r="B5723" s="2889" t="s">
        <v>1639</v>
      </c>
      <c r="C5723" s="2889" t="s">
        <v>1438</v>
      </c>
      <c r="D5723" s="2889" t="s">
        <v>1437</v>
      </c>
      <c r="E5723" s="2889" t="s">
        <v>1420</v>
      </c>
      <c r="F5723" s="2890">
        <v>8.7783771228476728E-6</v>
      </c>
      <c r="G5723" s="2890">
        <v>8.0654710859250106E-2</v>
      </c>
    </row>
    <row r="5724" spans="2:7" ht="15" hidden="1" outlineLevel="2">
      <c r="B5724" s="2889" t="s">
        <v>1640</v>
      </c>
      <c r="C5724" s="2889" t="s">
        <v>1438</v>
      </c>
      <c r="D5724" s="2889" t="s">
        <v>1437</v>
      </c>
      <c r="E5724" s="2889" t="s">
        <v>1420</v>
      </c>
      <c r="F5724" s="2890">
        <v>5.16374994401465E-7</v>
      </c>
      <c r="G5724" s="2890">
        <v>4.7443911325303094E-3</v>
      </c>
    </row>
    <row r="5725" spans="2:7" ht="15" hidden="1" outlineLevel="2">
      <c r="B5725" s="2889" t="s">
        <v>1641</v>
      </c>
      <c r="C5725" s="2889" t="s">
        <v>1438</v>
      </c>
      <c r="D5725" s="2889" t="s">
        <v>1437</v>
      </c>
      <c r="E5725" s="2889" t="s">
        <v>1420</v>
      </c>
      <c r="F5725" s="2890">
        <v>1.6645027218787266E-36</v>
      </c>
      <c r="G5725" s="2890">
        <v>2.4044512537756401E-32</v>
      </c>
    </row>
    <row r="5726" spans="2:7" ht="15" hidden="1" outlineLevel="2">
      <c r="B5726" s="2889" t="s">
        <v>1642</v>
      </c>
      <c r="C5726" s="2889" t="s">
        <v>1438</v>
      </c>
      <c r="D5726" s="2889" t="s">
        <v>1437</v>
      </c>
      <c r="E5726" s="2889" t="s">
        <v>1420</v>
      </c>
      <c r="F5726" s="2890">
        <v>1.6645027218787266E-36</v>
      </c>
      <c r="G5726" s="2890">
        <v>2.4044512537756401E-32</v>
      </c>
    </row>
    <row r="5727" spans="2:7" ht="15" hidden="1" outlineLevel="2">
      <c r="B5727" s="2889" t="s">
        <v>1643</v>
      </c>
      <c r="C5727" s="2889" t="s">
        <v>1438</v>
      </c>
      <c r="D5727" s="2889" t="s">
        <v>1437</v>
      </c>
      <c r="E5727" s="2889" t="s">
        <v>1420</v>
      </c>
      <c r="F5727" s="2890">
        <v>2.2753543115041698E-36</v>
      </c>
      <c r="G5727" s="2890">
        <v>3.2868550119145637E-32</v>
      </c>
    </row>
    <row r="5728" spans="2:7" ht="15" hidden="1" outlineLevel="2">
      <c r="B5728" s="2889" t="s">
        <v>1644</v>
      </c>
      <c r="C5728" s="2889" t="s">
        <v>1438</v>
      </c>
      <c r="D5728" s="2889" t="s">
        <v>1437</v>
      </c>
      <c r="E5728" s="2889" t="s">
        <v>1420</v>
      </c>
      <c r="F5728" s="2890">
        <v>1.8073128042055411E-5</v>
      </c>
      <c r="G5728" s="2890">
        <v>0.16605366253637927</v>
      </c>
    </row>
    <row r="5729" spans="2:7" ht="15" hidden="1" outlineLevel="2">
      <c r="B5729" s="2889" t="s">
        <v>1645</v>
      </c>
      <c r="C5729" s="2889" t="s">
        <v>1438</v>
      </c>
      <c r="D5729" s="2889" t="s">
        <v>1437</v>
      </c>
      <c r="E5729" s="2889" t="s">
        <v>1420</v>
      </c>
      <c r="F5729" s="2890">
        <v>1.1876625467322E-6</v>
      </c>
      <c r="G5729" s="2890">
        <v>1.0912109511452375E-2</v>
      </c>
    </row>
    <row r="5730" spans="2:7" ht="15" hidden="1" outlineLevel="2">
      <c r="B5730" s="2889" t="s">
        <v>1646</v>
      </c>
      <c r="C5730" s="2889" t="s">
        <v>1438</v>
      </c>
      <c r="D5730" s="2889" t="s">
        <v>1437</v>
      </c>
      <c r="E5730" s="2889" t="s">
        <v>1420</v>
      </c>
      <c r="F5730" s="2890">
        <v>1.9105900215015999E-6</v>
      </c>
      <c r="G5730" s="2890">
        <v>1.7554250384832895E-2</v>
      </c>
    </row>
    <row r="5731" spans="2:7" ht="15" hidden="1" outlineLevel="2">
      <c r="B5731" s="2889" t="s">
        <v>1647</v>
      </c>
      <c r="C5731" s="2889" t="s">
        <v>1438</v>
      </c>
      <c r="D5731" s="2889" t="s">
        <v>1437</v>
      </c>
      <c r="E5731" s="2889" t="s">
        <v>1420</v>
      </c>
      <c r="F5731" s="2890">
        <v>4.1568208108736294E-6</v>
      </c>
      <c r="G5731" s="2890">
        <v>3.8192345126437918E-2</v>
      </c>
    </row>
    <row r="5732" spans="2:7" ht="15" hidden="1" outlineLevel="2">
      <c r="B5732" s="2889" t="s">
        <v>1648</v>
      </c>
      <c r="C5732" s="2889" t="s">
        <v>1438</v>
      </c>
      <c r="D5732" s="2889" t="s">
        <v>1437</v>
      </c>
      <c r="E5732" s="2889" t="s">
        <v>1420</v>
      </c>
      <c r="F5732" s="2890">
        <v>1.6645027218787266E-36</v>
      </c>
      <c r="G5732" s="2890">
        <v>2.4044512537756401E-32</v>
      </c>
    </row>
    <row r="5733" spans="2:7" ht="15" hidden="1" outlineLevel="2">
      <c r="B5733" s="2889" t="s">
        <v>1649</v>
      </c>
      <c r="C5733" s="2889" t="s">
        <v>1438</v>
      </c>
      <c r="D5733" s="2889" t="s">
        <v>1437</v>
      </c>
      <c r="E5733" s="2889" t="s">
        <v>1420</v>
      </c>
      <c r="F5733" s="2890">
        <v>2.581873384638362E-5</v>
      </c>
      <c r="G5733" s="2890">
        <v>0.23721979531086068</v>
      </c>
    </row>
    <row r="5734" spans="2:7" ht="15" hidden="1" outlineLevel="2">
      <c r="B5734" s="2889" t="s">
        <v>1650</v>
      </c>
      <c r="C5734" s="2889" t="s">
        <v>1438</v>
      </c>
      <c r="D5734" s="2889" t="s">
        <v>1437</v>
      </c>
      <c r="E5734" s="2889" t="s">
        <v>1420</v>
      </c>
      <c r="F5734" s="2890">
        <v>1.5078150994127124E-4</v>
      </c>
      <c r="G5734" s="2890">
        <v>1.3853630655264242</v>
      </c>
    </row>
    <row r="5735" spans="2:7" ht="15" hidden="1" outlineLevel="2">
      <c r="B5735" s="2889" t="s">
        <v>1651</v>
      </c>
      <c r="C5735" s="2889" t="s">
        <v>1438</v>
      </c>
      <c r="D5735" s="2889" t="s">
        <v>1437</v>
      </c>
      <c r="E5735" s="2889" t="s">
        <v>1420</v>
      </c>
      <c r="F5735" s="2890">
        <v>6.1861745624093448E-4</v>
      </c>
      <c r="G5735" s="2890">
        <v>5.6837809053225747</v>
      </c>
    </row>
    <row r="5736" spans="2:7" ht="15" hidden="1" outlineLevel="2">
      <c r="B5736" s="2889" t="s">
        <v>1652</v>
      </c>
      <c r="C5736" s="2889" t="s">
        <v>1438</v>
      </c>
      <c r="D5736" s="2889" t="s">
        <v>1437</v>
      </c>
      <c r="E5736" s="2889" t="s">
        <v>1420</v>
      </c>
      <c r="F5736" s="2890">
        <v>1.6632094204000005E-36</v>
      </c>
      <c r="G5736" s="2890">
        <v>2.4051963276000003E-32</v>
      </c>
    </row>
    <row r="5737" spans="2:7" ht="15" hidden="1" outlineLevel="2">
      <c r="B5737" s="2889" t="s">
        <v>1653</v>
      </c>
      <c r="C5737" s="2889" t="s">
        <v>1438</v>
      </c>
      <c r="D5737" s="2889" t="s">
        <v>1437</v>
      </c>
      <c r="E5737" s="2889" t="s">
        <v>1420</v>
      </c>
      <c r="F5737" s="2890">
        <v>1.6645027218787266E-36</v>
      </c>
      <c r="G5737" s="2890">
        <v>2.4044512537756401E-32</v>
      </c>
    </row>
    <row r="5738" spans="2:7" ht="15" hidden="1" outlineLevel="2">
      <c r="B5738" s="2889" t="s">
        <v>1407</v>
      </c>
      <c r="C5738" s="2889" t="s">
        <v>1439</v>
      </c>
      <c r="D5738" s="2889" t="s">
        <v>1437</v>
      </c>
      <c r="E5738" s="2889" t="s">
        <v>1426</v>
      </c>
      <c r="F5738" s="2891"/>
      <c r="G5738" s="2890">
        <v>1.0800699774071823E-29</v>
      </c>
    </row>
    <row r="5739" spans="2:7" ht="15" hidden="1" outlineLevel="2">
      <c r="B5739" s="2889" t="s">
        <v>1631</v>
      </c>
      <c r="C5739" s="2889" t="s">
        <v>1439</v>
      </c>
      <c r="D5739" s="2889" t="s">
        <v>1437</v>
      </c>
      <c r="E5739" s="2889" t="s">
        <v>1426</v>
      </c>
      <c r="F5739" s="3039">
        <v>0.57705415091552159</v>
      </c>
      <c r="G5739" s="2890">
        <v>19083.152012938397</v>
      </c>
    </row>
    <row r="5740" spans="2:7" ht="15" hidden="1" outlineLevel="2">
      <c r="B5740" s="2889" t="s">
        <v>1632</v>
      </c>
      <c r="C5740" s="2889" t="s">
        <v>1439</v>
      </c>
      <c r="D5740" s="2889" t="s">
        <v>1437</v>
      </c>
      <c r="E5740" s="2889" t="s">
        <v>1426</v>
      </c>
      <c r="F5740" s="2891"/>
      <c r="G5740" s="2890">
        <v>13.7021273564749</v>
      </c>
    </row>
    <row r="5741" spans="2:7" ht="15" hidden="1" outlineLevel="2">
      <c r="B5741" s="2889" t="s">
        <v>1633</v>
      </c>
      <c r="C5741" s="2889" t="s">
        <v>1439</v>
      </c>
      <c r="D5741" s="2889" t="s">
        <v>1437</v>
      </c>
      <c r="E5741" s="2889" t="s">
        <v>1426</v>
      </c>
      <c r="F5741" s="2891"/>
      <c r="G5741" s="2890">
        <v>1.3196731293639925E-29</v>
      </c>
    </row>
    <row r="5742" spans="2:7" ht="15" hidden="1" outlineLevel="2">
      <c r="B5742" s="2889" t="s">
        <v>1634</v>
      </c>
      <c r="C5742" s="2889" t="s">
        <v>1439</v>
      </c>
      <c r="D5742" s="2889" t="s">
        <v>1437</v>
      </c>
      <c r="E5742" s="2889" t="s">
        <v>1426</v>
      </c>
      <c r="F5742" s="2891"/>
      <c r="G5742" s="2890">
        <v>1.2941865666466332E-29</v>
      </c>
    </row>
    <row r="5743" spans="2:7" ht="15" hidden="1" outlineLevel="2">
      <c r="B5743" s="2889" t="s">
        <v>1635</v>
      </c>
      <c r="C5743" s="2889" t="s">
        <v>1439</v>
      </c>
      <c r="D5743" s="2889" t="s">
        <v>1437</v>
      </c>
      <c r="E5743" s="2889" t="s">
        <v>1426</v>
      </c>
      <c r="F5743" s="2891"/>
      <c r="G5743" s="2890">
        <v>5.1709206365457501</v>
      </c>
    </row>
    <row r="5744" spans="2:7" ht="15" hidden="1" outlineLevel="2">
      <c r="B5744" s="2889" t="s">
        <v>1636</v>
      </c>
      <c r="C5744" s="2889" t="s">
        <v>1439</v>
      </c>
      <c r="D5744" s="2889" t="s">
        <v>1437</v>
      </c>
      <c r="E5744" s="2889" t="s">
        <v>1426</v>
      </c>
      <c r="F5744" s="2891"/>
      <c r="G5744" s="2890">
        <v>2.8862541582913706E-30</v>
      </c>
    </row>
    <row r="5745" spans="2:7" ht="15" hidden="1" outlineLevel="2">
      <c r="B5745" s="2889" t="s">
        <v>1637</v>
      </c>
      <c r="C5745" s="2889" t="s">
        <v>1439</v>
      </c>
      <c r="D5745" s="2889" t="s">
        <v>1437</v>
      </c>
      <c r="E5745" s="2889" t="s">
        <v>1426</v>
      </c>
      <c r="F5745" s="2891"/>
      <c r="G5745" s="2890">
        <v>2.1486815209001712E-28</v>
      </c>
    </row>
    <row r="5746" spans="2:7" ht="15" hidden="1" outlineLevel="2">
      <c r="B5746" s="2889" t="s">
        <v>1638</v>
      </c>
      <c r="C5746" s="2889" t="s">
        <v>1439</v>
      </c>
      <c r="D5746" s="2889" t="s">
        <v>1437</v>
      </c>
      <c r="E5746" s="2889" t="s">
        <v>1426</v>
      </c>
      <c r="F5746" s="2891"/>
      <c r="G5746" s="2890">
        <v>0.44042558424449618</v>
      </c>
    </row>
    <row r="5747" spans="2:7" ht="15" hidden="1" outlineLevel="2">
      <c r="B5747" s="2889" t="s">
        <v>1639</v>
      </c>
      <c r="C5747" s="2889" t="s">
        <v>1439</v>
      </c>
      <c r="D5747" s="2889" t="s">
        <v>1437</v>
      </c>
      <c r="E5747" s="2889" t="s">
        <v>1426</v>
      </c>
      <c r="F5747" s="2891"/>
      <c r="G5747" s="2890">
        <v>5.5460958861494731</v>
      </c>
    </row>
    <row r="5748" spans="2:7" ht="15" hidden="1" outlineLevel="2">
      <c r="B5748" s="2889" t="s">
        <v>1640</v>
      </c>
      <c r="C5748" s="2889" t="s">
        <v>1439</v>
      </c>
      <c r="D5748" s="2889" t="s">
        <v>1437</v>
      </c>
      <c r="E5748" s="2889" t="s">
        <v>1426</v>
      </c>
      <c r="F5748" s="3040"/>
      <c r="G5748" s="2890">
        <v>0.32624110103422671</v>
      </c>
    </row>
    <row r="5749" spans="2:7" ht="15" hidden="1" outlineLevel="2">
      <c r="B5749" s="2889" t="s">
        <v>1641</v>
      </c>
      <c r="C5749" s="2889" t="s">
        <v>1439</v>
      </c>
      <c r="D5749" s="2889" t="s">
        <v>1437</v>
      </c>
      <c r="E5749" s="2889" t="s">
        <v>1426</v>
      </c>
      <c r="F5749" s="3040"/>
      <c r="G5749" s="2890">
        <v>2.6166589767479464E-28</v>
      </c>
    </row>
    <row r="5750" spans="2:7" ht="15" hidden="1" outlineLevel="2">
      <c r="B5750" s="2889" t="s">
        <v>1642</v>
      </c>
      <c r="C5750" s="2889" t="s">
        <v>1439</v>
      </c>
      <c r="D5750" s="2889" t="s">
        <v>1437</v>
      </c>
      <c r="E5750" s="2889" t="s">
        <v>1426</v>
      </c>
      <c r="F5750" s="2891"/>
      <c r="G5750" s="2890">
        <v>1.2545998713324452E-28</v>
      </c>
    </row>
    <row r="5751" spans="2:7" ht="15" hidden="1" outlineLevel="2">
      <c r="B5751" s="2889" t="s">
        <v>1643</v>
      </c>
      <c r="C5751" s="2889" t="s">
        <v>1439</v>
      </c>
      <c r="D5751" s="2889" t="s">
        <v>1437</v>
      </c>
      <c r="E5751" s="2889" t="s">
        <v>1426</v>
      </c>
      <c r="F5751" s="3040"/>
      <c r="G5751" s="2890">
        <v>2.963962154097215E-28</v>
      </c>
    </row>
    <row r="5752" spans="2:7" ht="15" hidden="1" outlineLevel="2">
      <c r="B5752" s="2889" t="s">
        <v>1644</v>
      </c>
      <c r="C5752" s="2889" t="s">
        <v>1439</v>
      </c>
      <c r="D5752" s="2889" t="s">
        <v>1437</v>
      </c>
      <c r="E5752" s="2889" t="s">
        <v>1426</v>
      </c>
      <c r="F5752" s="3040"/>
      <c r="G5752" s="2890">
        <v>11.418437984075728</v>
      </c>
    </row>
    <row r="5753" spans="2:7" ht="15" hidden="1" outlineLevel="2">
      <c r="B5753" s="2889" t="s">
        <v>1645</v>
      </c>
      <c r="C5753" s="2889" t="s">
        <v>1439</v>
      </c>
      <c r="D5753" s="2889" t="s">
        <v>1437</v>
      </c>
      <c r="E5753" s="2889" t="s">
        <v>1426</v>
      </c>
      <c r="F5753" s="3040"/>
      <c r="G5753" s="2890">
        <v>0.75035403335883288</v>
      </c>
    </row>
    <row r="5754" spans="2:7" ht="15" hidden="1" outlineLevel="2">
      <c r="B5754" s="2889" t="s">
        <v>1646</v>
      </c>
      <c r="C5754" s="2889" t="s">
        <v>1439</v>
      </c>
      <c r="D5754" s="2889" t="s">
        <v>1437</v>
      </c>
      <c r="E5754" s="2889" t="s">
        <v>1426</v>
      </c>
      <c r="F5754" s="3040"/>
      <c r="G5754" s="2890">
        <v>1.2070919861616314</v>
      </c>
    </row>
    <row r="5755" spans="2:7" ht="15" hidden="1" outlineLevel="2">
      <c r="B5755" s="2889" t="s">
        <v>1647</v>
      </c>
      <c r="C5755" s="2889" t="s">
        <v>1439</v>
      </c>
      <c r="D5755" s="2889" t="s">
        <v>1437</v>
      </c>
      <c r="E5755" s="2889" t="s">
        <v>1426</v>
      </c>
      <c r="F5755" s="3040"/>
      <c r="G5755" s="2890">
        <v>2.6262408646441644</v>
      </c>
    </row>
    <row r="5756" spans="2:7" ht="15" hidden="1" outlineLevel="2">
      <c r="B5756" s="2889" t="s">
        <v>1648</v>
      </c>
      <c r="C5756" s="2889" t="s">
        <v>1439</v>
      </c>
      <c r="D5756" s="2889" t="s">
        <v>1437</v>
      </c>
      <c r="E5756" s="2889" t="s">
        <v>1426</v>
      </c>
      <c r="F5756" s="3040"/>
      <c r="G5756" s="2890">
        <v>1.310900246665383E-29</v>
      </c>
    </row>
    <row r="5757" spans="2:7" ht="15" hidden="1" outlineLevel="2">
      <c r="B5757" s="2889" t="s">
        <v>1649</v>
      </c>
      <c r="C5757" s="2889" t="s">
        <v>1439</v>
      </c>
      <c r="D5757" s="2889" t="s">
        <v>1437</v>
      </c>
      <c r="E5757" s="2889" t="s">
        <v>1426</v>
      </c>
      <c r="F5757" s="3040"/>
      <c r="G5757" s="2890">
        <v>16.312053089128646</v>
      </c>
    </row>
    <row r="5758" spans="2:7" ht="15" hidden="1" outlineLevel="2">
      <c r="B5758" s="2889" t="s">
        <v>1650</v>
      </c>
      <c r="C5758" s="2889" t="s">
        <v>1439</v>
      </c>
      <c r="D5758" s="2889" t="s">
        <v>1437</v>
      </c>
      <c r="E5758" s="2889" t="s">
        <v>1426</v>
      </c>
      <c r="F5758" s="3040"/>
      <c r="G5758" s="2890">
        <v>95.262425811614619</v>
      </c>
    </row>
    <row r="5759" spans="2:7" ht="15" hidden="1" outlineLevel="2">
      <c r="B5759" s="2889" t="s">
        <v>1651</v>
      </c>
      <c r="C5759" s="2889" t="s">
        <v>1439</v>
      </c>
      <c r="D5759" s="2889" t="s">
        <v>1437</v>
      </c>
      <c r="E5759" s="2889" t="s">
        <v>1426</v>
      </c>
      <c r="F5759" s="3040"/>
      <c r="G5759" s="2890">
        <v>390.83676561208318</v>
      </c>
    </row>
    <row r="5760" spans="2:7" ht="15" hidden="1" outlineLevel="2">
      <c r="B5760" s="2889" t="s">
        <v>1652</v>
      </c>
      <c r="C5760" s="2889" t="s">
        <v>1439</v>
      </c>
      <c r="D5760" s="2889" t="s">
        <v>1437</v>
      </c>
      <c r="E5760" s="2889" t="s">
        <v>1426</v>
      </c>
      <c r="F5760" s="3040"/>
      <c r="G5760" s="2890">
        <v>1.0825125124E-29</v>
      </c>
    </row>
    <row r="5761" spans="2:7" ht="15" hidden="1" outlineLevel="2">
      <c r="B5761" s="2889" t="s">
        <v>1653</v>
      </c>
      <c r="C5761" s="2889" t="s">
        <v>1439</v>
      </c>
      <c r="D5761" s="2889" t="s">
        <v>1437</v>
      </c>
      <c r="E5761" s="2889" t="s">
        <v>1426</v>
      </c>
      <c r="F5761" s="3040"/>
      <c r="G5761" s="2890">
        <v>2.4695875283605399E-28</v>
      </c>
    </row>
    <row r="5762" spans="2:7" ht="15" outlineLevel="1" collapsed="1">
      <c r="B5762" s="2889"/>
      <c r="C5762" s="2889"/>
      <c r="D5762" s="3042" t="s">
        <v>1688</v>
      </c>
      <c r="E5762" s="2889"/>
      <c r="F5762" s="3040">
        <f>SUBTOTAL(9,F5690:F5761)</f>
        <v>0.7171412211180932</v>
      </c>
      <c r="G5762" s="2890">
        <f>SUBTOTAL(9,G5690:G5761)</f>
        <v>20224.44847767118</v>
      </c>
    </row>
    <row r="5763" spans="2:7" ht="15" hidden="1" outlineLevel="2">
      <c r="B5763" s="2889" t="s">
        <v>1407</v>
      </c>
      <c r="C5763" s="2889" t="s">
        <v>1440</v>
      </c>
      <c r="D5763" s="2889" t="s">
        <v>1105</v>
      </c>
      <c r="E5763" s="2889" t="s">
        <v>217</v>
      </c>
      <c r="F5763" s="2890">
        <v>7.3702866842318918E-3</v>
      </c>
      <c r="G5763" s="2890">
        <v>3.652169111732305</v>
      </c>
    </row>
    <row r="5764" spans="2:7" ht="15" hidden="1" outlineLevel="2">
      <c r="B5764" s="2889" t="s">
        <v>1631</v>
      </c>
      <c r="C5764" s="2889" t="s">
        <v>1440</v>
      </c>
      <c r="D5764" s="2889" t="s">
        <v>1105</v>
      </c>
      <c r="E5764" s="2889" t="s">
        <v>217</v>
      </c>
      <c r="F5764" s="2890">
        <v>7.4842654236593545E-2</v>
      </c>
      <c r="G5764" s="2890">
        <v>37.027370508657683</v>
      </c>
    </row>
    <row r="5765" spans="2:7" ht="15" hidden="1" outlineLevel="2">
      <c r="B5765" s="2889" t="s">
        <v>1632</v>
      </c>
      <c r="C5765" s="2889" t="s">
        <v>1440</v>
      </c>
      <c r="D5765" s="2889" t="s">
        <v>1105</v>
      </c>
      <c r="E5765" s="2889" t="s">
        <v>217</v>
      </c>
      <c r="F5765" s="2890">
        <v>0.11428657386350884</v>
      </c>
      <c r="G5765" s="2890">
        <v>56.636718159409739</v>
      </c>
    </row>
    <row r="5766" spans="2:7" ht="15" hidden="1" outlineLevel="2">
      <c r="B5766" s="2889" t="s">
        <v>1633</v>
      </c>
      <c r="C5766" s="2889" t="s">
        <v>1440</v>
      </c>
      <c r="D5766" s="2889" t="s">
        <v>1105</v>
      </c>
      <c r="E5766" s="2889" t="s">
        <v>217</v>
      </c>
      <c r="F5766" s="2890">
        <v>4.1950432967174465E-3</v>
      </c>
      <c r="G5766" s="2890">
        <v>2.0789261118876348</v>
      </c>
    </row>
    <row r="5767" spans="2:7" ht="15" hidden="1" outlineLevel="2">
      <c r="B5767" s="2889" t="s">
        <v>1634</v>
      </c>
      <c r="C5767" s="2889" t="s">
        <v>1440</v>
      </c>
      <c r="D5767" s="2889" t="s">
        <v>1105</v>
      </c>
      <c r="E5767" s="2889" t="s">
        <v>217</v>
      </c>
      <c r="F5767" s="2890">
        <v>2.9481158625725302E-3</v>
      </c>
      <c r="G5767" s="2890">
        <v>1.4608676392239264</v>
      </c>
    </row>
    <row r="5768" spans="2:7" ht="15" hidden="1" outlineLevel="2">
      <c r="B5768" s="2889" t="s">
        <v>1635</v>
      </c>
      <c r="C5768" s="2889" t="s">
        <v>1440</v>
      </c>
      <c r="D5768" s="2889" t="s">
        <v>1105</v>
      </c>
      <c r="E5768" s="2889" t="s">
        <v>217</v>
      </c>
      <c r="F5768" s="2890">
        <v>1.8821012549329937E-2</v>
      </c>
      <c r="G5768" s="2890">
        <v>9.3270749178073853</v>
      </c>
    </row>
    <row r="5769" spans="2:7" ht="15" hidden="1" outlineLevel="2">
      <c r="B5769" s="2889" t="s">
        <v>1636</v>
      </c>
      <c r="C5769" s="2889" t="s">
        <v>1440</v>
      </c>
      <c r="D5769" s="2889" t="s">
        <v>1105</v>
      </c>
      <c r="E5769" s="2889" t="s">
        <v>217</v>
      </c>
      <c r="F5769" s="2890">
        <v>7.2562928156745515E-3</v>
      </c>
      <c r="G5769" s="2890">
        <v>3.595981245420997</v>
      </c>
    </row>
    <row r="5770" spans="2:7" ht="15" hidden="1" outlineLevel="2">
      <c r="B5770" s="2889" t="s">
        <v>1637</v>
      </c>
      <c r="C5770" s="2889" t="s">
        <v>1440</v>
      </c>
      <c r="D5770" s="2889" t="s">
        <v>1105</v>
      </c>
      <c r="E5770" s="2889" t="s">
        <v>217</v>
      </c>
      <c r="F5770" s="2890">
        <v>8.6168472033301118E-3</v>
      </c>
      <c r="G5770" s="2890">
        <v>4.2702288137846818</v>
      </c>
    </row>
    <row r="5771" spans="2:7" ht="15" hidden="1" outlineLevel="2">
      <c r="B5771" s="2889" t="s">
        <v>1638</v>
      </c>
      <c r="C5771" s="2889" t="s">
        <v>1440</v>
      </c>
      <c r="D5771" s="2889" t="s">
        <v>1105</v>
      </c>
      <c r="E5771" s="2889" t="s">
        <v>217</v>
      </c>
      <c r="F5771" s="2890">
        <v>5.3292844745707856E-3</v>
      </c>
      <c r="G5771" s="2890">
        <v>2.6407967479482117</v>
      </c>
    </row>
    <row r="5772" spans="2:7" ht="15" hidden="1" outlineLevel="2">
      <c r="B5772" s="2889" t="s">
        <v>1639</v>
      </c>
      <c r="C5772" s="2889" t="s">
        <v>1440</v>
      </c>
      <c r="D5772" s="2889" t="s">
        <v>1105</v>
      </c>
      <c r="E5772" s="2889" t="s">
        <v>217</v>
      </c>
      <c r="F5772" s="3039">
        <v>2.6530826814721863E-2</v>
      </c>
      <c r="G5772" s="2890">
        <v>13.147799718327935</v>
      </c>
    </row>
    <row r="5773" spans="2:7" ht="15" hidden="1" outlineLevel="2">
      <c r="B5773" s="2889" t="s">
        <v>1640</v>
      </c>
      <c r="C5773" s="2889" t="s">
        <v>1440</v>
      </c>
      <c r="D5773" s="2889" t="s">
        <v>1105</v>
      </c>
      <c r="E5773" s="2889" t="s">
        <v>217</v>
      </c>
      <c r="F5773" s="3039">
        <v>3.9686179640344233E-3</v>
      </c>
      <c r="G5773" s="2890">
        <v>1.9665525247125553</v>
      </c>
    </row>
    <row r="5774" spans="2:7" ht="15" hidden="1" outlineLevel="2">
      <c r="B5774" s="2889" t="s">
        <v>1641</v>
      </c>
      <c r="C5774" s="2889" t="s">
        <v>1440</v>
      </c>
      <c r="D5774" s="2889" t="s">
        <v>1105</v>
      </c>
      <c r="E5774" s="2889" t="s">
        <v>217</v>
      </c>
      <c r="F5774" s="3039">
        <v>2.5510404275937572E-2</v>
      </c>
      <c r="G5774" s="2890">
        <v>12.642120976729831</v>
      </c>
    </row>
    <row r="5775" spans="2:7" ht="15" hidden="1" outlineLevel="2">
      <c r="B5775" s="2889" t="s">
        <v>1642</v>
      </c>
      <c r="C5775" s="2889" t="s">
        <v>1440</v>
      </c>
      <c r="D5775" s="2889" t="s">
        <v>1105</v>
      </c>
      <c r="E5775" s="2889" t="s">
        <v>217</v>
      </c>
      <c r="F5775" s="3039">
        <v>6.7800992555511225E-2</v>
      </c>
      <c r="G5775" s="2890">
        <v>33.599961387218762</v>
      </c>
    </row>
    <row r="5776" spans="2:7" ht="15" hidden="1" outlineLevel="2">
      <c r="B5776" s="2889" t="s">
        <v>1643</v>
      </c>
      <c r="C5776" s="2889" t="s">
        <v>1440</v>
      </c>
      <c r="D5776" s="2889" t="s">
        <v>1105</v>
      </c>
      <c r="E5776" s="2889" t="s">
        <v>217</v>
      </c>
      <c r="F5776" s="3039">
        <v>4.197467029550774E-3</v>
      </c>
      <c r="G5776" s="2890">
        <v>2.0802013949915836</v>
      </c>
    </row>
    <row r="5777" spans="2:7" ht="15" hidden="1" outlineLevel="2">
      <c r="B5777" s="2889" t="s">
        <v>1644</v>
      </c>
      <c r="C5777" s="2889" t="s">
        <v>1440</v>
      </c>
      <c r="D5777" s="2889" t="s">
        <v>1105</v>
      </c>
      <c r="E5777" s="2889" t="s">
        <v>217</v>
      </c>
      <c r="F5777" s="3039">
        <v>9.9887392137490025E-2</v>
      </c>
      <c r="G5777" s="2890">
        <v>49.500837797235441</v>
      </c>
    </row>
    <row r="5778" spans="2:7" ht="15" hidden="1" outlineLevel="2">
      <c r="B5778" s="2889" t="s">
        <v>1645</v>
      </c>
      <c r="C5778" s="2889" t="s">
        <v>1440</v>
      </c>
      <c r="D5778" s="2889" t="s">
        <v>1105</v>
      </c>
      <c r="E5778" s="2889" t="s">
        <v>217</v>
      </c>
      <c r="F5778" s="2890">
        <v>7.6304440369809129E-2</v>
      </c>
      <c r="G5778" s="2890">
        <v>37.813999433017415</v>
      </c>
    </row>
    <row r="5779" spans="2:7" ht="15" hidden="1" outlineLevel="2">
      <c r="B5779" s="2889" t="s">
        <v>1646</v>
      </c>
      <c r="C5779" s="2889" t="s">
        <v>1440</v>
      </c>
      <c r="D5779" s="2889" t="s">
        <v>1105</v>
      </c>
      <c r="E5779" s="2889" t="s">
        <v>217</v>
      </c>
      <c r="F5779" s="2890">
        <v>8.9569829503893146E-3</v>
      </c>
      <c r="G5779" s="2890">
        <v>4.4387925046226124</v>
      </c>
    </row>
    <row r="5780" spans="2:7" ht="15" hidden="1" outlineLevel="2">
      <c r="B5780" s="2889" t="s">
        <v>1647</v>
      </c>
      <c r="C5780" s="2889" t="s">
        <v>1440</v>
      </c>
      <c r="D5780" s="2889" t="s">
        <v>1105</v>
      </c>
      <c r="E5780" s="2889" t="s">
        <v>217</v>
      </c>
      <c r="F5780" s="2890">
        <v>4.082007380452779E-3</v>
      </c>
      <c r="G5780" s="2890">
        <v>2.0227394610086709</v>
      </c>
    </row>
    <row r="5781" spans="2:7" ht="15" hidden="1" outlineLevel="2">
      <c r="B5781" s="2889" t="s">
        <v>1648</v>
      </c>
      <c r="C5781" s="2889" t="s">
        <v>1440</v>
      </c>
      <c r="D5781" s="2889" t="s">
        <v>1105</v>
      </c>
      <c r="E5781" s="2889" t="s">
        <v>217</v>
      </c>
      <c r="F5781" s="2890">
        <v>1.7008359952360049E-3</v>
      </c>
      <c r="G5781" s="2890">
        <v>0.84280747753791596</v>
      </c>
    </row>
    <row r="5782" spans="2:7" ht="15" hidden="1" outlineLevel="2">
      <c r="B5782" s="2889" t="s">
        <v>1649</v>
      </c>
      <c r="C5782" s="2889" t="s">
        <v>1440</v>
      </c>
      <c r="D5782" s="2889" t="s">
        <v>1105</v>
      </c>
      <c r="E5782" s="2889" t="s">
        <v>217</v>
      </c>
      <c r="F5782" s="2890">
        <v>7.5970688631559558E-3</v>
      </c>
      <c r="G5782" s="2890">
        <v>3.7645429265481249</v>
      </c>
    </row>
    <row r="5783" spans="2:7" ht="15" hidden="1" outlineLevel="2">
      <c r="B5783" s="2889" t="s">
        <v>1650</v>
      </c>
      <c r="C5783" s="2889" t="s">
        <v>1440</v>
      </c>
      <c r="D5783" s="2889" t="s">
        <v>1105</v>
      </c>
      <c r="E5783" s="2889" t="s">
        <v>217</v>
      </c>
      <c r="F5783" s="2890">
        <v>1.7121750038614301E-2</v>
      </c>
      <c r="G5783" s="2890">
        <v>8.4842771081972685</v>
      </c>
    </row>
    <row r="5784" spans="2:7" ht="15" hidden="1" outlineLevel="2">
      <c r="B5784" s="2889" t="s">
        <v>1651</v>
      </c>
      <c r="C5784" s="2889" t="s">
        <v>1440</v>
      </c>
      <c r="D5784" s="2889" t="s">
        <v>1105</v>
      </c>
      <c r="E5784" s="2889" t="s">
        <v>217</v>
      </c>
      <c r="F5784" s="2890">
        <v>1.4853962678633991E-2</v>
      </c>
      <c r="G5784" s="2890">
        <v>7.3605295088915534</v>
      </c>
    </row>
    <row r="5785" spans="2:7" ht="15" hidden="1" outlineLevel="2">
      <c r="B5785" s="2889" t="s">
        <v>1652</v>
      </c>
      <c r="C5785" s="2889" t="s">
        <v>1440</v>
      </c>
      <c r="D5785" s="2889" t="s">
        <v>1105</v>
      </c>
      <c r="E5785" s="2889" t="s">
        <v>217</v>
      </c>
      <c r="F5785" s="2890">
        <v>9.2979034095624843E-3</v>
      </c>
      <c r="G5785" s="2890">
        <v>4.6073462309468267</v>
      </c>
    </row>
    <row r="5786" spans="2:7" ht="15" hidden="1" outlineLevel="2">
      <c r="B5786" s="2889" t="s">
        <v>1653</v>
      </c>
      <c r="C5786" s="2889" t="s">
        <v>1440</v>
      </c>
      <c r="D5786" s="2889" t="s">
        <v>1105</v>
      </c>
      <c r="E5786" s="2889" t="s">
        <v>217</v>
      </c>
      <c r="F5786" s="2890">
        <v>7.2109381319057142E-2</v>
      </c>
      <c r="G5786" s="2890">
        <v>35.735070784261353</v>
      </c>
    </row>
    <row r="5787" spans="2:7" ht="15" hidden="1" outlineLevel="2">
      <c r="B5787" s="2889" t="s">
        <v>1407</v>
      </c>
      <c r="C5787" s="2889" t="s">
        <v>1441</v>
      </c>
      <c r="D5787" s="2889" t="s">
        <v>1105</v>
      </c>
      <c r="E5787" s="2889" t="s">
        <v>217</v>
      </c>
      <c r="F5787" s="2890">
        <v>4.7095798836008729E-2</v>
      </c>
      <c r="G5787" s="2890">
        <v>24.366114974648408</v>
      </c>
    </row>
    <row r="5788" spans="2:7" ht="15" hidden="1" outlineLevel="2">
      <c r="B5788" s="2889" t="s">
        <v>1631</v>
      </c>
      <c r="C5788" s="2889" t="s">
        <v>1441</v>
      </c>
      <c r="D5788" s="2889" t="s">
        <v>1105</v>
      </c>
      <c r="E5788" s="2889" t="s">
        <v>217</v>
      </c>
      <c r="F5788" s="2890">
        <v>0.47824071431139598</v>
      </c>
      <c r="G5788" s="2890">
        <v>247.03471866380158</v>
      </c>
    </row>
    <row r="5789" spans="2:7" ht="15" hidden="1" outlineLevel="2">
      <c r="B5789" s="2889" t="s">
        <v>1632</v>
      </c>
      <c r="C5789" s="2889" t="s">
        <v>1441</v>
      </c>
      <c r="D5789" s="2889" t="s">
        <v>1105</v>
      </c>
      <c r="E5789" s="2889" t="s">
        <v>217</v>
      </c>
      <c r="F5789" s="2890">
        <v>0.73028567078512452</v>
      </c>
      <c r="G5789" s="2890">
        <v>383.79431954510562</v>
      </c>
    </row>
    <row r="5790" spans="2:7" ht="15" hidden="1" outlineLevel="2">
      <c r="B5790" s="2889" t="s">
        <v>1633</v>
      </c>
      <c r="C5790" s="2889" t="s">
        <v>1441</v>
      </c>
      <c r="D5790" s="2889" t="s">
        <v>1105</v>
      </c>
      <c r="E5790" s="2889" t="s">
        <v>217</v>
      </c>
      <c r="F5790" s="2890">
        <v>2.6806126766458025E-2</v>
      </c>
      <c r="G5790" s="2890">
        <v>13.869927540116496</v>
      </c>
    </row>
    <row r="5791" spans="2:7" ht="15" hidden="1" outlineLevel="2">
      <c r="B5791" s="2889" t="s">
        <v>1634</v>
      </c>
      <c r="C5791" s="2889" t="s">
        <v>1441</v>
      </c>
      <c r="D5791" s="2889" t="s">
        <v>1105</v>
      </c>
      <c r="E5791" s="2889" t="s">
        <v>217</v>
      </c>
      <c r="F5791" s="2890">
        <v>1.8838312089448316E-2</v>
      </c>
      <c r="G5791" s="2890">
        <v>9.7464418882401169</v>
      </c>
    </row>
    <row r="5792" spans="2:7" ht="15" hidden="1" outlineLevel="2">
      <c r="B5792" s="2889" t="s">
        <v>1635</v>
      </c>
      <c r="C5792" s="2889" t="s">
        <v>1441</v>
      </c>
      <c r="D5792" s="2889" t="s">
        <v>1105</v>
      </c>
      <c r="E5792" s="2889" t="s">
        <v>217</v>
      </c>
      <c r="F5792" s="2890">
        <v>0.12026536024038474</v>
      </c>
      <c r="G5792" s="2890">
        <v>62.227238801992343</v>
      </c>
    </row>
    <row r="5793" spans="2:7" ht="15" hidden="1" outlineLevel="2">
      <c r="B5793" s="2889" t="s">
        <v>1636</v>
      </c>
      <c r="C5793" s="2889" t="s">
        <v>1441</v>
      </c>
      <c r="D5793" s="2889" t="s">
        <v>1105</v>
      </c>
      <c r="E5793" s="2889" t="s">
        <v>217</v>
      </c>
      <c r="F5793" s="2890">
        <v>4.6367351102704658E-2</v>
      </c>
      <c r="G5793" s="2890">
        <v>23.991243873084002</v>
      </c>
    </row>
    <row r="5794" spans="2:7" ht="15" hidden="1" outlineLevel="2">
      <c r="B5794" s="2889" t="s">
        <v>1637</v>
      </c>
      <c r="C5794" s="2889" t="s">
        <v>1441</v>
      </c>
      <c r="D5794" s="2889" t="s">
        <v>1105</v>
      </c>
      <c r="E5794" s="2889" t="s">
        <v>217</v>
      </c>
      <c r="F5794" s="2890">
        <v>5.5061227858682352E-2</v>
      </c>
      <c r="G5794" s="2890">
        <v>28.489598884659827</v>
      </c>
    </row>
    <row r="5795" spans="2:7" ht="15" hidden="1" outlineLevel="2">
      <c r="B5795" s="2889" t="s">
        <v>1638</v>
      </c>
      <c r="C5795" s="2889" t="s">
        <v>1441</v>
      </c>
      <c r="D5795" s="2889" t="s">
        <v>1105</v>
      </c>
      <c r="E5795" s="2889" t="s">
        <v>217</v>
      </c>
      <c r="F5795" s="2890">
        <v>3.4053908643260168E-2</v>
      </c>
      <c r="G5795" s="2890">
        <v>17.618550520440692</v>
      </c>
    </row>
    <row r="5796" spans="2:7" ht="15" hidden="1" outlineLevel="2">
      <c r="B5796" s="2889" t="s">
        <v>1639</v>
      </c>
      <c r="C5796" s="2889" t="s">
        <v>1441</v>
      </c>
      <c r="D5796" s="2889" t="s">
        <v>1105</v>
      </c>
      <c r="E5796" s="2889" t="s">
        <v>217</v>
      </c>
      <c r="F5796" s="2890">
        <v>0.16953059311605337</v>
      </c>
      <c r="G5796" s="2890">
        <v>87.717933652295898</v>
      </c>
    </row>
    <row r="5797" spans="2:7" ht="15" hidden="1" outlineLevel="2">
      <c r="B5797" s="2889" t="s">
        <v>1640</v>
      </c>
      <c r="C5797" s="2889" t="s">
        <v>1441</v>
      </c>
      <c r="D5797" s="2889" t="s">
        <v>1105</v>
      </c>
      <c r="E5797" s="2889" t="s">
        <v>217</v>
      </c>
      <c r="F5797" s="2890">
        <v>2.5359284373134679E-2</v>
      </c>
      <c r="G5797" s="2890">
        <v>13.120213711142764</v>
      </c>
    </row>
    <row r="5798" spans="2:7" ht="15" hidden="1" outlineLevel="2">
      <c r="B5798" s="2889" t="s">
        <v>1641</v>
      </c>
      <c r="C5798" s="2889" t="s">
        <v>1441</v>
      </c>
      <c r="D5798" s="2889" t="s">
        <v>1105</v>
      </c>
      <c r="E5798" s="2889" t="s">
        <v>217</v>
      </c>
      <c r="F5798" s="2890">
        <v>0.16301022934064394</v>
      </c>
      <c r="G5798" s="2890">
        <v>84.344238214335633</v>
      </c>
    </row>
    <row r="5799" spans="2:7" ht="15" hidden="1" outlineLevel="2">
      <c r="B5799" s="2889" t="s">
        <v>1642</v>
      </c>
      <c r="C5799" s="2889" t="s">
        <v>1441</v>
      </c>
      <c r="D5799" s="2889" t="s">
        <v>1105</v>
      </c>
      <c r="E5799" s="2889" t="s">
        <v>217</v>
      </c>
      <c r="F5799" s="2890">
        <v>0.43324512348042482</v>
      </c>
      <c r="G5799" s="2890">
        <v>224.16789432742456</v>
      </c>
    </row>
    <row r="5800" spans="2:7" ht="15" hidden="1" outlineLevel="2">
      <c r="B5800" s="2889" t="s">
        <v>1643</v>
      </c>
      <c r="C5800" s="2889" t="s">
        <v>1441</v>
      </c>
      <c r="D5800" s="2889" t="s">
        <v>1105</v>
      </c>
      <c r="E5800" s="2889" t="s">
        <v>217</v>
      </c>
      <c r="F5800" s="2890">
        <v>2.6821603057754256E-2</v>
      </c>
      <c r="G5800" s="2890">
        <v>13.878436626532737</v>
      </c>
    </row>
    <row r="5801" spans="2:7" ht="15" hidden="1" outlineLevel="2">
      <c r="B5801" s="2889" t="s">
        <v>1644</v>
      </c>
      <c r="C5801" s="2889" t="s">
        <v>1441</v>
      </c>
      <c r="D5801" s="2889" t="s">
        <v>1105</v>
      </c>
      <c r="E5801" s="2889" t="s">
        <v>217</v>
      </c>
      <c r="F5801" s="2890">
        <v>0.63827576985098367</v>
      </c>
      <c r="G5801" s="2890">
        <v>330.25435579954865</v>
      </c>
    </row>
    <row r="5802" spans="2:7" ht="15" hidden="1" outlineLevel="2">
      <c r="B5802" s="2889" t="s">
        <v>1645</v>
      </c>
      <c r="C5802" s="2889" t="s">
        <v>1441</v>
      </c>
      <c r="D5802" s="2889" t="s">
        <v>1105</v>
      </c>
      <c r="E5802" s="2889" t="s">
        <v>217</v>
      </c>
      <c r="F5802" s="2890">
        <v>0.4875815242652749</v>
      </c>
      <c r="G5802" s="2890">
        <v>252.28274321037858</v>
      </c>
    </row>
    <row r="5803" spans="2:7" ht="15" hidden="1" outlineLevel="2">
      <c r="B5803" s="2889" t="s">
        <v>1646</v>
      </c>
      <c r="C5803" s="2889" t="s">
        <v>1441</v>
      </c>
      <c r="D5803" s="2889" t="s">
        <v>1105</v>
      </c>
      <c r="E5803" s="2889" t="s">
        <v>217</v>
      </c>
      <c r="F5803" s="2890">
        <v>5.7234713543070269E-2</v>
      </c>
      <c r="G5803" s="2890">
        <v>29.614182688886988</v>
      </c>
    </row>
    <row r="5804" spans="2:7" ht="15" hidden="1" outlineLevel="2">
      <c r="B5804" s="2889" t="s">
        <v>1647</v>
      </c>
      <c r="C5804" s="2889" t="s">
        <v>1441</v>
      </c>
      <c r="D5804" s="2889" t="s">
        <v>1105</v>
      </c>
      <c r="E5804" s="2889" t="s">
        <v>217</v>
      </c>
      <c r="F5804" s="2890">
        <v>2.6083822142005067E-2</v>
      </c>
      <c r="G5804" s="2890">
        <v>13.495074849684986</v>
      </c>
    </row>
    <row r="5805" spans="2:7" ht="15" hidden="1" outlineLevel="2">
      <c r="B5805" s="2889" t="s">
        <v>1648</v>
      </c>
      <c r="C5805" s="2889" t="s">
        <v>1441</v>
      </c>
      <c r="D5805" s="2889" t="s">
        <v>1105</v>
      </c>
      <c r="E5805" s="2889" t="s">
        <v>217</v>
      </c>
      <c r="F5805" s="2890">
        <v>1.0868257803535075E-2</v>
      </c>
      <c r="G5805" s="2890">
        <v>5.6229453512803449</v>
      </c>
    </row>
    <row r="5806" spans="2:7" ht="15" hidden="1" outlineLevel="2">
      <c r="B5806" s="2889" t="s">
        <v>1649</v>
      </c>
      <c r="C5806" s="2889" t="s">
        <v>1441</v>
      </c>
      <c r="D5806" s="2889" t="s">
        <v>1105</v>
      </c>
      <c r="E5806" s="2889" t="s">
        <v>217</v>
      </c>
      <c r="F5806" s="2890">
        <v>4.8544889193414494E-2</v>
      </c>
      <c r="G5806" s="2890">
        <v>25.115830670688506</v>
      </c>
    </row>
    <row r="5807" spans="2:7" ht="15" hidden="1" outlineLevel="2">
      <c r="B5807" s="2889" t="s">
        <v>1650</v>
      </c>
      <c r="C5807" s="2889" t="s">
        <v>1441</v>
      </c>
      <c r="D5807" s="2889" t="s">
        <v>1105</v>
      </c>
      <c r="E5807" s="2889" t="s">
        <v>217</v>
      </c>
      <c r="F5807" s="2890">
        <v>0.10940713689246438</v>
      </c>
      <c r="G5807" s="2890">
        <v>56.60431434455775</v>
      </c>
    </row>
    <row r="5808" spans="2:7" ht="15" hidden="1" outlineLevel="2">
      <c r="B5808" s="2889" t="s">
        <v>1651</v>
      </c>
      <c r="C5808" s="2889" t="s">
        <v>1441</v>
      </c>
      <c r="D5808" s="2889" t="s">
        <v>1105</v>
      </c>
      <c r="E5808" s="2889" t="s">
        <v>217</v>
      </c>
      <c r="F5808" s="2890">
        <v>9.4916121297656308E-2</v>
      </c>
      <c r="G5808" s="2890">
        <v>49.107068082036555</v>
      </c>
    </row>
    <row r="5809" spans="2:7" ht="15" hidden="1" outlineLevel="2">
      <c r="B5809" s="2889" t="s">
        <v>1652</v>
      </c>
      <c r="C5809" s="2889" t="s">
        <v>1441</v>
      </c>
      <c r="D5809" s="2889" t="s">
        <v>1105</v>
      </c>
      <c r="E5809" s="2889" t="s">
        <v>217</v>
      </c>
      <c r="F5809" s="2890">
        <v>5.9413151896731416E-2</v>
      </c>
      <c r="G5809" s="2890">
        <v>30.738774838759589</v>
      </c>
    </row>
    <row r="5810" spans="2:7" ht="15" hidden="1" outlineLevel="2">
      <c r="B5810" s="2889" t="s">
        <v>1653</v>
      </c>
      <c r="C5810" s="2889" t="s">
        <v>1441</v>
      </c>
      <c r="D5810" s="2889" t="s">
        <v>1105</v>
      </c>
      <c r="E5810" s="2889" t="s">
        <v>217</v>
      </c>
      <c r="F5810" s="2890">
        <v>0.46077539801993883</v>
      </c>
      <c r="G5810" s="2890">
        <v>238.41295507060883</v>
      </c>
    </row>
    <row r="5811" spans="2:7" ht="15" hidden="1" outlineLevel="2">
      <c r="B5811" s="2889" t="s">
        <v>1407</v>
      </c>
      <c r="C5811" s="2889" t="s">
        <v>1442</v>
      </c>
      <c r="D5811" s="2889" t="s">
        <v>1105</v>
      </c>
      <c r="E5811" s="2889" t="s">
        <v>217</v>
      </c>
      <c r="F5811" s="2890">
        <v>2.0963845222397574E-5</v>
      </c>
      <c r="G5811" s="2890">
        <v>9.3972635242634012E-3</v>
      </c>
    </row>
    <row r="5812" spans="2:7" ht="15" hidden="1" outlineLevel="2">
      <c r="B5812" s="2889" t="s">
        <v>1631</v>
      </c>
      <c r="C5812" s="2889" t="s">
        <v>1442</v>
      </c>
      <c r="D5812" s="2889" t="s">
        <v>1105</v>
      </c>
      <c r="E5812" s="2889" t="s">
        <v>217</v>
      </c>
      <c r="F5812" s="2890">
        <v>2.1288030916054792E-4</v>
      </c>
      <c r="G5812" s="2890">
        <v>9.5273825633411871E-2</v>
      </c>
    </row>
    <row r="5813" spans="2:7" ht="15" hidden="1" outlineLevel="2">
      <c r="B5813" s="2889" t="s">
        <v>1632</v>
      </c>
      <c r="C5813" s="2889" t="s">
        <v>1442</v>
      </c>
      <c r="D5813" s="2889" t="s">
        <v>1105</v>
      </c>
      <c r="E5813" s="2889" t="s">
        <v>217</v>
      </c>
      <c r="F5813" s="2890">
        <v>3.3018083893596178E-4</v>
      </c>
      <c r="G5813" s="2890">
        <v>0.14572982938756895</v>
      </c>
    </row>
    <row r="5814" spans="2:7" ht="15" hidden="1" outlineLevel="2">
      <c r="B5814" s="2889" t="s">
        <v>1633</v>
      </c>
      <c r="C5814" s="2889" t="s">
        <v>1442</v>
      </c>
      <c r="D5814" s="2889" t="s">
        <v>1105</v>
      </c>
      <c r="E5814" s="2889" t="s">
        <v>217</v>
      </c>
      <c r="F5814" s="2890">
        <v>1.193226579127512E-5</v>
      </c>
      <c r="G5814" s="2890">
        <v>5.3492103383926005E-3</v>
      </c>
    </row>
    <row r="5815" spans="2:7" ht="15" hidden="1" outlineLevel="2">
      <c r="B5815" s="2889" t="s">
        <v>1634</v>
      </c>
      <c r="C5815" s="2889" t="s">
        <v>1442</v>
      </c>
      <c r="D5815" s="2889" t="s">
        <v>1105</v>
      </c>
      <c r="E5815" s="2889" t="s">
        <v>217</v>
      </c>
      <c r="F5815" s="2890">
        <v>8.3855421990795591E-6</v>
      </c>
      <c r="G5815" s="2890">
        <v>3.7589049637673428E-3</v>
      </c>
    </row>
    <row r="5816" spans="2:7" ht="15" hidden="1" outlineLevel="2">
      <c r="B5816" s="2889" t="s">
        <v>1635</v>
      </c>
      <c r="C5816" s="2889" t="s">
        <v>1442</v>
      </c>
      <c r="D5816" s="2889" t="s">
        <v>1105</v>
      </c>
      <c r="E5816" s="2889" t="s">
        <v>217</v>
      </c>
      <c r="F5816" s="2890">
        <v>5.3533971759393667E-5</v>
      </c>
      <c r="G5816" s="2890">
        <v>2.3999181208591697E-2</v>
      </c>
    </row>
    <row r="5817" spans="2:7" ht="15" hidden="1" outlineLevel="2">
      <c r="B5817" s="2889" t="s">
        <v>1636</v>
      </c>
      <c r="C5817" s="2889" t="s">
        <v>1442</v>
      </c>
      <c r="D5817" s="2889" t="s">
        <v>1105</v>
      </c>
      <c r="E5817" s="2889" t="s">
        <v>217</v>
      </c>
      <c r="F5817" s="2890">
        <v>2.0639596932865348E-5</v>
      </c>
      <c r="G5817" s="2890">
        <v>9.2526803380129745E-3</v>
      </c>
    </row>
    <row r="5818" spans="2:7" ht="15" hidden="1" outlineLevel="2">
      <c r="B5818" s="2889" t="s">
        <v>1637</v>
      </c>
      <c r="C5818" s="2889" t="s">
        <v>1442</v>
      </c>
      <c r="D5818" s="2889" t="s">
        <v>1105</v>
      </c>
      <c r="E5818" s="2889" t="s">
        <v>217</v>
      </c>
      <c r="F5818" s="3039">
        <v>2.4509524654466707E-5</v>
      </c>
      <c r="G5818" s="2890">
        <v>1.0987585180172909E-2</v>
      </c>
    </row>
    <row r="5819" spans="2:7" ht="15" hidden="1" outlineLevel="2">
      <c r="B5819" s="2889" t="s">
        <v>1638</v>
      </c>
      <c r="C5819" s="2889" t="s">
        <v>1442</v>
      </c>
      <c r="D5819" s="2889" t="s">
        <v>1105</v>
      </c>
      <c r="E5819" s="2889" t="s">
        <v>217</v>
      </c>
      <c r="F5819" s="3039">
        <v>1.5158470249126388E-5</v>
      </c>
      <c r="G5819" s="2890">
        <v>6.7949492678398568E-3</v>
      </c>
    </row>
    <row r="5820" spans="2:7" ht="15" hidden="1" outlineLevel="2">
      <c r="B5820" s="2889" t="s">
        <v>1639</v>
      </c>
      <c r="C5820" s="2889" t="s">
        <v>1442</v>
      </c>
      <c r="D5820" s="2889" t="s">
        <v>1105</v>
      </c>
      <c r="E5820" s="2889" t="s">
        <v>217</v>
      </c>
      <c r="F5820" s="3039">
        <v>7.5463544015662737E-5</v>
      </c>
      <c r="G5820" s="2890">
        <v>3.3830153933795341E-2</v>
      </c>
    </row>
    <row r="5821" spans="2:7" ht="15" hidden="1" outlineLevel="2">
      <c r="B5821" s="2889" t="s">
        <v>1640</v>
      </c>
      <c r="C5821" s="2889" t="s">
        <v>1442</v>
      </c>
      <c r="D5821" s="2889" t="s">
        <v>1105</v>
      </c>
      <c r="E5821" s="2889" t="s">
        <v>217</v>
      </c>
      <c r="F5821" s="3039">
        <v>1.1288222090369281E-5</v>
      </c>
      <c r="G5821" s="2890">
        <v>5.0600634642477124E-3</v>
      </c>
    </row>
    <row r="5822" spans="2:7" ht="15" hidden="1" outlineLevel="2">
      <c r="B5822" s="2889" t="s">
        <v>1641</v>
      </c>
      <c r="C5822" s="2889" t="s">
        <v>1442</v>
      </c>
      <c r="D5822" s="2889" t="s">
        <v>1105</v>
      </c>
      <c r="E5822" s="2889" t="s">
        <v>217</v>
      </c>
      <c r="F5822" s="3039">
        <v>7.2561067701919861E-5</v>
      </c>
      <c r="G5822" s="2890">
        <v>3.2528965415809977E-2</v>
      </c>
    </row>
    <row r="5823" spans="2:7" ht="15" hidden="1" outlineLevel="2">
      <c r="B5823" s="2889" t="s">
        <v>1642</v>
      </c>
      <c r="C5823" s="2889" t="s">
        <v>1442</v>
      </c>
      <c r="D5823" s="2889" t="s">
        <v>1105</v>
      </c>
      <c r="E5823" s="2889" t="s">
        <v>217</v>
      </c>
      <c r="F5823" s="3039">
        <v>1.9285126535993871E-4</v>
      </c>
      <c r="G5823" s="2890">
        <v>8.6454807736710465E-2</v>
      </c>
    </row>
    <row r="5824" spans="2:7" ht="15" hidden="1" outlineLevel="2">
      <c r="B5824" s="2889" t="s">
        <v>1643</v>
      </c>
      <c r="C5824" s="2889" t="s">
        <v>1442</v>
      </c>
      <c r="D5824" s="2889" t="s">
        <v>1105</v>
      </c>
      <c r="E5824" s="2889" t="s">
        <v>217</v>
      </c>
      <c r="F5824" s="3039">
        <v>1.1939158374912438E-5</v>
      </c>
      <c r="G5824" s="2890">
        <v>5.352493195413777E-3</v>
      </c>
    </row>
    <row r="5825" spans="2:7" ht="15" hidden="1" outlineLevel="2">
      <c r="B5825" s="2889" t="s">
        <v>1644</v>
      </c>
      <c r="C5825" s="2889" t="s">
        <v>1442</v>
      </c>
      <c r="D5825" s="2889" t="s">
        <v>1105</v>
      </c>
      <c r="E5825" s="2889" t="s">
        <v>217</v>
      </c>
      <c r="F5825" s="3039">
        <v>2.8411679710834754E-4</v>
      </c>
      <c r="G5825" s="2890">
        <v>0.12736891840574346</v>
      </c>
    </row>
    <row r="5826" spans="2:7" ht="15" hidden="1" outlineLevel="2">
      <c r="B5826" s="2889" t="s">
        <v>1645</v>
      </c>
      <c r="C5826" s="2889" t="s">
        <v>1442</v>
      </c>
      <c r="D5826" s="2889" t="s">
        <v>1105</v>
      </c>
      <c r="E5826" s="2889" t="s">
        <v>217</v>
      </c>
      <c r="F5826" s="3039">
        <v>2.1703821382478786E-4</v>
      </c>
      <c r="G5826" s="2890">
        <v>9.7297832973537959E-2</v>
      </c>
    </row>
    <row r="5827" spans="2:7" ht="15" hidden="1" outlineLevel="2">
      <c r="B5827" s="2889" t="s">
        <v>1646</v>
      </c>
      <c r="C5827" s="2889" t="s">
        <v>1442</v>
      </c>
      <c r="D5827" s="2889" t="s">
        <v>1105</v>
      </c>
      <c r="E5827" s="2889" t="s">
        <v>217</v>
      </c>
      <c r="F5827" s="3039">
        <v>2.5477006676748293E-5</v>
      </c>
      <c r="G5827" s="2890">
        <v>1.1421290353531734E-2</v>
      </c>
    </row>
    <row r="5828" spans="2:7" ht="15" hidden="1" outlineLevel="2">
      <c r="B5828" s="2889" t="s">
        <v>1647</v>
      </c>
      <c r="C5828" s="2889" t="s">
        <v>1442</v>
      </c>
      <c r="D5828" s="2889" t="s">
        <v>1105</v>
      </c>
      <c r="E5828" s="2889" t="s">
        <v>217</v>
      </c>
      <c r="F5828" s="3039">
        <v>1.161074552443623E-5</v>
      </c>
      <c r="G5828" s="2890">
        <v>5.2046318764360231E-3</v>
      </c>
    </row>
    <row r="5829" spans="2:7" ht="15" hidden="1" outlineLevel="2">
      <c r="B5829" s="2889" t="s">
        <v>1648</v>
      </c>
      <c r="C5829" s="2889" t="s">
        <v>1442</v>
      </c>
      <c r="D5829" s="2889" t="s">
        <v>1105</v>
      </c>
      <c r="E5829" s="2889" t="s">
        <v>217</v>
      </c>
      <c r="F5829" s="3039">
        <v>4.8378129390999237E-6</v>
      </c>
      <c r="G5829" s="2890">
        <v>2.1685980479515974E-3</v>
      </c>
    </row>
    <row r="5830" spans="2:7" ht="15" hidden="1" outlineLevel="2">
      <c r="B5830" s="2889" t="s">
        <v>1649</v>
      </c>
      <c r="C5830" s="2889" t="s">
        <v>1442</v>
      </c>
      <c r="D5830" s="2889" t="s">
        <v>1105</v>
      </c>
      <c r="E5830" s="2889" t="s">
        <v>217</v>
      </c>
      <c r="F5830" s="3039">
        <v>2.1608890714879187E-5</v>
      </c>
      <c r="G5830" s="2890">
        <v>9.68640521879407E-3</v>
      </c>
    </row>
    <row r="5831" spans="2:7" ht="15" hidden="1" outlineLevel="2">
      <c r="B5831" s="2889" t="s">
        <v>1650</v>
      </c>
      <c r="C5831" s="2889" t="s">
        <v>1442</v>
      </c>
      <c r="D5831" s="2889" t="s">
        <v>1105</v>
      </c>
      <c r="E5831" s="2889" t="s">
        <v>217</v>
      </c>
      <c r="F5831" s="3039">
        <v>4.8700624500488179E-5</v>
      </c>
      <c r="G5831" s="2890">
        <v>2.1830561583907608E-2</v>
      </c>
    </row>
    <row r="5832" spans="2:7" ht="15" hidden="1" outlineLevel="2">
      <c r="B5832" s="2889" t="s">
        <v>1651</v>
      </c>
      <c r="C5832" s="2889" t="s">
        <v>1442</v>
      </c>
      <c r="D5832" s="2889" t="s">
        <v>1105</v>
      </c>
      <c r="E5832" s="2889" t="s">
        <v>217</v>
      </c>
      <c r="F5832" s="3039">
        <v>4.2250214331710654E-5</v>
      </c>
      <c r="G5832" s="2890">
        <v>1.8939094609985139E-2</v>
      </c>
    </row>
    <row r="5833" spans="2:7" ht="15" hidden="1" outlineLevel="2">
      <c r="B5833" s="2889" t="s">
        <v>1652</v>
      </c>
      <c r="C5833" s="2889" t="s">
        <v>1442</v>
      </c>
      <c r="D5833" s="2889" t="s">
        <v>1105</v>
      </c>
      <c r="E5833" s="2889" t="s">
        <v>217</v>
      </c>
      <c r="F5833" s="3039">
        <v>2.6446697550729947E-5</v>
      </c>
      <c r="G5833" s="2890">
        <v>1.1855017342523061E-2</v>
      </c>
    </row>
    <row r="5834" spans="2:7" ht="15" hidden="1" outlineLevel="2">
      <c r="B5834" s="2889" t="s">
        <v>1653</v>
      </c>
      <c r="C5834" s="2889" t="s">
        <v>1442</v>
      </c>
      <c r="D5834" s="2889" t="s">
        <v>1105</v>
      </c>
      <c r="E5834" s="2889" t="s">
        <v>217</v>
      </c>
      <c r="F5834" s="3039">
        <v>2.0510602594091495E-4</v>
      </c>
      <c r="G5834" s="2890">
        <v>9.1948527770279481E-2</v>
      </c>
    </row>
    <row r="5835" spans="2:7" ht="15" hidden="1" outlineLevel="2">
      <c r="B5835" s="2889" t="s">
        <v>1407</v>
      </c>
      <c r="C5835" s="2889" t="s">
        <v>1443</v>
      </c>
      <c r="D5835" s="2889" t="s">
        <v>1105</v>
      </c>
      <c r="E5835" s="2889" t="s">
        <v>217</v>
      </c>
      <c r="F5835" s="3039">
        <v>3.2986222814138008E-4</v>
      </c>
      <c r="G5835" s="2890">
        <v>0.14786407801371526</v>
      </c>
    </row>
    <row r="5836" spans="2:7" ht="15" hidden="1" outlineLevel="2">
      <c r="B5836" s="2889" t="s">
        <v>1631</v>
      </c>
      <c r="C5836" s="2889" t="s">
        <v>1443</v>
      </c>
      <c r="D5836" s="2889" t="s">
        <v>1105</v>
      </c>
      <c r="E5836" s="2889" t="s">
        <v>217</v>
      </c>
      <c r="F5836" s="3039">
        <v>3.349630970233909E-3</v>
      </c>
      <c r="G5836" s="2890">
        <v>1.4991143732323027</v>
      </c>
    </row>
    <row r="5837" spans="2:7" ht="15" hidden="1" outlineLevel="2">
      <c r="B5837" s="2889" t="s">
        <v>1632</v>
      </c>
      <c r="C5837" s="2889" t="s">
        <v>1443</v>
      </c>
      <c r="D5837" s="2889" t="s">
        <v>1105</v>
      </c>
      <c r="E5837" s="2889" t="s">
        <v>217</v>
      </c>
      <c r="F5837" s="3039">
        <v>5.1149736432730773E-3</v>
      </c>
      <c r="G5837" s="2890">
        <v>2.2930323379367263</v>
      </c>
    </row>
    <row r="5838" spans="2:7" ht="15" hidden="1" outlineLevel="2">
      <c r="B5838" s="2889" t="s">
        <v>1633</v>
      </c>
      <c r="C5838" s="2889" t="s">
        <v>1443</v>
      </c>
      <c r="D5838" s="2889" t="s">
        <v>1105</v>
      </c>
      <c r="E5838" s="2889" t="s">
        <v>217</v>
      </c>
      <c r="F5838" s="3039">
        <v>1.877519169457515E-4</v>
      </c>
      <c r="G5838" s="2890">
        <v>8.4168909063771877E-2</v>
      </c>
    </row>
    <row r="5839" spans="2:7" ht="15" hidden="1" outlineLevel="2">
      <c r="B5839" s="2889" t="s">
        <v>1634</v>
      </c>
      <c r="C5839" s="2889" t="s">
        <v>1443</v>
      </c>
      <c r="D5839" s="2889" t="s">
        <v>1105</v>
      </c>
      <c r="E5839" s="2889" t="s">
        <v>217</v>
      </c>
      <c r="F5839" s="3039">
        <v>1.3194488672716551E-4</v>
      </c>
      <c r="G5839" s="2890">
        <v>5.9145587268922648E-2</v>
      </c>
    </row>
    <row r="5840" spans="2:7" ht="15" hidden="1" outlineLevel="2">
      <c r="B5840" s="2889" t="s">
        <v>1635</v>
      </c>
      <c r="C5840" s="2889" t="s">
        <v>1443</v>
      </c>
      <c r="D5840" s="2889" t="s">
        <v>1105</v>
      </c>
      <c r="E5840" s="2889" t="s">
        <v>217</v>
      </c>
      <c r="F5840" s="3039">
        <v>8.4234641033372522E-4</v>
      </c>
      <c r="G5840" s="2890">
        <v>0.37762238334466569</v>
      </c>
    </row>
    <row r="5841" spans="2:7" ht="15" hidden="1" outlineLevel="2">
      <c r="B5841" s="2889" t="s">
        <v>1636</v>
      </c>
      <c r="C5841" s="2889" t="s">
        <v>1443</v>
      </c>
      <c r="D5841" s="2889" t="s">
        <v>1105</v>
      </c>
      <c r="E5841" s="2889" t="s">
        <v>217</v>
      </c>
      <c r="F5841" s="3039">
        <v>3.2476005209238786E-4</v>
      </c>
      <c r="G5841" s="2890">
        <v>0.14558929967250481</v>
      </c>
    </row>
    <row r="5842" spans="2:7" ht="15" hidden="1" outlineLevel="2">
      <c r="B5842" s="2889" t="s">
        <v>1637</v>
      </c>
      <c r="C5842" s="2889" t="s">
        <v>1443</v>
      </c>
      <c r="D5842" s="2889" t="s">
        <v>1105</v>
      </c>
      <c r="E5842" s="2889" t="s">
        <v>217</v>
      </c>
      <c r="F5842" s="3039">
        <v>3.8565260945625315E-4</v>
      </c>
      <c r="G5842" s="2890">
        <v>0.17288721684572575</v>
      </c>
    </row>
    <row r="5843" spans="2:7" ht="15" hidden="1" outlineLevel="2">
      <c r="B5843" s="2889" t="s">
        <v>1638</v>
      </c>
      <c r="C5843" s="2889" t="s">
        <v>1443</v>
      </c>
      <c r="D5843" s="2889" t="s">
        <v>1105</v>
      </c>
      <c r="E5843" s="2889" t="s">
        <v>217</v>
      </c>
      <c r="F5843" s="2890">
        <v>2.3851567955644995E-4</v>
      </c>
      <c r="G5843" s="2890">
        <v>0.10691709921297737</v>
      </c>
    </row>
    <row r="5844" spans="2:7" ht="15" hidden="1" outlineLevel="2">
      <c r="B5844" s="2889" t="s">
        <v>1639</v>
      </c>
      <c r="C5844" s="2889" t="s">
        <v>1443</v>
      </c>
      <c r="D5844" s="2889" t="s">
        <v>1105</v>
      </c>
      <c r="E5844" s="2889" t="s">
        <v>217</v>
      </c>
      <c r="F5844" s="2890">
        <v>1.1874040040779851E-3</v>
      </c>
      <c r="G5844" s="2890">
        <v>0.53231069499156025</v>
      </c>
    </row>
    <row r="5845" spans="2:7" ht="15" hidden="1" outlineLevel="2">
      <c r="B5845" s="2889" t="s">
        <v>1640</v>
      </c>
      <c r="C5845" s="2889" t="s">
        <v>1443</v>
      </c>
      <c r="D5845" s="2889" t="s">
        <v>1105</v>
      </c>
      <c r="E5845" s="2889" t="s">
        <v>217</v>
      </c>
      <c r="F5845" s="2890">
        <v>1.7761805677803837E-4</v>
      </c>
      <c r="G5845" s="2890">
        <v>7.9619164738370565E-2</v>
      </c>
    </row>
    <row r="5846" spans="2:7" ht="15" hidden="1" outlineLevel="2">
      <c r="B5846" s="2889" t="s">
        <v>1641</v>
      </c>
      <c r="C5846" s="2889" t="s">
        <v>1443</v>
      </c>
      <c r="D5846" s="2889" t="s">
        <v>1105</v>
      </c>
      <c r="E5846" s="2889" t="s">
        <v>217</v>
      </c>
      <c r="F5846" s="2890">
        <v>1.1417342750837532E-3</v>
      </c>
      <c r="G5846" s="2890">
        <v>0.51183748470087342</v>
      </c>
    </row>
    <row r="5847" spans="2:7" ht="15" hidden="1" outlineLevel="2">
      <c r="B5847" s="2889" t="s">
        <v>1642</v>
      </c>
      <c r="C5847" s="2889" t="s">
        <v>1443</v>
      </c>
      <c r="D5847" s="2889" t="s">
        <v>1105</v>
      </c>
      <c r="E5847" s="2889" t="s">
        <v>217</v>
      </c>
      <c r="F5847" s="2890">
        <v>3.034475998306065E-3</v>
      </c>
      <c r="G5847" s="2890">
        <v>1.3603492825938501</v>
      </c>
    </row>
    <row r="5848" spans="2:7" ht="15" hidden="1" outlineLevel="2">
      <c r="B5848" s="2889" t="s">
        <v>1643</v>
      </c>
      <c r="C5848" s="2889" t="s">
        <v>1443</v>
      </c>
      <c r="D5848" s="2889" t="s">
        <v>1105</v>
      </c>
      <c r="E5848" s="2889" t="s">
        <v>217</v>
      </c>
      <c r="F5848" s="2890">
        <v>1.8786024438956312E-4</v>
      </c>
      <c r="G5848" s="2890">
        <v>8.422037350880765E-2</v>
      </c>
    </row>
    <row r="5849" spans="2:7" ht="15" hidden="1" outlineLevel="2">
      <c r="B5849" s="2889" t="s">
        <v>1644</v>
      </c>
      <c r="C5849" s="2889" t="s">
        <v>1443</v>
      </c>
      <c r="D5849" s="2889" t="s">
        <v>1105</v>
      </c>
      <c r="E5849" s="2889" t="s">
        <v>217</v>
      </c>
      <c r="F5849" s="2890">
        <v>4.4705252874168927E-3</v>
      </c>
      <c r="G5849" s="2890">
        <v>2.0041277201735168</v>
      </c>
    </row>
    <row r="5850" spans="2:7" ht="15" hidden="1" outlineLevel="2">
      <c r="B5850" s="2889" t="s">
        <v>1645</v>
      </c>
      <c r="C5850" s="2889" t="s">
        <v>1443</v>
      </c>
      <c r="D5850" s="2889" t="s">
        <v>1105</v>
      </c>
      <c r="E5850" s="2889" t="s">
        <v>217</v>
      </c>
      <c r="F5850" s="2890">
        <v>3.4150545834343428E-3</v>
      </c>
      <c r="G5850" s="2890">
        <v>1.5309618260523825</v>
      </c>
    </row>
    <row r="5851" spans="2:7" ht="15" hidden="1" outlineLevel="2">
      <c r="B5851" s="2889" t="s">
        <v>1646</v>
      </c>
      <c r="C5851" s="2889" t="s">
        <v>1443</v>
      </c>
      <c r="D5851" s="2889" t="s">
        <v>1105</v>
      </c>
      <c r="E5851" s="2889" t="s">
        <v>217</v>
      </c>
      <c r="F5851" s="2890">
        <v>4.0087562959592051E-4</v>
      </c>
      <c r="G5851" s="2890">
        <v>0.17971188386085449</v>
      </c>
    </row>
    <row r="5852" spans="2:7" ht="15" hidden="1" outlineLevel="2">
      <c r="B5852" s="2889" t="s">
        <v>1647</v>
      </c>
      <c r="C5852" s="2889" t="s">
        <v>1443</v>
      </c>
      <c r="D5852" s="2889" t="s">
        <v>1105</v>
      </c>
      <c r="E5852" s="2889" t="s">
        <v>217</v>
      </c>
      <c r="F5852" s="2890">
        <v>1.826929583234267E-4</v>
      </c>
      <c r="G5852" s="2890">
        <v>8.1893980764602345E-2</v>
      </c>
    </row>
    <row r="5853" spans="2:7" ht="15" hidden="1" outlineLevel="2">
      <c r="B5853" s="2889" t="s">
        <v>1648</v>
      </c>
      <c r="C5853" s="2889" t="s">
        <v>1443</v>
      </c>
      <c r="D5853" s="2889" t="s">
        <v>1105</v>
      </c>
      <c r="E5853" s="2889" t="s">
        <v>217</v>
      </c>
      <c r="F5853" s="2890">
        <v>7.6122038737023111E-5</v>
      </c>
      <c r="G5853" s="2890">
        <v>3.4122495654620721E-2</v>
      </c>
    </row>
    <row r="5854" spans="2:7" ht="15" hidden="1" outlineLevel="2">
      <c r="B5854" s="2889" t="s">
        <v>1649</v>
      </c>
      <c r="C5854" s="2889" t="s">
        <v>1443</v>
      </c>
      <c r="D5854" s="2889" t="s">
        <v>1105</v>
      </c>
      <c r="E5854" s="2889" t="s">
        <v>217</v>
      </c>
      <c r="F5854" s="2890">
        <v>3.4001177154185567E-4</v>
      </c>
      <c r="G5854" s="2890">
        <v>0.15241382156540048</v>
      </c>
    </row>
    <row r="5855" spans="2:7" ht="15" hidden="1" outlineLevel="2">
      <c r="B5855" s="2889" t="s">
        <v>1650</v>
      </c>
      <c r="C5855" s="2889" t="s">
        <v>1443</v>
      </c>
      <c r="D5855" s="2889" t="s">
        <v>1105</v>
      </c>
      <c r="E5855" s="2889" t="s">
        <v>217</v>
      </c>
      <c r="F5855" s="2890">
        <v>7.6629490526056827E-4</v>
      </c>
      <c r="G5855" s="2890">
        <v>0.34349987917286018</v>
      </c>
    </row>
    <row r="5856" spans="2:7" ht="15" hidden="1" outlineLevel="2">
      <c r="B5856" s="2889" t="s">
        <v>1651</v>
      </c>
      <c r="C5856" s="2889" t="s">
        <v>1443</v>
      </c>
      <c r="D5856" s="2889" t="s">
        <v>1105</v>
      </c>
      <c r="E5856" s="2889" t="s">
        <v>217</v>
      </c>
      <c r="F5856" s="2890">
        <v>6.6479919854277748E-4</v>
      </c>
      <c r="G5856" s="2890">
        <v>0.29800314517819759</v>
      </c>
    </row>
    <row r="5857" spans="2:7" ht="15" hidden="1" outlineLevel="2">
      <c r="B5857" s="2889" t="s">
        <v>1652</v>
      </c>
      <c r="C5857" s="2889" t="s">
        <v>1443</v>
      </c>
      <c r="D5857" s="2889" t="s">
        <v>1105</v>
      </c>
      <c r="E5857" s="2889" t="s">
        <v>217</v>
      </c>
      <c r="F5857" s="2890">
        <v>4.1613380245151844E-4</v>
      </c>
      <c r="G5857" s="2890">
        <v>0.18653625755928072</v>
      </c>
    </row>
    <row r="5858" spans="2:7" ht="15" hidden="1" outlineLevel="2">
      <c r="B5858" s="2889" t="s">
        <v>1653</v>
      </c>
      <c r="C5858" s="2889" t="s">
        <v>1443</v>
      </c>
      <c r="D5858" s="2889" t="s">
        <v>1105</v>
      </c>
      <c r="E5858" s="2889" t="s">
        <v>217</v>
      </c>
      <c r="F5858" s="2890">
        <v>3.2273026226865057E-3</v>
      </c>
      <c r="G5858" s="2890">
        <v>1.4467931290374436</v>
      </c>
    </row>
    <row r="5859" spans="2:7" ht="15" hidden="1" outlineLevel="2">
      <c r="B5859" s="2889" t="s">
        <v>1407</v>
      </c>
      <c r="C5859" s="2889" t="s">
        <v>1444</v>
      </c>
      <c r="D5859" s="2889" t="s">
        <v>1105</v>
      </c>
      <c r="E5859" s="2889" t="s">
        <v>217</v>
      </c>
      <c r="F5859" s="2890">
        <v>0.62825220434420115</v>
      </c>
      <c r="G5859" s="2890">
        <v>751.78071449730828</v>
      </c>
    </row>
    <row r="5860" spans="2:7" ht="15" hidden="1" outlineLevel="2">
      <c r="B5860" s="2889" t="s">
        <v>1631</v>
      </c>
      <c r="C5860" s="2889" t="s">
        <v>1444</v>
      </c>
      <c r="D5860" s="2889" t="s">
        <v>1105</v>
      </c>
      <c r="E5860" s="2889" t="s">
        <v>217</v>
      </c>
      <c r="F5860" s="2890">
        <v>6.4354998010768583</v>
      </c>
      <c r="G5860" s="2890">
        <v>7621.9013444893426</v>
      </c>
    </row>
    <row r="5861" spans="2:7" ht="15" hidden="1" outlineLevel="2">
      <c r="B5861" s="2889" t="s">
        <v>1632</v>
      </c>
      <c r="C5861" s="2889" t="s">
        <v>1444</v>
      </c>
      <c r="D5861" s="2889" t="s">
        <v>1105</v>
      </c>
      <c r="E5861" s="2889" t="s">
        <v>217</v>
      </c>
      <c r="F5861" s="2890">
        <v>9.6965335318887647</v>
      </c>
      <c r="G5861" s="2890">
        <v>11658.386264400582</v>
      </c>
    </row>
    <row r="5862" spans="2:7" ht="15" hidden="1" outlineLevel="2">
      <c r="B5862" s="2889" t="s">
        <v>1633</v>
      </c>
      <c r="C5862" s="2889" t="s">
        <v>1444</v>
      </c>
      <c r="D5862" s="2889" t="s">
        <v>1105</v>
      </c>
      <c r="E5862" s="2889" t="s">
        <v>217</v>
      </c>
      <c r="F5862" s="2890">
        <v>0.35416536636019125</v>
      </c>
      <c r="G5862" s="2890">
        <v>427.93657245233669</v>
      </c>
    </row>
    <row r="5863" spans="2:7" ht="15" hidden="1" outlineLevel="2">
      <c r="B5863" s="2889" t="s">
        <v>1634</v>
      </c>
      <c r="C5863" s="2889" t="s">
        <v>1444</v>
      </c>
      <c r="D5863" s="2889" t="s">
        <v>1105</v>
      </c>
      <c r="E5863" s="2889" t="s">
        <v>217</v>
      </c>
      <c r="F5863" s="3039">
        <v>0.24860644678291369</v>
      </c>
      <c r="G5863" s="2890">
        <v>300.71207051577574</v>
      </c>
    </row>
    <row r="5864" spans="2:7" ht="15" hidden="1" outlineLevel="2">
      <c r="B5864" s="2889" t="s">
        <v>1635</v>
      </c>
      <c r="C5864" s="2889" t="s">
        <v>1444</v>
      </c>
      <c r="D5864" s="2889" t="s">
        <v>1105</v>
      </c>
      <c r="E5864" s="2889" t="s">
        <v>217</v>
      </c>
      <c r="F5864" s="3039">
        <v>1.5968497854374291</v>
      </c>
      <c r="G5864" s="2890">
        <v>1919.9325559359677</v>
      </c>
    </row>
    <row r="5865" spans="2:7" ht="15" hidden="1" outlineLevel="2">
      <c r="B5865" s="2889" t="s">
        <v>1636</v>
      </c>
      <c r="C5865" s="2889" t="s">
        <v>1444</v>
      </c>
      <c r="D5865" s="2889" t="s">
        <v>1105</v>
      </c>
      <c r="E5865" s="2889" t="s">
        <v>217</v>
      </c>
      <c r="F5865" s="3039">
        <v>0.61559558776163514</v>
      </c>
      <c r="G5865" s="2890">
        <v>740.21458407732689</v>
      </c>
    </row>
    <row r="5866" spans="2:7" ht="15" hidden="1" outlineLevel="2">
      <c r="B5866" s="2889" t="s">
        <v>1637</v>
      </c>
      <c r="C5866" s="2889" t="s">
        <v>1444</v>
      </c>
      <c r="D5866" s="2889" t="s">
        <v>1105</v>
      </c>
      <c r="E5866" s="2889" t="s">
        <v>217</v>
      </c>
      <c r="F5866" s="3039">
        <v>0.72747499964226536</v>
      </c>
      <c r="G5866" s="2890">
        <v>879.00518713362874</v>
      </c>
    </row>
    <row r="5867" spans="2:7" ht="15" hidden="1" outlineLevel="2">
      <c r="B5867" s="2889" t="s">
        <v>1638</v>
      </c>
      <c r="C5867" s="2889" t="s">
        <v>1444</v>
      </c>
      <c r="D5867" s="2889" t="s">
        <v>1105</v>
      </c>
      <c r="E5867" s="2889" t="s">
        <v>217</v>
      </c>
      <c r="F5867" s="3039">
        <v>0.44940399512051776</v>
      </c>
      <c r="G5867" s="2890">
        <v>543.59512816606787</v>
      </c>
    </row>
    <row r="5868" spans="2:7" ht="15" hidden="1" outlineLevel="2">
      <c r="B5868" s="2889" t="s">
        <v>1639</v>
      </c>
      <c r="C5868" s="2889" t="s">
        <v>1444</v>
      </c>
      <c r="D5868" s="2889" t="s">
        <v>1105</v>
      </c>
      <c r="E5868" s="2889" t="s">
        <v>217</v>
      </c>
      <c r="F5868" s="3039">
        <v>2.239856582100658</v>
      </c>
      <c r="G5868" s="2890">
        <v>2706.4098410537913</v>
      </c>
    </row>
    <row r="5869" spans="2:7" ht="15" hidden="1" outlineLevel="2">
      <c r="B5869" s="2889" t="s">
        <v>1640</v>
      </c>
      <c r="C5869" s="2889" t="s">
        <v>1444</v>
      </c>
      <c r="D5869" s="2889" t="s">
        <v>1105</v>
      </c>
      <c r="E5869" s="2889" t="s">
        <v>217</v>
      </c>
      <c r="F5869" s="3039">
        <v>0.33828954759941277</v>
      </c>
      <c r="G5869" s="2890">
        <v>404.80491708942435</v>
      </c>
    </row>
    <row r="5870" spans="2:7" ht="15" hidden="1" outlineLevel="2">
      <c r="B5870" s="2889" t="s">
        <v>1641</v>
      </c>
      <c r="C5870" s="2889" t="s">
        <v>1444</v>
      </c>
      <c r="D5870" s="2889" t="s">
        <v>1105</v>
      </c>
      <c r="E5870" s="2889" t="s">
        <v>217</v>
      </c>
      <c r="F5870" s="2890">
        <v>2.1644044118430013</v>
      </c>
      <c r="G5870" s="2890">
        <v>2602.3189237116594</v>
      </c>
    </row>
    <row r="5871" spans="2:7" ht="15" hidden="1" outlineLevel="2">
      <c r="B5871" s="2889" t="s">
        <v>1642</v>
      </c>
      <c r="C5871" s="2889" t="s">
        <v>1444</v>
      </c>
      <c r="D5871" s="2889" t="s">
        <v>1105</v>
      </c>
      <c r="E5871" s="2889" t="s">
        <v>217</v>
      </c>
      <c r="F5871" s="2890">
        <v>5.7525051347264373</v>
      </c>
      <c r="G5871" s="2890">
        <v>6916.3820597916174</v>
      </c>
    </row>
    <row r="5872" spans="2:7" ht="15" hidden="1" outlineLevel="2">
      <c r="B5872" s="2889" t="s">
        <v>1643</v>
      </c>
      <c r="C5872" s="2889" t="s">
        <v>1444</v>
      </c>
      <c r="D5872" s="2889" t="s">
        <v>1105</v>
      </c>
      <c r="E5872" s="2889" t="s">
        <v>217</v>
      </c>
      <c r="F5872" s="2890">
        <v>0.35673373902265876</v>
      </c>
      <c r="G5872" s="2890">
        <v>428.19913844278261</v>
      </c>
    </row>
    <row r="5873" spans="2:7" ht="15" hidden="1" outlineLevel="2">
      <c r="B5873" s="2889" t="s">
        <v>1644</v>
      </c>
      <c r="C5873" s="2889" t="s">
        <v>1444</v>
      </c>
      <c r="D5873" s="2889" t="s">
        <v>1105</v>
      </c>
      <c r="E5873" s="2889" t="s">
        <v>217</v>
      </c>
      <c r="F5873" s="2890">
        <v>8.4329644053797512</v>
      </c>
      <c r="G5873" s="2890">
        <v>10189.5209592059</v>
      </c>
    </row>
    <row r="5874" spans="2:7" ht="15" hidden="1" outlineLevel="2">
      <c r="B5874" s="2889" t="s">
        <v>1645</v>
      </c>
      <c r="C5874" s="2889" t="s">
        <v>1444</v>
      </c>
      <c r="D5874" s="2889" t="s">
        <v>1105</v>
      </c>
      <c r="E5874" s="2889" t="s">
        <v>217</v>
      </c>
      <c r="F5874" s="2890">
        <v>6.4419821077171537</v>
      </c>
      <c r="G5874" s="2890">
        <v>7783.8205391545462</v>
      </c>
    </row>
    <row r="5875" spans="2:7" ht="15" hidden="1" outlineLevel="2">
      <c r="B5875" s="2889" t="s">
        <v>1646</v>
      </c>
      <c r="C5875" s="2889" t="s">
        <v>1444</v>
      </c>
      <c r="D5875" s="2889" t="s">
        <v>1105</v>
      </c>
      <c r="E5875" s="2889" t="s">
        <v>217</v>
      </c>
      <c r="F5875" s="2890">
        <v>0.75994646202777494</v>
      </c>
      <c r="G5875" s="2890">
        <v>913.70271961065737</v>
      </c>
    </row>
    <row r="5876" spans="2:7" ht="15" hidden="1" outlineLevel="2">
      <c r="B5876" s="2889" t="s">
        <v>1647</v>
      </c>
      <c r="C5876" s="2889" t="s">
        <v>1444</v>
      </c>
      <c r="D5876" s="2889" t="s">
        <v>1105</v>
      </c>
      <c r="E5876" s="2889" t="s">
        <v>217</v>
      </c>
      <c r="F5876" s="2890">
        <v>0.34422444894639931</v>
      </c>
      <c r="G5876" s="2890">
        <v>416.37081979628192</v>
      </c>
    </row>
    <row r="5877" spans="2:7" ht="15" hidden="1" outlineLevel="2">
      <c r="B5877" s="2889" t="s">
        <v>1648</v>
      </c>
      <c r="C5877" s="2889" t="s">
        <v>1444</v>
      </c>
      <c r="D5877" s="2889" t="s">
        <v>1105</v>
      </c>
      <c r="E5877" s="2889" t="s">
        <v>217</v>
      </c>
      <c r="F5877" s="2890">
        <v>0.1434268115230245</v>
      </c>
      <c r="G5877" s="2890">
        <v>173.48773106205579</v>
      </c>
    </row>
    <row r="5878" spans="2:7" ht="15" hidden="1" outlineLevel="2">
      <c r="B5878" s="2889" t="s">
        <v>1649</v>
      </c>
      <c r="C5878" s="2889" t="s">
        <v>1444</v>
      </c>
      <c r="D5878" s="2889" t="s">
        <v>1105</v>
      </c>
      <c r="E5878" s="2889" t="s">
        <v>217</v>
      </c>
      <c r="F5878" s="2890">
        <v>0.64063980464410519</v>
      </c>
      <c r="G5878" s="2890">
        <v>774.91198827606638</v>
      </c>
    </row>
    <row r="5879" spans="2:7" ht="15" hidden="1" outlineLevel="2">
      <c r="B5879" s="2889" t="s">
        <v>1650</v>
      </c>
      <c r="C5879" s="2889" t="s">
        <v>1444</v>
      </c>
      <c r="D5879" s="2889" t="s">
        <v>1105</v>
      </c>
      <c r="E5879" s="2889" t="s">
        <v>217</v>
      </c>
      <c r="F5879" s="2890">
        <v>1.4594780424414191</v>
      </c>
      <c r="G5879" s="2890">
        <v>1746.4451665843728</v>
      </c>
    </row>
    <row r="5880" spans="2:7" ht="15" hidden="1" outlineLevel="2">
      <c r="B5880" s="2889" t="s">
        <v>1651</v>
      </c>
      <c r="C5880" s="2889" t="s">
        <v>1444</v>
      </c>
      <c r="D5880" s="2889" t="s">
        <v>1105</v>
      </c>
      <c r="E5880" s="2889" t="s">
        <v>217</v>
      </c>
      <c r="F5880" s="2890">
        <v>1.2525941779097507</v>
      </c>
      <c r="G5880" s="2890">
        <v>1515.1277760483033</v>
      </c>
    </row>
    <row r="5881" spans="2:7" ht="15" hidden="1" outlineLevel="2">
      <c r="B5881" s="2889" t="s">
        <v>1652</v>
      </c>
      <c r="C5881" s="2889" t="s">
        <v>1444</v>
      </c>
      <c r="D5881" s="2889" t="s">
        <v>1105</v>
      </c>
      <c r="E5881" s="2889" t="s">
        <v>217</v>
      </c>
      <c r="F5881" s="2890">
        <v>0.7840665293224568</v>
      </c>
      <c r="G5881" s="2890">
        <v>948.40026910526331</v>
      </c>
    </row>
    <row r="5882" spans="2:7" ht="15" hidden="1" outlineLevel="2">
      <c r="B5882" s="2889" t="s">
        <v>1653</v>
      </c>
      <c r="C5882" s="2889" t="s">
        <v>1444</v>
      </c>
      <c r="D5882" s="2889" t="s">
        <v>1105</v>
      </c>
      <c r="E5882" s="2889" t="s">
        <v>217</v>
      </c>
      <c r="F5882" s="2890">
        <v>6.1180506136403068</v>
      </c>
      <c r="G5882" s="2890">
        <v>7355.8860654933478</v>
      </c>
    </row>
    <row r="5883" spans="2:7" ht="15" hidden="1" outlineLevel="2">
      <c r="B5883" s="2889" t="s">
        <v>1407</v>
      </c>
      <c r="C5883" s="2889" t="s">
        <v>1445</v>
      </c>
      <c r="D5883" s="2889" t="s">
        <v>1105</v>
      </c>
      <c r="E5883" s="2889" t="s">
        <v>217</v>
      </c>
      <c r="F5883" s="2890">
        <v>0.13522090382010343</v>
      </c>
      <c r="G5883" s="2890">
        <v>188.12547563539894</v>
      </c>
    </row>
    <row r="5884" spans="2:7" ht="15" hidden="1" outlineLevel="2">
      <c r="B5884" s="2889" t="s">
        <v>1631</v>
      </c>
      <c r="C5884" s="2889" t="s">
        <v>1445</v>
      </c>
      <c r="D5884" s="2889" t="s">
        <v>1105</v>
      </c>
      <c r="E5884" s="2889" t="s">
        <v>217</v>
      </c>
      <c r="F5884" s="2890">
        <v>1.3849621021815595</v>
      </c>
      <c r="G5884" s="2890">
        <v>1907.3054832559583</v>
      </c>
    </row>
    <row r="5885" spans="2:7" ht="15" hidden="1" outlineLevel="2">
      <c r="B5885" s="2889" t="s">
        <v>1632</v>
      </c>
      <c r="C5885" s="2889" t="s">
        <v>1445</v>
      </c>
      <c r="D5885" s="2889" t="s">
        <v>1105</v>
      </c>
      <c r="E5885" s="2889" t="s">
        <v>217</v>
      </c>
      <c r="F5885" s="2890">
        <v>2.087139642350635</v>
      </c>
      <c r="G5885" s="2890">
        <v>2917.395559776568</v>
      </c>
    </row>
    <row r="5886" spans="2:7" ht="15" hidden="1" outlineLevel="2">
      <c r="B5886" s="2889" t="s">
        <v>1633</v>
      </c>
      <c r="C5886" s="2889" t="s">
        <v>1445</v>
      </c>
      <c r="D5886" s="2889" t="s">
        <v>1105</v>
      </c>
      <c r="E5886" s="2889" t="s">
        <v>217</v>
      </c>
      <c r="F5886" s="2890">
        <v>7.6237286928608039E-2</v>
      </c>
      <c r="G5886" s="2890">
        <v>107.08697777272873</v>
      </c>
    </row>
    <row r="5887" spans="2:7" ht="15" hidden="1" outlineLevel="2">
      <c r="B5887" s="2889" t="s">
        <v>1634</v>
      </c>
      <c r="C5887" s="2889" t="s">
        <v>1445</v>
      </c>
      <c r="D5887" s="2889" t="s">
        <v>1105</v>
      </c>
      <c r="E5887" s="2889" t="s">
        <v>217</v>
      </c>
      <c r="F5887" s="2890">
        <v>5.3515464293503526E-2</v>
      </c>
      <c r="G5887" s="2890">
        <v>75.250280374770213</v>
      </c>
    </row>
    <row r="5888" spans="2:7" ht="15" hidden="1" outlineLevel="2">
      <c r="B5888" s="2889" t="s">
        <v>1635</v>
      </c>
      <c r="C5888" s="2889" t="s">
        <v>1445</v>
      </c>
      <c r="D5888" s="2889" t="s">
        <v>1105</v>
      </c>
      <c r="E5888" s="2889" t="s">
        <v>217</v>
      </c>
      <c r="F5888" s="2890">
        <v>0.34371550348272156</v>
      </c>
      <c r="G5888" s="2890">
        <v>480.44395599023773</v>
      </c>
    </row>
    <row r="5889" spans="2:7" ht="15" hidden="1" outlineLevel="2">
      <c r="B5889" s="2889" t="s">
        <v>1636</v>
      </c>
      <c r="C5889" s="2889" t="s">
        <v>1445</v>
      </c>
      <c r="D5889" s="2889" t="s">
        <v>1105</v>
      </c>
      <c r="E5889" s="2889" t="s">
        <v>217</v>
      </c>
      <c r="F5889" s="2890">
        <v>0.13250461589580495</v>
      </c>
      <c r="G5889" s="2890">
        <v>185.23145121031641</v>
      </c>
    </row>
    <row r="5890" spans="2:7" ht="15" hidden="1" outlineLevel="2">
      <c r="B5890" s="2889" t="s">
        <v>1637</v>
      </c>
      <c r="C5890" s="2889" t="s">
        <v>1445</v>
      </c>
      <c r="D5890" s="2889" t="s">
        <v>1105</v>
      </c>
      <c r="E5890" s="2889" t="s">
        <v>217</v>
      </c>
      <c r="F5890" s="2890">
        <v>0.15659551811736472</v>
      </c>
      <c r="G5890" s="2890">
        <v>219.96237579573284</v>
      </c>
    </row>
    <row r="5891" spans="2:7" ht="15" hidden="1" outlineLevel="2">
      <c r="B5891" s="2889" t="s">
        <v>1638</v>
      </c>
      <c r="C5891" s="2889" t="s">
        <v>1445</v>
      </c>
      <c r="D5891" s="2889" t="s">
        <v>1105</v>
      </c>
      <c r="E5891" s="2889" t="s">
        <v>217</v>
      </c>
      <c r="F5891" s="2890">
        <v>9.6739513430686278E-2</v>
      </c>
      <c r="G5891" s="2890">
        <v>136.02944878800878</v>
      </c>
    </row>
    <row r="5892" spans="2:7" ht="15" hidden="1" outlineLevel="2">
      <c r="B5892" s="2889" t="s">
        <v>1639</v>
      </c>
      <c r="C5892" s="2889" t="s">
        <v>1445</v>
      </c>
      <c r="D5892" s="2889" t="s">
        <v>1105</v>
      </c>
      <c r="E5892" s="2889" t="s">
        <v>217</v>
      </c>
      <c r="F5892" s="2890">
        <v>0.48214943366195656</v>
      </c>
      <c r="G5892" s="2890">
        <v>677.25202512335488</v>
      </c>
    </row>
    <row r="5893" spans="2:7" ht="15" hidden="1" outlineLevel="2">
      <c r="B5893" s="2889" t="s">
        <v>1640</v>
      </c>
      <c r="C5893" s="2889" t="s">
        <v>1445</v>
      </c>
      <c r="D5893" s="2889" t="s">
        <v>1105</v>
      </c>
      <c r="E5893" s="2889" t="s">
        <v>217</v>
      </c>
      <c r="F5893" s="2890">
        <v>7.2811237666009221E-2</v>
      </c>
      <c r="G5893" s="2890">
        <v>101.29843723796694</v>
      </c>
    </row>
    <row r="5894" spans="2:7" ht="15" hidden="1" outlineLevel="2">
      <c r="B5894" s="2889" t="s">
        <v>1641</v>
      </c>
      <c r="C5894" s="2889" t="s">
        <v>1445</v>
      </c>
      <c r="D5894" s="2889" t="s">
        <v>1105</v>
      </c>
      <c r="E5894" s="2889" t="s">
        <v>217</v>
      </c>
      <c r="F5894" s="2890">
        <v>0.46587932309584934</v>
      </c>
      <c r="G5894" s="2890">
        <v>651.20414578015641</v>
      </c>
    </row>
    <row r="5895" spans="2:7" ht="15" hidden="1" outlineLevel="2">
      <c r="B5895" s="2889" t="s">
        <v>1642</v>
      </c>
      <c r="C5895" s="2889" t="s">
        <v>1445</v>
      </c>
      <c r="D5895" s="2889" t="s">
        <v>1105</v>
      </c>
      <c r="E5895" s="2889" t="s">
        <v>217</v>
      </c>
      <c r="F5895" s="2890">
        <v>1.2382039938822023</v>
      </c>
      <c r="G5895" s="2890">
        <v>1730.7553653662535</v>
      </c>
    </row>
    <row r="5896" spans="2:7" ht="15" hidden="1" outlineLevel="2">
      <c r="B5896" s="2889" t="s">
        <v>1643</v>
      </c>
      <c r="C5896" s="2889" t="s">
        <v>1445</v>
      </c>
      <c r="D5896" s="2889" t="s">
        <v>1105</v>
      </c>
      <c r="E5896" s="2889" t="s">
        <v>217</v>
      </c>
      <c r="F5896" s="2890">
        <v>7.6783915928831464E-2</v>
      </c>
      <c r="G5896" s="2890">
        <v>107.15252720643366</v>
      </c>
    </row>
    <row r="5897" spans="2:7" ht="15" hidden="1" outlineLevel="2">
      <c r="B5897" s="2889" t="s">
        <v>1644</v>
      </c>
      <c r="C5897" s="2889" t="s">
        <v>1445</v>
      </c>
      <c r="D5897" s="2889" t="s">
        <v>1105</v>
      </c>
      <c r="E5897" s="2889" t="s">
        <v>217</v>
      </c>
      <c r="F5897" s="2890">
        <v>1.8152710420546403</v>
      </c>
      <c r="G5897" s="2890">
        <v>2549.8262045980073</v>
      </c>
    </row>
    <row r="5898" spans="2:7" ht="15" hidden="1" outlineLevel="2">
      <c r="B5898" s="2889" t="s">
        <v>1645</v>
      </c>
      <c r="C5898" s="2889" t="s">
        <v>1445</v>
      </c>
      <c r="D5898" s="2889" t="s">
        <v>1105</v>
      </c>
      <c r="E5898" s="2889" t="s">
        <v>217</v>
      </c>
      <c r="F5898" s="2890">
        <v>1.386693922478782</v>
      </c>
      <c r="G5898" s="2890">
        <v>1947.8227184046455</v>
      </c>
    </row>
    <row r="5899" spans="2:7" ht="15" hidden="1" outlineLevel="2">
      <c r="B5899" s="2889" t="s">
        <v>1646</v>
      </c>
      <c r="C5899" s="2889" t="s">
        <v>1445</v>
      </c>
      <c r="D5899" s="2889" t="s">
        <v>1105</v>
      </c>
      <c r="E5899" s="2889" t="s">
        <v>217</v>
      </c>
      <c r="F5899" s="2890">
        <v>0.16357541052000124</v>
      </c>
      <c r="G5899" s="2890">
        <v>228.64512447361099</v>
      </c>
    </row>
    <row r="5900" spans="2:7" ht="15" hidden="1" outlineLevel="2">
      <c r="B5900" s="2889" t="s">
        <v>1647</v>
      </c>
      <c r="C5900" s="2889" t="s">
        <v>1445</v>
      </c>
      <c r="D5900" s="2889" t="s">
        <v>1105</v>
      </c>
      <c r="E5900" s="2889" t="s">
        <v>217</v>
      </c>
      <c r="F5900" s="2890">
        <v>7.4098348554754001E-2</v>
      </c>
      <c r="G5900" s="2890">
        <v>104.19269446692651</v>
      </c>
    </row>
    <row r="5901" spans="2:7" ht="15" hidden="1" outlineLevel="2">
      <c r="B5901" s="2889" t="s">
        <v>1648</v>
      </c>
      <c r="C5901" s="2889" t="s">
        <v>1445</v>
      </c>
      <c r="D5901" s="2889" t="s">
        <v>1105</v>
      </c>
      <c r="E5901" s="2889" t="s">
        <v>217</v>
      </c>
      <c r="F5901" s="2890">
        <v>3.0874311894483707E-2</v>
      </c>
      <c r="G5901" s="2890">
        <v>43.413609175826792</v>
      </c>
    </row>
    <row r="5902" spans="2:7" ht="15" hidden="1" outlineLevel="2">
      <c r="B5902" s="2889" t="s">
        <v>1649</v>
      </c>
      <c r="C5902" s="2889" t="s">
        <v>1445</v>
      </c>
      <c r="D5902" s="2889" t="s">
        <v>1105</v>
      </c>
      <c r="E5902" s="2889" t="s">
        <v>217</v>
      </c>
      <c r="F5902" s="3039">
        <v>0.13790525199731937</v>
      </c>
      <c r="G5902" s="2890">
        <v>193.91405372997039</v>
      </c>
    </row>
    <row r="5903" spans="2:7" ht="15" hidden="1" outlineLevel="2">
      <c r="B5903" s="2889" t="s">
        <v>1650</v>
      </c>
      <c r="C5903" s="2889" t="s">
        <v>1445</v>
      </c>
      <c r="D5903" s="2889" t="s">
        <v>1105</v>
      </c>
      <c r="E5903" s="2889" t="s">
        <v>217</v>
      </c>
      <c r="F5903" s="3039">
        <v>0.31412858399018823</v>
      </c>
      <c r="G5903" s="2890">
        <v>437.03053738508902</v>
      </c>
    </row>
    <row r="5904" spans="2:7" ht="15" hidden="1" outlineLevel="2">
      <c r="B5904" s="2889" t="s">
        <v>1651</v>
      </c>
      <c r="C5904" s="2889" t="s">
        <v>1445</v>
      </c>
      <c r="D5904" s="2889" t="s">
        <v>1105</v>
      </c>
      <c r="E5904" s="2889" t="s">
        <v>217</v>
      </c>
      <c r="F5904" s="3039">
        <v>0.26963576758023999</v>
      </c>
      <c r="G5904" s="2890">
        <v>379.14557351045181</v>
      </c>
    </row>
    <row r="5905" spans="2:7" ht="15" hidden="1" outlineLevel="2">
      <c r="B5905" s="2889" t="s">
        <v>1652</v>
      </c>
      <c r="C5905" s="2889" t="s">
        <v>1445</v>
      </c>
      <c r="D5905" s="2889" t="s">
        <v>1105</v>
      </c>
      <c r="E5905" s="2889" t="s">
        <v>217</v>
      </c>
      <c r="F5905" s="3039">
        <v>0.1687795568083493</v>
      </c>
      <c r="G5905" s="2890">
        <v>237.32778677854199</v>
      </c>
    </row>
    <row r="5906" spans="2:7" ht="15" hidden="1" outlineLevel="2">
      <c r="B5906" s="2889" t="s">
        <v>1653</v>
      </c>
      <c r="C5906" s="2889" t="s">
        <v>1445</v>
      </c>
      <c r="D5906" s="2889" t="s">
        <v>1105</v>
      </c>
      <c r="E5906" s="2889" t="s">
        <v>217</v>
      </c>
      <c r="F5906" s="3039">
        <v>1.3168854816368287</v>
      </c>
      <c r="G5906" s="2890">
        <v>1840.7379650521693</v>
      </c>
    </row>
    <row r="5907" spans="2:7" ht="15" hidden="1" outlineLevel="2">
      <c r="B5907" s="2889" t="s">
        <v>1407</v>
      </c>
      <c r="C5907" s="2889" t="s">
        <v>1446</v>
      </c>
      <c r="D5907" s="2889" t="s">
        <v>1105</v>
      </c>
      <c r="E5907" s="2889" t="s">
        <v>217</v>
      </c>
      <c r="F5907" s="3039">
        <v>6.2416764107243512E-2</v>
      </c>
      <c r="G5907" s="2890">
        <v>99.761567778925709</v>
      </c>
    </row>
    <row r="5908" spans="2:7" ht="15" hidden="1" outlineLevel="2">
      <c r="B5908" s="2889" t="s">
        <v>1631</v>
      </c>
      <c r="C5908" s="2889" t="s">
        <v>1446</v>
      </c>
      <c r="D5908" s="2889" t="s">
        <v>1105</v>
      </c>
      <c r="E5908" s="2889" t="s">
        <v>217</v>
      </c>
      <c r="F5908" s="3039">
        <v>0.63925898419780991</v>
      </c>
      <c r="G5908" s="2890">
        <v>1011.4286580449817</v>
      </c>
    </row>
    <row r="5909" spans="2:7" ht="15" hidden="1" outlineLevel="2">
      <c r="B5909" s="2889" t="s">
        <v>1632</v>
      </c>
      <c r="C5909" s="2889" t="s">
        <v>1446</v>
      </c>
      <c r="D5909" s="2889" t="s">
        <v>1105</v>
      </c>
      <c r="E5909" s="2889" t="s">
        <v>217</v>
      </c>
      <c r="F5909" s="2890">
        <v>0.9634243155897495</v>
      </c>
      <c r="G5909" s="2890">
        <v>1547.0711299458567</v>
      </c>
    </row>
    <row r="5910" spans="2:7" ht="15" hidden="1" outlineLevel="2">
      <c r="B5910" s="2889" t="s">
        <v>1633</v>
      </c>
      <c r="C5910" s="2889" t="s">
        <v>1446</v>
      </c>
      <c r="D5910" s="2889" t="s">
        <v>1105</v>
      </c>
      <c r="E5910" s="2889" t="s">
        <v>217</v>
      </c>
      <c r="F5910" s="2890">
        <v>3.5191875018602263E-2</v>
      </c>
      <c r="G5910" s="2890">
        <v>56.787343104586185</v>
      </c>
    </row>
    <row r="5911" spans="2:7" ht="15" hidden="1" outlineLevel="2">
      <c r="B5911" s="2889" t="s">
        <v>1634</v>
      </c>
      <c r="C5911" s="2889" t="s">
        <v>1446</v>
      </c>
      <c r="D5911" s="2889" t="s">
        <v>1105</v>
      </c>
      <c r="E5911" s="2889" t="s">
        <v>217</v>
      </c>
      <c r="F5911" s="2890">
        <v>2.4703389359723295E-2</v>
      </c>
      <c r="G5911" s="2890">
        <v>39.904626975997559</v>
      </c>
    </row>
    <row r="5912" spans="2:7" ht="15" hidden="1" outlineLevel="2">
      <c r="B5912" s="2889" t="s">
        <v>1635</v>
      </c>
      <c r="C5912" s="2889" t="s">
        <v>1446</v>
      </c>
      <c r="D5912" s="2889" t="s">
        <v>1105</v>
      </c>
      <c r="E5912" s="2889" t="s">
        <v>217</v>
      </c>
      <c r="F5912" s="3039">
        <v>0.15865918845652613</v>
      </c>
      <c r="G5912" s="2890">
        <v>254.77564134257565</v>
      </c>
    </row>
    <row r="5913" spans="2:7" ht="15" hidden="1" outlineLevel="2">
      <c r="B5913" s="2889" t="s">
        <v>1636</v>
      </c>
      <c r="C5913" s="2889" t="s">
        <v>1446</v>
      </c>
      <c r="D5913" s="2889" t="s">
        <v>1105</v>
      </c>
      <c r="E5913" s="2889" t="s">
        <v>217</v>
      </c>
      <c r="F5913" s="2890">
        <v>6.1164191227447796E-2</v>
      </c>
      <c r="G5913" s="2890">
        <v>98.22678187904684</v>
      </c>
    </row>
    <row r="5914" spans="2:7" ht="15" hidden="1" outlineLevel="2">
      <c r="B5914" s="2889" t="s">
        <v>1637</v>
      </c>
      <c r="C5914" s="2889" t="s">
        <v>1446</v>
      </c>
      <c r="D5914" s="2889" t="s">
        <v>1105</v>
      </c>
      <c r="E5914" s="2889" t="s">
        <v>217</v>
      </c>
      <c r="F5914" s="2890">
        <v>7.2286021513749632E-2</v>
      </c>
      <c r="G5914" s="2890">
        <v>116.64419679347615</v>
      </c>
    </row>
    <row r="5915" spans="2:7" ht="15" hidden="1" outlineLevel="2">
      <c r="B5915" s="2889" t="s">
        <v>1638</v>
      </c>
      <c r="C5915" s="2889" t="s">
        <v>1446</v>
      </c>
      <c r="D5915" s="2889" t="s">
        <v>1105</v>
      </c>
      <c r="E5915" s="2889" t="s">
        <v>217</v>
      </c>
      <c r="F5915" s="3039">
        <v>4.4656108838234801E-2</v>
      </c>
      <c r="G5915" s="2890">
        <v>72.135289792686592</v>
      </c>
    </row>
    <row r="5916" spans="2:7" ht="15" hidden="1" outlineLevel="2">
      <c r="B5916" s="2889" t="s">
        <v>1639</v>
      </c>
      <c r="C5916" s="2889" t="s">
        <v>1446</v>
      </c>
      <c r="D5916" s="2889" t="s">
        <v>1105</v>
      </c>
      <c r="E5916" s="2889" t="s">
        <v>217</v>
      </c>
      <c r="F5916" s="2890">
        <v>0.22256491920155413</v>
      </c>
      <c r="G5916" s="2890">
        <v>359.14144837552897</v>
      </c>
    </row>
    <row r="5917" spans="2:7" ht="15" hidden="1" outlineLevel="2">
      <c r="B5917" s="2889" t="s">
        <v>1640</v>
      </c>
      <c r="C5917" s="2889" t="s">
        <v>1446</v>
      </c>
      <c r="D5917" s="2889" t="s">
        <v>1105</v>
      </c>
      <c r="E5917" s="2889" t="s">
        <v>217</v>
      </c>
      <c r="F5917" s="2890">
        <v>3.3609021293821942E-2</v>
      </c>
      <c r="G5917" s="2890">
        <v>53.717778350960415</v>
      </c>
    </row>
    <row r="5918" spans="2:7" ht="15" hidden="1" outlineLevel="2">
      <c r="B5918" s="2889" t="s">
        <v>1641</v>
      </c>
      <c r="C5918" s="2889" t="s">
        <v>1446</v>
      </c>
      <c r="D5918" s="2889" t="s">
        <v>1105</v>
      </c>
      <c r="E5918" s="2889" t="s">
        <v>217</v>
      </c>
      <c r="F5918" s="2890">
        <v>0.21505005314771897</v>
      </c>
      <c r="G5918" s="2890">
        <v>345.32852670924314</v>
      </c>
    </row>
    <row r="5919" spans="2:7" ht="15" hidden="1" outlineLevel="2">
      <c r="B5919" s="2889" t="s">
        <v>1642</v>
      </c>
      <c r="C5919" s="2889" t="s">
        <v>1446</v>
      </c>
      <c r="D5919" s="2889" t="s">
        <v>1105</v>
      </c>
      <c r="E5919" s="2889" t="s">
        <v>217</v>
      </c>
      <c r="F5919" s="3039">
        <v>0.57155510546904886</v>
      </c>
      <c r="G5919" s="2890">
        <v>917.80655488408775</v>
      </c>
    </row>
    <row r="5920" spans="2:7" ht="15" hidden="1" outlineLevel="2">
      <c r="B5920" s="2889" t="s">
        <v>1643</v>
      </c>
      <c r="C5920" s="2889" t="s">
        <v>1446</v>
      </c>
      <c r="D5920" s="2889" t="s">
        <v>1105</v>
      </c>
      <c r="E5920" s="2889" t="s">
        <v>217</v>
      </c>
      <c r="F5920" s="3039">
        <v>3.5443237065293259E-2</v>
      </c>
      <c r="G5920" s="2890">
        <v>56.822147707017933</v>
      </c>
    </row>
    <row r="5921" spans="2:7" ht="15" hidden="1" outlineLevel="2">
      <c r="B5921" s="2889" t="s">
        <v>1644</v>
      </c>
      <c r="C5921" s="2889" t="s">
        <v>1446</v>
      </c>
      <c r="D5921" s="2889" t="s">
        <v>1105</v>
      </c>
      <c r="E5921" s="2889" t="s">
        <v>217</v>
      </c>
      <c r="F5921" s="3039">
        <v>0.83794719732797318</v>
      </c>
      <c r="G5921" s="2890">
        <v>1352.1526291709292</v>
      </c>
    </row>
    <row r="5922" spans="2:7" ht="15" hidden="1" outlineLevel="2">
      <c r="B5922" s="2889" t="s">
        <v>1645</v>
      </c>
      <c r="C5922" s="2889" t="s">
        <v>1446</v>
      </c>
      <c r="D5922" s="2889" t="s">
        <v>1105</v>
      </c>
      <c r="E5922" s="2889" t="s">
        <v>217</v>
      </c>
      <c r="F5922" s="2890">
        <v>0.64011188036513567</v>
      </c>
      <c r="G5922" s="2890">
        <v>1032.9162570947967</v>
      </c>
    </row>
    <row r="5923" spans="2:7" ht="15" hidden="1" outlineLevel="2">
      <c r="B5923" s="2889" t="s">
        <v>1646</v>
      </c>
      <c r="C5923" s="2889" t="s">
        <v>1446</v>
      </c>
      <c r="D5923" s="2889" t="s">
        <v>1105</v>
      </c>
      <c r="E5923" s="2889" t="s">
        <v>217</v>
      </c>
      <c r="F5923" s="2890">
        <v>7.5506474242336266E-2</v>
      </c>
      <c r="G5923" s="2890">
        <v>121.24863966101067</v>
      </c>
    </row>
    <row r="5924" spans="2:7" ht="15" hidden="1" outlineLevel="2">
      <c r="B5924" s="2889" t="s">
        <v>1647</v>
      </c>
      <c r="C5924" s="2889" t="s">
        <v>1446</v>
      </c>
      <c r="D5924" s="2889" t="s">
        <v>1105</v>
      </c>
      <c r="E5924" s="2889" t="s">
        <v>217</v>
      </c>
      <c r="F5924" s="2890">
        <v>3.4204688948351325E-2</v>
      </c>
      <c r="G5924" s="2890">
        <v>55.25254305238127</v>
      </c>
    </row>
    <row r="5925" spans="2:7" ht="15" hidden="1" outlineLevel="2">
      <c r="B5925" s="2889" t="s">
        <v>1648</v>
      </c>
      <c r="C5925" s="2889" t="s">
        <v>1446</v>
      </c>
      <c r="D5925" s="2889" t="s">
        <v>1105</v>
      </c>
      <c r="E5925" s="2889" t="s">
        <v>217</v>
      </c>
      <c r="F5925" s="2890">
        <v>1.4251953919227468E-2</v>
      </c>
      <c r="G5925" s="2890">
        <v>23.021901071385656</v>
      </c>
    </row>
    <row r="5926" spans="2:7" ht="15" hidden="1" outlineLevel="2">
      <c r="B5926" s="2889" t="s">
        <v>1649</v>
      </c>
      <c r="C5926" s="2889" t="s">
        <v>1446</v>
      </c>
      <c r="D5926" s="2889" t="s">
        <v>1105</v>
      </c>
      <c r="E5926" s="2889" t="s">
        <v>217</v>
      </c>
      <c r="F5926" s="2890">
        <v>6.3658728113471078E-2</v>
      </c>
      <c r="G5926" s="2890">
        <v>102.83117428343876</v>
      </c>
    </row>
    <row r="5927" spans="2:7" ht="15" hidden="1" outlineLevel="2">
      <c r="B5927" s="2889" t="s">
        <v>1650</v>
      </c>
      <c r="C5927" s="2889" t="s">
        <v>1446</v>
      </c>
      <c r="D5927" s="2889" t="s">
        <v>1105</v>
      </c>
      <c r="E5927" s="2889" t="s">
        <v>217</v>
      </c>
      <c r="F5927" s="2890">
        <v>0.14499893087046081</v>
      </c>
      <c r="G5927" s="2890">
        <v>231.75382334130677</v>
      </c>
    </row>
    <row r="5928" spans="2:7" ht="15" hidden="1" outlineLevel="2">
      <c r="B5928" s="2889" t="s">
        <v>1651</v>
      </c>
      <c r="C5928" s="2889" t="s">
        <v>1446</v>
      </c>
      <c r="D5928" s="2889" t="s">
        <v>1105</v>
      </c>
      <c r="E5928" s="2889" t="s">
        <v>217</v>
      </c>
      <c r="F5928" s="2890">
        <v>0.12446704519310667</v>
      </c>
      <c r="G5928" s="2890">
        <v>201.05802446795116</v>
      </c>
    </row>
    <row r="5929" spans="2:7" ht="15" hidden="1" outlineLevel="2">
      <c r="B5929" s="2889" t="s">
        <v>1652</v>
      </c>
      <c r="C5929" s="2889" t="s">
        <v>1446</v>
      </c>
      <c r="D5929" s="2889" t="s">
        <v>1105</v>
      </c>
      <c r="E5929" s="2889" t="s">
        <v>217</v>
      </c>
      <c r="F5929" s="2890">
        <v>7.7910682995426889E-2</v>
      </c>
      <c r="G5929" s="2890">
        <v>125.85307544649778</v>
      </c>
    </row>
    <row r="5930" spans="2:7" ht="15" hidden="1" outlineLevel="2">
      <c r="B5930" s="2889" t="s">
        <v>1653</v>
      </c>
      <c r="C5930" s="2889" t="s">
        <v>1446</v>
      </c>
      <c r="D5930" s="2889" t="s">
        <v>1105</v>
      </c>
      <c r="E5930" s="2889" t="s">
        <v>217</v>
      </c>
      <c r="F5930" s="2890">
        <v>0.60787476836765519</v>
      </c>
      <c r="G5930" s="2890">
        <v>976.12844458231825</v>
      </c>
    </row>
    <row r="5931" spans="2:7" ht="15" hidden="1" outlineLevel="2">
      <c r="B5931" s="2889" t="s">
        <v>1407</v>
      </c>
      <c r="C5931" s="2889" t="s">
        <v>1447</v>
      </c>
      <c r="D5931" s="2889" t="s">
        <v>1105</v>
      </c>
      <c r="E5931" s="2889" t="s">
        <v>217</v>
      </c>
      <c r="F5931" s="2890">
        <v>0.14383021169032278</v>
      </c>
      <c r="G5931" s="2890">
        <v>214.05211103029106</v>
      </c>
    </row>
    <row r="5932" spans="2:7" ht="15" hidden="1" outlineLevel="2">
      <c r="B5932" s="2889" t="s">
        <v>1631</v>
      </c>
      <c r="C5932" s="2889" t="s">
        <v>1447</v>
      </c>
      <c r="D5932" s="2889" t="s">
        <v>1105</v>
      </c>
      <c r="E5932" s="2889" t="s">
        <v>217</v>
      </c>
      <c r="F5932" s="3039">
        <v>1.4731857228006735</v>
      </c>
      <c r="G5932" s="2890">
        <v>2170.1600656973615</v>
      </c>
    </row>
    <row r="5933" spans="2:7" ht="15" hidden="1" outlineLevel="2">
      <c r="B5933" s="2889" t="s">
        <v>1632</v>
      </c>
      <c r="C5933" s="2889" t="s">
        <v>1447</v>
      </c>
      <c r="D5933" s="2889" t="s">
        <v>1105</v>
      </c>
      <c r="E5933" s="2889" t="s">
        <v>217</v>
      </c>
      <c r="F5933" s="3039">
        <v>2.2199933029878864</v>
      </c>
      <c r="G5933" s="2890">
        <v>3319.4559034055983</v>
      </c>
    </row>
    <row r="5934" spans="2:7" ht="15" hidden="1" outlineLevel="2">
      <c r="B5934" s="2889" t="s">
        <v>1633</v>
      </c>
      <c r="C5934" s="2889" t="s">
        <v>1447</v>
      </c>
      <c r="D5934" s="2889" t="s">
        <v>1105</v>
      </c>
      <c r="E5934" s="2889" t="s">
        <v>217</v>
      </c>
      <c r="F5934" s="2890">
        <v>8.1088857052143304E-2</v>
      </c>
      <c r="G5934" s="2890">
        <v>121.84503430042093</v>
      </c>
    </row>
    <row r="5935" spans="2:7" ht="15" hidden="1" outlineLevel="2">
      <c r="B5935" s="2889" t="s">
        <v>1634</v>
      </c>
      <c r="C5935" s="2889" t="s">
        <v>1447</v>
      </c>
      <c r="D5935" s="2889" t="s">
        <v>1105</v>
      </c>
      <c r="E5935" s="2889" t="s">
        <v>217</v>
      </c>
      <c r="F5935" s="2890">
        <v>5.6920914715594961E-2</v>
      </c>
      <c r="G5935" s="2890">
        <v>85.620825559936463</v>
      </c>
    </row>
    <row r="5936" spans="2:7" ht="15" hidden="1" outlineLevel="2">
      <c r="B5936" s="2889" t="s">
        <v>1635</v>
      </c>
      <c r="C5936" s="2889" t="s">
        <v>1447</v>
      </c>
      <c r="D5936" s="2889" t="s">
        <v>1105</v>
      </c>
      <c r="E5936" s="2889" t="s">
        <v>217</v>
      </c>
      <c r="F5936" s="2890">
        <v>0.36559419984828079</v>
      </c>
      <c r="G5936" s="2890">
        <v>546.6563137025538</v>
      </c>
    </row>
    <row r="5937" spans="2:7" ht="15" hidden="1" outlineLevel="2">
      <c r="B5937" s="2889" t="s">
        <v>1636</v>
      </c>
      <c r="C5937" s="2889" t="s">
        <v>1447</v>
      </c>
      <c r="D5937" s="2889" t="s">
        <v>1105</v>
      </c>
      <c r="E5937" s="2889" t="s">
        <v>217</v>
      </c>
      <c r="F5937" s="2890">
        <v>0.14093893559249601</v>
      </c>
      <c r="G5937" s="2890">
        <v>210.75909828079961</v>
      </c>
    </row>
    <row r="5938" spans="2:7" ht="15" hidden="1" outlineLevel="2">
      <c r="B5938" s="2889" t="s">
        <v>1637</v>
      </c>
      <c r="C5938" s="2889" t="s">
        <v>1447</v>
      </c>
      <c r="D5938" s="2889" t="s">
        <v>1105</v>
      </c>
      <c r="E5938" s="2889" t="s">
        <v>217</v>
      </c>
      <c r="F5938" s="2890">
        <v>0.16656087015012072</v>
      </c>
      <c r="G5938" s="2890">
        <v>250.27638965328114</v>
      </c>
    </row>
    <row r="5939" spans="2:7" ht="15" hidden="1" outlineLevel="2">
      <c r="B5939" s="2889" t="s">
        <v>1638</v>
      </c>
      <c r="C5939" s="2889" t="s">
        <v>1447</v>
      </c>
      <c r="D5939" s="2889" t="s">
        <v>1105</v>
      </c>
      <c r="E5939" s="2889" t="s">
        <v>217</v>
      </c>
      <c r="F5939" s="2890">
        <v>0.10289544200947633</v>
      </c>
      <c r="G5939" s="2890">
        <v>154.77617555257081</v>
      </c>
    </row>
    <row r="5940" spans="2:7" ht="15" hidden="1" outlineLevel="2">
      <c r="B5940" s="2889" t="s">
        <v>1639</v>
      </c>
      <c r="C5940" s="2889" t="s">
        <v>1447</v>
      </c>
      <c r="D5940" s="2889" t="s">
        <v>1105</v>
      </c>
      <c r="E5940" s="2889" t="s">
        <v>217</v>
      </c>
      <c r="F5940" s="2890">
        <v>0.51283233404281592</v>
      </c>
      <c r="G5940" s="2890">
        <v>770.58814050435888</v>
      </c>
    </row>
    <row r="5941" spans="2:7" ht="15" hidden="1" outlineLevel="2">
      <c r="B5941" s="2889" t="s">
        <v>1640</v>
      </c>
      <c r="C5941" s="2889" t="s">
        <v>1447</v>
      </c>
      <c r="D5941" s="2889" t="s">
        <v>1105</v>
      </c>
      <c r="E5941" s="2889" t="s">
        <v>217</v>
      </c>
      <c r="F5941" s="2890">
        <v>7.7447056589120711E-2</v>
      </c>
      <c r="G5941" s="2890">
        <v>115.2589278892364</v>
      </c>
    </row>
    <row r="5942" spans="2:7" ht="15" hidden="1" outlineLevel="2">
      <c r="B5942" s="2889" t="s">
        <v>1641</v>
      </c>
      <c r="C5942" s="2889" t="s">
        <v>1447</v>
      </c>
      <c r="D5942" s="2889" t="s">
        <v>1105</v>
      </c>
      <c r="E5942" s="2889" t="s">
        <v>217</v>
      </c>
      <c r="F5942" s="2890">
        <v>0.49553419167077961</v>
      </c>
      <c r="G5942" s="2890">
        <v>740.94993506092646</v>
      </c>
    </row>
    <row r="5943" spans="2:7" ht="15" hidden="1" outlineLevel="2">
      <c r="B5943" s="2889" t="s">
        <v>1642</v>
      </c>
      <c r="C5943" s="2889" t="s">
        <v>1447</v>
      </c>
      <c r="D5943" s="2889" t="s">
        <v>1105</v>
      </c>
      <c r="E5943" s="2889" t="s">
        <v>217</v>
      </c>
      <c r="F5943" s="2890">
        <v>1.317020106687121</v>
      </c>
      <c r="G5943" s="2890">
        <v>1969.2802490318973</v>
      </c>
    </row>
    <row r="5944" spans="2:7" ht="15" hidden="1" outlineLevel="2">
      <c r="B5944" s="2889" t="s">
        <v>1643</v>
      </c>
      <c r="C5944" s="2889" t="s">
        <v>1447</v>
      </c>
      <c r="D5944" s="2889" t="s">
        <v>1105</v>
      </c>
      <c r="E5944" s="2889" t="s">
        <v>217</v>
      </c>
      <c r="F5944" s="2890">
        <v>8.1671922425588184E-2</v>
      </c>
      <c r="G5944" s="2890">
        <v>121.91973657939863</v>
      </c>
    </row>
    <row r="5945" spans="2:7" ht="15" hidden="1" outlineLevel="2">
      <c r="B5945" s="2889" t="s">
        <v>1644</v>
      </c>
      <c r="C5945" s="2889" t="s">
        <v>1447</v>
      </c>
      <c r="D5945" s="2889" t="s">
        <v>1105</v>
      </c>
      <c r="E5945" s="2889" t="s">
        <v>217</v>
      </c>
      <c r="F5945" s="2890">
        <v>1.9307916426153819</v>
      </c>
      <c r="G5945" s="2890">
        <v>2901.2304510351387</v>
      </c>
    </row>
    <row r="5946" spans="2:7" ht="15" hidden="1" outlineLevel="2">
      <c r="B5946" s="2889" t="s">
        <v>1645</v>
      </c>
      <c r="C5946" s="2889" t="s">
        <v>1447</v>
      </c>
      <c r="D5946" s="2889" t="s">
        <v>1105</v>
      </c>
      <c r="E5946" s="2889" t="s">
        <v>217</v>
      </c>
      <c r="F5946" s="2890">
        <v>1.4749403806671226</v>
      </c>
      <c r="G5946" s="2890">
        <v>2216.2633736554017</v>
      </c>
    </row>
    <row r="5947" spans="2:7" ht="15" hidden="1" outlineLevel="2">
      <c r="B5947" s="2889" t="s">
        <v>1646</v>
      </c>
      <c r="C5947" s="2889" t="s">
        <v>1447</v>
      </c>
      <c r="D5947" s="2889" t="s">
        <v>1105</v>
      </c>
      <c r="E5947" s="2889" t="s">
        <v>217</v>
      </c>
      <c r="F5947" s="2890">
        <v>0.17398757882652927</v>
      </c>
      <c r="G5947" s="2890">
        <v>260.15560875552171</v>
      </c>
    </row>
    <row r="5948" spans="2:7" ht="15" hidden="1" outlineLevel="2">
      <c r="B5948" s="2889" t="s">
        <v>1647</v>
      </c>
      <c r="C5948" s="2889" t="s">
        <v>1447</v>
      </c>
      <c r="D5948" s="2889" t="s">
        <v>1105</v>
      </c>
      <c r="E5948" s="2889" t="s">
        <v>217</v>
      </c>
      <c r="F5948" s="2890">
        <v>7.8813589588410476E-2</v>
      </c>
      <c r="G5948" s="2890">
        <v>118.55187680576191</v>
      </c>
    </row>
    <row r="5949" spans="2:7" ht="15" hidden="1" outlineLevel="2">
      <c r="B5949" s="2889" t="s">
        <v>1648</v>
      </c>
      <c r="C5949" s="2889" t="s">
        <v>1447</v>
      </c>
      <c r="D5949" s="2889" t="s">
        <v>1105</v>
      </c>
      <c r="E5949" s="2889" t="s">
        <v>217</v>
      </c>
      <c r="F5949" s="3039">
        <v>3.2838998701065943E-2</v>
      </c>
      <c r="G5949" s="2890">
        <v>49.396644477034144</v>
      </c>
    </row>
    <row r="5950" spans="2:7" ht="15" hidden="1" outlineLevel="2">
      <c r="B5950" s="2889" t="s">
        <v>1649</v>
      </c>
      <c r="C5950" s="2889" t="s">
        <v>1447</v>
      </c>
      <c r="D5950" s="2889" t="s">
        <v>1105</v>
      </c>
      <c r="E5950" s="2889" t="s">
        <v>217</v>
      </c>
      <c r="F5950" s="3039">
        <v>0.14668078929074529</v>
      </c>
      <c r="G5950" s="2890">
        <v>220.63834412112848</v>
      </c>
    </row>
    <row r="5951" spans="2:7" ht="15" hidden="1" outlineLevel="2">
      <c r="B5951" s="2889" t="s">
        <v>1650</v>
      </c>
      <c r="C5951" s="2889" t="s">
        <v>1447</v>
      </c>
      <c r="D5951" s="2889" t="s">
        <v>1105</v>
      </c>
      <c r="E5951" s="2889" t="s">
        <v>217</v>
      </c>
      <c r="F5951" s="3039">
        <v>0.33412861213816575</v>
      </c>
      <c r="G5951" s="2890">
        <v>497.25966103150762</v>
      </c>
    </row>
    <row r="5952" spans="2:7" ht="15" hidden="1" outlineLevel="2">
      <c r="B5952" s="2889" t="s">
        <v>1651</v>
      </c>
      <c r="C5952" s="2889" t="s">
        <v>1447</v>
      </c>
      <c r="D5952" s="2889" t="s">
        <v>1105</v>
      </c>
      <c r="E5952" s="2889" t="s">
        <v>217</v>
      </c>
      <c r="F5952" s="3039">
        <v>0.28679385297718296</v>
      </c>
      <c r="G5952" s="2890">
        <v>431.39743494108751</v>
      </c>
    </row>
    <row r="5953" spans="2:7" ht="15" hidden="1" outlineLevel="2">
      <c r="B5953" s="2889" t="s">
        <v>1652</v>
      </c>
      <c r="C5953" s="2889" t="s">
        <v>1447</v>
      </c>
      <c r="D5953" s="2889" t="s">
        <v>1105</v>
      </c>
      <c r="E5953" s="2889" t="s">
        <v>217</v>
      </c>
      <c r="F5953" s="3039">
        <v>0.17951986564079098</v>
      </c>
      <c r="G5953" s="2890">
        <v>270.03503580500643</v>
      </c>
    </row>
    <row r="5954" spans="2:7" ht="15" hidden="1" outlineLevel="2">
      <c r="B5954" s="2889" t="s">
        <v>1653</v>
      </c>
      <c r="C5954" s="2889" t="s">
        <v>1447</v>
      </c>
      <c r="D5954" s="2889" t="s">
        <v>1105</v>
      </c>
      <c r="E5954" s="2889" t="s">
        <v>217</v>
      </c>
      <c r="F5954" s="3039">
        <v>1.4007102895760024</v>
      </c>
      <c r="G5954" s="2890">
        <v>2094.4194370128689</v>
      </c>
    </row>
    <row r="5955" spans="2:7" ht="15" hidden="1" outlineLevel="2">
      <c r="B5955" s="2889" t="s">
        <v>1407</v>
      </c>
      <c r="C5955" s="2889" t="s">
        <v>1448</v>
      </c>
      <c r="D5955" s="2889" t="s">
        <v>1105</v>
      </c>
      <c r="E5955" s="2889" t="s">
        <v>217</v>
      </c>
      <c r="F5955" s="3039">
        <v>0.27166171761358199</v>
      </c>
      <c r="G5955" s="2890">
        <v>337.22070169515143</v>
      </c>
    </row>
    <row r="5956" spans="2:7" ht="15" hidden="1" outlineLevel="2">
      <c r="B5956" s="2889" t="s">
        <v>1631</v>
      </c>
      <c r="C5956" s="2889" t="s">
        <v>1448</v>
      </c>
      <c r="D5956" s="2889" t="s">
        <v>1105</v>
      </c>
      <c r="E5956" s="2889" t="s">
        <v>217</v>
      </c>
      <c r="F5956" s="3039">
        <v>2.7827754777491314</v>
      </c>
      <c r="G5956" s="2890">
        <v>3418.8975955506776</v>
      </c>
    </row>
    <row r="5957" spans="2:7" ht="15" hidden="1" outlineLevel="2">
      <c r="B5957" s="2889" t="s">
        <v>1632</v>
      </c>
      <c r="C5957" s="2889" t="s">
        <v>1448</v>
      </c>
      <c r="D5957" s="2889" t="s">
        <v>1105</v>
      </c>
      <c r="E5957" s="2889" t="s">
        <v>217</v>
      </c>
      <c r="F5957" s="3039">
        <v>4.1928603075270461</v>
      </c>
      <c r="G5957" s="2890">
        <v>5229.5111581098772</v>
      </c>
    </row>
    <row r="5958" spans="2:7" ht="15" hidden="1" outlineLevel="2">
      <c r="B5958" s="2889" t="s">
        <v>1633</v>
      </c>
      <c r="C5958" s="2889" t="s">
        <v>1448</v>
      </c>
      <c r="D5958" s="2889" t="s">
        <v>1105</v>
      </c>
      <c r="E5958" s="2889" t="s">
        <v>217</v>
      </c>
      <c r="F5958" s="3039">
        <v>0.15314380399161515</v>
      </c>
      <c r="G5958" s="2890">
        <v>191.95625433998825</v>
      </c>
    </row>
    <row r="5959" spans="2:7" ht="15" hidden="1" outlineLevel="2">
      <c r="B5959" s="2889" t="s">
        <v>1634</v>
      </c>
      <c r="C5959" s="2889" t="s">
        <v>1448</v>
      </c>
      <c r="D5959" s="2889" t="s">
        <v>1105</v>
      </c>
      <c r="E5959" s="2889" t="s">
        <v>217</v>
      </c>
      <c r="F5959" s="2890">
        <v>0.1074992685860421</v>
      </c>
      <c r="G5959" s="2890">
        <v>134.88819874619705</v>
      </c>
    </row>
    <row r="5960" spans="2:7" ht="15" hidden="1" outlineLevel="2">
      <c r="B5960" s="2889" t="s">
        <v>1635</v>
      </c>
      <c r="C5960" s="2889" t="s">
        <v>1448</v>
      </c>
      <c r="D5960" s="2889" t="s">
        <v>1105</v>
      </c>
      <c r="E5960" s="2889" t="s">
        <v>217</v>
      </c>
      <c r="F5960" s="2890">
        <v>0.69049082898012282</v>
      </c>
      <c r="G5960" s="2890">
        <v>861.20957486736324</v>
      </c>
    </row>
    <row r="5961" spans="2:7" ht="15" hidden="1" outlineLevel="2">
      <c r="B5961" s="2889" t="s">
        <v>1636</v>
      </c>
      <c r="C5961" s="2889" t="s">
        <v>1448</v>
      </c>
      <c r="D5961" s="2889" t="s">
        <v>1105</v>
      </c>
      <c r="E5961" s="2889" t="s">
        <v>217</v>
      </c>
      <c r="F5961" s="3039">
        <v>0.26618859834949959</v>
      </c>
      <c r="G5961" s="2890">
        <v>332.03260134701856</v>
      </c>
    </row>
    <row r="5962" spans="2:7" ht="15" hidden="1" outlineLevel="2">
      <c r="B5962" s="2889" t="s">
        <v>1637</v>
      </c>
      <c r="C5962" s="2889" t="s">
        <v>1448</v>
      </c>
      <c r="D5962" s="2889" t="s">
        <v>1105</v>
      </c>
      <c r="E5962" s="2889" t="s">
        <v>217</v>
      </c>
      <c r="F5962" s="2890">
        <v>0.31456564551731547</v>
      </c>
      <c r="G5962" s="2890">
        <v>394.28869209894185</v>
      </c>
    </row>
    <row r="5963" spans="2:7" ht="15" hidden="1" outlineLevel="2">
      <c r="B5963" s="2889" t="s">
        <v>1638</v>
      </c>
      <c r="C5963" s="2889" t="s">
        <v>1448</v>
      </c>
      <c r="D5963" s="2889" t="s">
        <v>1105</v>
      </c>
      <c r="E5963" s="2889" t="s">
        <v>217</v>
      </c>
      <c r="F5963" s="2890">
        <v>0.19432560743005151</v>
      </c>
      <c r="G5963" s="2890">
        <v>243.83653898268093</v>
      </c>
    </row>
    <row r="5964" spans="2:7" ht="15" hidden="1" outlineLevel="2">
      <c r="B5964" s="2889" t="s">
        <v>1639</v>
      </c>
      <c r="C5964" s="2889" t="s">
        <v>1448</v>
      </c>
      <c r="D5964" s="2889" t="s">
        <v>1105</v>
      </c>
      <c r="E5964" s="2889" t="s">
        <v>217</v>
      </c>
      <c r="F5964" s="2890">
        <v>0.96853124357559817</v>
      </c>
      <c r="G5964" s="2890">
        <v>1213.9942719704384</v>
      </c>
    </row>
    <row r="5965" spans="2:7" ht="15" hidden="1" outlineLevel="2">
      <c r="B5965" s="2889" t="s">
        <v>1640</v>
      </c>
      <c r="C5965" s="2889" t="s">
        <v>1448</v>
      </c>
      <c r="D5965" s="2889" t="s">
        <v>1105</v>
      </c>
      <c r="E5965" s="2889" t="s">
        <v>217</v>
      </c>
      <c r="F5965" s="2890">
        <v>0.14627938465953266</v>
      </c>
      <c r="G5965" s="2890">
        <v>181.5803948812293</v>
      </c>
    </row>
    <row r="5966" spans="2:7" ht="15" hidden="1" outlineLevel="2">
      <c r="B5966" s="2889" t="s">
        <v>1641</v>
      </c>
      <c r="C5966" s="2889" t="s">
        <v>1448</v>
      </c>
      <c r="D5966" s="2889" t="s">
        <v>1105</v>
      </c>
      <c r="E5966" s="2889" t="s">
        <v>217</v>
      </c>
      <c r="F5966" s="2890">
        <v>0.93590642091496123</v>
      </c>
      <c r="G5966" s="2890">
        <v>1167.3019448411928</v>
      </c>
    </row>
    <row r="5967" spans="2:7" ht="15" hidden="1" outlineLevel="2">
      <c r="B5967" s="2889" t="s">
        <v>1642</v>
      </c>
      <c r="C5967" s="2889" t="s">
        <v>1448</v>
      </c>
      <c r="D5967" s="2889" t="s">
        <v>1105</v>
      </c>
      <c r="E5967" s="2889" t="s">
        <v>217</v>
      </c>
      <c r="F5967" s="2890">
        <v>2.4874314326763627</v>
      </c>
      <c r="G5967" s="2890">
        <v>3102.4304220529284</v>
      </c>
    </row>
    <row r="5968" spans="2:7" ht="15" hidden="1" outlineLevel="2">
      <c r="B5968" s="2889" t="s">
        <v>1643</v>
      </c>
      <c r="C5968" s="2889" t="s">
        <v>1448</v>
      </c>
      <c r="D5968" s="2889" t="s">
        <v>1105</v>
      </c>
      <c r="E5968" s="2889" t="s">
        <v>217</v>
      </c>
      <c r="F5968" s="2890">
        <v>0.15425464245185572</v>
      </c>
      <c r="G5968" s="2890">
        <v>192.07402631619459</v>
      </c>
    </row>
    <row r="5969" spans="2:7" ht="15" hidden="1" outlineLevel="2">
      <c r="B5969" s="2889" t="s">
        <v>1644</v>
      </c>
      <c r="C5969" s="2889" t="s">
        <v>1448</v>
      </c>
      <c r="D5969" s="2889" t="s">
        <v>1105</v>
      </c>
      <c r="E5969" s="2889" t="s">
        <v>217</v>
      </c>
      <c r="F5969" s="2890">
        <v>3.6464778276617857</v>
      </c>
      <c r="G5969" s="2890">
        <v>4570.6352909658926</v>
      </c>
    </row>
    <row r="5970" spans="2:7" ht="15" hidden="1" outlineLevel="2">
      <c r="B5970" s="2889" t="s">
        <v>1645</v>
      </c>
      <c r="C5970" s="2889" t="s">
        <v>1448</v>
      </c>
      <c r="D5970" s="2889" t="s">
        <v>1105</v>
      </c>
      <c r="E5970" s="2889" t="s">
        <v>217</v>
      </c>
      <c r="F5970" s="2890">
        <v>2.7855611929633168</v>
      </c>
      <c r="G5970" s="2890">
        <v>3491.5301087410762</v>
      </c>
    </row>
    <row r="5971" spans="2:7" ht="15" hidden="1" outlineLevel="2">
      <c r="B5971" s="2889" t="s">
        <v>1646</v>
      </c>
      <c r="C5971" s="2889" t="s">
        <v>1448</v>
      </c>
      <c r="D5971" s="2889" t="s">
        <v>1105</v>
      </c>
      <c r="E5971" s="2889" t="s">
        <v>217</v>
      </c>
      <c r="F5971" s="2890">
        <v>0.32860710657978875</v>
      </c>
      <c r="G5971" s="2890">
        <v>409.85242677404693</v>
      </c>
    </row>
    <row r="5972" spans="2:7" ht="15" hidden="1" outlineLevel="2">
      <c r="B5972" s="2889" t="s">
        <v>1647</v>
      </c>
      <c r="C5972" s="2889" t="s">
        <v>1448</v>
      </c>
      <c r="D5972" s="2889" t="s">
        <v>1105</v>
      </c>
      <c r="E5972" s="2889" t="s">
        <v>217</v>
      </c>
      <c r="F5972" s="2890">
        <v>0.14884514215540387</v>
      </c>
      <c r="G5972" s="2890">
        <v>186.76818593676472</v>
      </c>
    </row>
    <row r="5973" spans="2:7" ht="15" hidden="1" outlineLevel="2">
      <c r="B5973" s="2889" t="s">
        <v>1648</v>
      </c>
      <c r="C5973" s="2889" t="s">
        <v>1448</v>
      </c>
      <c r="D5973" s="2889" t="s">
        <v>1105</v>
      </c>
      <c r="E5973" s="2889" t="s">
        <v>217</v>
      </c>
      <c r="F5973" s="2890">
        <v>6.2018813596753569E-2</v>
      </c>
      <c r="G5973" s="2890">
        <v>77.820125626903021</v>
      </c>
    </row>
    <row r="5974" spans="2:7" ht="15" hidden="1" outlineLevel="2">
      <c r="B5974" s="2889" t="s">
        <v>1649</v>
      </c>
      <c r="C5974" s="2889" t="s">
        <v>1448</v>
      </c>
      <c r="D5974" s="2889" t="s">
        <v>1105</v>
      </c>
      <c r="E5974" s="2889" t="s">
        <v>217</v>
      </c>
      <c r="F5974" s="2890">
        <v>0.2770173420855857</v>
      </c>
      <c r="G5974" s="2890">
        <v>347.59643894986755</v>
      </c>
    </row>
    <row r="5975" spans="2:7" ht="15" hidden="1" outlineLevel="2">
      <c r="B5975" s="2889" t="s">
        <v>1650</v>
      </c>
      <c r="C5975" s="2889" t="s">
        <v>1448</v>
      </c>
      <c r="D5975" s="2889" t="s">
        <v>1105</v>
      </c>
      <c r="E5975" s="2889" t="s">
        <v>217</v>
      </c>
      <c r="F5975" s="2890">
        <v>0.63109104046865494</v>
      </c>
      <c r="G5975" s="2890">
        <v>839.9627993340473</v>
      </c>
    </row>
    <row r="5976" spans="2:7" ht="15" hidden="1" outlineLevel="2">
      <c r="B5976" s="2889" t="s">
        <v>1651</v>
      </c>
      <c r="C5976" s="2889" t="s">
        <v>1448</v>
      </c>
      <c r="D5976" s="2889" t="s">
        <v>1105</v>
      </c>
      <c r="E5976" s="2889" t="s">
        <v>217</v>
      </c>
      <c r="F5976" s="2890">
        <v>0.54163096415622658</v>
      </c>
      <c r="G5976" s="2890">
        <v>679.62908687562094</v>
      </c>
    </row>
    <row r="5977" spans="2:7" ht="15" hidden="1" outlineLevel="2">
      <c r="B5977" s="2889" t="s">
        <v>1652</v>
      </c>
      <c r="C5977" s="2889" t="s">
        <v>1448</v>
      </c>
      <c r="D5977" s="2889" t="s">
        <v>1105</v>
      </c>
      <c r="E5977" s="2889" t="s">
        <v>217</v>
      </c>
      <c r="F5977" s="2890">
        <v>0.33903614549757299</v>
      </c>
      <c r="G5977" s="2890">
        <v>425.41668256838119</v>
      </c>
    </row>
    <row r="5978" spans="2:7" ht="15" hidden="1" outlineLevel="2">
      <c r="B5978" s="2889" t="s">
        <v>1653</v>
      </c>
      <c r="C5978" s="2889" t="s">
        <v>1448</v>
      </c>
      <c r="D5978" s="2889" t="s">
        <v>1105</v>
      </c>
      <c r="E5978" s="2889" t="s">
        <v>217</v>
      </c>
      <c r="F5978" s="2890">
        <v>2.6454950497395657</v>
      </c>
      <c r="G5978" s="2890">
        <v>3299.5742241188864</v>
      </c>
    </row>
    <row r="5979" spans="2:7" ht="15" hidden="1" outlineLevel="2">
      <c r="B5979" s="2889" t="s">
        <v>1407</v>
      </c>
      <c r="C5979" s="2889" t="s">
        <v>1449</v>
      </c>
      <c r="D5979" s="2889" t="s">
        <v>1105</v>
      </c>
      <c r="E5979" s="2889" t="s">
        <v>217</v>
      </c>
      <c r="F5979" s="2890">
        <v>1.1565134777539565E-2</v>
      </c>
      <c r="G5979" s="2890">
        <v>15.860966418852914</v>
      </c>
    </row>
    <row r="5980" spans="2:7" ht="15" hidden="1" outlineLevel="2">
      <c r="B5980" s="2889" t="s">
        <v>1631</v>
      </c>
      <c r="C5980" s="2889" t="s">
        <v>1449</v>
      </c>
      <c r="D5980" s="2889" t="s">
        <v>1105</v>
      </c>
      <c r="E5980" s="2889" t="s">
        <v>217</v>
      </c>
      <c r="F5980" s="2890">
        <v>0.11846688800462295</v>
      </c>
      <c r="G5980" s="2890">
        <v>160.80583685890625</v>
      </c>
    </row>
    <row r="5981" spans="2:7" ht="15" hidden="1" outlineLevel="2">
      <c r="B5981" s="2889" t="s">
        <v>1632</v>
      </c>
      <c r="C5981" s="2889" t="s">
        <v>1449</v>
      </c>
      <c r="D5981" s="2889" t="s">
        <v>1105</v>
      </c>
      <c r="E5981" s="2889" t="s">
        <v>217</v>
      </c>
      <c r="F5981" s="2890">
        <v>0.17849838683746341</v>
      </c>
      <c r="G5981" s="2890">
        <v>245.96709721365178</v>
      </c>
    </row>
    <row r="5982" spans="2:7" ht="15" hidden="1" outlineLevel="2">
      <c r="B5982" s="2889" t="s">
        <v>1633</v>
      </c>
      <c r="C5982" s="2889" t="s">
        <v>1449</v>
      </c>
      <c r="D5982" s="2889" t="s">
        <v>1105</v>
      </c>
      <c r="E5982" s="2889" t="s">
        <v>217</v>
      </c>
      <c r="F5982" s="3039">
        <v>6.5196598144264773E-3</v>
      </c>
      <c r="G5982" s="2890">
        <v>9.0285559139728306</v>
      </c>
    </row>
    <row r="5983" spans="2:7" ht="15" hidden="1" outlineLevel="2">
      <c r="B5983" s="2889" t="s">
        <v>1634</v>
      </c>
      <c r="C5983" s="2889" t="s">
        <v>1449</v>
      </c>
      <c r="D5983" s="2889" t="s">
        <v>1105</v>
      </c>
      <c r="E5983" s="2889" t="s">
        <v>217</v>
      </c>
      <c r="F5983" s="3039">
        <v>4.5764779604096882E-3</v>
      </c>
      <c r="G5983" s="2890">
        <v>6.3443900229961221</v>
      </c>
    </row>
    <row r="5984" spans="2:7" ht="15" hidden="1" outlineLevel="2">
      <c r="B5984" s="2889" t="s">
        <v>1635</v>
      </c>
      <c r="C5984" s="2889" t="s">
        <v>1449</v>
      </c>
      <c r="D5984" s="2889" t="s">
        <v>1105</v>
      </c>
      <c r="E5984" s="2889" t="s">
        <v>217</v>
      </c>
      <c r="F5984" s="3039">
        <v>2.9395560416299052E-2</v>
      </c>
      <c r="G5984" s="2890">
        <v>40.506502265385294</v>
      </c>
    </row>
    <row r="5985" spans="2:7" ht="15" hidden="1" outlineLevel="2">
      <c r="B5985" s="2889" t="s">
        <v>1636</v>
      </c>
      <c r="C5985" s="2889" t="s">
        <v>1449</v>
      </c>
      <c r="D5985" s="2889" t="s">
        <v>1105</v>
      </c>
      <c r="E5985" s="2889" t="s">
        <v>217</v>
      </c>
      <c r="F5985" s="3039">
        <v>1.1332175635057546E-2</v>
      </c>
      <c r="G5985" s="2890">
        <v>15.616966404101557</v>
      </c>
    </row>
    <row r="5986" spans="2:7" ht="15" hidden="1" outlineLevel="2">
      <c r="B5986" s="2889" t="s">
        <v>1637</v>
      </c>
      <c r="C5986" s="2889" t="s">
        <v>1449</v>
      </c>
      <c r="D5986" s="2889" t="s">
        <v>1105</v>
      </c>
      <c r="E5986" s="2889" t="s">
        <v>217</v>
      </c>
      <c r="F5986" s="3039">
        <v>1.3391730923369885E-2</v>
      </c>
      <c r="G5986" s="2890">
        <v>18.545142022193009</v>
      </c>
    </row>
    <row r="5987" spans="2:7" ht="15" hidden="1" outlineLevel="2">
      <c r="B5987" s="2889" t="s">
        <v>1638</v>
      </c>
      <c r="C5987" s="2889" t="s">
        <v>1449</v>
      </c>
      <c r="D5987" s="2889" t="s">
        <v>1105</v>
      </c>
      <c r="E5987" s="2889" t="s">
        <v>217</v>
      </c>
      <c r="F5987" s="3039">
        <v>8.2728634297405054E-3</v>
      </c>
      <c r="G5987" s="2890">
        <v>11.46870366904267</v>
      </c>
    </row>
    <row r="5988" spans="2:7" ht="15" hidden="1" outlineLevel="2">
      <c r="B5988" s="2889" t="s">
        <v>1639</v>
      </c>
      <c r="C5988" s="2889" t="s">
        <v>1449</v>
      </c>
      <c r="D5988" s="2889" t="s">
        <v>1105</v>
      </c>
      <c r="E5988" s="2889" t="s">
        <v>217</v>
      </c>
      <c r="F5988" s="2890">
        <v>4.1232440009336686E-2</v>
      </c>
      <c r="G5988" s="2890">
        <v>57.099512826849697</v>
      </c>
    </row>
    <row r="5989" spans="2:7" ht="15" hidden="1" outlineLevel="2">
      <c r="B5989" s="2889" t="s">
        <v>1640</v>
      </c>
      <c r="C5989" s="2889" t="s">
        <v>1449</v>
      </c>
      <c r="D5989" s="2889" t="s">
        <v>1105</v>
      </c>
      <c r="E5989" s="2889" t="s">
        <v>217</v>
      </c>
      <c r="F5989" s="2890">
        <v>6.2273813898424974E-3</v>
      </c>
      <c r="G5989" s="2890">
        <v>8.5405242930944851</v>
      </c>
    </row>
    <row r="5990" spans="2:7" ht="15" hidden="1" outlineLevel="2">
      <c r="B5990" s="2889" t="s">
        <v>1641</v>
      </c>
      <c r="C5990" s="2889" t="s">
        <v>1449</v>
      </c>
      <c r="D5990" s="2889" t="s">
        <v>1105</v>
      </c>
      <c r="E5990" s="2889" t="s">
        <v>217</v>
      </c>
      <c r="F5990" s="2890">
        <v>3.9843379563300828E-2</v>
      </c>
      <c r="G5990" s="2890">
        <v>54.903380383993714</v>
      </c>
    </row>
    <row r="5991" spans="2:7" ht="15" hidden="1" outlineLevel="2">
      <c r="B5991" s="2889" t="s">
        <v>1642</v>
      </c>
      <c r="C5991" s="2889" t="s">
        <v>1449</v>
      </c>
      <c r="D5991" s="2889" t="s">
        <v>1105</v>
      </c>
      <c r="E5991" s="2889" t="s">
        <v>217</v>
      </c>
      <c r="F5991" s="2890">
        <v>0.10589484503523743</v>
      </c>
      <c r="G5991" s="2890">
        <v>145.92091777535475</v>
      </c>
    </row>
    <row r="5992" spans="2:7" ht="15" hidden="1" outlineLevel="2">
      <c r="B5992" s="2889" t="s">
        <v>1643</v>
      </c>
      <c r="C5992" s="2889" t="s">
        <v>1449</v>
      </c>
      <c r="D5992" s="2889" t="s">
        <v>1105</v>
      </c>
      <c r="E5992" s="2889" t="s">
        <v>217</v>
      </c>
      <c r="F5992" s="2890">
        <v>6.566916609476457E-3</v>
      </c>
      <c r="G5992" s="2890">
        <v>9.0340883773261424</v>
      </c>
    </row>
    <row r="5993" spans="2:7" ht="15" hidden="1" outlineLevel="2">
      <c r="B5993" s="2889" t="s">
        <v>1644</v>
      </c>
      <c r="C5993" s="2889" t="s">
        <v>1449</v>
      </c>
      <c r="D5993" s="2889" t="s">
        <v>1105</v>
      </c>
      <c r="E5993" s="2889" t="s">
        <v>217</v>
      </c>
      <c r="F5993" s="2890">
        <v>0.15523835936171626</v>
      </c>
      <c r="G5993" s="2890">
        <v>214.97737739323549</v>
      </c>
    </row>
    <row r="5994" spans="2:7" ht="15" hidden="1" outlineLevel="2">
      <c r="B5994" s="2889" t="s">
        <v>1645</v>
      </c>
      <c r="C5994" s="2889" t="s">
        <v>1449</v>
      </c>
      <c r="D5994" s="2889" t="s">
        <v>1105</v>
      </c>
      <c r="E5994" s="2889" t="s">
        <v>217</v>
      </c>
      <c r="F5994" s="2890">
        <v>0.11858730079874923</v>
      </c>
      <c r="G5994" s="2890">
        <v>164.22215945919541</v>
      </c>
    </row>
    <row r="5995" spans="2:7" ht="15" hidden="1" outlineLevel="2">
      <c r="B5995" s="2889" t="s">
        <v>1646</v>
      </c>
      <c r="C5995" s="2889" t="s">
        <v>1449</v>
      </c>
      <c r="D5995" s="2889" t="s">
        <v>1105</v>
      </c>
      <c r="E5995" s="2889" t="s">
        <v>217</v>
      </c>
      <c r="F5995" s="2890">
        <v>1.3989451211373211E-2</v>
      </c>
      <c r="G5995" s="2890">
        <v>19.277202222636564</v>
      </c>
    </row>
    <row r="5996" spans="2:7" ht="15" hidden="1" outlineLevel="2">
      <c r="B5996" s="2889" t="s">
        <v>1647</v>
      </c>
      <c r="C5996" s="2889" t="s">
        <v>1449</v>
      </c>
      <c r="D5996" s="2889" t="s">
        <v>1105</v>
      </c>
      <c r="E5996" s="2889" t="s">
        <v>217</v>
      </c>
      <c r="F5996" s="2890">
        <v>6.3366638853253072E-3</v>
      </c>
      <c r="G5996" s="2890">
        <v>8.7845364724666837</v>
      </c>
    </row>
    <row r="5997" spans="2:7" ht="15" hidden="1" outlineLevel="2">
      <c r="B5997" s="2889" t="s">
        <v>1648</v>
      </c>
      <c r="C5997" s="2889" t="s">
        <v>1449</v>
      </c>
      <c r="D5997" s="2889" t="s">
        <v>1105</v>
      </c>
      <c r="E5997" s="2889" t="s">
        <v>217</v>
      </c>
      <c r="F5997" s="2890">
        <v>2.6402760360310527E-3</v>
      </c>
      <c r="G5997" s="2890">
        <v>3.6602271369017094</v>
      </c>
    </row>
    <row r="5998" spans="2:7" ht="15" hidden="1" outlineLevel="2">
      <c r="B5998" s="2889" t="s">
        <v>1649</v>
      </c>
      <c r="C5998" s="2889" t="s">
        <v>1449</v>
      </c>
      <c r="D5998" s="2889" t="s">
        <v>1105</v>
      </c>
      <c r="E5998" s="2889" t="s">
        <v>217</v>
      </c>
      <c r="F5998" s="2890">
        <v>1.1793231427693214E-2</v>
      </c>
      <c r="G5998" s="2890">
        <v>16.349008527257443</v>
      </c>
    </row>
    <row r="5999" spans="2:7" ht="15" hidden="1" outlineLevel="2">
      <c r="B5999" s="2889" t="s">
        <v>1650</v>
      </c>
      <c r="C5999" s="2889" t="s">
        <v>1449</v>
      </c>
      <c r="D5999" s="2889" t="s">
        <v>1105</v>
      </c>
      <c r="E5999" s="2889" t="s">
        <v>217</v>
      </c>
      <c r="F5999" s="2890">
        <v>2.8867518778119786E-2</v>
      </c>
      <c r="G5999" s="2890">
        <v>36.846251604707561</v>
      </c>
    </row>
    <row r="6000" spans="2:7" ht="15" hidden="1" outlineLevel="2">
      <c r="B6000" s="2889" t="s">
        <v>1651</v>
      </c>
      <c r="C6000" s="2889" t="s">
        <v>1449</v>
      </c>
      <c r="D6000" s="2889" t="s">
        <v>1105</v>
      </c>
      <c r="E6000" s="2889" t="s">
        <v>217</v>
      </c>
      <c r="F6000" s="2890">
        <v>2.3058406444197398E-2</v>
      </c>
      <c r="G6000" s="2890">
        <v>31.965955225755881</v>
      </c>
    </row>
    <row r="6001" spans="2:7" ht="15" hidden="1" outlineLevel="2">
      <c r="B6001" s="2889" t="s">
        <v>1652</v>
      </c>
      <c r="C6001" s="2889" t="s">
        <v>1449</v>
      </c>
      <c r="D6001" s="2889" t="s">
        <v>1105</v>
      </c>
      <c r="E6001" s="2889" t="s">
        <v>217</v>
      </c>
      <c r="F6001" s="2890">
        <v>1.4433512177440563E-2</v>
      </c>
      <c r="G6001" s="2890">
        <v>20.009223602078375</v>
      </c>
    </row>
    <row r="6002" spans="2:7" ht="15" hidden="1" outlineLevel="2">
      <c r="B6002" s="2889" t="s">
        <v>1653</v>
      </c>
      <c r="C6002" s="2889" t="s">
        <v>1449</v>
      </c>
      <c r="D6002" s="2889" t="s">
        <v>1105</v>
      </c>
      <c r="E6002" s="2889" t="s">
        <v>217</v>
      </c>
      <c r="F6002" s="2890">
        <v>0.11262397568025019</v>
      </c>
      <c r="G6002" s="2890">
        <v>155.19359822644017</v>
      </c>
    </row>
    <row r="6003" spans="2:7" ht="15" hidden="1" outlineLevel="2">
      <c r="B6003" s="2889" t="s">
        <v>1407</v>
      </c>
      <c r="C6003" s="2889" t="s">
        <v>1450</v>
      </c>
      <c r="D6003" s="2889" t="s">
        <v>1105</v>
      </c>
      <c r="E6003" s="2889" t="s">
        <v>1420</v>
      </c>
      <c r="F6003" s="2890">
        <v>3.6384345763566771E-2</v>
      </c>
      <c r="G6003" s="2890">
        <v>100.02805363405341</v>
      </c>
    </row>
    <row r="6004" spans="2:7" ht="15" hidden="1" outlineLevel="2">
      <c r="B6004" s="2889" t="s">
        <v>1631</v>
      </c>
      <c r="C6004" s="2889" t="s">
        <v>1450</v>
      </c>
      <c r="D6004" s="2889" t="s">
        <v>1105</v>
      </c>
      <c r="E6004" s="2889" t="s">
        <v>1420</v>
      </c>
      <c r="F6004" s="2890">
        <v>0.36888139860577845</v>
      </c>
      <c r="G6004" s="2890">
        <v>1014.1306600621522</v>
      </c>
    </row>
    <row r="6005" spans="2:7" ht="15" hidden="1" outlineLevel="2">
      <c r="B6005" s="2889" t="s">
        <v>1632</v>
      </c>
      <c r="C6005" s="2889" t="s">
        <v>1450</v>
      </c>
      <c r="D6005" s="2889" t="s">
        <v>1105</v>
      </c>
      <c r="E6005" s="2889" t="s">
        <v>1420</v>
      </c>
      <c r="F6005" s="2890">
        <v>0.56423763009244987</v>
      </c>
      <c r="G6005" s="2890">
        <v>1551.2045324630681</v>
      </c>
    </row>
    <row r="6006" spans="2:7" ht="15" hidden="1" outlineLevel="2">
      <c r="B6006" s="2889" t="s">
        <v>1633</v>
      </c>
      <c r="C6006" s="2889" t="s">
        <v>1450</v>
      </c>
      <c r="D6006" s="2889" t="s">
        <v>1105</v>
      </c>
      <c r="E6006" s="2889" t="s">
        <v>1420</v>
      </c>
      <c r="F6006" s="2890">
        <v>2.0711105499173436E-2</v>
      </c>
      <c r="G6006" s="2890">
        <v>56.939053722583722</v>
      </c>
    </row>
    <row r="6007" spans="2:7" ht="15" hidden="1" outlineLevel="2">
      <c r="B6007" s="2889" t="s">
        <v>1634</v>
      </c>
      <c r="C6007" s="2889" t="s">
        <v>1450</v>
      </c>
      <c r="D6007" s="2889" t="s">
        <v>1105</v>
      </c>
      <c r="E6007" s="2889" t="s">
        <v>1420</v>
      </c>
      <c r="F6007" s="2890">
        <v>1.4553745318781888E-2</v>
      </c>
      <c r="G6007" s="2890">
        <v>40.011209914967608</v>
      </c>
    </row>
    <row r="6008" spans="2:7" ht="15" hidden="1" outlineLevel="2">
      <c r="B6008" s="2889" t="s">
        <v>1635</v>
      </c>
      <c r="C6008" s="2889" t="s">
        <v>1450</v>
      </c>
      <c r="D6008" s="2889" t="s">
        <v>1105</v>
      </c>
      <c r="E6008" s="2889" t="s">
        <v>1420</v>
      </c>
      <c r="F6008" s="2890">
        <v>9.2920050415449526E-2</v>
      </c>
      <c r="G6008" s="2890">
        <v>255.45624991930327</v>
      </c>
    </row>
    <row r="6009" spans="2:7" ht="15" hidden="1" outlineLevel="2">
      <c r="B6009" s="2889" t="s">
        <v>1636</v>
      </c>
      <c r="C6009" s="2889" t="s">
        <v>1450</v>
      </c>
      <c r="D6009" s="2889" t="s">
        <v>1105</v>
      </c>
      <c r="E6009" s="2889" t="s">
        <v>1420</v>
      </c>
      <c r="F6009" s="2890">
        <v>3.5824613663857634E-2</v>
      </c>
      <c r="G6009" s="2890">
        <v>98.489164482617952</v>
      </c>
    </row>
    <row r="6010" spans="2:7" ht="15" hidden="1" outlineLevel="2">
      <c r="B6010" s="2889" t="s">
        <v>1637</v>
      </c>
      <c r="C6010" s="2889" t="s">
        <v>1450</v>
      </c>
      <c r="D6010" s="2889" t="s">
        <v>1105</v>
      </c>
      <c r="E6010" s="2889" t="s">
        <v>1420</v>
      </c>
      <c r="F6010" s="2890">
        <v>4.254172054770132E-2</v>
      </c>
      <c r="G6010" s="2890">
        <v>116.95588002359445</v>
      </c>
    </row>
    <row r="6011" spans="2:7" ht="15" hidden="1" outlineLevel="2">
      <c r="B6011" s="2889" t="s">
        <v>1638</v>
      </c>
      <c r="C6011" s="2889" t="s">
        <v>1450</v>
      </c>
      <c r="D6011" s="2889" t="s">
        <v>1105</v>
      </c>
      <c r="E6011" s="2889" t="s">
        <v>1420</v>
      </c>
      <c r="F6011" s="2890">
        <v>2.6308709422878548E-2</v>
      </c>
      <c r="G6011" s="2890">
        <v>72.327962091847823</v>
      </c>
    </row>
    <row r="6012" spans="2:7" ht="15" hidden="1" outlineLevel="2">
      <c r="B6012" s="2889" t="s">
        <v>1639</v>
      </c>
      <c r="C6012" s="2889" t="s">
        <v>1450</v>
      </c>
      <c r="D6012" s="2889" t="s">
        <v>1105</v>
      </c>
      <c r="E6012" s="2889" t="s">
        <v>1420</v>
      </c>
      <c r="F6012" s="2890">
        <v>0.13098369234738819</v>
      </c>
      <c r="G6012" s="2890">
        <v>360.10105081448398</v>
      </c>
    </row>
    <row r="6013" spans="2:7" ht="15" hidden="1" outlineLevel="2">
      <c r="B6013" s="2889" t="s">
        <v>1640</v>
      </c>
      <c r="C6013" s="2889" t="s">
        <v>1450</v>
      </c>
      <c r="D6013" s="2889" t="s">
        <v>1105</v>
      </c>
      <c r="E6013" s="2889" t="s">
        <v>1420</v>
      </c>
      <c r="F6013" s="2890">
        <v>1.9591568265605448E-2</v>
      </c>
      <c r="G6013" s="2890">
        <v>53.861272720595693</v>
      </c>
    </row>
    <row r="6014" spans="2:7" ht="15" hidden="1" outlineLevel="2">
      <c r="B6014" s="2889" t="s">
        <v>1641</v>
      </c>
      <c r="C6014" s="2889" t="s">
        <v>1450</v>
      </c>
      <c r="D6014" s="2889" t="s">
        <v>1105</v>
      </c>
      <c r="E6014" s="2889" t="s">
        <v>1420</v>
      </c>
      <c r="F6014" s="2890">
        <v>0.12594586760984561</v>
      </c>
      <c r="G6014" s="2890">
        <v>346.25099284528926</v>
      </c>
    </row>
    <row r="6015" spans="2:7" ht="15" hidden="1" outlineLevel="2">
      <c r="B6015" s="2889" t="s">
        <v>1642</v>
      </c>
      <c r="C6015" s="2889" t="s">
        <v>1450</v>
      </c>
      <c r="D6015" s="2889" t="s">
        <v>1105</v>
      </c>
      <c r="E6015" s="2889" t="s">
        <v>1420</v>
      </c>
      <c r="F6015" s="2890">
        <v>0.33473606048260102</v>
      </c>
      <c r="G6015" s="2890">
        <v>920.25825443787141</v>
      </c>
    </row>
    <row r="6016" spans="2:7" ht="15" hidden="1" outlineLevel="2">
      <c r="B6016" s="2889" t="s">
        <v>1643</v>
      </c>
      <c r="C6016" s="2889" t="s">
        <v>1450</v>
      </c>
      <c r="D6016" s="2889" t="s">
        <v>1105</v>
      </c>
      <c r="E6016" s="2889" t="s">
        <v>1420</v>
      </c>
      <c r="F6016" s="2890">
        <v>2.0723793907664347E-2</v>
      </c>
      <c r="G6016" s="2890">
        <v>56.97393433347353</v>
      </c>
    </row>
    <row r="6017" spans="2:7" ht="15" hidden="1" outlineLevel="2">
      <c r="B6017" s="2889" t="s">
        <v>1644</v>
      </c>
      <c r="C6017" s="2889" t="s">
        <v>1450</v>
      </c>
      <c r="D6017" s="2889" t="s">
        <v>1105</v>
      </c>
      <c r="E6017" s="2889" t="s">
        <v>1420</v>
      </c>
      <c r="F6017" s="2890">
        <v>0.49314833898858085</v>
      </c>
      <c r="G6017" s="2890">
        <v>1355.7645752086828</v>
      </c>
    </row>
    <row r="6018" spans="2:7" ht="15" hidden="1" outlineLevel="2">
      <c r="B6018" s="2889" t="s">
        <v>1645</v>
      </c>
      <c r="C6018" s="2889" t="s">
        <v>1450</v>
      </c>
      <c r="D6018" s="2889" t="s">
        <v>1105</v>
      </c>
      <c r="E6018" s="2889" t="s">
        <v>1420</v>
      </c>
      <c r="F6018" s="2890">
        <v>0.37671817912642153</v>
      </c>
      <c r="G6018" s="2890">
        <v>1035.6750464783363</v>
      </c>
    </row>
    <row r="6019" spans="2:7" ht="15" hidden="1" outlineLevel="2">
      <c r="B6019" s="2889" t="s">
        <v>1646</v>
      </c>
      <c r="C6019" s="2889" t="s">
        <v>1450</v>
      </c>
      <c r="D6019" s="2889" t="s">
        <v>1105</v>
      </c>
      <c r="E6019" s="2889" t="s">
        <v>1420</v>
      </c>
      <c r="F6019" s="2890">
        <v>4.4220978668541813E-2</v>
      </c>
      <c r="G6019" s="2890">
        <v>121.57258981697566</v>
      </c>
    </row>
    <row r="6020" spans="2:7" ht="15" hidden="1" outlineLevel="2">
      <c r="B6020" s="2889" t="s">
        <v>1647</v>
      </c>
      <c r="C6020" s="2889" t="s">
        <v>1450</v>
      </c>
      <c r="D6020" s="2889" t="s">
        <v>1105</v>
      </c>
      <c r="E6020" s="2889" t="s">
        <v>1420</v>
      </c>
      <c r="F6020" s="2890">
        <v>2.0151327485214001E-2</v>
      </c>
      <c r="G6020" s="2890">
        <v>55.4001698586885</v>
      </c>
    </row>
    <row r="6021" spans="2:7" ht="15" hidden="1" outlineLevel="2">
      <c r="B6021" s="2889" t="s">
        <v>1648</v>
      </c>
      <c r="C6021" s="2889" t="s">
        <v>1450</v>
      </c>
      <c r="D6021" s="2889" t="s">
        <v>1105</v>
      </c>
      <c r="E6021" s="2889" t="s">
        <v>1420</v>
      </c>
      <c r="F6021" s="2890">
        <v>8.3963916579327495E-3</v>
      </c>
      <c r="G6021" s="2890">
        <v>23.083395945186712</v>
      </c>
    </row>
    <row r="6022" spans="2:7" ht="15" hidden="1" outlineLevel="2">
      <c r="B6022" s="2889" t="s">
        <v>1649</v>
      </c>
      <c r="C6022" s="2889" t="s">
        <v>1450</v>
      </c>
      <c r="D6022" s="2889" t="s">
        <v>1105</v>
      </c>
      <c r="E6022" s="2889" t="s">
        <v>1420</v>
      </c>
      <c r="F6022" s="2890">
        <v>3.7503867800615341E-2</v>
      </c>
      <c r="G6022" s="2890">
        <v>103.10582481057411</v>
      </c>
    </row>
    <row r="6023" spans="2:7" ht="15" hidden="1" outlineLevel="2">
      <c r="B6023" s="2889" t="s">
        <v>1650</v>
      </c>
      <c r="C6023" s="2889" t="s">
        <v>1450</v>
      </c>
      <c r="D6023" s="2889" t="s">
        <v>1105</v>
      </c>
      <c r="E6023" s="2889" t="s">
        <v>1420</v>
      </c>
      <c r="F6023" s="2890">
        <v>8.4523655447193355E-2</v>
      </c>
      <c r="G6023" s="2890">
        <v>232.37286231548134</v>
      </c>
    </row>
    <row r="6024" spans="2:7" ht="15" hidden="1" outlineLevel="2">
      <c r="B6024" s="2889" t="s">
        <v>1651</v>
      </c>
      <c r="C6024" s="2889" t="s">
        <v>1450</v>
      </c>
      <c r="D6024" s="2889" t="s">
        <v>1105</v>
      </c>
      <c r="E6024" s="2889" t="s">
        <v>1420</v>
      </c>
      <c r="F6024" s="2890">
        <v>7.3328489510338019E-2</v>
      </c>
      <c r="G6024" s="2890">
        <v>201.59500627913744</v>
      </c>
    </row>
    <row r="6025" spans="2:7" ht="15" hidden="1" outlineLevel="2">
      <c r="B6025" s="2889" t="s">
        <v>1652</v>
      </c>
      <c r="C6025" s="2889" t="s">
        <v>1450</v>
      </c>
      <c r="D6025" s="2889" t="s">
        <v>1105</v>
      </c>
      <c r="E6025" s="2889" t="s">
        <v>1420</v>
      </c>
      <c r="F6025" s="2890">
        <v>4.5900270086638446E-2</v>
      </c>
      <c r="G6025" s="2890">
        <v>126.18924529489709</v>
      </c>
    </row>
    <row r="6026" spans="2:7" ht="15" hidden="1" outlineLevel="2">
      <c r="B6026" s="2889" t="s">
        <v>1653</v>
      </c>
      <c r="C6026" s="2889" t="s">
        <v>1450</v>
      </c>
      <c r="D6026" s="2889" t="s">
        <v>1105</v>
      </c>
      <c r="E6026" s="2889" t="s">
        <v>1420</v>
      </c>
      <c r="F6026" s="2890">
        <v>0.35600685864437548</v>
      </c>
      <c r="G6026" s="2890">
        <v>978.73633851137288</v>
      </c>
    </row>
    <row r="6027" spans="2:7" ht="15" hidden="1" outlineLevel="2">
      <c r="B6027" s="2889" t="s">
        <v>1407</v>
      </c>
      <c r="C6027" s="2889" t="s">
        <v>1451</v>
      </c>
      <c r="D6027" s="2889" t="s">
        <v>1105</v>
      </c>
      <c r="E6027" s="2889" t="s">
        <v>1420</v>
      </c>
      <c r="F6027" s="2890">
        <v>5.2826159052379472E-3</v>
      </c>
      <c r="G6027" s="2890">
        <v>22.279737619328749</v>
      </c>
    </row>
    <row r="6028" spans="2:7" ht="15" hidden="1" outlineLevel="2">
      <c r="B6028" s="2889" t="s">
        <v>1631</v>
      </c>
      <c r="C6028" s="2889" t="s">
        <v>1451</v>
      </c>
      <c r="D6028" s="2889" t="s">
        <v>1105</v>
      </c>
      <c r="E6028" s="2889" t="s">
        <v>1420</v>
      </c>
      <c r="F6028" s="3039">
        <v>5.3557592745492585E-2</v>
      </c>
      <c r="G6028" s="2890">
        <v>225.8820426583093</v>
      </c>
    </row>
    <row r="6029" spans="2:7" ht="15" hidden="1" outlineLevel="2">
      <c r="B6029" s="2889" t="s">
        <v>1632</v>
      </c>
      <c r="C6029" s="2889" t="s">
        <v>1451</v>
      </c>
      <c r="D6029" s="2889" t="s">
        <v>1105</v>
      </c>
      <c r="E6029" s="2889" t="s">
        <v>1420</v>
      </c>
      <c r="F6029" s="3039">
        <v>8.1921207419282785E-2</v>
      </c>
      <c r="G6029" s="2890">
        <v>345.50706750717495</v>
      </c>
    </row>
    <row r="6030" spans="2:7" ht="15" hidden="1" outlineLevel="2">
      <c r="B6030" s="2889" t="s">
        <v>1633</v>
      </c>
      <c r="C6030" s="2889" t="s">
        <v>1451</v>
      </c>
      <c r="D6030" s="2889" t="s">
        <v>1105</v>
      </c>
      <c r="E6030" s="2889" t="s">
        <v>1420</v>
      </c>
      <c r="F6030" s="3039">
        <v>3.0070277089293339E-3</v>
      </c>
      <c r="G6030" s="2890">
        <v>12.682313951704058</v>
      </c>
    </row>
    <row r="6031" spans="2:7" ht="15" hidden="1" outlineLevel="2">
      <c r="B6031" s="2889" t="s">
        <v>1634</v>
      </c>
      <c r="C6031" s="2889" t="s">
        <v>1451</v>
      </c>
      <c r="D6031" s="2889" t="s">
        <v>1105</v>
      </c>
      <c r="E6031" s="2889" t="s">
        <v>1420</v>
      </c>
      <c r="F6031" s="3039">
        <v>2.1130471702491172E-3</v>
      </c>
      <c r="G6031" s="2890">
        <v>8.9118919024822016</v>
      </c>
    </row>
    <row r="6032" spans="2:7" ht="15" hidden="1" outlineLevel="2">
      <c r="B6032" s="2889" t="s">
        <v>1635</v>
      </c>
      <c r="C6032" s="2889" t="s">
        <v>1451</v>
      </c>
      <c r="D6032" s="2889" t="s">
        <v>1105</v>
      </c>
      <c r="E6032" s="2889" t="s">
        <v>1420</v>
      </c>
      <c r="F6032" s="3039">
        <v>1.3490991423886631E-2</v>
      </c>
      <c r="G6032" s="2890">
        <v>56.899007257791723</v>
      </c>
    </row>
    <row r="6033" spans="2:7" ht="15" hidden="1" outlineLevel="2">
      <c r="B6033" s="2889" t="s">
        <v>1636</v>
      </c>
      <c r="C6033" s="2889" t="s">
        <v>1451</v>
      </c>
      <c r="D6033" s="2889" t="s">
        <v>1105</v>
      </c>
      <c r="E6033" s="2889" t="s">
        <v>1420</v>
      </c>
      <c r="F6033" s="3039">
        <v>5.2013488495035688E-3</v>
      </c>
      <c r="G6033" s="2890">
        <v>21.936985538788534</v>
      </c>
    </row>
    <row r="6034" spans="2:7" ht="15" hidden="1" outlineLevel="2">
      <c r="B6034" s="2889" t="s">
        <v>1637</v>
      </c>
      <c r="C6034" s="2889" t="s">
        <v>1451</v>
      </c>
      <c r="D6034" s="2889" t="s">
        <v>1105</v>
      </c>
      <c r="E6034" s="2889" t="s">
        <v>1420</v>
      </c>
      <c r="F6034" s="3039">
        <v>6.1766014019330219E-3</v>
      </c>
      <c r="G6034" s="2890">
        <v>26.050135857066277</v>
      </c>
    </row>
    <row r="6035" spans="2:7" ht="15" hidden="1" outlineLevel="2">
      <c r="B6035" s="2889" t="s">
        <v>1638</v>
      </c>
      <c r="C6035" s="2889" t="s">
        <v>1451</v>
      </c>
      <c r="D6035" s="2889" t="s">
        <v>1105</v>
      </c>
      <c r="E6035" s="2889" t="s">
        <v>1420</v>
      </c>
      <c r="F6035" s="3039">
        <v>3.8197387245930015E-3</v>
      </c>
      <c r="G6035" s="2890">
        <v>16.109958528361226</v>
      </c>
    </row>
    <row r="6036" spans="2:7" ht="15" hidden="1" outlineLevel="2">
      <c r="B6036" s="2889" t="s">
        <v>1639</v>
      </c>
      <c r="C6036" s="2889" t="s">
        <v>1451</v>
      </c>
      <c r="D6036" s="2889" t="s">
        <v>1105</v>
      </c>
      <c r="E6036" s="2889" t="s">
        <v>1420</v>
      </c>
      <c r="F6036" s="3039">
        <v>1.9017429874520476E-2</v>
      </c>
      <c r="G6036" s="2890">
        <v>80.207008365566054</v>
      </c>
    </row>
    <row r="6037" spans="2:7" ht="15" hidden="1" outlineLevel="2">
      <c r="B6037" s="2889" t="s">
        <v>1640</v>
      </c>
      <c r="C6037" s="2889" t="s">
        <v>1451</v>
      </c>
      <c r="D6037" s="2889" t="s">
        <v>1105</v>
      </c>
      <c r="E6037" s="2889" t="s">
        <v>1420</v>
      </c>
      <c r="F6037" s="3039">
        <v>2.8444862441340305E-3</v>
      </c>
      <c r="G6037" s="2890">
        <v>11.996764677313619</v>
      </c>
    </row>
    <row r="6038" spans="2:7" ht="15" hidden="1" outlineLevel="2">
      <c r="B6038" s="2889" t="s">
        <v>1641</v>
      </c>
      <c r="C6038" s="2889" t="s">
        <v>1451</v>
      </c>
      <c r="D6038" s="2889" t="s">
        <v>1105</v>
      </c>
      <c r="E6038" s="2889" t="s">
        <v>1420</v>
      </c>
      <c r="F6038" s="3039">
        <v>1.8285988177867463E-2</v>
      </c>
      <c r="G6038" s="2890">
        <v>77.12215228113547</v>
      </c>
    </row>
    <row r="6039" spans="2:7" ht="15" hidden="1" outlineLevel="2">
      <c r="B6039" s="2889" t="s">
        <v>1642</v>
      </c>
      <c r="C6039" s="2889" t="s">
        <v>1451</v>
      </c>
      <c r="D6039" s="2889" t="s">
        <v>1105</v>
      </c>
      <c r="E6039" s="2889" t="s">
        <v>1420</v>
      </c>
      <c r="F6039" s="3039">
        <v>4.8600102456009361E-2</v>
      </c>
      <c r="G6039" s="2890">
        <v>204.97350177503944</v>
      </c>
    </row>
    <row r="6040" spans="2:7" ht="15" hidden="1" outlineLevel="2">
      <c r="B6040" s="2889" t="s">
        <v>1643</v>
      </c>
      <c r="C6040" s="2889" t="s">
        <v>1451</v>
      </c>
      <c r="D6040" s="2889" t="s">
        <v>1105</v>
      </c>
      <c r="E6040" s="2889" t="s">
        <v>1420</v>
      </c>
      <c r="F6040" s="3039">
        <v>3.0088713522519964E-3</v>
      </c>
      <c r="G6040" s="2890">
        <v>12.690075819586045</v>
      </c>
    </row>
    <row r="6041" spans="2:7" ht="15" hidden="1" outlineLevel="2">
      <c r="B6041" s="2889" t="s">
        <v>1644</v>
      </c>
      <c r="C6041" s="2889" t="s">
        <v>1451</v>
      </c>
      <c r="D6041" s="2889" t="s">
        <v>1105</v>
      </c>
      <c r="E6041" s="2889" t="s">
        <v>1420</v>
      </c>
      <c r="F6041" s="3039">
        <v>7.1599807122564599E-2</v>
      </c>
      <c r="G6041" s="2890">
        <v>301.97601047400155</v>
      </c>
    </row>
    <row r="6042" spans="2:7" ht="15" hidden="1" outlineLevel="2">
      <c r="B6042" s="2889" t="s">
        <v>1645</v>
      </c>
      <c r="C6042" s="2889" t="s">
        <v>1451</v>
      </c>
      <c r="D6042" s="2889" t="s">
        <v>1105</v>
      </c>
      <c r="E6042" s="2889" t="s">
        <v>1420</v>
      </c>
      <c r="F6042" s="3039">
        <v>5.4695411285579656E-2</v>
      </c>
      <c r="G6042" s="2890">
        <v>230.68085301253305</v>
      </c>
    </row>
    <row r="6043" spans="2:7" ht="15" hidden="1" outlineLevel="2">
      <c r="B6043" s="2889" t="s">
        <v>1646</v>
      </c>
      <c r="C6043" s="2889" t="s">
        <v>1451</v>
      </c>
      <c r="D6043" s="2889" t="s">
        <v>1105</v>
      </c>
      <c r="E6043" s="2889" t="s">
        <v>1420</v>
      </c>
      <c r="F6043" s="3039">
        <v>6.4204122836250856E-3</v>
      </c>
      <c r="G6043" s="2890">
        <v>27.07844479771374</v>
      </c>
    </row>
    <row r="6044" spans="2:7" ht="15" hidden="1" outlineLevel="2">
      <c r="B6044" s="2889" t="s">
        <v>1647</v>
      </c>
      <c r="C6044" s="2889" t="s">
        <v>1451</v>
      </c>
      <c r="D6044" s="2889" t="s">
        <v>1105</v>
      </c>
      <c r="E6044" s="2889" t="s">
        <v>1420</v>
      </c>
      <c r="F6044" s="3039">
        <v>2.9257580851434297E-3</v>
      </c>
      <c r="G6044" s="2890">
        <v>12.339536683638533</v>
      </c>
    </row>
    <row r="6045" spans="2:7" ht="15" hidden="1" outlineLevel="2">
      <c r="B6045" s="2889" t="s">
        <v>1648</v>
      </c>
      <c r="C6045" s="2889" t="s">
        <v>1451</v>
      </c>
      <c r="D6045" s="2889" t="s">
        <v>1105</v>
      </c>
      <c r="E6045" s="2889" t="s">
        <v>1420</v>
      </c>
      <c r="F6045" s="3039">
        <v>1.219064613819287E-3</v>
      </c>
      <c r="G6045" s="2890">
        <v>5.141476151490683</v>
      </c>
    </row>
    <row r="6046" spans="2:7" ht="15" hidden="1" outlineLevel="2">
      <c r="B6046" s="2889" t="s">
        <v>1649</v>
      </c>
      <c r="C6046" s="2889" t="s">
        <v>1451</v>
      </c>
      <c r="D6046" s="2889" t="s">
        <v>1105</v>
      </c>
      <c r="E6046" s="2889" t="s">
        <v>1420</v>
      </c>
      <c r="F6046" s="3039">
        <v>5.4451602495098712E-3</v>
      </c>
      <c r="G6046" s="2890">
        <v>22.965261052412146</v>
      </c>
    </row>
    <row r="6047" spans="2:7" ht="15" hidden="1" outlineLevel="2">
      <c r="B6047" s="2889" t="s">
        <v>1650</v>
      </c>
      <c r="C6047" s="2889" t="s">
        <v>1451</v>
      </c>
      <c r="D6047" s="2889" t="s">
        <v>1105</v>
      </c>
      <c r="E6047" s="2889" t="s">
        <v>1420</v>
      </c>
      <c r="F6047" s="3039">
        <v>1.2271918174877128E-2</v>
      </c>
      <c r="G6047" s="2890">
        <v>51.75753682288606</v>
      </c>
    </row>
    <row r="6048" spans="2:7" ht="15" hidden="1" outlineLevel="2">
      <c r="B6048" s="2889" t="s">
        <v>1651</v>
      </c>
      <c r="C6048" s="2889" t="s">
        <v>1451</v>
      </c>
      <c r="D6048" s="2889" t="s">
        <v>1105</v>
      </c>
      <c r="E6048" s="2889" t="s">
        <v>1420</v>
      </c>
      <c r="F6048" s="3039">
        <v>1.06465150052929E-2</v>
      </c>
      <c r="G6048" s="2890">
        <v>44.902228597148998</v>
      </c>
    </row>
    <row r="6049" spans="2:7" ht="15" hidden="1" outlineLevel="2">
      <c r="B6049" s="2889" t="s">
        <v>1652</v>
      </c>
      <c r="C6049" s="2889" t="s">
        <v>1451</v>
      </c>
      <c r="D6049" s="2889" t="s">
        <v>1105</v>
      </c>
      <c r="E6049" s="2889" t="s">
        <v>1420</v>
      </c>
      <c r="F6049" s="3039">
        <v>6.664224954197418E-3</v>
      </c>
      <c r="G6049" s="2890">
        <v>28.106729435282233</v>
      </c>
    </row>
    <row r="6050" spans="2:7" ht="15" hidden="1" outlineLevel="2">
      <c r="B6050" s="2889" t="s">
        <v>1653</v>
      </c>
      <c r="C6050" s="2889" t="s">
        <v>1451</v>
      </c>
      <c r="D6050" s="2889" t="s">
        <v>1105</v>
      </c>
      <c r="E6050" s="2889" t="s">
        <v>1420</v>
      </c>
      <c r="F6050" s="3039">
        <v>5.1688382856910568E-2</v>
      </c>
      <c r="G6050" s="2890">
        <v>217.9985297460419</v>
      </c>
    </row>
    <row r="6051" spans="2:7" ht="15" hidden="1" outlineLevel="2">
      <c r="B6051" s="2889" t="s">
        <v>1407</v>
      </c>
      <c r="C6051" s="2889" t="s">
        <v>1452</v>
      </c>
      <c r="D6051" s="2889" t="s">
        <v>1105</v>
      </c>
      <c r="E6051" s="2889" t="s">
        <v>1420</v>
      </c>
      <c r="F6051" s="3039">
        <v>3.9081835497185545E-3</v>
      </c>
      <c r="G6051" s="2890">
        <v>26.115864471802386</v>
      </c>
    </row>
    <row r="6052" spans="2:7" ht="15" hidden="1" outlineLevel="2">
      <c r="B6052" s="2889" t="s">
        <v>1631</v>
      </c>
      <c r="C6052" s="2889" t="s">
        <v>1452</v>
      </c>
      <c r="D6052" s="2889" t="s">
        <v>1105</v>
      </c>
      <c r="E6052" s="2889" t="s">
        <v>1420</v>
      </c>
      <c r="F6052" s="3039">
        <v>3.9622987548885796E-2</v>
      </c>
      <c r="G6052" s="2890">
        <v>264.77450172930423</v>
      </c>
    </row>
    <row r="6053" spans="2:7" ht="15" hidden="1" outlineLevel="2">
      <c r="B6053" s="2889" t="s">
        <v>1632</v>
      </c>
      <c r="C6053" s="2889" t="s">
        <v>1452</v>
      </c>
      <c r="D6053" s="2889" t="s">
        <v>1105</v>
      </c>
      <c r="E6053" s="2889" t="s">
        <v>1420</v>
      </c>
      <c r="F6053" s="2890">
        <v>6.0606933308219903E-2</v>
      </c>
      <c r="G6053" s="2890">
        <v>404.99647378806412</v>
      </c>
    </row>
    <row r="6054" spans="2:7" ht="15" hidden="1" outlineLevel="2">
      <c r="B6054" s="2889" t="s">
        <v>1633</v>
      </c>
      <c r="C6054" s="2889" t="s">
        <v>1452</v>
      </c>
      <c r="D6054" s="2889" t="s">
        <v>1105</v>
      </c>
      <c r="E6054" s="2889" t="s">
        <v>1420</v>
      </c>
      <c r="F6054" s="2890">
        <v>2.2246598962176361E-3</v>
      </c>
      <c r="G6054" s="2890">
        <v>14.865940653694253</v>
      </c>
    </row>
    <row r="6055" spans="2:7" ht="15" hidden="1" outlineLevel="2">
      <c r="B6055" s="2889" t="s">
        <v>1634</v>
      </c>
      <c r="C6055" s="2889" t="s">
        <v>1452</v>
      </c>
      <c r="D6055" s="2889" t="s">
        <v>1105</v>
      </c>
      <c r="E6055" s="2889" t="s">
        <v>1420</v>
      </c>
      <c r="F6055" s="2890">
        <v>1.5632741809808526E-3</v>
      </c>
      <c r="G6055" s="2890">
        <v>10.446335719315398</v>
      </c>
    </row>
    <row r="6056" spans="2:7" ht="15" hidden="1" outlineLevel="2">
      <c r="B6056" s="2889" t="s">
        <v>1635</v>
      </c>
      <c r="C6056" s="2889" t="s">
        <v>1452</v>
      </c>
      <c r="D6056" s="2889" t="s">
        <v>1105</v>
      </c>
      <c r="E6056" s="2889" t="s">
        <v>1420</v>
      </c>
      <c r="F6056" s="2890">
        <v>9.9809027847814029E-3</v>
      </c>
      <c r="G6056" s="2890">
        <v>66.695846589803509</v>
      </c>
    </row>
    <row r="6057" spans="2:7" ht="15" hidden="1" outlineLevel="2">
      <c r="B6057" s="2889" t="s">
        <v>1636</v>
      </c>
      <c r="C6057" s="2889" t="s">
        <v>1452</v>
      </c>
      <c r="D6057" s="2889" t="s">
        <v>1105</v>
      </c>
      <c r="E6057" s="2889" t="s">
        <v>1420</v>
      </c>
      <c r="F6057" s="2890">
        <v>3.8480600808703091E-3</v>
      </c>
      <c r="G6057" s="2890">
        <v>25.714071218799624</v>
      </c>
    </row>
    <row r="6058" spans="2:7" ht="15" hidden="1" outlineLevel="2">
      <c r="B6058" s="2889" t="s">
        <v>1637</v>
      </c>
      <c r="C6058" s="2889" t="s">
        <v>1452</v>
      </c>
      <c r="D6058" s="2889" t="s">
        <v>1105</v>
      </c>
      <c r="E6058" s="2889" t="s">
        <v>1420</v>
      </c>
      <c r="F6058" s="2890">
        <v>4.5695691928592371E-3</v>
      </c>
      <c r="G6058" s="2890">
        <v>30.535455912716497</v>
      </c>
    </row>
    <row r="6059" spans="2:7" ht="15" hidden="1" outlineLevel="2">
      <c r="B6059" s="2889" t="s">
        <v>1638</v>
      </c>
      <c r="C6059" s="2889" t="s">
        <v>1452</v>
      </c>
      <c r="D6059" s="2889" t="s">
        <v>1105</v>
      </c>
      <c r="E6059" s="2889" t="s">
        <v>1420</v>
      </c>
      <c r="F6059" s="2890">
        <v>2.8259171894739529E-3</v>
      </c>
      <c r="G6059" s="2890">
        <v>18.883761940652953</v>
      </c>
    </row>
    <row r="6060" spans="2:7" ht="15" hidden="1" outlineLevel="2">
      <c r="B6060" s="2889" t="s">
        <v>1639</v>
      </c>
      <c r="C6060" s="2889" t="s">
        <v>1452</v>
      </c>
      <c r="D6060" s="2889" t="s">
        <v>1105</v>
      </c>
      <c r="E6060" s="2889" t="s">
        <v>1420</v>
      </c>
      <c r="F6060" s="2890">
        <v>1.4069465547469446E-2</v>
      </c>
      <c r="G6060" s="2890">
        <v>94.016956601532954</v>
      </c>
    </row>
    <row r="6061" spans="2:7" ht="15" hidden="1" outlineLevel="2">
      <c r="B6061" s="2889" t="s">
        <v>1640</v>
      </c>
      <c r="C6061" s="2889" t="s">
        <v>1452</v>
      </c>
      <c r="D6061" s="2889" t="s">
        <v>1105</v>
      </c>
      <c r="E6061" s="2889" t="s">
        <v>1420</v>
      </c>
      <c r="F6061" s="2890">
        <v>2.1044068912638215E-3</v>
      </c>
      <c r="G6061" s="2890">
        <v>14.062372371045388</v>
      </c>
    </row>
    <row r="6062" spans="2:7" ht="15" hidden="1" outlineLevel="2">
      <c r="B6062" s="2889" t="s">
        <v>1641</v>
      </c>
      <c r="C6062" s="2889" t="s">
        <v>1452</v>
      </c>
      <c r="D6062" s="2889" t="s">
        <v>1105</v>
      </c>
      <c r="E6062" s="2889" t="s">
        <v>1420</v>
      </c>
      <c r="F6062" s="2890">
        <v>1.3528335643395643E-2</v>
      </c>
      <c r="G6062" s="2890">
        <v>90.401026543620958</v>
      </c>
    </row>
    <row r="6063" spans="2:7" ht="15" hidden="1" outlineLevel="2">
      <c r="B6063" s="2889" t="s">
        <v>1642</v>
      </c>
      <c r="C6063" s="2889" t="s">
        <v>1452</v>
      </c>
      <c r="D6063" s="2889" t="s">
        <v>1105</v>
      </c>
      <c r="E6063" s="2889" t="s">
        <v>1420</v>
      </c>
      <c r="F6063" s="2890">
        <v>3.5955287988522461E-2</v>
      </c>
      <c r="G6063" s="2890">
        <v>240.26573656140948</v>
      </c>
    </row>
    <row r="6064" spans="2:7" ht="15" hidden="1" outlineLevel="2">
      <c r="B6064" s="2889" t="s">
        <v>1643</v>
      </c>
      <c r="C6064" s="2889" t="s">
        <v>1452</v>
      </c>
      <c r="D6064" s="2889" t="s">
        <v>1105</v>
      </c>
      <c r="E6064" s="2889" t="s">
        <v>1420</v>
      </c>
      <c r="F6064" s="2890">
        <v>2.2260233424271467E-3</v>
      </c>
      <c r="G6064" s="2890">
        <v>14.875046195226567</v>
      </c>
    </row>
    <row r="6065" spans="2:7" ht="15" hidden="1" outlineLevel="2">
      <c r="B6065" s="2889" t="s">
        <v>1644</v>
      </c>
      <c r="C6065" s="2889" t="s">
        <v>1452</v>
      </c>
      <c r="D6065" s="2889" t="s">
        <v>1105</v>
      </c>
      <c r="E6065" s="2889" t="s">
        <v>1420</v>
      </c>
      <c r="F6065" s="2890">
        <v>5.2970946551511126E-2</v>
      </c>
      <c r="G6065" s="2890">
        <v>353.97037231175739</v>
      </c>
    </row>
    <row r="6066" spans="2:7" ht="15" hidden="1" outlineLevel="2">
      <c r="B6066" s="2889" t="s">
        <v>1645</v>
      </c>
      <c r="C6066" s="2889" t="s">
        <v>1452</v>
      </c>
      <c r="D6066" s="2889" t="s">
        <v>1105</v>
      </c>
      <c r="E6066" s="2889" t="s">
        <v>1420</v>
      </c>
      <c r="F6066" s="2890">
        <v>4.046472867951504E-2</v>
      </c>
      <c r="G6066" s="2890">
        <v>270.39956327360318</v>
      </c>
    </row>
    <row r="6067" spans="2:7" ht="15" hidden="1" outlineLevel="2">
      <c r="B6067" s="2889" t="s">
        <v>1646</v>
      </c>
      <c r="C6067" s="2889" t="s">
        <v>1452</v>
      </c>
      <c r="D6067" s="2889" t="s">
        <v>1105</v>
      </c>
      <c r="E6067" s="2889" t="s">
        <v>1420</v>
      </c>
      <c r="F6067" s="2890">
        <v>4.7499463464159217E-3</v>
      </c>
      <c r="G6067" s="2890">
        <v>31.740795516228921</v>
      </c>
    </row>
    <row r="6068" spans="2:7" ht="15" hidden="1" outlineLevel="2">
      <c r="B6068" s="2889" t="s">
        <v>1647</v>
      </c>
      <c r="C6068" s="2889" t="s">
        <v>1452</v>
      </c>
      <c r="D6068" s="2889" t="s">
        <v>1105</v>
      </c>
      <c r="E6068" s="2889" t="s">
        <v>1420</v>
      </c>
      <c r="F6068" s="2890">
        <v>2.1645316467214298E-3</v>
      </c>
      <c r="G6068" s="2890">
        <v>14.464162998338544</v>
      </c>
    </row>
    <row r="6069" spans="2:7" ht="15" hidden="1" outlineLevel="2">
      <c r="B6069" s="2889" t="s">
        <v>1648</v>
      </c>
      <c r="C6069" s="2889" t="s">
        <v>1452</v>
      </c>
      <c r="D6069" s="2889" t="s">
        <v>1105</v>
      </c>
      <c r="E6069" s="2889" t="s">
        <v>1420</v>
      </c>
      <c r="F6069" s="2890">
        <v>9.0188886595263186E-4</v>
      </c>
      <c r="G6069" s="2890">
        <v>6.0267338502080481</v>
      </c>
    </row>
    <row r="6070" spans="2:7" ht="15" hidden="1" outlineLevel="2">
      <c r="B6070" s="2889" t="s">
        <v>1649</v>
      </c>
      <c r="C6070" s="2889" t="s">
        <v>1452</v>
      </c>
      <c r="D6070" s="2889" t="s">
        <v>1105</v>
      </c>
      <c r="E6070" s="2889" t="s">
        <v>1420</v>
      </c>
      <c r="F6070" s="2890">
        <v>4.0284377748685705E-3</v>
      </c>
      <c r="G6070" s="2890">
        <v>26.919403110879923</v>
      </c>
    </row>
    <row r="6071" spans="2:7" ht="15" hidden="1" outlineLevel="2">
      <c r="B6071" s="2889" t="s">
        <v>1650</v>
      </c>
      <c r="C6071" s="2889" t="s">
        <v>1452</v>
      </c>
      <c r="D6071" s="2889" t="s">
        <v>1105</v>
      </c>
      <c r="E6071" s="2889" t="s">
        <v>1420</v>
      </c>
      <c r="F6071" s="2890">
        <v>9.0790144571183187E-3</v>
      </c>
      <c r="G6071" s="2890">
        <v>60.669131917008968</v>
      </c>
    </row>
    <row r="6072" spans="2:7" ht="15" hidden="1" outlineLevel="2">
      <c r="B6072" s="2889" t="s">
        <v>1651</v>
      </c>
      <c r="C6072" s="2889" t="s">
        <v>1452</v>
      </c>
      <c r="D6072" s="2889" t="s">
        <v>1105</v>
      </c>
      <c r="E6072" s="2889" t="s">
        <v>1420</v>
      </c>
      <c r="F6072" s="2890">
        <v>7.8764943278680898E-3</v>
      </c>
      <c r="G6072" s="2890">
        <v>52.633471673695801</v>
      </c>
    </row>
    <row r="6073" spans="2:7" ht="15" hidden="1" outlineLevel="2">
      <c r="B6073" s="2889" t="s">
        <v>1652</v>
      </c>
      <c r="C6073" s="2889" t="s">
        <v>1452</v>
      </c>
      <c r="D6073" s="2889" t="s">
        <v>1105</v>
      </c>
      <c r="E6073" s="2889" t="s">
        <v>1420</v>
      </c>
      <c r="F6073" s="3039">
        <v>4.9303266896477292E-3</v>
      </c>
      <c r="G6073" s="2890">
        <v>32.946152561838986</v>
      </c>
    </row>
    <row r="6074" spans="2:7" ht="15" hidden="1" outlineLevel="2">
      <c r="B6074" s="2889" t="s">
        <v>1653</v>
      </c>
      <c r="C6074" s="2889" t="s">
        <v>1452</v>
      </c>
      <c r="D6074" s="2889" t="s">
        <v>1105</v>
      </c>
      <c r="E6074" s="2889" t="s">
        <v>1420</v>
      </c>
      <c r="F6074" s="3039">
        <v>3.8240056055927264E-2</v>
      </c>
      <c r="G6074" s="2890">
        <v>255.53358683384806</v>
      </c>
    </row>
    <row r="6075" spans="2:7" ht="15" hidden="1" outlineLevel="2">
      <c r="B6075" s="2889" t="s">
        <v>1407</v>
      </c>
      <c r="C6075" s="2889" t="s">
        <v>1453</v>
      </c>
      <c r="D6075" s="2889" t="s">
        <v>1105</v>
      </c>
      <c r="E6075" s="2889" t="s">
        <v>1420</v>
      </c>
      <c r="F6075" s="3039">
        <v>6.8456794077263764E-3</v>
      </c>
      <c r="G6075" s="2890">
        <v>32.442423705899067</v>
      </c>
    </row>
    <row r="6076" spans="2:7" ht="15" hidden="1" outlineLevel="2">
      <c r="B6076" s="2889" t="s">
        <v>1631</v>
      </c>
      <c r="C6076" s="2889" t="s">
        <v>1453</v>
      </c>
      <c r="D6076" s="2889" t="s">
        <v>1105</v>
      </c>
      <c r="E6076" s="2889" t="s">
        <v>1420</v>
      </c>
      <c r="F6076" s="3039">
        <v>6.940462645987458E-2</v>
      </c>
      <c r="G6076" s="2890">
        <v>328.91617569000817</v>
      </c>
    </row>
    <row r="6077" spans="2:7" ht="15" hidden="1" outlineLevel="2">
      <c r="B6077" s="2889" t="s">
        <v>1632</v>
      </c>
      <c r="C6077" s="2889" t="s">
        <v>1453</v>
      </c>
      <c r="D6077" s="2889" t="s">
        <v>1105</v>
      </c>
      <c r="E6077" s="2889" t="s">
        <v>1420</v>
      </c>
      <c r="F6077" s="3039">
        <v>0.10616070306572964</v>
      </c>
      <c r="G6077" s="2890">
        <v>503.10715499542187</v>
      </c>
    </row>
    <row r="6078" spans="2:7" ht="15" hidden="1" outlineLevel="2">
      <c r="B6078" s="2889" t="s">
        <v>1633</v>
      </c>
      <c r="C6078" s="2889" t="s">
        <v>1453</v>
      </c>
      <c r="D6078" s="2889" t="s">
        <v>1105</v>
      </c>
      <c r="E6078" s="2889" t="s">
        <v>1420</v>
      </c>
      <c r="F6078" s="3039">
        <v>3.8967695134035389E-3</v>
      </c>
      <c r="G6078" s="2890">
        <v>18.467233775082786</v>
      </c>
    </row>
    <row r="6079" spans="2:7" ht="15" hidden="1" outlineLevel="2">
      <c r="B6079" s="2889" t="s">
        <v>1634</v>
      </c>
      <c r="C6079" s="2889" t="s">
        <v>1453</v>
      </c>
      <c r="D6079" s="2889" t="s">
        <v>1105</v>
      </c>
      <c r="E6079" s="2889" t="s">
        <v>1420</v>
      </c>
      <c r="F6079" s="3039">
        <v>2.7382725438853317E-3</v>
      </c>
      <c r="G6079" s="2890">
        <v>12.976966865629823</v>
      </c>
    </row>
    <row r="6080" spans="2:7" ht="15" hidden="1" outlineLevel="2">
      <c r="B6080" s="2889" t="s">
        <v>1635</v>
      </c>
      <c r="C6080" s="2889" t="s">
        <v>1453</v>
      </c>
      <c r="D6080" s="2889" t="s">
        <v>1105</v>
      </c>
      <c r="E6080" s="2889" t="s">
        <v>1420</v>
      </c>
      <c r="F6080" s="2890">
        <v>1.7482808254073539E-2</v>
      </c>
      <c r="G6080" s="2890">
        <v>82.85299930405678</v>
      </c>
    </row>
    <row r="6081" spans="2:7" ht="15" hidden="1" outlineLevel="2">
      <c r="B6081" s="2889" t="s">
        <v>1636</v>
      </c>
      <c r="C6081" s="2889" t="s">
        <v>1453</v>
      </c>
      <c r="D6081" s="2889" t="s">
        <v>1105</v>
      </c>
      <c r="E6081" s="2889" t="s">
        <v>1420</v>
      </c>
      <c r="F6081" s="2890">
        <v>6.7403599914786401E-3</v>
      </c>
      <c r="G6081" s="2890">
        <v>31.94330560274031</v>
      </c>
    </row>
    <row r="6082" spans="2:7" ht="15" hidden="1" outlineLevel="2">
      <c r="B6082" s="2889" t="s">
        <v>1637</v>
      </c>
      <c r="C6082" s="2889" t="s">
        <v>1453</v>
      </c>
      <c r="D6082" s="2889" t="s">
        <v>1105</v>
      </c>
      <c r="E6082" s="2889" t="s">
        <v>1420</v>
      </c>
      <c r="F6082" s="2890">
        <v>8.0041797070417534E-3</v>
      </c>
      <c r="G6082" s="2890">
        <v>37.932690867465752</v>
      </c>
    </row>
    <row r="6083" spans="2:7" ht="15" hidden="1" outlineLevel="2">
      <c r="B6083" s="2889" t="s">
        <v>1638</v>
      </c>
      <c r="C6083" s="2889" t="s">
        <v>1453</v>
      </c>
      <c r="D6083" s="2889" t="s">
        <v>1105</v>
      </c>
      <c r="E6083" s="2889" t="s">
        <v>1420</v>
      </c>
      <c r="F6083" s="2890">
        <v>4.9499528738813367E-3</v>
      </c>
      <c r="G6083" s="2890">
        <v>23.458376829344239</v>
      </c>
    </row>
    <row r="6084" spans="2:7" ht="15" hidden="1" outlineLevel="2">
      <c r="B6084" s="2889" t="s">
        <v>1639</v>
      </c>
      <c r="C6084" s="2889" t="s">
        <v>1453</v>
      </c>
      <c r="D6084" s="2889" t="s">
        <v>1105</v>
      </c>
      <c r="E6084" s="2889" t="s">
        <v>1420</v>
      </c>
      <c r="F6084" s="2890">
        <v>2.4644418818184098E-2</v>
      </c>
      <c r="G6084" s="2890">
        <v>116.79278747660922</v>
      </c>
    </row>
    <row r="6085" spans="2:7" ht="15" hidden="1" outlineLevel="2">
      <c r="B6085" s="2889" t="s">
        <v>1640</v>
      </c>
      <c r="C6085" s="2889" t="s">
        <v>1453</v>
      </c>
      <c r="D6085" s="2889" t="s">
        <v>1105</v>
      </c>
      <c r="E6085" s="2889" t="s">
        <v>1420</v>
      </c>
      <c r="F6085" s="2890">
        <v>3.6861342594498594E-3</v>
      </c>
      <c r="G6085" s="2890">
        <v>17.468984397627455</v>
      </c>
    </row>
    <row r="6086" spans="2:7" ht="15" hidden="1" outlineLevel="2">
      <c r="B6086" s="2889" t="s">
        <v>1641</v>
      </c>
      <c r="C6086" s="2889" t="s">
        <v>1453</v>
      </c>
      <c r="D6086" s="2889" t="s">
        <v>1105</v>
      </c>
      <c r="E6086" s="2889" t="s">
        <v>1420</v>
      </c>
      <c r="F6086" s="2890">
        <v>2.3696574642381348E-2</v>
      </c>
      <c r="G6086" s="2890">
        <v>112.30064206016809</v>
      </c>
    </row>
    <row r="6087" spans="2:7" ht="15" hidden="1" outlineLevel="2">
      <c r="B6087" s="2889" t="s">
        <v>1642</v>
      </c>
      <c r="C6087" s="2889" t="s">
        <v>1453</v>
      </c>
      <c r="D6087" s="2889" t="s">
        <v>1105</v>
      </c>
      <c r="E6087" s="2889" t="s">
        <v>1420</v>
      </c>
      <c r="F6087" s="2890">
        <v>6.2980223819647158E-2</v>
      </c>
      <c r="G6087" s="2890">
        <v>298.47021150601103</v>
      </c>
    </row>
    <row r="6088" spans="2:7" ht="15" hidden="1" outlineLevel="2">
      <c r="B6088" s="2889" t="s">
        <v>1643</v>
      </c>
      <c r="C6088" s="2889" t="s">
        <v>1453</v>
      </c>
      <c r="D6088" s="2889" t="s">
        <v>1105</v>
      </c>
      <c r="E6088" s="2889" t="s">
        <v>1420</v>
      </c>
      <c r="F6088" s="2890">
        <v>3.8991571239832762E-3</v>
      </c>
      <c r="G6088" s="2890">
        <v>18.478544330353166</v>
      </c>
    </row>
    <row r="6089" spans="2:7" ht="15" hidden="1" outlineLevel="2">
      <c r="B6089" s="2889" t="s">
        <v>1644</v>
      </c>
      <c r="C6089" s="2889" t="s">
        <v>1453</v>
      </c>
      <c r="D6089" s="2889" t="s">
        <v>1105</v>
      </c>
      <c r="E6089" s="2889" t="s">
        <v>1420</v>
      </c>
      <c r="F6089" s="2890">
        <v>9.2785227636794421E-2</v>
      </c>
      <c r="G6089" s="2890">
        <v>439.71943080230926</v>
      </c>
    </row>
    <row r="6090" spans="2:7" ht="15" hidden="1" outlineLevel="2">
      <c r="B6090" s="2889" t="s">
        <v>1645</v>
      </c>
      <c r="C6090" s="2889" t="s">
        <v>1453</v>
      </c>
      <c r="D6090" s="2889" t="s">
        <v>1105</v>
      </c>
      <c r="E6090" s="2889" t="s">
        <v>1420</v>
      </c>
      <c r="F6090" s="2890">
        <v>7.0879094562371708E-2</v>
      </c>
      <c r="G6090" s="2890">
        <v>335.90399297824308</v>
      </c>
    </row>
    <row r="6091" spans="2:7" ht="15" hidden="1" outlineLevel="2">
      <c r="B6091" s="2889" t="s">
        <v>1646</v>
      </c>
      <c r="C6091" s="2889" t="s">
        <v>1453</v>
      </c>
      <c r="D6091" s="2889" t="s">
        <v>1105</v>
      </c>
      <c r="E6091" s="2889" t="s">
        <v>1420</v>
      </c>
      <c r="F6091" s="2890">
        <v>8.3201323583173697E-3</v>
      </c>
      <c r="G6091" s="2890">
        <v>39.430046143649669</v>
      </c>
    </row>
    <row r="6092" spans="2:7" ht="15" hidden="1" outlineLevel="2">
      <c r="B6092" s="2889" t="s">
        <v>1647</v>
      </c>
      <c r="C6092" s="2889" t="s">
        <v>1453</v>
      </c>
      <c r="D6092" s="2889" t="s">
        <v>1105</v>
      </c>
      <c r="E6092" s="2889" t="s">
        <v>1420</v>
      </c>
      <c r="F6092" s="2890">
        <v>3.7914516929596844E-3</v>
      </c>
      <c r="G6092" s="2890">
        <v>17.968112415058503</v>
      </c>
    </row>
    <row r="6093" spans="2:7" ht="15" hidden="1" outlineLevel="2">
      <c r="B6093" s="2889" t="s">
        <v>1648</v>
      </c>
      <c r="C6093" s="2889" t="s">
        <v>1453</v>
      </c>
      <c r="D6093" s="2889" t="s">
        <v>1105</v>
      </c>
      <c r="E6093" s="2889" t="s">
        <v>1420</v>
      </c>
      <c r="F6093" s="2890">
        <v>1.5797708556097678E-3</v>
      </c>
      <c r="G6093" s="2890">
        <v>7.4867087962662477</v>
      </c>
    </row>
    <row r="6094" spans="2:7" ht="15" hidden="1" outlineLevel="2">
      <c r="B6094" s="2889" t="s">
        <v>1649</v>
      </c>
      <c r="C6094" s="2889" t="s">
        <v>1453</v>
      </c>
      <c r="D6094" s="2889" t="s">
        <v>1105</v>
      </c>
      <c r="E6094" s="2889" t="s">
        <v>1420</v>
      </c>
      <c r="F6094" s="2890">
        <v>7.0563124194715377E-3</v>
      </c>
      <c r="G6094" s="2890">
        <v>33.440652983807361</v>
      </c>
    </row>
    <row r="6095" spans="2:7" ht="15" hidden="1" outlineLevel="2">
      <c r="B6095" s="2889" t="s">
        <v>1650</v>
      </c>
      <c r="C6095" s="2889" t="s">
        <v>1453</v>
      </c>
      <c r="D6095" s="2889" t="s">
        <v>1105</v>
      </c>
      <c r="E6095" s="2889" t="s">
        <v>1420</v>
      </c>
      <c r="F6095" s="2890">
        <v>1.590301931897304E-2</v>
      </c>
      <c r="G6095" s="2890">
        <v>75.366171073811458</v>
      </c>
    </row>
    <row r="6096" spans="2:7" ht="15" hidden="1" outlineLevel="2">
      <c r="B6096" s="2889" t="s">
        <v>1651</v>
      </c>
      <c r="C6096" s="2889" t="s">
        <v>1453</v>
      </c>
      <c r="D6096" s="2889" t="s">
        <v>1105</v>
      </c>
      <c r="E6096" s="2889" t="s">
        <v>1420</v>
      </c>
      <c r="F6096" s="2890">
        <v>1.3796667924116789E-2</v>
      </c>
      <c r="G6096" s="2890">
        <v>65.383949421575181</v>
      </c>
    </row>
    <row r="6097" spans="2:7" ht="15" hidden="1" outlineLevel="2">
      <c r="B6097" s="2889" t="s">
        <v>1652</v>
      </c>
      <c r="C6097" s="2889" t="s">
        <v>1453</v>
      </c>
      <c r="D6097" s="2889" t="s">
        <v>1105</v>
      </c>
      <c r="E6097" s="2889" t="s">
        <v>1420</v>
      </c>
      <c r="F6097" s="2890">
        <v>8.6360862335731047E-3</v>
      </c>
      <c r="G6097" s="2890">
        <v>40.927352772197814</v>
      </c>
    </row>
    <row r="6098" spans="2:7" ht="15" hidden="1" outlineLevel="2">
      <c r="B6098" s="2889" t="s">
        <v>1653</v>
      </c>
      <c r="C6098" s="2889" t="s">
        <v>1453</v>
      </c>
      <c r="D6098" s="2889" t="s">
        <v>1105</v>
      </c>
      <c r="E6098" s="2889" t="s">
        <v>1420</v>
      </c>
      <c r="F6098" s="2890">
        <v>6.6982327101831968E-2</v>
      </c>
      <c r="G6098" s="2890">
        <v>317.436795686994</v>
      </c>
    </row>
    <row r="6099" spans="2:7" ht="15" hidden="1" outlineLevel="2">
      <c r="B6099" s="2889" t="s">
        <v>1407</v>
      </c>
      <c r="C6099" s="2889" t="s">
        <v>1454</v>
      </c>
      <c r="D6099" s="2889" t="s">
        <v>1105</v>
      </c>
      <c r="E6099" s="2889" t="s">
        <v>1420</v>
      </c>
      <c r="F6099" s="2890">
        <v>1.709327559185819E-4</v>
      </c>
      <c r="G6099" s="2890">
        <v>0.4385482812485953</v>
      </c>
    </row>
    <row r="6100" spans="2:7" ht="15" hidden="1" outlineLevel="2">
      <c r="B6100" s="2889" t="s">
        <v>1631</v>
      </c>
      <c r="C6100" s="2889" t="s">
        <v>1454</v>
      </c>
      <c r="D6100" s="2889" t="s">
        <v>1105</v>
      </c>
      <c r="E6100" s="2889" t="s">
        <v>1420</v>
      </c>
      <c r="F6100" s="2890">
        <v>1.7329953949131356E-3</v>
      </c>
      <c r="G6100" s="2890">
        <v>4.4462087468212346</v>
      </c>
    </row>
    <row r="6101" spans="2:7" ht="15" hidden="1" outlineLevel="2">
      <c r="B6101" s="2889" t="s">
        <v>1632</v>
      </c>
      <c r="C6101" s="2889" t="s">
        <v>1454</v>
      </c>
      <c r="D6101" s="2889" t="s">
        <v>1105</v>
      </c>
      <c r="E6101" s="2889" t="s">
        <v>1420</v>
      </c>
      <c r="F6101" s="2890">
        <v>2.6507734895127254E-3</v>
      </c>
      <c r="G6101" s="2890">
        <v>6.8008713755718073</v>
      </c>
    </row>
    <row r="6102" spans="2:7" ht="15" hidden="1" outlineLevel="2">
      <c r="B6102" s="2889" t="s">
        <v>1633</v>
      </c>
      <c r="C6102" s="2889" t="s">
        <v>1454</v>
      </c>
      <c r="D6102" s="2889" t="s">
        <v>1105</v>
      </c>
      <c r="E6102" s="2889" t="s">
        <v>1420</v>
      </c>
      <c r="F6102" s="2890">
        <v>9.7300164900953034E-5</v>
      </c>
      <c r="G6102" s="2890">
        <v>0.24963536801554007</v>
      </c>
    </row>
    <row r="6103" spans="2:7" ht="15" hidden="1" outlineLevel="2">
      <c r="B6103" s="2889" t="s">
        <v>1634</v>
      </c>
      <c r="C6103" s="2889" t="s">
        <v>1454</v>
      </c>
      <c r="D6103" s="2889" t="s">
        <v>1105</v>
      </c>
      <c r="E6103" s="2889" t="s">
        <v>1420</v>
      </c>
      <c r="F6103" s="2890">
        <v>6.8373170706200536E-5</v>
      </c>
      <c r="G6103" s="2890">
        <v>0.17541944146135918</v>
      </c>
    </row>
    <row r="6104" spans="2:7" ht="15" hidden="1" outlineLevel="2">
      <c r="B6104" s="2889" t="s">
        <v>1635</v>
      </c>
      <c r="C6104" s="2889" t="s">
        <v>1454</v>
      </c>
      <c r="D6104" s="2889" t="s">
        <v>1105</v>
      </c>
      <c r="E6104" s="2889" t="s">
        <v>1420</v>
      </c>
      <c r="F6104" s="2890">
        <v>4.3653590037097157E-4</v>
      </c>
      <c r="G6104" s="2890">
        <v>1.1199843820419029</v>
      </c>
    </row>
    <row r="6105" spans="2:7" ht="15" hidden="1" outlineLevel="2">
      <c r="B6105" s="2889" t="s">
        <v>1636</v>
      </c>
      <c r="C6105" s="2889" t="s">
        <v>1454</v>
      </c>
      <c r="D6105" s="2889" t="s">
        <v>1105</v>
      </c>
      <c r="E6105" s="2889" t="s">
        <v>1420</v>
      </c>
      <c r="F6105" s="2890">
        <v>1.683031077866119E-4</v>
      </c>
      <c r="G6105" s="2890">
        <v>0.43180151628413532</v>
      </c>
    </row>
    <row r="6106" spans="2:7" ht="15" hidden="1" outlineLevel="2">
      <c r="B6106" s="2889" t="s">
        <v>1637</v>
      </c>
      <c r="C6106" s="2889" t="s">
        <v>1454</v>
      </c>
      <c r="D6106" s="2889" t="s">
        <v>1105</v>
      </c>
      <c r="E6106" s="2889" t="s">
        <v>1420</v>
      </c>
      <c r="F6106" s="2890">
        <v>1.9985973673732941E-4</v>
      </c>
      <c r="G6106" s="2890">
        <v>0.51276428174759381</v>
      </c>
    </row>
    <row r="6107" spans="2:7" ht="15" hidden="1" outlineLevel="2">
      <c r="B6107" s="2889" t="s">
        <v>1638</v>
      </c>
      <c r="C6107" s="2889" t="s">
        <v>1454</v>
      </c>
      <c r="D6107" s="2889" t="s">
        <v>1105</v>
      </c>
      <c r="E6107" s="2889" t="s">
        <v>1420</v>
      </c>
      <c r="F6107" s="2890">
        <v>1.2359750964284618E-4</v>
      </c>
      <c r="G6107" s="2890">
        <v>0.31710418957673447</v>
      </c>
    </row>
    <row r="6108" spans="2:7" ht="15" hidden="1" outlineLevel="2">
      <c r="B6108" s="2889" t="s">
        <v>1639</v>
      </c>
      <c r="C6108" s="2889" t="s">
        <v>1454</v>
      </c>
      <c r="D6108" s="2889" t="s">
        <v>1105</v>
      </c>
      <c r="E6108" s="2889" t="s">
        <v>1420</v>
      </c>
      <c r="F6108" s="2890">
        <v>6.153578796533755E-4</v>
      </c>
      <c r="G6108" s="2890">
        <v>1.5787762698812735</v>
      </c>
    </row>
    <row r="6109" spans="2:7" ht="15" hidden="1" outlineLevel="2">
      <c r="B6109" s="2889" t="s">
        <v>1640</v>
      </c>
      <c r="C6109" s="2889" t="s">
        <v>1454</v>
      </c>
      <c r="D6109" s="2889" t="s">
        <v>1105</v>
      </c>
      <c r="E6109" s="2889" t="s">
        <v>1420</v>
      </c>
      <c r="F6109" s="2890">
        <v>9.2040668484160272E-5</v>
      </c>
      <c r="G6109" s="2890">
        <v>0.23614155974119244</v>
      </c>
    </row>
    <row r="6110" spans="2:7" ht="15" hidden="1" outlineLevel="2">
      <c r="B6110" s="2889" t="s">
        <v>1641</v>
      </c>
      <c r="C6110" s="2889" t="s">
        <v>1454</v>
      </c>
      <c r="D6110" s="2889" t="s">
        <v>1105</v>
      </c>
      <c r="E6110" s="2889" t="s">
        <v>1420</v>
      </c>
      <c r="F6110" s="2890">
        <v>5.9169028018920666E-4</v>
      </c>
      <c r="G6110" s="2890">
        <v>1.518051074964208</v>
      </c>
    </row>
    <row r="6111" spans="2:7" ht="15" hidden="1" outlineLevel="2">
      <c r="B6111" s="2889" t="s">
        <v>1642</v>
      </c>
      <c r="C6111" s="2889" t="s">
        <v>1454</v>
      </c>
      <c r="D6111" s="2889" t="s">
        <v>1105</v>
      </c>
      <c r="E6111" s="2889" t="s">
        <v>1420</v>
      </c>
      <c r="F6111" s="2890">
        <v>1.5725802603472057E-3</v>
      </c>
      <c r="G6111" s="2890">
        <v>4.0346453919292884</v>
      </c>
    </row>
    <row r="6112" spans="2:7" ht="15" hidden="1" outlineLevel="2">
      <c r="B6112" s="2889" t="s">
        <v>1643</v>
      </c>
      <c r="C6112" s="2889" t="s">
        <v>1454</v>
      </c>
      <c r="D6112" s="2889" t="s">
        <v>1105</v>
      </c>
      <c r="E6112" s="2889" t="s">
        <v>1420</v>
      </c>
      <c r="F6112" s="3039">
        <v>9.7359802268702847E-5</v>
      </c>
      <c r="G6112" s="2890">
        <v>0.24978815433121657</v>
      </c>
    </row>
    <row r="6113" spans="2:7" ht="15" hidden="1" outlineLevel="2">
      <c r="B6113" s="2889" t="s">
        <v>1644</v>
      </c>
      <c r="C6113" s="2889" t="s">
        <v>1454</v>
      </c>
      <c r="D6113" s="2889" t="s">
        <v>1105</v>
      </c>
      <c r="E6113" s="2889" t="s">
        <v>1420</v>
      </c>
      <c r="F6113" s="3039">
        <v>2.3167965407913447E-3</v>
      </c>
      <c r="G6113" s="2890">
        <v>5.9440179160602913</v>
      </c>
    </row>
    <row r="6114" spans="2:7" ht="15" hidden="1" outlineLevel="2">
      <c r="B6114" s="2889" t="s">
        <v>1645</v>
      </c>
      <c r="C6114" s="2889" t="s">
        <v>1454</v>
      </c>
      <c r="D6114" s="2889" t="s">
        <v>1105</v>
      </c>
      <c r="E6114" s="2889" t="s">
        <v>1420</v>
      </c>
      <c r="F6114" s="3039">
        <v>1.7698105964725312E-3</v>
      </c>
      <c r="G6114" s="2890">
        <v>4.5406645073565439</v>
      </c>
    </row>
    <row r="6115" spans="2:7" ht="15" hidden="1" outlineLevel="2">
      <c r="B6115" s="2889" t="s">
        <v>1646</v>
      </c>
      <c r="C6115" s="2889" t="s">
        <v>1454</v>
      </c>
      <c r="D6115" s="2889" t="s">
        <v>1105</v>
      </c>
      <c r="E6115" s="2889" t="s">
        <v>1420</v>
      </c>
      <c r="F6115" s="3039">
        <v>2.0774890753981262E-4</v>
      </c>
      <c r="G6115" s="2890">
        <v>0.5330049369897959</v>
      </c>
    </row>
    <row r="6116" spans="2:7" ht="15" hidden="1" outlineLevel="2">
      <c r="B6116" s="2889" t="s">
        <v>1647</v>
      </c>
      <c r="C6116" s="2889" t="s">
        <v>1454</v>
      </c>
      <c r="D6116" s="2889" t="s">
        <v>1105</v>
      </c>
      <c r="E6116" s="2889" t="s">
        <v>1420</v>
      </c>
      <c r="F6116" s="3039">
        <v>9.4670453843990885E-5</v>
      </c>
      <c r="G6116" s="2890">
        <v>0.2428882636025779</v>
      </c>
    </row>
    <row r="6117" spans="2:7" ht="15" hidden="1" outlineLevel="2">
      <c r="B6117" s="2889" t="s">
        <v>1648</v>
      </c>
      <c r="C6117" s="2889" t="s">
        <v>1454</v>
      </c>
      <c r="D6117" s="2889" t="s">
        <v>1105</v>
      </c>
      <c r="E6117" s="2889" t="s">
        <v>1420</v>
      </c>
      <c r="F6117" s="3039">
        <v>3.9445992812686384E-5</v>
      </c>
      <c r="G6117" s="2890">
        <v>0.10120357786648831</v>
      </c>
    </row>
    <row r="6118" spans="2:7" ht="15" hidden="1" outlineLevel="2">
      <c r="B6118" s="2889" t="s">
        <v>1649</v>
      </c>
      <c r="C6118" s="2889" t="s">
        <v>1454</v>
      </c>
      <c r="D6118" s="2889" t="s">
        <v>1105</v>
      </c>
      <c r="E6118" s="2889" t="s">
        <v>1420</v>
      </c>
      <c r="F6118" s="3039">
        <v>1.761922099466127E-4</v>
      </c>
      <c r="G6118" s="2890">
        <v>0.45204233599147631</v>
      </c>
    </row>
    <row r="6119" spans="2:7" ht="15" hidden="1" outlineLevel="2">
      <c r="B6119" s="2889" t="s">
        <v>1650</v>
      </c>
      <c r="C6119" s="2889" t="s">
        <v>1454</v>
      </c>
      <c r="D6119" s="2889" t="s">
        <v>1105</v>
      </c>
      <c r="E6119" s="2889" t="s">
        <v>1420</v>
      </c>
      <c r="F6119" s="2890">
        <v>3.9708976179666405E-4</v>
      </c>
      <c r="G6119" s="2890">
        <v>1.0187823755726289</v>
      </c>
    </row>
    <row r="6120" spans="2:7" ht="15" hidden="1" outlineLevel="2">
      <c r="B6120" s="2889" t="s">
        <v>1651</v>
      </c>
      <c r="C6120" s="2889" t="s">
        <v>1454</v>
      </c>
      <c r="D6120" s="2889" t="s">
        <v>1105</v>
      </c>
      <c r="E6120" s="2889" t="s">
        <v>1420</v>
      </c>
      <c r="F6120" s="2890">
        <v>3.4449533463809984E-4</v>
      </c>
      <c r="G6120" s="2890">
        <v>0.88384441559019666</v>
      </c>
    </row>
    <row r="6121" spans="2:7" ht="15" hidden="1" outlineLevel="2">
      <c r="B6121" s="2889" t="s">
        <v>1652</v>
      </c>
      <c r="C6121" s="2889" t="s">
        <v>1454</v>
      </c>
      <c r="D6121" s="2889" t="s">
        <v>1105</v>
      </c>
      <c r="E6121" s="2889" t="s">
        <v>1420</v>
      </c>
      <c r="F6121" s="2890">
        <v>2.156382602380132E-4</v>
      </c>
      <c r="G6121" s="2890">
        <v>0.55324594012796635</v>
      </c>
    </row>
    <row r="6122" spans="2:7" ht="15" hidden="1" outlineLevel="2">
      <c r="B6122" s="2889" t="s">
        <v>1653</v>
      </c>
      <c r="C6122" s="2889" t="s">
        <v>1454</v>
      </c>
      <c r="D6122" s="2889" t="s">
        <v>1105</v>
      </c>
      <c r="E6122" s="2889" t="s">
        <v>1420</v>
      </c>
      <c r="F6122" s="3039">
        <v>1.6725092037238058E-3</v>
      </c>
      <c r="G6122" s="2890">
        <v>4.291028803047328</v>
      </c>
    </row>
    <row r="6123" spans="2:7" ht="15" hidden="1" outlineLevel="2">
      <c r="B6123" s="2889" t="s">
        <v>1407</v>
      </c>
      <c r="C6123" s="2889" t="s">
        <v>1455</v>
      </c>
      <c r="D6123" s="2889" t="s">
        <v>1105</v>
      </c>
      <c r="E6123" s="2889" t="s">
        <v>1420</v>
      </c>
      <c r="F6123" s="2890">
        <v>4.9869833710106336E-5</v>
      </c>
      <c r="G6123" s="2890">
        <v>0.40735357326601507</v>
      </c>
    </row>
    <row r="6124" spans="2:7" ht="15" hidden="1" outlineLevel="2">
      <c r="B6124" s="2889" t="s">
        <v>1631</v>
      </c>
      <c r="C6124" s="2889" t="s">
        <v>1455</v>
      </c>
      <c r="D6124" s="2889" t="s">
        <v>1105</v>
      </c>
      <c r="E6124" s="2889" t="s">
        <v>1420</v>
      </c>
      <c r="F6124" s="2890">
        <v>5.0560314801938156E-4</v>
      </c>
      <c r="G6124" s="2890">
        <v>4.1299417230520508</v>
      </c>
    </row>
    <row r="6125" spans="2:7" ht="15" hidden="1" outlineLevel="2">
      <c r="B6125" s="2889" t="s">
        <v>1632</v>
      </c>
      <c r="C6125" s="2889" t="s">
        <v>1455</v>
      </c>
      <c r="D6125" s="2889" t="s">
        <v>1105</v>
      </c>
      <c r="E6125" s="2889" t="s">
        <v>1420</v>
      </c>
      <c r="F6125" s="3039">
        <v>7.7336572515426881E-4</v>
      </c>
      <c r="G6125" s="2890">
        <v>6.3171143407926156</v>
      </c>
    </row>
    <row r="6126" spans="2:7" ht="15" hidden="1" outlineLevel="2">
      <c r="B6126" s="2889" t="s">
        <v>1633</v>
      </c>
      <c r="C6126" s="2889" t="s">
        <v>1455</v>
      </c>
      <c r="D6126" s="2889" t="s">
        <v>1105</v>
      </c>
      <c r="E6126" s="2889" t="s">
        <v>1420</v>
      </c>
      <c r="F6126" s="2890">
        <v>2.8387459149993452E-5</v>
      </c>
      <c r="G6126" s="2890">
        <v>0.23187822629461491</v>
      </c>
    </row>
    <row r="6127" spans="2:7" ht="15" hidden="1" outlineLevel="2">
      <c r="B6127" s="2889" t="s">
        <v>1634</v>
      </c>
      <c r="C6127" s="2889" t="s">
        <v>1455</v>
      </c>
      <c r="D6127" s="2889" t="s">
        <v>1105</v>
      </c>
      <c r="E6127" s="2889" t="s">
        <v>1420</v>
      </c>
      <c r="F6127" s="2890">
        <v>1.9947915176651401E-5</v>
      </c>
      <c r="G6127" s="2890">
        <v>0.16294150789387843</v>
      </c>
    </row>
    <row r="6128" spans="2:7" ht="15" hidden="1" outlineLevel="2">
      <c r="B6128" s="2889" t="s">
        <v>1635</v>
      </c>
      <c r="C6128" s="2889" t="s">
        <v>1455</v>
      </c>
      <c r="D6128" s="2889" t="s">
        <v>1105</v>
      </c>
      <c r="E6128" s="2889" t="s">
        <v>1420</v>
      </c>
      <c r="F6128" s="2890">
        <v>1.2735993078527062E-4</v>
      </c>
      <c r="G6128" s="2890">
        <v>1.0403176422910887</v>
      </c>
    </row>
    <row r="6129" spans="2:7" ht="15" hidden="1" outlineLevel="2">
      <c r="B6129" s="2889" t="s">
        <v>1636</v>
      </c>
      <c r="C6129" s="2889" t="s">
        <v>1455</v>
      </c>
      <c r="D6129" s="2889" t="s">
        <v>1105</v>
      </c>
      <c r="E6129" s="2889" t="s">
        <v>1420</v>
      </c>
      <c r="F6129" s="3039">
        <v>4.9102618847407216E-5</v>
      </c>
      <c r="G6129" s="2890">
        <v>0.40108673210333123</v>
      </c>
    </row>
    <row r="6130" spans="2:7" ht="15" hidden="1" outlineLevel="2">
      <c r="B6130" s="2889" t="s">
        <v>1637</v>
      </c>
      <c r="C6130" s="2889" t="s">
        <v>1455</v>
      </c>
      <c r="D6130" s="2889" t="s">
        <v>1105</v>
      </c>
      <c r="E6130" s="2889" t="s">
        <v>1420</v>
      </c>
      <c r="F6130" s="3039">
        <v>5.8309334389929612E-5</v>
      </c>
      <c r="G6130" s="2890">
        <v>0.47629031802753474</v>
      </c>
    </row>
    <row r="6131" spans="2:7" ht="15" hidden="1" outlineLevel="2">
      <c r="B6131" s="2889" t="s">
        <v>1638</v>
      </c>
      <c r="C6131" s="2889" t="s">
        <v>1455</v>
      </c>
      <c r="D6131" s="2889" t="s">
        <v>1105</v>
      </c>
      <c r="E6131" s="2889" t="s">
        <v>1420</v>
      </c>
      <c r="F6131" s="3039">
        <v>3.6059739073114789E-5</v>
      </c>
      <c r="G6131" s="2890">
        <v>0.29454797516755449</v>
      </c>
    </row>
    <row r="6132" spans="2:7" ht="15" hidden="1" outlineLevel="2">
      <c r="B6132" s="2889" t="s">
        <v>1639</v>
      </c>
      <c r="C6132" s="2889" t="s">
        <v>1455</v>
      </c>
      <c r="D6132" s="2889" t="s">
        <v>1105</v>
      </c>
      <c r="E6132" s="2889" t="s">
        <v>1420</v>
      </c>
      <c r="F6132" s="2890">
        <v>1.7953141964670663E-4</v>
      </c>
      <c r="G6132" s="2890">
        <v>1.4664735264849904</v>
      </c>
    </row>
    <row r="6133" spans="2:7" ht="15" hidden="1" outlineLevel="2">
      <c r="B6133" s="2889" t="s">
        <v>1640</v>
      </c>
      <c r="C6133" s="2889" t="s">
        <v>1455</v>
      </c>
      <c r="D6133" s="2889" t="s">
        <v>1105</v>
      </c>
      <c r="E6133" s="2889" t="s">
        <v>1420</v>
      </c>
      <c r="F6133" s="2890">
        <v>2.6852991774017796E-5</v>
      </c>
      <c r="G6133" s="2890">
        <v>0.21934441288145931</v>
      </c>
    </row>
    <row r="6134" spans="2:7" ht="15" hidden="1" outlineLevel="2">
      <c r="B6134" s="2889" t="s">
        <v>1641</v>
      </c>
      <c r="C6134" s="2889" t="s">
        <v>1455</v>
      </c>
      <c r="D6134" s="2889" t="s">
        <v>1105</v>
      </c>
      <c r="E6134" s="2889" t="s">
        <v>1420</v>
      </c>
      <c r="F6134" s="2890">
        <v>1.7262627052776994E-4</v>
      </c>
      <c r="G6134" s="2890">
        <v>1.410071292642699</v>
      </c>
    </row>
    <row r="6135" spans="2:7" ht="15" hidden="1" outlineLevel="2">
      <c r="B6135" s="2889" t="s">
        <v>1642</v>
      </c>
      <c r="C6135" s="2889" t="s">
        <v>1455</v>
      </c>
      <c r="D6135" s="2889" t="s">
        <v>1105</v>
      </c>
      <c r="E6135" s="2889" t="s">
        <v>1420</v>
      </c>
      <c r="F6135" s="2890">
        <v>4.5880242657735657E-4</v>
      </c>
      <c r="G6135" s="2890">
        <v>3.7476537851210465</v>
      </c>
    </row>
    <row r="6136" spans="2:7" ht="15" hidden="1" outlineLevel="2">
      <c r="B6136" s="2889" t="s">
        <v>1643</v>
      </c>
      <c r="C6136" s="2889" t="s">
        <v>1455</v>
      </c>
      <c r="D6136" s="2889" t="s">
        <v>1105</v>
      </c>
      <c r="E6136" s="2889" t="s">
        <v>1420</v>
      </c>
      <c r="F6136" s="2890">
        <v>2.8404828565524986E-5</v>
      </c>
      <c r="G6136" s="2890">
        <v>0.23202026388569311</v>
      </c>
    </row>
    <row r="6137" spans="2:7" ht="15" hidden="1" outlineLevel="2">
      <c r="B6137" s="2889" t="s">
        <v>1644</v>
      </c>
      <c r="C6137" s="2889" t="s">
        <v>1455</v>
      </c>
      <c r="D6137" s="2889" t="s">
        <v>1105</v>
      </c>
      <c r="E6137" s="2889" t="s">
        <v>1420</v>
      </c>
      <c r="F6137" s="2890">
        <v>6.7592773308463227E-4</v>
      </c>
      <c r="G6137" s="2890">
        <v>5.5212063938054987</v>
      </c>
    </row>
    <row r="6138" spans="2:7" ht="15" hidden="1" outlineLevel="2">
      <c r="B6138" s="2889" t="s">
        <v>1645</v>
      </c>
      <c r="C6138" s="2889" t="s">
        <v>1455</v>
      </c>
      <c r="D6138" s="2889" t="s">
        <v>1105</v>
      </c>
      <c r="E6138" s="2889" t="s">
        <v>1420</v>
      </c>
      <c r="F6138" s="2890">
        <v>5.1634473004307858E-4</v>
      </c>
      <c r="G6138" s="2890">
        <v>4.2176769212382297</v>
      </c>
    </row>
    <row r="6139" spans="2:7" ht="15" hidden="1" outlineLevel="2">
      <c r="B6139" s="2889" t="s">
        <v>1646</v>
      </c>
      <c r="C6139" s="2889" t="s">
        <v>1455</v>
      </c>
      <c r="D6139" s="2889" t="s">
        <v>1105</v>
      </c>
      <c r="E6139" s="2889" t="s">
        <v>1420</v>
      </c>
      <c r="F6139" s="2890">
        <v>6.061101700046418E-5</v>
      </c>
      <c r="G6139" s="2890">
        <v>0.49509134192358573</v>
      </c>
    </row>
    <row r="6140" spans="2:7" ht="15" hidden="1" outlineLevel="2">
      <c r="B6140" s="2889" t="s">
        <v>1647</v>
      </c>
      <c r="C6140" s="2889" t="s">
        <v>1455</v>
      </c>
      <c r="D6140" s="2889" t="s">
        <v>1105</v>
      </c>
      <c r="E6140" s="2889" t="s">
        <v>1420</v>
      </c>
      <c r="F6140" s="2890">
        <v>2.7620205128656482E-5</v>
      </c>
      <c r="G6140" s="2890">
        <v>0.22561112058680091</v>
      </c>
    </row>
    <row r="6141" spans="2:7" ht="15" hidden="1" outlineLevel="2">
      <c r="B6141" s="2889" t="s">
        <v>1648</v>
      </c>
      <c r="C6141" s="2889" t="s">
        <v>1455</v>
      </c>
      <c r="D6141" s="2889" t="s">
        <v>1105</v>
      </c>
      <c r="E6141" s="2889" t="s">
        <v>1420</v>
      </c>
      <c r="F6141" s="2890">
        <v>1.1508418664877356E-5</v>
      </c>
      <c r="G6141" s="2890">
        <v>9.4004700970541172E-2</v>
      </c>
    </row>
    <row r="6142" spans="2:7" ht="15" hidden="1" outlineLevel="2">
      <c r="B6142" s="2889" t="s">
        <v>1649</v>
      </c>
      <c r="C6142" s="2889" t="s">
        <v>1455</v>
      </c>
      <c r="D6142" s="2889" t="s">
        <v>1105</v>
      </c>
      <c r="E6142" s="2889" t="s">
        <v>1420</v>
      </c>
      <c r="F6142" s="2890">
        <v>5.1404283913450805E-5</v>
      </c>
      <c r="G6142" s="2890">
        <v>0.41988754857894145</v>
      </c>
    </row>
    <row r="6143" spans="2:7" ht="15" hidden="1" outlineLevel="2">
      <c r="B6143" s="2889" t="s">
        <v>1650</v>
      </c>
      <c r="C6143" s="2889" t="s">
        <v>1455</v>
      </c>
      <c r="D6143" s="2889" t="s">
        <v>1105</v>
      </c>
      <c r="E6143" s="2889" t="s">
        <v>1420</v>
      </c>
      <c r="F6143" s="3039">
        <v>1.1585141332680361E-4</v>
      </c>
      <c r="G6143" s="2890">
        <v>0.94631345768927633</v>
      </c>
    </row>
    <row r="6144" spans="2:7" ht="15" hidden="1" outlineLevel="2">
      <c r="B6144" s="2889" t="s">
        <v>1651</v>
      </c>
      <c r="C6144" s="2889" t="s">
        <v>1455</v>
      </c>
      <c r="D6144" s="2889" t="s">
        <v>1105</v>
      </c>
      <c r="E6144" s="2889" t="s">
        <v>1420</v>
      </c>
      <c r="F6144" s="3039">
        <v>1.0050694786151339E-4</v>
      </c>
      <c r="G6144" s="2890">
        <v>0.82097404928424733</v>
      </c>
    </row>
    <row r="6145" spans="2:7" ht="15" hidden="1" outlineLevel="2">
      <c r="B6145" s="2889" t="s">
        <v>1652</v>
      </c>
      <c r="C6145" s="2889" t="s">
        <v>1455</v>
      </c>
      <c r="D6145" s="2889" t="s">
        <v>1105</v>
      </c>
      <c r="E6145" s="2889" t="s">
        <v>1420</v>
      </c>
      <c r="F6145" s="2890">
        <v>6.2912714788697737E-5</v>
      </c>
      <c r="G6145" s="2890">
        <v>0.51389227736357357</v>
      </c>
    </row>
    <row r="6146" spans="2:7" ht="15" hidden="1" outlineLevel="2">
      <c r="B6146" s="2889" t="s">
        <v>1653</v>
      </c>
      <c r="C6146" s="2889" t="s">
        <v>1455</v>
      </c>
      <c r="D6146" s="2889" t="s">
        <v>1105</v>
      </c>
      <c r="E6146" s="2889" t="s">
        <v>1420</v>
      </c>
      <c r="F6146" s="2890">
        <v>4.8795706147164149E-4</v>
      </c>
      <c r="G6146" s="2890">
        <v>3.9857984037881882</v>
      </c>
    </row>
    <row r="6147" spans="2:7" ht="15" hidden="1" outlineLevel="2">
      <c r="B6147" s="2889" t="s">
        <v>1407</v>
      </c>
      <c r="C6147" s="2889" t="s">
        <v>1456</v>
      </c>
      <c r="D6147" s="2889" t="s">
        <v>1105</v>
      </c>
      <c r="E6147" s="2889" t="s">
        <v>1423</v>
      </c>
      <c r="F6147" s="2890">
        <v>0.80389029621148067</v>
      </c>
      <c r="G6147" s="2890">
        <v>22.323202308482106</v>
      </c>
    </row>
    <row r="6148" spans="2:7" ht="15" hidden="1" outlineLevel="2">
      <c r="B6148" s="2889" t="s">
        <v>1631</v>
      </c>
      <c r="C6148" s="2889" t="s">
        <v>1456</v>
      </c>
      <c r="D6148" s="2889" t="s">
        <v>1105</v>
      </c>
      <c r="E6148" s="2889" t="s">
        <v>1423</v>
      </c>
      <c r="F6148" s="2890">
        <v>8.1502164299902571</v>
      </c>
      <c r="G6148" s="2890">
        <v>226.32283468358179</v>
      </c>
    </row>
    <row r="6149" spans="2:7" ht="15" hidden="1" outlineLevel="2">
      <c r="B6149" s="2889" t="s">
        <v>1632</v>
      </c>
      <c r="C6149" s="2889" t="s">
        <v>1456</v>
      </c>
      <c r="D6149" s="2889" t="s">
        <v>1105</v>
      </c>
      <c r="E6149" s="2889" t="s">
        <v>1423</v>
      </c>
      <c r="F6149" s="2890">
        <v>12.466476998302486</v>
      </c>
      <c r="G6149" s="2890">
        <v>340.74661593145191</v>
      </c>
    </row>
    <row r="6150" spans="2:7" ht="15" hidden="1" outlineLevel="2">
      <c r="B6150" s="2889" t="s">
        <v>1633</v>
      </c>
      <c r="C6150" s="2889" t="s">
        <v>1456</v>
      </c>
      <c r="D6150" s="2889" t="s">
        <v>1105</v>
      </c>
      <c r="E6150" s="2889" t="s">
        <v>1423</v>
      </c>
      <c r="F6150" s="2890">
        <v>0.45759936476541224</v>
      </c>
      <c r="G6150" s="2890">
        <v>12.707056676741562</v>
      </c>
    </row>
    <row r="6151" spans="2:7" ht="15" hidden="1" outlineLevel="2">
      <c r="B6151" s="2889" t="s">
        <v>1634</v>
      </c>
      <c r="C6151" s="2889" t="s">
        <v>1456</v>
      </c>
      <c r="D6151" s="2889" t="s">
        <v>1105</v>
      </c>
      <c r="E6151" s="2889" t="s">
        <v>1423</v>
      </c>
      <c r="F6151" s="2890">
        <v>0.32155618159207844</v>
      </c>
      <c r="G6151" s="2890">
        <v>8.9292837239369938</v>
      </c>
    </row>
    <row r="6152" spans="2:7" ht="15" hidden="1" outlineLevel="2">
      <c r="B6152" s="2889" t="s">
        <v>1635</v>
      </c>
      <c r="C6152" s="2889" t="s">
        <v>1456</v>
      </c>
      <c r="D6152" s="2889" t="s">
        <v>1105</v>
      </c>
      <c r="E6152" s="2889" t="s">
        <v>1423</v>
      </c>
      <c r="F6152" s="2890">
        <v>2.0530121720126187</v>
      </c>
      <c r="G6152" s="2890">
        <v>57.010031357646497</v>
      </c>
    </row>
    <row r="6153" spans="2:7" ht="15" hidden="1" outlineLevel="2">
      <c r="B6153" s="2889" t="s">
        <v>1636</v>
      </c>
      <c r="C6153" s="2889" t="s">
        <v>1456</v>
      </c>
      <c r="D6153" s="2889" t="s">
        <v>1105</v>
      </c>
      <c r="E6153" s="2889" t="s">
        <v>1423</v>
      </c>
      <c r="F6153" s="2890">
        <v>0.79152314227951082</v>
      </c>
      <c r="G6153" s="2890">
        <v>21.979777353708155</v>
      </c>
    </row>
    <row r="6154" spans="2:7" ht="15" hidden="1" outlineLevel="2">
      <c r="B6154" s="2889" t="s">
        <v>1637</v>
      </c>
      <c r="C6154" s="2889" t="s">
        <v>1456</v>
      </c>
      <c r="D6154" s="2889" t="s">
        <v>1105</v>
      </c>
      <c r="E6154" s="2889" t="s">
        <v>1423</v>
      </c>
      <c r="F6154" s="2890">
        <v>0.93993347307302555</v>
      </c>
      <c r="G6154" s="2890">
        <v>26.100982031370055</v>
      </c>
    </row>
    <row r="6155" spans="2:7" ht="15" hidden="1" outlineLevel="2">
      <c r="B6155" s="2889" t="s">
        <v>1638</v>
      </c>
      <c r="C6155" s="2889" t="s">
        <v>1456</v>
      </c>
      <c r="D6155" s="2889" t="s">
        <v>1105</v>
      </c>
      <c r="E6155" s="2889" t="s">
        <v>1423</v>
      </c>
      <c r="F6155" s="2890">
        <v>0.58127444167930864</v>
      </c>
      <c r="G6155" s="2890">
        <v>16.141390455217483</v>
      </c>
    </row>
    <row r="6156" spans="2:7" ht="15" hidden="1" outlineLevel="2">
      <c r="B6156" s="2889" t="s">
        <v>1639</v>
      </c>
      <c r="C6156" s="2889" t="s">
        <v>1456</v>
      </c>
      <c r="D6156" s="2889" t="s">
        <v>1105</v>
      </c>
      <c r="E6156" s="2889" t="s">
        <v>1423</v>
      </c>
      <c r="F6156" s="2890">
        <v>2.8940065278472278</v>
      </c>
      <c r="G6156" s="2890">
        <v>80.363539269096719</v>
      </c>
    </row>
    <row r="6157" spans="2:7" ht="15" hidden="1" outlineLevel="2">
      <c r="B6157" s="2889" t="s">
        <v>1640</v>
      </c>
      <c r="C6157" s="2889" t="s">
        <v>1456</v>
      </c>
      <c r="D6157" s="2889" t="s">
        <v>1105</v>
      </c>
      <c r="E6157" s="2889" t="s">
        <v>1423</v>
      </c>
      <c r="F6157" s="2890">
        <v>0.43286396927672166</v>
      </c>
      <c r="G6157" s="2890">
        <v>12.020187405879009</v>
      </c>
    </row>
    <row r="6158" spans="2:7" ht="15" hidden="1" outlineLevel="2">
      <c r="B6158" s="2889" t="s">
        <v>1641</v>
      </c>
      <c r="C6158" s="2889" t="s">
        <v>1456</v>
      </c>
      <c r="D6158" s="2889" t="s">
        <v>1105</v>
      </c>
      <c r="E6158" s="2889" t="s">
        <v>1423</v>
      </c>
      <c r="F6158" s="2890">
        <v>2.7826968199379243</v>
      </c>
      <c r="G6158" s="2890">
        <v>77.272648231711429</v>
      </c>
    </row>
    <row r="6159" spans="2:7" ht="15" hidden="1" outlineLevel="2">
      <c r="B6159" s="2889" t="s">
        <v>1642</v>
      </c>
      <c r="C6159" s="2889" t="s">
        <v>1456</v>
      </c>
      <c r="D6159" s="2889" t="s">
        <v>1105</v>
      </c>
      <c r="E6159" s="2889" t="s">
        <v>1423</v>
      </c>
      <c r="F6159" s="2890">
        <v>7.3957932096994758</v>
      </c>
      <c r="G6159" s="2890">
        <v>205.37351360308639</v>
      </c>
    </row>
    <row r="6160" spans="2:7" ht="15" hidden="1" outlineLevel="2">
      <c r="B6160" s="2889" t="s">
        <v>1643</v>
      </c>
      <c r="C6160" s="2889" t="s">
        <v>1456</v>
      </c>
      <c r="D6160" s="2889" t="s">
        <v>1105</v>
      </c>
      <c r="E6160" s="2889" t="s">
        <v>1423</v>
      </c>
      <c r="F6160" s="3039">
        <v>0.45787966256603563</v>
      </c>
      <c r="G6160" s="2890">
        <v>12.714840924623184</v>
      </c>
    </row>
    <row r="6161" spans="2:7" ht="15" hidden="1" outlineLevel="2">
      <c r="B6161" s="2889" t="s">
        <v>1644</v>
      </c>
      <c r="C6161" s="2889" t="s">
        <v>1456</v>
      </c>
      <c r="D6161" s="2889" t="s">
        <v>1105</v>
      </c>
      <c r="E6161" s="2889" t="s">
        <v>1423</v>
      </c>
      <c r="F6161" s="3039">
        <v>10.895809456793888</v>
      </c>
      <c r="G6161" s="2890">
        <v>302.56525324110635</v>
      </c>
    </row>
    <row r="6162" spans="2:7" ht="15" hidden="1" outlineLevel="2">
      <c r="B6162" s="2889" t="s">
        <v>1645</v>
      </c>
      <c r="C6162" s="2889" t="s">
        <v>1456</v>
      </c>
      <c r="D6162" s="2889" t="s">
        <v>1105</v>
      </c>
      <c r="E6162" s="2889" t="s">
        <v>1423</v>
      </c>
      <c r="F6162" s="3039">
        <v>8.3233571286583228</v>
      </c>
      <c r="G6162" s="2890">
        <v>231.13105238481612</v>
      </c>
    </row>
    <row r="6163" spans="2:7" ht="15" hidden="1" outlineLevel="2">
      <c r="B6163" s="2889" t="s">
        <v>1646</v>
      </c>
      <c r="C6163" s="2889" t="s">
        <v>1456</v>
      </c>
      <c r="D6163" s="2889" t="s">
        <v>1105</v>
      </c>
      <c r="E6163" s="2889" t="s">
        <v>1423</v>
      </c>
      <c r="F6163" s="3039">
        <v>0.97703593809878764</v>
      </c>
      <c r="G6163" s="2890">
        <v>27.131288254133135</v>
      </c>
    </row>
    <row r="6164" spans="2:7" ht="15" hidden="1" outlineLevel="2">
      <c r="B6164" s="2889" t="s">
        <v>1647</v>
      </c>
      <c r="C6164" s="2889" t="s">
        <v>1456</v>
      </c>
      <c r="D6164" s="2889" t="s">
        <v>1105</v>
      </c>
      <c r="E6164" s="2889" t="s">
        <v>1423</v>
      </c>
      <c r="F6164" s="3039">
        <v>0.44523152539822219</v>
      </c>
      <c r="G6164" s="2890">
        <v>12.363623190069534</v>
      </c>
    </row>
    <row r="6165" spans="2:7" ht="15" hidden="1" outlineLevel="2">
      <c r="B6165" s="2889" t="s">
        <v>1648</v>
      </c>
      <c r="C6165" s="2889" t="s">
        <v>1456</v>
      </c>
      <c r="D6165" s="2889" t="s">
        <v>1105</v>
      </c>
      <c r="E6165" s="2889" t="s">
        <v>1423</v>
      </c>
      <c r="F6165" s="3039">
        <v>0.18551328676898304</v>
      </c>
      <c r="G6165" s="2890">
        <v>5.1515106412369462</v>
      </c>
    </row>
    <row r="6166" spans="2:7" ht="15" hidden="1" outlineLevel="2">
      <c r="B6166" s="2889" t="s">
        <v>1649</v>
      </c>
      <c r="C6166" s="2889" t="s">
        <v>1456</v>
      </c>
      <c r="D6166" s="2889" t="s">
        <v>1105</v>
      </c>
      <c r="E6166" s="2889" t="s">
        <v>1423</v>
      </c>
      <c r="F6166" s="3039">
        <v>0.8286253371338661</v>
      </c>
      <c r="G6166" s="2890">
        <v>23.010059382546729</v>
      </c>
    </row>
    <row r="6167" spans="2:7" ht="15" hidden="1" outlineLevel="2">
      <c r="B6167" s="2889" t="s">
        <v>1650</v>
      </c>
      <c r="C6167" s="2889" t="s">
        <v>1456</v>
      </c>
      <c r="D6167" s="2889" t="s">
        <v>1105</v>
      </c>
      <c r="E6167" s="2889" t="s">
        <v>1423</v>
      </c>
      <c r="F6167" s="3039">
        <v>1.8674995986614304</v>
      </c>
      <c r="G6167" s="2890">
        <v>51.858542427595189</v>
      </c>
    </row>
    <row r="6168" spans="2:7" ht="15" hidden="1" outlineLevel="2">
      <c r="B6168" s="2889" t="s">
        <v>1651</v>
      </c>
      <c r="C6168" s="2889" t="s">
        <v>1456</v>
      </c>
      <c r="D6168" s="2889" t="s">
        <v>1105</v>
      </c>
      <c r="E6168" s="2889" t="s">
        <v>1423</v>
      </c>
      <c r="F6168" s="3039">
        <v>1.6201484591108302</v>
      </c>
      <c r="G6168" s="2890">
        <v>44.989842843554328</v>
      </c>
    </row>
    <row r="6169" spans="2:7" ht="15" hidden="1" outlineLevel="2">
      <c r="B6169" s="2889" t="s">
        <v>1652</v>
      </c>
      <c r="C6169" s="2889" t="s">
        <v>1456</v>
      </c>
      <c r="D6169" s="2889" t="s">
        <v>1105</v>
      </c>
      <c r="E6169" s="2889" t="s">
        <v>1423</v>
      </c>
      <c r="F6169" s="3039">
        <v>1.0141385558556011</v>
      </c>
      <c r="G6169" s="2890">
        <v>28.161586421188282</v>
      </c>
    </row>
    <row r="6170" spans="2:7" ht="15" hidden="1" outlineLevel="2">
      <c r="B6170" s="2889" t="s">
        <v>1653</v>
      </c>
      <c r="C6170" s="2889" t="s">
        <v>1456</v>
      </c>
      <c r="D6170" s="2889" t="s">
        <v>1105</v>
      </c>
      <c r="E6170" s="2889" t="s">
        <v>1423</v>
      </c>
      <c r="F6170" s="2890">
        <v>7.8657579870359395</v>
      </c>
      <c r="G6170" s="2890">
        <v>218.42403159830533</v>
      </c>
    </row>
    <row r="6171" spans="2:7" ht="15" hidden="1" outlineLevel="2">
      <c r="B6171" s="2889" t="s">
        <v>1407</v>
      </c>
      <c r="C6171" s="2889" t="s">
        <v>1457</v>
      </c>
      <c r="D6171" s="2889" t="s">
        <v>1105</v>
      </c>
      <c r="E6171" s="2889" t="s">
        <v>1423</v>
      </c>
      <c r="F6171" s="2890">
        <v>3.0820012848344892E-2</v>
      </c>
      <c r="G6171" s="2890">
        <v>1.1203546486198888</v>
      </c>
    </row>
    <row r="6172" spans="2:7" ht="15" hidden="1" outlineLevel="2">
      <c r="B6172" s="2889" t="s">
        <v>1631</v>
      </c>
      <c r="C6172" s="2889" t="s">
        <v>1457</v>
      </c>
      <c r="D6172" s="2889" t="s">
        <v>1105</v>
      </c>
      <c r="E6172" s="2889" t="s">
        <v>1423</v>
      </c>
      <c r="F6172" s="3039">
        <v>0.31246768022732224</v>
      </c>
      <c r="G6172" s="2890">
        <v>11.358677462985122</v>
      </c>
    </row>
    <row r="6173" spans="2:7" ht="15" hidden="1" outlineLevel="2">
      <c r="B6173" s="2889" t="s">
        <v>1632</v>
      </c>
      <c r="C6173" s="2889" t="s">
        <v>1457</v>
      </c>
      <c r="D6173" s="2889" t="s">
        <v>1105</v>
      </c>
      <c r="E6173" s="2889" t="s">
        <v>1423</v>
      </c>
      <c r="F6173" s="2890">
        <v>0.47044393202359197</v>
      </c>
      <c r="G6173" s="2890">
        <v>17.37411697467277</v>
      </c>
    </row>
    <row r="6174" spans="2:7" ht="15" hidden="1" outlineLevel="2">
      <c r="B6174" s="2889" t="s">
        <v>1633</v>
      </c>
      <c r="C6174" s="2889" t="s">
        <v>1457</v>
      </c>
      <c r="D6174" s="2889" t="s">
        <v>1105</v>
      </c>
      <c r="E6174" s="2889" t="s">
        <v>1423</v>
      </c>
      <c r="F6174" s="2890">
        <v>1.7543707988243121E-2</v>
      </c>
      <c r="G6174" s="2890">
        <v>0.63774025382771027</v>
      </c>
    </row>
    <row r="6175" spans="2:7" ht="15" hidden="1" outlineLevel="2">
      <c r="B6175" s="2889" t="s">
        <v>1634</v>
      </c>
      <c r="C6175" s="2889" t="s">
        <v>1457</v>
      </c>
      <c r="D6175" s="2889" t="s">
        <v>1105</v>
      </c>
      <c r="E6175" s="2889" t="s">
        <v>1423</v>
      </c>
      <c r="F6175" s="2890">
        <v>1.2328011684503582E-2</v>
      </c>
      <c r="G6175" s="2890">
        <v>0.44814172465763152</v>
      </c>
    </row>
    <row r="6176" spans="2:7" ht="15" hidden="1" outlineLevel="2">
      <c r="B6176" s="2889" t="s">
        <v>1635</v>
      </c>
      <c r="C6176" s="2889" t="s">
        <v>1457</v>
      </c>
      <c r="D6176" s="2889" t="s">
        <v>1105</v>
      </c>
      <c r="E6176" s="2889" t="s">
        <v>1423</v>
      </c>
      <c r="F6176" s="2890">
        <v>7.8709602870745632E-2</v>
      </c>
      <c r="G6176" s="2890">
        <v>2.8612134238946356</v>
      </c>
    </row>
    <row r="6177" spans="2:7" ht="15" hidden="1" outlineLevel="2">
      <c r="B6177" s="2889" t="s">
        <v>1636</v>
      </c>
      <c r="C6177" s="2889" t="s">
        <v>1457</v>
      </c>
      <c r="D6177" s="2889" t="s">
        <v>1105</v>
      </c>
      <c r="E6177" s="2889" t="s">
        <v>1423</v>
      </c>
      <c r="F6177" s="2890">
        <v>3.0345865254220984E-2</v>
      </c>
      <c r="G6177" s="2890">
        <v>1.1031182470573777</v>
      </c>
    </row>
    <row r="6178" spans="2:7" ht="15" hidden="1" outlineLevel="2">
      <c r="B6178" s="2889" t="s">
        <v>1637</v>
      </c>
      <c r="C6178" s="2889" t="s">
        <v>1457</v>
      </c>
      <c r="D6178" s="2889" t="s">
        <v>1105</v>
      </c>
      <c r="E6178" s="2889" t="s">
        <v>1423</v>
      </c>
      <c r="F6178" s="2890">
        <v>3.6035731103460943E-2</v>
      </c>
      <c r="G6178" s="2890">
        <v>1.3099533293498919</v>
      </c>
    </row>
    <row r="6179" spans="2:7" ht="15" hidden="1" outlineLevel="2">
      <c r="B6179" s="2889" t="s">
        <v>1638</v>
      </c>
      <c r="C6179" s="2889" t="s">
        <v>1457</v>
      </c>
      <c r="D6179" s="2889" t="s">
        <v>1105</v>
      </c>
      <c r="E6179" s="2889" t="s">
        <v>1423</v>
      </c>
      <c r="F6179" s="2890">
        <v>2.2285249245554545E-2</v>
      </c>
      <c r="G6179" s="2890">
        <v>0.81010283897226931</v>
      </c>
    </row>
    <row r="6180" spans="2:7" ht="15" hidden="1" outlineLevel="2">
      <c r="B6180" s="2889" t="s">
        <v>1639</v>
      </c>
      <c r="C6180" s="2889" t="s">
        <v>1457</v>
      </c>
      <c r="D6180" s="2889" t="s">
        <v>1105</v>
      </c>
      <c r="E6180" s="2889" t="s">
        <v>1423</v>
      </c>
      <c r="F6180" s="2890">
        <v>0.11095210001795748</v>
      </c>
      <c r="G6180" s="2890">
        <v>4.0332771965903778</v>
      </c>
    </row>
    <row r="6181" spans="2:7" ht="15" hidden="1" outlineLevel="2">
      <c r="B6181" s="2889" t="s">
        <v>1640</v>
      </c>
      <c r="C6181" s="2889" t="s">
        <v>1457</v>
      </c>
      <c r="D6181" s="2889" t="s">
        <v>1105</v>
      </c>
      <c r="E6181" s="2889" t="s">
        <v>1423</v>
      </c>
      <c r="F6181" s="2890">
        <v>1.65953890168536E-2</v>
      </c>
      <c r="G6181" s="2890">
        <v>0.60326811648002643</v>
      </c>
    </row>
    <row r="6182" spans="2:7" ht="15" hidden="1" outlineLevel="2">
      <c r="B6182" s="2889" t="s">
        <v>1641</v>
      </c>
      <c r="C6182" s="2889" t="s">
        <v>1457</v>
      </c>
      <c r="D6182" s="2889" t="s">
        <v>1105</v>
      </c>
      <c r="E6182" s="2889" t="s">
        <v>1423</v>
      </c>
      <c r="F6182" s="2890">
        <v>0.10668472970592245</v>
      </c>
      <c r="G6182" s="2890">
        <v>3.8781524742745832</v>
      </c>
    </row>
    <row r="6183" spans="2:7" ht="15" hidden="1" outlineLevel="2">
      <c r="B6183" s="2889" t="s">
        <v>1642</v>
      </c>
      <c r="C6183" s="2889" t="s">
        <v>1457</v>
      </c>
      <c r="D6183" s="2889" t="s">
        <v>1105</v>
      </c>
      <c r="E6183" s="2889" t="s">
        <v>1423</v>
      </c>
      <c r="F6183" s="2890">
        <v>0.28354423042470622</v>
      </c>
      <c r="G6183" s="2890">
        <v>10.307266369421551</v>
      </c>
    </row>
    <row r="6184" spans="2:7" ht="15" hidden="1" outlineLevel="2">
      <c r="B6184" s="2889" t="s">
        <v>1643</v>
      </c>
      <c r="C6184" s="2889" t="s">
        <v>1457</v>
      </c>
      <c r="D6184" s="2889" t="s">
        <v>1105</v>
      </c>
      <c r="E6184" s="2889" t="s">
        <v>1423</v>
      </c>
      <c r="F6184" s="2890">
        <v>1.7554447475995934E-2</v>
      </c>
      <c r="G6184" s="2890">
        <v>0.63813102666113275</v>
      </c>
    </row>
    <row r="6185" spans="2:7" ht="15" hidden="1" outlineLevel="2">
      <c r="B6185" s="2889" t="s">
        <v>1644</v>
      </c>
      <c r="C6185" s="2889" t="s">
        <v>1457</v>
      </c>
      <c r="D6185" s="2889" t="s">
        <v>1105</v>
      </c>
      <c r="E6185" s="2889" t="s">
        <v>1423</v>
      </c>
      <c r="F6185" s="2890">
        <v>0.41772985581005884</v>
      </c>
      <c r="G6185" s="2890">
        <v>15.185114246318433</v>
      </c>
    </row>
    <row r="6186" spans="2:7" ht="15" hidden="1" outlineLevel="2">
      <c r="B6186" s="2889" t="s">
        <v>1645</v>
      </c>
      <c r="C6186" s="2889" t="s">
        <v>1457</v>
      </c>
      <c r="D6186" s="2889" t="s">
        <v>1105</v>
      </c>
      <c r="E6186" s="2889" t="s">
        <v>1423</v>
      </c>
      <c r="F6186" s="2890">
        <v>0.31910583205520271</v>
      </c>
      <c r="G6186" s="2890">
        <v>11.5999817643679</v>
      </c>
    </row>
    <row r="6187" spans="2:7" ht="15" hidden="1" outlineLevel="2">
      <c r="B6187" s="2889" t="s">
        <v>1646</v>
      </c>
      <c r="C6187" s="2889" t="s">
        <v>1457</v>
      </c>
      <c r="D6187" s="2889" t="s">
        <v>1105</v>
      </c>
      <c r="E6187" s="2889" t="s">
        <v>1423</v>
      </c>
      <c r="F6187" s="2890">
        <v>3.7458184472513867E-2</v>
      </c>
      <c r="G6187" s="2890">
        <v>1.3616620042505496</v>
      </c>
    </row>
    <row r="6188" spans="2:7" ht="15" hidden="1" outlineLevel="2">
      <c r="B6188" s="2889" t="s">
        <v>1647</v>
      </c>
      <c r="C6188" s="2889" t="s">
        <v>1457</v>
      </c>
      <c r="D6188" s="2889" t="s">
        <v>1105</v>
      </c>
      <c r="E6188" s="2889" t="s">
        <v>1423</v>
      </c>
      <c r="F6188" s="2890">
        <v>1.7069548546124459E-2</v>
      </c>
      <c r="G6188" s="2890">
        <v>0.62050435499914391</v>
      </c>
    </row>
    <row r="6189" spans="2:7" ht="15" hidden="1" outlineLevel="2">
      <c r="B6189" s="2889" t="s">
        <v>1648</v>
      </c>
      <c r="C6189" s="2889" t="s">
        <v>1457</v>
      </c>
      <c r="D6189" s="2889" t="s">
        <v>1105</v>
      </c>
      <c r="E6189" s="2889" t="s">
        <v>1423</v>
      </c>
      <c r="F6189" s="2890">
        <v>7.1123124991880138E-3</v>
      </c>
      <c r="G6189" s="2890">
        <v>0.25854331046833284</v>
      </c>
    </row>
    <row r="6190" spans="2:7" ht="15" hidden="1" outlineLevel="2">
      <c r="B6190" s="2889" t="s">
        <v>1649</v>
      </c>
      <c r="C6190" s="2889" t="s">
        <v>1457</v>
      </c>
      <c r="D6190" s="2889" t="s">
        <v>1105</v>
      </c>
      <c r="E6190" s="2889" t="s">
        <v>1423</v>
      </c>
      <c r="F6190" s="2890">
        <v>3.1768328983932448E-2</v>
      </c>
      <c r="G6190" s="2890">
        <v>1.1548271877610636</v>
      </c>
    </row>
    <row r="6191" spans="2:7" ht="15" hidden="1" outlineLevel="2">
      <c r="B6191" s="2889" t="s">
        <v>1650</v>
      </c>
      <c r="C6191" s="2889" t="s">
        <v>1457</v>
      </c>
      <c r="D6191" s="2889" t="s">
        <v>1105</v>
      </c>
      <c r="E6191" s="2889" t="s">
        <v>1423</v>
      </c>
      <c r="F6191" s="2890">
        <v>7.1597260727998824E-2</v>
      </c>
      <c r="G6191" s="2890">
        <v>2.6026707618678606</v>
      </c>
    </row>
    <row r="6192" spans="2:7" ht="15" hidden="1" outlineLevel="2">
      <c r="B6192" s="2889" t="s">
        <v>1651</v>
      </c>
      <c r="C6192" s="2889" t="s">
        <v>1457</v>
      </c>
      <c r="D6192" s="2889" t="s">
        <v>1105</v>
      </c>
      <c r="E6192" s="2889" t="s">
        <v>1423</v>
      </c>
      <c r="F6192" s="2890">
        <v>6.2114199145451354E-2</v>
      </c>
      <c r="G6192" s="2890">
        <v>2.2579461629686737</v>
      </c>
    </row>
    <row r="6193" spans="2:7" ht="15" hidden="1" outlineLevel="2">
      <c r="B6193" s="2889" t="s">
        <v>1652</v>
      </c>
      <c r="C6193" s="2889" t="s">
        <v>1457</v>
      </c>
      <c r="D6193" s="2889" t="s">
        <v>1105</v>
      </c>
      <c r="E6193" s="2889" t="s">
        <v>1423</v>
      </c>
      <c r="F6193" s="3039">
        <v>3.8880617557343837E-2</v>
      </c>
      <c r="G6193" s="2890">
        <v>1.4133705507282956</v>
      </c>
    </row>
    <row r="6194" spans="2:7" ht="15" hidden="1" outlineLevel="2">
      <c r="B6194" s="2889" t="s">
        <v>1653</v>
      </c>
      <c r="C6194" s="2889" t="s">
        <v>1457</v>
      </c>
      <c r="D6194" s="2889" t="s">
        <v>1105</v>
      </c>
      <c r="E6194" s="2889" t="s">
        <v>1423</v>
      </c>
      <c r="F6194" s="3039">
        <v>0.30156209923680644</v>
      </c>
      <c r="G6194" s="2890">
        <v>10.96223943213959</v>
      </c>
    </row>
    <row r="6195" spans="2:7" ht="15" hidden="1" outlineLevel="2">
      <c r="B6195" s="2889" t="s">
        <v>1407</v>
      </c>
      <c r="C6195" s="2889" t="s">
        <v>1458</v>
      </c>
      <c r="D6195" s="2889" t="s">
        <v>1105</v>
      </c>
      <c r="E6195" s="2889" t="s">
        <v>1423</v>
      </c>
      <c r="F6195" s="3039">
        <v>2.2126505603820529E-2</v>
      </c>
      <c r="G6195" s="2890">
        <v>1.5518808101577897</v>
      </c>
    </row>
    <row r="6196" spans="2:7" ht="15" hidden="1" outlineLevel="2">
      <c r="B6196" s="2889" t="s">
        <v>1631</v>
      </c>
      <c r="C6196" s="2889" t="s">
        <v>1458</v>
      </c>
      <c r="D6196" s="2889" t="s">
        <v>1105</v>
      </c>
      <c r="E6196" s="2889" t="s">
        <v>1423</v>
      </c>
      <c r="F6196" s="3039">
        <v>0.22432880827507179</v>
      </c>
      <c r="G6196" s="2890">
        <v>15.733691800152682</v>
      </c>
    </row>
    <row r="6197" spans="2:7" ht="15" hidden="1" outlineLevel="2">
      <c r="B6197" s="2889" t="s">
        <v>1632</v>
      </c>
      <c r="C6197" s="2889" t="s">
        <v>1458</v>
      </c>
      <c r="D6197" s="2889" t="s">
        <v>1105</v>
      </c>
      <c r="E6197" s="2889" t="s">
        <v>1423</v>
      </c>
      <c r="F6197" s="3039">
        <v>0.34313093907309017</v>
      </c>
      <c r="G6197" s="2890">
        <v>24.066112630568846</v>
      </c>
    </row>
    <row r="6198" spans="2:7" ht="15" hidden="1" outlineLevel="2">
      <c r="B6198" s="2889" t="s">
        <v>1633</v>
      </c>
      <c r="C6198" s="2889" t="s">
        <v>1458</v>
      </c>
      <c r="D6198" s="2889" t="s">
        <v>1105</v>
      </c>
      <c r="E6198" s="2889" t="s">
        <v>1423</v>
      </c>
      <c r="F6198" s="3039">
        <v>1.2595095281793192E-2</v>
      </c>
      <c r="G6198" s="2890">
        <v>0.88337908455013547</v>
      </c>
    </row>
    <row r="6199" spans="2:7" ht="15" hidden="1" outlineLevel="2">
      <c r="B6199" s="2889" t="s">
        <v>1634</v>
      </c>
      <c r="C6199" s="2889" t="s">
        <v>1458</v>
      </c>
      <c r="D6199" s="2889" t="s">
        <v>1105</v>
      </c>
      <c r="E6199" s="2889" t="s">
        <v>1423</v>
      </c>
      <c r="F6199" s="2890">
        <v>8.8506123491543607E-3</v>
      </c>
      <c r="G6199" s="2890">
        <v>0.62075257486488022</v>
      </c>
    </row>
    <row r="6200" spans="2:7" ht="15" hidden="1" outlineLevel="2">
      <c r="B6200" s="2889" t="s">
        <v>1635</v>
      </c>
      <c r="C6200" s="2889" t="s">
        <v>1458</v>
      </c>
      <c r="D6200" s="2889" t="s">
        <v>1105</v>
      </c>
      <c r="E6200" s="2889" t="s">
        <v>1423</v>
      </c>
      <c r="F6200" s="2890">
        <v>5.6507694617332536E-2</v>
      </c>
      <c r="G6200" s="2890">
        <v>3.9632664729696248</v>
      </c>
    </row>
    <row r="6201" spans="2:7" ht="15" hidden="1" outlineLevel="2">
      <c r="B6201" s="2889" t="s">
        <v>1636</v>
      </c>
      <c r="C6201" s="2889" t="s">
        <v>1458</v>
      </c>
      <c r="D6201" s="2889" t="s">
        <v>1105</v>
      </c>
      <c r="E6201" s="2889" t="s">
        <v>1423</v>
      </c>
      <c r="F6201" s="2890">
        <v>2.1786092390987586E-2</v>
      </c>
      <c r="G6201" s="2890">
        <v>1.5280055082165012</v>
      </c>
    </row>
    <row r="6202" spans="2:7" ht="15" hidden="1" outlineLevel="2">
      <c r="B6202" s="2889" t="s">
        <v>1637</v>
      </c>
      <c r="C6202" s="2889" t="s">
        <v>1458</v>
      </c>
      <c r="D6202" s="2889" t="s">
        <v>1105</v>
      </c>
      <c r="E6202" s="2889" t="s">
        <v>1423</v>
      </c>
      <c r="F6202" s="2890">
        <v>2.5870986359397209E-2</v>
      </c>
      <c r="G6202" s="2890">
        <v>1.8145070878291276</v>
      </c>
    </row>
    <row r="6203" spans="2:7" ht="15" hidden="1" outlineLevel="2">
      <c r="B6203" s="2889" t="s">
        <v>1638</v>
      </c>
      <c r="C6203" s="2889" t="s">
        <v>1458</v>
      </c>
      <c r="D6203" s="2889" t="s">
        <v>1105</v>
      </c>
      <c r="E6203" s="2889" t="s">
        <v>1423</v>
      </c>
      <c r="F6203" s="2890">
        <v>1.5999167104088559E-2</v>
      </c>
      <c r="G6203" s="2890">
        <v>1.1221293777027717</v>
      </c>
    </row>
    <row r="6204" spans="2:7" ht="15" hidden="1" outlineLevel="2">
      <c r="B6204" s="2889" t="s">
        <v>1639</v>
      </c>
      <c r="C6204" s="2889" t="s">
        <v>1458</v>
      </c>
      <c r="D6204" s="2889" t="s">
        <v>1105</v>
      </c>
      <c r="E6204" s="2889" t="s">
        <v>1423</v>
      </c>
      <c r="F6204" s="2890">
        <v>7.9655401992502456E-2</v>
      </c>
      <c r="G6204" s="2890">
        <v>5.5867712213196885</v>
      </c>
    </row>
    <row r="6205" spans="2:7" ht="15" hidden="1" outlineLevel="2">
      <c r="B6205" s="2889" t="s">
        <v>1640</v>
      </c>
      <c r="C6205" s="2889" t="s">
        <v>1458</v>
      </c>
      <c r="D6205" s="2889" t="s">
        <v>1105</v>
      </c>
      <c r="E6205" s="2889" t="s">
        <v>1423</v>
      </c>
      <c r="F6205" s="2890">
        <v>1.1914278289997571E-2</v>
      </c>
      <c r="G6205" s="2890">
        <v>0.83562722800012534</v>
      </c>
    </row>
    <row r="6206" spans="2:7" ht="15" hidden="1" outlineLevel="2">
      <c r="B6206" s="2889" t="s">
        <v>1641</v>
      </c>
      <c r="C6206" s="2889" t="s">
        <v>1458</v>
      </c>
      <c r="D6206" s="2889" t="s">
        <v>1105</v>
      </c>
      <c r="E6206" s="2889" t="s">
        <v>1423</v>
      </c>
      <c r="F6206" s="2890">
        <v>7.6591716168153481E-2</v>
      </c>
      <c r="G6206" s="2890">
        <v>5.3718982900224015</v>
      </c>
    </row>
    <row r="6207" spans="2:7" ht="15" hidden="1" outlineLevel="2">
      <c r="B6207" s="2889" t="s">
        <v>1642</v>
      </c>
      <c r="C6207" s="2889" t="s">
        <v>1458</v>
      </c>
      <c r="D6207" s="2889" t="s">
        <v>1105</v>
      </c>
      <c r="E6207" s="2889" t="s">
        <v>1423</v>
      </c>
      <c r="F6207" s="2890">
        <v>0.2035638211704178</v>
      </c>
      <c r="G6207" s="2890">
        <v>14.277294563293603</v>
      </c>
    </row>
    <row r="6208" spans="2:7" ht="15" hidden="1" outlineLevel="2">
      <c r="B6208" s="2889" t="s">
        <v>1643</v>
      </c>
      <c r="C6208" s="2889" t="s">
        <v>1458</v>
      </c>
      <c r="D6208" s="2889" t="s">
        <v>1105</v>
      </c>
      <c r="E6208" s="2889" t="s">
        <v>1423</v>
      </c>
      <c r="F6208" s="2890">
        <v>1.2602822046007678E-2</v>
      </c>
      <c r="G6208" s="2890">
        <v>0.88391979965758738</v>
      </c>
    </row>
    <row r="6209" spans="2:7" ht="15" hidden="1" outlineLevel="2">
      <c r="B6209" s="2889" t="s">
        <v>1644</v>
      </c>
      <c r="C6209" s="2889" t="s">
        <v>1458</v>
      </c>
      <c r="D6209" s="2889" t="s">
        <v>1105</v>
      </c>
      <c r="E6209" s="2889" t="s">
        <v>1423</v>
      </c>
      <c r="F6209" s="2890">
        <v>0.29989947010126278</v>
      </c>
      <c r="G6209" s="2890">
        <v>21.033963650974869</v>
      </c>
    </row>
    <row r="6210" spans="2:7" ht="15" hidden="1" outlineLevel="2">
      <c r="B6210" s="2889" t="s">
        <v>1645</v>
      </c>
      <c r="C6210" s="2889" t="s">
        <v>1458</v>
      </c>
      <c r="D6210" s="2889" t="s">
        <v>1105</v>
      </c>
      <c r="E6210" s="2889" t="s">
        <v>1423</v>
      </c>
      <c r="F6210" s="2890">
        <v>0.22909449030175949</v>
      </c>
      <c r="G6210" s="2890">
        <v>16.067940127399936</v>
      </c>
    </row>
    <row r="6211" spans="2:7" ht="15" hidden="1" outlineLevel="2">
      <c r="B6211" s="2889" t="s">
        <v>1646</v>
      </c>
      <c r="C6211" s="2889" t="s">
        <v>1458</v>
      </c>
      <c r="D6211" s="2889" t="s">
        <v>1105</v>
      </c>
      <c r="E6211" s="2889" t="s">
        <v>1423</v>
      </c>
      <c r="F6211" s="2890">
        <v>2.6892229931785205E-2</v>
      </c>
      <c r="G6211" s="2890">
        <v>1.8861312120538736</v>
      </c>
    </row>
    <row r="6212" spans="2:7" ht="15" hidden="1" outlineLevel="2">
      <c r="B6212" s="2889" t="s">
        <v>1647</v>
      </c>
      <c r="C6212" s="2889" t="s">
        <v>1458</v>
      </c>
      <c r="D6212" s="2889" t="s">
        <v>1105</v>
      </c>
      <c r="E6212" s="2889" t="s">
        <v>1423</v>
      </c>
      <c r="F6212" s="2890">
        <v>1.2254690431152205E-2</v>
      </c>
      <c r="G6212" s="2890">
        <v>0.85950329113721513</v>
      </c>
    </row>
    <row r="6213" spans="2:7" ht="15" hidden="1" outlineLevel="2">
      <c r="B6213" s="2889" t="s">
        <v>1648</v>
      </c>
      <c r="C6213" s="2889" t="s">
        <v>1458</v>
      </c>
      <c r="D6213" s="2889" t="s">
        <v>1105</v>
      </c>
      <c r="E6213" s="2889" t="s">
        <v>1423</v>
      </c>
      <c r="F6213" s="2890">
        <v>5.1061178969264345E-3</v>
      </c>
      <c r="G6213" s="2890">
        <v>0.35812635250793856</v>
      </c>
    </row>
    <row r="6214" spans="2:7" ht="15" hidden="1" outlineLevel="2">
      <c r="B6214" s="2889" t="s">
        <v>1649</v>
      </c>
      <c r="C6214" s="2889" t="s">
        <v>1458</v>
      </c>
      <c r="D6214" s="2889" t="s">
        <v>1105</v>
      </c>
      <c r="E6214" s="2889" t="s">
        <v>1423</v>
      </c>
      <c r="F6214" s="2890">
        <v>2.2807327588897228E-2</v>
      </c>
      <c r="G6214" s="2890">
        <v>1.5996316381951805</v>
      </c>
    </row>
    <row r="6215" spans="2:7" ht="15" hidden="1" outlineLevel="2">
      <c r="B6215" s="2889" t="s">
        <v>1650</v>
      </c>
      <c r="C6215" s="2889" t="s">
        <v>1458</v>
      </c>
      <c r="D6215" s="2889" t="s">
        <v>1105</v>
      </c>
      <c r="E6215" s="2889" t="s">
        <v>1423</v>
      </c>
      <c r="F6215" s="2890">
        <v>5.1401582455882416E-2</v>
      </c>
      <c r="G6215" s="2890">
        <v>3.6051392396005935</v>
      </c>
    </row>
    <row r="6216" spans="2:7" ht="15" hidden="1" outlineLevel="2">
      <c r="B6216" s="2889" t="s">
        <v>1651</v>
      </c>
      <c r="C6216" s="2889" t="s">
        <v>1458</v>
      </c>
      <c r="D6216" s="2889" t="s">
        <v>1105</v>
      </c>
      <c r="E6216" s="2889" t="s">
        <v>1423</v>
      </c>
      <c r="F6216" s="2890">
        <v>4.4593407557090681E-2</v>
      </c>
      <c r="G6216" s="2890">
        <v>3.1276383486012045</v>
      </c>
    </row>
    <row r="6217" spans="2:7" ht="15" hidden="1" outlineLevel="2">
      <c r="B6217" s="2889" t="s">
        <v>1652</v>
      </c>
      <c r="C6217" s="2889" t="s">
        <v>1458</v>
      </c>
      <c r="D6217" s="2889" t="s">
        <v>1105</v>
      </c>
      <c r="E6217" s="2889" t="s">
        <v>1423</v>
      </c>
      <c r="F6217" s="2890">
        <v>2.7913444141903009E-2</v>
      </c>
      <c r="G6217" s="2890">
        <v>1.9577563776975262</v>
      </c>
    </row>
    <row r="6218" spans="2:7" ht="15" hidden="1" outlineLevel="2">
      <c r="B6218" s="2889" t="s">
        <v>1653</v>
      </c>
      <c r="C6218" s="2889" t="s">
        <v>1458</v>
      </c>
      <c r="D6218" s="2889" t="s">
        <v>1105</v>
      </c>
      <c r="E6218" s="2889" t="s">
        <v>1423</v>
      </c>
      <c r="F6218" s="2890">
        <v>0.21649947585021689</v>
      </c>
      <c r="G6218" s="2890">
        <v>15.184567052122661</v>
      </c>
    </row>
    <row r="6219" spans="2:7" ht="15" hidden="1" outlineLevel="2">
      <c r="B6219" s="2889" t="s">
        <v>1407</v>
      </c>
      <c r="C6219" s="2889" t="s">
        <v>1459</v>
      </c>
      <c r="D6219" s="2889" t="s">
        <v>1105</v>
      </c>
      <c r="E6219" s="2889" t="s">
        <v>1423</v>
      </c>
      <c r="F6219" s="2890">
        <v>0.26247878185096873</v>
      </c>
      <c r="G6219" s="2890">
        <v>54.927756521867629</v>
      </c>
    </row>
    <row r="6220" spans="2:7" ht="15" hidden="1" outlineLevel="2">
      <c r="B6220" s="2889" t="s">
        <v>1631</v>
      </c>
      <c r="C6220" s="2889" t="s">
        <v>1459</v>
      </c>
      <c r="D6220" s="2889" t="s">
        <v>1105</v>
      </c>
      <c r="E6220" s="2889" t="s">
        <v>1423</v>
      </c>
      <c r="F6220" s="2890">
        <v>2.6281236090389046</v>
      </c>
      <c r="G6220" s="2890">
        <v>549.97583847754686</v>
      </c>
    </row>
    <row r="6221" spans="2:7" ht="15" hidden="1" outlineLevel="2">
      <c r="B6221" s="2889" t="s">
        <v>1632</v>
      </c>
      <c r="C6221" s="2889" t="s">
        <v>1459</v>
      </c>
      <c r="D6221" s="2889" t="s">
        <v>1105</v>
      </c>
      <c r="E6221" s="2889" t="s">
        <v>1423</v>
      </c>
      <c r="F6221" s="2890">
        <v>4.0199516030353193</v>
      </c>
      <c r="G6221" s="2890">
        <v>841.23768857037055</v>
      </c>
    </row>
    <row r="6222" spans="2:7" ht="15" hidden="1" outlineLevel="2">
      <c r="B6222" s="2889" t="s">
        <v>1633</v>
      </c>
      <c r="C6222" s="2889" t="s">
        <v>1459</v>
      </c>
      <c r="D6222" s="2889" t="s">
        <v>1105</v>
      </c>
      <c r="E6222" s="2889" t="s">
        <v>1423</v>
      </c>
      <c r="F6222" s="2890">
        <v>0.14755787278165058</v>
      </c>
      <c r="G6222" s="2890">
        <v>30.878775200898904</v>
      </c>
    </row>
    <row r="6223" spans="2:7" ht="15" hidden="1" outlineLevel="2">
      <c r="B6223" s="2889" t="s">
        <v>1634</v>
      </c>
      <c r="C6223" s="2889" t="s">
        <v>1459</v>
      </c>
      <c r="D6223" s="2889" t="s">
        <v>1105</v>
      </c>
      <c r="E6223" s="2889" t="s">
        <v>1423</v>
      </c>
      <c r="F6223" s="2890">
        <v>0.1036892906838866</v>
      </c>
      <c r="G6223" s="2890">
        <v>21.698588080993254</v>
      </c>
    </row>
    <row r="6224" spans="2:7" ht="15" hidden="1" outlineLevel="2">
      <c r="B6224" s="2889" t="s">
        <v>1635</v>
      </c>
      <c r="C6224" s="2889" t="s">
        <v>1459</v>
      </c>
      <c r="D6224" s="2889" t="s">
        <v>1105</v>
      </c>
      <c r="E6224" s="2889" t="s">
        <v>1423</v>
      </c>
      <c r="F6224" s="2890">
        <v>0.66201618483337998</v>
      </c>
      <c r="G6224" s="2890">
        <v>138.53727196872038</v>
      </c>
    </row>
    <row r="6225" spans="2:7" ht="15" hidden="1" outlineLevel="2">
      <c r="B6225" s="2889" t="s">
        <v>1636</v>
      </c>
      <c r="C6225" s="2889" t="s">
        <v>1459</v>
      </c>
      <c r="D6225" s="2889" t="s">
        <v>1105</v>
      </c>
      <c r="E6225" s="2889" t="s">
        <v>1423</v>
      </c>
      <c r="F6225" s="2890">
        <v>0.25523512839652945</v>
      </c>
      <c r="G6225" s="2890">
        <v>53.411924720210095</v>
      </c>
    </row>
    <row r="6226" spans="2:7" ht="15" hidden="1" outlineLevel="2">
      <c r="B6226" s="2889" t="s">
        <v>1637</v>
      </c>
      <c r="C6226" s="2889" t="s">
        <v>1459</v>
      </c>
      <c r="D6226" s="2889" t="s">
        <v>1105</v>
      </c>
      <c r="E6226" s="2889" t="s">
        <v>1423</v>
      </c>
      <c r="F6226" s="2890">
        <v>0.30309192013613762</v>
      </c>
      <c r="G6226" s="2890">
        <v>63.42664529103574</v>
      </c>
    </row>
    <row r="6227" spans="2:7" ht="15" hidden="1" outlineLevel="2">
      <c r="B6227" s="2889" t="s">
        <v>1638</v>
      </c>
      <c r="C6227" s="2889" t="s">
        <v>1459</v>
      </c>
      <c r="D6227" s="2889" t="s">
        <v>1105</v>
      </c>
      <c r="E6227" s="2889" t="s">
        <v>1423</v>
      </c>
      <c r="F6227" s="2890">
        <v>0.18743832256555615</v>
      </c>
      <c r="G6227" s="2890">
        <v>39.22438184348573</v>
      </c>
    </row>
    <row r="6228" spans="2:7" ht="15" hidden="1" outlineLevel="2">
      <c r="B6228" s="2889" t="s">
        <v>1639</v>
      </c>
      <c r="C6228" s="2889" t="s">
        <v>1459</v>
      </c>
      <c r="D6228" s="2889" t="s">
        <v>1105</v>
      </c>
      <c r="E6228" s="2889" t="s">
        <v>1423</v>
      </c>
      <c r="F6228" s="2890">
        <v>0.93320323895943269</v>
      </c>
      <c r="G6228" s="2890">
        <v>195.28737619111058</v>
      </c>
    </row>
    <row r="6229" spans="2:7" ht="15" hidden="1" outlineLevel="2">
      <c r="B6229" s="2889" t="s">
        <v>1640</v>
      </c>
      <c r="C6229" s="2889" t="s">
        <v>1459</v>
      </c>
      <c r="D6229" s="2889" t="s">
        <v>1105</v>
      </c>
      <c r="E6229" s="2889" t="s">
        <v>1423</v>
      </c>
      <c r="F6229" s="2890">
        <v>0.13958170785634988</v>
      </c>
      <c r="G6229" s="2890">
        <v>29.209630368554183</v>
      </c>
    </row>
    <row r="6230" spans="2:7" ht="15" hidden="1" outlineLevel="2">
      <c r="B6230" s="2889" t="s">
        <v>1641</v>
      </c>
      <c r="C6230" s="2889" t="s">
        <v>1459</v>
      </c>
      <c r="D6230" s="2889" t="s">
        <v>1105</v>
      </c>
      <c r="E6230" s="2889" t="s">
        <v>1423</v>
      </c>
      <c r="F6230" s="2890">
        <v>0.89731112300669391</v>
      </c>
      <c r="G6230" s="2890">
        <v>187.77625373243035</v>
      </c>
    </row>
    <row r="6231" spans="2:7" ht="15" hidden="1" outlineLevel="2">
      <c r="B6231" s="2889" t="s">
        <v>1642</v>
      </c>
      <c r="C6231" s="2889" t="s">
        <v>1459</v>
      </c>
      <c r="D6231" s="2889" t="s">
        <v>1105</v>
      </c>
      <c r="E6231" s="2889" t="s">
        <v>1423</v>
      </c>
      <c r="F6231" s="2890">
        <v>2.3848521572137651</v>
      </c>
      <c r="G6231" s="2890">
        <v>499.06767720562118</v>
      </c>
    </row>
    <row r="6232" spans="2:7" ht="15" hidden="1" outlineLevel="2">
      <c r="B6232" s="2889" t="s">
        <v>1643</v>
      </c>
      <c r="C6232" s="2889" t="s">
        <v>1459</v>
      </c>
      <c r="D6232" s="2889" t="s">
        <v>1105</v>
      </c>
      <c r="E6232" s="2889" t="s">
        <v>1423</v>
      </c>
      <c r="F6232" s="2890">
        <v>0.14764831004826631</v>
      </c>
      <c r="G6232" s="2890">
        <v>30.897689713160869</v>
      </c>
    </row>
    <row r="6233" spans="2:7" ht="15" hidden="1" outlineLevel="2">
      <c r="B6233" s="2889" t="s">
        <v>1644</v>
      </c>
      <c r="C6233" s="2889" t="s">
        <v>1459</v>
      </c>
      <c r="D6233" s="2889" t="s">
        <v>1105</v>
      </c>
      <c r="E6233" s="2889" t="s">
        <v>1423</v>
      </c>
      <c r="F6233" s="2890">
        <v>3.513470422790975</v>
      </c>
      <c r="G6233" s="2890">
        <v>735.24816769713982</v>
      </c>
    </row>
    <row r="6234" spans="2:7" ht="15" hidden="1" outlineLevel="2">
      <c r="B6234" s="2889" t="s">
        <v>1645</v>
      </c>
      <c r="C6234" s="2889" t="s">
        <v>1459</v>
      </c>
      <c r="D6234" s="2889" t="s">
        <v>1105</v>
      </c>
      <c r="E6234" s="2889" t="s">
        <v>1423</v>
      </c>
      <c r="F6234" s="2890">
        <v>2.683956332832051</v>
      </c>
      <c r="G6234" s="2890">
        <v>561.6596612133518</v>
      </c>
    </row>
    <row r="6235" spans="2:7" ht="15" hidden="1" outlineLevel="2">
      <c r="B6235" s="2889" t="s">
        <v>1646</v>
      </c>
      <c r="C6235" s="2889" t="s">
        <v>1459</v>
      </c>
      <c r="D6235" s="2889" t="s">
        <v>1105</v>
      </c>
      <c r="E6235" s="2889" t="s">
        <v>1423</v>
      </c>
      <c r="F6235" s="2890">
        <v>0.31505591050933679</v>
      </c>
      <c r="G6235" s="2890">
        <v>65.93032710244583</v>
      </c>
    </row>
    <row r="6236" spans="2:7" ht="15" hidden="1" outlineLevel="2">
      <c r="B6236" s="2889" t="s">
        <v>1647</v>
      </c>
      <c r="C6236" s="2889" t="s">
        <v>1459</v>
      </c>
      <c r="D6236" s="2889" t="s">
        <v>1105</v>
      </c>
      <c r="E6236" s="2889" t="s">
        <v>1423</v>
      </c>
      <c r="F6236" s="2890">
        <v>0.14356985771390601</v>
      </c>
      <c r="G6236" s="2890">
        <v>30.044210736543562</v>
      </c>
    </row>
    <row r="6237" spans="2:7" ht="15" hidden="1" outlineLevel="2">
      <c r="B6237" s="2889" t="s">
        <v>1648</v>
      </c>
      <c r="C6237" s="2889" t="s">
        <v>1459</v>
      </c>
      <c r="D6237" s="2889" t="s">
        <v>1105</v>
      </c>
      <c r="E6237" s="2889" t="s">
        <v>1423</v>
      </c>
      <c r="F6237" s="2890">
        <v>5.9820733071715031E-2</v>
      </c>
      <c r="G6237" s="2890">
        <v>12.518425573434866</v>
      </c>
    </row>
    <row r="6238" spans="2:7" ht="15" hidden="1" outlineLevel="2">
      <c r="B6238" s="2889" t="s">
        <v>1649</v>
      </c>
      <c r="C6238" s="2889" t="s">
        <v>1459</v>
      </c>
      <c r="D6238" s="2889" t="s">
        <v>1105</v>
      </c>
      <c r="E6238" s="2889" t="s">
        <v>1423</v>
      </c>
      <c r="F6238" s="2890">
        <v>0.26719934941387496</v>
      </c>
      <c r="G6238" s="2890">
        <v>55.915601097845638</v>
      </c>
    </row>
    <row r="6239" spans="2:7" ht="15" hidden="1" outlineLevel="2">
      <c r="B6239" s="2889" t="s">
        <v>1650</v>
      </c>
      <c r="C6239" s="2889" t="s">
        <v>1459</v>
      </c>
      <c r="D6239" s="2889" t="s">
        <v>1105</v>
      </c>
      <c r="E6239" s="2889" t="s">
        <v>1423</v>
      </c>
      <c r="F6239" s="3039">
        <v>0.60219551463713816</v>
      </c>
      <c r="G6239" s="2890">
        <v>126.01866617678417</v>
      </c>
    </row>
    <row r="6240" spans="2:7" ht="15" hidden="1" outlineLevel="2">
      <c r="B6240" s="2889" t="s">
        <v>1651</v>
      </c>
      <c r="C6240" s="2889" t="s">
        <v>1459</v>
      </c>
      <c r="D6240" s="2889" t="s">
        <v>1105</v>
      </c>
      <c r="E6240" s="2889" t="s">
        <v>1423</v>
      </c>
      <c r="F6240" s="3039">
        <v>0.52243437838819229</v>
      </c>
      <c r="G6240" s="2890">
        <v>109.32740132390965</v>
      </c>
    </row>
    <row r="6241" spans="2:7" ht="15" hidden="1" outlineLevel="2">
      <c r="B6241" s="2889" t="s">
        <v>1652</v>
      </c>
      <c r="C6241" s="2889" t="s">
        <v>1459</v>
      </c>
      <c r="D6241" s="2889" t="s">
        <v>1105</v>
      </c>
      <c r="E6241" s="2889" t="s">
        <v>1423</v>
      </c>
      <c r="F6241" s="3039">
        <v>0.32701980654527202</v>
      </c>
      <c r="G6241" s="2890">
        <v>68.434006398427684</v>
      </c>
    </row>
    <row r="6242" spans="2:7" ht="15" hidden="1" outlineLevel="2">
      <c r="B6242" s="2889" t="s">
        <v>1653</v>
      </c>
      <c r="C6242" s="2889" t="s">
        <v>1459</v>
      </c>
      <c r="D6242" s="2889" t="s">
        <v>1105</v>
      </c>
      <c r="E6242" s="2889" t="s">
        <v>1423</v>
      </c>
      <c r="F6242" s="3039">
        <v>2.5364016897199861</v>
      </c>
      <c r="G6242" s="2890">
        <v>530.78105237226794</v>
      </c>
    </row>
    <row r="6243" spans="2:7" ht="15" hidden="1" outlineLevel="2">
      <c r="B6243" s="2889" t="s">
        <v>1407</v>
      </c>
      <c r="C6243" s="2889" t="s">
        <v>1460</v>
      </c>
      <c r="D6243" s="2889" t="s">
        <v>1105</v>
      </c>
      <c r="E6243" s="2889" t="s">
        <v>1426</v>
      </c>
      <c r="F6243" s="2891"/>
      <c r="G6243" s="2890">
        <v>585.73383072857894</v>
      </c>
    </row>
    <row r="6244" spans="2:7" ht="15" hidden="1" outlineLevel="2">
      <c r="B6244" s="2889" t="s">
        <v>1631</v>
      </c>
      <c r="C6244" s="2889" t="s">
        <v>1460</v>
      </c>
      <c r="D6244" s="2889" t="s">
        <v>1105</v>
      </c>
      <c r="E6244" s="2889" t="s">
        <v>1426</v>
      </c>
      <c r="F6244" s="3039">
        <v>0.17141661872200284</v>
      </c>
      <c r="G6244" s="2890">
        <v>5864.7825924575491</v>
      </c>
    </row>
    <row r="6245" spans="2:7" ht="15" hidden="1" outlineLevel="2">
      <c r="B6245" s="2889" t="s">
        <v>1632</v>
      </c>
      <c r="C6245" s="2889" t="s">
        <v>1460</v>
      </c>
      <c r="D6245" s="2889" t="s">
        <v>1105</v>
      </c>
      <c r="E6245" s="2889" t="s">
        <v>1426</v>
      </c>
      <c r="F6245" s="2891"/>
      <c r="G6245" s="2890">
        <v>8970.713241220119</v>
      </c>
    </row>
    <row r="6246" spans="2:7" ht="15" hidden="1" outlineLevel="2">
      <c r="B6246" s="2889" t="s">
        <v>1633</v>
      </c>
      <c r="C6246" s="2889" t="s">
        <v>1460</v>
      </c>
      <c r="D6246" s="2889" t="s">
        <v>1105</v>
      </c>
      <c r="E6246" s="2889" t="s">
        <v>1426</v>
      </c>
      <c r="F6246" s="2891"/>
      <c r="G6246" s="2890">
        <v>329.28218213815569</v>
      </c>
    </row>
    <row r="6247" spans="2:7" ht="15" hidden="1" outlineLevel="2">
      <c r="B6247" s="2889" t="s">
        <v>1634</v>
      </c>
      <c r="C6247" s="2889" t="s">
        <v>1460</v>
      </c>
      <c r="D6247" s="2889" t="s">
        <v>1105</v>
      </c>
      <c r="E6247" s="2889" t="s">
        <v>1426</v>
      </c>
      <c r="F6247" s="2891"/>
      <c r="G6247" s="2890">
        <v>231.38747408109805</v>
      </c>
    </row>
    <row r="6248" spans="2:7" ht="15" hidden="1" outlineLevel="2">
      <c r="B6248" s="2889" t="s">
        <v>1635</v>
      </c>
      <c r="C6248" s="2889" t="s">
        <v>1460</v>
      </c>
      <c r="D6248" s="2889" t="s">
        <v>1105</v>
      </c>
      <c r="E6248" s="2889" t="s">
        <v>1426</v>
      </c>
      <c r="F6248" s="2891"/>
      <c r="G6248" s="2890">
        <v>1477.3199383849005</v>
      </c>
    </row>
    <row r="6249" spans="2:7" ht="15" hidden="1" outlineLevel="2">
      <c r="B6249" s="2889" t="s">
        <v>1636</v>
      </c>
      <c r="C6249" s="2889" t="s">
        <v>1460</v>
      </c>
      <c r="D6249" s="2889" t="s">
        <v>1105</v>
      </c>
      <c r="E6249" s="2889" t="s">
        <v>1426</v>
      </c>
      <c r="F6249" s="2891"/>
      <c r="G6249" s="2890">
        <v>569.56913568653567</v>
      </c>
    </row>
    <row r="6250" spans="2:7" ht="15" hidden="1" outlineLevel="2">
      <c r="B6250" s="2889" t="s">
        <v>1637</v>
      </c>
      <c r="C6250" s="2889" t="s">
        <v>1460</v>
      </c>
      <c r="D6250" s="2889" t="s">
        <v>1105</v>
      </c>
      <c r="E6250" s="2889" t="s">
        <v>1426</v>
      </c>
      <c r="F6250" s="2891"/>
      <c r="G6250" s="2890">
        <v>676.36349042196366</v>
      </c>
    </row>
    <row r="6251" spans="2:7" ht="15" hidden="1" outlineLevel="2">
      <c r="B6251" s="2889" t="s">
        <v>1638</v>
      </c>
      <c r="C6251" s="2889" t="s">
        <v>1460</v>
      </c>
      <c r="D6251" s="2889" t="s">
        <v>1105</v>
      </c>
      <c r="E6251" s="2889" t="s">
        <v>1426</v>
      </c>
      <c r="F6251" s="2891"/>
      <c r="G6251" s="2890">
        <v>418.27734181256534</v>
      </c>
    </row>
    <row r="6252" spans="2:7" ht="15" hidden="1" outlineLevel="2">
      <c r="B6252" s="2889" t="s">
        <v>1639</v>
      </c>
      <c r="C6252" s="2889" t="s">
        <v>1460</v>
      </c>
      <c r="D6252" s="2889" t="s">
        <v>1105</v>
      </c>
      <c r="E6252" s="2889" t="s">
        <v>1426</v>
      </c>
      <c r="F6252" s="2891"/>
      <c r="G6252" s="2890">
        <v>2082.4869279698496</v>
      </c>
    </row>
    <row r="6253" spans="2:7" ht="15" hidden="1" outlineLevel="2">
      <c r="B6253" s="2889" t="s">
        <v>1640</v>
      </c>
      <c r="C6253" s="2889" t="s">
        <v>1460</v>
      </c>
      <c r="D6253" s="2889" t="s">
        <v>1105</v>
      </c>
      <c r="E6253" s="2889" t="s">
        <v>1426</v>
      </c>
      <c r="F6253" s="2891"/>
      <c r="G6253" s="2890">
        <v>311.48317081668608</v>
      </c>
    </row>
    <row r="6254" spans="2:7" ht="15" hidden="1" outlineLevel="2">
      <c r="B6254" s="2889" t="s">
        <v>1641</v>
      </c>
      <c r="C6254" s="2889" t="s">
        <v>1460</v>
      </c>
      <c r="D6254" s="2889" t="s">
        <v>1105</v>
      </c>
      <c r="E6254" s="2889" t="s">
        <v>1426</v>
      </c>
      <c r="F6254" s="2891"/>
      <c r="G6254" s="2890">
        <v>2002.3915727239646</v>
      </c>
    </row>
    <row r="6255" spans="2:7" ht="15" hidden="1" outlineLevel="2">
      <c r="B6255" s="2889" t="s">
        <v>1642</v>
      </c>
      <c r="C6255" s="2889" t="s">
        <v>1460</v>
      </c>
      <c r="D6255" s="2889" t="s">
        <v>1105</v>
      </c>
      <c r="E6255" s="2889" t="s">
        <v>1426</v>
      </c>
      <c r="F6255" s="2891"/>
      <c r="G6255" s="2890">
        <v>5321.9118384811973</v>
      </c>
    </row>
    <row r="6256" spans="2:7" ht="15" hidden="1" outlineLevel="2">
      <c r="B6256" s="2889" t="s">
        <v>1643</v>
      </c>
      <c r="C6256" s="2889" t="s">
        <v>1460</v>
      </c>
      <c r="D6256" s="2889" t="s">
        <v>1105</v>
      </c>
      <c r="E6256" s="2889" t="s">
        <v>1426</v>
      </c>
      <c r="F6256" s="2891"/>
      <c r="G6256" s="2890">
        <v>329.48391964223151</v>
      </c>
    </row>
    <row r="6257" spans="2:7" ht="15" hidden="1" outlineLevel="2">
      <c r="B6257" s="2889" t="s">
        <v>1644</v>
      </c>
      <c r="C6257" s="2889" t="s">
        <v>1460</v>
      </c>
      <c r="D6257" s="2889" t="s">
        <v>1105</v>
      </c>
      <c r="E6257" s="2889" t="s">
        <v>1426</v>
      </c>
      <c r="F6257" s="2891"/>
      <c r="G6257" s="2890">
        <v>7840.4765827600477</v>
      </c>
    </row>
    <row r="6258" spans="2:7" ht="15" hidden="1" outlineLevel="2">
      <c r="B6258" s="2889" t="s">
        <v>1645</v>
      </c>
      <c r="C6258" s="2889" t="s">
        <v>1460</v>
      </c>
      <c r="D6258" s="2889" t="s">
        <v>1105</v>
      </c>
      <c r="E6258" s="2889" t="s">
        <v>1426</v>
      </c>
      <c r="F6258" s="2891"/>
      <c r="G6258" s="2890">
        <v>5989.3749209399357</v>
      </c>
    </row>
    <row r="6259" spans="2:7" ht="15" hidden="1" outlineLevel="2">
      <c r="B6259" s="2889" t="s">
        <v>1646</v>
      </c>
      <c r="C6259" s="2889" t="s">
        <v>1460</v>
      </c>
      <c r="D6259" s="2889" t="s">
        <v>1105</v>
      </c>
      <c r="E6259" s="2889" t="s">
        <v>1426</v>
      </c>
      <c r="F6259" s="2891"/>
      <c r="G6259" s="2890">
        <v>703.06191334968537</v>
      </c>
    </row>
    <row r="6260" spans="2:7" ht="15" hidden="1" outlineLevel="2">
      <c r="B6260" s="2889" t="s">
        <v>1647</v>
      </c>
      <c r="C6260" s="2889" t="s">
        <v>1460</v>
      </c>
      <c r="D6260" s="2889" t="s">
        <v>1105</v>
      </c>
      <c r="E6260" s="2889" t="s">
        <v>1426</v>
      </c>
      <c r="F6260" s="2891"/>
      <c r="G6260" s="2890">
        <v>320.38265623720895</v>
      </c>
    </row>
    <row r="6261" spans="2:7" ht="15" hidden="1" outlineLevel="2">
      <c r="B6261" s="2889" t="s">
        <v>1648</v>
      </c>
      <c r="C6261" s="2889" t="s">
        <v>1460</v>
      </c>
      <c r="D6261" s="2889" t="s">
        <v>1105</v>
      </c>
      <c r="E6261" s="2889" t="s">
        <v>1426</v>
      </c>
      <c r="F6261" s="2891"/>
      <c r="G6261" s="2890">
        <v>133.49279606888405</v>
      </c>
    </row>
    <row r="6262" spans="2:7" ht="15" hidden="1" outlineLevel="2">
      <c r="B6262" s="2889" t="s">
        <v>1649</v>
      </c>
      <c r="C6262" s="2889" t="s">
        <v>1460</v>
      </c>
      <c r="D6262" s="2889" t="s">
        <v>1105</v>
      </c>
      <c r="E6262" s="2889" t="s">
        <v>1426</v>
      </c>
      <c r="F6262" s="2891"/>
      <c r="G6262" s="2890">
        <v>596.26772387437336</v>
      </c>
    </row>
    <row r="6263" spans="2:7" ht="15" hidden="1" outlineLevel="2">
      <c r="B6263" s="2889" t="s">
        <v>1650</v>
      </c>
      <c r="C6263" s="2889" t="s">
        <v>1460</v>
      </c>
      <c r="D6263" s="2889" t="s">
        <v>1105</v>
      </c>
      <c r="E6263" s="2889" t="s">
        <v>1426</v>
      </c>
      <c r="F6263" s="2891"/>
      <c r="G6263" s="2890">
        <v>1343.8273722187325</v>
      </c>
    </row>
    <row r="6264" spans="2:7" ht="15" hidden="1" outlineLevel="2">
      <c r="B6264" s="2889" t="s">
        <v>1651</v>
      </c>
      <c r="C6264" s="2889" t="s">
        <v>1460</v>
      </c>
      <c r="D6264" s="2889" t="s">
        <v>1105</v>
      </c>
      <c r="E6264" s="2889" t="s">
        <v>1426</v>
      </c>
      <c r="F6264" s="3040"/>
      <c r="G6264" s="2890">
        <v>1165.8372272032475</v>
      </c>
    </row>
    <row r="6265" spans="2:7" ht="15" hidden="1" outlineLevel="2">
      <c r="B6265" s="2889" t="s">
        <v>1652</v>
      </c>
      <c r="C6265" s="2889" t="s">
        <v>1460</v>
      </c>
      <c r="D6265" s="2889" t="s">
        <v>1105</v>
      </c>
      <c r="E6265" s="2889" t="s">
        <v>1426</v>
      </c>
      <c r="F6265" s="3040"/>
      <c r="G6265" s="2890">
        <v>729.76053953719838</v>
      </c>
    </row>
    <row r="6266" spans="2:7" ht="15" hidden="1" outlineLevel="2">
      <c r="B6266" s="2889" t="s">
        <v>1653</v>
      </c>
      <c r="C6266" s="2889" t="s">
        <v>1460</v>
      </c>
      <c r="D6266" s="2889" t="s">
        <v>1105</v>
      </c>
      <c r="E6266" s="2889" t="s">
        <v>1426</v>
      </c>
      <c r="F6266" s="3040"/>
      <c r="G6266" s="2890">
        <v>5660.0941161375122</v>
      </c>
    </row>
    <row r="6267" spans="2:7" ht="15" hidden="1" outlineLevel="2">
      <c r="B6267" s="2889" t="s">
        <v>1407</v>
      </c>
      <c r="C6267" s="2889" t="s">
        <v>1461</v>
      </c>
      <c r="D6267" s="2889" t="s">
        <v>1105</v>
      </c>
      <c r="E6267" s="2889" t="s">
        <v>1426</v>
      </c>
      <c r="F6267" s="3040"/>
      <c r="G6267" s="2890">
        <v>136.48354666299397</v>
      </c>
    </row>
    <row r="6268" spans="2:7" ht="15" hidden="1" outlineLevel="2">
      <c r="B6268" s="2889" t="s">
        <v>1631</v>
      </c>
      <c r="C6268" s="2889" t="s">
        <v>1461</v>
      </c>
      <c r="D6268" s="2889" t="s">
        <v>1105</v>
      </c>
      <c r="E6268" s="2889" t="s">
        <v>1426</v>
      </c>
      <c r="F6268" s="2890">
        <v>4.0264582391522627E-2</v>
      </c>
      <c r="G6268" s="2890">
        <v>1383.7336298814432</v>
      </c>
    </row>
    <row r="6269" spans="2:7" ht="15" hidden="1" outlineLevel="2">
      <c r="B6269" s="2889" t="s">
        <v>1632</v>
      </c>
      <c r="C6269" s="2889" t="s">
        <v>1461</v>
      </c>
      <c r="D6269" s="2889" t="s">
        <v>1105</v>
      </c>
      <c r="E6269" s="2889" t="s">
        <v>1426</v>
      </c>
      <c r="F6269" s="3040"/>
      <c r="G6269" s="2890">
        <v>2116.5447755703744</v>
      </c>
    </row>
    <row r="6270" spans="2:7" ht="15" hidden="1" outlineLevel="2">
      <c r="B6270" s="2889" t="s">
        <v>1633</v>
      </c>
      <c r="C6270" s="2889" t="s">
        <v>1461</v>
      </c>
      <c r="D6270" s="2889" t="s">
        <v>1105</v>
      </c>
      <c r="E6270" s="2889" t="s">
        <v>1426</v>
      </c>
      <c r="F6270" s="3040"/>
      <c r="G6270" s="2890">
        <v>77.690621510703807</v>
      </c>
    </row>
    <row r="6271" spans="2:7" ht="15" hidden="1" outlineLevel="2">
      <c r="B6271" s="2889" t="s">
        <v>1634</v>
      </c>
      <c r="C6271" s="2889" t="s">
        <v>1461</v>
      </c>
      <c r="D6271" s="2889" t="s">
        <v>1105</v>
      </c>
      <c r="E6271" s="2889" t="s">
        <v>1426</v>
      </c>
      <c r="F6271" s="3040"/>
      <c r="G6271" s="2890">
        <v>54.593418688270759</v>
      </c>
    </row>
    <row r="6272" spans="2:7" ht="15" hidden="1" outlineLevel="2">
      <c r="B6272" s="2889" t="s">
        <v>1635</v>
      </c>
      <c r="C6272" s="2889" t="s">
        <v>1461</v>
      </c>
      <c r="D6272" s="2889" t="s">
        <v>1105</v>
      </c>
      <c r="E6272" s="2889" t="s">
        <v>1426</v>
      </c>
      <c r="F6272" s="3040"/>
      <c r="G6272" s="2890">
        <v>348.55792747647604</v>
      </c>
    </row>
    <row r="6273" spans="2:7" ht="15" hidden="1" outlineLevel="2">
      <c r="B6273" s="2889" t="s">
        <v>1636</v>
      </c>
      <c r="C6273" s="2889" t="s">
        <v>1461</v>
      </c>
      <c r="D6273" s="2889" t="s">
        <v>1105</v>
      </c>
      <c r="E6273" s="2889" t="s">
        <v>1426</v>
      </c>
      <c r="F6273" s="3040"/>
      <c r="G6273" s="2890">
        <v>134.38378850828261</v>
      </c>
    </row>
    <row r="6274" spans="2:7" ht="15" hidden="1" outlineLevel="2">
      <c r="B6274" s="2889" t="s">
        <v>1637</v>
      </c>
      <c r="C6274" s="2889" t="s">
        <v>1461</v>
      </c>
      <c r="D6274" s="2889" t="s">
        <v>1105</v>
      </c>
      <c r="E6274" s="2889" t="s">
        <v>1426</v>
      </c>
      <c r="F6274" s="3040"/>
      <c r="G6274" s="2890">
        <v>159.58069513023406</v>
      </c>
    </row>
    <row r="6275" spans="2:7" ht="15" hidden="1" outlineLevel="2">
      <c r="B6275" s="2889" t="s">
        <v>1638</v>
      </c>
      <c r="C6275" s="2889" t="s">
        <v>1461</v>
      </c>
      <c r="D6275" s="2889" t="s">
        <v>1105</v>
      </c>
      <c r="E6275" s="2889" t="s">
        <v>1426</v>
      </c>
      <c r="F6275" s="3040"/>
      <c r="G6275" s="2890">
        <v>98.68811954218009</v>
      </c>
    </row>
    <row r="6276" spans="2:7" ht="15" hidden="1" outlineLevel="2">
      <c r="B6276" s="2889" t="s">
        <v>1639</v>
      </c>
      <c r="C6276" s="2889" t="s">
        <v>1461</v>
      </c>
      <c r="D6276" s="2889" t="s">
        <v>1105</v>
      </c>
      <c r="E6276" s="2889" t="s">
        <v>1426</v>
      </c>
      <c r="F6276" s="3040"/>
      <c r="G6276" s="2890">
        <v>491.3408042023928</v>
      </c>
    </row>
    <row r="6277" spans="2:7" ht="15" hidden="1" outlineLevel="2">
      <c r="B6277" s="2889" t="s">
        <v>1640</v>
      </c>
      <c r="C6277" s="2889" t="s">
        <v>1461</v>
      </c>
      <c r="D6277" s="2889" t="s">
        <v>1105</v>
      </c>
      <c r="E6277" s="2889" t="s">
        <v>1426</v>
      </c>
      <c r="F6277" s="3040"/>
      <c r="G6277" s="2890">
        <v>73.491148968531419</v>
      </c>
    </row>
    <row r="6278" spans="2:7" ht="15" hidden="1" outlineLevel="2">
      <c r="B6278" s="2889" t="s">
        <v>1641</v>
      </c>
      <c r="C6278" s="2889" t="s">
        <v>1461</v>
      </c>
      <c r="D6278" s="2889" t="s">
        <v>1105</v>
      </c>
      <c r="E6278" s="2889" t="s">
        <v>1426</v>
      </c>
      <c r="F6278" s="3040"/>
      <c r="G6278" s="2890">
        <v>472.44289235975748</v>
      </c>
    </row>
    <row r="6279" spans="2:7" ht="15" hidden="1" outlineLevel="2">
      <c r="B6279" s="2889" t="s">
        <v>1642</v>
      </c>
      <c r="C6279" s="2889" t="s">
        <v>1461</v>
      </c>
      <c r="D6279" s="2889" t="s">
        <v>1105</v>
      </c>
      <c r="E6279" s="2889" t="s">
        <v>1426</v>
      </c>
      <c r="F6279" s="3040"/>
      <c r="G6279" s="2890">
        <v>1255.6486070370242</v>
      </c>
    </row>
    <row r="6280" spans="2:7" ht="15" hidden="1" outlineLevel="2">
      <c r="B6280" s="2889" t="s">
        <v>1643</v>
      </c>
      <c r="C6280" s="2889" t="s">
        <v>1461</v>
      </c>
      <c r="D6280" s="2889" t="s">
        <v>1105</v>
      </c>
      <c r="E6280" s="2889" t="s">
        <v>1426</v>
      </c>
      <c r="F6280" s="3040"/>
      <c r="G6280" s="2890">
        <v>77.738245769101965</v>
      </c>
    </row>
    <row r="6281" spans="2:7" ht="15" hidden="1" outlineLevel="2">
      <c r="B6281" s="2889" t="s">
        <v>1644</v>
      </c>
      <c r="C6281" s="2889" t="s">
        <v>1461</v>
      </c>
      <c r="D6281" s="2889" t="s">
        <v>1105</v>
      </c>
      <c r="E6281" s="2889" t="s">
        <v>1426</v>
      </c>
      <c r="F6281" s="3040"/>
      <c r="G6281" s="2890">
        <v>1849.8767335004391</v>
      </c>
    </row>
    <row r="6282" spans="2:7" ht="15" hidden="1" outlineLevel="2">
      <c r="B6282" s="2889" t="s">
        <v>1645</v>
      </c>
      <c r="C6282" s="2889" t="s">
        <v>1461</v>
      </c>
      <c r="D6282" s="2889" t="s">
        <v>1105</v>
      </c>
      <c r="E6282" s="2889" t="s">
        <v>1426</v>
      </c>
      <c r="F6282" s="3040"/>
      <c r="G6282" s="2890">
        <v>1413.1296793462102</v>
      </c>
    </row>
    <row r="6283" spans="2:7" ht="15" hidden="1" outlineLevel="2">
      <c r="B6283" s="2889" t="s">
        <v>1646</v>
      </c>
      <c r="C6283" s="2889" t="s">
        <v>1461</v>
      </c>
      <c r="D6283" s="2889" t="s">
        <v>1105</v>
      </c>
      <c r="E6283" s="2889" t="s">
        <v>1426</v>
      </c>
      <c r="F6283" s="3040"/>
      <c r="G6283" s="2890">
        <v>165.87999447565525</v>
      </c>
    </row>
    <row r="6284" spans="2:7" ht="15" hidden="1" outlineLevel="2">
      <c r="B6284" s="2889" t="s">
        <v>1647</v>
      </c>
      <c r="C6284" s="2889" t="s">
        <v>1461</v>
      </c>
      <c r="D6284" s="2889" t="s">
        <v>1105</v>
      </c>
      <c r="E6284" s="2889" t="s">
        <v>1426</v>
      </c>
      <c r="F6284" s="2891"/>
      <c r="G6284" s="2890">
        <v>75.590882048864742</v>
      </c>
    </row>
    <row r="6285" spans="2:7" ht="15" hidden="1" outlineLevel="2">
      <c r="B6285" s="2889" t="s">
        <v>1648</v>
      </c>
      <c r="C6285" s="2889" t="s">
        <v>1461</v>
      </c>
      <c r="D6285" s="2889" t="s">
        <v>1105</v>
      </c>
      <c r="E6285" s="2889" t="s">
        <v>1426</v>
      </c>
      <c r="F6285" s="2891"/>
      <c r="G6285" s="2890">
        <v>31.496196819563494</v>
      </c>
    </row>
    <row r="6286" spans="2:7" ht="15" hidden="1" outlineLevel="2">
      <c r="B6286" s="2889" t="s">
        <v>1649</v>
      </c>
      <c r="C6286" s="2889" t="s">
        <v>1461</v>
      </c>
      <c r="D6286" s="2889" t="s">
        <v>1105</v>
      </c>
      <c r="E6286" s="2889" t="s">
        <v>1426</v>
      </c>
      <c r="F6286" s="2891"/>
      <c r="G6286" s="2890">
        <v>140.68301668912616</v>
      </c>
    </row>
    <row r="6287" spans="2:7" ht="15" hidden="1" outlineLevel="2">
      <c r="B6287" s="2889" t="s">
        <v>1650</v>
      </c>
      <c r="C6287" s="2889" t="s">
        <v>1461</v>
      </c>
      <c r="D6287" s="2889" t="s">
        <v>1105</v>
      </c>
      <c r="E6287" s="2889" t="s">
        <v>1426</v>
      </c>
      <c r="F6287" s="2891"/>
      <c r="G6287" s="2890">
        <v>317.06175137997491</v>
      </c>
    </row>
    <row r="6288" spans="2:7" ht="15" hidden="1" outlineLevel="2">
      <c r="B6288" s="2889" t="s">
        <v>1651</v>
      </c>
      <c r="C6288" s="2889" t="s">
        <v>1461</v>
      </c>
      <c r="D6288" s="2889" t="s">
        <v>1105</v>
      </c>
      <c r="E6288" s="2889" t="s">
        <v>1426</v>
      </c>
      <c r="F6288" s="2891"/>
      <c r="G6288" s="2890">
        <v>275.06681161823451</v>
      </c>
    </row>
    <row r="6289" spans="2:7" ht="15" hidden="1" outlineLevel="2">
      <c r="B6289" s="2889" t="s">
        <v>1652</v>
      </c>
      <c r="C6289" s="2889" t="s">
        <v>1461</v>
      </c>
      <c r="D6289" s="2889" t="s">
        <v>1105</v>
      </c>
      <c r="E6289" s="2889" t="s">
        <v>1426</v>
      </c>
      <c r="F6289" s="2891"/>
      <c r="G6289" s="2890">
        <v>172.17924993111362</v>
      </c>
    </row>
    <row r="6290" spans="2:7" ht="15" hidden="1" outlineLevel="2">
      <c r="B6290" s="2889" t="s">
        <v>1653</v>
      </c>
      <c r="C6290" s="2889" t="s">
        <v>1461</v>
      </c>
      <c r="D6290" s="2889" t="s">
        <v>1105</v>
      </c>
      <c r="E6290" s="2889" t="s">
        <v>1426</v>
      </c>
      <c r="F6290" s="2891"/>
      <c r="G6290" s="2890">
        <v>1335.4392876193074</v>
      </c>
    </row>
    <row r="6291" spans="2:7" ht="15" hidden="1" outlineLevel="2">
      <c r="B6291" s="2889" t="s">
        <v>1407</v>
      </c>
      <c r="C6291" s="2889" t="s">
        <v>1462</v>
      </c>
      <c r="D6291" s="2889" t="s">
        <v>1105</v>
      </c>
      <c r="E6291" s="2889" t="s">
        <v>1426</v>
      </c>
      <c r="F6291" s="3040"/>
      <c r="G6291" s="2890">
        <v>378.68888805363827</v>
      </c>
    </row>
    <row r="6292" spans="2:7" ht="15" hidden="1" outlineLevel="2">
      <c r="B6292" s="2889" t="s">
        <v>1631</v>
      </c>
      <c r="C6292" s="2889" t="s">
        <v>1462</v>
      </c>
      <c r="D6292" s="2889" t="s">
        <v>1105</v>
      </c>
      <c r="E6292" s="2889" t="s">
        <v>1426</v>
      </c>
      <c r="F6292" s="2890">
        <v>0.12299801942185914</v>
      </c>
      <c r="G6292" s="2890">
        <v>3839.3247121136696</v>
      </c>
    </row>
    <row r="6293" spans="2:7" ht="15" hidden="1" outlineLevel="2">
      <c r="B6293" s="2889" t="s">
        <v>1632</v>
      </c>
      <c r="C6293" s="2889" t="s">
        <v>1462</v>
      </c>
      <c r="D6293" s="2889" t="s">
        <v>1105</v>
      </c>
      <c r="E6293" s="2889" t="s">
        <v>1426</v>
      </c>
      <c r="F6293" s="3040"/>
      <c r="G6293" s="2890">
        <v>5872.5924607387506</v>
      </c>
    </row>
    <row r="6294" spans="2:7" ht="15" hidden="1" outlineLevel="2">
      <c r="B6294" s="2889" t="s">
        <v>1633</v>
      </c>
      <c r="C6294" s="2889" t="s">
        <v>1462</v>
      </c>
      <c r="D6294" s="2889" t="s">
        <v>1105</v>
      </c>
      <c r="E6294" s="2889" t="s">
        <v>1426</v>
      </c>
      <c r="F6294" s="3040"/>
      <c r="G6294" s="2890">
        <v>215.56146089660345</v>
      </c>
    </row>
    <row r="6295" spans="2:7" ht="15" hidden="1" outlineLevel="2">
      <c r="B6295" s="2889" t="s">
        <v>1634</v>
      </c>
      <c r="C6295" s="2889" t="s">
        <v>1462</v>
      </c>
      <c r="D6295" s="2889" t="s">
        <v>1105</v>
      </c>
      <c r="E6295" s="2889" t="s">
        <v>1426</v>
      </c>
      <c r="F6295" s="3040"/>
      <c r="G6295" s="2890">
        <v>151.47563042406236</v>
      </c>
    </row>
    <row r="6296" spans="2:7" ht="15" hidden="1" outlineLevel="2">
      <c r="B6296" s="2889" t="s">
        <v>1635</v>
      </c>
      <c r="C6296" s="2889" t="s">
        <v>1462</v>
      </c>
      <c r="D6296" s="2889" t="s">
        <v>1105</v>
      </c>
      <c r="E6296" s="2889" t="s">
        <v>1426</v>
      </c>
      <c r="F6296" s="3040"/>
      <c r="G6296" s="2890">
        <v>967.11340291623799</v>
      </c>
    </row>
    <row r="6297" spans="2:7" ht="15" hidden="1" outlineLevel="2">
      <c r="B6297" s="2889" t="s">
        <v>1636</v>
      </c>
      <c r="C6297" s="2889" t="s">
        <v>1462</v>
      </c>
      <c r="D6297" s="2889" t="s">
        <v>1105</v>
      </c>
      <c r="E6297" s="2889" t="s">
        <v>1426</v>
      </c>
      <c r="F6297" s="3040"/>
      <c r="G6297" s="2890">
        <v>372.86296930752854</v>
      </c>
    </row>
    <row r="6298" spans="2:7" ht="15" hidden="1" outlineLevel="2">
      <c r="B6298" s="2889" t="s">
        <v>1637</v>
      </c>
      <c r="C6298" s="2889" t="s">
        <v>1462</v>
      </c>
      <c r="D6298" s="2889" t="s">
        <v>1105</v>
      </c>
      <c r="E6298" s="2889" t="s">
        <v>1426</v>
      </c>
      <c r="F6298" s="3040"/>
      <c r="G6298" s="2890">
        <v>442.77495823612981</v>
      </c>
    </row>
    <row r="6299" spans="2:7" ht="15" hidden="1" outlineLevel="2">
      <c r="B6299" s="2889" t="s">
        <v>1638</v>
      </c>
      <c r="C6299" s="2889" t="s">
        <v>1462</v>
      </c>
      <c r="D6299" s="2889" t="s">
        <v>1105</v>
      </c>
      <c r="E6299" s="2889" t="s">
        <v>1426</v>
      </c>
      <c r="F6299" s="3040"/>
      <c r="G6299" s="2890">
        <v>273.82127446328212</v>
      </c>
    </row>
    <row r="6300" spans="2:7" ht="15" hidden="1" outlineLevel="2">
      <c r="B6300" s="2889" t="s">
        <v>1639</v>
      </c>
      <c r="C6300" s="2889" t="s">
        <v>1462</v>
      </c>
      <c r="D6300" s="2889" t="s">
        <v>1105</v>
      </c>
      <c r="E6300" s="2889" t="s">
        <v>1426</v>
      </c>
      <c r="F6300" s="3040"/>
      <c r="G6300" s="2890">
        <v>1363.280257736601</v>
      </c>
    </row>
    <row r="6301" spans="2:7" ht="15" hidden="1" outlineLevel="2">
      <c r="B6301" s="2889" t="s">
        <v>1640</v>
      </c>
      <c r="C6301" s="2889" t="s">
        <v>1462</v>
      </c>
      <c r="D6301" s="2889" t="s">
        <v>1105</v>
      </c>
      <c r="E6301" s="2889" t="s">
        <v>1426</v>
      </c>
      <c r="F6301" s="3040"/>
      <c r="G6301" s="2890">
        <v>203.90948627354223</v>
      </c>
    </row>
    <row r="6302" spans="2:7" ht="15" hidden="1" outlineLevel="2">
      <c r="B6302" s="2889" t="s">
        <v>1641</v>
      </c>
      <c r="C6302" s="2889" t="s">
        <v>1462</v>
      </c>
      <c r="D6302" s="2889" t="s">
        <v>1105</v>
      </c>
      <c r="E6302" s="2889" t="s">
        <v>1426</v>
      </c>
      <c r="F6302" s="3040"/>
      <c r="G6302" s="2890">
        <v>1310.846653498279</v>
      </c>
    </row>
    <row r="6303" spans="2:7" ht="15" hidden="1" outlineLevel="2">
      <c r="B6303" s="2889" t="s">
        <v>1642</v>
      </c>
      <c r="C6303" s="2889" t="s">
        <v>1462</v>
      </c>
      <c r="D6303" s="2889" t="s">
        <v>1105</v>
      </c>
      <c r="E6303" s="2889" t="s">
        <v>1426</v>
      </c>
      <c r="F6303" s="3040"/>
      <c r="G6303" s="2890">
        <v>3483.9394782910499</v>
      </c>
    </row>
    <row r="6304" spans="2:7" ht="15" hidden="1" outlineLevel="2">
      <c r="B6304" s="2889" t="s">
        <v>1643</v>
      </c>
      <c r="C6304" s="2889" t="s">
        <v>1462</v>
      </c>
      <c r="D6304" s="2889" t="s">
        <v>1105</v>
      </c>
      <c r="E6304" s="2889" t="s">
        <v>1426</v>
      </c>
      <c r="F6304" s="3040"/>
      <c r="G6304" s="2890">
        <v>215.69354665665585</v>
      </c>
    </row>
    <row r="6305" spans="2:7" ht="15" hidden="1" outlineLevel="2">
      <c r="B6305" s="2889" t="s">
        <v>1644</v>
      </c>
      <c r="C6305" s="2889" t="s">
        <v>1462</v>
      </c>
      <c r="D6305" s="2889" t="s">
        <v>1105</v>
      </c>
      <c r="E6305" s="2889" t="s">
        <v>1426</v>
      </c>
      <c r="F6305" s="3040"/>
      <c r="G6305" s="2890">
        <v>5132.6925078705981</v>
      </c>
    </row>
    <row r="6306" spans="2:7" ht="15" hidden="1" outlineLevel="2">
      <c r="B6306" s="2889" t="s">
        <v>1645</v>
      </c>
      <c r="C6306" s="2889" t="s">
        <v>1462</v>
      </c>
      <c r="D6306" s="2889" t="s">
        <v>1105</v>
      </c>
      <c r="E6306" s="2889" t="s">
        <v>1426</v>
      </c>
      <c r="F6306" s="3040"/>
      <c r="G6306" s="2890">
        <v>3920.8877081330338</v>
      </c>
    </row>
    <row r="6307" spans="2:7" ht="15" hidden="1" outlineLevel="2">
      <c r="B6307" s="2889" t="s">
        <v>1646</v>
      </c>
      <c r="C6307" s="2889" t="s">
        <v>1462</v>
      </c>
      <c r="D6307" s="2889" t="s">
        <v>1105</v>
      </c>
      <c r="E6307" s="2889" t="s">
        <v>1426</v>
      </c>
      <c r="F6307" s="3040"/>
      <c r="G6307" s="2890">
        <v>460.25289164395497</v>
      </c>
    </row>
    <row r="6308" spans="2:7" ht="15" hidden="1" outlineLevel="2">
      <c r="B6308" s="2889" t="s">
        <v>1647</v>
      </c>
      <c r="C6308" s="2889" t="s">
        <v>1462</v>
      </c>
      <c r="D6308" s="2889" t="s">
        <v>1105</v>
      </c>
      <c r="E6308" s="2889" t="s">
        <v>1426</v>
      </c>
      <c r="F6308" s="3040"/>
      <c r="G6308" s="2890">
        <v>209.73545299563699</v>
      </c>
    </row>
    <row r="6309" spans="2:7" ht="15" hidden="1" outlineLevel="2">
      <c r="B6309" s="2889" t="s">
        <v>1648</v>
      </c>
      <c r="C6309" s="2889" t="s">
        <v>1462</v>
      </c>
      <c r="D6309" s="2889" t="s">
        <v>1105</v>
      </c>
      <c r="E6309" s="2889" t="s">
        <v>1426</v>
      </c>
      <c r="F6309" s="3040"/>
      <c r="G6309" s="2890">
        <v>87.38973520673801</v>
      </c>
    </row>
    <row r="6310" spans="2:7" ht="15" hidden="1" outlineLevel="2">
      <c r="B6310" s="2889" t="s">
        <v>1649</v>
      </c>
      <c r="C6310" s="2889" t="s">
        <v>1462</v>
      </c>
      <c r="D6310" s="2889" t="s">
        <v>1105</v>
      </c>
      <c r="E6310" s="2889" t="s">
        <v>1426</v>
      </c>
      <c r="F6310" s="3040"/>
      <c r="G6310" s="2890">
        <v>390.3409745847236</v>
      </c>
    </row>
    <row r="6311" spans="2:7" ht="15" hidden="1" outlineLevel="2">
      <c r="B6311" s="2889" t="s">
        <v>1650</v>
      </c>
      <c r="C6311" s="2889" t="s">
        <v>1462</v>
      </c>
      <c r="D6311" s="2889" t="s">
        <v>1105</v>
      </c>
      <c r="E6311" s="2889" t="s">
        <v>1426</v>
      </c>
      <c r="F6311" s="3040"/>
      <c r="G6311" s="2890">
        <v>879.72374165275039</v>
      </c>
    </row>
    <row r="6312" spans="2:7" ht="15" hidden="1" outlineLevel="2">
      <c r="B6312" s="2889" t="s">
        <v>1651</v>
      </c>
      <c r="C6312" s="2889" t="s">
        <v>1462</v>
      </c>
      <c r="D6312" s="2889" t="s">
        <v>1105</v>
      </c>
      <c r="E6312" s="2889" t="s">
        <v>1426</v>
      </c>
      <c r="F6312" s="3040"/>
      <c r="G6312" s="2890">
        <v>763.20409956412709</v>
      </c>
    </row>
    <row r="6313" spans="2:7" ht="15" hidden="1" outlineLevel="2">
      <c r="B6313" s="2889" t="s">
        <v>1652</v>
      </c>
      <c r="C6313" s="2889" t="s">
        <v>1462</v>
      </c>
      <c r="D6313" s="2889" t="s">
        <v>1105</v>
      </c>
      <c r="E6313" s="2889" t="s">
        <v>1426</v>
      </c>
      <c r="F6313" s="3040"/>
      <c r="G6313" s="2890">
        <v>477.73093688658491</v>
      </c>
    </row>
    <row r="6314" spans="2:7" ht="15" hidden="1" outlineLevel="2">
      <c r="B6314" s="2889" t="s">
        <v>1653</v>
      </c>
      <c r="C6314" s="2889" t="s">
        <v>1462</v>
      </c>
      <c r="D6314" s="2889" t="s">
        <v>1105</v>
      </c>
      <c r="E6314" s="2889" t="s">
        <v>1426</v>
      </c>
      <c r="F6314" s="3040"/>
      <c r="G6314" s="2890">
        <v>3705.326617768555</v>
      </c>
    </row>
    <row r="6315" spans="2:7" ht="15" hidden="1" outlineLevel="2">
      <c r="B6315" s="2889" t="s">
        <v>1407</v>
      </c>
      <c r="C6315" s="2889" t="s">
        <v>1463</v>
      </c>
      <c r="D6315" s="2889" t="s">
        <v>1105</v>
      </c>
      <c r="E6315" s="2889" t="s">
        <v>1426</v>
      </c>
      <c r="F6315" s="3040"/>
      <c r="G6315" s="2890">
        <v>192.28596424197795</v>
      </c>
    </row>
    <row r="6316" spans="2:7" ht="15" hidden="1" outlineLevel="2">
      <c r="B6316" s="2889" t="s">
        <v>1631</v>
      </c>
      <c r="C6316" s="2889" t="s">
        <v>1463</v>
      </c>
      <c r="D6316" s="2889" t="s">
        <v>1105</v>
      </c>
      <c r="E6316" s="2889" t="s">
        <v>1426</v>
      </c>
      <c r="F6316" s="2890">
        <v>8.7448058575009827E-2</v>
      </c>
      <c r="G6316" s="2890">
        <v>1949.4837018132544</v>
      </c>
    </row>
    <row r="6317" spans="2:7" ht="15" hidden="1" outlineLevel="2">
      <c r="B6317" s="2889" t="s">
        <v>1632</v>
      </c>
      <c r="C6317" s="2889" t="s">
        <v>1463</v>
      </c>
      <c r="D6317" s="2889" t="s">
        <v>1105</v>
      </c>
      <c r="E6317" s="2889" t="s">
        <v>1426</v>
      </c>
      <c r="F6317" s="3040"/>
      <c r="G6317" s="2890">
        <v>2981.9112184965397</v>
      </c>
    </row>
    <row r="6318" spans="2:7" ht="15" hidden="1" outlineLevel="2">
      <c r="B6318" s="2889" t="s">
        <v>1633</v>
      </c>
      <c r="C6318" s="2889" t="s">
        <v>1463</v>
      </c>
      <c r="D6318" s="2889" t="s">
        <v>1105</v>
      </c>
      <c r="E6318" s="2889" t="s">
        <v>1426</v>
      </c>
      <c r="F6318" s="3040"/>
      <c r="G6318" s="2890">
        <v>109.45511104844792</v>
      </c>
    </row>
    <row r="6319" spans="2:7" ht="15" hidden="1" outlineLevel="2">
      <c r="B6319" s="2889" t="s">
        <v>1634</v>
      </c>
      <c r="C6319" s="2889" t="s">
        <v>1463</v>
      </c>
      <c r="D6319" s="2889" t="s">
        <v>1105</v>
      </c>
      <c r="E6319" s="2889" t="s">
        <v>1426</v>
      </c>
      <c r="F6319" s="3040"/>
      <c r="G6319" s="2890">
        <v>76.914414292915538</v>
      </c>
    </row>
    <row r="6320" spans="2:7" ht="15" hidden="1" outlineLevel="2">
      <c r="B6320" s="2889" t="s">
        <v>1635</v>
      </c>
      <c r="C6320" s="2889" t="s">
        <v>1463</v>
      </c>
      <c r="D6320" s="2889" t="s">
        <v>1105</v>
      </c>
      <c r="E6320" s="2889" t="s">
        <v>1426</v>
      </c>
      <c r="F6320" s="3040"/>
      <c r="G6320" s="2890">
        <v>491.06871590513663</v>
      </c>
    </row>
    <row r="6321" spans="2:7" ht="15" hidden="1" outlineLevel="2">
      <c r="B6321" s="2889" t="s">
        <v>1636</v>
      </c>
      <c r="C6321" s="2889" t="s">
        <v>1463</v>
      </c>
      <c r="D6321" s="2889" t="s">
        <v>1105</v>
      </c>
      <c r="E6321" s="2889" t="s">
        <v>1426</v>
      </c>
      <c r="F6321" s="3040"/>
      <c r="G6321" s="2890">
        <v>189.327740445486</v>
      </c>
    </row>
    <row r="6322" spans="2:7" ht="15" hidden="1" outlineLevel="2">
      <c r="B6322" s="2889" t="s">
        <v>1637</v>
      </c>
      <c r="C6322" s="2889" t="s">
        <v>1463</v>
      </c>
      <c r="D6322" s="2889" t="s">
        <v>1105</v>
      </c>
      <c r="E6322" s="2889" t="s">
        <v>1426</v>
      </c>
      <c r="F6322" s="3040"/>
      <c r="G6322" s="2890">
        <v>224.82668286322004</v>
      </c>
    </row>
    <row r="6323" spans="2:7" ht="15" hidden="1" outlineLevel="2">
      <c r="B6323" s="2889" t="s">
        <v>1638</v>
      </c>
      <c r="C6323" s="2889" t="s">
        <v>1463</v>
      </c>
      <c r="D6323" s="2889" t="s">
        <v>1105</v>
      </c>
      <c r="E6323" s="2889" t="s">
        <v>1426</v>
      </c>
      <c r="F6323" s="2891"/>
      <c r="G6323" s="2890">
        <v>139.03752008417314</v>
      </c>
    </row>
    <row r="6324" spans="2:7" ht="15" hidden="1" outlineLevel="2">
      <c r="B6324" s="2889" t="s">
        <v>1639</v>
      </c>
      <c r="C6324" s="2889" t="s">
        <v>1463</v>
      </c>
      <c r="D6324" s="2889" t="s">
        <v>1105</v>
      </c>
      <c r="E6324" s="2889" t="s">
        <v>1426</v>
      </c>
      <c r="F6324" s="2891"/>
      <c r="G6324" s="2890">
        <v>692.22962385077051</v>
      </c>
    </row>
    <row r="6325" spans="2:7" ht="15" hidden="1" outlineLevel="2">
      <c r="B6325" s="2889" t="s">
        <v>1640</v>
      </c>
      <c r="C6325" s="2889" t="s">
        <v>1463</v>
      </c>
      <c r="D6325" s="2889" t="s">
        <v>1105</v>
      </c>
      <c r="E6325" s="2889" t="s">
        <v>1426</v>
      </c>
      <c r="F6325" s="2891"/>
      <c r="G6325" s="2890">
        <v>103.53859250606941</v>
      </c>
    </row>
    <row r="6326" spans="2:7" ht="15" hidden="1" outlineLevel="2">
      <c r="B6326" s="2889" t="s">
        <v>1641</v>
      </c>
      <c r="C6326" s="2889" t="s">
        <v>1463</v>
      </c>
      <c r="D6326" s="2889" t="s">
        <v>1105</v>
      </c>
      <c r="E6326" s="2889" t="s">
        <v>1426</v>
      </c>
      <c r="F6326" s="2891"/>
      <c r="G6326" s="2890">
        <v>665.60550651228209</v>
      </c>
    </row>
    <row r="6327" spans="2:7" ht="15" hidden="1" outlineLevel="2">
      <c r="B6327" s="2889" t="s">
        <v>1642</v>
      </c>
      <c r="C6327" s="2889" t="s">
        <v>1463</v>
      </c>
      <c r="D6327" s="2889" t="s">
        <v>1105</v>
      </c>
      <c r="E6327" s="2889" t="s">
        <v>1426</v>
      </c>
      <c r="F6327" s="2891"/>
      <c r="G6327" s="2890">
        <v>1769.0311974163974</v>
      </c>
    </row>
    <row r="6328" spans="2:7" ht="15" hidden="1" outlineLevel="2">
      <c r="B6328" s="2889" t="s">
        <v>1643</v>
      </c>
      <c r="C6328" s="2889" t="s">
        <v>1463</v>
      </c>
      <c r="D6328" s="2889" t="s">
        <v>1105</v>
      </c>
      <c r="E6328" s="2889" t="s">
        <v>1426</v>
      </c>
      <c r="F6328" s="2891"/>
      <c r="G6328" s="2890">
        <v>109.52217700691291</v>
      </c>
    </row>
    <row r="6329" spans="2:7" ht="15" hidden="1" outlineLevel="2">
      <c r="B6329" s="2889" t="s">
        <v>1644</v>
      </c>
      <c r="C6329" s="2889" t="s">
        <v>1463</v>
      </c>
      <c r="D6329" s="2889" t="s">
        <v>1105</v>
      </c>
      <c r="E6329" s="2889" t="s">
        <v>1426</v>
      </c>
      <c r="F6329" s="2891"/>
      <c r="G6329" s="2890">
        <v>2606.2144858817987</v>
      </c>
    </row>
    <row r="6330" spans="2:7" ht="15" hidden="1" outlineLevel="2">
      <c r="B6330" s="2889" t="s">
        <v>1645</v>
      </c>
      <c r="C6330" s="2889" t="s">
        <v>1463</v>
      </c>
      <c r="D6330" s="2889" t="s">
        <v>1105</v>
      </c>
      <c r="E6330" s="2889" t="s">
        <v>1426</v>
      </c>
      <c r="F6330" s="3040"/>
      <c r="G6330" s="2890">
        <v>1990.8990980372341</v>
      </c>
    </row>
    <row r="6331" spans="2:7" ht="15" hidden="1" outlineLevel="2">
      <c r="B6331" s="2889" t="s">
        <v>1646</v>
      </c>
      <c r="C6331" s="2889" t="s">
        <v>1463</v>
      </c>
      <c r="D6331" s="2889" t="s">
        <v>1105</v>
      </c>
      <c r="E6331" s="2889" t="s">
        <v>1426</v>
      </c>
      <c r="F6331" s="3040"/>
      <c r="G6331" s="2890">
        <v>233.7013781967953</v>
      </c>
    </row>
    <row r="6332" spans="2:7" ht="15" hidden="1" outlineLevel="2">
      <c r="B6332" s="2889" t="s">
        <v>1647</v>
      </c>
      <c r="C6332" s="2889" t="s">
        <v>1463</v>
      </c>
      <c r="D6332" s="2889" t="s">
        <v>1105</v>
      </c>
      <c r="E6332" s="2889" t="s">
        <v>1426</v>
      </c>
      <c r="F6332" s="3040"/>
      <c r="G6332" s="2890">
        <v>106.49685390972913</v>
      </c>
    </row>
    <row r="6333" spans="2:7" ht="15" hidden="1" outlineLevel="2">
      <c r="B6333" s="2889" t="s">
        <v>1648</v>
      </c>
      <c r="C6333" s="2889" t="s">
        <v>1463</v>
      </c>
      <c r="D6333" s="2889" t="s">
        <v>1105</v>
      </c>
      <c r="E6333" s="2889" t="s">
        <v>1426</v>
      </c>
      <c r="F6333" s="2891"/>
      <c r="G6333" s="2890">
        <v>44.373688935511097</v>
      </c>
    </row>
    <row r="6334" spans="2:7" ht="15" hidden="1" outlineLevel="2">
      <c r="B6334" s="2889" t="s">
        <v>1649</v>
      </c>
      <c r="C6334" s="2889" t="s">
        <v>1463</v>
      </c>
      <c r="D6334" s="2889" t="s">
        <v>1105</v>
      </c>
      <c r="E6334" s="2889" t="s">
        <v>1426</v>
      </c>
      <c r="F6334" s="3040"/>
      <c r="G6334" s="2890">
        <v>198.20246063453419</v>
      </c>
    </row>
    <row r="6335" spans="2:7" ht="15" hidden="1" outlineLevel="2">
      <c r="B6335" s="2889" t="s">
        <v>1650</v>
      </c>
      <c r="C6335" s="2889" t="s">
        <v>1463</v>
      </c>
      <c r="D6335" s="2889" t="s">
        <v>1105</v>
      </c>
      <c r="E6335" s="2889" t="s">
        <v>1426</v>
      </c>
      <c r="F6335" s="3040"/>
      <c r="G6335" s="2890">
        <v>446.69508995442351</v>
      </c>
    </row>
    <row r="6336" spans="2:7" ht="15" hidden="1" outlineLevel="2">
      <c r="B6336" s="2889" t="s">
        <v>1651</v>
      </c>
      <c r="C6336" s="2889" t="s">
        <v>1463</v>
      </c>
      <c r="D6336" s="2889" t="s">
        <v>1105</v>
      </c>
      <c r="E6336" s="2889" t="s">
        <v>1426</v>
      </c>
      <c r="F6336" s="2891"/>
      <c r="G6336" s="2890">
        <v>387.53015098087985</v>
      </c>
    </row>
    <row r="6337" spans="2:7" ht="15" hidden="1" outlineLevel="2">
      <c r="B6337" s="2889" t="s">
        <v>1652</v>
      </c>
      <c r="C6337" s="2889" t="s">
        <v>1463</v>
      </c>
      <c r="D6337" s="2889" t="s">
        <v>1105</v>
      </c>
      <c r="E6337" s="2889" t="s">
        <v>1426</v>
      </c>
      <c r="F6337" s="3040"/>
      <c r="G6337" s="2890">
        <v>242.5761156934758</v>
      </c>
    </row>
    <row r="6338" spans="2:7" ht="15" hidden="1" outlineLevel="2">
      <c r="B6338" s="2889" t="s">
        <v>1653</v>
      </c>
      <c r="C6338" s="2889" t="s">
        <v>1463</v>
      </c>
      <c r="D6338" s="2889" t="s">
        <v>1105</v>
      </c>
      <c r="E6338" s="2889" t="s">
        <v>1426</v>
      </c>
      <c r="F6338" s="3040"/>
      <c r="G6338" s="2890">
        <v>1881.4439426397366</v>
      </c>
    </row>
    <row r="6339" spans="2:7" ht="15" hidden="1" outlineLevel="2">
      <c r="B6339" s="2889" t="s">
        <v>1407</v>
      </c>
      <c r="C6339" s="2889" t="s">
        <v>1464</v>
      </c>
      <c r="D6339" s="2889" t="s">
        <v>1105</v>
      </c>
      <c r="E6339" s="2889" t="s">
        <v>1426</v>
      </c>
      <c r="F6339" s="3040"/>
      <c r="G6339" s="2890">
        <v>18.472194354192006</v>
      </c>
    </row>
    <row r="6340" spans="2:7" ht="15" hidden="1" outlineLevel="2">
      <c r="B6340" s="2889" t="s">
        <v>1631</v>
      </c>
      <c r="C6340" s="2889" t="s">
        <v>1464</v>
      </c>
      <c r="D6340" s="2889" t="s">
        <v>1105</v>
      </c>
      <c r="E6340" s="2889" t="s">
        <v>1426</v>
      </c>
      <c r="F6340" s="3039">
        <v>5.1802243113613297E-3</v>
      </c>
      <c r="G6340" s="2890">
        <v>187.27960591098969</v>
      </c>
    </row>
    <row r="6341" spans="2:7" ht="15" hidden="1" outlineLevel="2">
      <c r="B6341" s="2889" t="s">
        <v>1632</v>
      </c>
      <c r="C6341" s="2889" t="s">
        <v>1464</v>
      </c>
      <c r="D6341" s="2889" t="s">
        <v>1105</v>
      </c>
      <c r="E6341" s="2889" t="s">
        <v>1426</v>
      </c>
      <c r="F6341" s="2891"/>
      <c r="G6341" s="2890">
        <v>286.46107521720245</v>
      </c>
    </row>
    <row r="6342" spans="2:7" ht="15" hidden="1" outlineLevel="2">
      <c r="B6342" s="2889" t="s">
        <v>1633</v>
      </c>
      <c r="C6342" s="2889" t="s">
        <v>1464</v>
      </c>
      <c r="D6342" s="2889" t="s">
        <v>1105</v>
      </c>
      <c r="E6342" s="2889" t="s">
        <v>1426</v>
      </c>
      <c r="F6342" s="2891"/>
      <c r="G6342" s="2890">
        <v>10.514939883582437</v>
      </c>
    </row>
    <row r="6343" spans="2:7" ht="15" hidden="1" outlineLevel="2">
      <c r="B6343" s="2889" t="s">
        <v>1634</v>
      </c>
      <c r="C6343" s="2889" t="s">
        <v>1464</v>
      </c>
      <c r="D6343" s="2889" t="s">
        <v>1105</v>
      </c>
      <c r="E6343" s="2889" t="s">
        <v>1426</v>
      </c>
      <c r="F6343" s="3040"/>
      <c r="G6343" s="2890">
        <v>7.3888769617925014</v>
      </c>
    </row>
    <row r="6344" spans="2:7" ht="15" hidden="1" outlineLevel="2">
      <c r="B6344" s="2889" t="s">
        <v>1635</v>
      </c>
      <c r="C6344" s="2889" t="s">
        <v>1464</v>
      </c>
      <c r="D6344" s="2889" t="s">
        <v>1105</v>
      </c>
      <c r="E6344" s="2889" t="s">
        <v>1426</v>
      </c>
      <c r="F6344" s="3040"/>
      <c r="G6344" s="2890">
        <v>47.175137575942578</v>
      </c>
    </row>
    <row r="6345" spans="2:7" ht="15" hidden="1" outlineLevel="2">
      <c r="B6345" s="2889" t="s">
        <v>1636</v>
      </c>
      <c r="C6345" s="2889" t="s">
        <v>1464</v>
      </c>
      <c r="D6345" s="2889" t="s">
        <v>1105</v>
      </c>
      <c r="E6345" s="2889" t="s">
        <v>1426</v>
      </c>
      <c r="F6345" s="3040"/>
      <c r="G6345" s="2890">
        <v>18.188003028591279</v>
      </c>
    </row>
    <row r="6346" spans="2:7" ht="15" hidden="1" outlineLevel="2">
      <c r="B6346" s="2889" t="s">
        <v>1637</v>
      </c>
      <c r="C6346" s="2889" t="s">
        <v>1464</v>
      </c>
      <c r="D6346" s="2889" t="s">
        <v>1105</v>
      </c>
      <c r="E6346" s="2889" t="s">
        <v>1426</v>
      </c>
      <c r="F6346" s="3040"/>
      <c r="G6346" s="2890">
        <v>21.598254760556177</v>
      </c>
    </row>
    <row r="6347" spans="2:7" ht="15" hidden="1" outlineLevel="2">
      <c r="B6347" s="2889" t="s">
        <v>1638</v>
      </c>
      <c r="C6347" s="2889" t="s">
        <v>1464</v>
      </c>
      <c r="D6347" s="2889" t="s">
        <v>1105</v>
      </c>
      <c r="E6347" s="2889" t="s">
        <v>1426</v>
      </c>
      <c r="F6347" s="3040"/>
      <c r="G6347" s="2890">
        <v>13.356816101550981</v>
      </c>
    </row>
    <row r="6348" spans="2:7" ht="15" hidden="1" outlineLevel="2">
      <c r="B6348" s="2889" t="s">
        <v>1639</v>
      </c>
      <c r="C6348" s="2889" t="s">
        <v>1464</v>
      </c>
      <c r="D6348" s="2889" t="s">
        <v>1105</v>
      </c>
      <c r="E6348" s="2889" t="s">
        <v>1426</v>
      </c>
      <c r="F6348" s="3040"/>
      <c r="G6348" s="2890">
        <v>66.499899586583794</v>
      </c>
    </row>
    <row r="6349" spans="2:7" ht="15" hidden="1" outlineLevel="2">
      <c r="B6349" s="2889" t="s">
        <v>1640</v>
      </c>
      <c r="C6349" s="2889" t="s">
        <v>1464</v>
      </c>
      <c r="D6349" s="2889" t="s">
        <v>1105</v>
      </c>
      <c r="E6349" s="2889" t="s">
        <v>1426</v>
      </c>
      <c r="F6349" s="3040"/>
      <c r="G6349" s="2890">
        <v>9.9465641343640279</v>
      </c>
    </row>
    <row r="6350" spans="2:7" ht="15" hidden="1" outlineLevel="2">
      <c r="B6350" s="2889" t="s">
        <v>1641</v>
      </c>
      <c r="C6350" s="2889" t="s">
        <v>1464</v>
      </c>
      <c r="D6350" s="2889" t="s">
        <v>1105</v>
      </c>
      <c r="E6350" s="2889" t="s">
        <v>1426</v>
      </c>
      <c r="F6350" s="3040"/>
      <c r="G6350" s="2890">
        <v>63.942195893677592</v>
      </c>
    </row>
    <row r="6351" spans="2:7" ht="15" hidden="1" outlineLevel="2">
      <c r="B6351" s="2889" t="s">
        <v>1642</v>
      </c>
      <c r="C6351" s="2889" t="s">
        <v>1464</v>
      </c>
      <c r="D6351" s="2889" t="s">
        <v>1105</v>
      </c>
      <c r="E6351" s="2889" t="s">
        <v>1426</v>
      </c>
      <c r="F6351" s="3040"/>
      <c r="G6351" s="2890">
        <v>169.94413547383414</v>
      </c>
    </row>
    <row r="6352" spans="2:7" ht="15" hidden="1" outlineLevel="2">
      <c r="B6352" s="2889" t="s">
        <v>1643</v>
      </c>
      <c r="C6352" s="2889" t="s">
        <v>1464</v>
      </c>
      <c r="D6352" s="2889" t="s">
        <v>1105</v>
      </c>
      <c r="E6352" s="2889" t="s">
        <v>1426</v>
      </c>
      <c r="F6352" s="3040"/>
      <c r="G6352" s="2890">
        <v>10.521383532948866</v>
      </c>
    </row>
    <row r="6353" spans="2:7" ht="15" hidden="1" outlineLevel="2">
      <c r="B6353" s="2889" t="s">
        <v>1644</v>
      </c>
      <c r="C6353" s="2889" t="s">
        <v>1464</v>
      </c>
      <c r="D6353" s="2889" t="s">
        <v>1105</v>
      </c>
      <c r="E6353" s="2889" t="s">
        <v>1426</v>
      </c>
      <c r="F6353" s="3040"/>
      <c r="G6353" s="2890">
        <v>250.36920222292625</v>
      </c>
    </row>
    <row r="6354" spans="2:7" ht="15" hidden="1" outlineLevel="2">
      <c r="B6354" s="2889" t="s">
        <v>1645</v>
      </c>
      <c r="C6354" s="2889" t="s">
        <v>1464</v>
      </c>
      <c r="D6354" s="2889" t="s">
        <v>1105</v>
      </c>
      <c r="E6354" s="2889" t="s">
        <v>1426</v>
      </c>
      <c r="F6354" s="2891"/>
      <c r="G6354" s="2890">
        <v>191.25824905285347</v>
      </c>
    </row>
    <row r="6355" spans="2:7" ht="15" hidden="1" outlineLevel="2">
      <c r="B6355" s="2889" t="s">
        <v>1646</v>
      </c>
      <c r="C6355" s="2889" t="s">
        <v>1464</v>
      </c>
      <c r="D6355" s="2889" t="s">
        <v>1105</v>
      </c>
      <c r="E6355" s="2889" t="s">
        <v>1426</v>
      </c>
      <c r="F6355" s="2891"/>
      <c r="G6355" s="2890">
        <v>22.450821852183669</v>
      </c>
    </row>
    <row r="6356" spans="2:7" ht="15" hidden="1" outlineLevel="2">
      <c r="B6356" s="2889" t="s">
        <v>1647</v>
      </c>
      <c r="C6356" s="2889" t="s">
        <v>1464</v>
      </c>
      <c r="D6356" s="2889" t="s">
        <v>1105</v>
      </c>
      <c r="E6356" s="2889" t="s">
        <v>1426</v>
      </c>
      <c r="F6356" s="3040"/>
      <c r="G6356" s="2890">
        <v>10.230750147334179</v>
      </c>
    </row>
    <row r="6357" spans="2:7" ht="15" hidden="1" outlineLevel="2">
      <c r="B6357" s="2889" t="s">
        <v>1648</v>
      </c>
      <c r="C6357" s="2889" t="s">
        <v>1464</v>
      </c>
      <c r="D6357" s="2889" t="s">
        <v>1105</v>
      </c>
      <c r="E6357" s="2889" t="s">
        <v>1426</v>
      </c>
      <c r="F6357" s="3040"/>
      <c r="G6357" s="2890">
        <v>4.2628130006015459</v>
      </c>
    </row>
    <row r="6358" spans="2:7" ht="15" hidden="1" outlineLevel="2">
      <c r="B6358" s="2889" t="s">
        <v>1649</v>
      </c>
      <c r="C6358" s="2889" t="s">
        <v>1464</v>
      </c>
      <c r="D6358" s="2889" t="s">
        <v>1105</v>
      </c>
      <c r="E6358" s="2889" t="s">
        <v>1426</v>
      </c>
      <c r="F6358" s="3040"/>
      <c r="G6358" s="2890">
        <v>19.040566633437617</v>
      </c>
    </row>
    <row r="6359" spans="2:7" ht="15" hidden="1" outlineLevel="2">
      <c r="B6359" s="2889" t="s">
        <v>1650</v>
      </c>
      <c r="C6359" s="2889" t="s">
        <v>1464</v>
      </c>
      <c r="D6359" s="2889" t="s">
        <v>1105</v>
      </c>
      <c r="E6359" s="2889" t="s">
        <v>1426</v>
      </c>
      <c r="F6359" s="3040"/>
      <c r="G6359" s="2890">
        <v>42.9123294389683</v>
      </c>
    </row>
    <row r="6360" spans="2:7" ht="15" hidden="1" outlineLevel="2">
      <c r="B6360" s="2889" t="s">
        <v>1651</v>
      </c>
      <c r="C6360" s="2889" t="s">
        <v>1464</v>
      </c>
      <c r="D6360" s="2889" t="s">
        <v>1105</v>
      </c>
      <c r="E6360" s="2889" t="s">
        <v>1426</v>
      </c>
      <c r="F6360" s="3040"/>
      <c r="G6360" s="2890">
        <v>37.228571553874872</v>
      </c>
    </row>
    <row r="6361" spans="2:7" ht="15" hidden="1" outlineLevel="2">
      <c r="B6361" s="2889" t="s">
        <v>1652</v>
      </c>
      <c r="C6361" s="2889" t="s">
        <v>1464</v>
      </c>
      <c r="D6361" s="2889" t="s">
        <v>1105</v>
      </c>
      <c r="E6361" s="2889" t="s">
        <v>1426</v>
      </c>
      <c r="F6361" s="3040"/>
      <c r="G6361" s="2890">
        <v>23.303376170697863</v>
      </c>
    </row>
    <row r="6362" spans="2:7" ht="15" hidden="1" outlineLevel="2">
      <c r="B6362" s="2889" t="s">
        <v>1653</v>
      </c>
      <c r="C6362" s="2889" t="s">
        <v>1464</v>
      </c>
      <c r="D6362" s="2889" t="s">
        <v>1105</v>
      </c>
      <c r="E6362" s="2889" t="s">
        <v>1426</v>
      </c>
      <c r="F6362" s="3040"/>
      <c r="G6362" s="2890">
        <v>180.74329653592577</v>
      </c>
    </row>
    <row r="6363" spans="2:7" ht="15" hidden="1" outlineLevel="2">
      <c r="B6363" s="2889" t="s">
        <v>1407</v>
      </c>
      <c r="C6363" s="2889" t="s">
        <v>1465</v>
      </c>
      <c r="D6363" s="2889" t="s">
        <v>1105</v>
      </c>
      <c r="E6363" s="2889" t="s">
        <v>1426</v>
      </c>
      <c r="F6363" s="3040"/>
      <c r="G6363" s="2890">
        <v>16.389019422585918</v>
      </c>
    </row>
    <row r="6364" spans="2:7" ht="15" hidden="1" outlineLevel="2">
      <c r="B6364" s="2889" t="s">
        <v>1631</v>
      </c>
      <c r="C6364" s="2889" t="s">
        <v>1465</v>
      </c>
      <c r="D6364" s="2889" t="s">
        <v>1105</v>
      </c>
      <c r="E6364" s="2889" t="s">
        <v>1426</v>
      </c>
      <c r="F6364" s="2890">
        <v>5.7979484059478784E-3</v>
      </c>
      <c r="G6364" s="2890">
        <v>166.15941357230355</v>
      </c>
    </row>
    <row r="6365" spans="2:7" ht="15" hidden="1" outlineLevel="2">
      <c r="B6365" s="2889" t="s">
        <v>1632</v>
      </c>
      <c r="C6365" s="2889" t="s">
        <v>1465</v>
      </c>
      <c r="D6365" s="2889" t="s">
        <v>1105</v>
      </c>
      <c r="E6365" s="2889" t="s">
        <v>1426</v>
      </c>
      <c r="F6365" s="3040"/>
      <c r="G6365" s="2890">
        <v>254.15581983890581</v>
      </c>
    </row>
    <row r="6366" spans="2:7" ht="15" hidden="1" outlineLevel="2">
      <c r="B6366" s="2889" t="s">
        <v>1633</v>
      </c>
      <c r="C6366" s="2889" t="s">
        <v>1465</v>
      </c>
      <c r="D6366" s="2889" t="s">
        <v>1105</v>
      </c>
      <c r="E6366" s="2889" t="s">
        <v>1426</v>
      </c>
      <c r="F6366" s="3040"/>
      <c r="G6366" s="2890">
        <v>9.329135801951951</v>
      </c>
    </row>
    <row r="6367" spans="2:7" ht="15" hidden="1" outlineLevel="2">
      <c r="B6367" s="2889" t="s">
        <v>1634</v>
      </c>
      <c r="C6367" s="2889" t="s">
        <v>1465</v>
      </c>
      <c r="D6367" s="2889" t="s">
        <v>1105</v>
      </c>
      <c r="E6367" s="2889" t="s">
        <v>1426</v>
      </c>
      <c r="F6367" s="3040"/>
      <c r="G6367" s="2890">
        <v>6.5556071528947273</v>
      </c>
    </row>
    <row r="6368" spans="2:7" ht="15" hidden="1" outlineLevel="2">
      <c r="B6368" s="2889" t="s">
        <v>1635</v>
      </c>
      <c r="C6368" s="2889" t="s">
        <v>1465</v>
      </c>
      <c r="D6368" s="2889" t="s">
        <v>1105</v>
      </c>
      <c r="E6368" s="2889" t="s">
        <v>1426</v>
      </c>
      <c r="F6368" s="3040"/>
      <c r="G6368" s="2890">
        <v>41.855032600512956</v>
      </c>
    </row>
    <row r="6369" spans="2:7" ht="15" hidden="1" outlineLevel="2">
      <c r="B6369" s="2889" t="s">
        <v>1636</v>
      </c>
      <c r="C6369" s="2889" t="s">
        <v>1465</v>
      </c>
      <c r="D6369" s="2889" t="s">
        <v>1105</v>
      </c>
      <c r="E6369" s="2889" t="s">
        <v>1426</v>
      </c>
      <c r="F6369" s="3040"/>
      <c r="G6369" s="2890">
        <v>16.136882733126861</v>
      </c>
    </row>
    <row r="6370" spans="2:7" ht="15" hidden="1" outlineLevel="2">
      <c r="B6370" s="2889" t="s">
        <v>1637</v>
      </c>
      <c r="C6370" s="2889" t="s">
        <v>1465</v>
      </c>
      <c r="D6370" s="2889" t="s">
        <v>1105</v>
      </c>
      <c r="E6370" s="2889" t="s">
        <v>1426</v>
      </c>
      <c r="F6370" s="3040"/>
      <c r="G6370" s="2890">
        <v>19.16254408592577</v>
      </c>
    </row>
    <row r="6371" spans="2:7" ht="15" hidden="1" outlineLevel="2">
      <c r="B6371" s="2889" t="s">
        <v>1638</v>
      </c>
      <c r="C6371" s="2889" t="s">
        <v>1465</v>
      </c>
      <c r="D6371" s="2889" t="s">
        <v>1105</v>
      </c>
      <c r="E6371" s="2889" t="s">
        <v>1426</v>
      </c>
      <c r="F6371" s="2891"/>
      <c r="G6371" s="2890">
        <v>11.850521449572073</v>
      </c>
    </row>
    <row r="6372" spans="2:7" ht="15" hidden="1" outlineLevel="2">
      <c r="B6372" s="2889" t="s">
        <v>1639</v>
      </c>
      <c r="C6372" s="2889" t="s">
        <v>1465</v>
      </c>
      <c r="D6372" s="2889" t="s">
        <v>1105</v>
      </c>
      <c r="E6372" s="2889" t="s">
        <v>1426</v>
      </c>
      <c r="F6372" s="2891"/>
      <c r="G6372" s="2890">
        <v>59.000459302741575</v>
      </c>
    </row>
    <row r="6373" spans="2:7" ht="15" hidden="1" outlineLevel="2">
      <c r="B6373" s="2889" t="s">
        <v>1640</v>
      </c>
      <c r="C6373" s="2889" t="s">
        <v>1465</v>
      </c>
      <c r="D6373" s="2889" t="s">
        <v>1105</v>
      </c>
      <c r="E6373" s="2889" t="s">
        <v>1426</v>
      </c>
      <c r="F6373" s="2891"/>
      <c r="G6373" s="2890">
        <v>8.8248573131628305</v>
      </c>
    </row>
    <row r="6374" spans="2:7" ht="15" hidden="1" outlineLevel="2">
      <c r="B6374" s="2889" t="s">
        <v>1641</v>
      </c>
      <c r="C6374" s="2889" t="s">
        <v>1465</v>
      </c>
      <c r="D6374" s="2889" t="s">
        <v>1105</v>
      </c>
      <c r="E6374" s="2889" t="s">
        <v>1426</v>
      </c>
      <c r="F6374" s="2891"/>
      <c r="G6374" s="2890">
        <v>56.731206658947208</v>
      </c>
    </row>
    <row r="6375" spans="2:7" ht="15" hidden="1" outlineLevel="2">
      <c r="B6375" s="2889" t="s">
        <v>1642</v>
      </c>
      <c r="C6375" s="2889" t="s">
        <v>1465</v>
      </c>
      <c r="D6375" s="2889" t="s">
        <v>1105</v>
      </c>
      <c r="E6375" s="2889" t="s">
        <v>1426</v>
      </c>
      <c r="F6375" s="2891"/>
      <c r="G6375" s="2890">
        <v>150.77900616723082</v>
      </c>
    </row>
    <row r="6376" spans="2:7" ht="15" hidden="1" outlineLevel="2">
      <c r="B6376" s="2889" t="s">
        <v>1643</v>
      </c>
      <c r="C6376" s="2889" t="s">
        <v>1465</v>
      </c>
      <c r="D6376" s="2889" t="s">
        <v>1105</v>
      </c>
      <c r="E6376" s="2889" t="s">
        <v>1426</v>
      </c>
      <c r="F6376" s="2891"/>
      <c r="G6376" s="2890">
        <v>9.3348530011260564</v>
      </c>
    </row>
    <row r="6377" spans="2:7" ht="15" hidden="1" outlineLevel="2">
      <c r="B6377" s="2889" t="s">
        <v>1644</v>
      </c>
      <c r="C6377" s="2889" t="s">
        <v>1465</v>
      </c>
      <c r="D6377" s="2889" t="s">
        <v>1105</v>
      </c>
      <c r="E6377" s="2889" t="s">
        <v>1426</v>
      </c>
      <c r="F6377" s="2891"/>
      <c r="G6377" s="2890">
        <v>222.13421905272094</v>
      </c>
    </row>
    <row r="6378" spans="2:7" ht="15" hidden="1" outlineLevel="2">
      <c r="B6378" s="2889" t="s">
        <v>1645</v>
      </c>
      <c r="C6378" s="2889" t="s">
        <v>1465</v>
      </c>
      <c r="D6378" s="2889" t="s">
        <v>1105</v>
      </c>
      <c r="E6378" s="2889" t="s">
        <v>1426</v>
      </c>
      <c r="F6378" s="2891"/>
      <c r="G6378" s="2890">
        <v>169.68934005574718</v>
      </c>
    </row>
    <row r="6379" spans="2:7" ht="15" hidden="1" outlineLevel="2">
      <c r="B6379" s="2889" t="s">
        <v>1646</v>
      </c>
      <c r="C6379" s="2889" t="s">
        <v>1465</v>
      </c>
      <c r="D6379" s="2889" t="s">
        <v>1105</v>
      </c>
      <c r="E6379" s="2889" t="s">
        <v>1426</v>
      </c>
      <c r="F6379" s="2891"/>
      <c r="G6379" s="2890">
        <v>19.918962585036532</v>
      </c>
    </row>
    <row r="6380" spans="2:7" ht="15" hidden="1" outlineLevel="2">
      <c r="B6380" s="2889" t="s">
        <v>1647</v>
      </c>
      <c r="C6380" s="2889" t="s">
        <v>1465</v>
      </c>
      <c r="D6380" s="2889" t="s">
        <v>1105</v>
      </c>
      <c r="E6380" s="2889" t="s">
        <v>1426</v>
      </c>
      <c r="F6380" s="2891"/>
      <c r="G6380" s="2890">
        <v>9.0769967728903111</v>
      </c>
    </row>
    <row r="6381" spans="2:7" ht="15" hidden="1" outlineLevel="2">
      <c r="B6381" s="2889" t="s">
        <v>1648</v>
      </c>
      <c r="C6381" s="2889" t="s">
        <v>1465</v>
      </c>
      <c r="D6381" s="2889" t="s">
        <v>1105</v>
      </c>
      <c r="E6381" s="2889" t="s">
        <v>1426</v>
      </c>
      <c r="F6381" s="3040"/>
      <c r="G6381" s="2890">
        <v>3.7820802762731436</v>
      </c>
    </row>
    <row r="6382" spans="2:7" ht="15" hidden="1" outlineLevel="2">
      <c r="B6382" s="2889" t="s">
        <v>1649</v>
      </c>
      <c r="C6382" s="2889" t="s">
        <v>1465</v>
      </c>
      <c r="D6382" s="2889" t="s">
        <v>1105</v>
      </c>
      <c r="E6382" s="2889" t="s">
        <v>1426</v>
      </c>
      <c r="F6382" s="3040"/>
      <c r="G6382" s="2890">
        <v>16.893296173503671</v>
      </c>
    </row>
    <row r="6383" spans="2:7" ht="15" hidden="1" outlineLevel="2">
      <c r="B6383" s="2889" t="s">
        <v>1650</v>
      </c>
      <c r="C6383" s="2889" t="s">
        <v>1465</v>
      </c>
      <c r="D6383" s="2889" t="s">
        <v>1105</v>
      </c>
      <c r="E6383" s="2889" t="s">
        <v>1426</v>
      </c>
      <c r="F6383" s="2891"/>
      <c r="G6383" s="2890">
        <v>38.072962253561748</v>
      </c>
    </row>
    <row r="6384" spans="2:7" ht="15" hidden="1" outlineLevel="2">
      <c r="B6384" s="2889" t="s">
        <v>1651</v>
      </c>
      <c r="C6384" s="2889" t="s">
        <v>1465</v>
      </c>
      <c r="D6384" s="2889" t="s">
        <v>1105</v>
      </c>
      <c r="E6384" s="2889" t="s">
        <v>1426</v>
      </c>
      <c r="F6384" s="3040"/>
      <c r="G6384" s="2890">
        <v>33.030173560982064</v>
      </c>
    </row>
    <row r="6385" spans="2:7" ht="15" hidden="1" outlineLevel="2">
      <c r="B6385" s="2889" t="s">
        <v>1652</v>
      </c>
      <c r="C6385" s="2889" t="s">
        <v>1465</v>
      </c>
      <c r="D6385" s="2889" t="s">
        <v>1105</v>
      </c>
      <c r="E6385" s="2889" t="s">
        <v>1426</v>
      </c>
      <c r="F6385" s="3040"/>
      <c r="G6385" s="2890">
        <v>20.675376971111305</v>
      </c>
    </row>
    <row r="6386" spans="2:7" ht="15" hidden="1" outlineLevel="2">
      <c r="B6386" s="2889" t="s">
        <v>1653</v>
      </c>
      <c r="C6386" s="2889" t="s">
        <v>1465</v>
      </c>
      <c r="D6386" s="2889" t="s">
        <v>1105</v>
      </c>
      <c r="E6386" s="2889" t="s">
        <v>1426</v>
      </c>
      <c r="F6386" s="3040"/>
      <c r="G6386" s="2890">
        <v>160.36022166420429</v>
      </c>
    </row>
    <row r="6387" spans="2:7" ht="15" outlineLevel="1" collapsed="1">
      <c r="B6387" s="2889"/>
      <c r="C6387" s="2889"/>
      <c r="D6387" s="3042" t="s">
        <v>1689</v>
      </c>
      <c r="E6387" s="2889"/>
      <c r="F6387" s="3040">
        <f>SUBTOTAL(9,F5763:F6386)</f>
        <v>229.53561288648498</v>
      </c>
      <c r="G6387" s="2890">
        <f>SUBTOTAL(9,G5763:G6386)</f>
        <v>298379.76240244025</v>
      </c>
    </row>
    <row r="6388" spans="2:7" ht="15" hidden="1" outlineLevel="2">
      <c r="B6388" s="2889" t="s">
        <v>1407</v>
      </c>
      <c r="C6388" s="2889" t="s">
        <v>1466</v>
      </c>
      <c r="D6388" s="2889" t="s">
        <v>1054</v>
      </c>
      <c r="E6388" s="2889" t="s">
        <v>217</v>
      </c>
      <c r="F6388" s="2890">
        <v>6.6142066426953796E-3</v>
      </c>
      <c r="G6388" s="2890">
        <v>4.0781214534397945</v>
      </c>
    </row>
    <row r="6389" spans="2:7" ht="15" hidden="1" outlineLevel="2">
      <c r="B6389" s="2889" t="s">
        <v>1631</v>
      </c>
      <c r="C6389" s="2889" t="s">
        <v>1466</v>
      </c>
      <c r="D6389" s="2889" t="s">
        <v>1054</v>
      </c>
      <c r="E6389" s="2889" t="s">
        <v>217</v>
      </c>
      <c r="F6389" s="2890">
        <v>0.10993362970885104</v>
      </c>
      <c r="G6389" s="2890">
        <v>67.675765490648899</v>
      </c>
    </row>
    <row r="6390" spans="2:7" ht="15" hidden="1" outlineLevel="2">
      <c r="B6390" s="2889" t="s">
        <v>1632</v>
      </c>
      <c r="C6390" s="2889" t="s">
        <v>1466</v>
      </c>
      <c r="D6390" s="2889" t="s">
        <v>1054</v>
      </c>
      <c r="E6390" s="2889" t="s">
        <v>217</v>
      </c>
      <c r="F6390" s="2890">
        <v>0.25423180037772825</v>
      </c>
      <c r="G6390" s="2890">
        <v>156.75842373389</v>
      </c>
    </row>
    <row r="6391" spans="2:7" ht="15" hidden="1" outlineLevel="2">
      <c r="B6391" s="2889" t="s">
        <v>1633</v>
      </c>
      <c r="C6391" s="2889" t="s">
        <v>1466</v>
      </c>
      <c r="D6391" s="2889" t="s">
        <v>1054</v>
      </c>
      <c r="E6391" s="2889" t="s">
        <v>217</v>
      </c>
      <c r="F6391" s="2890">
        <v>2.0631445284043697E-2</v>
      </c>
      <c r="G6391" s="2890">
        <v>12.721273690325667</v>
      </c>
    </row>
    <row r="6392" spans="2:7" ht="15" hidden="1" outlineLevel="2">
      <c r="B6392" s="2889" t="s">
        <v>1634</v>
      </c>
      <c r="C6392" s="2889" t="s">
        <v>1466</v>
      </c>
      <c r="D6392" s="2889" t="s">
        <v>1054</v>
      </c>
      <c r="E6392" s="2889" t="s">
        <v>217</v>
      </c>
      <c r="F6392" s="2890">
        <v>3.8241466601556108E-3</v>
      </c>
      <c r="G6392" s="2890">
        <v>2.35785193736552</v>
      </c>
    </row>
    <row r="6393" spans="2:7" ht="15" hidden="1" outlineLevel="2">
      <c r="B6393" s="2889" t="s">
        <v>1635</v>
      </c>
      <c r="C6393" s="2889" t="s">
        <v>1466</v>
      </c>
      <c r="D6393" s="2889" t="s">
        <v>1054</v>
      </c>
      <c r="E6393" s="2889" t="s">
        <v>217</v>
      </c>
      <c r="F6393" s="2890">
        <v>3.2254060077489016E-2</v>
      </c>
      <c r="G6393" s="2890">
        <v>19.887731334232267</v>
      </c>
    </row>
    <row r="6394" spans="2:7" ht="15" hidden="1" outlineLevel="2">
      <c r="B6394" s="2889" t="s">
        <v>1636</v>
      </c>
      <c r="C6394" s="2889" t="s">
        <v>1466</v>
      </c>
      <c r="D6394" s="2889" t="s">
        <v>1054</v>
      </c>
      <c r="E6394" s="2889" t="s">
        <v>217</v>
      </c>
      <c r="F6394" s="2890">
        <v>2.831409721607598E-2</v>
      </c>
      <c r="G6394" s="2890">
        <v>17.458386212742795</v>
      </c>
    </row>
    <row r="6395" spans="2:7" ht="15" hidden="1" outlineLevel="2">
      <c r="B6395" s="2889" t="s">
        <v>1637</v>
      </c>
      <c r="C6395" s="2889" t="s">
        <v>1466</v>
      </c>
      <c r="D6395" s="2889" t="s">
        <v>1054</v>
      </c>
      <c r="E6395" s="2889" t="s">
        <v>217</v>
      </c>
      <c r="F6395" s="2890">
        <v>4.7023004921730199E-2</v>
      </c>
      <c r="G6395" s="2890">
        <v>28.994252933285665</v>
      </c>
    </row>
    <row r="6396" spans="2:7" ht="15" hidden="1" outlineLevel="2">
      <c r="B6396" s="2889" t="s">
        <v>1638</v>
      </c>
      <c r="C6396" s="2889" t="s">
        <v>1466</v>
      </c>
      <c r="D6396" s="2889" t="s">
        <v>1054</v>
      </c>
      <c r="E6396" s="2889" t="s">
        <v>217</v>
      </c>
      <c r="F6396" s="2890">
        <v>6.1381652320116314E-3</v>
      </c>
      <c r="G6396" s="2890">
        <v>3.7846042591765872</v>
      </c>
    </row>
    <row r="6397" spans="2:7" ht="15" hidden="1" outlineLevel="2">
      <c r="B6397" s="2889" t="s">
        <v>1639</v>
      </c>
      <c r="C6397" s="2889" t="s">
        <v>1466</v>
      </c>
      <c r="D6397" s="2889" t="s">
        <v>1054</v>
      </c>
      <c r="E6397" s="2889" t="s">
        <v>217</v>
      </c>
      <c r="F6397" s="2890">
        <v>5.6432016791064001E-2</v>
      </c>
      <c r="G6397" s="2890">
        <v>34.79579389867969</v>
      </c>
    </row>
    <row r="6398" spans="2:7" ht="15" hidden="1" outlineLevel="2">
      <c r="B6398" s="2889" t="s">
        <v>1640</v>
      </c>
      <c r="C6398" s="2889" t="s">
        <v>1466</v>
      </c>
      <c r="D6398" s="2889" t="s">
        <v>1054</v>
      </c>
      <c r="E6398" s="2889" t="s">
        <v>217</v>
      </c>
      <c r="F6398" s="2890">
        <v>1.32682386388562E-2</v>
      </c>
      <c r="G6398" s="2890">
        <v>8.1807958750023744</v>
      </c>
    </row>
    <row r="6399" spans="2:7" ht="15" hidden="1" outlineLevel="2">
      <c r="B6399" s="2889" t="s">
        <v>1641</v>
      </c>
      <c r="C6399" s="2889" t="s">
        <v>1466</v>
      </c>
      <c r="D6399" s="2889" t="s">
        <v>1054</v>
      </c>
      <c r="E6399" s="2889" t="s">
        <v>217</v>
      </c>
      <c r="F6399" s="2890">
        <v>6.7961842942288839E-2</v>
      </c>
      <c r="G6399" s="2890">
        <v>41.904982176211163</v>
      </c>
    </row>
    <row r="6400" spans="2:7" ht="15" hidden="1" outlineLevel="2">
      <c r="B6400" s="2889" t="s">
        <v>1642</v>
      </c>
      <c r="C6400" s="2889" t="s">
        <v>1466</v>
      </c>
      <c r="D6400" s="2889" t="s">
        <v>1054</v>
      </c>
      <c r="E6400" s="2889" t="s">
        <v>217</v>
      </c>
      <c r="F6400" s="2890">
        <v>4.9618769245660173E-2</v>
      </c>
      <c r="G6400" s="2890">
        <v>30.59442219638921</v>
      </c>
    </row>
    <row r="6401" spans="2:7" ht="15" hidden="1" outlineLevel="2">
      <c r="B6401" s="2889" t="s">
        <v>1643</v>
      </c>
      <c r="C6401" s="2889" t="s">
        <v>1466</v>
      </c>
      <c r="D6401" s="2889" t="s">
        <v>1054</v>
      </c>
      <c r="E6401" s="2889" t="s">
        <v>217</v>
      </c>
      <c r="F6401" s="2890">
        <v>7.2120705077942469E-3</v>
      </c>
      <c r="G6401" s="2890">
        <v>4.4471078879485164</v>
      </c>
    </row>
    <row r="6402" spans="2:7" ht="15" hidden="1" outlineLevel="2">
      <c r="B6402" s="2889" t="s">
        <v>1644</v>
      </c>
      <c r="C6402" s="2889" t="s">
        <v>1466</v>
      </c>
      <c r="D6402" s="2889" t="s">
        <v>1054</v>
      </c>
      <c r="E6402" s="2889" t="s">
        <v>217</v>
      </c>
      <c r="F6402" s="2890">
        <v>0.15879187237622408</v>
      </c>
      <c r="G6402" s="2890">
        <v>97.91055057553001</v>
      </c>
    </row>
    <row r="6403" spans="2:7" ht="15" hidden="1" outlineLevel="2">
      <c r="B6403" s="2889" t="s">
        <v>1645</v>
      </c>
      <c r="C6403" s="2889" t="s">
        <v>1466</v>
      </c>
      <c r="D6403" s="2889" t="s">
        <v>1054</v>
      </c>
      <c r="E6403" s="2889" t="s">
        <v>217</v>
      </c>
      <c r="F6403" s="2890">
        <v>0.18134529092924773</v>
      </c>
      <c r="G6403" s="2890">
        <v>111.81691434088999</v>
      </c>
    </row>
    <row r="6404" spans="2:7" ht="15" hidden="1" outlineLevel="2">
      <c r="B6404" s="2889" t="s">
        <v>1646</v>
      </c>
      <c r="C6404" s="2889" t="s">
        <v>1466</v>
      </c>
      <c r="D6404" s="2889" t="s">
        <v>1054</v>
      </c>
      <c r="E6404" s="2889" t="s">
        <v>217</v>
      </c>
      <c r="F6404" s="2890">
        <v>1.0604619274059066E-2</v>
      </c>
      <c r="G6404" s="2890">
        <v>6.5387739529594233</v>
      </c>
    </row>
    <row r="6405" spans="2:7" ht="15" hidden="1" outlineLevel="2">
      <c r="B6405" s="2889" t="s">
        <v>1647</v>
      </c>
      <c r="C6405" s="2889" t="s">
        <v>1466</v>
      </c>
      <c r="D6405" s="2889" t="s">
        <v>1054</v>
      </c>
      <c r="E6405" s="2889" t="s">
        <v>217</v>
      </c>
      <c r="F6405" s="3039">
        <v>2.6472402191234014E-2</v>
      </c>
      <c r="G6405" s="2890">
        <v>16.322078259626778</v>
      </c>
    </row>
    <row r="6406" spans="2:7" ht="15" hidden="1" outlineLevel="2">
      <c r="B6406" s="2889" t="s">
        <v>1648</v>
      </c>
      <c r="C6406" s="2889" t="s">
        <v>1466</v>
      </c>
      <c r="D6406" s="2889" t="s">
        <v>1054</v>
      </c>
      <c r="E6406" s="2889" t="s">
        <v>217</v>
      </c>
      <c r="F6406" s="3039">
        <v>2.9678647239818096E-3</v>
      </c>
      <c r="G6406" s="2890">
        <v>1.8298959194922924</v>
      </c>
    </row>
    <row r="6407" spans="2:7" ht="15" hidden="1" outlineLevel="2">
      <c r="B6407" s="2889" t="s">
        <v>1649</v>
      </c>
      <c r="C6407" s="2889" t="s">
        <v>1466</v>
      </c>
      <c r="D6407" s="2889" t="s">
        <v>1054</v>
      </c>
      <c r="E6407" s="2889" t="s">
        <v>217</v>
      </c>
      <c r="F6407" s="3039">
        <v>1.407748781196686E-2</v>
      </c>
      <c r="G6407" s="2890">
        <v>8.6797465434181333</v>
      </c>
    </row>
    <row r="6408" spans="2:7" ht="15" hidden="1" outlineLevel="2">
      <c r="B6408" s="2889" t="s">
        <v>1650</v>
      </c>
      <c r="C6408" s="2889" t="s">
        <v>1466</v>
      </c>
      <c r="D6408" s="2889" t="s">
        <v>1054</v>
      </c>
      <c r="E6408" s="2889" t="s">
        <v>217</v>
      </c>
      <c r="F6408" s="3039">
        <v>3.517318137833534E-2</v>
      </c>
      <c r="G6408" s="2890">
        <v>21.686718417543439</v>
      </c>
    </row>
    <row r="6409" spans="2:7" ht="15" hidden="1" outlineLevel="2">
      <c r="B6409" s="2889" t="s">
        <v>1651</v>
      </c>
      <c r="C6409" s="2889" t="s">
        <v>1466</v>
      </c>
      <c r="D6409" s="2889" t="s">
        <v>1054</v>
      </c>
      <c r="E6409" s="2889" t="s">
        <v>217</v>
      </c>
      <c r="F6409" s="3039">
        <v>1.9244278157094008E-2</v>
      </c>
      <c r="G6409" s="2890">
        <v>11.865440688714433</v>
      </c>
    </row>
    <row r="6410" spans="2:7" ht="15" hidden="1" outlineLevel="2">
      <c r="B6410" s="2889" t="s">
        <v>1652</v>
      </c>
      <c r="C6410" s="2889" t="s">
        <v>1466</v>
      </c>
      <c r="D6410" s="2889" t="s">
        <v>1054</v>
      </c>
      <c r="E6410" s="2889" t="s">
        <v>217</v>
      </c>
      <c r="F6410" s="3039">
        <v>2.1131908312469021E-2</v>
      </c>
      <c r="G6410" s="2890">
        <v>13.029291131872442</v>
      </c>
    </row>
    <row r="6411" spans="2:7" ht="15" hidden="1" outlineLevel="2">
      <c r="B6411" s="2889" t="s">
        <v>1653</v>
      </c>
      <c r="C6411" s="2889" t="s">
        <v>1466</v>
      </c>
      <c r="D6411" s="2889" t="s">
        <v>1054</v>
      </c>
      <c r="E6411" s="2889" t="s">
        <v>217</v>
      </c>
      <c r="F6411" s="2890">
        <v>3.5412565478112333E-32</v>
      </c>
      <c r="G6411" s="2890">
        <v>2.1835275101326463E-29</v>
      </c>
    </row>
    <row r="6412" spans="2:7" ht="15" hidden="1" outlineLevel="2">
      <c r="B6412" s="2889" t="s">
        <v>1407</v>
      </c>
      <c r="C6412" s="2889" t="s">
        <v>1467</v>
      </c>
      <c r="D6412" s="2889" t="s">
        <v>1054</v>
      </c>
      <c r="E6412" s="2889" t="s">
        <v>217</v>
      </c>
      <c r="F6412" s="2890">
        <v>5.4662198972995637E-4</v>
      </c>
      <c r="G6412" s="2890">
        <v>0.26449728365327957</v>
      </c>
    </row>
    <row r="6413" spans="2:7" ht="15" hidden="1" outlineLevel="2">
      <c r="B6413" s="2889" t="s">
        <v>1631</v>
      </c>
      <c r="C6413" s="2889" t="s">
        <v>1467</v>
      </c>
      <c r="D6413" s="2889" t="s">
        <v>1054</v>
      </c>
      <c r="E6413" s="2889" t="s">
        <v>217</v>
      </c>
      <c r="F6413" s="2890">
        <v>9.0853139453660504E-3</v>
      </c>
      <c r="G6413" s="2890">
        <v>4.3892895127946501</v>
      </c>
    </row>
    <row r="6414" spans="2:7" ht="15" hidden="1" outlineLevel="2">
      <c r="B6414" s="2889" t="s">
        <v>1632</v>
      </c>
      <c r="C6414" s="2889" t="s">
        <v>1467</v>
      </c>
      <c r="D6414" s="2889" t="s">
        <v>1054</v>
      </c>
      <c r="E6414" s="2889" t="s">
        <v>217</v>
      </c>
      <c r="F6414" s="2890">
        <v>2.101064081655047E-2</v>
      </c>
      <c r="G6414" s="2890">
        <v>10.166973271129594</v>
      </c>
    </row>
    <row r="6415" spans="2:7" ht="15" hidden="1" outlineLevel="2">
      <c r="B6415" s="2889" t="s">
        <v>1633</v>
      </c>
      <c r="C6415" s="2889" t="s">
        <v>1467</v>
      </c>
      <c r="D6415" s="2889" t="s">
        <v>1054</v>
      </c>
      <c r="E6415" s="2889" t="s">
        <v>217</v>
      </c>
      <c r="F6415" s="2890">
        <v>1.7050567190388078E-3</v>
      </c>
      <c r="G6415" s="2890">
        <v>0.82507144090894846</v>
      </c>
    </row>
    <row r="6416" spans="2:7" ht="15" hidden="1" outlineLevel="2">
      <c r="B6416" s="2889" t="s">
        <v>1634</v>
      </c>
      <c r="C6416" s="2889" t="s">
        <v>1467</v>
      </c>
      <c r="D6416" s="2889" t="s">
        <v>1054</v>
      </c>
      <c r="E6416" s="2889" t="s">
        <v>217</v>
      </c>
      <c r="F6416" s="2890">
        <v>3.1604112825400006E-4</v>
      </c>
      <c r="G6416" s="2890">
        <v>0.15292472094797713</v>
      </c>
    </row>
    <row r="6417" spans="2:7" ht="15" hidden="1" outlineLevel="2">
      <c r="B6417" s="2889" t="s">
        <v>1635</v>
      </c>
      <c r="C6417" s="2889" t="s">
        <v>1467</v>
      </c>
      <c r="D6417" s="2889" t="s">
        <v>1054</v>
      </c>
      <c r="E6417" s="2889" t="s">
        <v>217</v>
      </c>
      <c r="F6417" s="2890">
        <v>2.6655918382907213E-3</v>
      </c>
      <c r="G6417" s="2890">
        <v>1.2898718591712275</v>
      </c>
    </row>
    <row r="6418" spans="2:7" ht="15" hidden="1" outlineLevel="2">
      <c r="B6418" s="2889" t="s">
        <v>1636</v>
      </c>
      <c r="C6418" s="2889" t="s">
        <v>1467</v>
      </c>
      <c r="D6418" s="2889" t="s">
        <v>1054</v>
      </c>
      <c r="E6418" s="2889" t="s">
        <v>217</v>
      </c>
      <c r="F6418" s="2890">
        <v>2.3399820483735166E-3</v>
      </c>
      <c r="G6418" s="2890">
        <v>1.1323096956475525</v>
      </c>
    </row>
    <row r="6419" spans="2:7" ht="15" hidden="1" outlineLevel="2">
      <c r="B6419" s="2889" t="s">
        <v>1637</v>
      </c>
      <c r="C6419" s="2889" t="s">
        <v>1467</v>
      </c>
      <c r="D6419" s="2889" t="s">
        <v>1054</v>
      </c>
      <c r="E6419" s="2889" t="s">
        <v>217</v>
      </c>
      <c r="F6419" s="2890">
        <v>3.8861550060538558E-3</v>
      </c>
      <c r="G6419" s="2890">
        <v>1.8804986909237289</v>
      </c>
    </row>
    <row r="6420" spans="2:7" ht="15" hidden="1" outlineLevel="2">
      <c r="B6420" s="2889" t="s">
        <v>1638</v>
      </c>
      <c r="C6420" s="2889" t="s">
        <v>1467</v>
      </c>
      <c r="D6420" s="2889" t="s">
        <v>1054</v>
      </c>
      <c r="E6420" s="2889" t="s">
        <v>217</v>
      </c>
      <c r="F6420" s="2890">
        <v>5.0728000224050187E-4</v>
      </c>
      <c r="G6420" s="2890">
        <v>0.24546074132132004</v>
      </c>
    </row>
    <row r="6421" spans="2:7" ht="15" hidden="1" outlineLevel="2">
      <c r="B6421" s="2889" t="s">
        <v>1639</v>
      </c>
      <c r="C6421" s="2889" t="s">
        <v>1467</v>
      </c>
      <c r="D6421" s="2889" t="s">
        <v>1054</v>
      </c>
      <c r="E6421" s="2889" t="s">
        <v>217</v>
      </c>
      <c r="F6421" s="2890">
        <v>4.6637487505090044E-3</v>
      </c>
      <c r="G6421" s="2890">
        <v>2.2567726403499706</v>
      </c>
    </row>
    <row r="6422" spans="2:7" ht="15" hidden="1" outlineLevel="2">
      <c r="B6422" s="2889" t="s">
        <v>1640</v>
      </c>
      <c r="C6422" s="2889" t="s">
        <v>1467</v>
      </c>
      <c r="D6422" s="2889" t="s">
        <v>1054</v>
      </c>
      <c r="E6422" s="2889" t="s">
        <v>217</v>
      </c>
      <c r="F6422" s="2890">
        <v>1.0965351104998881E-3</v>
      </c>
      <c r="G6422" s="2890">
        <v>0.5305870703047566</v>
      </c>
    </row>
    <row r="6423" spans="2:7" ht="15" hidden="1" outlineLevel="2">
      <c r="B6423" s="2889" t="s">
        <v>1641</v>
      </c>
      <c r="C6423" s="2889" t="s">
        <v>1467</v>
      </c>
      <c r="D6423" s="2889" t="s">
        <v>1054</v>
      </c>
      <c r="E6423" s="2889" t="s">
        <v>217</v>
      </c>
      <c r="F6423" s="2890">
        <v>5.6166115686636583E-3</v>
      </c>
      <c r="G6423" s="2890">
        <v>2.7178603956773437</v>
      </c>
    </row>
    <row r="6424" spans="2:7" ht="15" hidden="1" outlineLevel="2">
      <c r="B6424" s="2889" t="s">
        <v>1642</v>
      </c>
      <c r="C6424" s="2889" t="s">
        <v>1467</v>
      </c>
      <c r="D6424" s="2889" t="s">
        <v>1054</v>
      </c>
      <c r="E6424" s="2889" t="s">
        <v>217</v>
      </c>
      <c r="F6424" s="2890">
        <v>4.100675207601834E-3</v>
      </c>
      <c r="G6424" s="2890">
        <v>1.950838716154796</v>
      </c>
    </row>
    <row r="6425" spans="2:7" ht="15" hidden="1" outlineLevel="2">
      <c r="B6425" s="2889" t="s">
        <v>1643</v>
      </c>
      <c r="C6425" s="2889" t="s">
        <v>1467</v>
      </c>
      <c r="D6425" s="2889" t="s">
        <v>1054</v>
      </c>
      <c r="E6425" s="2889" t="s">
        <v>217</v>
      </c>
      <c r="F6425" s="2890">
        <v>5.960318728065638E-4</v>
      </c>
      <c r="G6425" s="2890">
        <v>0.28842900913736824</v>
      </c>
    </row>
    <row r="6426" spans="2:7" ht="15" hidden="1" outlineLevel="2">
      <c r="B6426" s="2889" t="s">
        <v>1644</v>
      </c>
      <c r="C6426" s="2889" t="s">
        <v>1467</v>
      </c>
      <c r="D6426" s="2889" t="s">
        <v>1054</v>
      </c>
      <c r="E6426" s="2889" t="s">
        <v>217</v>
      </c>
      <c r="F6426" s="2890">
        <v>1.3123134057555816E-2</v>
      </c>
      <c r="G6426" s="2890">
        <v>6.3502453908605618</v>
      </c>
    </row>
    <row r="6427" spans="2:7" ht="15" hidden="1" outlineLevel="2">
      <c r="B6427" s="2889" t="s">
        <v>1645</v>
      </c>
      <c r="C6427" s="2889" t="s">
        <v>1467</v>
      </c>
      <c r="D6427" s="2889" t="s">
        <v>1054</v>
      </c>
      <c r="E6427" s="2889" t="s">
        <v>217</v>
      </c>
      <c r="F6427" s="2890">
        <v>1.4987029963989262E-2</v>
      </c>
      <c r="G6427" s="2890">
        <v>7.2521749093737817</v>
      </c>
    </row>
    <row r="6428" spans="2:7" ht="15" hidden="1" outlineLevel="2">
      <c r="B6428" s="2889" t="s">
        <v>1646</v>
      </c>
      <c r="C6428" s="2889" t="s">
        <v>1467</v>
      </c>
      <c r="D6428" s="2889" t="s">
        <v>1054</v>
      </c>
      <c r="E6428" s="2889" t="s">
        <v>217</v>
      </c>
      <c r="F6428" s="2890">
        <v>8.7640416714515081E-4</v>
      </c>
      <c r="G6428" s="2890">
        <v>0.42408910148486262</v>
      </c>
    </row>
    <row r="6429" spans="2:7" ht="15" hidden="1" outlineLevel="2">
      <c r="B6429" s="2889" t="s">
        <v>1647</v>
      </c>
      <c r="C6429" s="2889" t="s">
        <v>1467</v>
      </c>
      <c r="D6429" s="2889" t="s">
        <v>1054</v>
      </c>
      <c r="E6429" s="2889" t="s">
        <v>217</v>
      </c>
      <c r="F6429" s="2890">
        <v>2.1877739589571546E-3</v>
      </c>
      <c r="G6429" s="2890">
        <v>1.0586112153629859</v>
      </c>
    </row>
    <row r="6430" spans="2:7" ht="15" hidden="1" outlineLevel="2">
      <c r="B6430" s="2889" t="s">
        <v>1648</v>
      </c>
      <c r="C6430" s="2889" t="s">
        <v>1467</v>
      </c>
      <c r="D6430" s="2889" t="s">
        <v>1054</v>
      </c>
      <c r="E6430" s="2889" t="s">
        <v>217</v>
      </c>
      <c r="F6430" s="2890">
        <v>2.4527519442586764E-4</v>
      </c>
      <c r="G6430" s="2890">
        <v>0.11868275617538034</v>
      </c>
    </row>
    <row r="6431" spans="2:7" ht="15" hidden="1" outlineLevel="2">
      <c r="B6431" s="2889" t="s">
        <v>1649</v>
      </c>
      <c r="C6431" s="2889" t="s">
        <v>1467</v>
      </c>
      <c r="D6431" s="2889" t="s">
        <v>1054</v>
      </c>
      <c r="E6431" s="2889" t="s">
        <v>217</v>
      </c>
      <c r="F6431" s="2890">
        <v>1.163414060314573E-3</v>
      </c>
      <c r="G6431" s="2890">
        <v>0.56294819605911628</v>
      </c>
    </row>
    <row r="6432" spans="2:7" ht="15" hidden="1" outlineLevel="2">
      <c r="B6432" s="2889" t="s">
        <v>1650</v>
      </c>
      <c r="C6432" s="2889" t="s">
        <v>1467</v>
      </c>
      <c r="D6432" s="2889" t="s">
        <v>1054</v>
      </c>
      <c r="E6432" s="2889" t="s">
        <v>217</v>
      </c>
      <c r="F6432" s="2890">
        <v>2.9068378987493751E-3</v>
      </c>
      <c r="G6432" s="2890">
        <v>1.4065487171092856</v>
      </c>
    </row>
    <row r="6433" spans="2:7" ht="15" hidden="1" outlineLevel="2">
      <c r="B6433" s="2889" t="s">
        <v>1651</v>
      </c>
      <c r="C6433" s="2889" t="s">
        <v>1467</v>
      </c>
      <c r="D6433" s="2889" t="s">
        <v>1054</v>
      </c>
      <c r="E6433" s="2889" t="s">
        <v>217</v>
      </c>
      <c r="F6433" s="2890">
        <v>1.5904162180314235E-3</v>
      </c>
      <c r="G6433" s="2890">
        <v>0.76956439274527377</v>
      </c>
    </row>
    <row r="6434" spans="2:7" ht="15" hidden="1" outlineLevel="2">
      <c r="B6434" s="2889" t="s">
        <v>1652</v>
      </c>
      <c r="C6434" s="2889" t="s">
        <v>1467</v>
      </c>
      <c r="D6434" s="2889" t="s">
        <v>1054</v>
      </c>
      <c r="E6434" s="2889" t="s">
        <v>217</v>
      </c>
      <c r="F6434" s="2890">
        <v>1.7464174400634005E-3</v>
      </c>
      <c r="G6434" s="2890">
        <v>0.84504895157953897</v>
      </c>
    </row>
    <row r="6435" spans="2:7" ht="15" hidden="1" outlineLevel="2">
      <c r="B6435" s="2889" t="s">
        <v>1653</v>
      </c>
      <c r="C6435" s="2889" t="s">
        <v>1467</v>
      </c>
      <c r="D6435" s="2889" t="s">
        <v>1054</v>
      </c>
      <c r="E6435" s="2889" t="s">
        <v>217</v>
      </c>
      <c r="F6435" s="2890">
        <v>2.8902979356398801E-36</v>
      </c>
      <c r="G6435" s="2890">
        <v>1.3986064880122206E-33</v>
      </c>
    </row>
    <row r="6436" spans="2:7" ht="15" hidden="1" outlineLevel="2">
      <c r="B6436" s="2889" t="s">
        <v>1407</v>
      </c>
      <c r="C6436" s="2889" t="s">
        <v>1468</v>
      </c>
      <c r="D6436" s="2889" t="s">
        <v>1054</v>
      </c>
      <c r="E6436" s="2889" t="s">
        <v>217</v>
      </c>
      <c r="F6436" s="2890">
        <v>6.6197567832325984E-4</v>
      </c>
      <c r="G6436" s="2890">
        <v>0.31619112362015922</v>
      </c>
    </row>
    <row r="6437" spans="2:7" ht="15" hidden="1" outlineLevel="2">
      <c r="B6437" s="2889" t="s">
        <v>1631</v>
      </c>
      <c r="C6437" s="2889" t="s">
        <v>1468</v>
      </c>
      <c r="D6437" s="2889" t="s">
        <v>1054</v>
      </c>
      <c r="E6437" s="2889" t="s">
        <v>217</v>
      </c>
      <c r="F6437" s="2890">
        <v>1.1002583213390581E-2</v>
      </c>
      <c r="G6437" s="2890">
        <v>5.247141629432253</v>
      </c>
    </row>
    <row r="6438" spans="2:7" ht="15" hidden="1" outlineLevel="2">
      <c r="B6438" s="2889" t="s">
        <v>1632</v>
      </c>
      <c r="C6438" s="2889" t="s">
        <v>1468</v>
      </c>
      <c r="D6438" s="2889" t="s">
        <v>1054</v>
      </c>
      <c r="E6438" s="2889" t="s">
        <v>217</v>
      </c>
      <c r="F6438" s="2890">
        <v>2.5444486903657672E-2</v>
      </c>
      <c r="G6438" s="2890">
        <v>12.154028362756007</v>
      </c>
    </row>
    <row r="6439" spans="2:7" ht="15" hidden="1" outlineLevel="2">
      <c r="B6439" s="2889" t="s">
        <v>1633</v>
      </c>
      <c r="C6439" s="2889" t="s">
        <v>1468</v>
      </c>
      <c r="D6439" s="2889" t="s">
        <v>1054</v>
      </c>
      <c r="E6439" s="2889" t="s">
        <v>217</v>
      </c>
      <c r="F6439" s="2890">
        <v>2.0648751630465232E-3</v>
      </c>
      <c r="G6439" s="2890">
        <v>0.98632557143672683</v>
      </c>
    </row>
    <row r="6440" spans="2:7" ht="15" hidden="1" outlineLevel="2">
      <c r="B6440" s="2889" t="s">
        <v>1634</v>
      </c>
      <c r="C6440" s="2889" t="s">
        <v>1468</v>
      </c>
      <c r="D6440" s="2889" t="s">
        <v>1054</v>
      </c>
      <c r="E6440" s="2889" t="s">
        <v>217</v>
      </c>
      <c r="F6440" s="2890">
        <v>3.8273525970081477E-4</v>
      </c>
      <c r="G6440" s="2890">
        <v>0.18281261623010847</v>
      </c>
    </row>
    <row r="6441" spans="2:7" ht="15" hidden="1" outlineLevel="2">
      <c r="B6441" s="2889" t="s">
        <v>1635</v>
      </c>
      <c r="C6441" s="2889" t="s">
        <v>1468</v>
      </c>
      <c r="D6441" s="2889" t="s">
        <v>1054</v>
      </c>
      <c r="E6441" s="2889" t="s">
        <v>217</v>
      </c>
      <c r="F6441" s="2890">
        <v>3.2281092787773548E-3</v>
      </c>
      <c r="G6441" s="2890">
        <v>1.541965957314734</v>
      </c>
    </row>
    <row r="6442" spans="2:7" ht="15" hidden="1" outlineLevel="2">
      <c r="B6442" s="2889" t="s">
        <v>1636</v>
      </c>
      <c r="C6442" s="2889" t="s">
        <v>1468</v>
      </c>
      <c r="D6442" s="2889" t="s">
        <v>1054</v>
      </c>
      <c r="E6442" s="2889" t="s">
        <v>217</v>
      </c>
      <c r="F6442" s="2890">
        <v>2.8337853370237467E-3</v>
      </c>
      <c r="G6442" s="2890">
        <v>1.3536104730910752</v>
      </c>
    </row>
    <row r="6443" spans="2:7" ht="15" hidden="1" outlineLevel="2">
      <c r="B6443" s="2889" t="s">
        <v>1637</v>
      </c>
      <c r="C6443" s="2889" t="s">
        <v>1468</v>
      </c>
      <c r="D6443" s="2889" t="s">
        <v>1054</v>
      </c>
      <c r="E6443" s="2889" t="s">
        <v>217</v>
      </c>
      <c r="F6443" s="2890">
        <v>4.7062498248481438E-3</v>
      </c>
      <c r="G6443" s="2890">
        <v>2.2480263058801304</v>
      </c>
    </row>
    <row r="6444" spans="2:7" ht="15" hidden="1" outlineLevel="2">
      <c r="B6444" s="2889" t="s">
        <v>1638</v>
      </c>
      <c r="C6444" s="2889" t="s">
        <v>1468</v>
      </c>
      <c r="D6444" s="2889" t="s">
        <v>1054</v>
      </c>
      <c r="E6444" s="2889" t="s">
        <v>217</v>
      </c>
      <c r="F6444" s="2890">
        <v>6.143311872427806E-4</v>
      </c>
      <c r="G6444" s="2890">
        <v>0.29343393742941043</v>
      </c>
    </row>
    <row r="6445" spans="2:7" ht="15" hidden="1" outlineLevel="2">
      <c r="B6445" s="2889" t="s">
        <v>1639</v>
      </c>
      <c r="C6445" s="2889" t="s">
        <v>1468</v>
      </c>
      <c r="D6445" s="2889" t="s">
        <v>1054</v>
      </c>
      <c r="E6445" s="2889" t="s">
        <v>217</v>
      </c>
      <c r="F6445" s="2890">
        <v>5.6479332725819118E-3</v>
      </c>
      <c r="G6445" s="2890">
        <v>2.6978405243683277</v>
      </c>
    </row>
    <row r="6446" spans="2:7" ht="15" hidden="1" outlineLevel="2">
      <c r="B6446" s="2889" t="s">
        <v>1640</v>
      </c>
      <c r="C6446" s="2889" t="s">
        <v>1468</v>
      </c>
      <c r="D6446" s="2889" t="s">
        <v>1054</v>
      </c>
      <c r="E6446" s="2889" t="s">
        <v>217</v>
      </c>
      <c r="F6446" s="2890">
        <v>1.3279353571128522E-3</v>
      </c>
      <c r="G6446" s="2890">
        <v>0.63428543019629435</v>
      </c>
    </row>
    <row r="6447" spans="2:7" ht="15" hidden="1" outlineLevel="2">
      <c r="B6447" s="2889" t="s">
        <v>1641</v>
      </c>
      <c r="C6447" s="2889" t="s">
        <v>1468</v>
      </c>
      <c r="D6447" s="2889" t="s">
        <v>1054</v>
      </c>
      <c r="E6447" s="2889" t="s">
        <v>217</v>
      </c>
      <c r="F6447" s="2890">
        <v>6.8018803120296276E-3</v>
      </c>
      <c r="G6447" s="2890">
        <v>3.2490445916957351</v>
      </c>
    </row>
    <row r="6448" spans="2:7" ht="15" hidden="1" outlineLevel="2">
      <c r="B6448" s="2889" t="s">
        <v>1642</v>
      </c>
      <c r="C6448" s="2889" t="s">
        <v>1468</v>
      </c>
      <c r="D6448" s="2889" t="s">
        <v>1054</v>
      </c>
      <c r="E6448" s="2889" t="s">
        <v>217</v>
      </c>
      <c r="F6448" s="2890">
        <v>4.8822887855141878E-3</v>
      </c>
      <c r="G6448" s="2890">
        <v>2.3321135738375212</v>
      </c>
    </row>
    <row r="6449" spans="2:7" ht="15" hidden="1" outlineLevel="2">
      <c r="B6449" s="2889" t="s">
        <v>1643</v>
      </c>
      <c r="C6449" s="2889" t="s">
        <v>1468</v>
      </c>
      <c r="D6449" s="2889" t="s">
        <v>1054</v>
      </c>
      <c r="E6449" s="2889" t="s">
        <v>217</v>
      </c>
      <c r="F6449" s="2890">
        <v>7.2181178896538699E-4</v>
      </c>
      <c r="G6449" s="2890">
        <v>0.34480002932806286</v>
      </c>
    </row>
    <row r="6450" spans="2:7" ht="15" hidden="1" outlineLevel="2">
      <c r="B6450" s="2889" t="s">
        <v>1644</v>
      </c>
      <c r="C6450" s="2889" t="s">
        <v>1468</v>
      </c>
      <c r="D6450" s="2889" t="s">
        <v>1054</v>
      </c>
      <c r="E6450" s="2889" t="s">
        <v>217</v>
      </c>
      <c r="F6450" s="2890">
        <v>1.5892489644145653E-2</v>
      </c>
      <c r="G6450" s="2890">
        <v>7.5913514638175048</v>
      </c>
    </row>
    <row r="6451" spans="2:7" ht="15" hidden="1" outlineLevel="2">
      <c r="B6451" s="2889" t="s">
        <v>1645</v>
      </c>
      <c r="C6451" s="2889" t="s">
        <v>1468</v>
      </c>
      <c r="D6451" s="2889" t="s">
        <v>1054</v>
      </c>
      <c r="E6451" s="2889" t="s">
        <v>217</v>
      </c>
      <c r="F6451" s="3039">
        <v>1.8149742295306144E-2</v>
      </c>
      <c r="G6451" s="2890">
        <v>8.6695588916122048</v>
      </c>
    </row>
    <row r="6452" spans="2:7" ht="15" hidden="1" outlineLevel="2">
      <c r="B6452" s="2889" t="s">
        <v>1646</v>
      </c>
      <c r="C6452" s="2889" t="s">
        <v>1468</v>
      </c>
      <c r="D6452" s="2889" t="s">
        <v>1054</v>
      </c>
      <c r="E6452" s="2889" t="s">
        <v>217</v>
      </c>
      <c r="F6452" s="3039">
        <v>1.0613511505053344E-3</v>
      </c>
      <c r="G6452" s="2890">
        <v>0.50697402839239536</v>
      </c>
    </row>
    <row r="6453" spans="2:7" ht="15" hidden="1" outlineLevel="2">
      <c r="B6453" s="2889" t="s">
        <v>1647</v>
      </c>
      <c r="C6453" s="2889" t="s">
        <v>1468</v>
      </c>
      <c r="D6453" s="2889" t="s">
        <v>1054</v>
      </c>
      <c r="E6453" s="2889" t="s">
        <v>217</v>
      </c>
      <c r="F6453" s="3039">
        <v>2.6494584373682752E-3</v>
      </c>
      <c r="G6453" s="2890">
        <v>1.2655084996041481</v>
      </c>
    </row>
    <row r="6454" spans="2:7" ht="15" hidden="1" outlineLevel="2">
      <c r="B6454" s="2889" t="s">
        <v>1648</v>
      </c>
      <c r="C6454" s="2889" t="s">
        <v>1468</v>
      </c>
      <c r="D6454" s="2889" t="s">
        <v>1054</v>
      </c>
      <c r="E6454" s="2889" t="s">
        <v>217</v>
      </c>
      <c r="F6454" s="3039">
        <v>2.9703540670810504E-4</v>
      </c>
      <c r="G6454" s="2890">
        <v>0.14187828630458424</v>
      </c>
    </row>
    <row r="6455" spans="2:7" ht="15" hidden="1" outlineLevel="2">
      <c r="B6455" s="2889" t="s">
        <v>1649</v>
      </c>
      <c r="C6455" s="2889" t="s">
        <v>1468</v>
      </c>
      <c r="D6455" s="2889" t="s">
        <v>1054</v>
      </c>
      <c r="E6455" s="2889" t="s">
        <v>217</v>
      </c>
      <c r="F6455" s="3039">
        <v>1.4089290509412425E-3</v>
      </c>
      <c r="G6455" s="2890">
        <v>0.67297192237005377</v>
      </c>
    </row>
    <row r="6456" spans="2:7" ht="15" hidden="1" outlineLevel="2">
      <c r="B6456" s="2889" t="s">
        <v>1650</v>
      </c>
      <c r="C6456" s="2889" t="s">
        <v>1468</v>
      </c>
      <c r="D6456" s="2889" t="s">
        <v>1054</v>
      </c>
      <c r="E6456" s="2889" t="s">
        <v>217</v>
      </c>
      <c r="F6456" s="3039">
        <v>3.5202661179795044E-3</v>
      </c>
      <c r="G6456" s="2890">
        <v>1.6814466360981202</v>
      </c>
    </row>
    <row r="6457" spans="2:7" ht="15" hidden="1" outlineLevel="2">
      <c r="B6457" s="2889" t="s">
        <v>1651</v>
      </c>
      <c r="C6457" s="2889" t="s">
        <v>1468</v>
      </c>
      <c r="D6457" s="2889" t="s">
        <v>1054</v>
      </c>
      <c r="E6457" s="2889" t="s">
        <v>217</v>
      </c>
      <c r="F6457" s="3039">
        <v>1.9260422297550503E-3</v>
      </c>
      <c r="G6457" s="2890">
        <v>0.91996928261994704</v>
      </c>
    </row>
    <row r="6458" spans="2:7" ht="15" hidden="1" outlineLevel="2">
      <c r="B6458" s="2889" t="s">
        <v>1652</v>
      </c>
      <c r="C6458" s="2889" t="s">
        <v>1468</v>
      </c>
      <c r="D6458" s="2889" t="s">
        <v>1054</v>
      </c>
      <c r="E6458" s="2889" t="s">
        <v>217</v>
      </c>
      <c r="F6458" s="3039">
        <v>2.1149624201932541E-3</v>
      </c>
      <c r="G6458" s="2890">
        <v>1.0102068298667202</v>
      </c>
    </row>
    <row r="6459" spans="2:7" ht="15" hidden="1" outlineLevel="2">
      <c r="B6459" s="2889" t="s">
        <v>1653</v>
      </c>
      <c r="C6459" s="2889" t="s">
        <v>1468</v>
      </c>
      <c r="D6459" s="2889" t="s">
        <v>1054</v>
      </c>
      <c r="E6459" s="2889" t="s">
        <v>217</v>
      </c>
      <c r="F6459" s="3039">
        <v>1.3519278733937264E-38</v>
      </c>
      <c r="G6459" s="2890">
        <v>6.4577358924786549E-36</v>
      </c>
    </row>
    <row r="6460" spans="2:7" ht="15" hidden="1" outlineLevel="2">
      <c r="B6460" s="2889" t="s">
        <v>1407</v>
      </c>
      <c r="C6460" s="2889" t="s">
        <v>1469</v>
      </c>
      <c r="D6460" s="2889" t="s">
        <v>1054</v>
      </c>
      <c r="E6460" s="2889" t="s">
        <v>217</v>
      </c>
      <c r="F6460" s="3039">
        <v>5.2823638013481499E-6</v>
      </c>
      <c r="G6460" s="2890">
        <v>2.3678055738047899E-3</v>
      </c>
    </row>
    <row r="6461" spans="2:7" ht="15" hidden="1" outlineLevel="2">
      <c r="B6461" s="2889" t="s">
        <v>1631</v>
      </c>
      <c r="C6461" s="2889" t="s">
        <v>1469</v>
      </c>
      <c r="D6461" s="2889" t="s">
        <v>1054</v>
      </c>
      <c r="E6461" s="2889" t="s">
        <v>217</v>
      </c>
      <c r="F6461" s="3039">
        <v>8.7797244029837665E-5</v>
      </c>
      <c r="G6461" s="2890">
        <v>3.9293332053138043E-2</v>
      </c>
    </row>
    <row r="6462" spans="2:7" ht="15" hidden="1" outlineLevel="2">
      <c r="B6462" s="2889" t="s">
        <v>1632</v>
      </c>
      <c r="C6462" s="2889" t="s">
        <v>1469</v>
      </c>
      <c r="D6462" s="2889" t="s">
        <v>1054</v>
      </c>
      <c r="E6462" s="2889" t="s">
        <v>217</v>
      </c>
      <c r="F6462" s="3039">
        <v>2.0303928770964839E-4</v>
      </c>
      <c r="G6462" s="2890">
        <v>9.1015814963650923E-2</v>
      </c>
    </row>
    <row r="6463" spans="2:7" ht="15" hidden="1" outlineLevel="2">
      <c r="B6463" s="2889" t="s">
        <v>1633</v>
      </c>
      <c r="C6463" s="2889" t="s">
        <v>1469</v>
      </c>
      <c r="D6463" s="2889" t="s">
        <v>1054</v>
      </c>
      <c r="E6463" s="2889" t="s">
        <v>217</v>
      </c>
      <c r="F6463" s="3039">
        <v>1.6477079170293763E-5</v>
      </c>
      <c r="G6463" s="2890">
        <v>7.386129578566482E-3</v>
      </c>
    </row>
    <row r="6464" spans="2:7" ht="15" hidden="1" outlineLevel="2">
      <c r="B6464" s="2889" t="s">
        <v>1634</v>
      </c>
      <c r="C6464" s="2889" t="s">
        <v>1469</v>
      </c>
      <c r="D6464" s="2889" t="s">
        <v>1054</v>
      </c>
      <c r="E6464" s="2889" t="s">
        <v>217</v>
      </c>
      <c r="F6464" s="3039">
        <v>3.0541113355160695E-6</v>
      </c>
      <c r="G6464" s="2890">
        <v>1.3689968930802891E-3</v>
      </c>
    </row>
    <row r="6465" spans="2:7" ht="15" hidden="1" outlineLevel="2">
      <c r="B6465" s="2889" t="s">
        <v>1635</v>
      </c>
      <c r="C6465" s="2889" t="s">
        <v>1469</v>
      </c>
      <c r="D6465" s="2889" t="s">
        <v>1054</v>
      </c>
      <c r="E6465" s="2889" t="s">
        <v>217</v>
      </c>
      <c r="F6465" s="3039">
        <v>2.5759343432986885E-5</v>
      </c>
      <c r="G6465" s="2890">
        <v>1.1547057780689584E-2</v>
      </c>
    </row>
    <row r="6466" spans="2:7" ht="15" hidden="1" outlineLevel="2">
      <c r="B6466" s="2889" t="s">
        <v>1636</v>
      </c>
      <c r="C6466" s="2889" t="s">
        <v>1469</v>
      </c>
      <c r="D6466" s="2889" t="s">
        <v>1054</v>
      </c>
      <c r="E6466" s="2889" t="s">
        <v>217</v>
      </c>
      <c r="F6466" s="3039">
        <v>2.2612755307283487E-5</v>
      </c>
      <c r="G6466" s="2890">
        <v>1.0136550015673464E-2</v>
      </c>
    </row>
    <row r="6467" spans="2:7" ht="15" hidden="1" outlineLevel="2">
      <c r="B6467" s="2889" t="s">
        <v>1637</v>
      </c>
      <c r="C6467" s="2889" t="s">
        <v>1469</v>
      </c>
      <c r="D6467" s="2889" t="s">
        <v>1054</v>
      </c>
      <c r="E6467" s="2889" t="s">
        <v>217</v>
      </c>
      <c r="F6467" s="3039">
        <v>3.7554461960430758E-5</v>
      </c>
      <c r="G6467" s="2890">
        <v>1.6834409662155065E-2</v>
      </c>
    </row>
    <row r="6468" spans="2:7" ht="15" hidden="1" outlineLevel="2">
      <c r="B6468" s="2889" t="s">
        <v>1638</v>
      </c>
      <c r="C6468" s="2889" t="s">
        <v>1469</v>
      </c>
      <c r="D6468" s="2889" t="s">
        <v>1054</v>
      </c>
      <c r="E6468" s="2889" t="s">
        <v>217</v>
      </c>
      <c r="F6468" s="3039">
        <v>4.9021773039386317E-6</v>
      </c>
      <c r="G6468" s="2890">
        <v>2.1973888000769012E-3</v>
      </c>
    </row>
    <row r="6469" spans="2:7" ht="15" hidden="1" outlineLevel="2">
      <c r="B6469" s="2889" t="s">
        <v>1639</v>
      </c>
      <c r="C6469" s="2889" t="s">
        <v>1469</v>
      </c>
      <c r="D6469" s="2889" t="s">
        <v>1054</v>
      </c>
      <c r="E6469" s="2889" t="s">
        <v>217</v>
      </c>
      <c r="F6469" s="3039">
        <v>4.5068812018824153E-5</v>
      </c>
      <c r="G6469" s="2890">
        <v>2.0202845517011805E-2</v>
      </c>
    </row>
    <row r="6470" spans="2:7" ht="15" hidden="1" outlineLevel="2">
      <c r="B6470" s="2889" t="s">
        <v>1640</v>
      </c>
      <c r="C6470" s="2889" t="s">
        <v>1469</v>
      </c>
      <c r="D6470" s="2889" t="s">
        <v>1054</v>
      </c>
      <c r="E6470" s="2889" t="s">
        <v>217</v>
      </c>
      <c r="F6470" s="3039">
        <v>1.0596524500070237E-5</v>
      </c>
      <c r="G6470" s="2890">
        <v>4.7498633042904817E-3</v>
      </c>
    </row>
    <row r="6471" spans="2:7" ht="15" hidden="1" outlineLevel="2">
      <c r="B6471" s="2889" t="s">
        <v>1641</v>
      </c>
      <c r="C6471" s="2889" t="s">
        <v>1469</v>
      </c>
      <c r="D6471" s="2889" t="s">
        <v>1054</v>
      </c>
      <c r="E6471" s="2889" t="s">
        <v>217</v>
      </c>
      <c r="F6471" s="3039">
        <v>5.4276949246530487E-5</v>
      </c>
      <c r="G6471" s="2890">
        <v>2.4330548023878712E-2</v>
      </c>
    </row>
    <row r="6472" spans="2:7" ht="15" hidden="1" outlineLevel="2">
      <c r="B6472" s="2889" t="s">
        <v>1642</v>
      </c>
      <c r="C6472" s="2889" t="s">
        <v>1469</v>
      </c>
      <c r="D6472" s="2889" t="s">
        <v>1054</v>
      </c>
      <c r="E6472" s="2889" t="s">
        <v>217</v>
      </c>
      <c r="F6472" s="3039">
        <v>3.8959156024615297E-5</v>
      </c>
      <c r="G6472" s="2890">
        <v>1.7464107267778705E-2</v>
      </c>
    </row>
    <row r="6473" spans="2:7" ht="15" hidden="1" outlineLevel="2">
      <c r="B6473" s="2889" t="s">
        <v>1643</v>
      </c>
      <c r="C6473" s="2889" t="s">
        <v>1469</v>
      </c>
      <c r="D6473" s="2889" t="s">
        <v>1054</v>
      </c>
      <c r="E6473" s="2889" t="s">
        <v>217</v>
      </c>
      <c r="F6473" s="3039">
        <v>5.7598393832130302E-6</v>
      </c>
      <c r="G6473" s="2890">
        <v>2.5820429252102809E-3</v>
      </c>
    </row>
    <row r="6474" spans="2:7" ht="15" hidden="1" outlineLevel="2">
      <c r="B6474" s="2889" t="s">
        <v>1644</v>
      </c>
      <c r="C6474" s="2889" t="s">
        <v>1469</v>
      </c>
      <c r="D6474" s="2889" t="s">
        <v>1054</v>
      </c>
      <c r="E6474" s="2889" t="s">
        <v>217</v>
      </c>
      <c r="F6474" s="3039">
        <v>1.2681738039832451E-4</v>
      </c>
      <c r="G6474" s="2890">
        <v>5.6847973062101542E-2</v>
      </c>
    </row>
    <row r="6475" spans="2:7" ht="15" hidden="1" outlineLevel="2">
      <c r="B6475" s="2889" t="s">
        <v>1645</v>
      </c>
      <c r="C6475" s="2889" t="s">
        <v>1469</v>
      </c>
      <c r="D6475" s="2889" t="s">
        <v>1054</v>
      </c>
      <c r="E6475" s="2889" t="s">
        <v>217</v>
      </c>
      <c r="F6475" s="3039">
        <v>1.4482940935460384E-4</v>
      </c>
      <c r="G6475" s="2890">
        <v>6.4922215028536318E-2</v>
      </c>
    </row>
    <row r="6476" spans="2:7" ht="15" hidden="1" outlineLevel="2">
      <c r="B6476" s="2889" t="s">
        <v>1646</v>
      </c>
      <c r="C6476" s="2889" t="s">
        <v>1469</v>
      </c>
      <c r="D6476" s="2889" t="s">
        <v>1054</v>
      </c>
      <c r="E6476" s="2889" t="s">
        <v>217</v>
      </c>
      <c r="F6476" s="2890">
        <v>8.4692604743269945E-6</v>
      </c>
      <c r="G6476" s="2890">
        <v>3.7964862597865139E-3</v>
      </c>
    </row>
    <row r="6477" spans="2:7" ht="15" hidden="1" outlineLevel="2">
      <c r="B6477" s="2889" t="s">
        <v>1647</v>
      </c>
      <c r="C6477" s="2889" t="s">
        <v>1469</v>
      </c>
      <c r="D6477" s="2889" t="s">
        <v>1054</v>
      </c>
      <c r="E6477" s="2889" t="s">
        <v>217</v>
      </c>
      <c r="F6477" s="2890">
        <v>2.1141876574597999E-5</v>
      </c>
      <c r="G6477" s="2890">
        <v>9.476786163041543E-3</v>
      </c>
    </row>
    <row r="6478" spans="2:7" ht="15" hidden="1" outlineLevel="2">
      <c r="B6478" s="2889" t="s">
        <v>1648</v>
      </c>
      <c r="C6478" s="2889" t="s">
        <v>1469</v>
      </c>
      <c r="D6478" s="2889" t="s">
        <v>1054</v>
      </c>
      <c r="E6478" s="2889" t="s">
        <v>217</v>
      </c>
      <c r="F6478" s="2890">
        <v>2.3702511156833826E-6</v>
      </c>
      <c r="G6478" s="2890">
        <v>1.0624594333494101E-3</v>
      </c>
    </row>
    <row r="6479" spans="2:7" ht="15" hidden="1" outlineLevel="2">
      <c r="B6479" s="2889" t="s">
        <v>1649</v>
      </c>
      <c r="C6479" s="2889" t="s">
        <v>1469</v>
      </c>
      <c r="D6479" s="2889" t="s">
        <v>1054</v>
      </c>
      <c r="E6479" s="2889" t="s">
        <v>217</v>
      </c>
      <c r="F6479" s="2890">
        <v>1.124281993332198E-5</v>
      </c>
      <c r="G6479" s="2890">
        <v>5.039561500320474E-3</v>
      </c>
    </row>
    <row r="6480" spans="2:7" ht="15" hidden="1" outlineLevel="2">
      <c r="B6480" s="2889" t="s">
        <v>1650</v>
      </c>
      <c r="C6480" s="2889" t="s">
        <v>1469</v>
      </c>
      <c r="D6480" s="2889" t="s">
        <v>1054</v>
      </c>
      <c r="E6480" s="2889" t="s">
        <v>217</v>
      </c>
      <c r="F6480" s="2890">
        <v>2.8090659541956758E-5</v>
      </c>
      <c r="G6480" s="2890">
        <v>1.2591560683655075E-2</v>
      </c>
    </row>
    <row r="6481" spans="2:7" ht="15" hidden="1" outlineLevel="2">
      <c r="B6481" s="2889" t="s">
        <v>1651</v>
      </c>
      <c r="C6481" s="2889" t="s">
        <v>1469</v>
      </c>
      <c r="D6481" s="2889" t="s">
        <v>1054</v>
      </c>
      <c r="E6481" s="2889" t="s">
        <v>217</v>
      </c>
      <c r="F6481" s="2890">
        <v>1.536921992822546E-5</v>
      </c>
      <c r="G6481" s="2890">
        <v>6.8892145663255596E-3</v>
      </c>
    </row>
    <row r="6482" spans="2:7" ht="15" hidden="1" outlineLevel="2">
      <c r="B6482" s="2889" t="s">
        <v>1652</v>
      </c>
      <c r="C6482" s="2889" t="s">
        <v>1469</v>
      </c>
      <c r="D6482" s="2889" t="s">
        <v>1054</v>
      </c>
      <c r="E6482" s="2889" t="s">
        <v>217</v>
      </c>
      <c r="F6482" s="2890">
        <v>1.6876749520896543E-5</v>
      </c>
      <c r="G6482" s="2890">
        <v>7.5649618578151161E-3</v>
      </c>
    </row>
    <row r="6483" spans="2:7" ht="15" hidden="1" outlineLevel="2">
      <c r="B6483" s="2889" t="s">
        <v>1653</v>
      </c>
      <c r="C6483" s="2889" t="s">
        <v>1469</v>
      </c>
      <c r="D6483" s="2889" t="s">
        <v>1054</v>
      </c>
      <c r="E6483" s="2889" t="s">
        <v>217</v>
      </c>
      <c r="F6483" s="2890">
        <v>1.807527104592972E-36</v>
      </c>
      <c r="G6483" s="2890">
        <v>8.1025401359672294E-34</v>
      </c>
    </row>
    <row r="6484" spans="2:7" ht="15" hidden="1" outlineLevel="2">
      <c r="B6484" s="2889" t="s">
        <v>1407</v>
      </c>
      <c r="C6484" s="2889" t="s">
        <v>1470</v>
      </c>
      <c r="D6484" s="2889" t="s">
        <v>1054</v>
      </c>
      <c r="E6484" s="2889" t="s">
        <v>217</v>
      </c>
      <c r="F6484" s="2890">
        <v>1.8843622714206962E-2</v>
      </c>
      <c r="G6484" s="2890">
        <v>10.538505200237928</v>
      </c>
    </row>
    <row r="6485" spans="2:7" ht="15" hidden="1" outlineLevel="2">
      <c r="B6485" s="2889" t="s">
        <v>1631</v>
      </c>
      <c r="C6485" s="2889" t="s">
        <v>1470</v>
      </c>
      <c r="D6485" s="2889" t="s">
        <v>1054</v>
      </c>
      <c r="E6485" s="2889" t="s">
        <v>217</v>
      </c>
      <c r="F6485" s="2890">
        <v>0.31319683181140168</v>
      </c>
      <c r="G6485" s="2890">
        <v>174.88467945201646</v>
      </c>
    </row>
    <row r="6486" spans="2:7" ht="15" hidden="1" outlineLevel="2">
      <c r="B6486" s="2889" t="s">
        <v>1632</v>
      </c>
      <c r="C6486" s="2889" t="s">
        <v>1470</v>
      </c>
      <c r="D6486" s="2889" t="s">
        <v>1054</v>
      </c>
      <c r="E6486" s="2889" t="s">
        <v>217</v>
      </c>
      <c r="F6486" s="2890">
        <v>0.72429711775782701</v>
      </c>
      <c r="G6486" s="2890">
        <v>405.08812607583735</v>
      </c>
    </row>
    <row r="6487" spans="2:7" ht="15" hidden="1" outlineLevel="2">
      <c r="B6487" s="2889" t="s">
        <v>1633</v>
      </c>
      <c r="C6487" s="2889" t="s">
        <v>1470</v>
      </c>
      <c r="D6487" s="2889" t="s">
        <v>1054</v>
      </c>
      <c r="E6487" s="2889" t="s">
        <v>217</v>
      </c>
      <c r="F6487" s="2890">
        <v>5.8778191649508336E-2</v>
      </c>
      <c r="G6487" s="2890">
        <v>32.873764281443755</v>
      </c>
    </row>
    <row r="6488" spans="2:7" ht="15" hidden="1" outlineLevel="2">
      <c r="B6488" s="2889" t="s">
        <v>1634</v>
      </c>
      <c r="C6488" s="2889" t="s">
        <v>1470</v>
      </c>
      <c r="D6488" s="2889" t="s">
        <v>1054</v>
      </c>
      <c r="E6488" s="2889" t="s">
        <v>217</v>
      </c>
      <c r="F6488" s="2890">
        <v>1.0894842185035626E-2</v>
      </c>
      <c r="G6488" s="2890">
        <v>6.0930579480231835</v>
      </c>
    </row>
    <row r="6489" spans="2:7" ht="15" hidden="1" outlineLevel="2">
      <c r="B6489" s="2889" t="s">
        <v>1635</v>
      </c>
      <c r="C6489" s="2889" t="s">
        <v>1470</v>
      </c>
      <c r="D6489" s="2889" t="s">
        <v>1054</v>
      </c>
      <c r="E6489" s="2889" t="s">
        <v>217</v>
      </c>
      <c r="F6489" s="2890">
        <v>9.1890597761710449E-2</v>
      </c>
      <c r="G6489" s="2890">
        <v>51.393004923586346</v>
      </c>
    </row>
    <row r="6490" spans="2:7" ht="15" hidden="1" outlineLevel="2">
      <c r="B6490" s="2889" t="s">
        <v>1636</v>
      </c>
      <c r="C6490" s="2889" t="s">
        <v>1470</v>
      </c>
      <c r="D6490" s="2889" t="s">
        <v>1054</v>
      </c>
      <c r="E6490" s="2889" t="s">
        <v>217</v>
      </c>
      <c r="F6490" s="2890">
        <v>8.066580320296686E-2</v>
      </c>
      <c r="G6490" s="2890">
        <v>45.115137225894983</v>
      </c>
    </row>
    <row r="6491" spans="2:7" ht="15" hidden="1" outlineLevel="2">
      <c r="B6491" s="2889" t="s">
        <v>1637</v>
      </c>
      <c r="C6491" s="2889" t="s">
        <v>1470</v>
      </c>
      <c r="D6491" s="2889" t="s">
        <v>1054</v>
      </c>
      <c r="E6491" s="2889" t="s">
        <v>217</v>
      </c>
      <c r="F6491" s="2890">
        <v>0.13396697354560769</v>
      </c>
      <c r="G6491" s="2890">
        <v>74.925622808191093</v>
      </c>
    </row>
    <row r="6492" spans="2:7" ht="15" hidden="1" outlineLevel="2">
      <c r="B6492" s="2889" t="s">
        <v>1638</v>
      </c>
      <c r="C6492" s="2889" t="s">
        <v>1470</v>
      </c>
      <c r="D6492" s="2889" t="s">
        <v>1054</v>
      </c>
      <c r="E6492" s="2889" t="s">
        <v>217</v>
      </c>
      <c r="F6492" s="2890">
        <v>1.74874059340288E-2</v>
      </c>
      <c r="G6492" s="2890">
        <v>9.7800182991624212</v>
      </c>
    </row>
    <row r="6493" spans="2:7" ht="15" hidden="1" outlineLevel="2">
      <c r="B6493" s="2889" t="s">
        <v>1639</v>
      </c>
      <c r="C6493" s="2889" t="s">
        <v>1470</v>
      </c>
      <c r="D6493" s="2889" t="s">
        <v>1054</v>
      </c>
      <c r="E6493" s="2889" t="s">
        <v>217</v>
      </c>
      <c r="F6493" s="2890">
        <v>0.16077267047925806</v>
      </c>
      <c r="G6493" s="2890">
        <v>89.917736403567531</v>
      </c>
    </row>
    <row r="6494" spans="2:7" ht="15" hidden="1" outlineLevel="2">
      <c r="B6494" s="2889" t="s">
        <v>1640</v>
      </c>
      <c r="C6494" s="2889" t="s">
        <v>1470</v>
      </c>
      <c r="D6494" s="2889" t="s">
        <v>1054</v>
      </c>
      <c r="E6494" s="2889" t="s">
        <v>217</v>
      </c>
      <c r="F6494" s="2890">
        <v>3.7800699208375324E-2</v>
      </c>
      <c r="G6494" s="2890">
        <v>21.140434039674268</v>
      </c>
    </row>
    <row r="6495" spans="2:7" ht="15" hidden="1" outlineLevel="2">
      <c r="B6495" s="2889" t="s">
        <v>1641</v>
      </c>
      <c r="C6495" s="2889" t="s">
        <v>1470</v>
      </c>
      <c r="D6495" s="2889" t="s">
        <v>1054</v>
      </c>
      <c r="E6495" s="2889" t="s">
        <v>217</v>
      </c>
      <c r="F6495" s="2890">
        <v>0.19362058970817891</v>
      </c>
      <c r="G6495" s="2890">
        <v>108.2890947054308</v>
      </c>
    </row>
    <row r="6496" spans="2:7" ht="15" hidden="1" outlineLevel="2">
      <c r="B6496" s="2889" t="s">
        <v>1642</v>
      </c>
      <c r="C6496" s="2889" t="s">
        <v>1470</v>
      </c>
      <c r="D6496" s="2889" t="s">
        <v>1054</v>
      </c>
      <c r="E6496" s="2889" t="s">
        <v>217</v>
      </c>
      <c r="F6496" s="3039">
        <v>0.13897785165893886</v>
      </c>
      <c r="G6496" s="2890">
        <v>76.395791630971502</v>
      </c>
    </row>
    <row r="6497" spans="2:7" ht="15" hidden="1" outlineLevel="2">
      <c r="B6497" s="2889" t="s">
        <v>1643</v>
      </c>
      <c r="C6497" s="2889" t="s">
        <v>1470</v>
      </c>
      <c r="D6497" s="2889" t="s">
        <v>1054</v>
      </c>
      <c r="E6497" s="2889" t="s">
        <v>217</v>
      </c>
      <c r="F6497" s="3039">
        <v>2.054692727127962E-2</v>
      </c>
      <c r="G6497" s="2890">
        <v>11.492014963649687</v>
      </c>
    </row>
    <row r="6498" spans="2:7" ht="15" hidden="1" outlineLevel="2">
      <c r="B6498" s="2889" t="s">
        <v>1644</v>
      </c>
      <c r="C6498" s="2889" t="s">
        <v>1470</v>
      </c>
      <c r="D6498" s="2889" t="s">
        <v>1054</v>
      </c>
      <c r="E6498" s="2889" t="s">
        <v>217</v>
      </c>
      <c r="F6498" s="3039">
        <v>0.45239204881241518</v>
      </c>
      <c r="G6498" s="2890">
        <v>253.01595849859208</v>
      </c>
    </row>
    <row r="6499" spans="2:7" ht="15" hidden="1" outlineLevel="2">
      <c r="B6499" s="2889" t="s">
        <v>1645</v>
      </c>
      <c r="C6499" s="2889" t="s">
        <v>1470</v>
      </c>
      <c r="D6499" s="2889" t="s">
        <v>1054</v>
      </c>
      <c r="E6499" s="2889" t="s">
        <v>217</v>
      </c>
      <c r="F6499" s="3039">
        <v>0.51664672378625776</v>
      </c>
      <c r="G6499" s="2890">
        <v>288.9521880981851</v>
      </c>
    </row>
    <row r="6500" spans="2:7" ht="15" hidden="1" outlineLevel="2">
      <c r="B6500" s="2889" t="s">
        <v>1646</v>
      </c>
      <c r="C6500" s="2889" t="s">
        <v>1470</v>
      </c>
      <c r="D6500" s="2889" t="s">
        <v>1054</v>
      </c>
      <c r="E6500" s="2889" t="s">
        <v>217</v>
      </c>
      <c r="F6500" s="3039">
        <v>3.0212162275097796E-2</v>
      </c>
      <c r="G6500" s="2890">
        <v>16.89719814415351</v>
      </c>
    </row>
    <row r="6501" spans="2:7" ht="15" hidden="1" outlineLevel="2">
      <c r="B6501" s="2889" t="s">
        <v>1647</v>
      </c>
      <c r="C6501" s="2889" t="s">
        <v>1470</v>
      </c>
      <c r="D6501" s="2889" t="s">
        <v>1054</v>
      </c>
      <c r="E6501" s="2889" t="s">
        <v>217</v>
      </c>
      <c r="F6501" s="3039">
        <v>7.5418824574261911E-2</v>
      </c>
      <c r="G6501" s="2890">
        <v>42.178739371371776</v>
      </c>
    </row>
    <row r="6502" spans="2:7" ht="15" hidden="1" outlineLevel="2">
      <c r="B6502" s="2889" t="s">
        <v>1648</v>
      </c>
      <c r="C6502" s="2889" t="s">
        <v>1470</v>
      </c>
      <c r="D6502" s="2889" t="s">
        <v>1054</v>
      </c>
      <c r="E6502" s="2889" t="s">
        <v>217</v>
      </c>
      <c r="F6502" s="3039">
        <v>8.4553384330125908E-3</v>
      </c>
      <c r="G6502" s="2890">
        <v>4.7287341152621121</v>
      </c>
    </row>
    <row r="6503" spans="2:7" ht="15" hidden="1" outlineLevel="2">
      <c r="B6503" s="2889" t="s">
        <v>1649</v>
      </c>
      <c r="C6503" s="2889" t="s">
        <v>1470</v>
      </c>
      <c r="D6503" s="2889" t="s">
        <v>1054</v>
      </c>
      <c r="E6503" s="2889" t="s">
        <v>217</v>
      </c>
      <c r="F6503" s="2890">
        <v>4.0106211622939827E-2</v>
      </c>
      <c r="G6503" s="2890">
        <v>22.429817391236504</v>
      </c>
    </row>
    <row r="6504" spans="2:7" ht="15" hidden="1" outlineLevel="2">
      <c r="B6504" s="2889" t="s">
        <v>1650</v>
      </c>
      <c r="C6504" s="2889" t="s">
        <v>1470</v>
      </c>
      <c r="D6504" s="2889" t="s">
        <v>1054</v>
      </c>
      <c r="E6504" s="2889" t="s">
        <v>217</v>
      </c>
      <c r="F6504" s="2890">
        <v>0.10020706409306775</v>
      </c>
      <c r="G6504" s="2890">
        <v>56.041895741493562</v>
      </c>
    </row>
    <row r="6505" spans="2:7" ht="15" hidden="1" outlineLevel="2">
      <c r="B6505" s="2889" t="s">
        <v>1651</v>
      </c>
      <c r="C6505" s="2889" t="s">
        <v>1470</v>
      </c>
      <c r="D6505" s="2889" t="s">
        <v>1054</v>
      </c>
      <c r="E6505" s="2889" t="s">
        <v>217</v>
      </c>
      <c r="F6505" s="2890">
        <v>5.4826217168742225E-2</v>
      </c>
      <c r="G6505" s="2890">
        <v>30.662143801298612</v>
      </c>
    </row>
    <row r="6506" spans="2:7" ht="15" hidden="1" outlineLevel="2">
      <c r="B6506" s="2889" t="s">
        <v>1652</v>
      </c>
      <c r="C6506" s="2889" t="s">
        <v>1470</v>
      </c>
      <c r="D6506" s="2889" t="s">
        <v>1054</v>
      </c>
      <c r="E6506" s="2889" t="s">
        <v>217</v>
      </c>
      <c r="F6506" s="2890">
        <v>6.0203965290455554E-2</v>
      </c>
      <c r="G6506" s="2890">
        <v>33.669715061985542</v>
      </c>
    </row>
    <row r="6507" spans="2:7" ht="15" hidden="1" outlineLevel="2">
      <c r="B6507" s="2889" t="s">
        <v>1653</v>
      </c>
      <c r="C6507" s="2889" t="s">
        <v>1470</v>
      </c>
      <c r="D6507" s="2889" t="s">
        <v>1054</v>
      </c>
      <c r="E6507" s="2889" t="s">
        <v>217</v>
      </c>
      <c r="F6507" s="2890">
        <v>3.5833641940293277E-34</v>
      </c>
      <c r="G6507" s="2890">
        <v>2.0536241178263922E-31</v>
      </c>
    </row>
    <row r="6508" spans="2:7" ht="15" hidden="1" outlineLevel="2">
      <c r="B6508" s="2889" t="s">
        <v>1407</v>
      </c>
      <c r="C6508" s="2889" t="s">
        <v>1471</v>
      </c>
      <c r="D6508" s="2889" t="s">
        <v>1054</v>
      </c>
      <c r="E6508" s="2889" t="s">
        <v>217</v>
      </c>
      <c r="F6508" s="2890">
        <v>1.3754850342295732E-4</v>
      </c>
      <c r="G6508" s="2890">
        <v>6.1655689731861071E-2</v>
      </c>
    </row>
    <row r="6509" spans="2:7" ht="15" hidden="1" outlineLevel="2">
      <c r="B6509" s="2889" t="s">
        <v>1631</v>
      </c>
      <c r="C6509" s="2889" t="s">
        <v>1471</v>
      </c>
      <c r="D6509" s="2889" t="s">
        <v>1054</v>
      </c>
      <c r="E6509" s="2889" t="s">
        <v>217</v>
      </c>
      <c r="F6509" s="2890">
        <v>2.2861693825184217E-3</v>
      </c>
      <c r="G6509" s="2890">
        <v>1.0231666970461255</v>
      </c>
    </row>
    <row r="6510" spans="2:7" ht="15" hidden="1" outlineLevel="2">
      <c r="B6510" s="2889" t="s">
        <v>1632</v>
      </c>
      <c r="C6510" s="2889" t="s">
        <v>1471</v>
      </c>
      <c r="D6510" s="2889" t="s">
        <v>1054</v>
      </c>
      <c r="E6510" s="2889" t="s">
        <v>217</v>
      </c>
      <c r="F6510" s="2890">
        <v>5.2869790966788279E-3</v>
      </c>
      <c r="G6510" s="2890">
        <v>2.3699778691193072</v>
      </c>
    </row>
    <row r="6511" spans="2:7" ht="15" hidden="1" outlineLevel="2">
      <c r="B6511" s="2889" t="s">
        <v>1633</v>
      </c>
      <c r="C6511" s="2889" t="s">
        <v>1471</v>
      </c>
      <c r="D6511" s="2889" t="s">
        <v>1054</v>
      </c>
      <c r="E6511" s="2889" t="s">
        <v>217</v>
      </c>
      <c r="F6511" s="2890">
        <v>4.290497002058444E-4</v>
      </c>
      <c r="G6511" s="2890">
        <v>0.19232866243240013</v>
      </c>
    </row>
    <row r="6512" spans="2:7" ht="15" hidden="1" outlineLevel="2">
      <c r="B6512" s="2889" t="s">
        <v>1634</v>
      </c>
      <c r="C6512" s="2889" t="s">
        <v>1471</v>
      </c>
      <c r="D6512" s="2889" t="s">
        <v>1054</v>
      </c>
      <c r="E6512" s="2889" t="s">
        <v>217</v>
      </c>
      <c r="F6512" s="2890">
        <v>7.9526566101178789E-5</v>
      </c>
      <c r="G6512" s="2890">
        <v>3.5647572769999331E-2</v>
      </c>
    </row>
    <row r="6513" spans="2:7" ht="15" hidden="1" outlineLevel="2">
      <c r="B6513" s="2889" t="s">
        <v>1635</v>
      </c>
      <c r="C6513" s="2889" t="s">
        <v>1471</v>
      </c>
      <c r="D6513" s="2889" t="s">
        <v>1054</v>
      </c>
      <c r="E6513" s="2889" t="s">
        <v>217</v>
      </c>
      <c r="F6513" s="2890">
        <v>6.7075190948721083E-4</v>
      </c>
      <c r="G6513" s="2890">
        <v>0.30067610514757537</v>
      </c>
    </row>
    <row r="6514" spans="2:7" ht="15" hidden="1" outlineLevel="2">
      <c r="B6514" s="2889" t="s">
        <v>1636</v>
      </c>
      <c r="C6514" s="2889" t="s">
        <v>1471</v>
      </c>
      <c r="D6514" s="2889" t="s">
        <v>1054</v>
      </c>
      <c r="E6514" s="2889" t="s">
        <v>217</v>
      </c>
      <c r="F6514" s="2890">
        <v>5.8881742340065758E-4</v>
      </c>
      <c r="G6514" s="2890">
        <v>0.26394743551868527</v>
      </c>
    </row>
    <row r="6515" spans="2:7" ht="15" hidden="1" outlineLevel="2">
      <c r="B6515" s="2889" t="s">
        <v>1637</v>
      </c>
      <c r="C6515" s="2889" t="s">
        <v>1471</v>
      </c>
      <c r="D6515" s="2889" t="s">
        <v>1054</v>
      </c>
      <c r="E6515" s="2889" t="s">
        <v>217</v>
      </c>
      <c r="F6515" s="2890">
        <v>9.7788770933805226E-4</v>
      </c>
      <c r="G6515" s="2890">
        <v>0.43835476858019207</v>
      </c>
    </row>
    <row r="6516" spans="2:7" ht="15" hidden="1" outlineLevel="2">
      <c r="B6516" s="2889" t="s">
        <v>1638</v>
      </c>
      <c r="C6516" s="2889" t="s">
        <v>1471</v>
      </c>
      <c r="D6516" s="2889" t="s">
        <v>1054</v>
      </c>
      <c r="E6516" s="2889" t="s">
        <v>217</v>
      </c>
      <c r="F6516" s="2890">
        <v>1.2764873835052315E-4</v>
      </c>
      <c r="G6516" s="2890">
        <v>5.7218228240652383E-2</v>
      </c>
    </row>
    <row r="6517" spans="2:7" ht="15" hidden="1" outlineLevel="2">
      <c r="B6517" s="2889" t="s">
        <v>1639</v>
      </c>
      <c r="C6517" s="2889" t="s">
        <v>1471</v>
      </c>
      <c r="D6517" s="2889" t="s">
        <v>1054</v>
      </c>
      <c r="E6517" s="2889" t="s">
        <v>217</v>
      </c>
      <c r="F6517" s="2890">
        <v>1.1735549565864952E-3</v>
      </c>
      <c r="G6517" s="2890">
        <v>0.52606513456475912</v>
      </c>
    </row>
    <row r="6518" spans="2:7" ht="15" hidden="1" outlineLevel="2">
      <c r="B6518" s="2889" t="s">
        <v>1640</v>
      </c>
      <c r="C6518" s="2889" t="s">
        <v>1471</v>
      </c>
      <c r="D6518" s="2889" t="s">
        <v>1054</v>
      </c>
      <c r="E6518" s="2889" t="s">
        <v>217</v>
      </c>
      <c r="F6518" s="2890">
        <v>2.75924848458388E-4</v>
      </c>
      <c r="G6518" s="2890">
        <v>0.12368264548977599</v>
      </c>
    </row>
    <row r="6519" spans="2:7" ht="15" hidden="1" outlineLevel="2">
      <c r="B6519" s="2889" t="s">
        <v>1641</v>
      </c>
      <c r="C6519" s="2889" t="s">
        <v>1471</v>
      </c>
      <c r="D6519" s="2889" t="s">
        <v>1054</v>
      </c>
      <c r="E6519" s="2889" t="s">
        <v>217</v>
      </c>
      <c r="F6519" s="2890">
        <v>1.4133277522784698E-3</v>
      </c>
      <c r="G6519" s="2890">
        <v>0.63354736748174578</v>
      </c>
    </row>
    <row r="6520" spans="2:7" ht="15" hidden="1" outlineLevel="2">
      <c r="B6520" s="2889" t="s">
        <v>1642</v>
      </c>
      <c r="C6520" s="2889" t="s">
        <v>1471</v>
      </c>
      <c r="D6520" s="2889" t="s">
        <v>1054</v>
      </c>
      <c r="E6520" s="2889" t="s">
        <v>217</v>
      </c>
      <c r="F6520" s="2890">
        <v>9.970630249448722E-4</v>
      </c>
      <c r="G6520" s="2890">
        <v>0.44695539398671513</v>
      </c>
    </row>
    <row r="6521" spans="2:7" ht="15" hidden="1" outlineLevel="2">
      <c r="B6521" s="2889" t="s">
        <v>1643</v>
      </c>
      <c r="C6521" s="2889" t="s">
        <v>1471</v>
      </c>
      <c r="D6521" s="2889" t="s">
        <v>1054</v>
      </c>
      <c r="E6521" s="2889" t="s">
        <v>217</v>
      </c>
      <c r="F6521" s="2890">
        <v>1.4998162782357439E-4</v>
      </c>
      <c r="G6521" s="2890">
        <v>6.7234357786042545E-2</v>
      </c>
    </row>
    <row r="6522" spans="2:7" ht="15" hidden="1" outlineLevel="2">
      <c r="B6522" s="2889" t="s">
        <v>1644</v>
      </c>
      <c r="C6522" s="2889" t="s">
        <v>1471</v>
      </c>
      <c r="D6522" s="2889" t="s">
        <v>1054</v>
      </c>
      <c r="E6522" s="2889" t="s">
        <v>217</v>
      </c>
      <c r="F6522" s="2890">
        <v>3.3022212557755979E-3</v>
      </c>
      <c r="G6522" s="2890">
        <v>1.4802761356888992</v>
      </c>
    </row>
    <row r="6523" spans="2:7" ht="15" hidden="1" outlineLevel="2">
      <c r="B6523" s="2889" t="s">
        <v>1645</v>
      </c>
      <c r="C6523" s="2889" t="s">
        <v>1471</v>
      </c>
      <c r="D6523" s="2889" t="s">
        <v>1054</v>
      </c>
      <c r="E6523" s="2889" t="s">
        <v>217</v>
      </c>
      <c r="F6523" s="2890">
        <v>3.7712407010094982E-3</v>
      </c>
      <c r="G6523" s="2890">
        <v>1.6905223059936356</v>
      </c>
    </row>
    <row r="6524" spans="2:7" ht="15" hidden="1" outlineLevel="2">
      <c r="B6524" s="2889" t="s">
        <v>1646</v>
      </c>
      <c r="C6524" s="2889" t="s">
        <v>1471</v>
      </c>
      <c r="D6524" s="2889" t="s">
        <v>1054</v>
      </c>
      <c r="E6524" s="2889" t="s">
        <v>217</v>
      </c>
      <c r="F6524" s="2890">
        <v>2.2053276006338173E-4</v>
      </c>
      <c r="G6524" s="2890">
        <v>9.8857518859681429E-2</v>
      </c>
    </row>
    <row r="6525" spans="2:7" ht="15" hidden="1" outlineLevel="2">
      <c r="B6525" s="2889" t="s">
        <v>1647</v>
      </c>
      <c r="C6525" s="2889" t="s">
        <v>1471</v>
      </c>
      <c r="D6525" s="2889" t="s">
        <v>1054</v>
      </c>
      <c r="E6525" s="2889" t="s">
        <v>217</v>
      </c>
      <c r="F6525" s="2890">
        <v>5.5051760495545502E-4</v>
      </c>
      <c r="G6525" s="2890">
        <v>0.24676799376164682</v>
      </c>
    </row>
    <row r="6526" spans="2:7" ht="15" hidden="1" outlineLevel="2">
      <c r="B6526" s="2889" t="s">
        <v>1648</v>
      </c>
      <c r="C6526" s="2889" t="s">
        <v>1471</v>
      </c>
      <c r="D6526" s="2889" t="s">
        <v>1054</v>
      </c>
      <c r="E6526" s="2889" t="s">
        <v>217</v>
      </c>
      <c r="F6526" s="2890">
        <v>6.1719463356204598E-5</v>
      </c>
      <c r="G6526" s="2890">
        <v>2.7665582793281924E-2</v>
      </c>
    </row>
    <row r="6527" spans="2:7" ht="15" hidden="1" outlineLevel="2">
      <c r="B6527" s="2889" t="s">
        <v>1649</v>
      </c>
      <c r="C6527" s="2889" t="s">
        <v>1471</v>
      </c>
      <c r="D6527" s="2889" t="s">
        <v>1054</v>
      </c>
      <c r="E6527" s="2889" t="s">
        <v>217</v>
      </c>
      <c r="F6527" s="2890">
        <v>2.9275416914162345E-4</v>
      </c>
      <c r="G6527" s="2890">
        <v>0.13122619612968106</v>
      </c>
    </row>
    <row r="6528" spans="2:7" ht="15" hidden="1" outlineLevel="2">
      <c r="B6528" s="2889" t="s">
        <v>1650</v>
      </c>
      <c r="C6528" s="2889" t="s">
        <v>1471</v>
      </c>
      <c r="D6528" s="2889" t="s">
        <v>1054</v>
      </c>
      <c r="E6528" s="2889" t="s">
        <v>217</v>
      </c>
      <c r="F6528" s="2890">
        <v>7.3145839689421946E-4</v>
      </c>
      <c r="G6528" s="2890">
        <v>0.32787411308497344</v>
      </c>
    </row>
    <row r="6529" spans="2:7" ht="15" hidden="1" outlineLevel="2">
      <c r="B6529" s="2889" t="s">
        <v>1651</v>
      </c>
      <c r="C6529" s="2889" t="s">
        <v>1471</v>
      </c>
      <c r="D6529" s="2889" t="s">
        <v>1054</v>
      </c>
      <c r="E6529" s="2889" t="s">
        <v>217</v>
      </c>
      <c r="F6529" s="2890">
        <v>4.0020221830596565E-4</v>
      </c>
      <c r="G6529" s="2890">
        <v>0.17938958369728566</v>
      </c>
    </row>
    <row r="6530" spans="2:7" ht="15" hidden="1" outlineLevel="2">
      <c r="B6530" s="2889" t="s">
        <v>1652</v>
      </c>
      <c r="C6530" s="2889" t="s">
        <v>1471</v>
      </c>
      <c r="D6530" s="2889" t="s">
        <v>1054</v>
      </c>
      <c r="E6530" s="2889" t="s">
        <v>217</v>
      </c>
      <c r="F6530" s="2890">
        <v>4.3945703173802278E-4</v>
      </c>
      <c r="G6530" s="2890">
        <v>0.19698545847072607</v>
      </c>
    </row>
    <row r="6531" spans="2:7" ht="15" hidden="1" outlineLevel="2">
      <c r="B6531" s="2889" t="s">
        <v>1653</v>
      </c>
      <c r="C6531" s="2889" t="s">
        <v>1471</v>
      </c>
      <c r="D6531" s="2889" t="s">
        <v>1054</v>
      </c>
      <c r="E6531" s="2889" t="s">
        <v>217</v>
      </c>
      <c r="F6531" s="2890">
        <v>4.4947573044558784E-38</v>
      </c>
      <c r="G6531" s="2890">
        <v>2.0148500704412117E-35</v>
      </c>
    </row>
    <row r="6532" spans="2:7" ht="15" hidden="1" outlineLevel="2">
      <c r="B6532" s="2889" t="s">
        <v>1407</v>
      </c>
      <c r="C6532" s="2889" t="s">
        <v>1472</v>
      </c>
      <c r="D6532" s="2889" t="s">
        <v>1054</v>
      </c>
      <c r="E6532" s="2889" t="s">
        <v>217</v>
      </c>
      <c r="F6532" s="2890">
        <v>2.3470977454537914E-3</v>
      </c>
      <c r="G6532" s="2890">
        <v>3.6253676111343944</v>
      </c>
    </row>
    <row r="6533" spans="2:7" ht="15" hidden="1" outlineLevel="2">
      <c r="B6533" s="2889" t="s">
        <v>1631</v>
      </c>
      <c r="C6533" s="2889" t="s">
        <v>1472</v>
      </c>
      <c r="D6533" s="2889" t="s">
        <v>1054</v>
      </c>
      <c r="E6533" s="2889" t="s">
        <v>217</v>
      </c>
      <c r="F6533" s="2890">
        <v>3.9351792123335658E-2</v>
      </c>
      <c r="G6533" s="2890">
        <v>60.162369810044666</v>
      </c>
    </row>
    <row r="6534" spans="2:7" ht="15" hidden="1" outlineLevel="2">
      <c r="B6534" s="2889" t="s">
        <v>1632</v>
      </c>
      <c r="C6534" s="2889" t="s">
        <v>1472</v>
      </c>
      <c r="D6534" s="2889" t="s">
        <v>1054</v>
      </c>
      <c r="E6534" s="2889" t="s">
        <v>217</v>
      </c>
      <c r="F6534" s="2890">
        <v>8.9864191983006117E-2</v>
      </c>
      <c r="G6534" s="2890">
        <v>139.35493108884478</v>
      </c>
    </row>
    <row r="6535" spans="2:7" ht="15" hidden="1" outlineLevel="2">
      <c r="B6535" s="2889" t="s">
        <v>1633</v>
      </c>
      <c r="C6535" s="2889" t="s">
        <v>1472</v>
      </c>
      <c r="D6535" s="2889" t="s">
        <v>1054</v>
      </c>
      <c r="E6535" s="2889" t="s">
        <v>217</v>
      </c>
      <c r="F6535" s="3039">
        <v>7.2607902035612135E-3</v>
      </c>
      <c r="G6535" s="2890">
        <v>11.308954469233353</v>
      </c>
    </row>
    <row r="6536" spans="2:7" ht="15" hidden="1" outlineLevel="2">
      <c r="B6536" s="2889" t="s">
        <v>1634</v>
      </c>
      <c r="C6536" s="2889" t="s">
        <v>1472</v>
      </c>
      <c r="D6536" s="2889" t="s">
        <v>1054</v>
      </c>
      <c r="E6536" s="2889" t="s">
        <v>217</v>
      </c>
      <c r="F6536" s="3039">
        <v>1.3440277688796247E-3</v>
      </c>
      <c r="G6536" s="2890">
        <v>2.0960826218478226</v>
      </c>
    </row>
    <row r="6537" spans="2:7" ht="15" hidden="1" outlineLevel="2">
      <c r="B6537" s="2889" t="s">
        <v>1635</v>
      </c>
      <c r="C6537" s="2889" t="s">
        <v>1472</v>
      </c>
      <c r="D6537" s="2889" t="s">
        <v>1054</v>
      </c>
      <c r="E6537" s="2889" t="s">
        <v>217</v>
      </c>
      <c r="F6537" s="3039">
        <v>1.1400958950851661E-2</v>
      </c>
      <c r="G6537" s="2890">
        <v>17.679784702565055</v>
      </c>
    </row>
    <row r="6538" spans="2:7" ht="15" hidden="1" outlineLevel="2">
      <c r="B6538" s="2889" t="s">
        <v>1636</v>
      </c>
      <c r="C6538" s="2889" t="s">
        <v>1472</v>
      </c>
      <c r="D6538" s="2889" t="s">
        <v>1054</v>
      </c>
      <c r="E6538" s="2889" t="s">
        <v>217</v>
      </c>
      <c r="F6538" s="3039">
        <v>1.0007392632240202E-2</v>
      </c>
      <c r="G6538" s="2890">
        <v>15.52015097344926</v>
      </c>
    </row>
    <row r="6539" spans="2:7" ht="15" hidden="1" outlineLevel="2">
      <c r="B6539" s="2889" t="s">
        <v>1637</v>
      </c>
      <c r="C6539" s="2889" t="s">
        <v>1472</v>
      </c>
      <c r="D6539" s="2889" t="s">
        <v>1054</v>
      </c>
      <c r="E6539" s="2889" t="s">
        <v>217</v>
      </c>
      <c r="F6539" s="3039">
        <v>1.6548747711023767E-2</v>
      </c>
      <c r="G6539" s="2890">
        <v>25.775314195653873</v>
      </c>
    </row>
    <row r="6540" spans="2:7" ht="15" hidden="1" outlineLevel="2">
      <c r="B6540" s="2889" t="s">
        <v>1638</v>
      </c>
      <c r="C6540" s="2889" t="s">
        <v>1472</v>
      </c>
      <c r="D6540" s="2889" t="s">
        <v>1054</v>
      </c>
      <c r="E6540" s="2889" t="s">
        <v>217</v>
      </c>
      <c r="F6540" s="3039">
        <v>2.1573097177111865E-3</v>
      </c>
      <c r="G6540" s="2890">
        <v>3.3644402293941886</v>
      </c>
    </row>
    <row r="6541" spans="2:7" ht="15" hidden="1" outlineLevel="2">
      <c r="B6541" s="2889" t="s">
        <v>1639</v>
      </c>
      <c r="C6541" s="2889" t="s">
        <v>1472</v>
      </c>
      <c r="D6541" s="2889" t="s">
        <v>1054</v>
      </c>
      <c r="E6541" s="2889" t="s">
        <v>217</v>
      </c>
      <c r="F6541" s="3039">
        <v>1.986003369175577E-2</v>
      </c>
      <c r="G6541" s="2890">
        <v>30.932756537300893</v>
      </c>
    </row>
    <row r="6542" spans="2:7" ht="15" hidden="1" outlineLevel="2">
      <c r="B6542" s="2889" t="s">
        <v>1640</v>
      </c>
      <c r="C6542" s="2889" t="s">
        <v>1472</v>
      </c>
      <c r="D6542" s="2889" t="s">
        <v>1054</v>
      </c>
      <c r="E6542" s="2889" t="s">
        <v>217</v>
      </c>
      <c r="F6542" s="2890">
        <v>4.708324519139797E-3</v>
      </c>
      <c r="G6542" s="2890">
        <v>7.2725589261660737</v>
      </c>
    </row>
    <row r="6543" spans="2:7" ht="15" hidden="1" outlineLevel="2">
      <c r="B6543" s="2889" t="s">
        <v>1641</v>
      </c>
      <c r="C6543" s="2889" t="s">
        <v>1472</v>
      </c>
      <c r="D6543" s="2889" t="s">
        <v>1054</v>
      </c>
      <c r="E6543" s="2889" t="s">
        <v>217</v>
      </c>
      <c r="F6543" s="2890">
        <v>2.4022709963786602E-2</v>
      </c>
      <c r="G6543" s="2890">
        <v>37.252715297635433</v>
      </c>
    </row>
    <row r="6544" spans="2:7" ht="15" hidden="1" outlineLevel="2">
      <c r="B6544" s="2889" t="s">
        <v>1642</v>
      </c>
      <c r="C6544" s="2889" t="s">
        <v>1472</v>
      </c>
      <c r="D6544" s="2889" t="s">
        <v>1054</v>
      </c>
      <c r="E6544" s="2889" t="s">
        <v>217</v>
      </c>
      <c r="F6544" s="2890">
        <v>1.6957192169592721E-2</v>
      </c>
      <c r="G6544" s="2890">
        <v>26.281025477820023</v>
      </c>
    </row>
    <row r="6545" spans="2:7" ht="15" hidden="1" outlineLevel="2">
      <c r="B6545" s="2889" t="s">
        <v>1643</v>
      </c>
      <c r="C6545" s="2889" t="s">
        <v>1472</v>
      </c>
      <c r="D6545" s="2889" t="s">
        <v>1054</v>
      </c>
      <c r="E6545" s="2889" t="s">
        <v>217</v>
      </c>
      <c r="F6545" s="3039">
        <v>2.5539361028687041E-3</v>
      </c>
      <c r="G6545" s="2890">
        <v>3.9533902864273567</v>
      </c>
    </row>
    <row r="6546" spans="2:7" ht="15" hidden="1" outlineLevel="2">
      <c r="B6546" s="2889" t="s">
        <v>1644</v>
      </c>
      <c r="C6546" s="2889" t="s">
        <v>1472</v>
      </c>
      <c r="D6546" s="2889" t="s">
        <v>1054</v>
      </c>
      <c r="E6546" s="2889" t="s">
        <v>217</v>
      </c>
      <c r="F6546" s="2890">
        <v>5.5883349506808663E-2</v>
      </c>
      <c r="G6546" s="2890">
        <v>87.040419979185558</v>
      </c>
    </row>
    <row r="6547" spans="2:7" ht="15" hidden="1" outlineLevel="2">
      <c r="B6547" s="2889" t="s">
        <v>1645</v>
      </c>
      <c r="C6547" s="2889" t="s">
        <v>1472</v>
      </c>
      <c r="D6547" s="2889" t="s">
        <v>1054</v>
      </c>
      <c r="E6547" s="2889" t="s">
        <v>217</v>
      </c>
      <c r="F6547" s="2890">
        <v>6.3820549705336641E-2</v>
      </c>
      <c r="G6547" s="2890">
        <v>99.402951302301162</v>
      </c>
    </row>
    <row r="6548" spans="2:7" ht="15" hidden="1" outlineLevel="2">
      <c r="B6548" s="2889" t="s">
        <v>1646</v>
      </c>
      <c r="C6548" s="2889" t="s">
        <v>1472</v>
      </c>
      <c r="D6548" s="2889" t="s">
        <v>1054</v>
      </c>
      <c r="E6548" s="2889" t="s">
        <v>217</v>
      </c>
      <c r="F6548" s="3039">
        <v>3.7484536668522094E-3</v>
      </c>
      <c r="G6548" s="2890">
        <v>5.8128370859771934</v>
      </c>
    </row>
    <row r="6549" spans="2:7" ht="15" hidden="1" outlineLevel="2">
      <c r="B6549" s="2889" t="s">
        <v>1647</v>
      </c>
      <c r="C6549" s="2889" t="s">
        <v>1472</v>
      </c>
      <c r="D6549" s="2889" t="s">
        <v>1054</v>
      </c>
      <c r="E6549" s="2889" t="s">
        <v>217</v>
      </c>
      <c r="F6549" s="2890">
        <v>9.3039434698376378E-3</v>
      </c>
      <c r="G6549" s="2890">
        <v>14.509986689938351</v>
      </c>
    </row>
    <row r="6550" spans="2:7" ht="15" hidden="1" outlineLevel="2">
      <c r="B6550" s="2889" t="s">
        <v>1648</v>
      </c>
      <c r="C6550" s="2889" t="s">
        <v>1472</v>
      </c>
      <c r="D6550" s="2889" t="s">
        <v>1054</v>
      </c>
      <c r="E6550" s="2889" t="s">
        <v>217</v>
      </c>
      <c r="F6550" s="2890">
        <v>1.0430812663194597E-3</v>
      </c>
      <c r="G6550" s="2890">
        <v>1.6267404887112578</v>
      </c>
    </row>
    <row r="6551" spans="2:7" ht="15" hidden="1" outlineLevel="2">
      <c r="B6551" s="2889" t="s">
        <v>1649</v>
      </c>
      <c r="C6551" s="2889" t="s">
        <v>1472</v>
      </c>
      <c r="D6551" s="2889" t="s">
        <v>1054</v>
      </c>
      <c r="E6551" s="2889" t="s">
        <v>217</v>
      </c>
      <c r="F6551" s="2890">
        <v>4.9476486461192898E-3</v>
      </c>
      <c r="G6551" s="2890">
        <v>7.7161203438351986</v>
      </c>
    </row>
    <row r="6552" spans="2:7" ht="15" hidden="1" outlineLevel="2">
      <c r="B6552" s="2889" t="s">
        <v>1650</v>
      </c>
      <c r="C6552" s="2889" t="s">
        <v>1472</v>
      </c>
      <c r="D6552" s="2889" t="s">
        <v>1054</v>
      </c>
      <c r="E6552" s="2889" t="s">
        <v>217</v>
      </c>
      <c r="F6552" s="3039">
        <v>1.2481444754262303E-2</v>
      </c>
      <c r="G6552" s="2890">
        <v>19.279046844214552</v>
      </c>
    </row>
    <row r="6553" spans="2:7" ht="15" hidden="1" outlineLevel="2">
      <c r="B6553" s="2889" t="s">
        <v>1651</v>
      </c>
      <c r="C6553" s="2889" t="s">
        <v>1472</v>
      </c>
      <c r="D6553" s="2889" t="s">
        <v>1054</v>
      </c>
      <c r="E6553" s="2889" t="s">
        <v>217</v>
      </c>
      <c r="F6553" s="3039">
        <v>6.7635634916892477E-3</v>
      </c>
      <c r="G6553" s="2890">
        <v>10.54813584455707</v>
      </c>
    </row>
    <row r="6554" spans="2:7" ht="15" hidden="1" outlineLevel="2">
      <c r="B6554" s="2889" t="s">
        <v>1652</v>
      </c>
      <c r="C6554" s="2889" t="s">
        <v>1472</v>
      </c>
      <c r="D6554" s="2889" t="s">
        <v>1054</v>
      </c>
      <c r="E6554" s="2889" t="s">
        <v>217</v>
      </c>
      <c r="F6554" s="3039">
        <v>7.4269853303031031E-3</v>
      </c>
      <c r="G6554" s="2890">
        <v>11.582775126493615</v>
      </c>
    </row>
    <row r="6555" spans="2:7" ht="15" hidden="1" outlineLevel="2">
      <c r="B6555" s="2889" t="s">
        <v>1653</v>
      </c>
      <c r="C6555" s="2889" t="s">
        <v>1472</v>
      </c>
      <c r="D6555" s="2889" t="s">
        <v>1054</v>
      </c>
      <c r="E6555" s="2889" t="s">
        <v>217</v>
      </c>
      <c r="F6555" s="2890">
        <v>1.592384341995647E-33</v>
      </c>
      <c r="G6555" s="2890">
        <v>2.1887064362259831E-30</v>
      </c>
    </row>
    <row r="6556" spans="2:7" ht="15" hidden="1" outlineLevel="2">
      <c r="B6556" s="2889" t="s">
        <v>1407</v>
      </c>
      <c r="C6556" s="2889" t="s">
        <v>1473</v>
      </c>
      <c r="D6556" s="2889" t="s">
        <v>1054</v>
      </c>
      <c r="E6556" s="2889" t="s">
        <v>217</v>
      </c>
      <c r="F6556" s="2890">
        <v>2.0791428830115198E-5</v>
      </c>
      <c r="G6556" s="2890">
        <v>2.6790517933119217E-2</v>
      </c>
    </row>
    <row r="6557" spans="2:7" ht="15" hidden="1" outlineLevel="2">
      <c r="B6557" s="2889" t="s">
        <v>1631</v>
      </c>
      <c r="C6557" s="2889" t="s">
        <v>1473</v>
      </c>
      <c r="D6557" s="2889" t="s">
        <v>1054</v>
      </c>
      <c r="E6557" s="2889" t="s">
        <v>217</v>
      </c>
      <c r="F6557" s="2890">
        <v>3.4864731458997402E-4</v>
      </c>
      <c r="G6557" s="2890">
        <v>0.44458438956335261</v>
      </c>
    </row>
    <row r="6558" spans="2:7" ht="15" hidden="1" outlineLevel="2">
      <c r="B6558" s="2889" t="s">
        <v>1632</v>
      </c>
      <c r="C6558" s="2889" t="s">
        <v>1473</v>
      </c>
      <c r="D6558" s="2889" t="s">
        <v>1054</v>
      </c>
      <c r="E6558" s="2889" t="s">
        <v>217</v>
      </c>
      <c r="F6558" s="2890">
        <v>7.960002184926176E-4</v>
      </c>
      <c r="G6558" s="2890">
        <v>1.0297970511601284</v>
      </c>
    </row>
    <row r="6559" spans="2:7" ht="15" hidden="1" outlineLevel="2">
      <c r="B6559" s="2889" t="s">
        <v>1633</v>
      </c>
      <c r="C6559" s="2889" t="s">
        <v>1473</v>
      </c>
      <c r="D6559" s="2889" t="s">
        <v>1054</v>
      </c>
      <c r="E6559" s="2889" t="s">
        <v>217</v>
      </c>
      <c r="F6559" s="2890">
        <v>6.4310345753293928E-5</v>
      </c>
      <c r="G6559" s="2890">
        <v>8.3570269732225033E-2</v>
      </c>
    </row>
    <row r="6560" spans="2:7" ht="15" hidden="1" outlineLevel="2">
      <c r="B6560" s="2889" t="s">
        <v>1634</v>
      </c>
      <c r="C6560" s="2889" t="s">
        <v>1473</v>
      </c>
      <c r="D6560" s="2889" t="s">
        <v>1054</v>
      </c>
      <c r="E6560" s="2889" t="s">
        <v>217</v>
      </c>
      <c r="F6560" s="2890">
        <v>1.190409356162469E-5</v>
      </c>
      <c r="G6560" s="2890">
        <v>1.5489501510296764E-2</v>
      </c>
    </row>
    <row r="6561" spans="2:7" ht="15" hidden="1" outlineLevel="2">
      <c r="B6561" s="2889" t="s">
        <v>1635</v>
      </c>
      <c r="C6561" s="2889" t="s">
        <v>1473</v>
      </c>
      <c r="D6561" s="2889" t="s">
        <v>1054</v>
      </c>
      <c r="E6561" s="2889" t="s">
        <v>217</v>
      </c>
      <c r="F6561" s="2890">
        <v>1.0098754225091018E-4</v>
      </c>
      <c r="G6561" s="2890">
        <v>0.13064904033620933</v>
      </c>
    </row>
    <row r="6562" spans="2:7" ht="15" hidden="1" outlineLevel="2">
      <c r="B6562" s="2889" t="s">
        <v>1636</v>
      </c>
      <c r="C6562" s="2889" t="s">
        <v>1473</v>
      </c>
      <c r="D6562" s="2889" t="s">
        <v>1054</v>
      </c>
      <c r="E6562" s="2889" t="s">
        <v>217</v>
      </c>
      <c r="F6562" s="2890">
        <v>8.8643471087347271E-5</v>
      </c>
      <c r="G6562" s="2890">
        <v>0.11468988767337107</v>
      </c>
    </row>
    <row r="6563" spans="2:7" ht="15" hidden="1" outlineLevel="2">
      <c r="B6563" s="2889" t="s">
        <v>1637</v>
      </c>
      <c r="C6563" s="2889" t="s">
        <v>1473</v>
      </c>
      <c r="D6563" s="2889" t="s">
        <v>1054</v>
      </c>
      <c r="E6563" s="2889" t="s">
        <v>217</v>
      </c>
      <c r="F6563" s="2890">
        <v>1.4657563741830274E-4</v>
      </c>
      <c r="G6563" s="2890">
        <v>0.19047277494344422</v>
      </c>
    </row>
    <row r="6564" spans="2:7" ht="15" hidden="1" outlineLevel="2">
      <c r="B6564" s="2889" t="s">
        <v>1638</v>
      </c>
      <c r="C6564" s="2889" t="s">
        <v>1473</v>
      </c>
      <c r="D6564" s="2889" t="s">
        <v>1054</v>
      </c>
      <c r="E6564" s="2889" t="s">
        <v>217</v>
      </c>
      <c r="F6564" s="2890">
        <v>1.9107355517366003E-5</v>
      </c>
      <c r="G6564" s="2890">
        <v>2.4862328077750715E-2</v>
      </c>
    </row>
    <row r="6565" spans="2:7" ht="15" hidden="1" outlineLevel="2">
      <c r="B6565" s="2889" t="s">
        <v>1639</v>
      </c>
      <c r="C6565" s="2889" t="s">
        <v>1473</v>
      </c>
      <c r="D6565" s="2889" t="s">
        <v>1054</v>
      </c>
      <c r="E6565" s="2889" t="s">
        <v>217</v>
      </c>
      <c r="F6565" s="2890">
        <v>1.7590439120521558E-4</v>
      </c>
      <c r="G6565" s="2890">
        <v>0.22858495217807082</v>
      </c>
    </row>
    <row r="6566" spans="2:7" ht="15" hidden="1" outlineLevel="2">
      <c r="B6566" s="2889" t="s">
        <v>1640</v>
      </c>
      <c r="C6566" s="2889" t="s">
        <v>1473</v>
      </c>
      <c r="D6566" s="2889" t="s">
        <v>1054</v>
      </c>
      <c r="E6566" s="2889" t="s">
        <v>217</v>
      </c>
      <c r="F6566" s="3039">
        <v>4.1708009499922951E-5</v>
      </c>
      <c r="G6566" s="2890">
        <v>5.3742322782852493E-2</v>
      </c>
    </row>
    <row r="6567" spans="2:7" ht="15" hidden="1" outlineLevel="2">
      <c r="B6567" s="2889" t="s">
        <v>1641</v>
      </c>
      <c r="C6567" s="2889" t="s">
        <v>1473</v>
      </c>
      <c r="D6567" s="2889" t="s">
        <v>1054</v>
      </c>
      <c r="E6567" s="2889" t="s">
        <v>217</v>
      </c>
      <c r="F6567" s="3039">
        <v>2.127886342053579E-4</v>
      </c>
      <c r="G6567" s="2890">
        <v>0.27528774813832041</v>
      </c>
    </row>
    <row r="6568" spans="2:7" ht="15" hidden="1" outlineLevel="2">
      <c r="B6568" s="2889" t="s">
        <v>1642</v>
      </c>
      <c r="C6568" s="2889" t="s">
        <v>1473</v>
      </c>
      <c r="D6568" s="2889" t="s">
        <v>1054</v>
      </c>
      <c r="E6568" s="2889" t="s">
        <v>217</v>
      </c>
      <c r="F6568" s="2890">
        <v>1.5020501724367951E-4</v>
      </c>
      <c r="G6568" s="2890">
        <v>0.19421000857109755</v>
      </c>
    </row>
    <row r="6569" spans="2:7" ht="15" hidden="1" outlineLevel="2">
      <c r="B6569" s="2889" t="s">
        <v>1643</v>
      </c>
      <c r="C6569" s="2889" t="s">
        <v>1473</v>
      </c>
      <c r="D6569" s="2889" t="s">
        <v>1054</v>
      </c>
      <c r="E6569" s="2889" t="s">
        <v>217</v>
      </c>
      <c r="F6569" s="2890">
        <v>2.2622912803498214E-5</v>
      </c>
      <c r="G6569" s="2890">
        <v>2.9214513376021586E-2</v>
      </c>
    </row>
    <row r="6570" spans="2:7" ht="15" hidden="1" outlineLevel="2">
      <c r="B6570" s="2889" t="s">
        <v>1644</v>
      </c>
      <c r="C6570" s="2889" t="s">
        <v>1473</v>
      </c>
      <c r="D6570" s="2889" t="s">
        <v>1054</v>
      </c>
      <c r="E6570" s="2889" t="s">
        <v>217</v>
      </c>
      <c r="F6570" s="2890">
        <v>4.949704060485089E-4</v>
      </c>
      <c r="G6570" s="2890">
        <v>0.64320632308078496</v>
      </c>
    </row>
    <row r="6571" spans="2:7" ht="15" hidden="1" outlineLevel="2">
      <c r="B6571" s="2889" t="s">
        <v>1645</v>
      </c>
      <c r="C6571" s="2889" t="s">
        <v>1473</v>
      </c>
      <c r="D6571" s="2889" t="s">
        <v>1054</v>
      </c>
      <c r="E6571" s="2889" t="s">
        <v>217</v>
      </c>
      <c r="F6571" s="2890">
        <v>5.652717718504837E-4</v>
      </c>
      <c r="G6571" s="2890">
        <v>0.73456207968541143</v>
      </c>
    </row>
    <row r="6572" spans="2:7" ht="15" hidden="1" outlineLevel="2">
      <c r="B6572" s="2889" t="s">
        <v>1646</v>
      </c>
      <c r="C6572" s="2889" t="s">
        <v>1473</v>
      </c>
      <c r="D6572" s="2889" t="s">
        <v>1054</v>
      </c>
      <c r="E6572" s="2889" t="s">
        <v>217</v>
      </c>
      <c r="F6572" s="2890">
        <v>3.3203110162359887E-5</v>
      </c>
      <c r="G6572" s="2890">
        <v>4.2955341744417494E-2</v>
      </c>
    </row>
    <row r="6573" spans="2:7" ht="15" hidden="1" outlineLevel="2">
      <c r="B6573" s="2889" t="s">
        <v>1647</v>
      </c>
      <c r="C6573" s="2889" t="s">
        <v>1473</v>
      </c>
      <c r="D6573" s="2889" t="s">
        <v>1054</v>
      </c>
      <c r="E6573" s="2889" t="s">
        <v>217</v>
      </c>
      <c r="F6573" s="2890">
        <v>8.2405339572797271E-5</v>
      </c>
      <c r="G6573" s="2890">
        <v>0.10722508917003663</v>
      </c>
    </row>
    <row r="6574" spans="2:7" ht="15" hidden="1" outlineLevel="2">
      <c r="B6574" s="2889" t="s">
        <v>1648</v>
      </c>
      <c r="C6574" s="2889" t="s">
        <v>1473</v>
      </c>
      <c r="D6574" s="2889" t="s">
        <v>1054</v>
      </c>
      <c r="E6574" s="2889" t="s">
        <v>217</v>
      </c>
      <c r="F6574" s="2890">
        <v>9.2385970736953512E-6</v>
      </c>
      <c r="G6574" s="2890">
        <v>1.2021188143555095E-2</v>
      </c>
    </row>
    <row r="6575" spans="2:7" ht="15" hidden="1" outlineLevel="2">
      <c r="B6575" s="2889" t="s">
        <v>1649</v>
      </c>
      <c r="C6575" s="2889" t="s">
        <v>1473</v>
      </c>
      <c r="D6575" s="2889" t="s">
        <v>1054</v>
      </c>
      <c r="E6575" s="2889" t="s">
        <v>217</v>
      </c>
      <c r="F6575" s="2890">
        <v>4.3821461696402239E-5</v>
      </c>
      <c r="G6575" s="2890">
        <v>5.7020127269528313E-2</v>
      </c>
    </row>
    <row r="6576" spans="2:7" ht="15" hidden="1" outlineLevel="2">
      <c r="B6576" s="2889" t="s">
        <v>1650</v>
      </c>
      <c r="C6576" s="2889" t="s">
        <v>1473</v>
      </c>
      <c r="D6576" s="2889" t="s">
        <v>1054</v>
      </c>
      <c r="E6576" s="2889" t="s">
        <v>217</v>
      </c>
      <c r="F6576" s="2890">
        <v>1.1056507836612924E-4</v>
      </c>
      <c r="G6576" s="2890">
        <v>0.1424672198908567</v>
      </c>
    </row>
    <row r="6577" spans="2:7" ht="15" hidden="1" outlineLevel="2">
      <c r="B6577" s="2889" t="s">
        <v>1651</v>
      </c>
      <c r="C6577" s="2889" t="s">
        <v>1473</v>
      </c>
      <c r="D6577" s="2889" t="s">
        <v>1054</v>
      </c>
      <c r="E6577" s="2889" t="s">
        <v>217</v>
      </c>
      <c r="F6577" s="2890">
        <v>5.9905040942566818E-5</v>
      </c>
      <c r="G6577" s="2890">
        <v>7.7947961708111205E-2</v>
      </c>
    </row>
    <row r="6578" spans="2:7" ht="15" hidden="1" outlineLevel="2">
      <c r="B6578" s="2889" t="s">
        <v>1652</v>
      </c>
      <c r="C6578" s="2889" t="s">
        <v>1473</v>
      </c>
      <c r="D6578" s="2889" t="s">
        <v>1054</v>
      </c>
      <c r="E6578" s="2889" t="s">
        <v>217</v>
      </c>
      <c r="F6578" s="2890">
        <v>6.5781001504463952E-5</v>
      </c>
      <c r="G6578" s="2890">
        <v>8.5593652830586939E-2</v>
      </c>
    </row>
    <row r="6579" spans="2:7" ht="15" hidden="1" outlineLevel="2">
      <c r="B6579" s="2889" t="s">
        <v>1653</v>
      </c>
      <c r="C6579" s="2889" t="s">
        <v>1473</v>
      </c>
      <c r="D6579" s="2889" t="s">
        <v>1054</v>
      </c>
      <c r="E6579" s="2889" t="s">
        <v>217</v>
      </c>
      <c r="F6579" s="2890">
        <v>2.8188941846536646E-35</v>
      </c>
      <c r="G6579" s="2890">
        <v>3.6468459944899661E-32</v>
      </c>
    </row>
    <row r="6580" spans="2:7" ht="15" hidden="1" outlineLevel="2">
      <c r="B6580" s="2889" t="s">
        <v>1407</v>
      </c>
      <c r="C6580" s="2889" t="s">
        <v>1474</v>
      </c>
      <c r="D6580" s="2889" t="s">
        <v>1054</v>
      </c>
      <c r="E6580" s="2889" t="s">
        <v>217</v>
      </c>
      <c r="F6580" s="2890">
        <v>5.7191920101656076E-3</v>
      </c>
      <c r="G6580" s="2890">
        <v>6.78413957881763</v>
      </c>
    </row>
    <row r="6581" spans="2:7" ht="15" hidden="1" outlineLevel="2">
      <c r="B6581" s="2889" t="s">
        <v>1631</v>
      </c>
      <c r="C6581" s="2889" t="s">
        <v>1474</v>
      </c>
      <c r="D6581" s="2889" t="s">
        <v>1054</v>
      </c>
      <c r="E6581" s="2889" t="s">
        <v>217</v>
      </c>
      <c r="F6581" s="2890">
        <v>9.5904017693048196E-2</v>
      </c>
      <c r="G6581" s="2890">
        <v>112.58171934712634</v>
      </c>
    </row>
    <row r="6582" spans="2:7" ht="15" hidden="1" outlineLevel="2">
      <c r="B6582" s="2889" t="s">
        <v>1632</v>
      </c>
      <c r="C6582" s="2889" t="s">
        <v>1474</v>
      </c>
      <c r="D6582" s="2889" t="s">
        <v>1054</v>
      </c>
      <c r="E6582" s="2889" t="s">
        <v>217</v>
      </c>
      <c r="F6582" s="2890">
        <v>0.21895933529834</v>
      </c>
      <c r="G6582" s="2890">
        <v>260.77473919157478</v>
      </c>
    </row>
    <row r="6583" spans="2:7" ht="15" hidden="1" outlineLevel="2">
      <c r="B6583" s="2889" t="s">
        <v>1633</v>
      </c>
      <c r="C6583" s="2889" t="s">
        <v>1474</v>
      </c>
      <c r="D6583" s="2889" t="s">
        <v>1054</v>
      </c>
      <c r="E6583" s="2889" t="s">
        <v>217</v>
      </c>
      <c r="F6583" s="3039">
        <v>1.7690127908418042E-2</v>
      </c>
      <c r="G6583" s="2890">
        <v>21.162422698473296</v>
      </c>
    </row>
    <row r="6584" spans="2:7" ht="15" hidden="1" outlineLevel="2">
      <c r="B6584" s="2889" t="s">
        <v>1634</v>
      </c>
      <c r="C6584" s="2889" t="s">
        <v>1474</v>
      </c>
      <c r="D6584" s="2889" t="s">
        <v>1054</v>
      </c>
      <c r="E6584" s="2889" t="s">
        <v>217</v>
      </c>
      <c r="F6584" s="3039">
        <v>3.274511557678847E-3</v>
      </c>
      <c r="G6584" s="2890">
        <v>3.9223927002788339</v>
      </c>
    </row>
    <row r="6585" spans="2:7" ht="15" hidden="1" outlineLevel="2">
      <c r="B6585" s="2889" t="s">
        <v>1635</v>
      </c>
      <c r="C6585" s="2889" t="s">
        <v>1474</v>
      </c>
      <c r="D6585" s="2889" t="s">
        <v>1054</v>
      </c>
      <c r="E6585" s="2889" t="s">
        <v>217</v>
      </c>
      <c r="F6585" s="3039">
        <v>2.7779093259250383E-2</v>
      </c>
      <c r="G6585" s="2890">
        <v>33.084153852502311</v>
      </c>
    </row>
    <row r="6586" spans="2:7" ht="15" hidden="1" outlineLevel="2">
      <c r="B6586" s="2889" t="s">
        <v>1636</v>
      </c>
      <c r="C6586" s="2889" t="s">
        <v>1474</v>
      </c>
      <c r="D6586" s="2889" t="s">
        <v>1054</v>
      </c>
      <c r="E6586" s="2889" t="s">
        <v>217</v>
      </c>
      <c r="F6586" s="3039">
        <v>2.4383560646629374E-2</v>
      </c>
      <c r="G6586" s="2890">
        <v>29.042812974388013</v>
      </c>
    </row>
    <row r="6587" spans="2:7" ht="15" hidden="1" outlineLevel="2">
      <c r="B6587" s="2889" t="s">
        <v>1637</v>
      </c>
      <c r="C6587" s="2889" t="s">
        <v>1474</v>
      </c>
      <c r="D6587" s="2889" t="s">
        <v>1054</v>
      </c>
      <c r="E6587" s="2889" t="s">
        <v>217</v>
      </c>
      <c r="F6587" s="3039">
        <v>4.0319238293233778E-2</v>
      </c>
      <c r="G6587" s="2890">
        <v>48.233243192237964</v>
      </c>
    </row>
    <row r="6588" spans="2:7" ht="15" hidden="1" outlineLevel="2">
      <c r="B6588" s="2889" t="s">
        <v>1638</v>
      </c>
      <c r="C6588" s="2889" t="s">
        <v>1474</v>
      </c>
      <c r="D6588" s="2889" t="s">
        <v>1054</v>
      </c>
      <c r="E6588" s="2889" t="s">
        <v>217</v>
      </c>
      <c r="F6588" s="3039">
        <v>5.2559479231985458E-3</v>
      </c>
      <c r="G6588" s="2890">
        <v>6.2958651449687562</v>
      </c>
    </row>
    <row r="6589" spans="2:7" ht="15" hidden="1" outlineLevel="2">
      <c r="B6589" s="2889" t="s">
        <v>1639</v>
      </c>
      <c r="C6589" s="2889" t="s">
        <v>1474</v>
      </c>
      <c r="D6589" s="2889" t="s">
        <v>1054</v>
      </c>
      <c r="E6589" s="2889" t="s">
        <v>217</v>
      </c>
      <c r="F6589" s="3039">
        <v>4.8386811525431665E-2</v>
      </c>
      <c r="G6589" s="2890">
        <v>57.884366198126052</v>
      </c>
    </row>
    <row r="6590" spans="2:7" ht="15" hidden="1" outlineLevel="2">
      <c r="B6590" s="2889" t="s">
        <v>1640</v>
      </c>
      <c r="C6590" s="2889" t="s">
        <v>1474</v>
      </c>
      <c r="D6590" s="2889" t="s">
        <v>1054</v>
      </c>
      <c r="E6590" s="2889" t="s">
        <v>217</v>
      </c>
      <c r="F6590" s="3039">
        <v>1.1472813796787384E-2</v>
      </c>
      <c r="G6590" s="2890">
        <v>13.609107124397132</v>
      </c>
    </row>
    <row r="6591" spans="2:7" ht="15" hidden="1" outlineLevel="2">
      <c r="B6591" s="2889" t="s">
        <v>1641</v>
      </c>
      <c r="C6591" s="2889" t="s">
        <v>1474</v>
      </c>
      <c r="D6591" s="2889" t="s">
        <v>1054</v>
      </c>
      <c r="E6591" s="2889" t="s">
        <v>217</v>
      </c>
      <c r="F6591" s="3039">
        <v>5.853274717683845E-2</v>
      </c>
      <c r="G6591" s="2890">
        <v>69.710886573539142</v>
      </c>
    </row>
    <row r="6592" spans="2:7" ht="15" hidden="1" outlineLevel="2">
      <c r="B6592" s="2889" t="s">
        <v>1642</v>
      </c>
      <c r="C6592" s="2889" t="s">
        <v>1474</v>
      </c>
      <c r="D6592" s="2889" t="s">
        <v>1054</v>
      </c>
      <c r="E6592" s="2889" t="s">
        <v>217</v>
      </c>
      <c r="F6592" s="3039">
        <v>4.1317554326148309E-2</v>
      </c>
      <c r="G6592" s="2890">
        <v>49.179632655655737</v>
      </c>
    </row>
    <row r="6593" spans="2:7" ht="15" hidden="1" outlineLevel="2">
      <c r="B6593" s="2889" t="s">
        <v>1643</v>
      </c>
      <c r="C6593" s="2889" t="s">
        <v>1474</v>
      </c>
      <c r="D6593" s="2889" t="s">
        <v>1054</v>
      </c>
      <c r="E6593" s="2889" t="s">
        <v>217</v>
      </c>
      <c r="F6593" s="2890">
        <v>6.2229869871918168E-3</v>
      </c>
      <c r="G6593" s="2890">
        <v>7.3979655644450633</v>
      </c>
    </row>
    <row r="6594" spans="2:7" ht="15" hidden="1" outlineLevel="2">
      <c r="B6594" s="2889" t="s">
        <v>1644</v>
      </c>
      <c r="C6594" s="2889" t="s">
        <v>1474</v>
      </c>
      <c r="D6594" s="2889" t="s">
        <v>1054</v>
      </c>
      <c r="E6594" s="2889" t="s">
        <v>217</v>
      </c>
      <c r="F6594" s="2890">
        <v>0.13615378925898308</v>
      </c>
      <c r="G6594" s="2890">
        <v>162.87858416728668</v>
      </c>
    </row>
    <row r="6595" spans="2:7" ht="15" hidden="1" outlineLevel="2">
      <c r="B6595" s="2889" t="s">
        <v>1645</v>
      </c>
      <c r="C6595" s="2889" t="s">
        <v>1474</v>
      </c>
      <c r="D6595" s="2889" t="s">
        <v>1054</v>
      </c>
      <c r="E6595" s="2889" t="s">
        <v>217</v>
      </c>
      <c r="F6595" s="3039">
        <v>0.15549186586636338</v>
      </c>
      <c r="G6595" s="2890">
        <v>186.01249488639067</v>
      </c>
    </row>
    <row r="6596" spans="2:7" ht="15" hidden="1" outlineLevel="2">
      <c r="B6596" s="2889" t="s">
        <v>1646</v>
      </c>
      <c r="C6596" s="2889" t="s">
        <v>1474</v>
      </c>
      <c r="D6596" s="2889" t="s">
        <v>1054</v>
      </c>
      <c r="E6596" s="2889" t="s">
        <v>217</v>
      </c>
      <c r="F6596" s="2890">
        <v>9.1333270592567056E-3</v>
      </c>
      <c r="G6596" s="2890">
        <v>10.87754550107802</v>
      </c>
    </row>
    <row r="6597" spans="2:7" ht="15" hidden="1" outlineLevel="2">
      <c r="B6597" s="2889" t="s">
        <v>1647</v>
      </c>
      <c r="C6597" s="2889" t="s">
        <v>1474</v>
      </c>
      <c r="D6597" s="2889" t="s">
        <v>1054</v>
      </c>
      <c r="E6597" s="2889" t="s">
        <v>217</v>
      </c>
      <c r="F6597" s="2890">
        <v>2.2667596908859496E-2</v>
      </c>
      <c r="G6597" s="2890">
        <v>27.152517357746092</v>
      </c>
    </row>
    <row r="6598" spans="2:7" ht="15" hidden="1" outlineLevel="2">
      <c r="B6598" s="2889" t="s">
        <v>1648</v>
      </c>
      <c r="C6598" s="2889" t="s">
        <v>1474</v>
      </c>
      <c r="D6598" s="2889" t="s">
        <v>1054</v>
      </c>
      <c r="E6598" s="2889" t="s">
        <v>217</v>
      </c>
      <c r="F6598" s="2890">
        <v>2.5413033776703351E-3</v>
      </c>
      <c r="G6598" s="2890">
        <v>3.0441148174551604</v>
      </c>
    </row>
    <row r="6599" spans="2:7" ht="15" hidden="1" outlineLevel="2">
      <c r="B6599" s="2889" t="s">
        <v>1649</v>
      </c>
      <c r="C6599" s="2889" t="s">
        <v>1474</v>
      </c>
      <c r="D6599" s="2889" t="s">
        <v>1054</v>
      </c>
      <c r="E6599" s="2889" t="s">
        <v>217</v>
      </c>
      <c r="F6599" s="2890">
        <v>1.2054168421194248E-2</v>
      </c>
      <c r="G6599" s="2890">
        <v>14.439152899239401</v>
      </c>
    </row>
    <row r="6600" spans="2:7" ht="15" hidden="1" outlineLevel="2">
      <c r="B6600" s="2889" t="s">
        <v>1650</v>
      </c>
      <c r="C6600" s="2889" t="s">
        <v>1474</v>
      </c>
      <c r="D6600" s="2889" t="s">
        <v>1054</v>
      </c>
      <c r="E6600" s="2889" t="s">
        <v>217</v>
      </c>
      <c r="F6600" s="2890">
        <v>3.0413632905572131E-2</v>
      </c>
      <c r="G6600" s="2890">
        <v>36.076839006152738</v>
      </c>
    </row>
    <row r="6601" spans="2:7" ht="15" hidden="1" outlineLevel="2">
      <c r="B6601" s="2889" t="s">
        <v>1651</v>
      </c>
      <c r="C6601" s="2889" t="s">
        <v>1474</v>
      </c>
      <c r="D6601" s="2889" t="s">
        <v>1054</v>
      </c>
      <c r="E6601" s="2889" t="s">
        <v>217</v>
      </c>
      <c r="F6601" s="2890">
        <v>1.6478353630890591E-2</v>
      </c>
      <c r="G6601" s="2890">
        <v>19.738687356135554</v>
      </c>
    </row>
    <row r="6602" spans="2:7" ht="15" hidden="1" outlineLevel="2">
      <c r="B6602" s="2889" t="s">
        <v>1652</v>
      </c>
      <c r="C6602" s="2889" t="s">
        <v>1474</v>
      </c>
      <c r="D6602" s="2889" t="s">
        <v>1054</v>
      </c>
      <c r="E6602" s="2889" t="s">
        <v>217</v>
      </c>
      <c r="F6602" s="2890">
        <v>1.809467839342312E-2</v>
      </c>
      <c r="G6602" s="2890">
        <v>21.674817043067122</v>
      </c>
    </row>
    <row r="6603" spans="2:7" ht="15" hidden="1" outlineLevel="2">
      <c r="B6603" s="2889" t="s">
        <v>1653</v>
      </c>
      <c r="C6603" s="2889" t="s">
        <v>1474</v>
      </c>
      <c r="D6603" s="2889" t="s">
        <v>1054</v>
      </c>
      <c r="E6603" s="2889" t="s">
        <v>217</v>
      </c>
      <c r="F6603" s="2890">
        <v>5.2807307293900074E-33</v>
      </c>
      <c r="G6603" s="2890">
        <v>6.0145549583322237E-30</v>
      </c>
    </row>
    <row r="6604" spans="2:7" ht="15" hidden="1" outlineLevel="2">
      <c r="B6604" s="2889" t="s">
        <v>1407</v>
      </c>
      <c r="C6604" s="2889" t="s">
        <v>1475</v>
      </c>
      <c r="D6604" s="2889" t="s">
        <v>1054</v>
      </c>
      <c r="E6604" s="2889" t="s">
        <v>217</v>
      </c>
      <c r="F6604" s="2890">
        <v>4.0965872834051635E-3</v>
      </c>
      <c r="G6604" s="2890">
        <v>6.4105942367793354</v>
      </c>
    </row>
    <row r="6605" spans="2:7" ht="15" hidden="1" outlineLevel="2">
      <c r="B6605" s="2889" t="s">
        <v>1631</v>
      </c>
      <c r="C6605" s="2889" t="s">
        <v>1475</v>
      </c>
      <c r="D6605" s="2889" t="s">
        <v>1054</v>
      </c>
      <c r="E6605" s="2889" t="s">
        <v>217</v>
      </c>
      <c r="F6605" s="2890">
        <v>6.8692428760668181E-2</v>
      </c>
      <c r="G6605" s="2890">
        <v>106.38274255202634</v>
      </c>
    </row>
    <row r="6606" spans="2:7" ht="15" hidden="1" outlineLevel="2">
      <c r="B6606" s="2889" t="s">
        <v>1632</v>
      </c>
      <c r="C6606" s="2889" t="s">
        <v>1475</v>
      </c>
      <c r="D6606" s="2889" t="s">
        <v>1054</v>
      </c>
      <c r="E6606" s="2889" t="s">
        <v>217</v>
      </c>
      <c r="F6606" s="2890">
        <v>0.1568400856898968</v>
      </c>
      <c r="G6606" s="2890">
        <v>246.41602500952814</v>
      </c>
    </row>
    <row r="6607" spans="2:7" ht="15" hidden="1" outlineLevel="2">
      <c r="B6607" s="2889" t="s">
        <v>1633</v>
      </c>
      <c r="C6607" s="2889" t="s">
        <v>1475</v>
      </c>
      <c r="D6607" s="2889" t="s">
        <v>1054</v>
      </c>
      <c r="E6607" s="2889" t="s">
        <v>217</v>
      </c>
      <c r="F6607" s="2890">
        <v>1.2671597375598165E-2</v>
      </c>
      <c r="G6607" s="2890">
        <v>19.997186779984336</v>
      </c>
    </row>
    <row r="6608" spans="2:7" ht="15" hidden="1" outlineLevel="2">
      <c r="B6608" s="2889" t="s">
        <v>1634</v>
      </c>
      <c r="C6608" s="2889" t="s">
        <v>1475</v>
      </c>
      <c r="D6608" s="2889" t="s">
        <v>1054</v>
      </c>
      <c r="E6608" s="2889" t="s">
        <v>217</v>
      </c>
      <c r="F6608" s="2890">
        <v>2.3455723603111249E-3</v>
      </c>
      <c r="G6608" s="2890">
        <v>3.7064206793268251</v>
      </c>
    </row>
    <row r="6609" spans="2:7" ht="15" hidden="1" outlineLevel="2">
      <c r="B6609" s="2889" t="s">
        <v>1635</v>
      </c>
      <c r="C6609" s="2889" t="s">
        <v>1475</v>
      </c>
      <c r="D6609" s="2889" t="s">
        <v>1054</v>
      </c>
      <c r="E6609" s="2889" t="s">
        <v>217</v>
      </c>
      <c r="F6609" s="2890">
        <v>1.9898101230484726E-2</v>
      </c>
      <c r="G6609" s="2890">
        <v>31.262487885200009</v>
      </c>
    </row>
    <row r="6610" spans="2:7" ht="15" hidden="1" outlineLevel="2">
      <c r="B6610" s="2889" t="s">
        <v>1636</v>
      </c>
      <c r="C6610" s="2889" t="s">
        <v>1475</v>
      </c>
      <c r="D6610" s="2889" t="s">
        <v>1054</v>
      </c>
      <c r="E6610" s="2889" t="s">
        <v>217</v>
      </c>
      <c r="F6610" s="2890">
        <v>1.7465896143108013E-2</v>
      </c>
      <c r="G6610" s="2890">
        <v>27.443679524689365</v>
      </c>
    </row>
    <row r="6611" spans="2:7" ht="15" hidden="1" outlineLevel="2">
      <c r="B6611" s="2889" t="s">
        <v>1637</v>
      </c>
      <c r="C6611" s="2889" t="s">
        <v>1475</v>
      </c>
      <c r="D6611" s="2889" t="s">
        <v>1054</v>
      </c>
      <c r="E6611" s="2889" t="s">
        <v>217</v>
      </c>
      <c r="F6611" s="2890">
        <v>2.8881013566062715E-2</v>
      </c>
      <c r="G6611" s="2890">
        <v>45.577467531895572</v>
      </c>
    </row>
    <row r="6612" spans="2:7" ht="15" hidden="1" outlineLevel="2">
      <c r="B6612" s="2889" t="s">
        <v>1638</v>
      </c>
      <c r="C6612" s="2889" t="s">
        <v>1475</v>
      </c>
      <c r="D6612" s="2889" t="s">
        <v>1054</v>
      </c>
      <c r="E6612" s="2889" t="s">
        <v>217</v>
      </c>
      <c r="F6612" s="2890">
        <v>3.7648992049191532E-3</v>
      </c>
      <c r="G6612" s="2890">
        <v>5.9492075329649357</v>
      </c>
    </row>
    <row r="6613" spans="2:7" ht="15" hidden="1" outlineLevel="2">
      <c r="B6613" s="2889" t="s">
        <v>1639</v>
      </c>
      <c r="C6613" s="2889" t="s">
        <v>1475</v>
      </c>
      <c r="D6613" s="2889" t="s">
        <v>1054</v>
      </c>
      <c r="E6613" s="2889" t="s">
        <v>217</v>
      </c>
      <c r="F6613" s="2890">
        <v>3.465989307498922E-2</v>
      </c>
      <c r="G6613" s="2890">
        <v>54.697172684154495</v>
      </c>
    </row>
    <row r="6614" spans="2:7" ht="15" hidden="1" outlineLevel="2">
      <c r="B6614" s="2889" t="s">
        <v>1640</v>
      </c>
      <c r="C6614" s="2889" t="s">
        <v>1475</v>
      </c>
      <c r="D6614" s="2889" t="s">
        <v>1054</v>
      </c>
      <c r="E6614" s="2889" t="s">
        <v>217</v>
      </c>
      <c r="F6614" s="2890">
        <v>8.2178360258584066E-3</v>
      </c>
      <c r="G6614" s="2890">
        <v>12.859775460473136</v>
      </c>
    </row>
    <row r="6615" spans="2:7" ht="15" hidden="1" outlineLevel="2">
      <c r="B6615" s="2889" t="s">
        <v>1641</v>
      </c>
      <c r="C6615" s="2889" t="s">
        <v>1475</v>
      </c>
      <c r="D6615" s="2889" t="s">
        <v>1054</v>
      </c>
      <c r="E6615" s="2889" t="s">
        <v>217</v>
      </c>
      <c r="F6615" s="2890">
        <v>4.1926859331536594E-2</v>
      </c>
      <c r="G6615" s="2890">
        <v>65.872507198967327</v>
      </c>
    </row>
    <row r="6616" spans="2:7" ht="15" hidden="1" outlineLevel="2">
      <c r="B6616" s="2889" t="s">
        <v>1642</v>
      </c>
      <c r="C6616" s="2889" t="s">
        <v>1475</v>
      </c>
      <c r="D6616" s="2889" t="s">
        <v>1054</v>
      </c>
      <c r="E6616" s="2889" t="s">
        <v>217</v>
      </c>
      <c r="F6616" s="3039">
        <v>2.9595609959814029E-2</v>
      </c>
      <c r="G6616" s="2890">
        <v>46.471736343095998</v>
      </c>
    </row>
    <row r="6617" spans="2:7" ht="15" hidden="1" outlineLevel="2">
      <c r="B6617" s="2889" t="s">
        <v>1643</v>
      </c>
      <c r="C6617" s="2889" t="s">
        <v>1475</v>
      </c>
      <c r="D6617" s="2889" t="s">
        <v>1054</v>
      </c>
      <c r="E6617" s="2889" t="s">
        <v>217</v>
      </c>
      <c r="F6617" s="3039">
        <v>4.4574815545550791E-3</v>
      </c>
      <c r="G6617" s="2890">
        <v>6.9906235463266251</v>
      </c>
    </row>
    <row r="6618" spans="2:7" ht="15" hidden="1" outlineLevel="2">
      <c r="B6618" s="2889" t="s">
        <v>1644</v>
      </c>
      <c r="C6618" s="2889" t="s">
        <v>1475</v>
      </c>
      <c r="D6618" s="2889" t="s">
        <v>1054</v>
      </c>
      <c r="E6618" s="2889" t="s">
        <v>217</v>
      </c>
      <c r="F6618" s="3039">
        <v>9.7528093092460341E-2</v>
      </c>
      <c r="G6618" s="2890">
        <v>153.91022985669468</v>
      </c>
    </row>
    <row r="6619" spans="2:7" ht="15" hidden="1" outlineLevel="2">
      <c r="B6619" s="2889" t="s">
        <v>1645</v>
      </c>
      <c r="C6619" s="2889" t="s">
        <v>1475</v>
      </c>
      <c r="D6619" s="2889" t="s">
        <v>1054</v>
      </c>
      <c r="E6619" s="2889" t="s">
        <v>217</v>
      </c>
      <c r="F6619" s="3039">
        <v>0.11138023400817618</v>
      </c>
      <c r="G6619" s="2890">
        <v>175.77033987204032</v>
      </c>
    </row>
    <row r="6620" spans="2:7" ht="15" hidden="1" outlineLevel="2">
      <c r="B6620" s="2889" t="s">
        <v>1646</v>
      </c>
      <c r="C6620" s="2889" t="s">
        <v>1475</v>
      </c>
      <c r="D6620" s="2889" t="s">
        <v>1054</v>
      </c>
      <c r="E6620" s="2889" t="s">
        <v>217</v>
      </c>
      <c r="F6620" s="3039">
        <v>6.5421808827049038E-3</v>
      </c>
      <c r="G6620" s="2890">
        <v>10.278611511291659</v>
      </c>
    </row>
    <row r="6621" spans="2:7" ht="15" hidden="1" outlineLevel="2">
      <c r="B6621" s="2889" t="s">
        <v>1647</v>
      </c>
      <c r="C6621" s="2889" t="s">
        <v>1475</v>
      </c>
      <c r="D6621" s="2889" t="s">
        <v>1054</v>
      </c>
      <c r="E6621" s="2889" t="s">
        <v>217</v>
      </c>
      <c r="F6621" s="3039">
        <v>1.6237066587020368E-2</v>
      </c>
      <c r="G6621" s="2890">
        <v>25.657445645214295</v>
      </c>
    </row>
    <row r="6622" spans="2:7" ht="15" hidden="1" outlineLevel="2">
      <c r="B6622" s="2889" t="s">
        <v>1648</v>
      </c>
      <c r="C6622" s="2889" t="s">
        <v>1475</v>
      </c>
      <c r="D6622" s="2889" t="s">
        <v>1054</v>
      </c>
      <c r="E6622" s="2889" t="s">
        <v>217</v>
      </c>
      <c r="F6622" s="2890">
        <v>1.8203658485368972E-3</v>
      </c>
      <c r="G6622" s="2890">
        <v>2.876500397521859</v>
      </c>
    </row>
    <row r="6623" spans="2:7" ht="15" hidden="1" outlineLevel="2">
      <c r="B6623" s="2889" t="s">
        <v>1649</v>
      </c>
      <c r="C6623" s="2889" t="s">
        <v>1475</v>
      </c>
      <c r="D6623" s="2889" t="s">
        <v>1054</v>
      </c>
      <c r="E6623" s="2889" t="s">
        <v>217</v>
      </c>
      <c r="F6623" s="2890">
        <v>8.6345473829895283E-3</v>
      </c>
      <c r="G6623" s="2890">
        <v>13.644118682759089</v>
      </c>
    </row>
    <row r="6624" spans="2:7" ht="15" hidden="1" outlineLevel="2">
      <c r="B6624" s="2889" t="s">
        <v>1650</v>
      </c>
      <c r="C6624" s="2889" t="s">
        <v>1475</v>
      </c>
      <c r="D6624" s="2889" t="s">
        <v>1054</v>
      </c>
      <c r="E6624" s="2889" t="s">
        <v>217</v>
      </c>
      <c r="F6624" s="2890">
        <v>2.1784913909264129E-2</v>
      </c>
      <c r="G6624" s="2890">
        <v>34.09039598093382</v>
      </c>
    </row>
    <row r="6625" spans="2:7" ht="15" hidden="1" outlineLevel="2">
      <c r="B6625" s="2889" t="s">
        <v>1651</v>
      </c>
      <c r="C6625" s="2889" t="s">
        <v>1475</v>
      </c>
      <c r="D6625" s="2889" t="s">
        <v>1054</v>
      </c>
      <c r="E6625" s="2889" t="s">
        <v>217</v>
      </c>
      <c r="F6625" s="2890">
        <v>1.1803644215976633E-2</v>
      </c>
      <c r="G6625" s="2890">
        <v>18.651851721638163</v>
      </c>
    </row>
    <row r="6626" spans="2:7" ht="15" hidden="1" outlineLevel="2">
      <c r="B6626" s="2889" t="s">
        <v>1652</v>
      </c>
      <c r="C6626" s="2889" t="s">
        <v>1475</v>
      </c>
      <c r="D6626" s="2889" t="s">
        <v>1054</v>
      </c>
      <c r="E6626" s="2889" t="s">
        <v>217</v>
      </c>
      <c r="F6626" s="2890">
        <v>1.2961433514894267E-2</v>
      </c>
      <c r="G6626" s="2890">
        <v>20.481367408088168</v>
      </c>
    </row>
    <row r="6627" spans="2:7" ht="15" hidden="1" outlineLevel="2">
      <c r="B6627" s="2889" t="s">
        <v>1653</v>
      </c>
      <c r="C6627" s="2889" t="s">
        <v>1475</v>
      </c>
      <c r="D6627" s="2889" t="s">
        <v>1054</v>
      </c>
      <c r="E6627" s="2889" t="s">
        <v>217</v>
      </c>
      <c r="F6627" s="2890">
        <v>8.5123808420439548E-34</v>
      </c>
      <c r="G6627" s="2890">
        <v>1.1081640453670495E-30</v>
      </c>
    </row>
    <row r="6628" spans="2:7" ht="15" hidden="1" outlineLevel="2">
      <c r="B6628" s="2889" t="s">
        <v>1407</v>
      </c>
      <c r="C6628" s="2889" t="s">
        <v>1476</v>
      </c>
      <c r="D6628" s="2889" t="s">
        <v>1054</v>
      </c>
      <c r="E6628" s="2889" t="s">
        <v>217</v>
      </c>
      <c r="F6628" s="2890">
        <v>1.0086601966614546E-2</v>
      </c>
      <c r="G6628" s="2890">
        <v>12.75925244931836</v>
      </c>
    </row>
    <row r="6629" spans="2:7" ht="15" hidden="1" outlineLevel="2">
      <c r="B6629" s="2889" t="s">
        <v>1631</v>
      </c>
      <c r="C6629" s="2889" t="s">
        <v>1476</v>
      </c>
      <c r="D6629" s="2889" t="s">
        <v>1054</v>
      </c>
      <c r="E6629" s="2889" t="s">
        <v>217</v>
      </c>
      <c r="F6629" s="2890">
        <v>0.16913559068365674</v>
      </c>
      <c r="G6629" s="2890">
        <v>211.73776566086232</v>
      </c>
    </row>
    <row r="6630" spans="2:7" ht="15" hidden="1" outlineLevel="2">
      <c r="B6630" s="2889" t="s">
        <v>1632</v>
      </c>
      <c r="C6630" s="2889" t="s">
        <v>1476</v>
      </c>
      <c r="D6630" s="2889" t="s">
        <v>1054</v>
      </c>
      <c r="E6630" s="2889" t="s">
        <v>217</v>
      </c>
      <c r="F6630" s="2890">
        <v>0.38616977750008896</v>
      </c>
      <c r="G6630" s="2890">
        <v>490.45113642773418</v>
      </c>
    </row>
    <row r="6631" spans="2:7" ht="15" hidden="1" outlineLevel="2">
      <c r="B6631" s="2889" t="s">
        <v>1633</v>
      </c>
      <c r="C6631" s="2889" t="s">
        <v>1476</v>
      </c>
      <c r="D6631" s="2889" t="s">
        <v>1054</v>
      </c>
      <c r="E6631" s="2889" t="s">
        <v>217</v>
      </c>
      <c r="F6631" s="2890">
        <v>3.1199739041247045E-2</v>
      </c>
      <c r="G6631" s="2890">
        <v>39.801163941755007</v>
      </c>
    </row>
    <row r="6632" spans="2:7" ht="15" hidden="1" outlineLevel="2">
      <c r="B6632" s="2889" t="s">
        <v>1634</v>
      </c>
      <c r="C6632" s="2889" t="s">
        <v>1476</v>
      </c>
      <c r="D6632" s="2889" t="s">
        <v>1054</v>
      </c>
      <c r="E6632" s="2889" t="s">
        <v>217</v>
      </c>
      <c r="F6632" s="2890">
        <v>5.7752161000933708E-3</v>
      </c>
      <c r="G6632" s="2890">
        <v>7.377032384965589</v>
      </c>
    </row>
    <row r="6633" spans="2:7" ht="15" hidden="1" outlineLevel="2">
      <c r="B6633" s="2889" t="s">
        <v>1635</v>
      </c>
      <c r="C6633" s="2889" t="s">
        <v>1476</v>
      </c>
      <c r="D6633" s="2889" t="s">
        <v>1054</v>
      </c>
      <c r="E6633" s="2889" t="s">
        <v>217</v>
      </c>
      <c r="F6633" s="2890">
        <v>4.899287197987344E-2</v>
      </c>
      <c r="G6633" s="2890">
        <v>62.222941508706285</v>
      </c>
    </row>
    <row r="6634" spans="2:7" ht="15" hidden="1" outlineLevel="2">
      <c r="B6634" s="2889" t="s">
        <v>1636</v>
      </c>
      <c r="C6634" s="2889" t="s">
        <v>1476</v>
      </c>
      <c r="D6634" s="2889" t="s">
        <v>1054</v>
      </c>
      <c r="E6634" s="2889" t="s">
        <v>217</v>
      </c>
      <c r="F6634" s="2890">
        <v>4.3004331263589282E-2</v>
      </c>
      <c r="G6634" s="2890">
        <v>54.622198748411236</v>
      </c>
    </row>
    <row r="6635" spans="2:7" ht="15" hidden="1" outlineLevel="2">
      <c r="B6635" s="2889" t="s">
        <v>1637</v>
      </c>
      <c r="C6635" s="2889" t="s">
        <v>1476</v>
      </c>
      <c r="D6635" s="2889" t="s">
        <v>1054</v>
      </c>
      <c r="E6635" s="2889" t="s">
        <v>217</v>
      </c>
      <c r="F6635" s="2890">
        <v>7.1110251294058915E-2</v>
      </c>
      <c r="G6635" s="2890">
        <v>90.714568777791399</v>
      </c>
    </row>
    <row r="6636" spans="2:7" ht="15" hidden="1" outlineLevel="2">
      <c r="B6636" s="2889" t="s">
        <v>1638</v>
      </c>
      <c r="C6636" s="2889" t="s">
        <v>1476</v>
      </c>
      <c r="D6636" s="2889" t="s">
        <v>1054</v>
      </c>
      <c r="E6636" s="2889" t="s">
        <v>217</v>
      </c>
      <c r="F6636" s="2890">
        <v>9.2698445902685191E-3</v>
      </c>
      <c r="G6636" s="2890">
        <v>11.840934173497095</v>
      </c>
    </row>
    <row r="6637" spans="2:7" ht="15" hidden="1" outlineLevel="2">
      <c r="B6637" s="2889" t="s">
        <v>1639</v>
      </c>
      <c r="C6637" s="2889" t="s">
        <v>1476</v>
      </c>
      <c r="D6637" s="2889" t="s">
        <v>1054</v>
      </c>
      <c r="E6637" s="2889" t="s">
        <v>217</v>
      </c>
      <c r="F6637" s="2890">
        <v>8.5338891266215147E-2</v>
      </c>
      <c r="G6637" s="2890">
        <v>108.86586558904753</v>
      </c>
    </row>
    <row r="6638" spans="2:7" ht="15" hidden="1" outlineLevel="2">
      <c r="B6638" s="2889" t="s">
        <v>1640</v>
      </c>
      <c r="C6638" s="2889" t="s">
        <v>1476</v>
      </c>
      <c r="D6638" s="2889" t="s">
        <v>1054</v>
      </c>
      <c r="E6638" s="2889" t="s">
        <v>217</v>
      </c>
      <c r="F6638" s="2890">
        <v>2.0233915421044916E-2</v>
      </c>
      <c r="G6638" s="2890">
        <v>25.59530263978786</v>
      </c>
    </row>
    <row r="6639" spans="2:7" ht="15" hidden="1" outlineLevel="2">
      <c r="B6639" s="2889" t="s">
        <v>1641</v>
      </c>
      <c r="C6639" s="2889" t="s">
        <v>1476</v>
      </c>
      <c r="D6639" s="2889" t="s">
        <v>1054</v>
      </c>
      <c r="E6639" s="2889" t="s">
        <v>217</v>
      </c>
      <c r="F6639" s="2890">
        <v>0.10323182860594592</v>
      </c>
      <c r="G6639" s="2890">
        <v>131.10856538658672</v>
      </c>
    </row>
    <row r="6640" spans="2:7" ht="15" hidden="1" outlineLevel="2">
      <c r="B6640" s="2889" t="s">
        <v>1642</v>
      </c>
      <c r="C6640" s="2889" t="s">
        <v>1476</v>
      </c>
      <c r="D6640" s="2889" t="s">
        <v>1054</v>
      </c>
      <c r="E6640" s="2889" t="s">
        <v>217</v>
      </c>
      <c r="F6640" s="2890">
        <v>7.287000000126477E-2</v>
      </c>
      <c r="G6640" s="2890">
        <v>94.107736875199265</v>
      </c>
    </row>
    <row r="6641" spans="2:7" ht="15" hidden="1" outlineLevel="2">
      <c r="B6641" s="2889" t="s">
        <v>1643</v>
      </c>
      <c r="C6641" s="2889" t="s">
        <v>1476</v>
      </c>
      <c r="D6641" s="2889" t="s">
        <v>1054</v>
      </c>
      <c r="E6641" s="2889" t="s">
        <v>217</v>
      </c>
      <c r="F6641" s="2890">
        <v>1.0975177842623822E-2</v>
      </c>
      <c r="G6641" s="2890">
        <v>13.913702376200044</v>
      </c>
    </row>
    <row r="6642" spans="2:7" ht="15" hidden="1" outlineLevel="2">
      <c r="B6642" s="2889" t="s">
        <v>1644</v>
      </c>
      <c r="C6642" s="2889" t="s">
        <v>1476</v>
      </c>
      <c r="D6642" s="2889" t="s">
        <v>1054</v>
      </c>
      <c r="E6642" s="2889" t="s">
        <v>217</v>
      </c>
      <c r="F6642" s="2890">
        <v>0.2401317481744209</v>
      </c>
      <c r="G6642" s="2890">
        <v>306.33337501442378</v>
      </c>
    </row>
    <row r="6643" spans="2:7" ht="15" hidden="1" outlineLevel="2">
      <c r="B6643" s="2889" t="s">
        <v>1645</v>
      </c>
      <c r="C6643" s="2889" t="s">
        <v>1476</v>
      </c>
      <c r="D6643" s="2889" t="s">
        <v>1054</v>
      </c>
      <c r="E6643" s="2889" t="s">
        <v>217</v>
      </c>
      <c r="F6643" s="2890">
        <v>0.27423797208565281</v>
      </c>
      <c r="G6643" s="2890">
        <v>349.84230726718607</v>
      </c>
    </row>
    <row r="6644" spans="2:7" ht="15" hidden="1" outlineLevel="2">
      <c r="B6644" s="2889" t="s">
        <v>1646</v>
      </c>
      <c r="C6644" s="2889" t="s">
        <v>1476</v>
      </c>
      <c r="D6644" s="2889" t="s">
        <v>1054</v>
      </c>
      <c r="E6644" s="2889" t="s">
        <v>217</v>
      </c>
      <c r="F6644" s="2890">
        <v>1.6108082566619226E-2</v>
      </c>
      <c r="G6644" s="2890">
        <v>20.457905842967438</v>
      </c>
    </row>
    <row r="6645" spans="2:7" ht="15" hidden="1" outlineLevel="2">
      <c r="B6645" s="2889" t="s">
        <v>1647</v>
      </c>
      <c r="C6645" s="2889" t="s">
        <v>1476</v>
      </c>
      <c r="D6645" s="2889" t="s">
        <v>1054</v>
      </c>
      <c r="E6645" s="2889" t="s">
        <v>217</v>
      </c>
      <c r="F6645" s="2890">
        <v>3.9978540596252915E-2</v>
      </c>
      <c r="G6645" s="2890">
        <v>51.067021772166463</v>
      </c>
    </row>
    <row r="6646" spans="2:7" ht="15" hidden="1" outlineLevel="2">
      <c r="B6646" s="2889" t="s">
        <v>1648</v>
      </c>
      <c r="C6646" s="2889" t="s">
        <v>1476</v>
      </c>
      <c r="D6646" s="2889" t="s">
        <v>1054</v>
      </c>
      <c r="E6646" s="2889" t="s">
        <v>217</v>
      </c>
      <c r="F6646" s="2890">
        <v>4.4820633247252412E-3</v>
      </c>
      <c r="G6646" s="2890">
        <v>5.7252096919717372</v>
      </c>
    </row>
    <row r="6647" spans="2:7" ht="15" hidden="1" outlineLevel="2">
      <c r="B6647" s="2889" t="s">
        <v>1649</v>
      </c>
      <c r="C6647" s="2889" t="s">
        <v>1476</v>
      </c>
      <c r="D6647" s="2889" t="s">
        <v>1054</v>
      </c>
      <c r="E6647" s="2889" t="s">
        <v>217</v>
      </c>
      <c r="F6647" s="2890">
        <v>2.1259783682195083E-2</v>
      </c>
      <c r="G6647" s="2890">
        <v>27.156396181479636</v>
      </c>
    </row>
    <row r="6648" spans="2:7" ht="15" hidden="1" outlineLevel="2">
      <c r="B6648" s="2889" t="s">
        <v>1650</v>
      </c>
      <c r="C6648" s="2889" t="s">
        <v>1476</v>
      </c>
      <c r="D6648" s="2889" t="s">
        <v>1054</v>
      </c>
      <c r="E6648" s="2889" t="s">
        <v>217</v>
      </c>
      <c r="F6648" s="2890">
        <v>5.3638725828972458E-2</v>
      </c>
      <c r="G6648" s="2890">
        <v>67.851406511729806</v>
      </c>
    </row>
    <row r="6649" spans="2:7" ht="15" hidden="1" outlineLevel="2">
      <c r="B6649" s="2889" t="s">
        <v>1651</v>
      </c>
      <c r="C6649" s="2889" t="s">
        <v>1476</v>
      </c>
      <c r="D6649" s="2889" t="s">
        <v>1054</v>
      </c>
      <c r="E6649" s="2889" t="s">
        <v>217</v>
      </c>
      <c r="F6649" s="2890">
        <v>2.9062658882609761E-2</v>
      </c>
      <c r="G6649" s="2890">
        <v>37.123491147504978</v>
      </c>
    </row>
    <row r="6650" spans="2:7" ht="15" hidden="1" outlineLevel="2">
      <c r="B6650" s="2889" t="s">
        <v>1652</v>
      </c>
      <c r="C6650" s="2889" t="s">
        <v>1476</v>
      </c>
      <c r="D6650" s="2889" t="s">
        <v>1054</v>
      </c>
      <c r="E6650" s="2889" t="s">
        <v>217</v>
      </c>
      <c r="F6650" s="2890">
        <v>3.1913345855798587E-2</v>
      </c>
      <c r="G6650" s="2890">
        <v>40.764852541149878</v>
      </c>
    </row>
    <row r="6651" spans="2:7" ht="15" hidden="1" outlineLevel="2">
      <c r="B6651" s="2889" t="s">
        <v>1653</v>
      </c>
      <c r="C6651" s="2889" t="s">
        <v>1476</v>
      </c>
      <c r="D6651" s="2889" t="s">
        <v>1054</v>
      </c>
      <c r="E6651" s="2889" t="s">
        <v>217</v>
      </c>
      <c r="F6651" s="2890">
        <v>2.9100613553238081E-32</v>
      </c>
      <c r="G6651" s="2890">
        <v>3.8714333524127069E-29</v>
      </c>
    </row>
    <row r="6652" spans="2:7" ht="15" hidden="1" outlineLevel="2">
      <c r="B6652" s="2889" t="s">
        <v>1407</v>
      </c>
      <c r="C6652" s="2889" t="s">
        <v>1477</v>
      </c>
      <c r="D6652" s="2889" t="s">
        <v>1054</v>
      </c>
      <c r="E6652" s="2889" t="s">
        <v>217</v>
      </c>
      <c r="F6652" s="2890">
        <v>3.9453336324789083E-3</v>
      </c>
      <c r="G6652" s="2890">
        <v>5.3805788278073576</v>
      </c>
    </row>
    <row r="6653" spans="2:7" ht="15" hidden="1" outlineLevel="2">
      <c r="B6653" s="2889" t="s">
        <v>1631</v>
      </c>
      <c r="C6653" s="2889" t="s">
        <v>1477</v>
      </c>
      <c r="D6653" s="2889" t="s">
        <v>1054</v>
      </c>
      <c r="E6653" s="2889" t="s">
        <v>217</v>
      </c>
      <c r="F6653" s="2890">
        <v>6.6157611596048271E-2</v>
      </c>
      <c r="G6653" s="2890">
        <v>89.289826822928163</v>
      </c>
    </row>
    <row r="6654" spans="2:7" ht="15" hidden="1" outlineLevel="2">
      <c r="B6654" s="2889" t="s">
        <v>1632</v>
      </c>
      <c r="C6654" s="2889" t="s">
        <v>1477</v>
      </c>
      <c r="D6654" s="2889" t="s">
        <v>1054</v>
      </c>
      <c r="E6654" s="2889" t="s">
        <v>217</v>
      </c>
      <c r="F6654" s="2890">
        <v>0.15104800563103521</v>
      </c>
      <c r="G6654" s="2890">
        <v>206.82340535116322</v>
      </c>
    </row>
    <row r="6655" spans="2:7" ht="15" hidden="1" outlineLevel="2">
      <c r="B6655" s="2889" t="s">
        <v>1633</v>
      </c>
      <c r="C6655" s="2889" t="s">
        <v>1477</v>
      </c>
      <c r="D6655" s="2889" t="s">
        <v>1054</v>
      </c>
      <c r="E6655" s="2889" t="s">
        <v>217</v>
      </c>
      <c r="F6655" s="2890">
        <v>1.220351387995665E-2</v>
      </c>
      <c r="G6655" s="2890">
        <v>16.784155947371271</v>
      </c>
    </row>
    <row r="6656" spans="2:7" ht="15" hidden="1" outlineLevel="2">
      <c r="B6656" s="2889" t="s">
        <v>1634</v>
      </c>
      <c r="C6656" s="2889" t="s">
        <v>1477</v>
      </c>
      <c r="D6656" s="2889" t="s">
        <v>1054</v>
      </c>
      <c r="E6656" s="2889" t="s">
        <v>217</v>
      </c>
      <c r="F6656" s="2890">
        <v>2.2589232724588241E-3</v>
      </c>
      <c r="G6656" s="2890">
        <v>3.110895198063834</v>
      </c>
    </row>
    <row r="6657" spans="2:7" ht="15" hidden="1" outlineLevel="2">
      <c r="B6657" s="2889" t="s">
        <v>1635</v>
      </c>
      <c r="C6657" s="2889" t="s">
        <v>1477</v>
      </c>
      <c r="D6657" s="2889" t="s">
        <v>1054</v>
      </c>
      <c r="E6657" s="2889" t="s">
        <v>217</v>
      </c>
      <c r="F6657" s="2890">
        <v>1.9163271062270081E-2</v>
      </c>
      <c r="G6657" s="2890">
        <v>26.239412289042221</v>
      </c>
    </row>
    <row r="6658" spans="2:7" ht="15" hidden="1" outlineLevel="2">
      <c r="B6658" s="2889" t="s">
        <v>1636</v>
      </c>
      <c r="C6658" s="2889" t="s">
        <v>1477</v>
      </c>
      <c r="D6658" s="2889" t="s">
        <v>1054</v>
      </c>
      <c r="E6658" s="2889" t="s">
        <v>217</v>
      </c>
      <c r="F6658" s="2890">
        <v>1.6820883196031849E-2</v>
      </c>
      <c r="G6658" s="2890">
        <v>23.034190320711126</v>
      </c>
    </row>
    <row r="6659" spans="2:7" ht="15" hidden="1" outlineLevel="2">
      <c r="B6659" s="2889" t="s">
        <v>1637</v>
      </c>
      <c r="C6659" s="2889" t="s">
        <v>1477</v>
      </c>
      <c r="D6659" s="2889" t="s">
        <v>1054</v>
      </c>
      <c r="E6659" s="2889" t="s">
        <v>217</v>
      </c>
      <c r="F6659" s="2890">
        <v>2.7814187052841596E-2</v>
      </c>
      <c r="G6659" s="2890">
        <v>38.25434727696355</v>
      </c>
    </row>
    <row r="6660" spans="2:7" ht="15" hidden="1" outlineLevel="2">
      <c r="B6660" s="2889" t="s">
        <v>1638</v>
      </c>
      <c r="C6660" s="2889" t="s">
        <v>1477</v>
      </c>
      <c r="D6660" s="2889" t="s">
        <v>1054</v>
      </c>
      <c r="E6660" s="2889" t="s">
        <v>217</v>
      </c>
      <c r="F6660" s="2890">
        <v>3.6258153567567653E-3</v>
      </c>
      <c r="G6660" s="2890">
        <v>4.9933229396703203</v>
      </c>
    </row>
    <row r="6661" spans="2:7" ht="15" hidden="1" outlineLevel="2">
      <c r="B6661" s="2889" t="s">
        <v>1639</v>
      </c>
      <c r="C6661" s="2889" t="s">
        <v>1477</v>
      </c>
      <c r="D6661" s="2889" t="s">
        <v>1054</v>
      </c>
      <c r="E6661" s="2889" t="s">
        <v>217</v>
      </c>
      <c r="F6661" s="2890">
        <v>3.3379590943408637E-2</v>
      </c>
      <c r="G6661" s="2890">
        <v>45.90875483761787</v>
      </c>
    </row>
    <row r="6662" spans="2:7" ht="15" hidden="1" outlineLevel="2">
      <c r="B6662" s="2889" t="s">
        <v>1640</v>
      </c>
      <c r="C6662" s="2889" t="s">
        <v>1477</v>
      </c>
      <c r="D6662" s="2889" t="s">
        <v>1054</v>
      </c>
      <c r="E6662" s="2889" t="s">
        <v>217</v>
      </c>
      <c r="F6662" s="3039">
        <v>7.9144158356947731E-3</v>
      </c>
      <c r="G6662" s="2890">
        <v>10.793553862974365</v>
      </c>
    </row>
    <row r="6663" spans="2:7" ht="15" hidden="1" outlineLevel="2">
      <c r="B6663" s="2889" t="s">
        <v>1641</v>
      </c>
      <c r="C6663" s="2889" t="s">
        <v>1477</v>
      </c>
      <c r="D6663" s="2889" t="s">
        <v>1054</v>
      </c>
      <c r="E6663" s="2889" t="s">
        <v>217</v>
      </c>
      <c r="F6663" s="3039">
        <v>4.0378498797049113E-2</v>
      </c>
      <c r="G6663" s="2890">
        <v>55.288508255864208</v>
      </c>
    </row>
    <row r="6664" spans="2:7" ht="15" hidden="1" outlineLevel="2">
      <c r="B6664" s="2889" t="s">
        <v>1642</v>
      </c>
      <c r="C6664" s="2889" t="s">
        <v>1477</v>
      </c>
      <c r="D6664" s="2889" t="s">
        <v>1054</v>
      </c>
      <c r="E6664" s="2889" t="s">
        <v>217</v>
      </c>
      <c r="F6664" s="3039">
        <v>2.8983074227351861E-2</v>
      </c>
      <c r="G6664" s="2890">
        <v>39.685244809252723</v>
      </c>
    </row>
    <row r="6665" spans="2:7" ht="15" hidden="1" outlineLevel="2">
      <c r="B6665" s="2889" t="s">
        <v>1643</v>
      </c>
      <c r="C6665" s="2889" t="s">
        <v>1477</v>
      </c>
      <c r="D6665" s="2889" t="s">
        <v>1054</v>
      </c>
      <c r="E6665" s="2889" t="s">
        <v>217</v>
      </c>
      <c r="F6665" s="3039">
        <v>4.2928849270982405E-3</v>
      </c>
      <c r="G6665" s="2890">
        <v>5.8674133720287109</v>
      </c>
    </row>
    <row r="6666" spans="2:7" ht="15" hidden="1" outlineLevel="2">
      <c r="B6666" s="2889" t="s">
        <v>1644</v>
      </c>
      <c r="C6666" s="2889" t="s">
        <v>1477</v>
      </c>
      <c r="D6666" s="2889" t="s">
        <v>1054</v>
      </c>
      <c r="E6666" s="2889" t="s">
        <v>217</v>
      </c>
      <c r="F6666" s="3039">
        <v>9.3925517615923923E-2</v>
      </c>
      <c r="G6666" s="2890">
        <v>129.18081955568059</v>
      </c>
    </row>
    <row r="6667" spans="2:7" ht="15" hidden="1" outlineLevel="2">
      <c r="B6667" s="2889" t="s">
        <v>1645</v>
      </c>
      <c r="C6667" s="2889" t="s">
        <v>1477</v>
      </c>
      <c r="D6667" s="2889" t="s">
        <v>1054</v>
      </c>
      <c r="E6667" s="2889" t="s">
        <v>217</v>
      </c>
      <c r="F6667" s="3039">
        <v>0.10726595777636527</v>
      </c>
      <c r="G6667" s="2890">
        <v>147.52860446090148</v>
      </c>
    </row>
    <row r="6668" spans="2:7" ht="15" hidden="1" outlineLevel="2">
      <c r="B6668" s="2889" t="s">
        <v>1646</v>
      </c>
      <c r="C6668" s="2889" t="s">
        <v>1477</v>
      </c>
      <c r="D6668" s="2889" t="s">
        <v>1054</v>
      </c>
      <c r="E6668" s="2889" t="s">
        <v>217</v>
      </c>
      <c r="F6668" s="3039">
        <v>6.3005791237491313E-3</v>
      </c>
      <c r="G6668" s="2890">
        <v>8.6271011815780003</v>
      </c>
    </row>
    <row r="6669" spans="2:7" ht="15" hidden="1" outlineLevel="2">
      <c r="B6669" s="2889" t="s">
        <v>1647</v>
      </c>
      <c r="C6669" s="2889" t="s">
        <v>1477</v>
      </c>
      <c r="D6669" s="2889" t="s">
        <v>1054</v>
      </c>
      <c r="E6669" s="2889" t="s">
        <v>217</v>
      </c>
      <c r="F6669" s="3039">
        <v>1.563724727563753E-2</v>
      </c>
      <c r="G6669" s="2890">
        <v>21.534959633379145</v>
      </c>
    </row>
    <row r="6670" spans="2:7" ht="15" hidden="1" outlineLevel="2">
      <c r="B6670" s="2889" t="s">
        <v>1648</v>
      </c>
      <c r="C6670" s="2889" t="s">
        <v>1477</v>
      </c>
      <c r="D6670" s="2889" t="s">
        <v>1054</v>
      </c>
      <c r="E6670" s="2889" t="s">
        <v>217</v>
      </c>
      <c r="F6670" s="3039">
        <v>1.7531187416813059E-3</v>
      </c>
      <c r="G6670" s="2890">
        <v>2.4143222406641027</v>
      </c>
    </row>
    <row r="6671" spans="2:7" ht="15" hidden="1" outlineLevel="2">
      <c r="B6671" s="2889" t="s">
        <v>1649</v>
      </c>
      <c r="C6671" s="2889" t="s">
        <v>1477</v>
      </c>
      <c r="D6671" s="2889" t="s">
        <v>1054</v>
      </c>
      <c r="E6671" s="2889" t="s">
        <v>217</v>
      </c>
      <c r="F6671" s="3039">
        <v>8.3155711399357565E-3</v>
      </c>
      <c r="G6671" s="2890">
        <v>11.451855559446015</v>
      </c>
    </row>
    <row r="6672" spans="2:7" ht="15" hidden="1" outlineLevel="2">
      <c r="B6672" s="2889" t="s">
        <v>1650</v>
      </c>
      <c r="C6672" s="2889" t="s">
        <v>1477</v>
      </c>
      <c r="D6672" s="2889" t="s">
        <v>1054</v>
      </c>
      <c r="E6672" s="2889" t="s">
        <v>217</v>
      </c>
      <c r="F6672" s="3039">
        <v>2.098058286231734E-2</v>
      </c>
      <c r="G6672" s="2890">
        <v>28.612947773246873</v>
      </c>
    </row>
    <row r="6673" spans="2:7" ht="15" hidden="1" outlineLevel="2">
      <c r="B6673" s="2889" t="s">
        <v>1651</v>
      </c>
      <c r="C6673" s="2889" t="s">
        <v>1477</v>
      </c>
      <c r="D6673" s="2889" t="s">
        <v>1054</v>
      </c>
      <c r="E6673" s="2889" t="s">
        <v>217</v>
      </c>
      <c r="F6673" s="3039">
        <v>1.1367596695741826E-2</v>
      </c>
      <c r="G6673" s="2890">
        <v>15.654980043085438</v>
      </c>
    </row>
    <row r="6674" spans="2:7" ht="15" hidden="1" outlineLevel="2">
      <c r="B6674" s="2889" t="s">
        <v>1652</v>
      </c>
      <c r="C6674" s="2889" t="s">
        <v>1477</v>
      </c>
      <c r="D6674" s="2889" t="s">
        <v>1054</v>
      </c>
      <c r="E6674" s="2889" t="s">
        <v>217</v>
      </c>
      <c r="F6674" s="3039">
        <v>1.2482624440050657E-2</v>
      </c>
      <c r="G6674" s="2890">
        <v>17.190543420336219</v>
      </c>
    </row>
    <row r="6675" spans="2:7" ht="15" hidden="1" outlineLevel="2">
      <c r="B6675" s="2889" t="s">
        <v>1653</v>
      </c>
      <c r="C6675" s="2889" t="s">
        <v>1477</v>
      </c>
      <c r="D6675" s="2889" t="s">
        <v>1054</v>
      </c>
      <c r="E6675" s="2889" t="s">
        <v>217</v>
      </c>
      <c r="F6675" s="3039">
        <v>6.9477016515633839E-33</v>
      </c>
      <c r="G6675" s="2890">
        <v>8.9487470916639854E-30</v>
      </c>
    </row>
    <row r="6676" spans="2:7" ht="15" hidden="1" outlineLevel="2">
      <c r="B6676" s="2889" t="s">
        <v>1407</v>
      </c>
      <c r="C6676" s="2889" t="s">
        <v>1478</v>
      </c>
      <c r="D6676" s="2889" t="s">
        <v>1054</v>
      </c>
      <c r="E6676" s="2889" t="s">
        <v>217</v>
      </c>
      <c r="F6676" s="3039">
        <v>2.1261539581283786E-4</v>
      </c>
      <c r="G6676" s="2890">
        <v>0.27935609107643172</v>
      </c>
    </row>
    <row r="6677" spans="2:7" ht="15" hidden="1" outlineLevel="2">
      <c r="B6677" s="2889" t="s">
        <v>1631</v>
      </c>
      <c r="C6677" s="2889" t="s">
        <v>1478</v>
      </c>
      <c r="D6677" s="2889" t="s">
        <v>1054</v>
      </c>
      <c r="E6677" s="2889" t="s">
        <v>217</v>
      </c>
      <c r="F6677" s="3039">
        <v>3.5653070302279063E-3</v>
      </c>
      <c r="G6677" s="2890">
        <v>4.6358685431137454</v>
      </c>
    </row>
    <row r="6678" spans="2:7" ht="15" hidden="1" outlineLevel="2">
      <c r="B6678" s="2889" t="s">
        <v>1632</v>
      </c>
      <c r="C6678" s="2889" t="s">
        <v>1478</v>
      </c>
      <c r="D6678" s="2889" t="s">
        <v>1054</v>
      </c>
      <c r="E6678" s="2889" t="s">
        <v>217</v>
      </c>
      <c r="F6678" s="3039">
        <v>8.1399890491395486E-3</v>
      </c>
      <c r="G6678" s="2890">
        <v>10.738129997193372</v>
      </c>
    </row>
    <row r="6679" spans="2:7" ht="15" hidden="1" outlineLevel="2">
      <c r="B6679" s="2889" t="s">
        <v>1633</v>
      </c>
      <c r="C6679" s="2889" t="s">
        <v>1478</v>
      </c>
      <c r="D6679" s="2889" t="s">
        <v>1054</v>
      </c>
      <c r="E6679" s="2889" t="s">
        <v>217</v>
      </c>
      <c r="F6679" s="3039">
        <v>6.5764440550342281E-4</v>
      </c>
      <c r="G6679" s="2890">
        <v>0.87142237299246383</v>
      </c>
    </row>
    <row r="6680" spans="2:7" ht="15" hidden="1" outlineLevel="2">
      <c r="B6680" s="2889" t="s">
        <v>1634</v>
      </c>
      <c r="C6680" s="2889" t="s">
        <v>1478</v>
      </c>
      <c r="D6680" s="2889" t="s">
        <v>1054</v>
      </c>
      <c r="E6680" s="2889" t="s">
        <v>217</v>
      </c>
      <c r="F6680" s="3039">
        <v>1.2173258292096384E-4</v>
      </c>
      <c r="G6680" s="2890">
        <v>0.1615155729366928</v>
      </c>
    </row>
    <row r="6681" spans="2:7" ht="15" hidden="1" outlineLevel="2">
      <c r="B6681" s="2889" t="s">
        <v>1635</v>
      </c>
      <c r="C6681" s="2889" t="s">
        <v>1478</v>
      </c>
      <c r="D6681" s="2889" t="s">
        <v>1054</v>
      </c>
      <c r="E6681" s="2889" t="s">
        <v>217</v>
      </c>
      <c r="F6681" s="3039">
        <v>1.0327097475297995E-3</v>
      </c>
      <c r="G6681" s="2890">
        <v>1.3623336205022971</v>
      </c>
    </row>
    <row r="6682" spans="2:7" ht="15" hidden="1" outlineLevel="2">
      <c r="B6682" s="2889" t="s">
        <v>1636</v>
      </c>
      <c r="C6682" s="2889" t="s">
        <v>1478</v>
      </c>
      <c r="D6682" s="2889" t="s">
        <v>1054</v>
      </c>
      <c r="E6682" s="2889" t="s">
        <v>217</v>
      </c>
      <c r="F6682" s="3039">
        <v>9.0647797887975843E-4</v>
      </c>
      <c r="G6682" s="2890">
        <v>1.1959199792526203</v>
      </c>
    </row>
    <row r="6683" spans="2:7" ht="15" hidden="1" outlineLevel="2">
      <c r="B6683" s="2889" t="s">
        <v>1637</v>
      </c>
      <c r="C6683" s="2889" t="s">
        <v>1478</v>
      </c>
      <c r="D6683" s="2889" t="s">
        <v>1054</v>
      </c>
      <c r="E6683" s="2889" t="s">
        <v>217</v>
      </c>
      <c r="F6683" s="3039">
        <v>1.4988992031008239E-3</v>
      </c>
      <c r="G6683" s="2890">
        <v>1.9861407444479708</v>
      </c>
    </row>
    <row r="6684" spans="2:7" ht="15" hidden="1" outlineLevel="2">
      <c r="B6684" s="2889" t="s">
        <v>1638</v>
      </c>
      <c r="C6684" s="2889" t="s">
        <v>1478</v>
      </c>
      <c r="D6684" s="2889" t="s">
        <v>1054</v>
      </c>
      <c r="E6684" s="2889" t="s">
        <v>217</v>
      </c>
      <c r="F6684" s="3039">
        <v>1.9539388939575217E-4</v>
      </c>
      <c r="G6684" s="2890">
        <v>0.2592500348223517</v>
      </c>
    </row>
    <row r="6685" spans="2:7" ht="15" hidden="1" outlineLevel="2">
      <c r="B6685" s="2889" t="s">
        <v>1639</v>
      </c>
      <c r="C6685" s="2889" t="s">
        <v>1478</v>
      </c>
      <c r="D6685" s="2889" t="s">
        <v>1054</v>
      </c>
      <c r="E6685" s="2889" t="s">
        <v>217</v>
      </c>
      <c r="F6685" s="3039">
        <v>1.7988174938507319E-3</v>
      </c>
      <c r="G6685" s="2890">
        <v>2.3835522322157363</v>
      </c>
    </row>
    <row r="6686" spans="2:7" ht="15" hidden="1" outlineLevel="2">
      <c r="B6686" s="2889" t="s">
        <v>1640</v>
      </c>
      <c r="C6686" s="2889" t="s">
        <v>1478</v>
      </c>
      <c r="D6686" s="2889" t="s">
        <v>1054</v>
      </c>
      <c r="E6686" s="2889" t="s">
        <v>217</v>
      </c>
      <c r="F6686" s="3039">
        <v>4.2651075606968056E-4</v>
      </c>
      <c r="G6686" s="2890">
        <v>0.56039386362490407</v>
      </c>
    </row>
    <row r="6687" spans="2:7" ht="15" hidden="1" outlineLevel="2">
      <c r="B6687" s="2889" t="s">
        <v>1641</v>
      </c>
      <c r="C6687" s="2889" t="s">
        <v>1478</v>
      </c>
      <c r="D6687" s="2889" t="s">
        <v>1054</v>
      </c>
      <c r="E6687" s="2889" t="s">
        <v>217</v>
      </c>
      <c r="F6687" s="2890">
        <v>2.1760004173757433E-3</v>
      </c>
      <c r="G6687" s="2890">
        <v>2.8705424742670442</v>
      </c>
    </row>
    <row r="6688" spans="2:7" ht="15" hidden="1" outlineLevel="2">
      <c r="B6688" s="2889" t="s">
        <v>1642</v>
      </c>
      <c r="C6688" s="2889" t="s">
        <v>1478</v>
      </c>
      <c r="D6688" s="2889" t="s">
        <v>1054</v>
      </c>
      <c r="E6688" s="2889" t="s">
        <v>217</v>
      </c>
      <c r="F6688" s="2890">
        <v>1.5618994148667948E-3</v>
      </c>
      <c r="G6688" s="2890">
        <v>2.0604313156162117</v>
      </c>
    </row>
    <row r="6689" spans="2:7" ht="15" hidden="1" outlineLevel="2">
      <c r="B6689" s="2889" t="s">
        <v>1643</v>
      </c>
      <c r="C6689" s="2889" t="s">
        <v>1478</v>
      </c>
      <c r="D6689" s="2889" t="s">
        <v>1054</v>
      </c>
      <c r="E6689" s="2889" t="s">
        <v>217</v>
      </c>
      <c r="F6689" s="2890">
        <v>2.3134434651014214E-4</v>
      </c>
      <c r="G6689" s="2890">
        <v>0.30463202696399411</v>
      </c>
    </row>
    <row r="6690" spans="2:7" ht="15" hidden="1" outlineLevel="2">
      <c r="B6690" s="2889" t="s">
        <v>1644</v>
      </c>
      <c r="C6690" s="2889" t="s">
        <v>1478</v>
      </c>
      <c r="D6690" s="2889" t="s">
        <v>1054</v>
      </c>
      <c r="E6690" s="2889" t="s">
        <v>217</v>
      </c>
      <c r="F6690" s="2890">
        <v>5.0616211827888081E-3</v>
      </c>
      <c r="G6690" s="2890">
        <v>6.7069835744016881</v>
      </c>
    </row>
    <row r="6691" spans="2:7" ht="15" hidden="1" outlineLevel="2">
      <c r="B6691" s="2889" t="s">
        <v>1645</v>
      </c>
      <c r="C6691" s="2889" t="s">
        <v>1478</v>
      </c>
      <c r="D6691" s="2889" t="s">
        <v>1054</v>
      </c>
      <c r="E6691" s="2889" t="s">
        <v>217</v>
      </c>
      <c r="F6691" s="2890">
        <v>5.7805337967976704E-3</v>
      </c>
      <c r="G6691" s="2890">
        <v>7.6595859810700446</v>
      </c>
    </row>
    <row r="6692" spans="2:7" ht="15" hidden="1" outlineLevel="2">
      <c r="B6692" s="2889" t="s">
        <v>1646</v>
      </c>
      <c r="C6692" s="2889" t="s">
        <v>1478</v>
      </c>
      <c r="D6692" s="2889" t="s">
        <v>1054</v>
      </c>
      <c r="E6692" s="2889" t="s">
        <v>217</v>
      </c>
      <c r="F6692" s="2890">
        <v>3.3953858530170832E-4</v>
      </c>
      <c r="G6692" s="2890">
        <v>0.4479135190870025</v>
      </c>
    </row>
    <row r="6693" spans="2:7" ht="15" hidden="1" outlineLevel="2">
      <c r="B6693" s="2889" t="s">
        <v>1647</v>
      </c>
      <c r="C6693" s="2889" t="s">
        <v>1478</v>
      </c>
      <c r="D6693" s="2889" t="s">
        <v>1054</v>
      </c>
      <c r="E6693" s="2889" t="s">
        <v>217</v>
      </c>
      <c r="F6693" s="2890">
        <v>8.4268602086911659E-4</v>
      </c>
      <c r="G6693" s="2890">
        <v>1.1180806003255719</v>
      </c>
    </row>
    <row r="6694" spans="2:7" ht="15" hidden="1" outlineLevel="2">
      <c r="B6694" s="2889" t="s">
        <v>1648</v>
      </c>
      <c r="C6694" s="2889" t="s">
        <v>1478</v>
      </c>
      <c r="D6694" s="2889" t="s">
        <v>1054</v>
      </c>
      <c r="E6694" s="2889" t="s">
        <v>217</v>
      </c>
      <c r="F6694" s="2890">
        <v>9.4474902048765928E-5</v>
      </c>
      <c r="G6694" s="2890">
        <v>0.12534993576041117</v>
      </c>
    </row>
    <row r="6695" spans="2:7" ht="15" hidden="1" outlineLevel="2">
      <c r="B6695" s="2889" t="s">
        <v>1649</v>
      </c>
      <c r="C6695" s="2889" t="s">
        <v>1478</v>
      </c>
      <c r="D6695" s="2889" t="s">
        <v>1054</v>
      </c>
      <c r="E6695" s="2889" t="s">
        <v>217</v>
      </c>
      <c r="F6695" s="2890">
        <v>4.4812313000956261E-4</v>
      </c>
      <c r="G6695" s="2890">
        <v>0.59457254806912563</v>
      </c>
    </row>
    <row r="6696" spans="2:7" ht="15" hidden="1" outlineLevel="2">
      <c r="B6696" s="2889" t="s">
        <v>1650</v>
      </c>
      <c r="C6696" s="2889" t="s">
        <v>1478</v>
      </c>
      <c r="D6696" s="2889" t="s">
        <v>1054</v>
      </c>
      <c r="E6696" s="2889" t="s">
        <v>217</v>
      </c>
      <c r="F6696" s="2890">
        <v>1.1306506893197315E-3</v>
      </c>
      <c r="G6696" s="2890">
        <v>1.4855659539702772</v>
      </c>
    </row>
    <row r="6697" spans="2:7" ht="15" hidden="1" outlineLevel="2">
      <c r="B6697" s="2889" t="s">
        <v>1651</v>
      </c>
      <c r="C6697" s="2889" t="s">
        <v>1478</v>
      </c>
      <c r="D6697" s="2889" t="s">
        <v>1054</v>
      </c>
      <c r="E6697" s="2889" t="s">
        <v>217</v>
      </c>
      <c r="F6697" s="2890">
        <v>6.1259590889929216E-4</v>
      </c>
      <c r="G6697" s="2890">
        <v>0.81279590337117424</v>
      </c>
    </row>
    <row r="6698" spans="2:7" ht="15" hidden="1" outlineLevel="2">
      <c r="B6698" s="2889" t="s">
        <v>1652</v>
      </c>
      <c r="C6698" s="2889" t="s">
        <v>1478</v>
      </c>
      <c r="D6698" s="2889" t="s">
        <v>1054</v>
      </c>
      <c r="E6698" s="2889" t="s">
        <v>217</v>
      </c>
      <c r="F6698" s="2890">
        <v>6.7268399845940292E-4</v>
      </c>
      <c r="G6698" s="2890">
        <v>0.89252159627275429</v>
      </c>
    </row>
    <row r="6699" spans="2:7" ht="15" hidden="1" outlineLevel="2">
      <c r="B6699" s="2889" t="s">
        <v>1653</v>
      </c>
      <c r="C6699" s="2889" t="s">
        <v>1478</v>
      </c>
      <c r="D6699" s="2889" t="s">
        <v>1054</v>
      </c>
      <c r="E6699" s="2889" t="s">
        <v>217</v>
      </c>
      <c r="F6699" s="2890">
        <v>6.3111657622653414E-34</v>
      </c>
      <c r="G6699" s="2890">
        <v>7.9647149724644296E-31</v>
      </c>
    </row>
    <row r="6700" spans="2:7" ht="15" hidden="1" outlineLevel="2">
      <c r="B6700" s="2889" t="s">
        <v>1407</v>
      </c>
      <c r="C6700" s="2889" t="s">
        <v>1479</v>
      </c>
      <c r="D6700" s="2889" t="s">
        <v>1054</v>
      </c>
      <c r="E6700" s="2889" t="s">
        <v>217</v>
      </c>
      <c r="F6700" s="2890">
        <v>7.5173782339259861E-3</v>
      </c>
      <c r="G6700" s="2890">
        <v>11.264093231981585</v>
      </c>
    </row>
    <row r="6701" spans="2:7" ht="15" hidden="1" outlineLevel="2">
      <c r="B6701" s="2889" t="s">
        <v>1631</v>
      </c>
      <c r="C6701" s="2889" t="s">
        <v>1479</v>
      </c>
      <c r="D6701" s="2889" t="s">
        <v>1054</v>
      </c>
      <c r="E6701" s="2889" t="s">
        <v>217</v>
      </c>
      <c r="F6701" s="2890">
        <v>0.12603708479081513</v>
      </c>
      <c r="G6701" s="2890">
        <v>186.9257999695933</v>
      </c>
    </row>
    <row r="6702" spans="2:7" ht="15" hidden="1" outlineLevel="2">
      <c r="B6702" s="2889" t="s">
        <v>1632</v>
      </c>
      <c r="C6702" s="2889" t="s">
        <v>1479</v>
      </c>
      <c r="D6702" s="2889" t="s">
        <v>1054</v>
      </c>
      <c r="E6702" s="2889" t="s">
        <v>217</v>
      </c>
      <c r="F6702" s="2890">
        <v>0.28782100757752993</v>
      </c>
      <c r="G6702" s="2890">
        <v>432.97922902867367</v>
      </c>
    </row>
    <row r="6703" spans="2:7" ht="15" hidden="1" outlineLevel="2">
      <c r="B6703" s="2889" t="s">
        <v>1633</v>
      </c>
      <c r="C6703" s="2889" t="s">
        <v>1479</v>
      </c>
      <c r="D6703" s="2889" t="s">
        <v>1054</v>
      </c>
      <c r="E6703" s="2889" t="s">
        <v>217</v>
      </c>
      <c r="F6703" s="2890">
        <v>2.325521162964073E-2</v>
      </c>
      <c r="G6703" s="2890">
        <v>35.137177917999239</v>
      </c>
    </row>
    <row r="6704" spans="2:7" ht="15" hidden="1" outlineLevel="2">
      <c r="B6704" s="2889" t="s">
        <v>1634</v>
      </c>
      <c r="C6704" s="2889" t="s">
        <v>1479</v>
      </c>
      <c r="D6704" s="2889" t="s">
        <v>1054</v>
      </c>
      <c r="E6704" s="2889" t="s">
        <v>217</v>
      </c>
      <c r="F6704" s="2890">
        <v>4.3047189603625437E-3</v>
      </c>
      <c r="G6704" s="2890">
        <v>6.5125743718652265</v>
      </c>
    </row>
    <row r="6705" spans="2:7" ht="15" hidden="1" outlineLevel="2">
      <c r="B6705" s="2889" t="s">
        <v>1635</v>
      </c>
      <c r="C6705" s="2889" t="s">
        <v>1479</v>
      </c>
      <c r="D6705" s="2889" t="s">
        <v>1054</v>
      </c>
      <c r="E6705" s="2889" t="s">
        <v>217</v>
      </c>
      <c r="F6705" s="2890">
        <v>3.6515493829710616E-2</v>
      </c>
      <c r="G6705" s="2890">
        <v>54.931510291209484</v>
      </c>
    </row>
    <row r="6706" spans="2:7" ht="15" hidden="1" outlineLevel="2">
      <c r="B6706" s="2889" t="s">
        <v>1636</v>
      </c>
      <c r="C6706" s="2889" t="s">
        <v>1479</v>
      </c>
      <c r="D6706" s="2889" t="s">
        <v>1054</v>
      </c>
      <c r="E6706" s="2889" t="s">
        <v>217</v>
      </c>
      <c r="F6706" s="2890">
        <v>3.2052119073147284E-2</v>
      </c>
      <c r="G6706" s="2890">
        <v>48.22143993860842</v>
      </c>
    </row>
    <row r="6707" spans="2:7" ht="15" hidden="1" outlineLevel="2">
      <c r="B6707" s="2889" t="s">
        <v>1637</v>
      </c>
      <c r="C6707" s="2889" t="s">
        <v>1479</v>
      </c>
      <c r="D6707" s="2889" t="s">
        <v>1054</v>
      </c>
      <c r="E6707" s="2889" t="s">
        <v>217</v>
      </c>
      <c r="F6707" s="3039">
        <v>5.3003109995902034E-2</v>
      </c>
      <c r="G6707" s="2890">
        <v>80.084420762005664</v>
      </c>
    </row>
    <row r="6708" spans="2:7" ht="15" hidden="1" outlineLevel="2">
      <c r="B6708" s="2889" t="s">
        <v>1638</v>
      </c>
      <c r="C6708" s="2889" t="s">
        <v>1479</v>
      </c>
      <c r="D6708" s="2889" t="s">
        <v>1054</v>
      </c>
      <c r="E6708" s="2889" t="s">
        <v>217</v>
      </c>
      <c r="F6708" s="3039">
        <v>6.909539159596861E-3</v>
      </c>
      <c r="G6708" s="2890">
        <v>10.453387497717284</v>
      </c>
    </row>
    <row r="6709" spans="2:7" ht="15" hidden="1" outlineLevel="2">
      <c r="B6709" s="2889" t="s">
        <v>1639</v>
      </c>
      <c r="C6709" s="2889" t="s">
        <v>1479</v>
      </c>
      <c r="D6709" s="2889" t="s">
        <v>1054</v>
      </c>
      <c r="E6709" s="2889" t="s">
        <v>217</v>
      </c>
      <c r="F6709" s="3039">
        <v>6.3608655322207261E-2</v>
      </c>
      <c r="G6709" s="2890">
        <v>96.108742032228008</v>
      </c>
    </row>
    <row r="6710" spans="2:7" ht="15" hidden="1" outlineLevel="2">
      <c r="B6710" s="2889" t="s">
        <v>1640</v>
      </c>
      <c r="C6710" s="2889" t="s">
        <v>1479</v>
      </c>
      <c r="D6710" s="2889" t="s">
        <v>1054</v>
      </c>
      <c r="E6710" s="2889" t="s">
        <v>217</v>
      </c>
      <c r="F6710" s="3039">
        <v>1.5080007604084037E-2</v>
      </c>
      <c r="G6710" s="2890">
        <v>22.595998245146657</v>
      </c>
    </row>
    <row r="6711" spans="2:7" ht="15" hidden="1" outlineLevel="2">
      <c r="B6711" s="2889" t="s">
        <v>1641</v>
      </c>
      <c r="C6711" s="2889" t="s">
        <v>1479</v>
      </c>
      <c r="D6711" s="2889" t="s">
        <v>1054</v>
      </c>
      <c r="E6711" s="2889" t="s">
        <v>217</v>
      </c>
      <c r="F6711" s="3039">
        <v>7.6940981517430382E-2</v>
      </c>
      <c r="G6711" s="2890">
        <v>115.74499382138103</v>
      </c>
    </row>
    <row r="6712" spans="2:7" ht="15" hidden="1" outlineLevel="2">
      <c r="B6712" s="2889" t="s">
        <v>1642</v>
      </c>
      <c r="C6712" s="2889" t="s">
        <v>1479</v>
      </c>
      <c r="D6712" s="2889" t="s">
        <v>1054</v>
      </c>
      <c r="E6712" s="2889" t="s">
        <v>217</v>
      </c>
      <c r="F6712" s="3039">
        <v>5.5227058949910118E-2</v>
      </c>
      <c r="G6712" s="2890">
        <v>83.079966785053074</v>
      </c>
    </row>
    <row r="6713" spans="2:7" ht="15" hidden="1" outlineLevel="2">
      <c r="B6713" s="2889" t="s">
        <v>1643</v>
      </c>
      <c r="C6713" s="2889" t="s">
        <v>1479</v>
      </c>
      <c r="D6713" s="2889" t="s">
        <v>1054</v>
      </c>
      <c r="E6713" s="2889" t="s">
        <v>217</v>
      </c>
      <c r="F6713" s="3039">
        <v>8.1798528402472464E-3</v>
      </c>
      <c r="G6713" s="2890">
        <v>12.283264860607348</v>
      </c>
    </row>
    <row r="6714" spans="2:7" ht="15" hidden="1" outlineLevel="2">
      <c r="B6714" s="2889" t="s">
        <v>1644</v>
      </c>
      <c r="C6714" s="2889" t="s">
        <v>1479</v>
      </c>
      <c r="D6714" s="2889" t="s">
        <v>1054</v>
      </c>
      <c r="E6714" s="2889" t="s">
        <v>217</v>
      </c>
      <c r="F6714" s="2890">
        <v>0.17898588295493581</v>
      </c>
      <c r="G6714" s="2890">
        <v>270.4365567230243</v>
      </c>
    </row>
    <row r="6715" spans="2:7" ht="15" hidden="1" outlineLevel="2">
      <c r="B6715" s="2889" t="s">
        <v>1645</v>
      </c>
      <c r="C6715" s="2889" t="s">
        <v>1479</v>
      </c>
      <c r="D6715" s="2889" t="s">
        <v>1054</v>
      </c>
      <c r="E6715" s="2889" t="s">
        <v>217</v>
      </c>
      <c r="F6715" s="2890">
        <v>0.20440750781713052</v>
      </c>
      <c r="G6715" s="2890">
        <v>308.84719825140365</v>
      </c>
    </row>
    <row r="6716" spans="2:7" ht="15" hidden="1" outlineLevel="2">
      <c r="B6716" s="2889" t="s">
        <v>1646</v>
      </c>
      <c r="C6716" s="2889" t="s">
        <v>1479</v>
      </c>
      <c r="D6716" s="2889" t="s">
        <v>1054</v>
      </c>
      <c r="E6716" s="2889" t="s">
        <v>217</v>
      </c>
      <c r="F6716" s="2890">
        <v>1.2005711011566219E-2</v>
      </c>
      <c r="G6716" s="2890">
        <v>18.060603768148411</v>
      </c>
    </row>
    <row r="6717" spans="2:7" ht="15" hidden="1" outlineLevel="2">
      <c r="B6717" s="2889" t="s">
        <v>1647</v>
      </c>
      <c r="C6717" s="2889" t="s">
        <v>1479</v>
      </c>
      <c r="D6717" s="2889" t="s">
        <v>1054</v>
      </c>
      <c r="E6717" s="2889" t="s">
        <v>217</v>
      </c>
      <c r="F6717" s="2890">
        <v>2.9799137563480658E-2</v>
      </c>
      <c r="G6717" s="2890">
        <v>45.082870029187227</v>
      </c>
    </row>
    <row r="6718" spans="2:7" ht="15" hidden="1" outlineLevel="2">
      <c r="B6718" s="2889" t="s">
        <v>1648</v>
      </c>
      <c r="C6718" s="2889" t="s">
        <v>1479</v>
      </c>
      <c r="D6718" s="2889" t="s">
        <v>1054</v>
      </c>
      <c r="E6718" s="2889" t="s">
        <v>217</v>
      </c>
      <c r="F6718" s="2890">
        <v>3.3408319455174797E-3</v>
      </c>
      <c r="G6718" s="2890">
        <v>5.0543174371653832</v>
      </c>
    </row>
    <row r="6719" spans="2:7" ht="15" hidden="1" outlineLevel="2">
      <c r="B6719" s="2889" t="s">
        <v>1649</v>
      </c>
      <c r="C6719" s="2889" t="s">
        <v>1479</v>
      </c>
      <c r="D6719" s="2889" t="s">
        <v>1054</v>
      </c>
      <c r="E6719" s="2889" t="s">
        <v>217</v>
      </c>
      <c r="F6719" s="2890">
        <v>1.5846574765203243E-2</v>
      </c>
      <c r="G6719" s="2890">
        <v>23.974167065215767</v>
      </c>
    </row>
    <row r="6720" spans="2:7" ht="15" hidden="1" outlineLevel="2">
      <c r="B6720" s="2889" t="s">
        <v>1650</v>
      </c>
      <c r="C6720" s="2889" t="s">
        <v>1479</v>
      </c>
      <c r="D6720" s="2889" t="s">
        <v>1054</v>
      </c>
      <c r="E6720" s="2889" t="s">
        <v>217</v>
      </c>
      <c r="F6720" s="2890">
        <v>3.9976069578128416E-2</v>
      </c>
      <c r="G6720" s="2890">
        <v>59.900436475507803</v>
      </c>
    </row>
    <row r="6721" spans="2:7" ht="15" hidden="1" outlineLevel="2">
      <c r="B6721" s="2889" t="s">
        <v>1651</v>
      </c>
      <c r="C6721" s="2889" t="s">
        <v>1479</v>
      </c>
      <c r="D6721" s="2889" t="s">
        <v>1054</v>
      </c>
      <c r="E6721" s="2889" t="s">
        <v>217</v>
      </c>
      <c r="F6721" s="2890">
        <v>2.166267153228223E-2</v>
      </c>
      <c r="G6721" s="2890">
        <v>32.773275569895773</v>
      </c>
    </row>
    <row r="6722" spans="2:7" ht="15" hidden="1" outlineLevel="2">
      <c r="B6722" s="2889" t="s">
        <v>1652</v>
      </c>
      <c r="C6722" s="2889" t="s">
        <v>1479</v>
      </c>
      <c r="D6722" s="2889" t="s">
        <v>1054</v>
      </c>
      <c r="E6722" s="2889" t="s">
        <v>217</v>
      </c>
      <c r="F6722" s="2890">
        <v>2.3787504076747408E-2</v>
      </c>
      <c r="G6722" s="2890">
        <v>35.987942143022401</v>
      </c>
    </row>
    <row r="6723" spans="2:7" ht="15" hidden="1" outlineLevel="2">
      <c r="B6723" s="2889" t="s">
        <v>1653</v>
      </c>
      <c r="C6723" s="2889" t="s">
        <v>1479</v>
      </c>
      <c r="D6723" s="2889" t="s">
        <v>1054</v>
      </c>
      <c r="E6723" s="2889" t="s">
        <v>217</v>
      </c>
      <c r="F6723" s="2890">
        <v>7.7763069249459399E-34</v>
      </c>
      <c r="G6723" s="2890">
        <v>1.3915771514807513E-30</v>
      </c>
    </row>
    <row r="6724" spans="2:7" ht="15" hidden="1" outlineLevel="2">
      <c r="B6724" s="2889" t="s">
        <v>1407</v>
      </c>
      <c r="C6724" s="2889" t="s">
        <v>1480</v>
      </c>
      <c r="D6724" s="2889" t="s">
        <v>1054</v>
      </c>
      <c r="E6724" s="2889" t="s">
        <v>217</v>
      </c>
      <c r="F6724" s="2890">
        <v>3.3837862718013156E-3</v>
      </c>
      <c r="G6724" s="2890">
        <v>3.8795353341208401</v>
      </c>
    </row>
    <row r="6725" spans="2:7" ht="15" hidden="1" outlineLevel="2">
      <c r="B6725" s="2889" t="s">
        <v>1631</v>
      </c>
      <c r="C6725" s="2889" t="s">
        <v>1480</v>
      </c>
      <c r="D6725" s="2889" t="s">
        <v>1054</v>
      </c>
      <c r="E6725" s="2889" t="s">
        <v>217</v>
      </c>
      <c r="F6725" s="2890">
        <v>5.6714708037978269E-2</v>
      </c>
      <c r="G6725" s="2890">
        <v>64.380251940692716</v>
      </c>
    </row>
    <row r="6726" spans="2:7" ht="15" hidden="1" outlineLevel="2">
      <c r="B6726" s="2889" t="s">
        <v>1632</v>
      </c>
      <c r="C6726" s="2889" t="s">
        <v>1480</v>
      </c>
      <c r="D6726" s="2889" t="s">
        <v>1054</v>
      </c>
      <c r="E6726" s="2889" t="s">
        <v>217</v>
      </c>
      <c r="F6726" s="2890">
        <v>0.12957251222305702</v>
      </c>
      <c r="G6726" s="2890">
        <v>149.12495414457123</v>
      </c>
    </row>
    <row r="6727" spans="2:7" ht="15" hidden="1" outlineLevel="2">
      <c r="B6727" s="2889" t="s">
        <v>1633</v>
      </c>
      <c r="C6727" s="2889" t="s">
        <v>1480</v>
      </c>
      <c r="D6727" s="2889" t="s">
        <v>1054</v>
      </c>
      <c r="E6727" s="2889" t="s">
        <v>217</v>
      </c>
      <c r="F6727" s="2890">
        <v>1.0470579285291147E-2</v>
      </c>
      <c r="G6727" s="2890">
        <v>12.101806082441291</v>
      </c>
    </row>
    <row r="6728" spans="2:7" ht="15" hidden="1" outlineLevel="2">
      <c r="B6728" s="2889" t="s">
        <v>1634</v>
      </c>
      <c r="C6728" s="2889" t="s">
        <v>1480</v>
      </c>
      <c r="D6728" s="2889" t="s">
        <v>1054</v>
      </c>
      <c r="E6728" s="2889" t="s">
        <v>217</v>
      </c>
      <c r="F6728" s="2890">
        <v>1.9382641194140438E-3</v>
      </c>
      <c r="G6728" s="2890">
        <v>2.2430355576999776</v>
      </c>
    </row>
    <row r="6729" spans="2:7" ht="15" hidden="1" outlineLevel="2">
      <c r="B6729" s="2889" t="s">
        <v>1635</v>
      </c>
      <c r="C6729" s="2889" t="s">
        <v>1480</v>
      </c>
      <c r="D6729" s="2889" t="s">
        <v>1054</v>
      </c>
      <c r="E6729" s="2889" t="s">
        <v>217</v>
      </c>
      <c r="F6729" s="2890">
        <v>1.6438704891780731E-2</v>
      </c>
      <c r="G6729" s="2890">
        <v>18.919285776095375</v>
      </c>
    </row>
    <row r="6730" spans="2:7" ht="15" hidden="1" outlineLevel="2">
      <c r="B6730" s="2889" t="s">
        <v>1636</v>
      </c>
      <c r="C6730" s="2889" t="s">
        <v>1480</v>
      </c>
      <c r="D6730" s="2889" t="s">
        <v>1054</v>
      </c>
      <c r="E6730" s="2889" t="s">
        <v>217</v>
      </c>
      <c r="F6730" s="2890">
        <v>1.4429403233470984E-2</v>
      </c>
      <c r="G6730" s="2890">
        <v>16.608240302000493</v>
      </c>
    </row>
    <row r="6731" spans="2:7" ht="15" hidden="1" outlineLevel="2">
      <c r="B6731" s="2889" t="s">
        <v>1637</v>
      </c>
      <c r="C6731" s="2889" t="s">
        <v>1480</v>
      </c>
      <c r="D6731" s="2889" t="s">
        <v>1054</v>
      </c>
      <c r="E6731" s="2889" t="s">
        <v>217</v>
      </c>
      <c r="F6731" s="2890">
        <v>2.3864471139603903E-2</v>
      </c>
      <c r="G6731" s="2890">
        <v>27.58236287768721</v>
      </c>
    </row>
    <row r="6732" spans="2:7" ht="15" hidden="1" outlineLevel="2">
      <c r="B6732" s="2889" t="s">
        <v>1638</v>
      </c>
      <c r="C6732" s="2889" t="s">
        <v>1480</v>
      </c>
      <c r="D6732" s="2889" t="s">
        <v>1054</v>
      </c>
      <c r="E6732" s="2889" t="s">
        <v>217</v>
      </c>
      <c r="F6732" s="2890">
        <v>3.1111236783028747E-3</v>
      </c>
      <c r="G6732" s="2890">
        <v>3.6003139777926267</v>
      </c>
    </row>
    <row r="6733" spans="2:7" ht="15" hidden="1" outlineLevel="2">
      <c r="B6733" s="2889" t="s">
        <v>1639</v>
      </c>
      <c r="C6733" s="2889" t="s">
        <v>1480</v>
      </c>
      <c r="D6733" s="2889" t="s">
        <v>1054</v>
      </c>
      <c r="E6733" s="2889" t="s">
        <v>217</v>
      </c>
      <c r="F6733" s="2890">
        <v>2.8639583510906463E-2</v>
      </c>
      <c r="G6733" s="2890">
        <v>33.101394135101515</v>
      </c>
    </row>
    <row r="6734" spans="2:7" ht="15" hidden="1" outlineLevel="2">
      <c r="B6734" s="2889" t="s">
        <v>1640</v>
      </c>
      <c r="C6734" s="2889" t="s">
        <v>1480</v>
      </c>
      <c r="D6734" s="2889" t="s">
        <v>1054</v>
      </c>
      <c r="E6734" s="2889" t="s">
        <v>217</v>
      </c>
      <c r="F6734" s="2890">
        <v>6.7879412410316456E-3</v>
      </c>
      <c r="G6734" s="2890">
        <v>7.7824231388208034</v>
      </c>
    </row>
    <row r="6735" spans="2:7" ht="15" hidden="1" outlineLevel="2">
      <c r="B6735" s="2889" t="s">
        <v>1641</v>
      </c>
      <c r="C6735" s="2889" t="s">
        <v>1480</v>
      </c>
      <c r="D6735" s="2889" t="s">
        <v>1054</v>
      </c>
      <c r="E6735" s="2889" t="s">
        <v>217</v>
      </c>
      <c r="F6735" s="2890">
        <v>3.4637629925918852E-2</v>
      </c>
      <c r="G6735" s="2890">
        <v>39.864429912580718</v>
      </c>
    </row>
    <row r="6736" spans="2:7" ht="15" hidden="1" outlineLevel="2">
      <c r="B6736" s="2889" t="s">
        <v>1642</v>
      </c>
      <c r="C6736" s="2889" t="s">
        <v>1480</v>
      </c>
      <c r="D6736" s="2889" t="s">
        <v>1054</v>
      </c>
      <c r="E6736" s="2889" t="s">
        <v>217</v>
      </c>
      <c r="F6736" s="2890">
        <v>2.4862365144279249E-2</v>
      </c>
      <c r="G6736" s="2890">
        <v>28.614078743321212</v>
      </c>
    </row>
    <row r="6737" spans="2:7" ht="15" hidden="1" outlineLevel="2">
      <c r="B6737" s="2889" t="s">
        <v>1643</v>
      </c>
      <c r="C6737" s="2889" t="s">
        <v>1480</v>
      </c>
      <c r="D6737" s="2889" t="s">
        <v>1054</v>
      </c>
      <c r="E6737" s="2889" t="s">
        <v>217</v>
      </c>
      <c r="F6737" s="2890">
        <v>3.6822348382677035E-3</v>
      </c>
      <c r="G6737" s="2890">
        <v>4.2305552690390886</v>
      </c>
    </row>
    <row r="6738" spans="2:7" ht="15" hidden="1" outlineLevel="2">
      <c r="B6738" s="2889" t="s">
        <v>1644</v>
      </c>
      <c r="C6738" s="2889" t="s">
        <v>1480</v>
      </c>
      <c r="D6738" s="2889" t="s">
        <v>1054</v>
      </c>
      <c r="E6738" s="2889" t="s">
        <v>217</v>
      </c>
      <c r="F6738" s="2890">
        <v>8.0587784520916042E-2</v>
      </c>
      <c r="G6738" s="2890">
        <v>93.142729529471083</v>
      </c>
    </row>
    <row r="6739" spans="2:7" ht="15" hidden="1" outlineLevel="2">
      <c r="B6739" s="2889" t="s">
        <v>1645</v>
      </c>
      <c r="C6739" s="2889" t="s">
        <v>1480</v>
      </c>
      <c r="D6739" s="2889" t="s">
        <v>1054</v>
      </c>
      <c r="E6739" s="2889" t="s">
        <v>217</v>
      </c>
      <c r="F6739" s="2890">
        <v>9.2033804787490431E-2</v>
      </c>
      <c r="G6739" s="2890">
        <v>106.37190937548402</v>
      </c>
    </row>
    <row r="6740" spans="2:7" ht="15" hidden="1" outlineLevel="2">
      <c r="B6740" s="2889" t="s">
        <v>1646</v>
      </c>
      <c r="C6740" s="2889" t="s">
        <v>1480</v>
      </c>
      <c r="D6740" s="2889" t="s">
        <v>1054</v>
      </c>
      <c r="E6740" s="2889" t="s">
        <v>217</v>
      </c>
      <c r="F6740" s="2890">
        <v>5.4047830001928464E-3</v>
      </c>
      <c r="G6740" s="2890">
        <v>6.2203623999652615</v>
      </c>
    </row>
    <row r="6741" spans="2:7" ht="15" hidden="1" outlineLevel="2">
      <c r="B6741" s="2889" t="s">
        <v>1647</v>
      </c>
      <c r="C6741" s="2889" t="s">
        <v>1480</v>
      </c>
      <c r="D6741" s="2889" t="s">
        <v>1054</v>
      </c>
      <c r="E6741" s="2889" t="s">
        <v>217</v>
      </c>
      <c r="F6741" s="2890">
        <v>1.3417508529465294E-2</v>
      </c>
      <c r="G6741" s="2890">
        <v>15.527263686242458</v>
      </c>
    </row>
    <row r="6742" spans="2:7" ht="15" hidden="1" outlineLevel="2">
      <c r="B6742" s="2889" t="s">
        <v>1648</v>
      </c>
      <c r="C6742" s="2889" t="s">
        <v>1480</v>
      </c>
      <c r="D6742" s="2889" t="s">
        <v>1054</v>
      </c>
      <c r="E6742" s="2889" t="s">
        <v>217</v>
      </c>
      <c r="F6742" s="2890">
        <v>1.5042597344358415E-3</v>
      </c>
      <c r="G6742" s="2890">
        <v>1.7407876606815913</v>
      </c>
    </row>
    <row r="6743" spans="2:7" ht="15" hidden="1" outlineLevel="2">
      <c r="B6743" s="2889" t="s">
        <v>1649</v>
      </c>
      <c r="C6743" s="2889" t="s">
        <v>1480</v>
      </c>
      <c r="D6743" s="2889" t="s">
        <v>1054</v>
      </c>
      <c r="E6743" s="2889" t="s">
        <v>217</v>
      </c>
      <c r="F6743" s="2890">
        <v>7.1351590296876381E-3</v>
      </c>
      <c r="G6743" s="2890">
        <v>8.2570846031404521</v>
      </c>
    </row>
    <row r="6744" spans="2:7" ht="15" hidden="1" outlineLevel="2">
      <c r="B6744" s="2889" t="s">
        <v>1650</v>
      </c>
      <c r="C6744" s="2889" t="s">
        <v>1480</v>
      </c>
      <c r="D6744" s="2889" t="s">
        <v>1054</v>
      </c>
      <c r="E6744" s="2889" t="s">
        <v>217</v>
      </c>
      <c r="F6744" s="2890">
        <v>1.7994364726166504E-2</v>
      </c>
      <c r="G6744" s="2890">
        <v>20.630666281840618</v>
      </c>
    </row>
    <row r="6745" spans="2:7" ht="15" hidden="1" outlineLevel="2">
      <c r="B6745" s="2889" t="s">
        <v>1651</v>
      </c>
      <c r="C6745" s="2889" t="s">
        <v>1480</v>
      </c>
      <c r="D6745" s="2889" t="s">
        <v>1054</v>
      </c>
      <c r="E6745" s="2889" t="s">
        <v>217</v>
      </c>
      <c r="F6745" s="2890">
        <v>9.7539453380934438E-3</v>
      </c>
      <c r="G6745" s="2890">
        <v>11.287642780858933</v>
      </c>
    </row>
    <row r="6746" spans="2:7" ht="15" hidden="1" outlineLevel="2">
      <c r="B6746" s="2889" t="s">
        <v>1652</v>
      </c>
      <c r="C6746" s="2889" t="s">
        <v>1480</v>
      </c>
      <c r="D6746" s="2889" t="s">
        <v>1054</v>
      </c>
      <c r="E6746" s="2889" t="s">
        <v>217</v>
      </c>
      <c r="F6746" s="3039">
        <v>1.0710682615751609E-2</v>
      </c>
      <c r="G6746" s="2890">
        <v>12.394816489272602</v>
      </c>
    </row>
    <row r="6747" spans="2:7" ht="15" hidden="1" outlineLevel="2">
      <c r="B6747" s="2889" t="s">
        <v>1653</v>
      </c>
      <c r="C6747" s="2889" t="s">
        <v>1480</v>
      </c>
      <c r="D6747" s="2889" t="s">
        <v>1054</v>
      </c>
      <c r="E6747" s="2889" t="s">
        <v>217</v>
      </c>
      <c r="F6747" s="3039">
        <v>2.5840475884423704E-33</v>
      </c>
      <c r="G6747" s="2890">
        <v>3.0253925261209732E-30</v>
      </c>
    </row>
    <row r="6748" spans="2:7" ht="15" hidden="1" outlineLevel="2">
      <c r="B6748" s="2889" t="s">
        <v>1407</v>
      </c>
      <c r="C6748" s="2889" t="s">
        <v>1481</v>
      </c>
      <c r="D6748" s="2889" t="s">
        <v>1054</v>
      </c>
      <c r="E6748" s="2889" t="s">
        <v>217</v>
      </c>
      <c r="F6748" s="3039">
        <v>1.6747018168624526E-2</v>
      </c>
      <c r="G6748" s="2890">
        <v>23.460891342720757</v>
      </c>
    </row>
    <row r="6749" spans="2:7" ht="15" hidden="1" outlineLevel="2">
      <c r="B6749" s="2889" t="s">
        <v>1631</v>
      </c>
      <c r="C6749" s="2889" t="s">
        <v>1481</v>
      </c>
      <c r="D6749" s="2889" t="s">
        <v>1054</v>
      </c>
      <c r="E6749" s="2889" t="s">
        <v>217</v>
      </c>
      <c r="F6749" s="3039">
        <v>0.28082682873278003</v>
      </c>
      <c r="G6749" s="2890">
        <v>389.32961734280099</v>
      </c>
    </row>
    <row r="6750" spans="2:7" ht="15" hidden="1" outlineLevel="2">
      <c r="B6750" s="2889" t="s">
        <v>1632</v>
      </c>
      <c r="C6750" s="2889" t="s">
        <v>1481</v>
      </c>
      <c r="D6750" s="2889" t="s">
        <v>1054</v>
      </c>
      <c r="E6750" s="2889" t="s">
        <v>217</v>
      </c>
      <c r="F6750" s="3039">
        <v>0.64116089945177623</v>
      </c>
      <c r="G6750" s="2890">
        <v>901.80992216682216</v>
      </c>
    </row>
    <row r="6751" spans="2:7" ht="15" hidden="1" outlineLevel="2">
      <c r="B6751" s="2889" t="s">
        <v>1633</v>
      </c>
      <c r="C6751" s="2889" t="s">
        <v>1481</v>
      </c>
      <c r="D6751" s="2889" t="s">
        <v>1054</v>
      </c>
      <c r="E6751" s="2889" t="s">
        <v>217</v>
      </c>
      <c r="F6751" s="3039">
        <v>5.180062972746434E-2</v>
      </c>
      <c r="G6751" s="2890">
        <v>73.183844580809122</v>
      </c>
    </row>
    <row r="6752" spans="2:7" ht="15" hidden="1" outlineLevel="2">
      <c r="B6752" s="2889" t="s">
        <v>1634</v>
      </c>
      <c r="C6752" s="2889" t="s">
        <v>1481</v>
      </c>
      <c r="D6752" s="2889" t="s">
        <v>1054</v>
      </c>
      <c r="E6752" s="2889" t="s">
        <v>217</v>
      </c>
      <c r="F6752" s="3039">
        <v>9.5885012212110019E-3</v>
      </c>
      <c r="G6752" s="2890">
        <v>13.56440484841888</v>
      </c>
    </row>
    <row r="6753" spans="2:7" ht="15" hidden="1" outlineLevel="2">
      <c r="B6753" s="2889" t="s">
        <v>1635</v>
      </c>
      <c r="C6753" s="2889" t="s">
        <v>1481</v>
      </c>
      <c r="D6753" s="2889" t="s">
        <v>1054</v>
      </c>
      <c r="E6753" s="2889" t="s">
        <v>217</v>
      </c>
      <c r="F6753" s="2890">
        <v>8.1343254352802222E-2</v>
      </c>
      <c r="G6753" s="2890">
        <v>114.41148213871776</v>
      </c>
    </row>
    <row r="6754" spans="2:7" ht="15" hidden="1" outlineLevel="2">
      <c r="B6754" s="2889" t="s">
        <v>1636</v>
      </c>
      <c r="C6754" s="2889" t="s">
        <v>1481</v>
      </c>
      <c r="D6754" s="2889" t="s">
        <v>1054</v>
      </c>
      <c r="E6754" s="2889" t="s">
        <v>217</v>
      </c>
      <c r="F6754" s="2890">
        <v>7.1400394219006555E-2</v>
      </c>
      <c r="G6754" s="2890">
        <v>100.43578218781363</v>
      </c>
    </row>
    <row r="6755" spans="2:7" ht="15" hidden="1" outlineLevel="2">
      <c r="B6755" s="2889" t="s">
        <v>1637</v>
      </c>
      <c r="C6755" s="2889" t="s">
        <v>1481</v>
      </c>
      <c r="D6755" s="2889" t="s">
        <v>1054</v>
      </c>
      <c r="E6755" s="2889" t="s">
        <v>217</v>
      </c>
      <c r="F6755" s="2890">
        <v>0.1180636641988477</v>
      </c>
      <c r="G6755" s="2890">
        <v>166.79999001972749</v>
      </c>
    </row>
    <row r="6756" spans="2:7" ht="15" hidden="1" outlineLevel="2">
      <c r="B6756" s="2889" t="s">
        <v>1638</v>
      </c>
      <c r="C6756" s="2889" t="s">
        <v>1481</v>
      </c>
      <c r="D6756" s="2889" t="s">
        <v>1054</v>
      </c>
      <c r="E6756" s="2889" t="s">
        <v>217</v>
      </c>
      <c r="F6756" s="3039">
        <v>1.539058869578485E-2</v>
      </c>
      <c r="G6756" s="2890">
        <v>21.772344660952559</v>
      </c>
    </row>
    <row r="6757" spans="2:7" ht="15" hidden="1" outlineLevel="2">
      <c r="B6757" s="2889" t="s">
        <v>1639</v>
      </c>
      <c r="C6757" s="2889" t="s">
        <v>1481</v>
      </c>
      <c r="D6757" s="2889" t="s">
        <v>1054</v>
      </c>
      <c r="E6757" s="2889" t="s">
        <v>217</v>
      </c>
      <c r="F6757" s="2890">
        <v>0.14168732654455896</v>
      </c>
      <c r="G6757" s="2890">
        <v>200.17553285541766</v>
      </c>
    </row>
    <row r="6758" spans="2:7" ht="15" hidden="1" outlineLevel="2">
      <c r="B6758" s="2889" t="s">
        <v>1640</v>
      </c>
      <c r="C6758" s="2889" t="s">
        <v>1481</v>
      </c>
      <c r="D6758" s="2889" t="s">
        <v>1054</v>
      </c>
      <c r="E6758" s="2889" t="s">
        <v>217</v>
      </c>
      <c r="F6758" s="2890">
        <v>3.3594857959301214E-2</v>
      </c>
      <c r="G6758" s="2890">
        <v>47.063000818418864</v>
      </c>
    </row>
    <row r="6759" spans="2:7" ht="15" hidden="1" outlineLevel="2">
      <c r="B6759" s="2889" t="s">
        <v>1641</v>
      </c>
      <c r="C6759" s="2889" t="s">
        <v>1481</v>
      </c>
      <c r="D6759" s="2889" t="s">
        <v>1054</v>
      </c>
      <c r="E6759" s="2889" t="s">
        <v>217</v>
      </c>
      <c r="F6759" s="3039">
        <v>0.17139657414471449</v>
      </c>
      <c r="G6759" s="2890">
        <v>241.07398724205689</v>
      </c>
    </row>
    <row r="6760" spans="2:7" ht="15" hidden="1" outlineLevel="2">
      <c r="B6760" s="2889" t="s">
        <v>1642</v>
      </c>
      <c r="C6760" s="2889" t="s">
        <v>1481</v>
      </c>
      <c r="D6760" s="2889" t="s">
        <v>1054</v>
      </c>
      <c r="E6760" s="2889" t="s">
        <v>217</v>
      </c>
      <c r="F6760" s="2890">
        <v>0.12302582255976917</v>
      </c>
      <c r="G6760" s="2890">
        <v>173.03917063000512</v>
      </c>
    </row>
    <row r="6761" spans="2:7" ht="15" hidden="1" outlineLevel="2">
      <c r="B6761" s="2889" t="s">
        <v>1643</v>
      </c>
      <c r="C6761" s="2889" t="s">
        <v>1481</v>
      </c>
      <c r="D6761" s="2889" t="s">
        <v>1054</v>
      </c>
      <c r="E6761" s="2889" t="s">
        <v>217</v>
      </c>
      <c r="F6761" s="2890">
        <v>1.822225455249506E-2</v>
      </c>
      <c r="G6761" s="2890">
        <v>25.583619473470563</v>
      </c>
    </row>
    <row r="6762" spans="2:7" ht="15" hidden="1" outlineLevel="2">
      <c r="B6762" s="2889" t="s">
        <v>1644</v>
      </c>
      <c r="C6762" s="2889" t="s">
        <v>1481</v>
      </c>
      <c r="D6762" s="2889" t="s">
        <v>1054</v>
      </c>
      <c r="E6762" s="2889" t="s">
        <v>217</v>
      </c>
      <c r="F6762" s="2890">
        <v>0.39868832658351899</v>
      </c>
      <c r="G6762" s="2890">
        <v>563.26590449421019</v>
      </c>
    </row>
    <row r="6763" spans="2:7" ht="15" hidden="1" outlineLevel="2">
      <c r="B6763" s="2889" t="s">
        <v>1645</v>
      </c>
      <c r="C6763" s="2889" t="s">
        <v>1481</v>
      </c>
      <c r="D6763" s="2889" t="s">
        <v>1054</v>
      </c>
      <c r="E6763" s="2889" t="s">
        <v>217</v>
      </c>
      <c r="F6763" s="3039">
        <v>0.45531476404442262</v>
      </c>
      <c r="G6763" s="2890">
        <v>643.26750601179947</v>
      </c>
    </row>
    <row r="6764" spans="2:7" ht="15" hidden="1" outlineLevel="2">
      <c r="B6764" s="2889" t="s">
        <v>1646</v>
      </c>
      <c r="C6764" s="2889" t="s">
        <v>1481</v>
      </c>
      <c r="D6764" s="2889" t="s">
        <v>1054</v>
      </c>
      <c r="E6764" s="2889" t="s">
        <v>217</v>
      </c>
      <c r="F6764" s="3039">
        <v>2.6744366171713493E-2</v>
      </c>
      <c r="G6764" s="2890">
        <v>37.616678066826395</v>
      </c>
    </row>
    <row r="6765" spans="2:7" ht="15" hidden="1" outlineLevel="2">
      <c r="B6765" s="2889" t="s">
        <v>1647</v>
      </c>
      <c r="C6765" s="2889" t="s">
        <v>1481</v>
      </c>
      <c r="D6765" s="2889" t="s">
        <v>1054</v>
      </c>
      <c r="E6765" s="2889" t="s">
        <v>217</v>
      </c>
      <c r="F6765" s="3039">
        <v>6.6375746536942518E-2</v>
      </c>
      <c r="G6765" s="2890">
        <v>93.898745163547716</v>
      </c>
    </row>
    <row r="6766" spans="2:7" ht="15" hidden="1" outlineLevel="2">
      <c r="B6766" s="2889" t="s">
        <v>1648</v>
      </c>
      <c r="C6766" s="2889" t="s">
        <v>1481</v>
      </c>
      <c r="D6766" s="2889" t="s">
        <v>1054</v>
      </c>
      <c r="E6766" s="2889" t="s">
        <v>217</v>
      </c>
      <c r="F6766" s="2890">
        <v>7.441501409593234E-3</v>
      </c>
      <c r="G6766" s="2890">
        <v>10.527148637027233</v>
      </c>
    </row>
    <row r="6767" spans="2:7" ht="15" hidden="1" outlineLevel="2">
      <c r="B6767" s="2889" t="s">
        <v>1649</v>
      </c>
      <c r="C6767" s="2889" t="s">
        <v>1481</v>
      </c>
      <c r="D6767" s="2889" t="s">
        <v>1054</v>
      </c>
      <c r="E6767" s="2889" t="s">
        <v>217</v>
      </c>
      <c r="F6767" s="2890">
        <v>3.5297288451012966E-2</v>
      </c>
      <c r="G6767" s="2890">
        <v>49.933434798063104</v>
      </c>
    </row>
    <row r="6768" spans="2:7" ht="15" hidden="1" outlineLevel="2">
      <c r="B6768" s="2889" t="s">
        <v>1650</v>
      </c>
      <c r="C6768" s="2889" t="s">
        <v>1481</v>
      </c>
      <c r="D6768" s="2889" t="s">
        <v>1054</v>
      </c>
      <c r="E6768" s="2889" t="s">
        <v>217</v>
      </c>
      <c r="F6768" s="2890">
        <v>8.9057712886010387E-2</v>
      </c>
      <c r="G6768" s="2890">
        <v>124.7607678603746</v>
      </c>
    </row>
    <row r="6769" spans="2:7" ht="15" hidden="1" outlineLevel="2">
      <c r="B6769" s="2889" t="s">
        <v>1651</v>
      </c>
      <c r="C6769" s="2889" t="s">
        <v>1481</v>
      </c>
      <c r="D6769" s="2889" t="s">
        <v>1054</v>
      </c>
      <c r="E6769" s="2889" t="s">
        <v>217</v>
      </c>
      <c r="F6769" s="2890">
        <v>4.8252300828086542E-2</v>
      </c>
      <c r="G6769" s="2890">
        <v>68.2602895506312</v>
      </c>
    </row>
    <row r="6770" spans="2:7" ht="15" hidden="1" outlineLevel="2">
      <c r="B6770" s="2889" t="s">
        <v>1652</v>
      </c>
      <c r="C6770" s="2889" t="s">
        <v>1481</v>
      </c>
      <c r="D6770" s="2889" t="s">
        <v>1054</v>
      </c>
      <c r="E6770" s="2889" t="s">
        <v>217</v>
      </c>
      <c r="F6770" s="2890">
        <v>5.2985247308876077E-2</v>
      </c>
      <c r="G6770" s="2890">
        <v>74.95575475688554</v>
      </c>
    </row>
    <row r="6771" spans="2:7" ht="15" hidden="1" outlineLevel="2">
      <c r="B6771" s="2889" t="s">
        <v>1653</v>
      </c>
      <c r="C6771" s="2889" t="s">
        <v>1481</v>
      </c>
      <c r="D6771" s="2889" t="s">
        <v>1054</v>
      </c>
      <c r="E6771" s="2889" t="s">
        <v>217</v>
      </c>
      <c r="F6771" s="2890">
        <v>5.1595613345166052E-33</v>
      </c>
      <c r="G6771" s="2890">
        <v>6.6774071907901284E-30</v>
      </c>
    </row>
    <row r="6772" spans="2:7" ht="15" hidden="1" outlineLevel="2">
      <c r="B6772" s="2889" t="s">
        <v>1407</v>
      </c>
      <c r="C6772" s="2889" t="s">
        <v>1482</v>
      </c>
      <c r="D6772" s="2889" t="s">
        <v>1054</v>
      </c>
      <c r="E6772" s="2889" t="s">
        <v>217</v>
      </c>
      <c r="F6772" s="2890">
        <v>1.1286243131800254E-2</v>
      </c>
      <c r="G6772" s="2890">
        <v>11.238999827008357</v>
      </c>
    </row>
    <row r="6773" spans="2:7" ht="15" hidden="1" outlineLevel="2">
      <c r="B6773" s="2889" t="s">
        <v>1631</v>
      </c>
      <c r="C6773" s="2889" t="s">
        <v>1482</v>
      </c>
      <c r="D6773" s="2889" t="s">
        <v>1054</v>
      </c>
      <c r="E6773" s="2889" t="s">
        <v>217</v>
      </c>
      <c r="F6773" s="2890">
        <v>0.18925189697909559</v>
      </c>
      <c r="G6773" s="2890">
        <v>186.50937383735328</v>
      </c>
    </row>
    <row r="6774" spans="2:7" ht="15" hidden="1" outlineLevel="2">
      <c r="B6774" s="2889" t="s">
        <v>1632</v>
      </c>
      <c r="C6774" s="2889" t="s">
        <v>1482</v>
      </c>
      <c r="D6774" s="2889" t="s">
        <v>1054</v>
      </c>
      <c r="E6774" s="2889" t="s">
        <v>217</v>
      </c>
      <c r="F6774" s="2890">
        <v>0.43209866156461235</v>
      </c>
      <c r="G6774" s="2890">
        <v>432.01425759697133</v>
      </c>
    </row>
    <row r="6775" spans="2:7" ht="15" hidden="1" outlineLevel="2">
      <c r="B6775" s="2889" t="s">
        <v>1633</v>
      </c>
      <c r="C6775" s="2889" t="s">
        <v>1482</v>
      </c>
      <c r="D6775" s="2889" t="s">
        <v>1054</v>
      </c>
      <c r="E6775" s="2889" t="s">
        <v>217</v>
      </c>
      <c r="F6775" s="2890">
        <v>3.4910440145241244E-2</v>
      </c>
      <c r="G6775" s="2890">
        <v>35.058891667753549</v>
      </c>
    </row>
    <row r="6776" spans="2:7" ht="15" hidden="1" outlineLevel="2">
      <c r="B6776" s="2889" t="s">
        <v>1634</v>
      </c>
      <c r="C6776" s="2889" t="s">
        <v>1482</v>
      </c>
      <c r="D6776" s="2889" t="s">
        <v>1054</v>
      </c>
      <c r="E6776" s="2889" t="s">
        <v>217</v>
      </c>
      <c r="F6776" s="2890">
        <v>6.4620810116543543E-3</v>
      </c>
      <c r="G6776" s="2890">
        <v>6.4980637039862694</v>
      </c>
    </row>
    <row r="6777" spans="2:7" ht="15" hidden="1" outlineLevel="2">
      <c r="B6777" s="2889" t="s">
        <v>1635</v>
      </c>
      <c r="C6777" s="2889" t="s">
        <v>1482</v>
      </c>
      <c r="D6777" s="2889" t="s">
        <v>1054</v>
      </c>
      <c r="E6777" s="2889" t="s">
        <v>217</v>
      </c>
      <c r="F6777" s="3039">
        <v>5.4819799500223101E-2</v>
      </c>
      <c r="G6777" s="2890">
        <v>54.809101117093533</v>
      </c>
    </row>
    <row r="6778" spans="2:7" ht="15" hidden="1" outlineLevel="2">
      <c r="B6778" s="2889" t="s">
        <v>1636</v>
      </c>
      <c r="C6778" s="2889" t="s">
        <v>1482</v>
      </c>
      <c r="D6778" s="2889" t="s">
        <v>1054</v>
      </c>
      <c r="E6778" s="2889" t="s">
        <v>217</v>
      </c>
      <c r="F6778" s="3039">
        <v>4.8118997927598522E-2</v>
      </c>
      <c r="G6778" s="2890">
        <v>48.113998625570822</v>
      </c>
    </row>
    <row r="6779" spans="2:7" ht="15" hidden="1" outlineLevel="2">
      <c r="B6779" s="2889" t="s">
        <v>1637</v>
      </c>
      <c r="C6779" s="2889" t="s">
        <v>1482</v>
      </c>
      <c r="D6779" s="2889" t="s">
        <v>1054</v>
      </c>
      <c r="E6779" s="2889" t="s">
        <v>217</v>
      </c>
      <c r="F6779" s="2890">
        <v>7.9567655962265241E-2</v>
      </c>
      <c r="G6779" s="2890">
        <v>79.905997861474361</v>
      </c>
    </row>
    <row r="6780" spans="2:7" ht="15" hidden="1" outlineLevel="2">
      <c r="B6780" s="2889" t="s">
        <v>1638</v>
      </c>
      <c r="C6780" s="2889" t="s">
        <v>1482</v>
      </c>
      <c r="D6780" s="2889" t="s">
        <v>1054</v>
      </c>
      <c r="E6780" s="2889" t="s">
        <v>217</v>
      </c>
      <c r="F6780" s="2890">
        <v>1.0372338274581111E-2</v>
      </c>
      <c r="G6780" s="2890">
        <v>10.430094043917002</v>
      </c>
    </row>
    <row r="6781" spans="2:7" ht="15" hidden="1" outlineLevel="2">
      <c r="B6781" s="2889" t="s">
        <v>1639</v>
      </c>
      <c r="C6781" s="2889" t="s">
        <v>1482</v>
      </c>
      <c r="D6781" s="2889" t="s">
        <v>1054</v>
      </c>
      <c r="E6781" s="2889" t="s">
        <v>217</v>
      </c>
      <c r="F6781" s="2890">
        <v>9.5488532887982466E-2</v>
      </c>
      <c r="G6781" s="2890">
        <v>95.894613702032757</v>
      </c>
    </row>
    <row r="6782" spans="2:7" ht="15" hidden="1" outlineLevel="2">
      <c r="B6782" s="2889" t="s">
        <v>1640</v>
      </c>
      <c r="C6782" s="2889" t="s">
        <v>1482</v>
      </c>
      <c r="D6782" s="2889" t="s">
        <v>1054</v>
      </c>
      <c r="E6782" s="2889" t="s">
        <v>217</v>
      </c>
      <c r="F6782" s="2890">
        <v>2.2640437548126838E-2</v>
      </c>
      <c r="G6782" s="2890">
        <v>22.545640257950499</v>
      </c>
    </row>
    <row r="6783" spans="2:7" ht="15" hidden="1" outlineLevel="2">
      <c r="B6783" s="2889" t="s">
        <v>1641</v>
      </c>
      <c r="C6783" s="2889" t="s">
        <v>1482</v>
      </c>
      <c r="D6783" s="2889" t="s">
        <v>1054</v>
      </c>
      <c r="E6783" s="2889" t="s">
        <v>217</v>
      </c>
      <c r="F6783" s="2890">
        <v>0.1155095778696419</v>
      </c>
      <c r="G6783" s="2890">
        <v>115.48711905502971</v>
      </c>
    </row>
    <row r="6784" spans="2:7" ht="15" hidden="1" outlineLevel="2">
      <c r="B6784" s="2889" t="s">
        <v>1642</v>
      </c>
      <c r="C6784" s="2889" t="s">
        <v>1482</v>
      </c>
      <c r="D6784" s="2889" t="s">
        <v>1054</v>
      </c>
      <c r="E6784" s="2889" t="s">
        <v>217</v>
      </c>
      <c r="F6784" s="2890">
        <v>8.2911039314939025E-2</v>
      </c>
      <c r="G6784" s="2890">
        <v>82.894866255710355</v>
      </c>
    </row>
    <row r="6785" spans="2:7" ht="15" hidden="1" outlineLevel="2">
      <c r="B6785" s="2889" t="s">
        <v>1643</v>
      </c>
      <c r="C6785" s="2889" t="s">
        <v>1482</v>
      </c>
      <c r="D6785" s="2889" t="s">
        <v>1054</v>
      </c>
      <c r="E6785" s="2889" t="s">
        <v>217</v>
      </c>
      <c r="F6785" s="2890">
        <v>1.2280498620997752E-2</v>
      </c>
      <c r="G6785" s="2890">
        <v>12.255897990097637</v>
      </c>
    </row>
    <row r="6786" spans="2:7" ht="15" hidden="1" outlineLevel="2">
      <c r="B6786" s="2889" t="s">
        <v>1644</v>
      </c>
      <c r="C6786" s="2889" t="s">
        <v>1482</v>
      </c>
      <c r="D6786" s="2889" t="s">
        <v>1054</v>
      </c>
      <c r="E6786" s="2889" t="s">
        <v>217</v>
      </c>
      <c r="F6786" s="2890">
        <v>0.26869145911374259</v>
      </c>
      <c r="G6786" s="2890">
        <v>269.83398430372574</v>
      </c>
    </row>
    <row r="6787" spans="2:7" ht="15" hidden="1" outlineLevel="2">
      <c r="B6787" s="2889" t="s">
        <v>1645</v>
      </c>
      <c r="C6787" s="2889" t="s">
        <v>1482</v>
      </c>
      <c r="D6787" s="2889" t="s">
        <v>1054</v>
      </c>
      <c r="E6787" s="2889" t="s">
        <v>217</v>
      </c>
      <c r="F6787" s="2890">
        <v>0.30685410671388086</v>
      </c>
      <c r="G6787" s="2890">
        <v>308.15900092940763</v>
      </c>
    </row>
    <row r="6788" spans="2:7" ht="15" hidden="1" outlineLevel="2">
      <c r="B6788" s="2889" t="s">
        <v>1646</v>
      </c>
      <c r="C6788" s="2889" t="s">
        <v>1482</v>
      </c>
      <c r="D6788" s="2889" t="s">
        <v>1054</v>
      </c>
      <c r="E6788" s="2889" t="s">
        <v>217</v>
      </c>
      <c r="F6788" s="2890">
        <v>1.8023887461879308E-2</v>
      </c>
      <c r="G6788" s="2890">
        <v>18.02036169880089</v>
      </c>
    </row>
    <row r="6789" spans="2:7" ht="15" hidden="1" outlineLevel="2">
      <c r="B6789" s="2889" t="s">
        <v>1647</v>
      </c>
      <c r="C6789" s="2889" t="s">
        <v>1482</v>
      </c>
      <c r="D6789" s="2889" t="s">
        <v>1054</v>
      </c>
      <c r="E6789" s="2889" t="s">
        <v>217</v>
      </c>
      <c r="F6789" s="2890">
        <v>4.4733322926005251E-2</v>
      </c>
      <c r="G6789" s="2890">
        <v>44.982407973433411</v>
      </c>
    </row>
    <row r="6790" spans="2:7" ht="15" hidden="1" outlineLevel="2">
      <c r="B6790" s="2889" t="s">
        <v>1648</v>
      </c>
      <c r="C6790" s="2889" t="s">
        <v>1482</v>
      </c>
      <c r="D6790" s="2889" t="s">
        <v>1054</v>
      </c>
      <c r="E6790" s="2889" t="s">
        <v>217</v>
      </c>
      <c r="F6790" s="2890">
        <v>5.0151292132669641E-3</v>
      </c>
      <c r="G6790" s="2890">
        <v>5.0430541812443321</v>
      </c>
    </row>
    <row r="6791" spans="2:7" ht="15" hidden="1" outlineLevel="2">
      <c r="B6791" s="2889" t="s">
        <v>1649</v>
      </c>
      <c r="C6791" s="2889" t="s">
        <v>1482</v>
      </c>
      <c r="D6791" s="2889" t="s">
        <v>1054</v>
      </c>
      <c r="E6791" s="2889" t="s">
        <v>217</v>
      </c>
      <c r="F6791" s="2890">
        <v>2.3788278695837134E-2</v>
      </c>
      <c r="G6791" s="2890">
        <v>23.920730532378489</v>
      </c>
    </row>
    <row r="6792" spans="2:7" ht="15" hidden="1" outlineLevel="2">
      <c r="B6792" s="2889" t="s">
        <v>1650</v>
      </c>
      <c r="C6792" s="2889" t="s">
        <v>1482</v>
      </c>
      <c r="D6792" s="2889" t="s">
        <v>1054</v>
      </c>
      <c r="E6792" s="2889" t="s">
        <v>217</v>
      </c>
      <c r="F6792" s="2890">
        <v>6.0018232186042929E-2</v>
      </c>
      <c r="G6792" s="2890">
        <v>59.766972301455908</v>
      </c>
    </row>
    <row r="6793" spans="2:7" ht="15" hidden="1" outlineLevel="2">
      <c r="B6793" s="2889" t="s">
        <v>1651</v>
      </c>
      <c r="C6793" s="2889" t="s">
        <v>1482</v>
      </c>
      <c r="D6793" s="2889" t="s">
        <v>1054</v>
      </c>
      <c r="E6793" s="2889" t="s">
        <v>217</v>
      </c>
      <c r="F6793" s="2890">
        <v>3.2519186615173369E-2</v>
      </c>
      <c r="G6793" s="2890">
        <v>32.700249004442604</v>
      </c>
    </row>
    <row r="6794" spans="2:7" ht="15" hidden="1" outlineLevel="2">
      <c r="B6794" s="2889" t="s">
        <v>1652</v>
      </c>
      <c r="C6794" s="2889" t="s">
        <v>1482</v>
      </c>
      <c r="D6794" s="2889" t="s">
        <v>1054</v>
      </c>
      <c r="E6794" s="2889" t="s">
        <v>217</v>
      </c>
      <c r="F6794" s="3039">
        <v>3.5708910511080716E-2</v>
      </c>
      <c r="G6794" s="2890">
        <v>35.907742648303085</v>
      </c>
    </row>
    <row r="6795" spans="2:7" ht="15" hidden="1" outlineLevel="2">
      <c r="B6795" s="2889" t="s">
        <v>1653</v>
      </c>
      <c r="C6795" s="2889" t="s">
        <v>1482</v>
      </c>
      <c r="D6795" s="2889" t="s">
        <v>1054</v>
      </c>
      <c r="E6795" s="2889" t="s">
        <v>217</v>
      </c>
      <c r="F6795" s="3039">
        <v>2.9121146972715174E-34</v>
      </c>
      <c r="G6795" s="2890">
        <v>2.8715258328323827E-31</v>
      </c>
    </row>
    <row r="6796" spans="2:7" ht="15" hidden="1" outlineLevel="2">
      <c r="B6796" s="2889" t="s">
        <v>1407</v>
      </c>
      <c r="C6796" s="2889" t="s">
        <v>1483</v>
      </c>
      <c r="D6796" s="2889" t="s">
        <v>1054</v>
      </c>
      <c r="E6796" s="2889" t="s">
        <v>217</v>
      </c>
      <c r="F6796" s="3039">
        <v>5.3579418989565565E-4</v>
      </c>
      <c r="G6796" s="2890">
        <v>0.89592460058893952</v>
      </c>
    </row>
    <row r="6797" spans="2:7" ht="15" hidden="1" outlineLevel="2">
      <c r="B6797" s="2889" t="s">
        <v>1631</v>
      </c>
      <c r="C6797" s="2889" t="s">
        <v>1483</v>
      </c>
      <c r="D6797" s="2889" t="s">
        <v>1054</v>
      </c>
      <c r="E6797" s="2889" t="s">
        <v>217</v>
      </c>
      <c r="F6797" s="3039">
        <v>8.9657674816854844E-3</v>
      </c>
      <c r="G6797" s="2890">
        <v>14.867727178828478</v>
      </c>
    </row>
    <row r="6798" spans="2:7" ht="15" hidden="1" outlineLevel="2">
      <c r="B6798" s="2889" t="s">
        <v>1632</v>
      </c>
      <c r="C6798" s="2889" t="s">
        <v>1483</v>
      </c>
      <c r="D6798" s="2889" t="s">
        <v>1054</v>
      </c>
      <c r="E6798" s="2889" t="s">
        <v>217</v>
      </c>
      <c r="F6798" s="3039">
        <v>2.0529574193766002E-2</v>
      </c>
      <c r="G6798" s="2890">
        <v>34.438326263909723</v>
      </c>
    </row>
    <row r="6799" spans="2:7" ht="15" hidden="1" outlineLevel="2">
      <c r="B6799" s="2889" t="s">
        <v>1633</v>
      </c>
      <c r="C6799" s="2889" t="s">
        <v>1483</v>
      </c>
      <c r="D6799" s="2889" t="s">
        <v>1054</v>
      </c>
      <c r="E6799" s="2889" t="s">
        <v>217</v>
      </c>
      <c r="F6799" s="3039">
        <v>1.6601234578053569E-3</v>
      </c>
      <c r="G6799" s="2890">
        <v>2.7947439666220744</v>
      </c>
    </row>
    <row r="6800" spans="2:7" ht="15" hidden="1" outlineLevel="2">
      <c r="B6800" s="2889" t="s">
        <v>1634</v>
      </c>
      <c r="C6800" s="2889" t="s">
        <v>1483</v>
      </c>
      <c r="D6800" s="2889" t="s">
        <v>1054</v>
      </c>
      <c r="E6800" s="2889" t="s">
        <v>217</v>
      </c>
      <c r="F6800" s="3039">
        <v>3.0737755000439295E-4</v>
      </c>
      <c r="G6800" s="2890">
        <v>0.51799775422733041</v>
      </c>
    </row>
    <row r="6801" spans="2:7" ht="15" hidden="1" outlineLevel="2">
      <c r="B6801" s="2889" t="s">
        <v>1635</v>
      </c>
      <c r="C6801" s="2889" t="s">
        <v>1483</v>
      </c>
      <c r="D6801" s="2889" t="s">
        <v>1054</v>
      </c>
      <c r="E6801" s="2889" t="s">
        <v>217</v>
      </c>
      <c r="F6801" s="3039">
        <v>2.6045611025575423E-3</v>
      </c>
      <c r="G6801" s="2890">
        <v>4.3691479688194024</v>
      </c>
    </row>
    <row r="6802" spans="2:7" ht="15" hidden="1" outlineLevel="2">
      <c r="B6802" s="2889" t="s">
        <v>1636</v>
      </c>
      <c r="C6802" s="2889" t="s">
        <v>1483</v>
      </c>
      <c r="D6802" s="2889" t="s">
        <v>1054</v>
      </c>
      <c r="E6802" s="2889" t="s">
        <v>217</v>
      </c>
      <c r="F6802" s="3039">
        <v>2.2862390492979934E-3</v>
      </c>
      <c r="G6802" s="2890">
        <v>3.8354411658239922</v>
      </c>
    </row>
    <row r="6803" spans="2:7" ht="15" hidden="1" outlineLevel="2">
      <c r="B6803" s="2889" t="s">
        <v>1637</v>
      </c>
      <c r="C6803" s="2889" t="s">
        <v>1483</v>
      </c>
      <c r="D6803" s="2889" t="s">
        <v>1054</v>
      </c>
      <c r="E6803" s="2889" t="s">
        <v>217</v>
      </c>
      <c r="F6803" s="3039">
        <v>3.7837429430160824E-3</v>
      </c>
      <c r="G6803" s="2890">
        <v>6.3697631192732587</v>
      </c>
    </row>
    <row r="6804" spans="2:7" ht="15" hidden="1" outlineLevel="2">
      <c r="B6804" s="2889" t="s">
        <v>1638</v>
      </c>
      <c r="C6804" s="2889" t="s">
        <v>1483</v>
      </c>
      <c r="D6804" s="2889" t="s">
        <v>1054</v>
      </c>
      <c r="E6804" s="2889" t="s">
        <v>217</v>
      </c>
      <c r="F6804" s="2890">
        <v>4.9337425256974743E-4</v>
      </c>
      <c r="G6804" s="2890">
        <v>0.83144255785814802</v>
      </c>
    </row>
    <row r="6805" spans="2:7" ht="15" hidden="1" outlineLevel="2">
      <c r="B6805" s="2889" t="s">
        <v>1639</v>
      </c>
      <c r="C6805" s="2889" t="s">
        <v>1483</v>
      </c>
      <c r="D6805" s="2889" t="s">
        <v>1054</v>
      </c>
      <c r="E6805" s="2889" t="s">
        <v>217</v>
      </c>
      <c r="F6805" s="2890">
        <v>4.5408403373922261E-3</v>
      </c>
      <c r="G6805" s="2890">
        <v>7.6443069678658704</v>
      </c>
    </row>
    <row r="6806" spans="2:7" ht="15" hidden="1" outlineLevel="2">
      <c r="B6806" s="2889" t="s">
        <v>1640</v>
      </c>
      <c r="C6806" s="2889" t="s">
        <v>1483</v>
      </c>
      <c r="D6806" s="2889" t="s">
        <v>1054</v>
      </c>
      <c r="E6806" s="2889" t="s">
        <v>217</v>
      </c>
      <c r="F6806" s="3039">
        <v>1.0748136184895712E-3</v>
      </c>
      <c r="G6806" s="2890">
        <v>1.7972425642460244</v>
      </c>
    </row>
    <row r="6807" spans="2:7" ht="15" hidden="1" outlineLevel="2">
      <c r="B6807" s="2889" t="s">
        <v>1641</v>
      </c>
      <c r="C6807" s="2889" t="s">
        <v>1483</v>
      </c>
      <c r="D6807" s="2889" t="s">
        <v>1054</v>
      </c>
      <c r="E6807" s="2889" t="s">
        <v>217</v>
      </c>
      <c r="F6807" s="2890">
        <v>5.4880132209896033E-3</v>
      </c>
      <c r="G6807" s="2890">
        <v>9.2061378740414863</v>
      </c>
    </row>
    <row r="6808" spans="2:7" ht="15" hidden="1" outlineLevel="2">
      <c r="B6808" s="2889" t="s">
        <v>1642</v>
      </c>
      <c r="C6808" s="2889" t="s">
        <v>1483</v>
      </c>
      <c r="D6808" s="2889" t="s">
        <v>1054</v>
      </c>
      <c r="E6808" s="2889" t="s">
        <v>217</v>
      </c>
      <c r="F6808" s="2890">
        <v>3.9392111619041201E-3</v>
      </c>
      <c r="G6808" s="2890">
        <v>6.608024508841785</v>
      </c>
    </row>
    <row r="6809" spans="2:7" ht="15" hidden="1" outlineLevel="2">
      <c r="B6809" s="2889" t="s">
        <v>1643</v>
      </c>
      <c r="C6809" s="2889" t="s">
        <v>1483</v>
      </c>
      <c r="D6809" s="2889" t="s">
        <v>1054</v>
      </c>
      <c r="E6809" s="2889" t="s">
        <v>217</v>
      </c>
      <c r="F6809" s="2890">
        <v>5.8325073242064193E-4</v>
      </c>
      <c r="G6809" s="2890">
        <v>0.97698764034384544</v>
      </c>
    </row>
    <row r="6810" spans="2:7" ht="15" hidden="1" outlineLevel="2">
      <c r="B6810" s="2889" t="s">
        <v>1644</v>
      </c>
      <c r="C6810" s="2889" t="s">
        <v>1483</v>
      </c>
      <c r="D6810" s="2889" t="s">
        <v>1054</v>
      </c>
      <c r="E6810" s="2889" t="s">
        <v>217</v>
      </c>
      <c r="F6810" s="2890">
        <v>1.2777293230573443E-2</v>
      </c>
      <c r="G6810" s="2890">
        <v>21.510008590714001</v>
      </c>
    </row>
    <row r="6811" spans="2:7" ht="15" hidden="1" outlineLevel="2">
      <c r="B6811" s="2889" t="s">
        <v>1645</v>
      </c>
      <c r="C6811" s="2889" t="s">
        <v>1483</v>
      </c>
      <c r="D6811" s="2889" t="s">
        <v>1054</v>
      </c>
      <c r="E6811" s="2889" t="s">
        <v>217</v>
      </c>
      <c r="F6811" s="2890">
        <v>1.4592072382607756E-2</v>
      </c>
      <c r="G6811" s="2890">
        <v>24.565110961894387</v>
      </c>
    </row>
    <row r="6812" spans="2:7" ht="15" hidden="1" outlineLevel="2">
      <c r="B6812" s="2889" t="s">
        <v>1646</v>
      </c>
      <c r="C6812" s="2889" t="s">
        <v>1483</v>
      </c>
      <c r="D6812" s="2889" t="s">
        <v>1054</v>
      </c>
      <c r="E6812" s="2889" t="s">
        <v>217</v>
      </c>
      <c r="F6812" s="2890">
        <v>8.5633817005928913E-4</v>
      </c>
      <c r="G6812" s="2890">
        <v>1.436506758695151</v>
      </c>
    </row>
    <row r="6813" spans="2:7" ht="15" hidden="1" outlineLevel="2">
      <c r="B6813" s="2889" t="s">
        <v>1647</v>
      </c>
      <c r="C6813" s="2889" t="s">
        <v>1483</v>
      </c>
      <c r="D6813" s="2889" t="s">
        <v>1054</v>
      </c>
      <c r="E6813" s="2889" t="s">
        <v>217</v>
      </c>
      <c r="F6813" s="2890">
        <v>2.1278003550200754E-3</v>
      </c>
      <c r="G6813" s="2890">
        <v>3.5858058765410328</v>
      </c>
    </row>
    <row r="6814" spans="2:7" ht="15" hidden="1" outlineLevel="2">
      <c r="B6814" s="2889" t="s">
        <v>1648</v>
      </c>
      <c r="C6814" s="2889" t="s">
        <v>1483</v>
      </c>
      <c r="D6814" s="2889" t="s">
        <v>1054</v>
      </c>
      <c r="E6814" s="2889" t="s">
        <v>217</v>
      </c>
      <c r="F6814" s="2890">
        <v>2.3855140989362164E-4</v>
      </c>
      <c r="G6814" s="2890">
        <v>0.40201071551313672</v>
      </c>
    </row>
    <row r="6815" spans="2:7" ht="15" hidden="1" outlineLevel="2">
      <c r="B6815" s="2889" t="s">
        <v>1649</v>
      </c>
      <c r="C6815" s="2889" t="s">
        <v>1483</v>
      </c>
      <c r="D6815" s="2889" t="s">
        <v>1054</v>
      </c>
      <c r="E6815" s="2889" t="s">
        <v>217</v>
      </c>
      <c r="F6815" s="2890">
        <v>1.1315211996235726E-3</v>
      </c>
      <c r="G6815" s="2890">
        <v>1.9068587562907453</v>
      </c>
    </row>
    <row r="6816" spans="2:7" ht="15" hidden="1" outlineLevel="2">
      <c r="B6816" s="2889" t="s">
        <v>1650</v>
      </c>
      <c r="C6816" s="2889" t="s">
        <v>1483</v>
      </c>
      <c r="D6816" s="2889" t="s">
        <v>1054</v>
      </c>
      <c r="E6816" s="2889" t="s">
        <v>217</v>
      </c>
      <c r="F6816" s="2890">
        <v>2.8492562514666683E-3</v>
      </c>
      <c r="G6816" s="2890">
        <v>4.7643667420282796</v>
      </c>
    </row>
    <row r="6817" spans="2:7" ht="15" hidden="1" outlineLevel="2">
      <c r="B6817" s="2889" t="s">
        <v>1651</v>
      </c>
      <c r="C6817" s="2889" t="s">
        <v>1483</v>
      </c>
      <c r="D6817" s="2889" t="s">
        <v>1054</v>
      </c>
      <c r="E6817" s="2889" t="s">
        <v>217</v>
      </c>
      <c r="F6817" s="2890">
        <v>1.5468187114101122E-3</v>
      </c>
      <c r="G6817" s="2890">
        <v>2.6067245892415558</v>
      </c>
    </row>
    <row r="6818" spans="2:7" ht="15" hidden="1" outlineLevel="2">
      <c r="B6818" s="2889" t="s">
        <v>1652</v>
      </c>
      <c r="C6818" s="2889" t="s">
        <v>1483</v>
      </c>
      <c r="D6818" s="2889" t="s">
        <v>1054</v>
      </c>
      <c r="E6818" s="2889" t="s">
        <v>217</v>
      </c>
      <c r="F6818" s="2890">
        <v>1.698542516892713E-3</v>
      </c>
      <c r="G6818" s="2890">
        <v>2.8624113327232807</v>
      </c>
    </row>
    <row r="6819" spans="2:7" ht="15" hidden="1" outlineLevel="2">
      <c r="B6819" s="2889" t="s">
        <v>1653</v>
      </c>
      <c r="C6819" s="2889" t="s">
        <v>1483</v>
      </c>
      <c r="D6819" s="2889" t="s">
        <v>1054</v>
      </c>
      <c r="E6819" s="2889" t="s">
        <v>217</v>
      </c>
      <c r="F6819" s="2890">
        <v>4.7006865638535548E-34</v>
      </c>
      <c r="G6819" s="2890">
        <v>8.1534945445003144E-31</v>
      </c>
    </row>
    <row r="6820" spans="2:7" ht="15" hidden="1" outlineLevel="2">
      <c r="B6820" s="2889" t="s">
        <v>1407</v>
      </c>
      <c r="C6820" s="2889" t="s">
        <v>1484</v>
      </c>
      <c r="D6820" s="2889" t="s">
        <v>1054</v>
      </c>
      <c r="E6820" s="2889" t="s">
        <v>217</v>
      </c>
      <c r="F6820" s="2890">
        <v>1.0904831015834803E-3</v>
      </c>
      <c r="G6820" s="2890">
        <v>1.5191642571694584</v>
      </c>
    </row>
    <row r="6821" spans="2:7" ht="15" hidden="1" outlineLevel="2">
      <c r="B6821" s="2889" t="s">
        <v>1631</v>
      </c>
      <c r="C6821" s="2889" t="s">
        <v>1484</v>
      </c>
      <c r="D6821" s="2889" t="s">
        <v>1054</v>
      </c>
      <c r="E6821" s="2889" t="s">
        <v>217</v>
      </c>
      <c r="F6821" s="2890">
        <v>1.8283270945554573E-2</v>
      </c>
      <c r="G6821" s="2890">
        <v>25.210291456756615</v>
      </c>
    </row>
    <row r="6822" spans="2:7" ht="15" hidden="1" outlineLevel="2">
      <c r="B6822" s="2889" t="s">
        <v>1632</v>
      </c>
      <c r="C6822" s="2889" t="s">
        <v>1484</v>
      </c>
      <c r="D6822" s="2889" t="s">
        <v>1054</v>
      </c>
      <c r="E6822" s="2889" t="s">
        <v>217</v>
      </c>
      <c r="F6822" s="2890">
        <v>4.1751652859715695E-2</v>
      </c>
      <c r="G6822" s="2890">
        <v>58.394976504337286</v>
      </c>
    </row>
    <row r="6823" spans="2:7" ht="15" hidden="1" outlineLevel="2">
      <c r="B6823" s="2889" t="s">
        <v>1633</v>
      </c>
      <c r="C6823" s="2889" t="s">
        <v>1484</v>
      </c>
      <c r="D6823" s="2889" t="s">
        <v>1054</v>
      </c>
      <c r="E6823" s="2889" t="s">
        <v>217</v>
      </c>
      <c r="F6823" s="2890">
        <v>3.3734167622716969E-3</v>
      </c>
      <c r="G6823" s="2890">
        <v>4.7388761966074799</v>
      </c>
    </row>
    <row r="6824" spans="2:7" ht="15" hidden="1" outlineLevel="2">
      <c r="B6824" s="2889" t="s">
        <v>1634</v>
      </c>
      <c r="C6824" s="2889" t="s">
        <v>1484</v>
      </c>
      <c r="D6824" s="2889" t="s">
        <v>1054</v>
      </c>
      <c r="E6824" s="2889" t="s">
        <v>217</v>
      </c>
      <c r="F6824" s="2890">
        <v>6.2444517856340446E-4</v>
      </c>
      <c r="G6824" s="2890">
        <v>0.8783373305359492</v>
      </c>
    </row>
    <row r="6825" spans="2:7" ht="15" hidden="1" outlineLevel="2">
      <c r="B6825" s="2889" t="s">
        <v>1635</v>
      </c>
      <c r="C6825" s="2889" t="s">
        <v>1484</v>
      </c>
      <c r="D6825" s="2889" t="s">
        <v>1054</v>
      </c>
      <c r="E6825" s="2889" t="s">
        <v>217</v>
      </c>
      <c r="F6825" s="2890">
        <v>5.296978263082181E-3</v>
      </c>
      <c r="G6825" s="2890">
        <v>7.4085007171411013</v>
      </c>
    </row>
    <row r="6826" spans="2:7" ht="15" hidden="1" outlineLevel="2">
      <c r="B6826" s="2889" t="s">
        <v>1636</v>
      </c>
      <c r="C6826" s="2889" t="s">
        <v>1484</v>
      </c>
      <c r="D6826" s="2889" t="s">
        <v>1054</v>
      </c>
      <c r="E6826" s="2889" t="s">
        <v>217</v>
      </c>
      <c r="F6826" s="2890">
        <v>4.7283028008247175E-3</v>
      </c>
      <c r="G6826" s="2890">
        <v>6.610965881657429</v>
      </c>
    </row>
    <row r="6827" spans="2:7" ht="15" hidden="1" outlineLevel="2">
      <c r="B6827" s="2889" t="s">
        <v>1637</v>
      </c>
      <c r="C6827" s="2889" t="s">
        <v>1484</v>
      </c>
      <c r="D6827" s="2889" t="s">
        <v>1054</v>
      </c>
      <c r="E6827" s="2889" t="s">
        <v>217</v>
      </c>
      <c r="F6827" s="3039">
        <v>7.6886721267976571E-3</v>
      </c>
      <c r="G6827" s="2890">
        <v>10.800822003592536</v>
      </c>
    </row>
    <row r="6828" spans="2:7" ht="15" hidden="1" outlineLevel="2">
      <c r="B6828" s="2889" t="s">
        <v>1638</v>
      </c>
      <c r="C6828" s="2889" t="s">
        <v>1484</v>
      </c>
      <c r="D6828" s="2889" t="s">
        <v>1054</v>
      </c>
      <c r="E6828" s="2889" t="s">
        <v>217</v>
      </c>
      <c r="F6828" s="3039">
        <v>1.0023021527877714E-3</v>
      </c>
      <c r="G6828" s="2890">
        <v>1.4098264359678729</v>
      </c>
    </row>
    <row r="6829" spans="2:7" ht="15" hidden="1" outlineLevel="2">
      <c r="B6829" s="2889" t="s">
        <v>1639</v>
      </c>
      <c r="C6829" s="2889" t="s">
        <v>1484</v>
      </c>
      <c r="D6829" s="2889" t="s">
        <v>1054</v>
      </c>
      <c r="E6829" s="2889" t="s">
        <v>217</v>
      </c>
      <c r="F6829" s="3039">
        <v>9.2271153617651605E-3</v>
      </c>
      <c r="G6829" s="2890">
        <v>12.96198031772764</v>
      </c>
    </row>
    <row r="6830" spans="2:7" ht="15" hidden="1" outlineLevel="2">
      <c r="B6830" s="2889" t="s">
        <v>1640</v>
      </c>
      <c r="C6830" s="2889" t="s">
        <v>1484</v>
      </c>
      <c r="D6830" s="2889" t="s">
        <v>1054</v>
      </c>
      <c r="E6830" s="2889" t="s">
        <v>217</v>
      </c>
      <c r="F6830" s="3039">
        <v>2.1875304683466519E-3</v>
      </c>
      <c r="G6830" s="2890">
        <v>3.0474743407191718</v>
      </c>
    </row>
    <row r="6831" spans="2:7" ht="15" hidden="1" outlineLevel="2">
      <c r="B6831" s="2889" t="s">
        <v>1641</v>
      </c>
      <c r="C6831" s="2889" t="s">
        <v>1484</v>
      </c>
      <c r="D6831" s="2889" t="s">
        <v>1054</v>
      </c>
      <c r="E6831" s="2889" t="s">
        <v>217</v>
      </c>
      <c r="F6831" s="3039">
        <v>1.1161146858374897E-2</v>
      </c>
      <c r="G6831" s="2890">
        <v>15.610280952334666</v>
      </c>
    </row>
    <row r="6832" spans="2:7" ht="15" hidden="1" outlineLevel="2">
      <c r="B6832" s="2889" t="s">
        <v>1642</v>
      </c>
      <c r="C6832" s="2889" t="s">
        <v>1484</v>
      </c>
      <c r="D6832" s="2889" t="s">
        <v>1054</v>
      </c>
      <c r="E6832" s="2889" t="s">
        <v>217</v>
      </c>
      <c r="F6832" s="3039">
        <v>8.0113033315182876E-3</v>
      </c>
      <c r="G6832" s="2890">
        <v>11.204820651015494</v>
      </c>
    </row>
    <row r="6833" spans="2:7" ht="15" hidden="1" outlineLevel="2">
      <c r="B6833" s="2889" t="s">
        <v>1643</v>
      </c>
      <c r="C6833" s="2889" t="s">
        <v>1484</v>
      </c>
      <c r="D6833" s="2889" t="s">
        <v>1054</v>
      </c>
      <c r="E6833" s="2889" t="s">
        <v>217</v>
      </c>
      <c r="F6833" s="2890">
        <v>1.1865804259119871E-3</v>
      </c>
      <c r="G6833" s="2890">
        <v>1.6566182825901814</v>
      </c>
    </row>
    <row r="6834" spans="2:7" ht="15" hidden="1" outlineLevel="2">
      <c r="B6834" s="2889" t="s">
        <v>1644</v>
      </c>
      <c r="C6834" s="2889" t="s">
        <v>1484</v>
      </c>
      <c r="D6834" s="2889" t="s">
        <v>1054</v>
      </c>
      <c r="E6834" s="2889" t="s">
        <v>217</v>
      </c>
      <c r="F6834" s="2890">
        <v>2.5963824402120968E-2</v>
      </c>
      <c r="G6834" s="2890">
        <v>36.473206045987119</v>
      </c>
    </row>
    <row r="6835" spans="2:7" ht="15" hidden="1" outlineLevel="2">
      <c r="B6835" s="2889" t="s">
        <v>1645</v>
      </c>
      <c r="C6835" s="2889" t="s">
        <v>1484</v>
      </c>
      <c r="D6835" s="2889" t="s">
        <v>1054</v>
      </c>
      <c r="E6835" s="2889" t="s">
        <v>217</v>
      </c>
      <c r="F6835" s="2890">
        <v>2.9651512352541268E-2</v>
      </c>
      <c r="G6835" s="2890">
        <v>41.6535575811968</v>
      </c>
    </row>
    <row r="6836" spans="2:7" ht="15" hidden="1" outlineLevel="2">
      <c r="B6836" s="2889" t="s">
        <v>1646</v>
      </c>
      <c r="C6836" s="2889" t="s">
        <v>1484</v>
      </c>
      <c r="D6836" s="2889" t="s">
        <v>1054</v>
      </c>
      <c r="E6836" s="2889" t="s">
        <v>217</v>
      </c>
      <c r="F6836" s="2890">
        <v>1.7415631602668662E-3</v>
      </c>
      <c r="G6836" s="2890">
        <v>2.4357952855144025</v>
      </c>
    </row>
    <row r="6837" spans="2:7" ht="15" hidden="1" outlineLevel="2">
      <c r="B6837" s="2889" t="s">
        <v>1647</v>
      </c>
      <c r="C6837" s="2889" t="s">
        <v>1484</v>
      </c>
      <c r="D6837" s="2889" t="s">
        <v>1054</v>
      </c>
      <c r="E6837" s="2889" t="s">
        <v>217</v>
      </c>
      <c r="F6837" s="2890">
        <v>4.322679215563432E-3</v>
      </c>
      <c r="G6837" s="2890">
        <v>6.0802321544497824</v>
      </c>
    </row>
    <row r="6838" spans="2:7" ht="15" hidden="1" outlineLevel="2">
      <c r="B6838" s="2889" t="s">
        <v>1648</v>
      </c>
      <c r="C6838" s="2889" t="s">
        <v>1484</v>
      </c>
      <c r="D6838" s="2889" t="s">
        <v>1054</v>
      </c>
      <c r="E6838" s="2889" t="s">
        <v>217</v>
      </c>
      <c r="F6838" s="2890">
        <v>4.8462311995913426E-4</v>
      </c>
      <c r="G6838" s="2890">
        <v>0.68166518477247351</v>
      </c>
    </row>
    <row r="6839" spans="2:7" ht="15" hidden="1" outlineLevel="2">
      <c r="B6839" s="2889" t="s">
        <v>1649</v>
      </c>
      <c r="C6839" s="2889" t="s">
        <v>1484</v>
      </c>
      <c r="D6839" s="2889" t="s">
        <v>1054</v>
      </c>
      <c r="E6839" s="2889" t="s">
        <v>217</v>
      </c>
      <c r="F6839" s="2890">
        <v>2.2987132387022593E-3</v>
      </c>
      <c r="G6839" s="2890">
        <v>3.2333434839988184</v>
      </c>
    </row>
    <row r="6840" spans="2:7" ht="15" hidden="1" outlineLevel="2">
      <c r="B6840" s="2889" t="s">
        <v>1650</v>
      </c>
      <c r="C6840" s="2889" t="s">
        <v>1484</v>
      </c>
      <c r="D6840" s="2889" t="s">
        <v>1054</v>
      </c>
      <c r="E6840" s="2889" t="s">
        <v>217</v>
      </c>
      <c r="F6840" s="2890">
        <v>5.7989919603569631E-3</v>
      </c>
      <c r="G6840" s="2890">
        <v>8.078641449104218</v>
      </c>
    </row>
    <row r="6841" spans="2:7" ht="15" hidden="1" outlineLevel="2">
      <c r="B6841" s="2889" t="s">
        <v>1651</v>
      </c>
      <c r="C6841" s="2889" t="s">
        <v>1484</v>
      </c>
      <c r="D6841" s="2889" t="s">
        <v>1054</v>
      </c>
      <c r="E6841" s="2889" t="s">
        <v>217</v>
      </c>
      <c r="F6841" s="2890">
        <v>3.1424009511798732E-3</v>
      </c>
      <c r="G6841" s="2890">
        <v>4.420062778896849</v>
      </c>
    </row>
    <row r="6842" spans="2:7" ht="15" hidden="1" outlineLevel="2">
      <c r="B6842" s="2889" t="s">
        <v>1652</v>
      </c>
      <c r="C6842" s="2889" t="s">
        <v>1484</v>
      </c>
      <c r="D6842" s="2889" t="s">
        <v>1054</v>
      </c>
      <c r="E6842" s="2889" t="s">
        <v>217</v>
      </c>
      <c r="F6842" s="2890">
        <v>3.4506305354439931E-3</v>
      </c>
      <c r="G6842" s="2890">
        <v>4.8536161518622247</v>
      </c>
    </row>
    <row r="6843" spans="2:7" ht="15" hidden="1" outlineLevel="2">
      <c r="B6843" s="2889" t="s">
        <v>1653</v>
      </c>
      <c r="C6843" s="2889" t="s">
        <v>1484</v>
      </c>
      <c r="D6843" s="2889" t="s">
        <v>1054</v>
      </c>
      <c r="E6843" s="2889" t="s">
        <v>217</v>
      </c>
      <c r="F6843" s="2890">
        <v>3.8613429593165804E-34</v>
      </c>
      <c r="G6843" s="2890">
        <v>7.0591480651042828E-31</v>
      </c>
    </row>
    <row r="6844" spans="2:7" ht="15" hidden="1" outlineLevel="2">
      <c r="B6844" s="2889" t="s">
        <v>1407</v>
      </c>
      <c r="C6844" s="2889" t="s">
        <v>1485</v>
      </c>
      <c r="D6844" s="2889" t="s">
        <v>1054</v>
      </c>
      <c r="E6844" s="2889" t="s">
        <v>217</v>
      </c>
      <c r="F6844" s="2890">
        <v>4.8405765105927602E-4</v>
      </c>
      <c r="G6844" s="2890">
        <v>1.3613086046352181</v>
      </c>
    </row>
    <row r="6845" spans="2:7" ht="15" hidden="1" outlineLevel="2">
      <c r="B6845" s="2889" t="s">
        <v>1631</v>
      </c>
      <c r="C6845" s="2889" t="s">
        <v>1485</v>
      </c>
      <c r="D6845" s="2889" t="s">
        <v>1054</v>
      </c>
      <c r="E6845" s="2889" t="s">
        <v>217</v>
      </c>
      <c r="F6845" s="2890">
        <v>8.100496467256536E-3</v>
      </c>
      <c r="G6845" s="2890">
        <v>22.590694558193594</v>
      </c>
    </row>
    <row r="6846" spans="2:7" ht="15" hidden="1" outlineLevel="2">
      <c r="B6846" s="2889" t="s">
        <v>1632</v>
      </c>
      <c r="C6846" s="2889" t="s">
        <v>1485</v>
      </c>
      <c r="D6846" s="2889" t="s">
        <v>1054</v>
      </c>
      <c r="E6846" s="2889" t="s">
        <v>217</v>
      </c>
      <c r="F6846" s="2890">
        <v>1.8546819783719328E-2</v>
      </c>
      <c r="G6846" s="2890">
        <v>52.327155507770854</v>
      </c>
    </row>
    <row r="6847" spans="2:7" ht="15" hidden="1" outlineLevel="2">
      <c r="B6847" s="2889" t="s">
        <v>1633</v>
      </c>
      <c r="C6847" s="2889" t="s">
        <v>1485</v>
      </c>
      <c r="D6847" s="2889" t="s">
        <v>1054</v>
      </c>
      <c r="E6847" s="2889" t="s">
        <v>217</v>
      </c>
      <c r="F6847" s="2890">
        <v>1.4997508572044053E-3</v>
      </c>
      <c r="G6847" s="2890">
        <v>4.246461301507126</v>
      </c>
    </row>
    <row r="6848" spans="2:7" ht="15" hidden="1" outlineLevel="2">
      <c r="B6848" s="2889" t="s">
        <v>1634</v>
      </c>
      <c r="C6848" s="2889" t="s">
        <v>1485</v>
      </c>
      <c r="D6848" s="2889" t="s">
        <v>1054</v>
      </c>
      <c r="E6848" s="2889" t="s">
        <v>217</v>
      </c>
      <c r="F6848" s="2890">
        <v>2.7768206507384227E-4</v>
      </c>
      <c r="G6848" s="2890">
        <v>0.78706957409165701</v>
      </c>
    </row>
    <row r="6849" spans="2:7" ht="15" hidden="1" outlineLevel="2">
      <c r="B6849" s="2889" t="s">
        <v>1635</v>
      </c>
      <c r="C6849" s="2889" t="s">
        <v>1485</v>
      </c>
      <c r="D6849" s="2889" t="s">
        <v>1054</v>
      </c>
      <c r="E6849" s="2889" t="s">
        <v>217</v>
      </c>
      <c r="F6849" s="2890">
        <v>2.3530115002435743E-3</v>
      </c>
      <c r="G6849" s="2890">
        <v>6.6386846525838967</v>
      </c>
    </row>
    <row r="6850" spans="2:7" ht="15" hidden="1" outlineLevel="2">
      <c r="B6850" s="2889" t="s">
        <v>1636</v>
      </c>
      <c r="C6850" s="2889" t="s">
        <v>1485</v>
      </c>
      <c r="D6850" s="2889" t="s">
        <v>1054</v>
      </c>
      <c r="E6850" s="2889" t="s">
        <v>217</v>
      </c>
      <c r="F6850" s="2890">
        <v>2.0654320688585212E-3</v>
      </c>
      <c r="G6850" s="2890">
        <v>5.8277443009287921</v>
      </c>
    </row>
    <row r="6851" spans="2:7" ht="15" hidden="1" outlineLevel="2">
      <c r="B6851" s="2889" t="s">
        <v>1637</v>
      </c>
      <c r="C6851" s="2889" t="s">
        <v>1485</v>
      </c>
      <c r="D6851" s="2889" t="s">
        <v>1054</v>
      </c>
      <c r="E6851" s="2889" t="s">
        <v>217</v>
      </c>
      <c r="F6851" s="2890">
        <v>3.4182223827060113E-3</v>
      </c>
      <c r="G6851" s="2890">
        <v>9.6785086683750379</v>
      </c>
    </row>
    <row r="6852" spans="2:7" ht="15" hidden="1" outlineLevel="2">
      <c r="B6852" s="2889" t="s">
        <v>1638</v>
      </c>
      <c r="C6852" s="2889" t="s">
        <v>1485</v>
      </c>
      <c r="D6852" s="2889" t="s">
        <v>1054</v>
      </c>
      <c r="E6852" s="2889" t="s">
        <v>217</v>
      </c>
      <c r="F6852" s="2890">
        <v>4.4570980062055236E-4</v>
      </c>
      <c r="G6852" s="2890">
        <v>1.2633311126752076</v>
      </c>
    </row>
    <row r="6853" spans="2:7" ht="15" hidden="1" outlineLevel="2">
      <c r="B6853" s="2889" t="s">
        <v>1639</v>
      </c>
      <c r="C6853" s="2889" t="s">
        <v>1485</v>
      </c>
      <c r="D6853" s="2889" t="s">
        <v>1054</v>
      </c>
      <c r="E6853" s="2889" t="s">
        <v>217</v>
      </c>
      <c r="F6853" s="2890">
        <v>4.1021840453118255E-3</v>
      </c>
      <c r="G6853" s="2890">
        <v>11.61511280779415</v>
      </c>
    </row>
    <row r="6854" spans="2:7" ht="15" hidden="1" outlineLevel="2">
      <c r="B6854" s="2889" t="s">
        <v>1640</v>
      </c>
      <c r="C6854" s="2889" t="s">
        <v>1485</v>
      </c>
      <c r="D6854" s="2889" t="s">
        <v>1054</v>
      </c>
      <c r="E6854" s="2889" t="s">
        <v>217</v>
      </c>
      <c r="F6854" s="2890">
        <v>9.7102902920359363E-4</v>
      </c>
      <c r="G6854" s="2890">
        <v>2.7308114339759579</v>
      </c>
    </row>
    <row r="6855" spans="2:7" ht="15" hidden="1" outlineLevel="2">
      <c r="B6855" s="2889" t="s">
        <v>1641</v>
      </c>
      <c r="C6855" s="2889" t="s">
        <v>1485</v>
      </c>
      <c r="D6855" s="2889" t="s">
        <v>1054</v>
      </c>
      <c r="E6855" s="2889" t="s">
        <v>217</v>
      </c>
      <c r="F6855" s="2890">
        <v>4.9579801850298836E-3</v>
      </c>
      <c r="G6855" s="2890">
        <v>13.988222920148392</v>
      </c>
    </row>
    <row r="6856" spans="2:7" ht="15" hidden="1" outlineLevel="2">
      <c r="B6856" s="2889" t="s">
        <v>1642</v>
      </c>
      <c r="C6856" s="2889" t="s">
        <v>1485</v>
      </c>
      <c r="D6856" s="2889" t="s">
        <v>1054</v>
      </c>
      <c r="E6856" s="2889" t="s">
        <v>217</v>
      </c>
      <c r="F6856" s="2890">
        <v>3.5587614778928509E-3</v>
      </c>
      <c r="G6856" s="2890">
        <v>10.040531045450034</v>
      </c>
    </row>
    <row r="6857" spans="2:7" ht="15" hidden="1" outlineLevel="2">
      <c r="B6857" s="2889" t="s">
        <v>1643</v>
      </c>
      <c r="C6857" s="2889" t="s">
        <v>1485</v>
      </c>
      <c r="D6857" s="2889" t="s">
        <v>1054</v>
      </c>
      <c r="E6857" s="2889" t="s">
        <v>217</v>
      </c>
      <c r="F6857" s="2890">
        <v>5.2692531099801686E-4</v>
      </c>
      <c r="G6857" s="2890">
        <v>1.4844792623393668</v>
      </c>
    </row>
    <row r="6858" spans="2:7" ht="15" hidden="1" outlineLevel="2">
      <c r="B6858" s="2889" t="s">
        <v>1644</v>
      </c>
      <c r="C6858" s="2889" t="s">
        <v>1485</v>
      </c>
      <c r="D6858" s="2889" t="s">
        <v>1054</v>
      </c>
      <c r="E6858" s="2889" t="s">
        <v>217</v>
      </c>
      <c r="F6858" s="2890">
        <v>1.1542977042526794E-2</v>
      </c>
      <c r="G6858" s="2890">
        <v>32.683283541969537</v>
      </c>
    </row>
    <row r="6859" spans="2:7" ht="15" hidden="1" outlineLevel="2">
      <c r="B6859" s="2889" t="s">
        <v>1645</v>
      </c>
      <c r="C6859" s="2889" t="s">
        <v>1485</v>
      </c>
      <c r="D6859" s="2889" t="s">
        <v>1054</v>
      </c>
      <c r="E6859" s="2889" t="s">
        <v>217</v>
      </c>
      <c r="F6859" s="2890">
        <v>1.318244012631755E-2</v>
      </c>
      <c r="G6859" s="2890">
        <v>37.325349481311214</v>
      </c>
    </row>
    <row r="6860" spans="2:7" ht="15" hidden="1" outlineLevel="2">
      <c r="B6860" s="2889" t="s">
        <v>1646</v>
      </c>
      <c r="C6860" s="2889" t="s">
        <v>1485</v>
      </c>
      <c r="D6860" s="2889" t="s">
        <v>1054</v>
      </c>
      <c r="E6860" s="2889" t="s">
        <v>217</v>
      </c>
      <c r="F6860" s="2890">
        <v>7.7363294790251398E-4</v>
      </c>
      <c r="G6860" s="2890">
        <v>2.1826931432762917</v>
      </c>
    </row>
    <row r="6861" spans="2:7" ht="15" hidden="1" outlineLevel="2">
      <c r="B6861" s="2889" t="s">
        <v>1647</v>
      </c>
      <c r="C6861" s="2889" t="s">
        <v>1485</v>
      </c>
      <c r="D6861" s="2889" t="s">
        <v>1054</v>
      </c>
      <c r="E6861" s="2889" t="s">
        <v>217</v>
      </c>
      <c r="F6861" s="2890">
        <v>1.9222357847168184E-3</v>
      </c>
      <c r="G6861" s="2890">
        <v>5.4484362661178789</v>
      </c>
    </row>
    <row r="6862" spans="2:7" ht="15" hidden="1" outlineLevel="2">
      <c r="B6862" s="2889" t="s">
        <v>1648</v>
      </c>
      <c r="C6862" s="2889" t="s">
        <v>1485</v>
      </c>
      <c r="D6862" s="2889" t="s">
        <v>1054</v>
      </c>
      <c r="E6862" s="2889" t="s">
        <v>217</v>
      </c>
      <c r="F6862" s="2890">
        <v>2.1550512750739077E-4</v>
      </c>
      <c r="G6862" s="2890">
        <v>0.61083341678923486</v>
      </c>
    </row>
    <row r="6863" spans="2:7" ht="15" hidden="1" outlineLevel="2">
      <c r="B6863" s="2889" t="s">
        <v>1649</v>
      </c>
      <c r="C6863" s="2889" t="s">
        <v>1485</v>
      </c>
      <c r="D6863" s="2889" t="s">
        <v>1054</v>
      </c>
      <c r="E6863" s="2889" t="s">
        <v>217</v>
      </c>
      <c r="F6863" s="2890">
        <v>1.0222059355994369E-3</v>
      </c>
      <c r="G6863" s="2890">
        <v>2.8973670992681391</v>
      </c>
    </row>
    <row r="6864" spans="2:7" ht="15" hidden="1" outlineLevel="2">
      <c r="B6864" s="2889" t="s">
        <v>1650</v>
      </c>
      <c r="C6864" s="2889" t="s">
        <v>1485</v>
      </c>
      <c r="D6864" s="2889" t="s">
        <v>1054</v>
      </c>
      <c r="E6864" s="2889" t="s">
        <v>217</v>
      </c>
      <c r="F6864" s="2890">
        <v>2.5741315143140769E-3</v>
      </c>
      <c r="G6864" s="2890">
        <v>7.2391944783990683</v>
      </c>
    </row>
    <row r="6865" spans="2:7" ht="15" hidden="1" outlineLevel="2">
      <c r="B6865" s="2889" t="s">
        <v>1651</v>
      </c>
      <c r="C6865" s="2889" t="s">
        <v>1485</v>
      </c>
      <c r="D6865" s="2889" t="s">
        <v>1054</v>
      </c>
      <c r="E6865" s="2889" t="s">
        <v>217</v>
      </c>
      <c r="F6865" s="2890">
        <v>1.3973820206286444E-3</v>
      </c>
      <c r="G6865" s="2890">
        <v>3.9607755637512163</v>
      </c>
    </row>
    <row r="6866" spans="2:7" ht="15" hidden="1" outlineLevel="2">
      <c r="B6866" s="2889" t="s">
        <v>1652</v>
      </c>
      <c r="C6866" s="2889" t="s">
        <v>1485</v>
      </c>
      <c r="D6866" s="2889" t="s">
        <v>1054</v>
      </c>
      <c r="E6866" s="2889" t="s">
        <v>217</v>
      </c>
      <c r="F6866" s="2890">
        <v>1.5344479293580261E-3</v>
      </c>
      <c r="G6866" s="2890">
        <v>4.3492779191203841</v>
      </c>
    </row>
    <row r="6867" spans="2:7" ht="15" hidden="1" outlineLevel="2">
      <c r="B6867" s="2889" t="s">
        <v>1653</v>
      </c>
      <c r="C6867" s="2889" t="s">
        <v>1485</v>
      </c>
      <c r="D6867" s="2889" t="s">
        <v>1054</v>
      </c>
      <c r="E6867" s="2889" t="s">
        <v>217</v>
      </c>
      <c r="F6867" s="2890">
        <v>8.1554348903242171E-36</v>
      </c>
      <c r="G6867" s="2890">
        <v>9.3254471537192438E-32</v>
      </c>
    </row>
    <row r="6868" spans="2:7" ht="15" hidden="1" outlineLevel="2">
      <c r="B6868" s="2889" t="s">
        <v>1407</v>
      </c>
      <c r="C6868" s="2889" t="s">
        <v>1486</v>
      </c>
      <c r="D6868" s="2889" t="s">
        <v>1054</v>
      </c>
      <c r="E6868" s="2889" t="s">
        <v>217</v>
      </c>
      <c r="F6868" s="2890">
        <v>5.6409125147795073E-4</v>
      </c>
      <c r="G6868" s="2890">
        <v>3.2514068607923261</v>
      </c>
    </row>
    <row r="6869" spans="2:7" ht="15" hidden="1" outlineLevel="2">
      <c r="B6869" s="2889" t="s">
        <v>1631</v>
      </c>
      <c r="C6869" s="2889" t="s">
        <v>1486</v>
      </c>
      <c r="D6869" s="2889" t="s">
        <v>1054</v>
      </c>
      <c r="E6869" s="2889" t="s">
        <v>217</v>
      </c>
      <c r="F6869" s="2890">
        <v>9.446348463655033E-3</v>
      </c>
      <c r="G6869" s="2890">
        <v>53.956541496335049</v>
      </c>
    </row>
    <row r="6870" spans="2:7" ht="15" hidden="1" outlineLevel="2">
      <c r="B6870" s="2889" t="s">
        <v>1632</v>
      </c>
      <c r="C6870" s="2889" t="s">
        <v>1486</v>
      </c>
      <c r="D6870" s="2889" t="s">
        <v>1054</v>
      </c>
      <c r="E6870" s="2889" t="s">
        <v>217</v>
      </c>
      <c r="F6870" s="2890">
        <v>2.1607550131488254E-2</v>
      </c>
      <c r="G6870" s="2890">
        <v>124.98039403701344</v>
      </c>
    </row>
    <row r="6871" spans="2:7" ht="15" hidden="1" outlineLevel="2">
      <c r="B6871" s="2889" t="s">
        <v>1633</v>
      </c>
      <c r="C6871" s="2889" t="s">
        <v>1486</v>
      </c>
      <c r="D6871" s="2889" t="s">
        <v>1054</v>
      </c>
      <c r="E6871" s="2889" t="s">
        <v>217</v>
      </c>
      <c r="F6871" s="2890">
        <v>1.7467315506609802E-3</v>
      </c>
      <c r="G6871" s="2890">
        <v>10.142426793158759</v>
      </c>
    </row>
    <row r="6872" spans="2:7" ht="15" hidden="1" outlineLevel="2">
      <c r="B6872" s="2889" t="s">
        <v>1634</v>
      </c>
      <c r="C6872" s="2889" t="s">
        <v>1486</v>
      </c>
      <c r="D6872" s="2889" t="s">
        <v>1054</v>
      </c>
      <c r="E6872" s="2889" t="s">
        <v>217</v>
      </c>
      <c r="F6872" s="2890">
        <v>3.2338265709310366E-4</v>
      </c>
      <c r="G6872" s="2890">
        <v>1.8798694675910603</v>
      </c>
    </row>
    <row r="6873" spans="2:7" ht="15" hidden="1" outlineLevel="2">
      <c r="B6873" s="2889" t="s">
        <v>1635</v>
      </c>
      <c r="C6873" s="2889" t="s">
        <v>1486</v>
      </c>
      <c r="D6873" s="2889" t="s">
        <v>1054</v>
      </c>
      <c r="E6873" s="2889" t="s">
        <v>217</v>
      </c>
      <c r="F6873" s="3039">
        <v>2.7413229058066771E-3</v>
      </c>
      <c r="G6873" s="2890">
        <v>15.856099755703084</v>
      </c>
    </row>
    <row r="6874" spans="2:7" ht="15" hidden="1" outlineLevel="2">
      <c r="B6874" s="2889" t="s">
        <v>1636</v>
      </c>
      <c r="C6874" s="2889" t="s">
        <v>1486</v>
      </c>
      <c r="D6874" s="2889" t="s">
        <v>1054</v>
      </c>
      <c r="E6874" s="2889" t="s">
        <v>217</v>
      </c>
      <c r="F6874" s="3039">
        <v>2.4062703613937737E-3</v>
      </c>
      <c r="G6874" s="2890">
        <v>13.919224995712563</v>
      </c>
    </row>
    <row r="6875" spans="2:7" ht="15" hidden="1" outlineLevel="2">
      <c r="B6875" s="2889" t="s">
        <v>1637</v>
      </c>
      <c r="C6875" s="2889" t="s">
        <v>1486</v>
      </c>
      <c r="D6875" s="2889" t="s">
        <v>1054</v>
      </c>
      <c r="E6875" s="2889" t="s">
        <v>217</v>
      </c>
      <c r="F6875" s="3039">
        <v>3.981139547486837E-3</v>
      </c>
      <c r="G6875" s="2890">
        <v>23.116554286426588</v>
      </c>
    </row>
    <row r="6876" spans="2:7" ht="15" hidden="1" outlineLevel="2">
      <c r="B6876" s="2889" t="s">
        <v>1638</v>
      </c>
      <c r="C6876" s="2889" t="s">
        <v>1486</v>
      </c>
      <c r="D6876" s="2889" t="s">
        <v>1054</v>
      </c>
      <c r="E6876" s="2889" t="s">
        <v>217</v>
      </c>
      <c r="F6876" s="3039">
        <v>5.1906412412780782E-4</v>
      </c>
      <c r="G6876" s="2890">
        <v>3.0173933740784671</v>
      </c>
    </row>
    <row r="6877" spans="2:7" ht="15" hidden="1" outlineLevel="2">
      <c r="B6877" s="2889" t="s">
        <v>1639</v>
      </c>
      <c r="C6877" s="2889" t="s">
        <v>1486</v>
      </c>
      <c r="D6877" s="2889" t="s">
        <v>1054</v>
      </c>
      <c r="E6877" s="2889" t="s">
        <v>217</v>
      </c>
      <c r="F6877" s="3039">
        <v>4.7777358822459421E-3</v>
      </c>
      <c r="G6877" s="2890">
        <v>27.742011109926803</v>
      </c>
    </row>
    <row r="6878" spans="2:7" ht="15" hidden="1" outlineLevel="2">
      <c r="B6878" s="2889" t="s">
        <v>1640</v>
      </c>
      <c r="C6878" s="2889" t="s">
        <v>1486</v>
      </c>
      <c r="D6878" s="2889" t="s">
        <v>1054</v>
      </c>
      <c r="E6878" s="2889" t="s">
        <v>217</v>
      </c>
      <c r="F6878" s="3039">
        <v>1.1315780640607921E-3</v>
      </c>
      <c r="G6878" s="2890">
        <v>6.5223846203098654</v>
      </c>
    </row>
    <row r="6879" spans="2:7" ht="15" hidden="1" outlineLevel="2">
      <c r="B6879" s="2889" t="s">
        <v>1641</v>
      </c>
      <c r="C6879" s="2889" t="s">
        <v>1486</v>
      </c>
      <c r="D6879" s="2889" t="s">
        <v>1054</v>
      </c>
      <c r="E6879" s="2889" t="s">
        <v>217</v>
      </c>
      <c r="F6879" s="3039">
        <v>5.7761812455473299E-3</v>
      </c>
      <c r="G6879" s="2890">
        <v>33.41005399229411</v>
      </c>
    </row>
    <row r="6880" spans="2:7" ht="15" hidden="1" outlineLevel="2">
      <c r="B6880" s="2889" t="s">
        <v>1642</v>
      </c>
      <c r="C6880" s="2889" t="s">
        <v>1486</v>
      </c>
      <c r="D6880" s="2889" t="s">
        <v>1054</v>
      </c>
      <c r="E6880" s="2889" t="s">
        <v>217</v>
      </c>
      <c r="F6880" s="3039">
        <v>4.1460553240648757E-3</v>
      </c>
      <c r="G6880" s="2890">
        <v>23.981224897833314</v>
      </c>
    </row>
    <row r="6881" spans="2:7" ht="15" hidden="1" outlineLevel="2">
      <c r="B6881" s="2889" t="s">
        <v>1643</v>
      </c>
      <c r="C6881" s="2889" t="s">
        <v>1486</v>
      </c>
      <c r="D6881" s="2889" t="s">
        <v>1054</v>
      </c>
      <c r="E6881" s="2889" t="s">
        <v>217</v>
      </c>
      <c r="F6881" s="3039">
        <v>6.1395669034887868E-4</v>
      </c>
      <c r="G6881" s="2890">
        <v>3.5455922172594896</v>
      </c>
    </row>
    <row r="6882" spans="2:7" ht="15" hidden="1" outlineLevel="2">
      <c r="B6882" s="2889" t="s">
        <v>1644</v>
      </c>
      <c r="C6882" s="2889" t="s">
        <v>1486</v>
      </c>
      <c r="D6882" s="2889" t="s">
        <v>1054</v>
      </c>
      <c r="E6882" s="2889" t="s">
        <v>217</v>
      </c>
      <c r="F6882" s="3039">
        <v>1.3443884662421361E-2</v>
      </c>
      <c r="G6882" s="2890">
        <v>78.062115692555381</v>
      </c>
    </row>
    <row r="6883" spans="2:7" ht="15" hidden="1" outlineLevel="2">
      <c r="B6883" s="2889" t="s">
        <v>1645</v>
      </c>
      <c r="C6883" s="2889" t="s">
        <v>1486</v>
      </c>
      <c r="D6883" s="2889" t="s">
        <v>1054</v>
      </c>
      <c r="E6883" s="2889" t="s">
        <v>217</v>
      </c>
      <c r="F6883" s="3039">
        <v>1.5353339045219674E-2</v>
      </c>
      <c r="G6883" s="2890">
        <v>89.14942914289027</v>
      </c>
    </row>
    <row r="6884" spans="2:7" ht="15" hidden="1" outlineLevel="2">
      <c r="B6884" s="2889" t="s">
        <v>1646</v>
      </c>
      <c r="C6884" s="2889" t="s">
        <v>1486</v>
      </c>
      <c r="D6884" s="2889" t="s">
        <v>1054</v>
      </c>
      <c r="E6884" s="2889" t="s">
        <v>217</v>
      </c>
      <c r="F6884" s="3039">
        <v>9.0130322356434586E-4</v>
      </c>
      <c r="G6884" s="2890">
        <v>5.2132310758119624</v>
      </c>
    </row>
    <row r="6885" spans="2:7" ht="15" hidden="1" outlineLevel="2">
      <c r="B6885" s="2889" t="s">
        <v>1647</v>
      </c>
      <c r="C6885" s="2889" t="s">
        <v>1486</v>
      </c>
      <c r="D6885" s="2889" t="s">
        <v>1054</v>
      </c>
      <c r="E6885" s="2889" t="s">
        <v>217</v>
      </c>
      <c r="F6885" s="3039">
        <v>2.2385956611903372E-3</v>
      </c>
      <c r="G6885" s="2890">
        <v>13.01326872656902</v>
      </c>
    </row>
    <row r="6886" spans="2:7" ht="15" hidden="1" outlineLevel="2">
      <c r="B6886" s="2889" t="s">
        <v>1648</v>
      </c>
      <c r="C6886" s="2889" t="s">
        <v>1486</v>
      </c>
      <c r="D6886" s="2889" t="s">
        <v>1054</v>
      </c>
      <c r="E6886" s="2889" t="s">
        <v>217</v>
      </c>
      <c r="F6886" s="3039">
        <v>2.5097267743868416E-4</v>
      </c>
      <c r="G6886" s="2890">
        <v>1.4589399489057251</v>
      </c>
    </row>
    <row r="6887" spans="2:7" ht="15" hidden="1" outlineLevel="2">
      <c r="B6887" s="2889" t="s">
        <v>1649</v>
      </c>
      <c r="C6887" s="2889" t="s">
        <v>1486</v>
      </c>
      <c r="D6887" s="2889" t="s">
        <v>1054</v>
      </c>
      <c r="E6887" s="2889" t="s">
        <v>217</v>
      </c>
      <c r="F6887" s="3039">
        <v>1.1904390296498379E-3</v>
      </c>
      <c r="G6887" s="2890">
        <v>6.920189291243978</v>
      </c>
    </row>
    <row r="6888" spans="2:7" ht="15" hidden="1" outlineLevel="2">
      <c r="B6888" s="2889" t="s">
        <v>1650</v>
      </c>
      <c r="C6888" s="2889" t="s">
        <v>1486</v>
      </c>
      <c r="D6888" s="2889" t="s">
        <v>1054</v>
      </c>
      <c r="E6888" s="2889" t="s">
        <v>217</v>
      </c>
      <c r="F6888" s="3039">
        <v>2.9997358692300472E-3</v>
      </c>
      <c r="G6888" s="2890">
        <v>17.29039935333045</v>
      </c>
    </row>
    <row r="6889" spans="2:7" ht="15" hidden="1" outlineLevel="2">
      <c r="B6889" s="2889" t="s">
        <v>1651</v>
      </c>
      <c r="C6889" s="2889" t="s">
        <v>1486</v>
      </c>
      <c r="D6889" s="2889" t="s">
        <v>1054</v>
      </c>
      <c r="E6889" s="2889" t="s">
        <v>217</v>
      </c>
      <c r="F6889" s="3039">
        <v>1.6273610453521371E-3</v>
      </c>
      <c r="G6889" s="2890">
        <v>9.4600841119494028</v>
      </c>
    </row>
    <row r="6890" spans="2:7" ht="15" hidden="1" outlineLevel="2">
      <c r="B6890" s="2889" t="s">
        <v>1652</v>
      </c>
      <c r="C6890" s="2889" t="s">
        <v>1486</v>
      </c>
      <c r="D6890" s="2889" t="s">
        <v>1054</v>
      </c>
      <c r="E6890" s="2889" t="s">
        <v>217</v>
      </c>
      <c r="F6890" s="3039">
        <v>1.7869854610084266E-3</v>
      </c>
      <c r="G6890" s="2890">
        <v>10.387996124493155</v>
      </c>
    </row>
    <row r="6891" spans="2:7" ht="15" hidden="1" outlineLevel="2">
      <c r="B6891" s="2889" t="s">
        <v>1653</v>
      </c>
      <c r="C6891" s="2889" t="s">
        <v>1486</v>
      </c>
      <c r="D6891" s="2889" t="s">
        <v>1054</v>
      </c>
      <c r="E6891" s="2889" t="s">
        <v>217</v>
      </c>
      <c r="F6891" s="3039">
        <v>4.504606933838142E-35</v>
      </c>
      <c r="G6891" s="2890">
        <v>2.6624500171759199E-31</v>
      </c>
    </row>
    <row r="6892" spans="2:7" ht="15" hidden="1" outlineLevel="2">
      <c r="B6892" s="2889" t="s">
        <v>1407</v>
      </c>
      <c r="C6892" s="2889" t="s">
        <v>1487</v>
      </c>
      <c r="D6892" s="2889" t="s">
        <v>1054</v>
      </c>
      <c r="E6892" s="2889" t="s">
        <v>217</v>
      </c>
      <c r="F6892" s="3039">
        <v>5.3393198250496999E-3</v>
      </c>
      <c r="G6892" s="2890">
        <v>7.7049845249846376</v>
      </c>
    </row>
    <row r="6893" spans="2:7" ht="15" hidden="1" outlineLevel="2">
      <c r="B6893" s="2889" t="s">
        <v>1631</v>
      </c>
      <c r="C6893" s="2889" t="s">
        <v>1487</v>
      </c>
      <c r="D6893" s="2889" t="s">
        <v>1054</v>
      </c>
      <c r="E6893" s="2889" t="s">
        <v>217</v>
      </c>
      <c r="F6893" s="3039">
        <v>8.9533387765775768E-2</v>
      </c>
      <c r="G6893" s="2890">
        <v>127.86298104008107</v>
      </c>
    </row>
    <row r="6894" spans="2:7" ht="15" hidden="1" outlineLevel="2">
      <c r="B6894" s="2889" t="s">
        <v>1632</v>
      </c>
      <c r="C6894" s="2889" t="s">
        <v>1487</v>
      </c>
      <c r="D6894" s="2889" t="s">
        <v>1054</v>
      </c>
      <c r="E6894" s="2889" t="s">
        <v>217</v>
      </c>
      <c r="F6894" s="3039">
        <v>0.20441628618670513</v>
      </c>
      <c r="G6894" s="2890">
        <v>296.1710678964086</v>
      </c>
    </row>
    <row r="6895" spans="2:7" ht="15" hidden="1" outlineLevel="2">
      <c r="B6895" s="2889" t="s">
        <v>1633</v>
      </c>
      <c r="C6895" s="2889" t="s">
        <v>1487</v>
      </c>
      <c r="D6895" s="2889" t="s">
        <v>1054</v>
      </c>
      <c r="E6895" s="2889" t="s">
        <v>217</v>
      </c>
      <c r="F6895" s="3039">
        <v>1.6515243158937588E-2</v>
      </c>
      <c r="G6895" s="2890">
        <v>24.034911341426284</v>
      </c>
    </row>
    <row r="6896" spans="2:7" ht="15" hidden="1" outlineLevel="2">
      <c r="B6896" s="2889" t="s">
        <v>1634</v>
      </c>
      <c r="C6896" s="2889" t="s">
        <v>1487</v>
      </c>
      <c r="D6896" s="2889" t="s">
        <v>1054</v>
      </c>
      <c r="E6896" s="2889" t="s">
        <v>217</v>
      </c>
      <c r="F6896" s="3039">
        <v>3.057035976378727E-3</v>
      </c>
      <c r="G6896" s="2890">
        <v>4.4548029196942709</v>
      </c>
    </row>
    <row r="6897" spans="2:7" ht="15" hidden="1" outlineLevel="2">
      <c r="B6897" s="2889" t="s">
        <v>1635</v>
      </c>
      <c r="C6897" s="2889" t="s">
        <v>1487</v>
      </c>
      <c r="D6897" s="2889" t="s">
        <v>1054</v>
      </c>
      <c r="E6897" s="2889" t="s">
        <v>217</v>
      </c>
      <c r="F6897" s="3039">
        <v>2.5934053709689479E-2</v>
      </c>
      <c r="G6897" s="2890">
        <v>37.574847100157186</v>
      </c>
    </row>
    <row r="6898" spans="2:7" ht="15" hidden="1" outlineLevel="2">
      <c r="B6898" s="2889" t="s">
        <v>1636</v>
      </c>
      <c r="C6898" s="2889" t="s">
        <v>1487</v>
      </c>
      <c r="D6898" s="2889" t="s">
        <v>1054</v>
      </c>
      <c r="E6898" s="2889" t="s">
        <v>217</v>
      </c>
      <c r="F6898" s="2890">
        <v>2.2764035889633771E-2</v>
      </c>
      <c r="G6898" s="2890">
        <v>32.984942815794071</v>
      </c>
    </row>
    <row r="6899" spans="2:7" ht="15" hidden="1" outlineLevel="2">
      <c r="B6899" s="2889" t="s">
        <v>1637</v>
      </c>
      <c r="C6899" s="2889" t="s">
        <v>1487</v>
      </c>
      <c r="D6899" s="2889" t="s">
        <v>1054</v>
      </c>
      <c r="E6899" s="2889" t="s">
        <v>217</v>
      </c>
      <c r="F6899" s="2890">
        <v>3.7641383045452885E-2</v>
      </c>
      <c r="G6899" s="2890">
        <v>54.780258371951433</v>
      </c>
    </row>
    <row r="6900" spans="2:7" ht="15" hidden="1" outlineLevel="2">
      <c r="B6900" s="2889" t="s">
        <v>1638</v>
      </c>
      <c r="C6900" s="2889" t="s">
        <v>1487</v>
      </c>
      <c r="D6900" s="2889" t="s">
        <v>1054</v>
      </c>
      <c r="E6900" s="2889" t="s">
        <v>217</v>
      </c>
      <c r="F6900" s="2890">
        <v>4.90687233416292E-3</v>
      </c>
      <c r="G6900" s="2890">
        <v>7.1504389892337761</v>
      </c>
    </row>
    <row r="6901" spans="2:7" ht="15" hidden="1" outlineLevel="2">
      <c r="B6901" s="2889" t="s">
        <v>1639</v>
      </c>
      <c r="C6901" s="2889" t="s">
        <v>1487</v>
      </c>
      <c r="D6901" s="2889" t="s">
        <v>1054</v>
      </c>
      <c r="E6901" s="2889" t="s">
        <v>217</v>
      </c>
      <c r="F6901" s="2890">
        <v>4.5173201193825528E-2</v>
      </c>
      <c r="G6901" s="2890">
        <v>65.74130502562582</v>
      </c>
    </row>
    <row r="6902" spans="2:7" ht="15" hidden="1" outlineLevel="2">
      <c r="B6902" s="2889" t="s">
        <v>1640</v>
      </c>
      <c r="C6902" s="2889" t="s">
        <v>1487</v>
      </c>
      <c r="D6902" s="2889" t="s">
        <v>1054</v>
      </c>
      <c r="E6902" s="2889" t="s">
        <v>217</v>
      </c>
      <c r="F6902" s="2890">
        <v>1.0710773256576338E-2</v>
      </c>
      <c r="G6902" s="2890">
        <v>15.456357520948826</v>
      </c>
    </row>
    <row r="6903" spans="2:7" ht="15" hidden="1" outlineLevel="2">
      <c r="B6903" s="2889" t="s">
        <v>1641</v>
      </c>
      <c r="C6903" s="2889" t="s">
        <v>1487</v>
      </c>
      <c r="D6903" s="2889" t="s">
        <v>1054</v>
      </c>
      <c r="E6903" s="2889" t="s">
        <v>217</v>
      </c>
      <c r="F6903" s="2890">
        <v>5.4645117107831986E-2</v>
      </c>
      <c r="G6903" s="2890">
        <v>79.173203367900669</v>
      </c>
    </row>
    <row r="6904" spans="2:7" ht="15" hidden="1" outlineLevel="2">
      <c r="B6904" s="2889" t="s">
        <v>1642</v>
      </c>
      <c r="C6904" s="2889" t="s">
        <v>1487</v>
      </c>
      <c r="D6904" s="2889" t="s">
        <v>1054</v>
      </c>
      <c r="E6904" s="2889" t="s">
        <v>217</v>
      </c>
      <c r="F6904" s="2890">
        <v>3.9223408472152776E-2</v>
      </c>
      <c r="G6904" s="2890">
        <v>56.829239228527484</v>
      </c>
    </row>
    <row r="6905" spans="2:7" ht="15" hidden="1" outlineLevel="2">
      <c r="B6905" s="2889" t="s">
        <v>1643</v>
      </c>
      <c r="C6905" s="2889" t="s">
        <v>1487</v>
      </c>
      <c r="D6905" s="2889" t="s">
        <v>1054</v>
      </c>
      <c r="E6905" s="2889" t="s">
        <v>217</v>
      </c>
      <c r="F6905" s="2890">
        <v>5.8096567224137589E-3</v>
      </c>
      <c r="G6905" s="2890">
        <v>8.4021297389685703</v>
      </c>
    </row>
    <row r="6906" spans="2:7" ht="15" hidden="1" outlineLevel="2">
      <c r="B6906" s="2889" t="s">
        <v>1644</v>
      </c>
      <c r="C6906" s="2889" t="s">
        <v>1487</v>
      </c>
      <c r="D6906" s="2889" t="s">
        <v>1054</v>
      </c>
      <c r="E6906" s="2889" t="s">
        <v>217</v>
      </c>
      <c r="F6906" s="2890">
        <v>0.12711102683176856</v>
      </c>
      <c r="G6906" s="2890">
        <v>184.98698119634037</v>
      </c>
    </row>
    <row r="6907" spans="2:7" ht="15" hidden="1" outlineLevel="2">
      <c r="B6907" s="2889" t="s">
        <v>1645</v>
      </c>
      <c r="C6907" s="2889" t="s">
        <v>1487</v>
      </c>
      <c r="D6907" s="2889" t="s">
        <v>1054</v>
      </c>
      <c r="E6907" s="2889" t="s">
        <v>217</v>
      </c>
      <c r="F6907" s="2890">
        <v>0.14516478400622432</v>
      </c>
      <c r="G6907" s="2890">
        <v>211.26091058153278</v>
      </c>
    </row>
    <row r="6908" spans="2:7" ht="15" hidden="1" outlineLevel="2">
      <c r="B6908" s="2889" t="s">
        <v>1646</v>
      </c>
      <c r="C6908" s="2889" t="s">
        <v>1487</v>
      </c>
      <c r="D6908" s="2889" t="s">
        <v>1054</v>
      </c>
      <c r="E6908" s="2889" t="s">
        <v>217</v>
      </c>
      <c r="F6908" s="2890">
        <v>8.5267046324393678E-3</v>
      </c>
      <c r="G6908" s="2890">
        <v>12.354007941666024</v>
      </c>
    </row>
    <row r="6909" spans="2:7" ht="15" hidden="1" outlineLevel="2">
      <c r="B6909" s="2889" t="s">
        <v>1647</v>
      </c>
      <c r="C6909" s="2889" t="s">
        <v>1487</v>
      </c>
      <c r="D6909" s="2889" t="s">
        <v>1054</v>
      </c>
      <c r="E6909" s="2889" t="s">
        <v>217</v>
      </c>
      <c r="F6909" s="2890">
        <v>2.1162128358370197E-2</v>
      </c>
      <c r="G6909" s="2890">
        <v>30.838064647628972</v>
      </c>
    </row>
    <row r="6910" spans="2:7" ht="15" hidden="1" outlineLevel="2">
      <c r="B6910" s="2889" t="s">
        <v>1648</v>
      </c>
      <c r="C6910" s="2889" t="s">
        <v>1487</v>
      </c>
      <c r="D6910" s="2889" t="s">
        <v>1054</v>
      </c>
      <c r="E6910" s="2889" t="s">
        <v>217</v>
      </c>
      <c r="F6910" s="2890">
        <v>2.3725224419614403E-3</v>
      </c>
      <c r="G6910" s="2890">
        <v>3.4573095744893458</v>
      </c>
    </row>
    <row r="6911" spans="2:7" ht="15" hidden="1" outlineLevel="2">
      <c r="B6911" s="2889" t="s">
        <v>1649</v>
      </c>
      <c r="C6911" s="2889" t="s">
        <v>1487</v>
      </c>
      <c r="D6911" s="2889" t="s">
        <v>1054</v>
      </c>
      <c r="E6911" s="2889" t="s">
        <v>217</v>
      </c>
      <c r="F6911" s="2890">
        <v>1.1253595675030153E-2</v>
      </c>
      <c r="G6911" s="2890">
        <v>16.399063992205154</v>
      </c>
    </row>
    <row r="6912" spans="2:7" ht="15" hidden="1" outlineLevel="2">
      <c r="B6912" s="2889" t="s">
        <v>1650</v>
      </c>
      <c r="C6912" s="2889" t="s">
        <v>1487</v>
      </c>
      <c r="D6912" s="2889" t="s">
        <v>1054</v>
      </c>
      <c r="E6912" s="2889" t="s">
        <v>217</v>
      </c>
      <c r="F6912" s="2890">
        <v>2.8393519904483945E-2</v>
      </c>
      <c r="G6912" s="2890">
        <v>40.973764592472335</v>
      </c>
    </row>
    <row r="6913" spans="2:7" ht="15" hidden="1" outlineLevel="2">
      <c r="B6913" s="2889" t="s">
        <v>1651</v>
      </c>
      <c r="C6913" s="2889" t="s">
        <v>1487</v>
      </c>
      <c r="D6913" s="2889" t="s">
        <v>1054</v>
      </c>
      <c r="E6913" s="2889" t="s">
        <v>217</v>
      </c>
      <c r="F6913" s="2890">
        <v>1.5383942809834896E-2</v>
      </c>
      <c r="G6913" s="2890">
        <v>22.417935668409797</v>
      </c>
    </row>
    <row r="6914" spans="2:7" ht="15" hidden="1" outlineLevel="2">
      <c r="B6914" s="2889" t="s">
        <v>1652</v>
      </c>
      <c r="C6914" s="2889" t="s">
        <v>1487</v>
      </c>
      <c r="D6914" s="2889" t="s">
        <v>1054</v>
      </c>
      <c r="E6914" s="2889" t="s">
        <v>217</v>
      </c>
      <c r="F6914" s="2890">
        <v>1.6892926997875035E-2</v>
      </c>
      <c r="G6914" s="2890">
        <v>24.616848747697066</v>
      </c>
    </row>
    <row r="6915" spans="2:7" ht="15" hidden="1" outlineLevel="2">
      <c r="B6915" s="2889" t="s">
        <v>1653</v>
      </c>
      <c r="C6915" s="2889" t="s">
        <v>1487</v>
      </c>
      <c r="D6915" s="2889" t="s">
        <v>1054</v>
      </c>
      <c r="E6915" s="2889" t="s">
        <v>217</v>
      </c>
      <c r="F6915" s="2890">
        <v>1.1093063311404508E-34</v>
      </c>
      <c r="G6915" s="2890">
        <v>1.5540462074317711E-31</v>
      </c>
    </row>
    <row r="6916" spans="2:7" ht="15" hidden="1" outlineLevel="2">
      <c r="B6916" s="2889" t="s">
        <v>1407</v>
      </c>
      <c r="C6916" s="2889" t="s">
        <v>1488</v>
      </c>
      <c r="D6916" s="2889" t="s">
        <v>1054</v>
      </c>
      <c r="E6916" s="2889" t="s">
        <v>217</v>
      </c>
      <c r="F6916" s="2890">
        <v>3.3103406103199571E-3</v>
      </c>
      <c r="G6916" s="2890">
        <v>5.288033336867036</v>
      </c>
    </row>
    <row r="6917" spans="2:7" ht="15" hidden="1" outlineLevel="2">
      <c r="B6917" s="2889" t="s">
        <v>1631</v>
      </c>
      <c r="C6917" s="2889" t="s">
        <v>1488</v>
      </c>
      <c r="D6917" s="2889" t="s">
        <v>1054</v>
      </c>
      <c r="E6917" s="2889" t="s">
        <v>217</v>
      </c>
      <c r="F6917" s="2890">
        <v>5.5452066675657809E-2</v>
      </c>
      <c r="G6917" s="2890">
        <v>87.75405322223088</v>
      </c>
    </row>
    <row r="6918" spans="2:7" ht="15" hidden="1" outlineLevel="2">
      <c r="B6918" s="2889" t="s">
        <v>1632</v>
      </c>
      <c r="C6918" s="2889" t="s">
        <v>1488</v>
      </c>
      <c r="D6918" s="2889" t="s">
        <v>1054</v>
      </c>
      <c r="E6918" s="2889" t="s">
        <v>217</v>
      </c>
      <c r="F6918" s="3039">
        <v>0.1267880826158829</v>
      </c>
      <c r="G6918" s="2890">
        <v>203.26604939188658</v>
      </c>
    </row>
    <row r="6919" spans="2:7" ht="15" hidden="1" outlineLevel="2">
      <c r="B6919" s="2889" t="s">
        <v>1633</v>
      </c>
      <c r="C6919" s="2889" t="s">
        <v>1488</v>
      </c>
      <c r="D6919" s="2889" t="s">
        <v>1054</v>
      </c>
      <c r="E6919" s="2889" t="s">
        <v>217</v>
      </c>
      <c r="F6919" s="3039">
        <v>1.0248089026993375E-2</v>
      </c>
      <c r="G6919" s="2890">
        <v>16.495470047639301</v>
      </c>
    </row>
    <row r="6920" spans="2:7" ht="15" hidden="1" outlineLevel="2">
      <c r="B6920" s="2889" t="s">
        <v>1634</v>
      </c>
      <c r="C6920" s="2889" t="s">
        <v>1488</v>
      </c>
      <c r="D6920" s="2889" t="s">
        <v>1054</v>
      </c>
      <c r="E6920" s="2889" t="s">
        <v>217</v>
      </c>
      <c r="F6920" s="3039">
        <v>1.8972159504522228E-3</v>
      </c>
      <c r="G6920" s="2890">
        <v>3.057387402097441</v>
      </c>
    </row>
    <row r="6921" spans="2:7" ht="15" hidden="1" outlineLevel="2">
      <c r="B6921" s="2889" t="s">
        <v>1635</v>
      </c>
      <c r="C6921" s="2889" t="s">
        <v>1488</v>
      </c>
      <c r="D6921" s="2889" t="s">
        <v>1054</v>
      </c>
      <c r="E6921" s="2889" t="s">
        <v>217</v>
      </c>
      <c r="F6921" s="3039">
        <v>1.6085444213560004E-2</v>
      </c>
      <c r="G6921" s="2890">
        <v>25.788101606617854</v>
      </c>
    </row>
    <row r="6922" spans="2:7" ht="15" hidden="1" outlineLevel="2">
      <c r="B6922" s="2889" t="s">
        <v>1636</v>
      </c>
      <c r="C6922" s="2889" t="s">
        <v>1488</v>
      </c>
      <c r="D6922" s="2889" t="s">
        <v>1054</v>
      </c>
      <c r="E6922" s="2889" t="s">
        <v>217</v>
      </c>
      <c r="F6922" s="3039">
        <v>1.4119393301794148E-2</v>
      </c>
      <c r="G6922" s="2890">
        <v>22.638003707105074</v>
      </c>
    </row>
    <row r="6923" spans="2:7" ht="15" hidden="1" outlineLevel="2">
      <c r="B6923" s="2889" t="s">
        <v>1637</v>
      </c>
      <c r="C6923" s="2889" t="s">
        <v>1488</v>
      </c>
      <c r="D6923" s="2889" t="s">
        <v>1054</v>
      </c>
      <c r="E6923" s="2889" t="s">
        <v>217</v>
      </c>
      <c r="F6923" s="3039">
        <v>2.3357375775249808E-2</v>
      </c>
      <c r="G6923" s="2890">
        <v>37.596380757625482</v>
      </c>
    </row>
    <row r="6924" spans="2:7" ht="15" hidden="1" outlineLevel="2">
      <c r="B6924" s="2889" t="s">
        <v>1638</v>
      </c>
      <c r="C6924" s="2889" t="s">
        <v>1488</v>
      </c>
      <c r="D6924" s="2889" t="s">
        <v>1054</v>
      </c>
      <c r="E6924" s="2889" t="s">
        <v>217</v>
      </c>
      <c r="F6924" s="3039">
        <v>3.0452370802144259E-3</v>
      </c>
      <c r="G6924" s="2890">
        <v>4.9074391607036425</v>
      </c>
    </row>
    <row r="6925" spans="2:7" ht="15" hidden="1" outlineLevel="2">
      <c r="B6925" s="2889" t="s">
        <v>1639</v>
      </c>
      <c r="C6925" s="2889" t="s">
        <v>1488</v>
      </c>
      <c r="D6925" s="2889" t="s">
        <v>1054</v>
      </c>
      <c r="E6925" s="2889" t="s">
        <v>217</v>
      </c>
      <c r="F6925" s="2890">
        <v>2.8031019134722203E-2</v>
      </c>
      <c r="G6925" s="2890">
        <v>45.119141515557111</v>
      </c>
    </row>
    <row r="6926" spans="2:7" ht="15" hidden="1" outlineLevel="2">
      <c r="B6926" s="2889" t="s">
        <v>1640</v>
      </c>
      <c r="C6926" s="2889" t="s">
        <v>1488</v>
      </c>
      <c r="D6926" s="2889" t="s">
        <v>1054</v>
      </c>
      <c r="E6926" s="2889" t="s">
        <v>217</v>
      </c>
      <c r="F6926" s="2890">
        <v>6.6406083486204841E-3</v>
      </c>
      <c r="G6926" s="2890">
        <v>10.607896345828177</v>
      </c>
    </row>
    <row r="6927" spans="2:7" ht="15" hidden="1" outlineLevel="2">
      <c r="B6927" s="2889" t="s">
        <v>1641</v>
      </c>
      <c r="C6927" s="2889" t="s">
        <v>1488</v>
      </c>
      <c r="D6927" s="2889" t="s">
        <v>1054</v>
      </c>
      <c r="E6927" s="2889" t="s">
        <v>217</v>
      </c>
      <c r="F6927" s="2890">
        <v>3.3893286407440375E-2</v>
      </c>
      <c r="G6927" s="2890">
        <v>54.337547976930551</v>
      </c>
    </row>
    <row r="6928" spans="2:7" ht="15" hidden="1" outlineLevel="2">
      <c r="B6928" s="2889" t="s">
        <v>1642</v>
      </c>
      <c r="C6928" s="2889" t="s">
        <v>1488</v>
      </c>
      <c r="D6928" s="2889" t="s">
        <v>1054</v>
      </c>
      <c r="E6928" s="2889" t="s">
        <v>217</v>
      </c>
      <c r="F6928" s="2890">
        <v>2.4328082004007268E-2</v>
      </c>
      <c r="G6928" s="2890">
        <v>39.002672018541062</v>
      </c>
    </row>
    <row r="6929" spans="2:7" ht="15" hidden="1" outlineLevel="2">
      <c r="B6929" s="2889" t="s">
        <v>1643</v>
      </c>
      <c r="C6929" s="2889" t="s">
        <v>1488</v>
      </c>
      <c r="D6929" s="2889" t="s">
        <v>1054</v>
      </c>
      <c r="E6929" s="2889" t="s">
        <v>217</v>
      </c>
      <c r="F6929" s="2890">
        <v>3.6027456409736328E-3</v>
      </c>
      <c r="G6929" s="2890">
        <v>5.7664931887694575</v>
      </c>
    </row>
    <row r="6930" spans="2:7" ht="15" hidden="1" outlineLevel="2">
      <c r="B6930" s="2889" t="s">
        <v>1644</v>
      </c>
      <c r="C6930" s="2889" t="s">
        <v>1488</v>
      </c>
      <c r="D6930" s="2889" t="s">
        <v>1054</v>
      </c>
      <c r="E6930" s="2889" t="s">
        <v>217</v>
      </c>
      <c r="F6930" s="2890">
        <v>7.8875390416495397E-2</v>
      </c>
      <c r="G6930" s="2890">
        <v>126.95896122421105</v>
      </c>
    </row>
    <row r="6931" spans="2:7" ht="15" hidden="1" outlineLevel="2">
      <c r="B6931" s="2889" t="s">
        <v>1645</v>
      </c>
      <c r="C6931" s="2889" t="s">
        <v>1488</v>
      </c>
      <c r="D6931" s="2889" t="s">
        <v>1054</v>
      </c>
      <c r="E6931" s="2889" t="s">
        <v>217</v>
      </c>
      <c r="F6931" s="2890">
        <v>9.0078171615274011E-2</v>
      </c>
      <c r="G6931" s="2890">
        <v>144.99114397208555</v>
      </c>
    </row>
    <row r="6932" spans="2:7" ht="15" hidden="1" outlineLevel="2">
      <c r="B6932" s="2889" t="s">
        <v>1646</v>
      </c>
      <c r="C6932" s="2889" t="s">
        <v>1488</v>
      </c>
      <c r="D6932" s="2889" t="s">
        <v>1054</v>
      </c>
      <c r="E6932" s="2889" t="s">
        <v>217</v>
      </c>
      <c r="F6932" s="2890">
        <v>5.2886386641339692E-3</v>
      </c>
      <c r="G6932" s="2890">
        <v>8.4787187325651416</v>
      </c>
    </row>
    <row r="6933" spans="2:7" ht="15" hidden="1" outlineLevel="2">
      <c r="B6933" s="2889" t="s">
        <v>1647</v>
      </c>
      <c r="C6933" s="2889" t="s">
        <v>1488</v>
      </c>
      <c r="D6933" s="2889" t="s">
        <v>1054</v>
      </c>
      <c r="E6933" s="2889" t="s">
        <v>217</v>
      </c>
      <c r="F6933" s="2890">
        <v>1.3133351097044383E-2</v>
      </c>
      <c r="G6933" s="2890">
        <v>21.164566221096404</v>
      </c>
    </row>
    <row r="6934" spans="2:7" ht="15" hidden="1" outlineLevel="2">
      <c r="B6934" s="2889" t="s">
        <v>1648</v>
      </c>
      <c r="C6934" s="2889" t="s">
        <v>1488</v>
      </c>
      <c r="D6934" s="2889" t="s">
        <v>1054</v>
      </c>
      <c r="E6934" s="2889" t="s">
        <v>217</v>
      </c>
      <c r="F6934" s="2890">
        <v>1.4724029773079436E-3</v>
      </c>
      <c r="G6934" s="2890">
        <v>2.3727957349666298</v>
      </c>
    </row>
    <row r="6935" spans="2:7" ht="15" hidden="1" outlineLevel="2">
      <c r="B6935" s="2889" t="s">
        <v>1649</v>
      </c>
      <c r="C6935" s="2889" t="s">
        <v>1488</v>
      </c>
      <c r="D6935" s="2889" t="s">
        <v>1054</v>
      </c>
      <c r="E6935" s="2889" t="s">
        <v>217</v>
      </c>
      <c r="F6935" s="2890">
        <v>6.9840520178042417E-3</v>
      </c>
      <c r="G6935" s="2890">
        <v>11.25488556841451</v>
      </c>
    </row>
    <row r="6936" spans="2:7" ht="15" hidden="1" outlineLevel="2">
      <c r="B6936" s="2889" t="s">
        <v>1650</v>
      </c>
      <c r="C6936" s="2889" t="s">
        <v>1488</v>
      </c>
      <c r="D6936" s="2889" t="s">
        <v>1054</v>
      </c>
      <c r="E6936" s="2889" t="s">
        <v>217</v>
      </c>
      <c r="F6936" s="2890">
        <v>1.7603790575566686E-2</v>
      </c>
      <c r="G6936" s="2890">
        <v>28.12081523578625</v>
      </c>
    </row>
    <row r="6937" spans="2:7" ht="15" hidden="1" outlineLevel="2">
      <c r="B6937" s="2889" t="s">
        <v>1651</v>
      </c>
      <c r="C6937" s="2889" t="s">
        <v>1488</v>
      </c>
      <c r="D6937" s="2889" t="s">
        <v>1054</v>
      </c>
      <c r="E6937" s="2889" t="s">
        <v>217</v>
      </c>
      <c r="F6937" s="2890">
        <v>9.5473763614551642E-3</v>
      </c>
      <c r="G6937" s="2890">
        <v>15.385721142870356</v>
      </c>
    </row>
    <row r="6938" spans="2:7" ht="15" hidden="1" outlineLevel="2">
      <c r="B6938" s="2889" t="s">
        <v>1652</v>
      </c>
      <c r="C6938" s="2889" t="s">
        <v>1488</v>
      </c>
      <c r="D6938" s="2889" t="s">
        <v>1054</v>
      </c>
      <c r="E6938" s="2889" t="s">
        <v>217</v>
      </c>
      <c r="F6938" s="2890">
        <v>1.0483854868132024E-2</v>
      </c>
      <c r="G6938" s="2890">
        <v>16.894870028766086</v>
      </c>
    </row>
    <row r="6939" spans="2:7" ht="15" hidden="1" outlineLevel="2">
      <c r="B6939" s="2889" t="s">
        <v>1653</v>
      </c>
      <c r="C6939" s="2889" t="s">
        <v>1488</v>
      </c>
      <c r="D6939" s="2889" t="s">
        <v>1054</v>
      </c>
      <c r="E6939" s="2889" t="s">
        <v>217</v>
      </c>
      <c r="F6939" s="2890">
        <v>9.9999841675024043E-33</v>
      </c>
      <c r="G6939" s="2890">
        <v>1.3023641966440594E-29</v>
      </c>
    </row>
    <row r="6940" spans="2:7" ht="15" hidden="1" outlineLevel="2">
      <c r="B6940" s="2889" t="s">
        <v>1407</v>
      </c>
      <c r="C6940" s="2889" t="s">
        <v>1489</v>
      </c>
      <c r="D6940" s="2889" t="s">
        <v>1054</v>
      </c>
      <c r="E6940" s="2889" t="s">
        <v>217</v>
      </c>
      <c r="F6940" s="2890">
        <v>1.6674982661846964E-3</v>
      </c>
      <c r="G6940" s="2890">
        <v>1.7423591884838927</v>
      </c>
    </row>
    <row r="6941" spans="2:7" ht="15" hidden="1" outlineLevel="2">
      <c r="B6941" s="2889" t="s">
        <v>1631</v>
      </c>
      <c r="C6941" s="2889" t="s">
        <v>1489</v>
      </c>
      <c r="D6941" s="2889" t="s">
        <v>1054</v>
      </c>
      <c r="E6941" s="2889" t="s">
        <v>217</v>
      </c>
      <c r="F6941" s="2890">
        <v>2.7956649512240389E-2</v>
      </c>
      <c r="G6941" s="2890">
        <v>28.914162741830111</v>
      </c>
    </row>
    <row r="6942" spans="2:7" ht="15" hidden="1" outlineLevel="2">
      <c r="B6942" s="2889" t="s">
        <v>1632</v>
      </c>
      <c r="C6942" s="2889" t="s">
        <v>1489</v>
      </c>
      <c r="D6942" s="2889" t="s">
        <v>1054</v>
      </c>
      <c r="E6942" s="2889" t="s">
        <v>217</v>
      </c>
      <c r="F6942" s="2890">
        <v>6.3844896985083638E-2</v>
      </c>
      <c r="G6942" s="2890">
        <v>66.974308623725491</v>
      </c>
    </row>
    <row r="6943" spans="2:7" ht="15" hidden="1" outlineLevel="2">
      <c r="B6943" s="2889" t="s">
        <v>1633</v>
      </c>
      <c r="C6943" s="2889" t="s">
        <v>1489</v>
      </c>
      <c r="D6943" s="2889" t="s">
        <v>1054</v>
      </c>
      <c r="E6943" s="2889" t="s">
        <v>217</v>
      </c>
      <c r="F6943" s="2890">
        <v>5.1585676965125518E-3</v>
      </c>
      <c r="G6943" s="2890">
        <v>5.4351088608429787</v>
      </c>
    </row>
    <row r="6944" spans="2:7" ht="15" hidden="1" outlineLevel="2">
      <c r="B6944" s="2889" t="s">
        <v>1634</v>
      </c>
      <c r="C6944" s="2889" t="s">
        <v>1489</v>
      </c>
      <c r="D6944" s="2889" t="s">
        <v>1054</v>
      </c>
      <c r="E6944" s="2889" t="s">
        <v>217</v>
      </c>
      <c r="F6944" s="2890">
        <v>9.5489417115571294E-4</v>
      </c>
      <c r="G6944" s="2890">
        <v>1.0073816231320221</v>
      </c>
    </row>
    <row r="6945" spans="2:7" ht="15" hidden="1" outlineLevel="2">
      <c r="B6945" s="2889" t="s">
        <v>1635</v>
      </c>
      <c r="C6945" s="2889" t="s">
        <v>1489</v>
      </c>
      <c r="D6945" s="2889" t="s">
        <v>1054</v>
      </c>
      <c r="E6945" s="2889" t="s">
        <v>217</v>
      </c>
      <c r="F6945" s="2890">
        <v>8.0999188843776677E-3</v>
      </c>
      <c r="G6945" s="2890">
        <v>8.4969468176300165</v>
      </c>
    </row>
    <row r="6946" spans="2:7" ht="15" hidden="1" outlineLevel="2">
      <c r="B6946" s="2889" t="s">
        <v>1636</v>
      </c>
      <c r="C6946" s="2889" t="s">
        <v>1489</v>
      </c>
      <c r="D6946" s="2889" t="s">
        <v>1054</v>
      </c>
      <c r="E6946" s="2889" t="s">
        <v>217</v>
      </c>
      <c r="F6946" s="2890">
        <v>7.1098522677548988E-3</v>
      </c>
      <c r="G6946" s="2890">
        <v>7.4590178834742922</v>
      </c>
    </row>
    <row r="6947" spans="2:7" ht="15" hidden="1" outlineLevel="2">
      <c r="B6947" s="2889" t="s">
        <v>1637</v>
      </c>
      <c r="C6947" s="2889" t="s">
        <v>1489</v>
      </c>
      <c r="D6947" s="2889" t="s">
        <v>1054</v>
      </c>
      <c r="E6947" s="2889" t="s">
        <v>217</v>
      </c>
      <c r="F6947" s="2890">
        <v>1.1757368234064111E-2</v>
      </c>
      <c r="G6947" s="2890">
        <v>12.387664284195946</v>
      </c>
    </row>
    <row r="6948" spans="2:7" ht="15" hidden="1" outlineLevel="2">
      <c r="B6948" s="2889" t="s">
        <v>1638</v>
      </c>
      <c r="C6948" s="2889" t="s">
        <v>1489</v>
      </c>
      <c r="D6948" s="2889" t="s">
        <v>1054</v>
      </c>
      <c r="E6948" s="2889" t="s">
        <v>217</v>
      </c>
      <c r="F6948" s="2890">
        <v>1.5327084604590581E-3</v>
      </c>
      <c r="G6948" s="2890">
        <v>1.6169568228253335</v>
      </c>
    </row>
    <row r="6949" spans="2:7" ht="15" hidden="1" outlineLevel="2">
      <c r="B6949" s="2889" t="s">
        <v>1639</v>
      </c>
      <c r="C6949" s="2889" t="s">
        <v>1489</v>
      </c>
      <c r="D6949" s="2889" t="s">
        <v>1054</v>
      </c>
      <c r="E6949" s="2889" t="s">
        <v>217</v>
      </c>
      <c r="F6949" s="2890">
        <v>1.4109939860902176E-2</v>
      </c>
      <c r="G6949" s="2890">
        <v>14.866340683713981</v>
      </c>
    </row>
    <row r="6950" spans="2:7" ht="15" hidden="1" outlineLevel="2">
      <c r="B6950" s="2889" t="s">
        <v>1640</v>
      </c>
      <c r="C6950" s="2889" t="s">
        <v>1489</v>
      </c>
      <c r="D6950" s="2889" t="s">
        <v>1054</v>
      </c>
      <c r="E6950" s="2889" t="s">
        <v>217</v>
      </c>
      <c r="F6950" s="2890">
        <v>3.3450330753355428E-3</v>
      </c>
      <c r="G6950" s="2890">
        <v>3.4952073605644891</v>
      </c>
    </row>
    <row r="6951" spans="2:7" ht="15" hidden="1" outlineLevel="2">
      <c r="B6951" s="2889" t="s">
        <v>1641</v>
      </c>
      <c r="C6951" s="2889" t="s">
        <v>1489</v>
      </c>
      <c r="D6951" s="2889" t="s">
        <v>1054</v>
      </c>
      <c r="E6951" s="2889" t="s">
        <v>217</v>
      </c>
      <c r="F6951" s="2890">
        <v>1.7067163441156136E-2</v>
      </c>
      <c r="G6951" s="2890">
        <v>17.903729312556393</v>
      </c>
    </row>
    <row r="6952" spans="2:7" ht="15" hidden="1" outlineLevel="2">
      <c r="B6952" s="2889" t="s">
        <v>1642</v>
      </c>
      <c r="C6952" s="2889" t="s">
        <v>1489</v>
      </c>
      <c r="D6952" s="2889" t="s">
        <v>1054</v>
      </c>
      <c r="E6952" s="2889" t="s">
        <v>217</v>
      </c>
      <c r="F6952" s="2890">
        <v>1.2250554028453707E-2</v>
      </c>
      <c r="G6952" s="2890">
        <v>12.85101702751423</v>
      </c>
    </row>
    <row r="6953" spans="2:7" ht="15" hidden="1" outlineLevel="2">
      <c r="B6953" s="2889" t="s">
        <v>1643</v>
      </c>
      <c r="C6953" s="2889" t="s">
        <v>1489</v>
      </c>
      <c r="D6953" s="2889" t="s">
        <v>1054</v>
      </c>
      <c r="E6953" s="2889" t="s">
        <v>217</v>
      </c>
      <c r="F6953" s="2890">
        <v>1.8144578028780757E-3</v>
      </c>
      <c r="G6953" s="2890">
        <v>1.9000064542108166</v>
      </c>
    </row>
    <row r="6954" spans="2:7" ht="15" hidden="1" outlineLevel="2">
      <c r="B6954" s="2889" t="s">
        <v>1644</v>
      </c>
      <c r="C6954" s="2889" t="s">
        <v>1489</v>
      </c>
      <c r="D6954" s="2889" t="s">
        <v>1054</v>
      </c>
      <c r="E6954" s="2889" t="s">
        <v>217</v>
      </c>
      <c r="F6954" s="2890">
        <v>3.9703402227266121E-2</v>
      </c>
      <c r="G6954" s="2890">
        <v>41.831831126756654</v>
      </c>
    </row>
    <row r="6955" spans="2:7" ht="15" hidden="1" outlineLevel="2">
      <c r="B6955" s="2889" t="s">
        <v>1645</v>
      </c>
      <c r="C6955" s="2889" t="s">
        <v>1489</v>
      </c>
      <c r="D6955" s="2889" t="s">
        <v>1054</v>
      </c>
      <c r="E6955" s="2889" t="s">
        <v>217</v>
      </c>
      <c r="F6955" s="2890">
        <v>4.5342535818840353E-2</v>
      </c>
      <c r="G6955" s="2890">
        <v>47.773265304127733</v>
      </c>
    </row>
    <row r="6956" spans="2:7" ht="15" hidden="1" outlineLevel="2">
      <c r="B6956" s="2889" t="s">
        <v>1646</v>
      </c>
      <c r="C6956" s="2889" t="s">
        <v>1489</v>
      </c>
      <c r="D6956" s="2889" t="s">
        <v>1054</v>
      </c>
      <c r="E6956" s="2889" t="s">
        <v>217</v>
      </c>
      <c r="F6956" s="2890">
        <v>2.6631252024846902E-3</v>
      </c>
      <c r="G6956" s="2890">
        <v>2.7936613719433252</v>
      </c>
    </row>
    <row r="6957" spans="2:7" ht="15" hidden="1" outlineLevel="2">
      <c r="B6957" s="2889" t="s">
        <v>1647</v>
      </c>
      <c r="C6957" s="2889" t="s">
        <v>1489</v>
      </c>
      <c r="D6957" s="2889" t="s">
        <v>1054</v>
      </c>
      <c r="E6957" s="2889" t="s">
        <v>217</v>
      </c>
      <c r="F6957" s="3039">
        <v>6.6101909650428748E-3</v>
      </c>
      <c r="G6957" s="2890">
        <v>6.9735336102156591</v>
      </c>
    </row>
    <row r="6958" spans="2:7" ht="15" hidden="1" outlineLevel="2">
      <c r="B6958" s="2889" t="s">
        <v>1648</v>
      </c>
      <c r="C6958" s="2889" t="s">
        <v>1489</v>
      </c>
      <c r="D6958" s="2889" t="s">
        <v>1054</v>
      </c>
      <c r="E6958" s="2889" t="s">
        <v>217</v>
      </c>
      <c r="F6958" s="3039">
        <v>7.4107992732697114E-4</v>
      </c>
      <c r="G6958" s="2890">
        <v>0.78181478079180466</v>
      </c>
    </row>
    <row r="6959" spans="2:7" ht="15" hidden="1" outlineLevel="2">
      <c r="B6959" s="2889" t="s">
        <v>1649</v>
      </c>
      <c r="C6959" s="2889" t="s">
        <v>1489</v>
      </c>
      <c r="D6959" s="2889" t="s">
        <v>1054</v>
      </c>
      <c r="E6959" s="2889" t="s">
        <v>217</v>
      </c>
      <c r="F6959" s="3039">
        <v>3.5151675075415266E-3</v>
      </c>
      <c r="G6959" s="2890">
        <v>3.7083852876024226</v>
      </c>
    </row>
    <row r="6960" spans="2:7" ht="15" hidden="1" outlineLevel="2">
      <c r="B6960" s="2889" t="s">
        <v>1650</v>
      </c>
      <c r="C6960" s="2889" t="s">
        <v>1489</v>
      </c>
      <c r="D6960" s="2889" t="s">
        <v>1054</v>
      </c>
      <c r="E6960" s="2889" t="s">
        <v>217</v>
      </c>
      <c r="F6960" s="3039">
        <v>8.8674558441865902E-3</v>
      </c>
      <c r="G6960" s="2890">
        <v>9.2655523470312957</v>
      </c>
    </row>
    <row r="6961" spans="2:7" ht="15" hidden="1" outlineLevel="2">
      <c r="B6961" s="2889" t="s">
        <v>1651</v>
      </c>
      <c r="C6961" s="2889" t="s">
        <v>1489</v>
      </c>
      <c r="D6961" s="2889" t="s">
        <v>1054</v>
      </c>
      <c r="E6961" s="2889" t="s">
        <v>217</v>
      </c>
      <c r="F6961" s="3039">
        <v>4.8053217768195102E-3</v>
      </c>
      <c r="G6961" s="2890">
        <v>5.0694566580504965</v>
      </c>
    </row>
    <row r="6962" spans="2:7" ht="15" hidden="1" outlineLevel="2">
      <c r="B6962" s="2889" t="s">
        <v>1652</v>
      </c>
      <c r="C6962" s="2889" t="s">
        <v>1489</v>
      </c>
      <c r="D6962" s="2889" t="s">
        <v>1054</v>
      </c>
      <c r="E6962" s="2889" t="s">
        <v>217</v>
      </c>
      <c r="F6962" s="3039">
        <v>5.2766650558513824E-3</v>
      </c>
      <c r="G6962" s="2890">
        <v>5.5667056667213499</v>
      </c>
    </row>
    <row r="6963" spans="2:7" ht="15" hidden="1" outlineLevel="2">
      <c r="B6963" s="2889" t="s">
        <v>1653</v>
      </c>
      <c r="C6963" s="2889" t="s">
        <v>1489</v>
      </c>
      <c r="D6963" s="2889" t="s">
        <v>1054</v>
      </c>
      <c r="E6963" s="2889" t="s">
        <v>217</v>
      </c>
      <c r="F6963" s="3039">
        <v>1.3378774024136669E-33</v>
      </c>
      <c r="G6963" s="2890">
        <v>1.5687843423089569E-30</v>
      </c>
    </row>
    <row r="6964" spans="2:7" ht="15" hidden="1" outlineLevel="2">
      <c r="B6964" s="2889" t="s">
        <v>1407</v>
      </c>
      <c r="C6964" s="2889" t="s">
        <v>1490</v>
      </c>
      <c r="D6964" s="2889" t="s">
        <v>1054</v>
      </c>
      <c r="E6964" s="2889" t="s">
        <v>217</v>
      </c>
      <c r="F6964" s="2890">
        <v>7.7692727787547378E-4</v>
      </c>
      <c r="G6964" s="2890">
        <v>1.2308575538862856</v>
      </c>
    </row>
    <row r="6965" spans="2:7" ht="15" hidden="1" outlineLevel="2">
      <c r="B6965" s="2889" t="s">
        <v>1631</v>
      </c>
      <c r="C6965" s="2889" t="s">
        <v>1490</v>
      </c>
      <c r="D6965" s="2889" t="s">
        <v>1054</v>
      </c>
      <c r="E6965" s="2889" t="s">
        <v>217</v>
      </c>
      <c r="F6965" s="2890">
        <v>1.2994631924494258E-2</v>
      </c>
      <c r="G6965" s="2890">
        <v>20.425876570073228</v>
      </c>
    </row>
    <row r="6966" spans="2:7" ht="15" hidden="1" outlineLevel="2">
      <c r="B6966" s="2889" t="s">
        <v>1632</v>
      </c>
      <c r="C6966" s="2889" t="s">
        <v>1490</v>
      </c>
      <c r="D6966" s="2889" t="s">
        <v>1054</v>
      </c>
      <c r="E6966" s="2889" t="s">
        <v>217</v>
      </c>
      <c r="F6966" s="2890">
        <v>2.9774306789756268E-2</v>
      </c>
      <c r="G6966" s="2890">
        <v>47.312777291445258</v>
      </c>
    </row>
    <row r="6967" spans="2:7" ht="15" hidden="1" outlineLevel="2">
      <c r="B6967" s="2889" t="s">
        <v>1633</v>
      </c>
      <c r="C6967" s="2889" t="s">
        <v>1490</v>
      </c>
      <c r="D6967" s="2889" t="s">
        <v>1054</v>
      </c>
      <c r="E6967" s="2889" t="s">
        <v>217</v>
      </c>
      <c r="F6967" s="3039">
        <v>2.4081884053820716E-3</v>
      </c>
      <c r="G6967" s="2890">
        <v>3.8395334144719246</v>
      </c>
    </row>
    <row r="6968" spans="2:7" ht="15" hidden="1" outlineLevel="2">
      <c r="B6968" s="2889" t="s">
        <v>1634</v>
      </c>
      <c r="C6968" s="2889" t="s">
        <v>1490</v>
      </c>
      <c r="D6968" s="2889" t="s">
        <v>1054</v>
      </c>
      <c r="E6968" s="2889" t="s">
        <v>217</v>
      </c>
      <c r="F6968" s="2890">
        <v>4.4591123197610955E-4</v>
      </c>
      <c r="G6968" s="2890">
        <v>0.71164633055443249</v>
      </c>
    </row>
    <row r="6969" spans="2:7" ht="15" hidden="1" outlineLevel="2">
      <c r="B6969" s="2889" t="s">
        <v>1635</v>
      </c>
      <c r="C6969" s="2889" t="s">
        <v>1490</v>
      </c>
      <c r="D6969" s="2889" t="s">
        <v>1054</v>
      </c>
      <c r="E6969" s="2889" t="s">
        <v>217</v>
      </c>
      <c r="F6969" s="2890">
        <v>3.7774291049893606E-3</v>
      </c>
      <c r="G6969" s="2890">
        <v>6.0025125252576137</v>
      </c>
    </row>
    <row r="6970" spans="2:7" ht="15" hidden="1" outlineLevel="2">
      <c r="B6970" s="2889" t="s">
        <v>1636</v>
      </c>
      <c r="C6970" s="2889" t="s">
        <v>1490</v>
      </c>
      <c r="D6970" s="2889" t="s">
        <v>1054</v>
      </c>
      <c r="E6970" s="2889" t="s">
        <v>217</v>
      </c>
      <c r="F6970" s="3039">
        <v>3.3157763943667071E-3</v>
      </c>
      <c r="G6970" s="2890">
        <v>5.2692873499703339</v>
      </c>
    </row>
    <row r="6971" spans="2:7" ht="15" hidden="1" outlineLevel="2">
      <c r="B6971" s="2889" t="s">
        <v>1637</v>
      </c>
      <c r="C6971" s="2889" t="s">
        <v>1490</v>
      </c>
      <c r="D6971" s="2889" t="s">
        <v>1054</v>
      </c>
      <c r="E6971" s="2889" t="s">
        <v>217</v>
      </c>
      <c r="F6971" s="2890">
        <v>5.4887267597359974E-3</v>
      </c>
      <c r="G6971" s="2890">
        <v>8.7510339113744173</v>
      </c>
    </row>
    <row r="6972" spans="2:7" ht="15" hidden="1" outlineLevel="2">
      <c r="B6972" s="2889" t="s">
        <v>1638</v>
      </c>
      <c r="C6972" s="2889" t="s">
        <v>1490</v>
      </c>
      <c r="D6972" s="2889" t="s">
        <v>1054</v>
      </c>
      <c r="E6972" s="2889" t="s">
        <v>217</v>
      </c>
      <c r="F6972" s="2890">
        <v>7.1573546444358722E-4</v>
      </c>
      <c r="G6972" s="2890">
        <v>1.1422702605344375</v>
      </c>
    </row>
    <row r="6973" spans="2:7" ht="15" hidden="1" outlineLevel="2">
      <c r="B6973" s="2889" t="s">
        <v>1639</v>
      </c>
      <c r="C6973" s="2889" t="s">
        <v>1490</v>
      </c>
      <c r="D6973" s="2889" t="s">
        <v>1054</v>
      </c>
      <c r="E6973" s="2889" t="s">
        <v>217</v>
      </c>
      <c r="F6973" s="2890">
        <v>6.5869802633671554E-3</v>
      </c>
      <c r="G6973" s="2890">
        <v>10.502063640684286</v>
      </c>
    </row>
    <row r="6974" spans="2:7" ht="15" hidden="1" outlineLevel="2">
      <c r="B6974" s="2889" t="s">
        <v>1640</v>
      </c>
      <c r="C6974" s="2889" t="s">
        <v>1490</v>
      </c>
      <c r="D6974" s="2889" t="s">
        <v>1054</v>
      </c>
      <c r="E6974" s="2889" t="s">
        <v>217</v>
      </c>
      <c r="F6974" s="3039">
        <v>1.5585316636509891E-3</v>
      </c>
      <c r="G6974" s="2890">
        <v>2.4691239449128535</v>
      </c>
    </row>
    <row r="6975" spans="2:7" ht="15" hidden="1" outlineLevel="2">
      <c r="B6975" s="2889" t="s">
        <v>1641</v>
      </c>
      <c r="C6975" s="2889" t="s">
        <v>1490</v>
      </c>
      <c r="D6975" s="2889" t="s">
        <v>1054</v>
      </c>
      <c r="E6975" s="2889" t="s">
        <v>217</v>
      </c>
      <c r="F6975" s="3039">
        <v>7.9593406719046036E-3</v>
      </c>
      <c r="G6975" s="2890">
        <v>12.647765756651916</v>
      </c>
    </row>
    <row r="6976" spans="2:7" ht="15" hidden="1" outlineLevel="2">
      <c r="B6976" s="2889" t="s">
        <v>1642</v>
      </c>
      <c r="C6976" s="2889" t="s">
        <v>1490</v>
      </c>
      <c r="D6976" s="2889" t="s">
        <v>1054</v>
      </c>
      <c r="E6976" s="2889" t="s">
        <v>217</v>
      </c>
      <c r="F6976" s="3039">
        <v>5.7130946191812949E-3</v>
      </c>
      <c r="G6976" s="2890">
        <v>9.0783724197196118</v>
      </c>
    </row>
    <row r="6977" spans="2:7" ht="15" hidden="1" outlineLevel="2">
      <c r="B6977" s="2889" t="s">
        <v>1643</v>
      </c>
      <c r="C6977" s="2889" t="s">
        <v>1490</v>
      </c>
      <c r="D6977" s="2889" t="s">
        <v>1054</v>
      </c>
      <c r="E6977" s="2889" t="s">
        <v>217</v>
      </c>
      <c r="F6977" s="2890">
        <v>8.458262820319239E-4</v>
      </c>
      <c r="G6977" s="2890">
        <v>1.3422244252642226</v>
      </c>
    </row>
    <row r="6978" spans="2:7" ht="15" hidden="1" outlineLevel="2">
      <c r="B6978" s="2889" t="s">
        <v>1644</v>
      </c>
      <c r="C6978" s="2889" t="s">
        <v>1490</v>
      </c>
      <c r="D6978" s="2889" t="s">
        <v>1054</v>
      </c>
      <c r="E6978" s="2889" t="s">
        <v>217</v>
      </c>
      <c r="F6978" s="2890">
        <v>1.8534852354382979E-2</v>
      </c>
      <c r="G6978" s="2890">
        <v>29.551335518688099</v>
      </c>
    </row>
    <row r="6979" spans="2:7" ht="15" hidden="1" outlineLevel="2">
      <c r="B6979" s="2889" t="s">
        <v>1645</v>
      </c>
      <c r="C6979" s="2889" t="s">
        <v>1490</v>
      </c>
      <c r="D6979" s="2889" t="s">
        <v>1054</v>
      </c>
      <c r="E6979" s="2889" t="s">
        <v>217</v>
      </c>
      <c r="F6979" s="2890">
        <v>2.1167384282546501E-2</v>
      </c>
      <c r="G6979" s="2890">
        <v>33.748545599238625</v>
      </c>
    </row>
    <row r="6980" spans="2:7" ht="15" hidden="1" outlineLevel="2">
      <c r="B6980" s="2889" t="s">
        <v>1646</v>
      </c>
      <c r="C6980" s="2889" t="s">
        <v>1490</v>
      </c>
      <c r="D6980" s="2889" t="s">
        <v>1054</v>
      </c>
      <c r="E6980" s="2889" t="s">
        <v>217</v>
      </c>
      <c r="F6980" s="2890">
        <v>1.2419587380555338E-3</v>
      </c>
      <c r="G6980" s="2890">
        <v>1.9735309144422348</v>
      </c>
    </row>
    <row r="6981" spans="2:7" ht="15" hidden="1" outlineLevel="2">
      <c r="B6981" s="2889" t="s">
        <v>1647</v>
      </c>
      <c r="C6981" s="2889" t="s">
        <v>1490</v>
      </c>
      <c r="D6981" s="2889" t="s">
        <v>1054</v>
      </c>
      <c r="E6981" s="2889" t="s">
        <v>217</v>
      </c>
      <c r="F6981" s="2890">
        <v>3.0867903854900204E-3</v>
      </c>
      <c r="G6981" s="2890">
        <v>4.9263246421715374</v>
      </c>
    </row>
    <row r="6982" spans="2:7" ht="15" hidden="1" outlineLevel="2">
      <c r="B6982" s="2889" t="s">
        <v>1648</v>
      </c>
      <c r="C6982" s="2889" t="s">
        <v>1490</v>
      </c>
      <c r="D6982" s="2889" t="s">
        <v>1054</v>
      </c>
      <c r="E6982" s="2889" t="s">
        <v>217</v>
      </c>
      <c r="F6982" s="2890">
        <v>3.4606536769126632E-4</v>
      </c>
      <c r="G6982" s="2890">
        <v>0.55229865551432544</v>
      </c>
    </row>
    <row r="6983" spans="2:7" ht="15" hidden="1" outlineLevel="2">
      <c r="B6983" s="2889" t="s">
        <v>1649</v>
      </c>
      <c r="C6983" s="2889" t="s">
        <v>1490</v>
      </c>
      <c r="D6983" s="2889" t="s">
        <v>1054</v>
      </c>
      <c r="E6983" s="2889" t="s">
        <v>217</v>
      </c>
      <c r="F6983" s="2890">
        <v>1.6414933486810191E-3</v>
      </c>
      <c r="G6983" s="2890">
        <v>2.6197204352138903</v>
      </c>
    </row>
    <row r="6984" spans="2:7" ht="15" hidden="1" outlineLevel="2">
      <c r="B6984" s="2889" t="s">
        <v>1650</v>
      </c>
      <c r="C6984" s="2889" t="s">
        <v>1490</v>
      </c>
      <c r="D6984" s="2889" t="s">
        <v>1054</v>
      </c>
      <c r="E6984" s="2889" t="s">
        <v>217</v>
      </c>
      <c r="F6984" s="2890">
        <v>4.1315594028742027E-3</v>
      </c>
      <c r="G6984" s="2890">
        <v>6.5454798931552025</v>
      </c>
    </row>
    <row r="6985" spans="2:7" ht="15" hidden="1" outlineLevel="2">
      <c r="B6985" s="2889" t="s">
        <v>1651</v>
      </c>
      <c r="C6985" s="2889" t="s">
        <v>1490</v>
      </c>
      <c r="D6985" s="2889" t="s">
        <v>1054</v>
      </c>
      <c r="E6985" s="2889" t="s">
        <v>217</v>
      </c>
      <c r="F6985" s="2890">
        <v>2.2439635639761295E-3</v>
      </c>
      <c r="G6985" s="2890">
        <v>3.5812248277846779</v>
      </c>
    </row>
    <row r="6986" spans="2:7" ht="15" hidden="1" outlineLevel="2">
      <c r="B6986" s="2889" t="s">
        <v>1652</v>
      </c>
      <c r="C6986" s="2889" t="s">
        <v>1490</v>
      </c>
      <c r="D6986" s="2889" t="s">
        <v>1054</v>
      </c>
      <c r="E6986" s="2889" t="s">
        <v>217</v>
      </c>
      <c r="F6986" s="2890">
        <v>2.4640673377183558E-3</v>
      </c>
      <c r="G6986" s="2890">
        <v>3.932498989331306</v>
      </c>
    </row>
    <row r="6987" spans="2:7" ht="15" hidden="1" outlineLevel="2">
      <c r="B6987" s="2889" t="s">
        <v>1653</v>
      </c>
      <c r="C6987" s="2889" t="s">
        <v>1490</v>
      </c>
      <c r="D6987" s="2889" t="s">
        <v>1054</v>
      </c>
      <c r="E6987" s="2889" t="s">
        <v>217</v>
      </c>
      <c r="F6987" s="2890">
        <v>7.4273721289766249E-35</v>
      </c>
      <c r="G6987" s="2890">
        <v>1.1561437038615444E-31</v>
      </c>
    </row>
    <row r="6988" spans="2:7" ht="15" hidden="1" outlineLevel="2">
      <c r="B6988" s="2889" t="s">
        <v>1407</v>
      </c>
      <c r="C6988" s="2889" t="s">
        <v>1491</v>
      </c>
      <c r="D6988" s="2889" t="s">
        <v>1054</v>
      </c>
      <c r="E6988" s="2889" t="s">
        <v>1420</v>
      </c>
      <c r="F6988" s="3039">
        <v>1.4724494478168359E-4</v>
      </c>
      <c r="G6988" s="2890">
        <v>0.69717689105758507</v>
      </c>
    </row>
    <row r="6989" spans="2:7" ht="15" hidden="1" outlineLevel="2">
      <c r="B6989" s="2889" t="s">
        <v>1631</v>
      </c>
      <c r="C6989" s="2889" t="s">
        <v>1491</v>
      </c>
      <c r="D6989" s="2889" t="s">
        <v>1054</v>
      </c>
      <c r="E6989" s="2889" t="s">
        <v>1420</v>
      </c>
      <c r="F6989" s="3039">
        <v>2.4435071069017823E-3</v>
      </c>
      <c r="G6989" s="2890">
        <v>11.569540446650805</v>
      </c>
    </row>
    <row r="6990" spans="2:7" ht="15" hidden="1" outlineLevel="2">
      <c r="B6990" s="2889" t="s">
        <v>1632</v>
      </c>
      <c r="C6990" s="2889" t="s">
        <v>1491</v>
      </c>
      <c r="D6990" s="2889" t="s">
        <v>1054</v>
      </c>
      <c r="E6990" s="2889" t="s">
        <v>1420</v>
      </c>
      <c r="F6990" s="2890">
        <v>5.6599289147902312E-3</v>
      </c>
      <c r="G6990" s="2890">
        <v>26.798697969955285</v>
      </c>
    </row>
    <row r="6991" spans="2:7" ht="15" hidden="1" outlineLevel="2">
      <c r="B6991" s="2889" t="s">
        <v>1633</v>
      </c>
      <c r="C6991" s="2889" t="s">
        <v>1491</v>
      </c>
      <c r="D6991" s="2889" t="s">
        <v>1054</v>
      </c>
      <c r="E6991" s="2889" t="s">
        <v>1420</v>
      </c>
      <c r="F6991" s="2890">
        <v>4.5931528132420023E-4</v>
      </c>
      <c r="G6991" s="2890">
        <v>2.1747716882966084</v>
      </c>
    </row>
    <row r="6992" spans="2:7" ht="15" hidden="1" outlineLevel="2">
      <c r="B6992" s="2889" t="s">
        <v>1634</v>
      </c>
      <c r="C6992" s="2889" t="s">
        <v>1491</v>
      </c>
      <c r="D6992" s="2889" t="s">
        <v>1054</v>
      </c>
      <c r="E6992" s="2889" t="s">
        <v>1420</v>
      </c>
      <c r="F6992" s="2890">
        <v>8.5132778316998874E-5</v>
      </c>
      <c r="G6992" s="2890">
        <v>0.40308772513238816</v>
      </c>
    </row>
    <row r="6993" spans="2:7" ht="15" hidden="1" outlineLevel="2">
      <c r="B6993" s="2889" t="s">
        <v>1635</v>
      </c>
      <c r="C6993" s="2889" t="s">
        <v>1491</v>
      </c>
      <c r="D6993" s="2889" t="s">
        <v>1054</v>
      </c>
      <c r="E6993" s="2889" t="s">
        <v>1420</v>
      </c>
      <c r="F6993" s="2890">
        <v>7.1806796638343917E-4</v>
      </c>
      <c r="G6993" s="2890">
        <v>3.3999168930975436</v>
      </c>
    </row>
    <row r="6994" spans="2:7" ht="15" hidden="1" outlineLevel="2">
      <c r="B6994" s="2889" t="s">
        <v>1636</v>
      </c>
      <c r="C6994" s="2889" t="s">
        <v>1491</v>
      </c>
      <c r="D6994" s="2889" t="s">
        <v>1054</v>
      </c>
      <c r="E6994" s="2889" t="s">
        <v>1420</v>
      </c>
      <c r="F6994" s="2890">
        <v>6.3035370887999924E-4</v>
      </c>
      <c r="G6994" s="2890">
        <v>2.9846060372141054</v>
      </c>
    </row>
    <row r="6995" spans="2:7" ht="15" hidden="1" outlineLevel="2">
      <c r="B6995" s="2889" t="s">
        <v>1637</v>
      </c>
      <c r="C6995" s="2889" t="s">
        <v>1491</v>
      </c>
      <c r="D6995" s="2889" t="s">
        <v>1054</v>
      </c>
      <c r="E6995" s="2889" t="s">
        <v>1420</v>
      </c>
      <c r="F6995" s="2890">
        <v>1.0468685675725138E-3</v>
      </c>
      <c r="G6995" s="2890">
        <v>4.9567263154733725</v>
      </c>
    </row>
    <row r="6996" spans="2:7" ht="15" hidden="1" outlineLevel="2">
      <c r="B6996" s="2889" t="s">
        <v>1638</v>
      </c>
      <c r="C6996" s="2889" t="s">
        <v>1491</v>
      </c>
      <c r="D6996" s="2889" t="s">
        <v>1054</v>
      </c>
      <c r="E6996" s="2889" t="s">
        <v>1420</v>
      </c>
      <c r="F6996" s="2890">
        <v>1.3664726924562321E-4</v>
      </c>
      <c r="G6996" s="2890">
        <v>0.64699937685515652</v>
      </c>
    </row>
    <row r="6997" spans="2:7" ht="15" hidden="1" outlineLevel="2">
      <c r="B6997" s="2889" t="s">
        <v>1639</v>
      </c>
      <c r="C6997" s="2889" t="s">
        <v>1491</v>
      </c>
      <c r="D6997" s="2889" t="s">
        <v>1054</v>
      </c>
      <c r="E6997" s="2889" t="s">
        <v>1420</v>
      </c>
      <c r="F6997" s="2890">
        <v>1.2563388776244007E-3</v>
      </c>
      <c r="G6997" s="2890">
        <v>5.9485304918367419</v>
      </c>
    </row>
    <row r="6998" spans="2:7" ht="15" hidden="1" outlineLevel="2">
      <c r="B6998" s="2889" t="s">
        <v>1640</v>
      </c>
      <c r="C6998" s="2889" t="s">
        <v>1491</v>
      </c>
      <c r="D6998" s="2889" t="s">
        <v>1054</v>
      </c>
      <c r="E6998" s="2889" t="s">
        <v>1420</v>
      </c>
      <c r="F6998" s="2890">
        <v>2.9537619237653725E-4</v>
      </c>
      <c r="G6998" s="2890">
        <v>1.3985514635914611</v>
      </c>
    </row>
    <row r="6999" spans="2:7" ht="15" hidden="1" outlineLevel="2">
      <c r="B6999" s="2889" t="s">
        <v>1641</v>
      </c>
      <c r="C6999" s="2889" t="s">
        <v>1491</v>
      </c>
      <c r="D6999" s="2889" t="s">
        <v>1054</v>
      </c>
      <c r="E6999" s="2889" t="s">
        <v>1420</v>
      </c>
      <c r="F6999" s="2890">
        <v>1.5130262354407058E-3</v>
      </c>
      <c r="G6999" s="2890">
        <v>7.1638924642857136</v>
      </c>
    </row>
    <row r="7000" spans="2:7" ht="15" hidden="1" outlineLevel="2">
      <c r="B7000" s="2889" t="s">
        <v>1642</v>
      </c>
      <c r="C7000" s="2889" t="s">
        <v>1491</v>
      </c>
      <c r="D7000" s="2889" t="s">
        <v>1054</v>
      </c>
      <c r="E7000" s="2889" t="s">
        <v>1420</v>
      </c>
      <c r="F7000" s="2890">
        <v>1.0860266367174324E-3</v>
      </c>
      <c r="G7000" s="2890">
        <v>5.1421316035408235</v>
      </c>
    </row>
    <row r="7001" spans="2:7" ht="15" hidden="1" outlineLevel="2">
      <c r="B7001" s="2889" t="s">
        <v>1643</v>
      </c>
      <c r="C7001" s="2889" t="s">
        <v>1491</v>
      </c>
      <c r="D7001" s="2889" t="s">
        <v>1054</v>
      </c>
      <c r="E7001" s="2889" t="s">
        <v>1420</v>
      </c>
      <c r="F7001" s="2890">
        <v>1.6056764232426197E-4</v>
      </c>
      <c r="G7001" s="2890">
        <v>0.7602573989089717</v>
      </c>
    </row>
    <row r="7002" spans="2:7" ht="15" hidden="1" outlineLevel="2">
      <c r="B7002" s="2889" t="s">
        <v>1644</v>
      </c>
      <c r="C7002" s="2889" t="s">
        <v>1491</v>
      </c>
      <c r="D7002" s="2889" t="s">
        <v>1054</v>
      </c>
      <c r="E7002" s="2889" t="s">
        <v>1420</v>
      </c>
      <c r="F7002" s="2890">
        <v>3.5351632835687479E-3</v>
      </c>
      <c r="G7002" s="2890">
        <v>16.738345831867786</v>
      </c>
    </row>
    <row r="7003" spans="2:7" ht="15" hidden="1" outlineLevel="2">
      <c r="B7003" s="2889" t="s">
        <v>1645</v>
      </c>
      <c r="C7003" s="2889" t="s">
        <v>1491</v>
      </c>
      <c r="D7003" s="2889" t="s">
        <v>1054</v>
      </c>
      <c r="E7003" s="2889" t="s">
        <v>1420</v>
      </c>
      <c r="F7003" s="2890">
        <v>4.0372676904417981E-3</v>
      </c>
      <c r="G7003" s="2890">
        <v>19.115701903041526</v>
      </c>
    </row>
    <row r="7004" spans="2:7" ht="15" hidden="1" outlineLevel="2">
      <c r="B7004" s="2889" t="s">
        <v>1646</v>
      </c>
      <c r="C7004" s="2889" t="s">
        <v>1491</v>
      </c>
      <c r="D7004" s="2889" t="s">
        <v>1054</v>
      </c>
      <c r="E7004" s="2889" t="s">
        <v>1420</v>
      </c>
      <c r="F7004" s="2890">
        <v>2.3608933797217741E-4</v>
      </c>
      <c r="G7004" s="2890">
        <v>1.1178389158044668</v>
      </c>
    </row>
    <row r="7005" spans="2:7" ht="15" hidden="1" outlineLevel="2">
      <c r="B7005" s="2889" t="s">
        <v>1647</v>
      </c>
      <c r="C7005" s="2889" t="s">
        <v>1491</v>
      </c>
      <c r="D7005" s="2889" t="s">
        <v>1054</v>
      </c>
      <c r="E7005" s="2889" t="s">
        <v>1420</v>
      </c>
      <c r="F7005" s="3039">
        <v>5.8932585297641696E-4</v>
      </c>
      <c r="G7005" s="2890">
        <v>2.7903471672134463</v>
      </c>
    </row>
    <row r="7006" spans="2:7" ht="15" hidden="1" outlineLevel="2">
      <c r="B7006" s="2889" t="s">
        <v>1648</v>
      </c>
      <c r="C7006" s="2889" t="s">
        <v>1491</v>
      </c>
      <c r="D7006" s="2889" t="s">
        <v>1054</v>
      </c>
      <c r="E7006" s="2889" t="s">
        <v>1420</v>
      </c>
      <c r="F7006" s="3039">
        <v>6.607032552082256E-5</v>
      </c>
      <c r="G7006" s="2890">
        <v>0.31283075785195441</v>
      </c>
    </row>
    <row r="7007" spans="2:7" ht="15" hidden="1" outlineLevel="2">
      <c r="B7007" s="2889" t="s">
        <v>1649</v>
      </c>
      <c r="C7007" s="2889" t="s">
        <v>1491</v>
      </c>
      <c r="D7007" s="2889" t="s">
        <v>1054</v>
      </c>
      <c r="E7007" s="2889" t="s">
        <v>1420</v>
      </c>
      <c r="F7007" s="3039">
        <v>3.133916607174495E-4</v>
      </c>
      <c r="G7007" s="2890">
        <v>1.4838503703926957</v>
      </c>
    </row>
    <row r="7008" spans="2:7" ht="15" hidden="1" outlineLevel="2">
      <c r="B7008" s="2889" t="s">
        <v>1650</v>
      </c>
      <c r="C7008" s="2889" t="s">
        <v>1491</v>
      </c>
      <c r="D7008" s="2889" t="s">
        <v>1054</v>
      </c>
      <c r="E7008" s="2889" t="s">
        <v>1420</v>
      </c>
      <c r="F7008" s="3039">
        <v>7.8302178555353873E-4</v>
      </c>
      <c r="G7008" s="2890">
        <v>3.707463470091668</v>
      </c>
    </row>
    <row r="7009" spans="2:7" ht="15" hidden="1" outlineLevel="2">
      <c r="B7009" s="2889" t="s">
        <v>1651</v>
      </c>
      <c r="C7009" s="2889" t="s">
        <v>1491</v>
      </c>
      <c r="D7009" s="2889" t="s">
        <v>1054</v>
      </c>
      <c r="E7009" s="2889" t="s">
        <v>1420</v>
      </c>
      <c r="F7009" s="3039">
        <v>4.2841426433953752E-4</v>
      </c>
      <c r="G7009" s="2890">
        <v>2.0284615008197178</v>
      </c>
    </row>
    <row r="7010" spans="2:7" ht="15" hidden="1" outlineLevel="2">
      <c r="B7010" s="2889" t="s">
        <v>1652</v>
      </c>
      <c r="C7010" s="2889" t="s">
        <v>1491</v>
      </c>
      <c r="D7010" s="2889" t="s">
        <v>1054</v>
      </c>
      <c r="E7010" s="2889" t="s">
        <v>1420</v>
      </c>
      <c r="F7010" s="3039">
        <v>4.7043648881658147E-4</v>
      </c>
      <c r="G7010" s="2890">
        <v>2.2274284625250695</v>
      </c>
    </row>
    <row r="7011" spans="2:7" ht="15" hidden="1" outlineLevel="2">
      <c r="B7011" s="2889" t="s">
        <v>1653</v>
      </c>
      <c r="C7011" s="2889" t="s">
        <v>1491</v>
      </c>
      <c r="D7011" s="2889" t="s">
        <v>1054</v>
      </c>
      <c r="E7011" s="2889" t="s">
        <v>1420</v>
      </c>
      <c r="F7011" s="3039">
        <v>6.4109261635202507E-35</v>
      </c>
      <c r="G7011" s="2890">
        <v>4.5061821783692092E-31</v>
      </c>
    </row>
    <row r="7012" spans="2:7" ht="15" hidden="1" outlineLevel="2">
      <c r="B7012" s="2889" t="s">
        <v>1407</v>
      </c>
      <c r="C7012" s="2889" t="s">
        <v>1492</v>
      </c>
      <c r="D7012" s="2889" t="s">
        <v>1054</v>
      </c>
      <c r="E7012" s="2889" t="s">
        <v>1420</v>
      </c>
      <c r="F7012" s="3039">
        <v>1.0945712378554294E-4</v>
      </c>
      <c r="G7012" s="2890">
        <v>1.1699954006757545</v>
      </c>
    </row>
    <row r="7013" spans="2:7" ht="15" hidden="1" outlineLevel="2">
      <c r="B7013" s="2889" t="s">
        <v>1631</v>
      </c>
      <c r="C7013" s="2889" t="s">
        <v>1492</v>
      </c>
      <c r="D7013" s="2889" t="s">
        <v>1054</v>
      </c>
      <c r="E7013" s="2889" t="s">
        <v>1420</v>
      </c>
      <c r="F7013" s="3039">
        <v>1.8164231031035745E-3</v>
      </c>
      <c r="G7013" s="2890">
        <v>19.415865343743292</v>
      </c>
    </row>
    <row r="7014" spans="2:7" ht="15" hidden="1" outlineLevel="2">
      <c r="B7014" s="2889" t="s">
        <v>1632</v>
      </c>
      <c r="C7014" s="2889" t="s">
        <v>1492</v>
      </c>
      <c r="D7014" s="2889" t="s">
        <v>1054</v>
      </c>
      <c r="E7014" s="2889" t="s">
        <v>1420</v>
      </c>
      <c r="F7014" s="3039">
        <v>4.2074083354541403E-3</v>
      </c>
      <c r="G7014" s="2890">
        <v>44.973264451792168</v>
      </c>
    </row>
    <row r="7015" spans="2:7" ht="15" hidden="1" outlineLevel="2">
      <c r="B7015" s="2889" t="s">
        <v>1633</v>
      </c>
      <c r="C7015" s="2889" t="s">
        <v>1492</v>
      </c>
      <c r="D7015" s="2889" t="s">
        <v>1054</v>
      </c>
      <c r="E7015" s="2889" t="s">
        <v>1420</v>
      </c>
      <c r="F7015" s="2890">
        <v>3.4144008246168357E-4</v>
      </c>
      <c r="G7015" s="2890">
        <v>3.6496764829857766</v>
      </c>
    </row>
    <row r="7016" spans="2:7" ht="15" hidden="1" outlineLevel="2">
      <c r="B7016" s="2889" t="s">
        <v>1634</v>
      </c>
      <c r="C7016" s="2889" t="s">
        <v>1492</v>
      </c>
      <c r="D7016" s="2889" t="s">
        <v>1054</v>
      </c>
      <c r="E7016" s="2889" t="s">
        <v>1420</v>
      </c>
      <c r="F7016" s="2890">
        <v>6.3284953510433627E-5</v>
      </c>
      <c r="G7016" s="2890">
        <v>0.67645709697436929</v>
      </c>
    </row>
    <row r="7017" spans="2:7" ht="15" hidden="1" outlineLevel="2">
      <c r="B7017" s="2889" t="s">
        <v>1635</v>
      </c>
      <c r="C7017" s="2889" t="s">
        <v>1492</v>
      </c>
      <c r="D7017" s="2889" t="s">
        <v>1054</v>
      </c>
      <c r="E7017" s="2889" t="s">
        <v>1420</v>
      </c>
      <c r="F7017" s="3039">
        <v>5.3378850509563545E-4</v>
      </c>
      <c r="G7017" s="2890">
        <v>5.7057012455714418</v>
      </c>
    </row>
    <row r="7018" spans="2:7" ht="15" hidden="1" outlineLevel="2">
      <c r="B7018" s="2889" t="s">
        <v>1636</v>
      </c>
      <c r="C7018" s="2889" t="s">
        <v>1492</v>
      </c>
      <c r="D7018" s="2889" t="s">
        <v>1054</v>
      </c>
      <c r="E7018" s="2889" t="s">
        <v>1420</v>
      </c>
      <c r="F7018" s="2890">
        <v>4.6858459907692665E-4</v>
      </c>
      <c r="G7018" s="2890">
        <v>5.0087309989832756</v>
      </c>
    </row>
    <row r="7019" spans="2:7" ht="15" hidden="1" outlineLevel="2">
      <c r="B7019" s="2889" t="s">
        <v>1637</v>
      </c>
      <c r="C7019" s="2889" t="s">
        <v>1492</v>
      </c>
      <c r="D7019" s="2889" t="s">
        <v>1054</v>
      </c>
      <c r="E7019" s="2889" t="s">
        <v>1420</v>
      </c>
      <c r="F7019" s="2890">
        <v>7.7820826848781809E-4</v>
      </c>
      <c r="G7019" s="2890">
        <v>8.3183208707594076</v>
      </c>
    </row>
    <row r="7020" spans="2:7" ht="15" hidden="1" outlineLevel="2">
      <c r="B7020" s="2889" t="s">
        <v>1638</v>
      </c>
      <c r="C7020" s="2889" t="s">
        <v>1492</v>
      </c>
      <c r="D7020" s="2889" t="s">
        <v>1054</v>
      </c>
      <c r="E7020" s="2889" t="s">
        <v>1420</v>
      </c>
      <c r="F7020" s="2890">
        <v>1.0157919226015414E-4</v>
      </c>
      <c r="G7020" s="2890">
        <v>1.0857866984202986</v>
      </c>
    </row>
    <row r="7021" spans="2:7" ht="15" hidden="1" outlineLevel="2">
      <c r="B7021" s="2889" t="s">
        <v>1639</v>
      </c>
      <c r="C7021" s="2889" t="s">
        <v>1492</v>
      </c>
      <c r="D7021" s="2889" t="s">
        <v>1054</v>
      </c>
      <c r="E7021" s="2889" t="s">
        <v>1420</v>
      </c>
      <c r="F7021" s="2890">
        <v>9.3392202024349721E-4</v>
      </c>
      <c r="G7021" s="2890">
        <v>9.9827509121441853</v>
      </c>
    </row>
    <row r="7022" spans="2:7" ht="15" hidden="1" outlineLevel="2">
      <c r="B7022" s="2889" t="s">
        <v>1640</v>
      </c>
      <c r="C7022" s="2889" t="s">
        <v>1492</v>
      </c>
      <c r="D7022" s="2889" t="s">
        <v>1054</v>
      </c>
      <c r="E7022" s="2889" t="s">
        <v>1420</v>
      </c>
      <c r="F7022" s="2890">
        <v>2.195731276639831E-4</v>
      </c>
      <c r="G7022" s="2890">
        <v>2.3470318924262781</v>
      </c>
    </row>
    <row r="7023" spans="2:7" ht="15" hidden="1" outlineLevel="2">
      <c r="B7023" s="2889" t="s">
        <v>1641</v>
      </c>
      <c r="C7023" s="2889" t="s">
        <v>1492</v>
      </c>
      <c r="D7023" s="2889" t="s">
        <v>1054</v>
      </c>
      <c r="E7023" s="2889" t="s">
        <v>1420</v>
      </c>
      <c r="F7023" s="2890">
        <v>1.1247343896218461E-3</v>
      </c>
      <c r="G7023" s="2890">
        <v>12.022362132269512</v>
      </c>
    </row>
    <row r="7024" spans="2:7" ht="15" hidden="1" outlineLevel="2">
      <c r="B7024" s="2889" t="s">
        <v>1642</v>
      </c>
      <c r="C7024" s="2889" t="s">
        <v>1492</v>
      </c>
      <c r="D7024" s="2889" t="s">
        <v>1054</v>
      </c>
      <c r="E7024" s="2889" t="s">
        <v>1420</v>
      </c>
      <c r="F7024" s="2890">
        <v>8.07317167463835E-4</v>
      </c>
      <c r="G7024" s="2890">
        <v>8.6294668810548778</v>
      </c>
    </row>
    <row r="7025" spans="2:7" ht="15" hidden="1" outlineLevel="2">
      <c r="B7025" s="2889" t="s">
        <v>1643</v>
      </c>
      <c r="C7025" s="2889" t="s">
        <v>1492</v>
      </c>
      <c r="D7025" s="2889" t="s">
        <v>1054</v>
      </c>
      <c r="E7025" s="2889" t="s">
        <v>1420</v>
      </c>
      <c r="F7025" s="2890">
        <v>1.1936076600204007E-4</v>
      </c>
      <c r="G7025" s="2890">
        <v>1.2758555336715427</v>
      </c>
    </row>
    <row r="7026" spans="2:7" ht="15" hidden="1" outlineLevel="2">
      <c r="B7026" s="2889" t="s">
        <v>1644</v>
      </c>
      <c r="C7026" s="2889" t="s">
        <v>1492</v>
      </c>
      <c r="D7026" s="2889" t="s">
        <v>1054</v>
      </c>
      <c r="E7026" s="2889" t="s">
        <v>1420</v>
      </c>
      <c r="F7026" s="2890">
        <v>2.6279268749185248E-3</v>
      </c>
      <c r="G7026" s="2890">
        <v>28.090078927595236</v>
      </c>
    </row>
    <row r="7027" spans="2:7" ht="15" hidden="1" outlineLevel="2">
      <c r="B7027" s="2889" t="s">
        <v>1645</v>
      </c>
      <c r="C7027" s="2889" t="s">
        <v>1492</v>
      </c>
      <c r="D7027" s="2889" t="s">
        <v>1054</v>
      </c>
      <c r="E7027" s="2889" t="s">
        <v>1420</v>
      </c>
      <c r="F7027" s="2890">
        <v>3.0011760625375393E-3</v>
      </c>
      <c r="G7027" s="2890">
        <v>32.079750328051951</v>
      </c>
    </row>
    <row r="7028" spans="2:7" ht="15" hidden="1" outlineLevel="2">
      <c r="B7028" s="2889" t="s">
        <v>1646</v>
      </c>
      <c r="C7028" s="2889" t="s">
        <v>1492</v>
      </c>
      <c r="D7028" s="2889" t="s">
        <v>1054</v>
      </c>
      <c r="E7028" s="2889" t="s">
        <v>1420</v>
      </c>
      <c r="F7028" s="2890">
        <v>1.7550119298132975E-4</v>
      </c>
      <c r="G7028" s="2890">
        <v>1.8759443372812226</v>
      </c>
    </row>
    <row r="7029" spans="2:7" ht="15" hidden="1" outlineLevel="2">
      <c r="B7029" s="2889" t="s">
        <v>1647</v>
      </c>
      <c r="C7029" s="2889" t="s">
        <v>1492</v>
      </c>
      <c r="D7029" s="2889" t="s">
        <v>1054</v>
      </c>
      <c r="E7029" s="2889" t="s">
        <v>1420</v>
      </c>
      <c r="F7029" s="2890">
        <v>4.3808574253531503E-4</v>
      </c>
      <c r="G7029" s="2890">
        <v>4.6827295468043717</v>
      </c>
    </row>
    <row r="7030" spans="2:7" ht="15" hidden="1" outlineLevel="2">
      <c r="B7030" s="2889" t="s">
        <v>1648</v>
      </c>
      <c r="C7030" s="2889" t="s">
        <v>1492</v>
      </c>
      <c r="D7030" s="2889" t="s">
        <v>1054</v>
      </c>
      <c r="E7030" s="2889" t="s">
        <v>1420</v>
      </c>
      <c r="F7030" s="2890">
        <v>4.9114568311686235E-5</v>
      </c>
      <c r="G7030" s="2890">
        <v>0.52498864764635944</v>
      </c>
    </row>
    <row r="7031" spans="2:7" ht="15" hidden="1" outlineLevel="2">
      <c r="B7031" s="2889" t="s">
        <v>1649</v>
      </c>
      <c r="C7031" s="2889" t="s">
        <v>1492</v>
      </c>
      <c r="D7031" s="2889" t="s">
        <v>1054</v>
      </c>
      <c r="E7031" s="2889" t="s">
        <v>1420</v>
      </c>
      <c r="F7031" s="2890">
        <v>2.3296528139548684E-4</v>
      </c>
      <c r="G7031" s="2890">
        <v>2.4901807224240695</v>
      </c>
    </row>
    <row r="7032" spans="2:7" ht="15" hidden="1" outlineLevel="2">
      <c r="B7032" s="2889" t="s">
        <v>1650</v>
      </c>
      <c r="C7032" s="2889" t="s">
        <v>1492</v>
      </c>
      <c r="D7032" s="2889" t="s">
        <v>1054</v>
      </c>
      <c r="E7032" s="2889" t="s">
        <v>1420</v>
      </c>
      <c r="F7032" s="2890">
        <v>5.8207334608071618E-4</v>
      </c>
      <c r="G7032" s="2890">
        <v>6.2218208425736297</v>
      </c>
    </row>
    <row r="7033" spans="2:7" ht="15" hidden="1" outlineLevel="2">
      <c r="B7033" s="2889" t="s">
        <v>1651</v>
      </c>
      <c r="C7033" s="2889" t="s">
        <v>1492</v>
      </c>
      <c r="D7033" s="2889" t="s">
        <v>1054</v>
      </c>
      <c r="E7033" s="2889" t="s">
        <v>1420</v>
      </c>
      <c r="F7033" s="2890">
        <v>3.1846949036357634E-4</v>
      </c>
      <c r="G7033" s="2890">
        <v>3.4041395554532841</v>
      </c>
    </row>
    <row r="7034" spans="2:7" ht="15" hidden="1" outlineLevel="2">
      <c r="B7034" s="2889" t="s">
        <v>1652</v>
      </c>
      <c r="C7034" s="2889" t="s">
        <v>1492</v>
      </c>
      <c r="D7034" s="2889" t="s">
        <v>1054</v>
      </c>
      <c r="E7034" s="2889" t="s">
        <v>1420</v>
      </c>
      <c r="F7034" s="2890">
        <v>3.4970733919950593E-4</v>
      </c>
      <c r="G7034" s="2890">
        <v>3.7380442499467272</v>
      </c>
    </row>
    <row r="7035" spans="2:7" ht="15" hidden="1" outlineLevel="2">
      <c r="B7035" s="2889" t="s">
        <v>1653</v>
      </c>
      <c r="C7035" s="2889" t="s">
        <v>1492</v>
      </c>
      <c r="D7035" s="2889" t="s">
        <v>1054</v>
      </c>
      <c r="E7035" s="2889" t="s">
        <v>1420</v>
      </c>
      <c r="F7035" s="2890">
        <v>6.3495751445360996E-35</v>
      </c>
      <c r="G7035" s="2890">
        <v>5.5876112040841091E-31</v>
      </c>
    </row>
    <row r="7036" spans="2:7" ht="15" hidden="1" outlineLevel="2">
      <c r="B7036" s="2889" t="s">
        <v>1407</v>
      </c>
      <c r="C7036" s="2889" t="s">
        <v>1493</v>
      </c>
      <c r="D7036" s="2889" t="s">
        <v>1054</v>
      </c>
      <c r="E7036" s="2889" t="s">
        <v>1420</v>
      </c>
      <c r="F7036" s="2890">
        <v>8.1051147315854347E-5</v>
      </c>
      <c r="G7036" s="2890">
        <v>0.1935521460979861</v>
      </c>
    </row>
    <row r="7037" spans="2:7" ht="15" hidden="1" outlineLevel="2">
      <c r="B7037" s="2889" t="s">
        <v>1631</v>
      </c>
      <c r="C7037" s="2889" t="s">
        <v>1493</v>
      </c>
      <c r="D7037" s="2889" t="s">
        <v>1054</v>
      </c>
      <c r="E7037" s="2889" t="s">
        <v>1420</v>
      </c>
      <c r="F7037" s="2890">
        <v>1.3450307972903185E-3</v>
      </c>
      <c r="G7037" s="2890">
        <v>3.2119668811962843</v>
      </c>
    </row>
    <row r="7038" spans="2:7" ht="15" hidden="1" outlineLevel="2">
      <c r="B7038" s="2889" t="s">
        <v>1632</v>
      </c>
      <c r="C7038" s="2889" t="s">
        <v>1493</v>
      </c>
      <c r="D7038" s="2889" t="s">
        <v>1054</v>
      </c>
      <c r="E7038" s="2889" t="s">
        <v>1420</v>
      </c>
      <c r="F7038" s="3039">
        <v>3.1155142952454091E-3</v>
      </c>
      <c r="G7038" s="2890">
        <v>7.4399290363535435</v>
      </c>
    </row>
    <row r="7039" spans="2:7" ht="15" hidden="1" outlineLevel="2">
      <c r="B7039" s="2889" t="s">
        <v>1633</v>
      </c>
      <c r="C7039" s="2889" t="s">
        <v>1493</v>
      </c>
      <c r="D7039" s="2889" t="s">
        <v>1054</v>
      </c>
      <c r="E7039" s="2889" t="s">
        <v>1420</v>
      </c>
      <c r="F7039" s="3039">
        <v>2.5283074213370605E-4</v>
      </c>
      <c r="G7039" s="2890">
        <v>0.60376596217702327</v>
      </c>
    </row>
    <row r="7040" spans="2:7" ht="15" hidden="1" outlineLevel="2">
      <c r="B7040" s="2889" t="s">
        <v>1634</v>
      </c>
      <c r="C7040" s="2889" t="s">
        <v>1493</v>
      </c>
      <c r="D7040" s="2889" t="s">
        <v>1054</v>
      </c>
      <c r="E7040" s="2889" t="s">
        <v>1420</v>
      </c>
      <c r="F7040" s="3039">
        <v>4.6861432037902379E-5</v>
      </c>
      <c r="G7040" s="2890">
        <v>0.11190623076785181</v>
      </c>
    </row>
    <row r="7041" spans="2:7" ht="15" hidden="1" outlineLevel="2">
      <c r="B7041" s="2889" t="s">
        <v>1635</v>
      </c>
      <c r="C7041" s="2889" t="s">
        <v>1493</v>
      </c>
      <c r="D7041" s="2889" t="s">
        <v>1054</v>
      </c>
      <c r="E7041" s="2889" t="s">
        <v>1420</v>
      </c>
      <c r="F7041" s="3039">
        <v>3.9526149650110905E-4</v>
      </c>
      <c r="G7041" s="2890">
        <v>0.94389414363819613</v>
      </c>
    </row>
    <row r="7042" spans="2:7" ht="15" hidden="1" outlineLevel="2">
      <c r="B7042" s="2889" t="s">
        <v>1636</v>
      </c>
      <c r="C7042" s="2889" t="s">
        <v>1493</v>
      </c>
      <c r="D7042" s="2889" t="s">
        <v>1054</v>
      </c>
      <c r="E7042" s="2889" t="s">
        <v>1420</v>
      </c>
      <c r="F7042" s="3039">
        <v>3.4697894077065936E-4</v>
      </c>
      <c r="G7042" s="2890">
        <v>0.8285940199278955</v>
      </c>
    </row>
    <row r="7043" spans="2:7" ht="15" hidden="1" outlineLevel="2">
      <c r="B7043" s="2889" t="s">
        <v>1637</v>
      </c>
      <c r="C7043" s="2889" t="s">
        <v>1493</v>
      </c>
      <c r="D7043" s="2889" t="s">
        <v>1054</v>
      </c>
      <c r="E7043" s="2889" t="s">
        <v>1420</v>
      </c>
      <c r="F7043" s="3039">
        <v>5.7625011761688351E-4</v>
      </c>
      <c r="G7043" s="2890">
        <v>1.3760993402650965</v>
      </c>
    </row>
    <row r="7044" spans="2:7" ht="15" hidden="1" outlineLevel="2">
      <c r="B7044" s="2889" t="s">
        <v>1638</v>
      </c>
      <c r="C7044" s="2889" t="s">
        <v>1493</v>
      </c>
      <c r="D7044" s="2889" t="s">
        <v>1054</v>
      </c>
      <c r="E7044" s="2889" t="s">
        <v>1420</v>
      </c>
      <c r="F7044" s="2890">
        <v>7.5217689267648811E-5</v>
      </c>
      <c r="G7044" s="2890">
        <v>0.17962161239839833</v>
      </c>
    </row>
    <row r="7045" spans="2:7" ht="15" hidden="1" outlineLevel="2">
      <c r="B7045" s="2889" t="s">
        <v>1639</v>
      </c>
      <c r="C7045" s="2889" t="s">
        <v>1493</v>
      </c>
      <c r="D7045" s="2889" t="s">
        <v>1054</v>
      </c>
      <c r="E7045" s="2889" t="s">
        <v>1420</v>
      </c>
      <c r="F7045" s="2890">
        <v>6.9155352134421001E-4</v>
      </c>
      <c r="G7045" s="2890">
        <v>1.6514472222388212</v>
      </c>
    </row>
    <row r="7046" spans="2:7" ht="15" hidden="1" outlineLevel="2">
      <c r="B7046" s="2889" t="s">
        <v>1640</v>
      </c>
      <c r="C7046" s="2889" t="s">
        <v>1493</v>
      </c>
      <c r="D7046" s="2889" t="s">
        <v>1054</v>
      </c>
      <c r="E7046" s="2889" t="s">
        <v>1420</v>
      </c>
      <c r="F7046" s="2890">
        <v>1.6259025144889448E-4</v>
      </c>
      <c r="G7046" s="2890">
        <v>0.3882694257251329</v>
      </c>
    </row>
    <row r="7047" spans="2:7" ht="15" hidden="1" outlineLevel="2">
      <c r="B7047" s="2889" t="s">
        <v>1641</v>
      </c>
      <c r="C7047" s="2889" t="s">
        <v>1493</v>
      </c>
      <c r="D7047" s="2889" t="s">
        <v>1054</v>
      </c>
      <c r="E7047" s="2889" t="s">
        <v>1420</v>
      </c>
      <c r="F7047" s="2890">
        <v>8.3284729768302803E-4</v>
      </c>
      <c r="G7047" s="2890">
        <v>1.9888586877675323</v>
      </c>
    </row>
    <row r="7048" spans="2:7" ht="15" hidden="1" outlineLevel="2">
      <c r="B7048" s="2889" t="s">
        <v>1642</v>
      </c>
      <c r="C7048" s="2889" t="s">
        <v>1493</v>
      </c>
      <c r="D7048" s="2889" t="s">
        <v>1054</v>
      </c>
      <c r="E7048" s="2889" t="s">
        <v>1420</v>
      </c>
      <c r="F7048" s="2890">
        <v>5.9780462467077383E-4</v>
      </c>
      <c r="G7048" s="2890">
        <v>1.4275724310949889</v>
      </c>
    </row>
    <row r="7049" spans="2:7" ht="15" hidden="1" outlineLevel="2">
      <c r="B7049" s="2889" t="s">
        <v>1643</v>
      </c>
      <c r="C7049" s="2889" t="s">
        <v>1493</v>
      </c>
      <c r="D7049" s="2889" t="s">
        <v>1054</v>
      </c>
      <c r="E7049" s="2889" t="s">
        <v>1420</v>
      </c>
      <c r="F7049" s="2890">
        <v>8.8384650327506391E-5</v>
      </c>
      <c r="G7049" s="2890">
        <v>0.21106460523387602</v>
      </c>
    </row>
    <row r="7050" spans="2:7" ht="15" hidden="1" outlineLevel="2">
      <c r="B7050" s="2889" t="s">
        <v>1644</v>
      </c>
      <c r="C7050" s="2889" t="s">
        <v>1493</v>
      </c>
      <c r="D7050" s="2889" t="s">
        <v>1054</v>
      </c>
      <c r="E7050" s="2889" t="s">
        <v>1420</v>
      </c>
      <c r="F7050" s="2890">
        <v>1.9459350621036226E-3</v>
      </c>
      <c r="G7050" s="2890">
        <v>4.6469395992144955</v>
      </c>
    </row>
    <row r="7051" spans="2:7" ht="15" hidden="1" outlineLevel="2">
      <c r="B7051" s="2889" t="s">
        <v>1645</v>
      </c>
      <c r="C7051" s="2889" t="s">
        <v>1493</v>
      </c>
      <c r="D7051" s="2889" t="s">
        <v>1054</v>
      </c>
      <c r="E7051" s="2889" t="s">
        <v>1420</v>
      </c>
      <c r="F7051" s="2890">
        <v>2.2223190897344247E-3</v>
      </c>
      <c r="G7051" s="2890">
        <v>5.306953160014193</v>
      </c>
    </row>
    <row r="7052" spans="2:7" ht="15" hidden="1" outlineLevel="2">
      <c r="B7052" s="2889" t="s">
        <v>1646</v>
      </c>
      <c r="C7052" s="2889" t="s">
        <v>1493</v>
      </c>
      <c r="D7052" s="2889" t="s">
        <v>1054</v>
      </c>
      <c r="E7052" s="2889" t="s">
        <v>1420</v>
      </c>
      <c r="F7052" s="2890">
        <v>1.2995571054126465E-4</v>
      </c>
      <c r="G7052" s="2890">
        <v>0.31033741896608463</v>
      </c>
    </row>
    <row r="7053" spans="2:7" ht="15" hidden="1" outlineLevel="2">
      <c r="B7053" s="2889" t="s">
        <v>1647</v>
      </c>
      <c r="C7053" s="2889" t="s">
        <v>1493</v>
      </c>
      <c r="D7053" s="2889" t="s">
        <v>1054</v>
      </c>
      <c r="E7053" s="2889" t="s">
        <v>1420</v>
      </c>
      <c r="F7053" s="2890">
        <v>3.2439519633044371E-4</v>
      </c>
      <c r="G7053" s="2890">
        <v>0.7746636682359338</v>
      </c>
    </row>
    <row r="7054" spans="2:7" ht="15" hidden="1" outlineLevel="2">
      <c r="B7054" s="2889" t="s">
        <v>1648</v>
      </c>
      <c r="C7054" s="2889" t="s">
        <v>1493</v>
      </c>
      <c r="D7054" s="2889" t="s">
        <v>1054</v>
      </c>
      <c r="E7054" s="2889" t="s">
        <v>1420</v>
      </c>
      <c r="F7054" s="2890">
        <v>3.6368514001814603E-5</v>
      </c>
      <c r="G7054" s="2890">
        <v>8.6848893426328219E-2</v>
      </c>
    </row>
    <row r="7055" spans="2:7" ht="15" hidden="1" outlineLevel="2">
      <c r="B7055" s="2889" t="s">
        <v>1649</v>
      </c>
      <c r="C7055" s="2889" t="s">
        <v>1493</v>
      </c>
      <c r="D7055" s="2889" t="s">
        <v>1054</v>
      </c>
      <c r="E7055" s="2889" t="s">
        <v>1420</v>
      </c>
      <c r="F7055" s="2890">
        <v>1.7250681264537352E-4</v>
      </c>
      <c r="G7055" s="2890">
        <v>0.41195053288000055</v>
      </c>
    </row>
    <row r="7056" spans="2:7" ht="15" hidden="1" outlineLevel="2">
      <c r="B7056" s="2889" t="s">
        <v>1650</v>
      </c>
      <c r="C7056" s="2889" t="s">
        <v>1493</v>
      </c>
      <c r="D7056" s="2889" t="s">
        <v>1054</v>
      </c>
      <c r="E7056" s="2889" t="s">
        <v>1420</v>
      </c>
      <c r="F7056" s="2890">
        <v>4.3101552815088287E-4</v>
      </c>
      <c r="G7056" s="2890">
        <v>1.0292750520081704</v>
      </c>
    </row>
    <row r="7057" spans="2:7" ht="15" hidden="1" outlineLevel="2">
      <c r="B7057" s="2889" t="s">
        <v>1651</v>
      </c>
      <c r="C7057" s="2889" t="s">
        <v>1493</v>
      </c>
      <c r="D7057" s="2889" t="s">
        <v>1054</v>
      </c>
      <c r="E7057" s="2889" t="s">
        <v>1420</v>
      </c>
      <c r="F7057" s="2890">
        <v>2.3582128492283575E-4</v>
      </c>
      <c r="G7057" s="2890">
        <v>0.56314684559623673</v>
      </c>
    </row>
    <row r="7058" spans="2:7" ht="15" hidden="1" outlineLevel="2">
      <c r="B7058" s="2889" t="s">
        <v>1652</v>
      </c>
      <c r="C7058" s="2889" t="s">
        <v>1493</v>
      </c>
      <c r="D7058" s="2889" t="s">
        <v>1054</v>
      </c>
      <c r="E7058" s="2889" t="s">
        <v>1420</v>
      </c>
      <c r="F7058" s="2890">
        <v>2.5895240602888278E-4</v>
      </c>
      <c r="G7058" s="2890">
        <v>0.61838456883572468</v>
      </c>
    </row>
    <row r="7059" spans="2:7" ht="15" hidden="1" outlineLevel="2">
      <c r="B7059" s="2889" t="s">
        <v>1653</v>
      </c>
      <c r="C7059" s="2889" t="s">
        <v>1493</v>
      </c>
      <c r="D7059" s="2889" t="s">
        <v>1054</v>
      </c>
      <c r="E7059" s="2889" t="s">
        <v>1420</v>
      </c>
      <c r="F7059" s="2890">
        <v>1.3931299995213113E-36</v>
      </c>
      <c r="G7059" s="2890">
        <v>3.5520604857606628E-33</v>
      </c>
    </row>
    <row r="7060" spans="2:7" ht="15" hidden="1" outlineLevel="2">
      <c r="B7060" s="2889" t="s">
        <v>1407</v>
      </c>
      <c r="C7060" s="2889" t="s">
        <v>1494</v>
      </c>
      <c r="D7060" s="2889" t="s">
        <v>1054</v>
      </c>
      <c r="E7060" s="2889" t="s">
        <v>1420</v>
      </c>
      <c r="F7060" s="2890">
        <v>2.2100911348229906E-5</v>
      </c>
      <c r="G7060" s="2890">
        <v>0.12128413991516737</v>
      </c>
    </row>
    <row r="7061" spans="2:7" ht="15" hidden="1" outlineLevel="2">
      <c r="B7061" s="2889" t="s">
        <v>1631</v>
      </c>
      <c r="C7061" s="2889" t="s">
        <v>1494</v>
      </c>
      <c r="D7061" s="2889" t="s">
        <v>1054</v>
      </c>
      <c r="E7061" s="2889" t="s">
        <v>1420</v>
      </c>
      <c r="F7061" s="2890">
        <v>3.6676107427986211E-4</v>
      </c>
      <c r="G7061" s="2890">
        <v>2.0126903422817954</v>
      </c>
    </row>
    <row r="7062" spans="2:7" ht="15" hidden="1" outlineLevel="2">
      <c r="B7062" s="2889" t="s">
        <v>1632</v>
      </c>
      <c r="C7062" s="2889" t="s">
        <v>1494</v>
      </c>
      <c r="D7062" s="2889" t="s">
        <v>1054</v>
      </c>
      <c r="E7062" s="2889" t="s">
        <v>1420</v>
      </c>
      <c r="F7062" s="2890">
        <v>8.4953396602479442E-4</v>
      </c>
      <c r="G7062" s="2890">
        <v>4.6620241763043149</v>
      </c>
    </row>
    <row r="7063" spans="2:7" ht="15" hidden="1" outlineLevel="2">
      <c r="B7063" s="2889" t="s">
        <v>1633</v>
      </c>
      <c r="C7063" s="2889" t="s">
        <v>1494</v>
      </c>
      <c r="D7063" s="2889" t="s">
        <v>1054</v>
      </c>
      <c r="E7063" s="2889" t="s">
        <v>1420</v>
      </c>
      <c r="F7063" s="2890">
        <v>6.8941511736013105E-5</v>
      </c>
      <c r="G7063" s="2890">
        <v>0.37833327722272347</v>
      </c>
    </row>
    <row r="7064" spans="2:7" ht="15" hidden="1" outlineLevel="2">
      <c r="B7064" s="2889" t="s">
        <v>1634</v>
      </c>
      <c r="C7064" s="2889" t="s">
        <v>1494</v>
      </c>
      <c r="D7064" s="2889" t="s">
        <v>1054</v>
      </c>
      <c r="E7064" s="2889" t="s">
        <v>1420</v>
      </c>
      <c r="F7064" s="2890">
        <v>1.2778108607428869E-5</v>
      </c>
      <c r="G7064" s="2890">
        <v>7.0122983860609486E-2</v>
      </c>
    </row>
    <row r="7065" spans="2:7" ht="15" hidden="1" outlineLevel="2">
      <c r="B7065" s="2889" t="s">
        <v>1635</v>
      </c>
      <c r="C7065" s="2889" t="s">
        <v>1494</v>
      </c>
      <c r="D7065" s="2889" t="s">
        <v>1054</v>
      </c>
      <c r="E7065" s="2889" t="s">
        <v>1420</v>
      </c>
      <c r="F7065" s="2890">
        <v>1.0777935817745574E-4</v>
      </c>
      <c r="G7065" s="2890">
        <v>0.59146518038698903</v>
      </c>
    </row>
    <row r="7066" spans="2:7" ht="15" hidden="1" outlineLevel="2">
      <c r="B7066" s="2889" t="s">
        <v>1636</v>
      </c>
      <c r="C7066" s="2889" t="s">
        <v>1494</v>
      </c>
      <c r="D7066" s="2889" t="s">
        <v>1054</v>
      </c>
      <c r="E7066" s="2889" t="s">
        <v>1420</v>
      </c>
      <c r="F7066" s="2890">
        <v>9.461372264385289E-5</v>
      </c>
      <c r="G7066" s="2890">
        <v>0.51921569726230021</v>
      </c>
    </row>
    <row r="7067" spans="2:7" ht="15" hidden="1" outlineLevel="2">
      <c r="B7067" s="2889" t="s">
        <v>1637</v>
      </c>
      <c r="C7067" s="2889" t="s">
        <v>1494</v>
      </c>
      <c r="D7067" s="2889" t="s">
        <v>1054</v>
      </c>
      <c r="E7067" s="2889" t="s">
        <v>1420</v>
      </c>
      <c r="F7067" s="2890">
        <v>1.5713111956916395E-4</v>
      </c>
      <c r="G7067" s="2890">
        <v>0.86229436308473117</v>
      </c>
    </row>
    <row r="7068" spans="2:7" ht="15" hidden="1" outlineLevel="2">
      <c r="B7068" s="2889" t="s">
        <v>1638</v>
      </c>
      <c r="C7068" s="2889" t="s">
        <v>1494</v>
      </c>
      <c r="D7068" s="2889" t="s">
        <v>1054</v>
      </c>
      <c r="E7068" s="2889" t="s">
        <v>1420</v>
      </c>
      <c r="F7068" s="2890">
        <v>2.0510255393466448E-5</v>
      </c>
      <c r="G7068" s="2890">
        <v>0.1125549813190045</v>
      </c>
    </row>
    <row r="7069" spans="2:7" ht="15" hidden="1" outlineLevel="2">
      <c r="B7069" s="2889" t="s">
        <v>1639</v>
      </c>
      <c r="C7069" s="2889" t="s">
        <v>1494</v>
      </c>
      <c r="D7069" s="2889" t="s">
        <v>1054</v>
      </c>
      <c r="E7069" s="2889" t="s">
        <v>1420</v>
      </c>
      <c r="F7069" s="2890">
        <v>1.8857181640860945E-4</v>
      </c>
      <c r="G7069" s="2890">
        <v>1.0348336099008859</v>
      </c>
    </row>
    <row r="7070" spans="2:7" ht="15" hidden="1" outlineLevel="2">
      <c r="B7070" s="2889" t="s">
        <v>1640</v>
      </c>
      <c r="C7070" s="2889" t="s">
        <v>1494</v>
      </c>
      <c r="D7070" s="2889" t="s">
        <v>1054</v>
      </c>
      <c r="E7070" s="2889" t="s">
        <v>1420</v>
      </c>
      <c r="F7070" s="2890">
        <v>4.433486884162038E-5</v>
      </c>
      <c r="G7070" s="2890">
        <v>0.24329823428661518</v>
      </c>
    </row>
    <row r="7071" spans="2:7" ht="15" hidden="1" outlineLevel="2">
      <c r="B7071" s="2889" t="s">
        <v>1641</v>
      </c>
      <c r="C7071" s="2889" t="s">
        <v>1494</v>
      </c>
      <c r="D7071" s="2889" t="s">
        <v>1054</v>
      </c>
      <c r="E7071" s="2889" t="s">
        <v>1420</v>
      </c>
      <c r="F7071" s="2890">
        <v>2.2709946775811602E-4</v>
      </c>
      <c r="G7071" s="2890">
        <v>1.2462636425712066</v>
      </c>
    </row>
    <row r="7072" spans="2:7" ht="15" hidden="1" outlineLevel="2">
      <c r="B7072" s="2889" t="s">
        <v>1642</v>
      </c>
      <c r="C7072" s="2889" t="s">
        <v>1494</v>
      </c>
      <c r="D7072" s="2889" t="s">
        <v>1054</v>
      </c>
      <c r="E7072" s="2889" t="s">
        <v>1420</v>
      </c>
      <c r="F7072" s="2890">
        <v>1.630086186425722E-4</v>
      </c>
      <c r="G7072" s="2890">
        <v>0.89454877247612841</v>
      </c>
    </row>
    <row r="7073" spans="2:7" ht="15" hidden="1" outlineLevel="2">
      <c r="B7073" s="2889" t="s">
        <v>1643</v>
      </c>
      <c r="C7073" s="2889" t="s">
        <v>1494</v>
      </c>
      <c r="D7073" s="2889" t="s">
        <v>1054</v>
      </c>
      <c r="E7073" s="2889" t="s">
        <v>1420</v>
      </c>
      <c r="F7073" s="2890">
        <v>2.4100591627977199E-5</v>
      </c>
      <c r="G7073" s="2890">
        <v>0.13225783721178017</v>
      </c>
    </row>
    <row r="7074" spans="2:7" ht="15" hidden="1" outlineLevel="2">
      <c r="B7074" s="2889" t="s">
        <v>1644</v>
      </c>
      <c r="C7074" s="2889" t="s">
        <v>1494</v>
      </c>
      <c r="D7074" s="2889" t="s">
        <v>1054</v>
      </c>
      <c r="E7074" s="2889" t="s">
        <v>1420</v>
      </c>
      <c r="F7074" s="2890">
        <v>5.3061472364418559E-4</v>
      </c>
      <c r="G7074" s="2890">
        <v>2.9118767048264109</v>
      </c>
    </row>
    <row r="7075" spans="2:7" ht="15" hidden="1" outlineLevel="2">
      <c r="B7075" s="2889" t="s">
        <v>1645</v>
      </c>
      <c r="C7075" s="2889" t="s">
        <v>1494</v>
      </c>
      <c r="D7075" s="2889" t="s">
        <v>1054</v>
      </c>
      <c r="E7075" s="2889" t="s">
        <v>1420</v>
      </c>
      <c r="F7075" s="2890">
        <v>6.0597878674622683E-4</v>
      </c>
      <c r="G7075" s="2890">
        <v>3.3254547455024253</v>
      </c>
    </row>
    <row r="7076" spans="2:7" ht="15" hidden="1" outlineLevel="2">
      <c r="B7076" s="2889" t="s">
        <v>1646</v>
      </c>
      <c r="C7076" s="2889" t="s">
        <v>1494</v>
      </c>
      <c r="D7076" s="2889" t="s">
        <v>1054</v>
      </c>
      <c r="E7076" s="2889" t="s">
        <v>1420</v>
      </c>
      <c r="F7076" s="2890">
        <v>3.5436137779463197E-5</v>
      </c>
      <c r="G7076" s="2890">
        <v>0.19446432570965158</v>
      </c>
    </row>
    <row r="7077" spans="2:7" ht="15" hidden="1" outlineLevel="2">
      <c r="B7077" s="2889" t="s">
        <v>1647</v>
      </c>
      <c r="C7077" s="2889" t="s">
        <v>1494</v>
      </c>
      <c r="D7077" s="2889" t="s">
        <v>1054</v>
      </c>
      <c r="E7077" s="2889" t="s">
        <v>1420</v>
      </c>
      <c r="F7077" s="2890">
        <v>8.8455637919478207E-5</v>
      </c>
      <c r="G7077" s="2890">
        <v>0.48542166858749047</v>
      </c>
    </row>
    <row r="7078" spans="2:7" ht="15" hidden="1" outlineLevel="2">
      <c r="B7078" s="2889" t="s">
        <v>1648</v>
      </c>
      <c r="C7078" s="2889" t="s">
        <v>1494</v>
      </c>
      <c r="D7078" s="2889" t="s">
        <v>1054</v>
      </c>
      <c r="E7078" s="2889" t="s">
        <v>1420</v>
      </c>
      <c r="F7078" s="2890">
        <v>9.9169122066727977E-6</v>
      </c>
      <c r="G7078" s="2890">
        <v>5.4421465723648067E-2</v>
      </c>
    </row>
    <row r="7079" spans="2:7" ht="15" hidden="1" outlineLevel="2">
      <c r="B7079" s="2889" t="s">
        <v>1649</v>
      </c>
      <c r="C7079" s="2889" t="s">
        <v>1494</v>
      </c>
      <c r="D7079" s="2889" t="s">
        <v>1054</v>
      </c>
      <c r="E7079" s="2889" t="s">
        <v>1420</v>
      </c>
      <c r="F7079" s="2890">
        <v>4.7038911916732481E-5</v>
      </c>
      <c r="G7079" s="2890">
        <v>0.25813735633087181</v>
      </c>
    </row>
    <row r="7080" spans="2:7" ht="15" hidden="1" outlineLevel="2">
      <c r="B7080" s="2889" t="s">
        <v>1650</v>
      </c>
      <c r="C7080" s="2889" t="s">
        <v>1494</v>
      </c>
      <c r="D7080" s="2889" t="s">
        <v>1054</v>
      </c>
      <c r="E7080" s="2889" t="s">
        <v>1420</v>
      </c>
      <c r="F7080" s="2890">
        <v>1.1752867941621485E-4</v>
      </c>
      <c r="G7080" s="2890">
        <v>0.64496703379540599</v>
      </c>
    </row>
    <row r="7081" spans="2:7" ht="15" hidden="1" outlineLevel="2">
      <c r="B7081" s="2889" t="s">
        <v>1651</v>
      </c>
      <c r="C7081" s="2889" t="s">
        <v>1494</v>
      </c>
      <c r="D7081" s="2889" t="s">
        <v>1054</v>
      </c>
      <c r="E7081" s="2889" t="s">
        <v>1420</v>
      </c>
      <c r="F7081" s="2890">
        <v>6.4303409818046548E-5</v>
      </c>
      <c r="G7081" s="2890">
        <v>0.35288049630769525</v>
      </c>
    </row>
    <row r="7082" spans="2:7" ht="15" hidden="1" outlineLevel="2">
      <c r="B7082" s="2889" t="s">
        <v>1652</v>
      </c>
      <c r="C7082" s="2889" t="s">
        <v>1494</v>
      </c>
      <c r="D7082" s="2889" t="s">
        <v>1054</v>
      </c>
      <c r="E7082" s="2889" t="s">
        <v>1420</v>
      </c>
      <c r="F7082" s="2890">
        <v>7.0610754680556874E-5</v>
      </c>
      <c r="G7082" s="2890">
        <v>0.38749353505467266</v>
      </c>
    </row>
    <row r="7083" spans="2:7" ht="15" hidden="1" outlineLevel="2">
      <c r="B7083" s="2889" t="s">
        <v>1653</v>
      </c>
      <c r="C7083" s="2889" t="s">
        <v>1494</v>
      </c>
      <c r="D7083" s="2889" t="s">
        <v>1054</v>
      </c>
      <c r="E7083" s="2889" t="s">
        <v>1420</v>
      </c>
      <c r="F7083" s="2890">
        <v>5.0263454186658089E-35</v>
      </c>
      <c r="G7083" s="2890">
        <v>4.4770586099014243E-31</v>
      </c>
    </row>
    <row r="7084" spans="2:7" ht="15" hidden="1" outlineLevel="2">
      <c r="B7084" s="2889" t="s">
        <v>1407</v>
      </c>
      <c r="C7084" s="2889" t="s">
        <v>1495</v>
      </c>
      <c r="D7084" s="2889" t="s">
        <v>1054</v>
      </c>
      <c r="E7084" s="2889" t="s">
        <v>1420</v>
      </c>
      <c r="F7084" s="3039">
        <v>4.7827884455283295E-4</v>
      </c>
      <c r="G7084" s="2890">
        <v>2.1463188069936194</v>
      </c>
    </row>
    <row r="7085" spans="2:7" ht="15" hidden="1" outlineLevel="2">
      <c r="B7085" s="2889" t="s">
        <v>1631</v>
      </c>
      <c r="C7085" s="2889" t="s">
        <v>1495</v>
      </c>
      <c r="D7085" s="2889" t="s">
        <v>1054</v>
      </c>
      <c r="E7085" s="2889" t="s">
        <v>1420</v>
      </c>
      <c r="F7085" s="3039">
        <v>7.9369587344715262E-3</v>
      </c>
      <c r="G7085" s="2890">
        <v>35.6178058716512</v>
      </c>
    </row>
    <row r="7086" spans="2:7" ht="15" hidden="1" outlineLevel="2">
      <c r="B7086" s="2889" t="s">
        <v>1632</v>
      </c>
      <c r="C7086" s="2889" t="s">
        <v>1495</v>
      </c>
      <c r="D7086" s="2889" t="s">
        <v>1054</v>
      </c>
      <c r="E7086" s="2889" t="s">
        <v>1420</v>
      </c>
      <c r="F7086" s="3039">
        <v>1.8384498214086192E-2</v>
      </c>
      <c r="G7086" s="2890">
        <v>82.50204707244967</v>
      </c>
    </row>
    <row r="7087" spans="2:7" ht="15" hidden="1" outlineLevel="2">
      <c r="B7087" s="2889" t="s">
        <v>1633</v>
      </c>
      <c r="C7087" s="2889" t="s">
        <v>1495</v>
      </c>
      <c r="D7087" s="2889" t="s">
        <v>1054</v>
      </c>
      <c r="E7087" s="2889" t="s">
        <v>1420</v>
      </c>
      <c r="F7087" s="3039">
        <v>1.4919414481158783E-3</v>
      </c>
      <c r="G7087" s="2890">
        <v>6.6952182587353493</v>
      </c>
    </row>
    <row r="7088" spans="2:7" ht="15" hidden="1" outlineLevel="2">
      <c r="B7088" s="2889" t="s">
        <v>1634</v>
      </c>
      <c r="C7088" s="2889" t="s">
        <v>1495</v>
      </c>
      <c r="D7088" s="2889" t="s">
        <v>1054</v>
      </c>
      <c r="E7088" s="2889" t="s">
        <v>1420</v>
      </c>
      <c r="F7088" s="3039">
        <v>2.7652699220664738E-4</v>
      </c>
      <c r="G7088" s="2890">
        <v>1.2409395160481702</v>
      </c>
    </row>
    <row r="7089" spans="2:7" ht="15" hidden="1" outlineLevel="2">
      <c r="B7089" s="2889" t="s">
        <v>1635</v>
      </c>
      <c r="C7089" s="2889" t="s">
        <v>1495</v>
      </c>
      <c r="D7089" s="2889" t="s">
        <v>1054</v>
      </c>
      <c r="E7089" s="2889" t="s">
        <v>1420</v>
      </c>
      <c r="F7089" s="3039">
        <v>2.3324185299534407E-3</v>
      </c>
      <c r="G7089" s="2890">
        <v>10.466928938205188</v>
      </c>
    </row>
    <row r="7090" spans="2:7" ht="15" hidden="1" outlineLevel="2">
      <c r="B7090" s="2889" t="s">
        <v>1636</v>
      </c>
      <c r="C7090" s="2889" t="s">
        <v>1495</v>
      </c>
      <c r="D7090" s="2889" t="s">
        <v>1054</v>
      </c>
      <c r="E7090" s="2889" t="s">
        <v>1420</v>
      </c>
      <c r="F7090" s="3039">
        <v>2.0475060023723516E-3</v>
      </c>
      <c r="G7090" s="2890">
        <v>9.1883611253191386</v>
      </c>
    </row>
    <row r="7091" spans="2:7" ht="15" hidden="1" outlineLevel="2">
      <c r="B7091" s="2889" t="s">
        <v>1637</v>
      </c>
      <c r="C7091" s="2889" t="s">
        <v>1495</v>
      </c>
      <c r="D7091" s="2889" t="s">
        <v>1054</v>
      </c>
      <c r="E7091" s="2889" t="s">
        <v>1420</v>
      </c>
      <c r="F7091" s="3039">
        <v>3.4004231535545324E-3</v>
      </c>
      <c r="G7091" s="2890">
        <v>15.25969747884319</v>
      </c>
    </row>
    <row r="7092" spans="2:7" ht="15" hidden="1" outlineLevel="2">
      <c r="B7092" s="2889" t="s">
        <v>1638</v>
      </c>
      <c r="C7092" s="2889" t="s">
        <v>1495</v>
      </c>
      <c r="D7092" s="2889" t="s">
        <v>1054</v>
      </c>
      <c r="E7092" s="2889" t="s">
        <v>1420</v>
      </c>
      <c r="F7092" s="3039">
        <v>4.43855809655459E-4</v>
      </c>
      <c r="G7092" s="2890">
        <v>1.9918421817186147</v>
      </c>
    </row>
    <row r="7093" spans="2:7" ht="15" hidden="1" outlineLevel="2">
      <c r="B7093" s="2889" t="s">
        <v>1639</v>
      </c>
      <c r="C7093" s="2889" t="s">
        <v>1495</v>
      </c>
      <c r="D7093" s="2889" t="s">
        <v>1054</v>
      </c>
      <c r="E7093" s="2889" t="s">
        <v>1420</v>
      </c>
      <c r="F7093" s="3039">
        <v>4.0808233031935691E-3</v>
      </c>
      <c r="G7093" s="2890">
        <v>18.313047344589354</v>
      </c>
    </row>
    <row r="7094" spans="2:7" ht="15" hidden="1" outlineLevel="2">
      <c r="B7094" s="2889" t="s">
        <v>1640</v>
      </c>
      <c r="C7094" s="2889" t="s">
        <v>1495</v>
      </c>
      <c r="D7094" s="2889" t="s">
        <v>1054</v>
      </c>
      <c r="E7094" s="2889" t="s">
        <v>1420</v>
      </c>
      <c r="F7094" s="3039">
        <v>9.5943685812261694E-4</v>
      </c>
      <c r="G7094" s="2890">
        <v>4.3055558079881671</v>
      </c>
    </row>
    <row r="7095" spans="2:7" ht="15" hidden="1" outlineLevel="2">
      <c r="B7095" s="2889" t="s">
        <v>1641</v>
      </c>
      <c r="C7095" s="2889" t="s">
        <v>1495</v>
      </c>
      <c r="D7095" s="2889" t="s">
        <v>1054</v>
      </c>
      <c r="E7095" s="2889" t="s">
        <v>1420</v>
      </c>
      <c r="F7095" s="3039">
        <v>4.9145871474715348E-3</v>
      </c>
      <c r="G7095" s="2890">
        <v>22.054640761238225</v>
      </c>
    </row>
    <row r="7096" spans="2:7" ht="15" hidden="1" outlineLevel="2">
      <c r="B7096" s="2889" t="s">
        <v>1642</v>
      </c>
      <c r="C7096" s="2889" t="s">
        <v>1495</v>
      </c>
      <c r="D7096" s="2889" t="s">
        <v>1054</v>
      </c>
      <c r="E7096" s="2889" t="s">
        <v>1420</v>
      </c>
      <c r="F7096" s="3039">
        <v>3.5276153784559502E-3</v>
      </c>
      <c r="G7096" s="2890">
        <v>15.830488440696387</v>
      </c>
    </row>
    <row r="7097" spans="2:7" ht="15" hidden="1" outlineLevel="2">
      <c r="B7097" s="2889" t="s">
        <v>1643</v>
      </c>
      <c r="C7097" s="2889" t="s">
        <v>1495</v>
      </c>
      <c r="D7097" s="2889" t="s">
        <v>1054</v>
      </c>
      <c r="E7097" s="2889" t="s">
        <v>1420</v>
      </c>
      <c r="F7097" s="3039">
        <v>5.2155340400668662E-4</v>
      </c>
      <c r="G7097" s="2890">
        <v>2.3405166621381257</v>
      </c>
    </row>
    <row r="7098" spans="2:7" ht="15" hidden="1" outlineLevel="2">
      <c r="B7098" s="2889" t="s">
        <v>1644</v>
      </c>
      <c r="C7098" s="2889" t="s">
        <v>1495</v>
      </c>
      <c r="D7098" s="2889" t="s">
        <v>1054</v>
      </c>
      <c r="E7098" s="2889" t="s">
        <v>1420</v>
      </c>
      <c r="F7098" s="3039">
        <v>1.1482867118741887E-2</v>
      </c>
      <c r="G7098" s="2890">
        <v>51.530379321853275</v>
      </c>
    </row>
    <row r="7099" spans="2:7" ht="15" hidden="1" outlineLevel="2">
      <c r="B7099" s="2889" t="s">
        <v>1645</v>
      </c>
      <c r="C7099" s="2889" t="s">
        <v>1495</v>
      </c>
      <c r="D7099" s="2889" t="s">
        <v>1054</v>
      </c>
      <c r="E7099" s="2889" t="s">
        <v>1420</v>
      </c>
      <c r="F7099" s="3039">
        <v>1.3113800447251059E-2</v>
      </c>
      <c r="G7099" s="2890">
        <v>58.849315100366567</v>
      </c>
    </row>
    <row r="7100" spans="2:7" ht="15" hidden="1" outlineLevel="2">
      <c r="B7100" s="2889" t="s">
        <v>1646</v>
      </c>
      <c r="C7100" s="2889" t="s">
        <v>1495</v>
      </c>
      <c r="D7100" s="2889" t="s">
        <v>1054</v>
      </c>
      <c r="E7100" s="2889" t="s">
        <v>1420</v>
      </c>
      <c r="F7100" s="3039">
        <v>7.6686204388195687E-4</v>
      </c>
      <c r="G7100" s="2890">
        <v>3.4413602633579008</v>
      </c>
    </row>
    <row r="7101" spans="2:7" ht="15" hidden="1" outlineLevel="2">
      <c r="B7101" s="2889" t="s">
        <v>1647</v>
      </c>
      <c r="C7101" s="2889" t="s">
        <v>1495</v>
      </c>
      <c r="D7101" s="2889" t="s">
        <v>1054</v>
      </c>
      <c r="E7101" s="2889" t="s">
        <v>1420</v>
      </c>
      <c r="F7101" s="3039">
        <v>1.9142394976093644E-3</v>
      </c>
      <c r="G7101" s="2890">
        <v>8.5903207259974508</v>
      </c>
    </row>
    <row r="7102" spans="2:7" ht="15" hidden="1" outlineLevel="2">
      <c r="B7102" s="2889" t="s">
        <v>1648</v>
      </c>
      <c r="C7102" s="2889" t="s">
        <v>1495</v>
      </c>
      <c r="D7102" s="2889" t="s">
        <v>1054</v>
      </c>
      <c r="E7102" s="2889" t="s">
        <v>1420</v>
      </c>
      <c r="F7102" s="3039">
        <v>2.1460868245343009E-4</v>
      </c>
      <c r="G7102" s="2890">
        <v>0.96307553958602587</v>
      </c>
    </row>
    <row r="7103" spans="2:7" ht="15" hidden="1" outlineLevel="2">
      <c r="B7103" s="2889" t="s">
        <v>1649</v>
      </c>
      <c r="C7103" s="2889" t="s">
        <v>1495</v>
      </c>
      <c r="D7103" s="2889" t="s">
        <v>1054</v>
      </c>
      <c r="E7103" s="2889" t="s">
        <v>1420</v>
      </c>
      <c r="F7103" s="3039">
        <v>1.0179541769035736E-3</v>
      </c>
      <c r="G7103" s="2890">
        <v>4.5681591980850049</v>
      </c>
    </row>
    <row r="7104" spans="2:7" ht="15" hidden="1" outlineLevel="2">
      <c r="B7104" s="2889" t="s">
        <v>1650</v>
      </c>
      <c r="C7104" s="2889" t="s">
        <v>1495</v>
      </c>
      <c r="D7104" s="2889" t="s">
        <v>1054</v>
      </c>
      <c r="E7104" s="2889" t="s">
        <v>1420</v>
      </c>
      <c r="F7104" s="3039">
        <v>2.543401335560005E-3</v>
      </c>
      <c r="G7104" s="2890">
        <v>11.413736252394688</v>
      </c>
    </row>
    <row r="7105" spans="2:7" ht="15" hidden="1" outlineLevel="2">
      <c r="B7105" s="2889" t="s">
        <v>1651</v>
      </c>
      <c r="C7105" s="2889" t="s">
        <v>1495</v>
      </c>
      <c r="D7105" s="2889" t="s">
        <v>1054</v>
      </c>
      <c r="E7105" s="2889" t="s">
        <v>1420</v>
      </c>
      <c r="F7105" s="3039">
        <v>1.3915694299473211E-3</v>
      </c>
      <c r="G7105" s="2890">
        <v>6.244789903577443</v>
      </c>
    </row>
    <row r="7106" spans="2:7" ht="15" hidden="1" outlineLevel="2">
      <c r="B7106" s="2889" t="s">
        <v>1652</v>
      </c>
      <c r="C7106" s="2889" t="s">
        <v>1495</v>
      </c>
      <c r="D7106" s="2889" t="s">
        <v>1054</v>
      </c>
      <c r="E7106" s="2889" t="s">
        <v>1420</v>
      </c>
      <c r="F7106" s="3039">
        <v>1.5280645764433991E-3</v>
      </c>
      <c r="G7106" s="2890">
        <v>6.8573264204614732</v>
      </c>
    </row>
    <row r="7107" spans="2:7" ht="15" hidden="1" outlineLevel="2">
      <c r="B7107" s="2889" t="s">
        <v>1653</v>
      </c>
      <c r="C7107" s="2889" t="s">
        <v>1495</v>
      </c>
      <c r="D7107" s="2889" t="s">
        <v>1054</v>
      </c>
      <c r="E7107" s="2889" t="s">
        <v>1420</v>
      </c>
      <c r="F7107" s="3039">
        <v>1.5455633489338472E-34</v>
      </c>
      <c r="G7107" s="2890">
        <v>2.4976966426871716E-30</v>
      </c>
    </row>
    <row r="7108" spans="2:7" ht="15" hidden="1" outlineLevel="2">
      <c r="B7108" s="2889" t="s">
        <v>1407</v>
      </c>
      <c r="C7108" s="2889" t="s">
        <v>1496</v>
      </c>
      <c r="D7108" s="2889" t="s">
        <v>1054</v>
      </c>
      <c r="E7108" s="2889" t="s">
        <v>1420</v>
      </c>
      <c r="F7108" s="3039">
        <v>4.3390917736020151E-4</v>
      </c>
      <c r="G7108" s="2890">
        <v>0.77279812565908512</v>
      </c>
    </row>
    <row r="7109" spans="2:7" ht="15" hidden="1" outlineLevel="2">
      <c r="B7109" s="2889" t="s">
        <v>1631</v>
      </c>
      <c r="C7109" s="2889" t="s">
        <v>1496</v>
      </c>
      <c r="D7109" s="2889" t="s">
        <v>1054</v>
      </c>
      <c r="E7109" s="2889" t="s">
        <v>1420</v>
      </c>
      <c r="F7109" s="2890">
        <v>7.2006534639395521E-3</v>
      </c>
      <c r="G7109" s="2890">
        <v>12.824461713536497</v>
      </c>
    </row>
    <row r="7110" spans="2:7" ht="15" hidden="1" outlineLevel="2">
      <c r="B7110" s="2889" t="s">
        <v>1632</v>
      </c>
      <c r="C7110" s="2889" t="s">
        <v>1496</v>
      </c>
      <c r="D7110" s="2889" t="s">
        <v>1054</v>
      </c>
      <c r="E7110" s="2889" t="s">
        <v>1420</v>
      </c>
      <c r="F7110" s="2890">
        <v>1.6678981022697353E-2</v>
      </c>
      <c r="G7110" s="2890">
        <v>29.705481581034668</v>
      </c>
    </row>
    <row r="7111" spans="2:7" ht="15" hidden="1" outlineLevel="2">
      <c r="B7111" s="2889" t="s">
        <v>1633</v>
      </c>
      <c r="C7111" s="2889" t="s">
        <v>1496</v>
      </c>
      <c r="D7111" s="2889" t="s">
        <v>1054</v>
      </c>
      <c r="E7111" s="2889" t="s">
        <v>1420</v>
      </c>
      <c r="F7111" s="2890">
        <v>1.3535349013253069E-3</v>
      </c>
      <c r="G7111" s="2890">
        <v>2.4106643013359346</v>
      </c>
    </row>
    <row r="7112" spans="2:7" ht="15" hidden="1" outlineLevel="2">
      <c r="B7112" s="2889" t="s">
        <v>1634</v>
      </c>
      <c r="C7112" s="2889" t="s">
        <v>1496</v>
      </c>
      <c r="D7112" s="2889" t="s">
        <v>1054</v>
      </c>
      <c r="E7112" s="2889" t="s">
        <v>1420</v>
      </c>
      <c r="F7112" s="2890">
        <v>2.5087372210056059E-4</v>
      </c>
      <c r="G7112" s="2890">
        <v>0.44680961155282217</v>
      </c>
    </row>
    <row r="7113" spans="2:7" ht="15" hidden="1" outlineLevel="2">
      <c r="B7113" s="2889" t="s">
        <v>1635</v>
      </c>
      <c r="C7113" s="2889" t="s">
        <v>1496</v>
      </c>
      <c r="D7113" s="2889" t="s">
        <v>1054</v>
      </c>
      <c r="E7113" s="2889" t="s">
        <v>1420</v>
      </c>
      <c r="F7113" s="2890">
        <v>2.1160414205367824E-3</v>
      </c>
      <c r="G7113" s="2890">
        <v>3.7686975915218905</v>
      </c>
    </row>
    <row r="7114" spans="2:7" ht="15" hidden="1" outlineLevel="2">
      <c r="B7114" s="2889" t="s">
        <v>1636</v>
      </c>
      <c r="C7114" s="2889" t="s">
        <v>1496</v>
      </c>
      <c r="D7114" s="2889" t="s">
        <v>1054</v>
      </c>
      <c r="E7114" s="2889" t="s">
        <v>1420</v>
      </c>
      <c r="F7114" s="2890">
        <v>1.857560090550146E-3</v>
      </c>
      <c r="G7114" s="2890">
        <v>3.3083396339472642</v>
      </c>
    </row>
    <row r="7115" spans="2:7" ht="15" hidden="1" outlineLevel="2">
      <c r="B7115" s="2889" t="s">
        <v>1637</v>
      </c>
      <c r="C7115" s="2889" t="s">
        <v>1496</v>
      </c>
      <c r="D7115" s="2889" t="s">
        <v>1054</v>
      </c>
      <c r="E7115" s="2889" t="s">
        <v>1420</v>
      </c>
      <c r="F7115" s="2890">
        <v>3.0849679718256071E-3</v>
      </c>
      <c r="G7115" s="2890">
        <v>5.4943682702634584</v>
      </c>
    </row>
    <row r="7116" spans="2:7" ht="15" hidden="1" outlineLevel="2">
      <c r="B7116" s="2889" t="s">
        <v>1638</v>
      </c>
      <c r="C7116" s="2889" t="s">
        <v>1496</v>
      </c>
      <c r="D7116" s="2889" t="s">
        <v>1054</v>
      </c>
      <c r="E7116" s="2889" t="s">
        <v>1420</v>
      </c>
      <c r="F7116" s="2890">
        <v>4.0267954055890664E-4</v>
      </c>
      <c r="G7116" s="2890">
        <v>0.71717783882943131</v>
      </c>
    </row>
    <row r="7117" spans="2:7" ht="15" hidden="1" outlineLevel="2">
      <c r="B7117" s="2889" t="s">
        <v>1639</v>
      </c>
      <c r="C7117" s="2889" t="s">
        <v>1496</v>
      </c>
      <c r="D7117" s="2889" t="s">
        <v>1054</v>
      </c>
      <c r="E7117" s="2889" t="s">
        <v>1420</v>
      </c>
      <c r="F7117" s="2890">
        <v>3.7022471679474221E-3</v>
      </c>
      <c r="G7117" s="2890">
        <v>6.5937521591186243</v>
      </c>
    </row>
    <row r="7118" spans="2:7" ht="15" hidden="1" outlineLevel="2">
      <c r="B7118" s="2889" t="s">
        <v>1640</v>
      </c>
      <c r="C7118" s="2889" t="s">
        <v>1496</v>
      </c>
      <c r="D7118" s="2889" t="s">
        <v>1054</v>
      </c>
      <c r="E7118" s="2889" t="s">
        <v>1420</v>
      </c>
      <c r="F7118" s="2890">
        <v>8.7043106745456999E-4</v>
      </c>
      <c r="G7118" s="2890">
        <v>1.5502490137128364</v>
      </c>
    </row>
    <row r="7119" spans="2:7" ht="15" hidden="1" outlineLevel="2">
      <c r="B7119" s="2889" t="s">
        <v>1641</v>
      </c>
      <c r="C7119" s="2889" t="s">
        <v>1496</v>
      </c>
      <c r="D7119" s="2889" t="s">
        <v>1054</v>
      </c>
      <c r="E7119" s="2889" t="s">
        <v>1420</v>
      </c>
      <c r="F7119" s="2890">
        <v>4.4586651636066652E-3</v>
      </c>
      <c r="G7119" s="2890">
        <v>7.9409400726807311</v>
      </c>
    </row>
    <row r="7120" spans="2:7" ht="15" hidden="1" outlineLevel="2">
      <c r="B7120" s="2889" t="s">
        <v>1642</v>
      </c>
      <c r="C7120" s="2889" t="s">
        <v>1496</v>
      </c>
      <c r="D7120" s="2889" t="s">
        <v>1054</v>
      </c>
      <c r="E7120" s="2889" t="s">
        <v>1420</v>
      </c>
      <c r="F7120" s="2890">
        <v>3.200361539108723E-3</v>
      </c>
      <c r="G7120" s="2890">
        <v>5.6998865179857141</v>
      </c>
    </row>
    <row r="7121" spans="2:7" ht="15" hidden="1" outlineLevel="2">
      <c r="B7121" s="2889" t="s">
        <v>1643</v>
      </c>
      <c r="C7121" s="2889" t="s">
        <v>1496</v>
      </c>
      <c r="D7121" s="2889" t="s">
        <v>1054</v>
      </c>
      <c r="E7121" s="2889" t="s">
        <v>1420</v>
      </c>
      <c r="F7121" s="2890">
        <v>4.731692473334139E-4</v>
      </c>
      <c r="G7121" s="2890">
        <v>0.84272082199204301</v>
      </c>
    </row>
    <row r="7122" spans="2:7" ht="15" hidden="1" outlineLevel="2">
      <c r="B7122" s="2889" t="s">
        <v>1644</v>
      </c>
      <c r="C7122" s="2889" t="s">
        <v>1496</v>
      </c>
      <c r="D7122" s="2889" t="s">
        <v>1054</v>
      </c>
      <c r="E7122" s="2889" t="s">
        <v>1420</v>
      </c>
      <c r="F7122" s="2890">
        <v>1.0417608015189114E-2</v>
      </c>
      <c r="G7122" s="2890">
        <v>18.55390989155298</v>
      </c>
    </row>
    <row r="7123" spans="2:7" ht="15" hidden="1" outlineLevel="2">
      <c r="B7123" s="2889" t="s">
        <v>1645</v>
      </c>
      <c r="C7123" s="2889" t="s">
        <v>1496</v>
      </c>
      <c r="D7123" s="2889" t="s">
        <v>1054</v>
      </c>
      <c r="E7123" s="2889" t="s">
        <v>1420</v>
      </c>
      <c r="F7123" s="2890">
        <v>1.1897238442763206E-2</v>
      </c>
      <c r="G7123" s="2890">
        <v>21.189139707261539</v>
      </c>
    </row>
    <row r="7124" spans="2:7" ht="15" hidden="1" outlineLevel="2">
      <c r="B7124" s="2889" t="s">
        <v>1646</v>
      </c>
      <c r="C7124" s="2889" t="s">
        <v>1496</v>
      </c>
      <c r="D7124" s="2889" t="s">
        <v>1054</v>
      </c>
      <c r="E7124" s="2889" t="s">
        <v>1420</v>
      </c>
      <c r="F7124" s="2890">
        <v>6.9572099285788449E-4</v>
      </c>
      <c r="G7124" s="2890">
        <v>1.2390878977874078</v>
      </c>
    </row>
    <row r="7125" spans="2:7" ht="15" hidden="1" outlineLevel="2">
      <c r="B7125" s="2889" t="s">
        <v>1647</v>
      </c>
      <c r="C7125" s="2889" t="s">
        <v>1496</v>
      </c>
      <c r="D7125" s="2889" t="s">
        <v>1054</v>
      </c>
      <c r="E7125" s="2889" t="s">
        <v>1420</v>
      </c>
      <c r="F7125" s="2890">
        <v>1.7366575941608012E-3</v>
      </c>
      <c r="G7125" s="2890">
        <v>3.0930104515017298</v>
      </c>
    </row>
    <row r="7126" spans="2:7" ht="15" hidden="1" outlineLevel="2">
      <c r="B7126" s="2889" t="s">
        <v>1648</v>
      </c>
      <c r="C7126" s="2889" t="s">
        <v>1496</v>
      </c>
      <c r="D7126" s="2889" t="s">
        <v>1054</v>
      </c>
      <c r="E7126" s="2889" t="s">
        <v>1420</v>
      </c>
      <c r="F7126" s="2890">
        <v>1.9469954952875838E-4</v>
      </c>
      <c r="G7126" s="2890">
        <v>0.34676264104854809</v>
      </c>
    </row>
    <row r="7127" spans="2:7" ht="15" hidden="1" outlineLevel="2">
      <c r="B7127" s="2889" t="s">
        <v>1649</v>
      </c>
      <c r="C7127" s="2889" t="s">
        <v>1496</v>
      </c>
      <c r="D7127" s="2889" t="s">
        <v>1054</v>
      </c>
      <c r="E7127" s="2889" t="s">
        <v>1420</v>
      </c>
      <c r="F7127" s="2890">
        <v>9.2351878305848786E-4</v>
      </c>
      <c r="G7127" s="2890">
        <v>1.6447999715606909</v>
      </c>
    </row>
    <row r="7128" spans="2:7" ht="15" hidden="1" outlineLevel="2">
      <c r="B7128" s="2889" t="s">
        <v>1650</v>
      </c>
      <c r="C7128" s="2889" t="s">
        <v>1496</v>
      </c>
      <c r="D7128" s="2889" t="s">
        <v>1054</v>
      </c>
      <c r="E7128" s="2889" t="s">
        <v>1420</v>
      </c>
      <c r="F7128" s="2890">
        <v>2.3074505815177219E-3</v>
      </c>
      <c r="G7128" s="2890">
        <v>4.109602070530407</v>
      </c>
    </row>
    <row r="7129" spans="2:7" ht="15" hidden="1" outlineLevel="2">
      <c r="B7129" s="2889" t="s">
        <v>1651</v>
      </c>
      <c r="C7129" s="2889" t="s">
        <v>1496</v>
      </c>
      <c r="D7129" s="2889" t="s">
        <v>1054</v>
      </c>
      <c r="E7129" s="2889" t="s">
        <v>1420</v>
      </c>
      <c r="F7129" s="3039">
        <v>1.2624742695856739E-3</v>
      </c>
      <c r="G7129" s="2890">
        <v>2.2484836408553095</v>
      </c>
    </row>
    <row r="7130" spans="2:7" ht="15" hidden="1" outlineLevel="2">
      <c r="B7130" s="2889" t="s">
        <v>1652</v>
      </c>
      <c r="C7130" s="2889" t="s">
        <v>1496</v>
      </c>
      <c r="D7130" s="2889" t="s">
        <v>1054</v>
      </c>
      <c r="E7130" s="2889" t="s">
        <v>1420</v>
      </c>
      <c r="F7130" s="3039">
        <v>1.3863074495958877E-3</v>
      </c>
      <c r="G7130" s="2890">
        <v>2.4690320022559962</v>
      </c>
    </row>
    <row r="7131" spans="2:7" ht="15" hidden="1" outlineLevel="2">
      <c r="B7131" s="2889" t="s">
        <v>1653</v>
      </c>
      <c r="C7131" s="2889" t="s">
        <v>1496</v>
      </c>
      <c r="D7131" s="2889" t="s">
        <v>1054</v>
      </c>
      <c r="E7131" s="2889" t="s">
        <v>1420</v>
      </c>
      <c r="F7131" s="3039">
        <v>5.1446058839019298E-34</v>
      </c>
      <c r="G7131" s="2890">
        <v>8.9750478892751075E-31</v>
      </c>
    </row>
    <row r="7132" spans="2:7" ht="15" hidden="1" outlineLevel="2">
      <c r="B7132" s="2889" t="s">
        <v>1407</v>
      </c>
      <c r="C7132" s="2889" t="s">
        <v>1497</v>
      </c>
      <c r="D7132" s="2889" t="s">
        <v>1054</v>
      </c>
      <c r="E7132" s="2889" t="s">
        <v>1420</v>
      </c>
      <c r="F7132" s="3039">
        <v>1.2038978425747801E-4</v>
      </c>
      <c r="G7132" s="2890">
        <v>1.985689365911584</v>
      </c>
    </row>
    <row r="7133" spans="2:7" ht="15" hidden="1" outlineLevel="2">
      <c r="B7133" s="2889" t="s">
        <v>1631</v>
      </c>
      <c r="C7133" s="2889" t="s">
        <v>1497</v>
      </c>
      <c r="D7133" s="2889" t="s">
        <v>1054</v>
      </c>
      <c r="E7133" s="2889" t="s">
        <v>1420</v>
      </c>
      <c r="F7133" s="3039">
        <v>1.997849793368341E-3</v>
      </c>
      <c r="G7133" s="2890">
        <v>32.952172705121257</v>
      </c>
    </row>
    <row r="7134" spans="2:7" ht="15" hidden="1" outlineLevel="2">
      <c r="B7134" s="2889" t="s">
        <v>1632</v>
      </c>
      <c r="C7134" s="2889" t="s">
        <v>1497</v>
      </c>
      <c r="D7134" s="2889" t="s">
        <v>1054</v>
      </c>
      <c r="E7134" s="2889" t="s">
        <v>1420</v>
      </c>
      <c r="F7134" s="3039">
        <v>4.6276491021284101E-3</v>
      </c>
      <c r="G7134" s="2890">
        <v>76.327631890619003</v>
      </c>
    </row>
    <row r="7135" spans="2:7" ht="15" hidden="1" outlineLevel="2">
      <c r="B7135" s="2889" t="s">
        <v>1633</v>
      </c>
      <c r="C7135" s="2889" t="s">
        <v>1497</v>
      </c>
      <c r="D7135" s="2889" t="s">
        <v>1054</v>
      </c>
      <c r="E7135" s="2889" t="s">
        <v>1420</v>
      </c>
      <c r="F7135" s="3039">
        <v>3.7554367300154039E-4</v>
      </c>
      <c r="G7135" s="2890">
        <v>6.1941515531103324</v>
      </c>
    </row>
    <row r="7136" spans="2:7" ht="15" hidden="1" outlineLevel="2">
      <c r="B7136" s="2889" t="s">
        <v>1634</v>
      </c>
      <c r="C7136" s="2889" t="s">
        <v>1497</v>
      </c>
      <c r="D7136" s="2889" t="s">
        <v>1054</v>
      </c>
      <c r="E7136" s="2889" t="s">
        <v>1420</v>
      </c>
      <c r="F7136" s="2890">
        <v>6.9605945154472843E-5</v>
      </c>
      <c r="G7136" s="2890">
        <v>1.1480677869131977</v>
      </c>
    </row>
    <row r="7137" spans="2:7" ht="15" hidden="1" outlineLevel="2">
      <c r="B7137" s="2889" t="s">
        <v>1635</v>
      </c>
      <c r="C7137" s="2889" t="s">
        <v>1497</v>
      </c>
      <c r="D7137" s="2889" t="s">
        <v>1054</v>
      </c>
      <c r="E7137" s="2889" t="s">
        <v>1420</v>
      </c>
      <c r="F7137" s="2890">
        <v>5.8710401740726267E-4</v>
      </c>
      <c r="G7137" s="2890">
        <v>9.6835872711472959</v>
      </c>
    </row>
    <row r="7138" spans="2:7" ht="15" hidden="1" outlineLevel="2">
      <c r="B7138" s="2889" t="s">
        <v>1636</v>
      </c>
      <c r="C7138" s="2889" t="s">
        <v>1497</v>
      </c>
      <c r="D7138" s="2889" t="s">
        <v>1054</v>
      </c>
      <c r="E7138" s="2889" t="s">
        <v>1420</v>
      </c>
      <c r="F7138" s="2890">
        <v>5.1538724822974618E-4</v>
      </c>
      <c r="G7138" s="2890">
        <v>8.5007086479590672</v>
      </c>
    </row>
    <row r="7139" spans="2:7" ht="15" hidden="1" outlineLevel="2">
      <c r="B7139" s="2889" t="s">
        <v>1637</v>
      </c>
      <c r="C7139" s="2889" t="s">
        <v>1497</v>
      </c>
      <c r="D7139" s="2889" t="s">
        <v>1054</v>
      </c>
      <c r="E7139" s="2889" t="s">
        <v>1420</v>
      </c>
      <c r="F7139" s="2890">
        <v>8.5593718360413794E-4</v>
      </c>
      <c r="G7139" s="2890">
        <v>14.117667403841851</v>
      </c>
    </row>
    <row r="7140" spans="2:7" ht="15" hidden="1" outlineLevel="2">
      <c r="B7140" s="2889" t="s">
        <v>1638</v>
      </c>
      <c r="C7140" s="2889" t="s">
        <v>1497</v>
      </c>
      <c r="D7140" s="2889" t="s">
        <v>1054</v>
      </c>
      <c r="E7140" s="2889" t="s">
        <v>1420</v>
      </c>
      <c r="F7140" s="2890">
        <v>1.1172508900300163E-4</v>
      </c>
      <c r="G7140" s="2890">
        <v>1.842773250616915</v>
      </c>
    </row>
    <row r="7141" spans="2:7" ht="15" hidden="1" outlineLevel="2">
      <c r="B7141" s="2889" t="s">
        <v>1639</v>
      </c>
      <c r="C7141" s="2889" t="s">
        <v>1497</v>
      </c>
      <c r="D7141" s="2889" t="s">
        <v>1054</v>
      </c>
      <c r="E7141" s="2889" t="s">
        <v>1420</v>
      </c>
      <c r="F7141" s="2890">
        <v>1.0272031955651021E-3</v>
      </c>
      <c r="G7141" s="2890">
        <v>16.942511363142351</v>
      </c>
    </row>
    <row r="7142" spans="2:7" ht="15" hidden="1" outlineLevel="2">
      <c r="B7142" s="2889" t="s">
        <v>1640</v>
      </c>
      <c r="C7142" s="2889" t="s">
        <v>1497</v>
      </c>
      <c r="D7142" s="2889" t="s">
        <v>1054</v>
      </c>
      <c r="E7142" s="2889" t="s">
        <v>1420</v>
      </c>
      <c r="F7142" s="2890">
        <v>2.4150436061693724E-4</v>
      </c>
      <c r="G7142" s="2890">
        <v>3.9833312563131358</v>
      </c>
    </row>
    <row r="7143" spans="2:7" ht="15" hidden="1" outlineLevel="2">
      <c r="B7143" s="2889" t="s">
        <v>1641</v>
      </c>
      <c r="C7143" s="2889" t="s">
        <v>1497</v>
      </c>
      <c r="D7143" s="2889" t="s">
        <v>1054</v>
      </c>
      <c r="E7143" s="2889" t="s">
        <v>1420</v>
      </c>
      <c r="F7143" s="2890">
        <v>1.2370740350387294E-3</v>
      </c>
      <c r="G7143" s="2890">
        <v>20.404074122770382</v>
      </c>
    </row>
    <row r="7144" spans="2:7" ht="15" hidden="1" outlineLevel="2">
      <c r="B7144" s="2889" t="s">
        <v>1642</v>
      </c>
      <c r="C7144" s="2889" t="s">
        <v>1497</v>
      </c>
      <c r="D7144" s="2889" t="s">
        <v>1054</v>
      </c>
      <c r="E7144" s="2889" t="s">
        <v>1420</v>
      </c>
      <c r="F7144" s="2890">
        <v>8.8795248524781449E-4</v>
      </c>
      <c r="G7144" s="2890">
        <v>14.645735117544724</v>
      </c>
    </row>
    <row r="7145" spans="2:7" ht="15" hidden="1" outlineLevel="2">
      <c r="B7145" s="2889" t="s">
        <v>1643</v>
      </c>
      <c r="C7145" s="2889" t="s">
        <v>1497</v>
      </c>
      <c r="D7145" s="2889" t="s">
        <v>1054</v>
      </c>
      <c r="E7145" s="2889" t="s">
        <v>1420</v>
      </c>
      <c r="F7145" s="2890">
        <v>1.3128263528162134E-4</v>
      </c>
      <c r="G7145" s="2890">
        <v>2.165352975601825</v>
      </c>
    </row>
    <row r="7146" spans="2:7" ht="15" hidden="1" outlineLevel="2">
      <c r="B7146" s="2889" t="s">
        <v>1644</v>
      </c>
      <c r="C7146" s="2889" t="s">
        <v>1497</v>
      </c>
      <c r="D7146" s="2889" t="s">
        <v>1054</v>
      </c>
      <c r="E7146" s="2889" t="s">
        <v>1420</v>
      </c>
      <c r="F7146" s="2890">
        <v>2.8904080474766967E-3</v>
      </c>
      <c r="G7146" s="2890">
        <v>47.673853612350918</v>
      </c>
    </row>
    <row r="7147" spans="2:7" ht="15" hidden="1" outlineLevel="2">
      <c r="B7147" s="2889" t="s">
        <v>1645</v>
      </c>
      <c r="C7147" s="2889" t="s">
        <v>1497</v>
      </c>
      <c r="D7147" s="2889" t="s">
        <v>1054</v>
      </c>
      <c r="E7147" s="2889" t="s">
        <v>1420</v>
      </c>
      <c r="F7147" s="2890">
        <v>3.3009351290839554E-3</v>
      </c>
      <c r="G7147" s="2890">
        <v>54.445051288217073</v>
      </c>
    </row>
    <row r="7148" spans="2:7" ht="15" hidden="1" outlineLevel="2">
      <c r="B7148" s="2889" t="s">
        <v>1646</v>
      </c>
      <c r="C7148" s="2889" t="s">
        <v>1497</v>
      </c>
      <c r="D7148" s="2889" t="s">
        <v>1054</v>
      </c>
      <c r="E7148" s="2889" t="s">
        <v>1420</v>
      </c>
      <c r="F7148" s="2890">
        <v>1.9303048581571325E-4</v>
      </c>
      <c r="G7148" s="2890">
        <v>3.1838116406986194</v>
      </c>
    </row>
    <row r="7149" spans="2:7" ht="15" hidden="1" outlineLevel="2">
      <c r="B7149" s="2889" t="s">
        <v>1647</v>
      </c>
      <c r="C7149" s="2889" t="s">
        <v>1497</v>
      </c>
      <c r="D7149" s="2889" t="s">
        <v>1054</v>
      </c>
      <c r="E7149" s="2889" t="s">
        <v>1420</v>
      </c>
      <c r="F7149" s="2890">
        <v>4.8184249121345187E-4</v>
      </c>
      <c r="G7149" s="2890">
        <v>7.9474245446040248</v>
      </c>
    </row>
    <row r="7150" spans="2:7" ht="15" hidden="1" outlineLevel="2">
      <c r="B7150" s="2889" t="s">
        <v>1648</v>
      </c>
      <c r="C7150" s="2889" t="s">
        <v>1497</v>
      </c>
      <c r="D7150" s="2889" t="s">
        <v>1054</v>
      </c>
      <c r="E7150" s="2889" t="s">
        <v>1420</v>
      </c>
      <c r="F7150" s="2890">
        <v>5.40201789845248E-5</v>
      </c>
      <c r="G7150" s="2890">
        <v>0.8910001013494383</v>
      </c>
    </row>
    <row r="7151" spans="2:7" ht="15" hidden="1" outlineLevel="2">
      <c r="B7151" s="2889" t="s">
        <v>1649</v>
      </c>
      <c r="C7151" s="2889" t="s">
        <v>1497</v>
      </c>
      <c r="D7151" s="2889" t="s">
        <v>1054</v>
      </c>
      <c r="E7151" s="2889" t="s">
        <v>1420</v>
      </c>
      <c r="F7151" s="2890">
        <v>2.562339851851615E-4</v>
      </c>
      <c r="G7151" s="2890">
        <v>4.2262795168249143</v>
      </c>
    </row>
    <row r="7152" spans="2:7" ht="15" hidden="1" outlineLevel="2">
      <c r="B7152" s="2889" t="s">
        <v>1650</v>
      </c>
      <c r="C7152" s="2889" t="s">
        <v>1497</v>
      </c>
      <c r="D7152" s="2889" t="s">
        <v>1054</v>
      </c>
      <c r="E7152" s="2889" t="s">
        <v>1420</v>
      </c>
      <c r="F7152" s="2890">
        <v>6.4021142093971788E-4</v>
      </c>
      <c r="G7152" s="2890">
        <v>10.559537474261422</v>
      </c>
    </row>
    <row r="7153" spans="2:7" ht="15" hidden="1" outlineLevel="2">
      <c r="B7153" s="2889" t="s">
        <v>1651</v>
      </c>
      <c r="C7153" s="2889" t="s">
        <v>1497</v>
      </c>
      <c r="D7153" s="2889" t="s">
        <v>1054</v>
      </c>
      <c r="E7153" s="2889" t="s">
        <v>1420</v>
      </c>
      <c r="F7153" s="2890">
        <v>3.5027854667896651E-4</v>
      </c>
      <c r="G7153" s="2890">
        <v>5.7774329502054016</v>
      </c>
    </row>
    <row r="7154" spans="2:7" ht="15" hidden="1" outlineLevel="2">
      <c r="B7154" s="2889" t="s">
        <v>1652</v>
      </c>
      <c r="C7154" s="2889" t="s">
        <v>1497</v>
      </c>
      <c r="D7154" s="2889" t="s">
        <v>1054</v>
      </c>
      <c r="E7154" s="2889" t="s">
        <v>1420</v>
      </c>
      <c r="F7154" s="2890">
        <v>3.8463640510953657E-4</v>
      </c>
      <c r="G7154" s="2890">
        <v>6.3441257662699648</v>
      </c>
    </row>
    <row r="7155" spans="2:7" ht="15" hidden="1" outlineLevel="2">
      <c r="B7155" s="2889" t="s">
        <v>1653</v>
      </c>
      <c r="C7155" s="2889" t="s">
        <v>1497</v>
      </c>
      <c r="D7155" s="2889" t="s">
        <v>1054</v>
      </c>
      <c r="E7155" s="2889" t="s">
        <v>1420</v>
      </c>
      <c r="F7155" s="2890">
        <v>3.4206548151183186E-37</v>
      </c>
      <c r="G7155" s="2890">
        <v>6.4615878927369862E-33</v>
      </c>
    </row>
    <row r="7156" spans="2:7" ht="15" hidden="1" outlineLevel="2">
      <c r="B7156" s="2889" t="s">
        <v>1407</v>
      </c>
      <c r="C7156" s="2889" t="s">
        <v>1498</v>
      </c>
      <c r="D7156" s="2889" t="s">
        <v>1054</v>
      </c>
      <c r="E7156" s="2889" t="s">
        <v>1420</v>
      </c>
      <c r="F7156" s="2890">
        <v>3.2908137132080007E-4</v>
      </c>
      <c r="G7156" s="2890">
        <v>0.79087859166600727</v>
      </c>
    </row>
    <row r="7157" spans="2:7" ht="15" hidden="1" outlineLevel="2">
      <c r="B7157" s="2889" t="s">
        <v>1631</v>
      </c>
      <c r="C7157" s="2889" t="s">
        <v>1498</v>
      </c>
      <c r="D7157" s="2889" t="s">
        <v>1054</v>
      </c>
      <c r="E7157" s="2889" t="s">
        <v>1420</v>
      </c>
      <c r="F7157" s="2890">
        <v>5.4610541127784358E-3</v>
      </c>
      <c r="G7157" s="2890">
        <v>13.124499515856058</v>
      </c>
    </row>
    <row r="7158" spans="2:7" ht="15" hidden="1" outlineLevel="2">
      <c r="B7158" s="2889" t="s">
        <v>1632</v>
      </c>
      <c r="C7158" s="2889" t="s">
        <v>1498</v>
      </c>
      <c r="D7158" s="2889" t="s">
        <v>1054</v>
      </c>
      <c r="E7158" s="2889" t="s">
        <v>1420</v>
      </c>
      <c r="F7158" s="2890">
        <v>1.2649519286572125E-2</v>
      </c>
      <c r="G7158" s="2890">
        <v>30.40047111913</v>
      </c>
    </row>
    <row r="7159" spans="2:7" ht="15" hidden="1" outlineLevel="2">
      <c r="B7159" s="2889" t="s">
        <v>1633</v>
      </c>
      <c r="C7159" s="2889" t="s">
        <v>1498</v>
      </c>
      <c r="D7159" s="2889" t="s">
        <v>1054</v>
      </c>
      <c r="E7159" s="2889" t="s">
        <v>1420</v>
      </c>
      <c r="F7159" s="2890">
        <v>1.0265356866156529E-3</v>
      </c>
      <c r="G7159" s="2890">
        <v>2.4670635894609112</v>
      </c>
    </row>
    <row r="7160" spans="2:7" ht="15" hidden="1" outlineLevel="2">
      <c r="B7160" s="2889" t="s">
        <v>1634</v>
      </c>
      <c r="C7160" s="2889" t="s">
        <v>1498</v>
      </c>
      <c r="D7160" s="2889" t="s">
        <v>1054</v>
      </c>
      <c r="E7160" s="2889" t="s">
        <v>1420</v>
      </c>
      <c r="F7160" s="2890">
        <v>1.9026528187644505E-4</v>
      </c>
      <c r="G7160" s="2890">
        <v>0.45726306868716315</v>
      </c>
    </row>
    <row r="7161" spans="2:7" ht="15" hidden="1" outlineLevel="2">
      <c r="B7161" s="2889" t="s">
        <v>1635</v>
      </c>
      <c r="C7161" s="2889" t="s">
        <v>1498</v>
      </c>
      <c r="D7161" s="2889" t="s">
        <v>1054</v>
      </c>
      <c r="E7161" s="2889" t="s">
        <v>1420</v>
      </c>
      <c r="F7161" s="2890">
        <v>1.6048280847340724E-3</v>
      </c>
      <c r="G7161" s="2890">
        <v>3.8568699241875768</v>
      </c>
    </row>
    <row r="7162" spans="2:7" ht="15" hidden="1" outlineLevel="2">
      <c r="B7162" s="2889" t="s">
        <v>1636</v>
      </c>
      <c r="C7162" s="2889" t="s">
        <v>1498</v>
      </c>
      <c r="D7162" s="2889" t="s">
        <v>1054</v>
      </c>
      <c r="E7162" s="2889" t="s">
        <v>1420</v>
      </c>
      <c r="F7162" s="2890">
        <v>1.4087937431657128E-3</v>
      </c>
      <c r="G7162" s="2890">
        <v>3.3298057575020943</v>
      </c>
    </row>
    <row r="7163" spans="2:7" ht="15" hidden="1" outlineLevel="2">
      <c r="B7163" s="2889" t="s">
        <v>1637</v>
      </c>
      <c r="C7163" s="2889" t="s">
        <v>1498</v>
      </c>
      <c r="D7163" s="2889" t="s">
        <v>1054</v>
      </c>
      <c r="E7163" s="2889" t="s">
        <v>1420</v>
      </c>
      <c r="F7163" s="2890">
        <v>2.3396731575651719E-3</v>
      </c>
      <c r="G7163" s="2890">
        <v>5.6229159543255118</v>
      </c>
    </row>
    <row r="7164" spans="2:7" ht="15" hidden="1" outlineLevel="2">
      <c r="B7164" s="2889" t="s">
        <v>1638</v>
      </c>
      <c r="C7164" s="2889" t="s">
        <v>1498</v>
      </c>
      <c r="D7164" s="2889" t="s">
        <v>1054</v>
      </c>
      <c r="E7164" s="2889" t="s">
        <v>1420</v>
      </c>
      <c r="F7164" s="2890">
        <v>3.0539654689813647E-4</v>
      </c>
      <c r="G7164" s="2890">
        <v>0.73395690135890856</v>
      </c>
    </row>
    <row r="7165" spans="2:7" ht="15" hidden="1" outlineLevel="2">
      <c r="B7165" s="2889" t="s">
        <v>1639</v>
      </c>
      <c r="C7165" s="2889" t="s">
        <v>1498</v>
      </c>
      <c r="D7165" s="2889" t="s">
        <v>1054</v>
      </c>
      <c r="E7165" s="2889" t="s">
        <v>1420</v>
      </c>
      <c r="F7165" s="2890">
        <v>2.8078241829473821E-3</v>
      </c>
      <c r="G7165" s="2890">
        <v>6.7480209334450594</v>
      </c>
    </row>
    <row r="7166" spans="2:7" ht="15" hidden="1" outlineLevel="2">
      <c r="B7166" s="2889" t="s">
        <v>1640</v>
      </c>
      <c r="C7166" s="2889" t="s">
        <v>1498</v>
      </c>
      <c r="D7166" s="2889" t="s">
        <v>1054</v>
      </c>
      <c r="E7166" s="2889" t="s">
        <v>1420</v>
      </c>
      <c r="F7166" s="2890">
        <v>6.6014365236063922E-4</v>
      </c>
      <c r="G7166" s="2890">
        <v>1.5865184614993781</v>
      </c>
    </row>
    <row r="7167" spans="2:7" ht="15" hidden="1" outlineLevel="2">
      <c r="B7167" s="2889" t="s">
        <v>1641</v>
      </c>
      <c r="C7167" s="2889" t="s">
        <v>1498</v>
      </c>
      <c r="D7167" s="2889" t="s">
        <v>1054</v>
      </c>
      <c r="E7167" s="2889" t="s">
        <v>1420</v>
      </c>
      <c r="F7167" s="2890">
        <v>3.3814995732835158E-3</v>
      </c>
      <c r="G7167" s="2890">
        <v>8.1267285344898497</v>
      </c>
    </row>
    <row r="7168" spans="2:7" ht="15" hidden="1" outlineLevel="2">
      <c r="B7168" s="2889" t="s">
        <v>1642</v>
      </c>
      <c r="C7168" s="2889" t="s">
        <v>1498</v>
      </c>
      <c r="D7168" s="2889" t="s">
        <v>1054</v>
      </c>
      <c r="E7168" s="2889" t="s">
        <v>1420</v>
      </c>
      <c r="F7168" s="3039">
        <v>2.427188819656007E-3</v>
      </c>
      <c r="G7168" s="2890">
        <v>5.8332406334452145</v>
      </c>
    </row>
    <row r="7169" spans="2:7" ht="15" hidden="1" outlineLevel="2">
      <c r="B7169" s="2889" t="s">
        <v>1643</v>
      </c>
      <c r="C7169" s="2889" t="s">
        <v>1498</v>
      </c>
      <c r="D7169" s="2889" t="s">
        <v>1054</v>
      </c>
      <c r="E7169" s="2889" t="s">
        <v>1420</v>
      </c>
      <c r="F7169" s="3039">
        <v>3.5885661935300601E-4</v>
      </c>
      <c r="G7169" s="2890">
        <v>0.86243697692195154</v>
      </c>
    </row>
    <row r="7170" spans="2:7" ht="15" hidden="1" outlineLevel="2">
      <c r="B7170" s="2889" t="s">
        <v>1644</v>
      </c>
      <c r="C7170" s="2889" t="s">
        <v>1498</v>
      </c>
      <c r="D7170" s="2889" t="s">
        <v>1054</v>
      </c>
      <c r="E7170" s="2889" t="s">
        <v>1420</v>
      </c>
      <c r="F7170" s="3039">
        <v>7.9008238799975102E-3</v>
      </c>
      <c r="G7170" s="2890">
        <v>18.987984992498866</v>
      </c>
    </row>
    <row r="7171" spans="2:7" ht="15" hidden="1" outlineLevel="2">
      <c r="B7171" s="2889" t="s">
        <v>1645</v>
      </c>
      <c r="C7171" s="2889" t="s">
        <v>1498</v>
      </c>
      <c r="D7171" s="2889" t="s">
        <v>1054</v>
      </c>
      <c r="E7171" s="2889" t="s">
        <v>1420</v>
      </c>
      <c r="F7171" s="3039">
        <v>9.0229942582440714E-3</v>
      </c>
      <c r="G7171" s="2890">
        <v>21.684878112376325</v>
      </c>
    </row>
    <row r="7172" spans="2:7" ht="15" hidden="1" outlineLevel="2">
      <c r="B7172" s="2889" t="s">
        <v>1646</v>
      </c>
      <c r="C7172" s="2889" t="s">
        <v>1498</v>
      </c>
      <c r="D7172" s="2889" t="s">
        <v>1054</v>
      </c>
      <c r="E7172" s="2889" t="s">
        <v>1420</v>
      </c>
      <c r="F7172" s="3039">
        <v>5.2764218091916272E-4</v>
      </c>
      <c r="G7172" s="2890">
        <v>1.2680786430598392</v>
      </c>
    </row>
    <row r="7173" spans="2:7" ht="15" hidden="1" outlineLevel="2">
      <c r="B7173" s="2889" t="s">
        <v>1647</v>
      </c>
      <c r="C7173" s="2889" t="s">
        <v>1498</v>
      </c>
      <c r="D7173" s="2889" t="s">
        <v>1054</v>
      </c>
      <c r="E7173" s="2889" t="s">
        <v>1420</v>
      </c>
      <c r="F7173" s="3039">
        <v>1.3170996808128761E-3</v>
      </c>
      <c r="G7173" s="2890">
        <v>3.16537477112389</v>
      </c>
    </row>
    <row r="7174" spans="2:7" ht="15" hidden="1" outlineLevel="2">
      <c r="B7174" s="2889" t="s">
        <v>1648</v>
      </c>
      <c r="C7174" s="2889" t="s">
        <v>1498</v>
      </c>
      <c r="D7174" s="2889" t="s">
        <v>1054</v>
      </c>
      <c r="E7174" s="2889" t="s">
        <v>1420</v>
      </c>
      <c r="F7174" s="3039">
        <v>1.4766236869622162E-4</v>
      </c>
      <c r="G7174" s="2890">
        <v>0.35487559685357623</v>
      </c>
    </row>
    <row r="7175" spans="2:7" ht="15" hidden="1" outlineLevel="2">
      <c r="B7175" s="2889" t="s">
        <v>1649</v>
      </c>
      <c r="C7175" s="2889" t="s">
        <v>1498</v>
      </c>
      <c r="D7175" s="2889" t="s">
        <v>1054</v>
      </c>
      <c r="E7175" s="2889" t="s">
        <v>1420</v>
      </c>
      <c r="F7175" s="2890">
        <v>7.0040717728497089E-4</v>
      </c>
      <c r="G7175" s="2890">
        <v>1.6832824419443024</v>
      </c>
    </row>
    <row r="7176" spans="2:7" ht="15" hidden="1" outlineLevel="2">
      <c r="B7176" s="2889" t="s">
        <v>1650</v>
      </c>
      <c r="C7176" s="2889" t="s">
        <v>1498</v>
      </c>
      <c r="D7176" s="2889" t="s">
        <v>1054</v>
      </c>
      <c r="E7176" s="2889" t="s">
        <v>1420</v>
      </c>
      <c r="F7176" s="2890">
        <v>1.7499964131050399E-3</v>
      </c>
      <c r="G7176" s="2890">
        <v>4.2057504991155881</v>
      </c>
    </row>
    <row r="7177" spans="2:7" ht="15" hidden="1" outlineLevel="2">
      <c r="B7177" s="2889" t="s">
        <v>1651</v>
      </c>
      <c r="C7177" s="2889" t="s">
        <v>1498</v>
      </c>
      <c r="D7177" s="2889" t="s">
        <v>1054</v>
      </c>
      <c r="E7177" s="2889" t="s">
        <v>1420</v>
      </c>
      <c r="F7177" s="2890">
        <v>9.5747414047953354E-4</v>
      </c>
      <c r="G7177" s="2890">
        <v>2.3010895943824243</v>
      </c>
    </row>
    <row r="7178" spans="2:7" ht="15" hidden="1" outlineLevel="2">
      <c r="B7178" s="2889" t="s">
        <v>1652</v>
      </c>
      <c r="C7178" s="2889" t="s">
        <v>1498</v>
      </c>
      <c r="D7178" s="2889" t="s">
        <v>1054</v>
      </c>
      <c r="E7178" s="2889" t="s">
        <v>1420</v>
      </c>
      <c r="F7178" s="3039">
        <v>1.0513905312791662E-3</v>
      </c>
      <c r="G7178" s="2890">
        <v>2.6920039620918246</v>
      </c>
    </row>
    <row r="7179" spans="2:7" ht="15" hidden="1" outlineLevel="2">
      <c r="B7179" s="2889" t="s">
        <v>1653</v>
      </c>
      <c r="C7179" s="2889" t="s">
        <v>1498</v>
      </c>
      <c r="D7179" s="2889" t="s">
        <v>1054</v>
      </c>
      <c r="E7179" s="2889" t="s">
        <v>1420</v>
      </c>
      <c r="F7179" s="2890">
        <v>8.9880013977959222E-35</v>
      </c>
      <c r="G7179" s="2890">
        <v>2.1532901516339633E-31</v>
      </c>
    </row>
    <row r="7180" spans="2:7" ht="15" hidden="1" outlineLevel="2">
      <c r="B7180" s="2889" t="s">
        <v>1407</v>
      </c>
      <c r="C7180" s="2889" t="s">
        <v>1499</v>
      </c>
      <c r="D7180" s="2889" t="s">
        <v>1054</v>
      </c>
      <c r="E7180" s="2889" t="s">
        <v>1420</v>
      </c>
      <c r="F7180" s="2890">
        <v>5.0259717809454929E-5</v>
      </c>
      <c r="G7180" s="2890">
        <v>0.12726389617623471</v>
      </c>
    </row>
    <row r="7181" spans="2:7" ht="15" hidden="1" outlineLevel="2">
      <c r="B7181" s="2889" t="s">
        <v>1631</v>
      </c>
      <c r="C7181" s="2889" t="s">
        <v>1499</v>
      </c>
      <c r="D7181" s="2889" t="s">
        <v>1054</v>
      </c>
      <c r="E7181" s="2889" t="s">
        <v>1420</v>
      </c>
      <c r="F7181" s="3039">
        <v>8.3405253239465251E-4</v>
      </c>
      <c r="G7181" s="2890">
        <v>2.1119246133467899</v>
      </c>
    </row>
    <row r="7182" spans="2:7" ht="15" hidden="1" outlineLevel="2">
      <c r="B7182" s="2889" t="s">
        <v>1632</v>
      </c>
      <c r="C7182" s="2889" t="s">
        <v>1499</v>
      </c>
      <c r="D7182" s="2889" t="s">
        <v>1054</v>
      </c>
      <c r="E7182" s="2889" t="s">
        <v>1420</v>
      </c>
      <c r="F7182" s="2890">
        <v>1.9319274794825964E-3</v>
      </c>
      <c r="G7182" s="2890">
        <v>4.8918821258522911</v>
      </c>
    </row>
    <row r="7183" spans="2:7" ht="15" hidden="1" outlineLevel="2">
      <c r="B7183" s="2889" t="s">
        <v>1633</v>
      </c>
      <c r="C7183" s="2889" t="s">
        <v>1499</v>
      </c>
      <c r="D7183" s="2889" t="s">
        <v>1054</v>
      </c>
      <c r="E7183" s="2889" t="s">
        <v>1420</v>
      </c>
      <c r="F7183" s="2890">
        <v>1.567800138920246E-4</v>
      </c>
      <c r="G7183" s="2890">
        <v>0.39698658345554466</v>
      </c>
    </row>
    <row r="7184" spans="2:7" ht="15" hidden="1" outlineLevel="2">
      <c r="B7184" s="2889" t="s">
        <v>1634</v>
      </c>
      <c r="C7184" s="2889" t="s">
        <v>1499</v>
      </c>
      <c r="D7184" s="2889" t="s">
        <v>1054</v>
      </c>
      <c r="E7184" s="2889" t="s">
        <v>1420</v>
      </c>
      <c r="F7184" s="2890">
        <v>2.9058739266679836E-5</v>
      </c>
      <c r="G7184" s="2890">
        <v>7.3580342063450876E-2</v>
      </c>
    </row>
    <row r="7185" spans="2:7" ht="15" hidden="1" outlineLevel="2">
      <c r="B7185" s="2889" t="s">
        <v>1635</v>
      </c>
      <c r="C7185" s="2889" t="s">
        <v>1499</v>
      </c>
      <c r="D7185" s="2889" t="s">
        <v>1054</v>
      </c>
      <c r="E7185" s="2889" t="s">
        <v>1420</v>
      </c>
      <c r="F7185" s="3039">
        <v>2.4510130434040353E-4</v>
      </c>
      <c r="G7185" s="2890">
        <v>0.62062671928165292</v>
      </c>
    </row>
    <row r="7186" spans="2:7" ht="15" hidden="1" outlineLevel="2">
      <c r="B7186" s="2889" t="s">
        <v>1636</v>
      </c>
      <c r="C7186" s="2889" t="s">
        <v>1499</v>
      </c>
      <c r="D7186" s="2889" t="s">
        <v>1054</v>
      </c>
      <c r="E7186" s="2889" t="s">
        <v>1420</v>
      </c>
      <c r="F7186" s="3039">
        <v>2.1160673362665279E-4</v>
      </c>
      <c r="G7186" s="2890">
        <v>0.54481524858311581</v>
      </c>
    </row>
    <row r="7187" spans="2:7" ht="15" hidden="1" outlineLevel="2">
      <c r="B7187" s="2889" t="s">
        <v>1637</v>
      </c>
      <c r="C7187" s="2889" t="s">
        <v>1499</v>
      </c>
      <c r="D7187" s="2889" t="s">
        <v>1054</v>
      </c>
      <c r="E7187" s="2889" t="s">
        <v>1420</v>
      </c>
      <c r="F7187" s="3039">
        <v>3.5733217891199641E-4</v>
      </c>
      <c r="G7187" s="2890">
        <v>0.90480919734597931</v>
      </c>
    </row>
    <row r="7188" spans="2:7" ht="15" hidden="1" outlineLevel="2">
      <c r="B7188" s="2889" t="s">
        <v>1638</v>
      </c>
      <c r="C7188" s="2889" t="s">
        <v>1499</v>
      </c>
      <c r="D7188" s="2889" t="s">
        <v>1054</v>
      </c>
      <c r="E7188" s="2889" t="s">
        <v>1420</v>
      </c>
      <c r="F7188" s="2890">
        <v>4.6642425040518683E-5</v>
      </c>
      <c r="G7188" s="2890">
        <v>0.11810441694945482</v>
      </c>
    </row>
    <row r="7189" spans="2:7" ht="15" hidden="1" outlineLevel="2">
      <c r="B7189" s="2889" t="s">
        <v>1639</v>
      </c>
      <c r="C7189" s="2889" t="s">
        <v>1499</v>
      </c>
      <c r="D7189" s="2889" t="s">
        <v>1054</v>
      </c>
      <c r="E7189" s="2889" t="s">
        <v>1420</v>
      </c>
      <c r="F7189" s="2890">
        <v>4.2883166759629223E-4</v>
      </c>
      <c r="G7189" s="2890">
        <v>1.0858552198073586</v>
      </c>
    </row>
    <row r="7190" spans="2:7" ht="15" hidden="1" outlineLevel="2">
      <c r="B7190" s="2889" t="s">
        <v>1640</v>
      </c>
      <c r="C7190" s="2889" t="s">
        <v>1499</v>
      </c>
      <c r="D7190" s="2889" t="s">
        <v>1054</v>
      </c>
      <c r="E7190" s="2889" t="s">
        <v>1420</v>
      </c>
      <c r="F7190" s="2890">
        <v>1.0082198689260377E-4</v>
      </c>
      <c r="G7190" s="2890">
        <v>0.25529393872532447</v>
      </c>
    </row>
    <row r="7191" spans="2:7" ht="15" hidden="1" outlineLevel="2">
      <c r="B7191" s="2889" t="s">
        <v>1641</v>
      </c>
      <c r="C7191" s="2889" t="s">
        <v>1499</v>
      </c>
      <c r="D7191" s="2889" t="s">
        <v>1054</v>
      </c>
      <c r="E7191" s="2889" t="s">
        <v>1420</v>
      </c>
      <c r="F7191" s="2890">
        <v>5.1644756675154897E-4</v>
      </c>
      <c r="G7191" s="2890">
        <v>1.307709499402848</v>
      </c>
    </row>
    <row r="7192" spans="2:7" ht="15" hidden="1" outlineLevel="2">
      <c r="B7192" s="2889" t="s">
        <v>1642</v>
      </c>
      <c r="C7192" s="2889" t="s">
        <v>1499</v>
      </c>
      <c r="D7192" s="2889" t="s">
        <v>1054</v>
      </c>
      <c r="E7192" s="2889" t="s">
        <v>1420</v>
      </c>
      <c r="F7192" s="2890">
        <v>3.7069818280237348E-4</v>
      </c>
      <c r="G7192" s="2890">
        <v>0.93865392355230381</v>
      </c>
    </row>
    <row r="7193" spans="2:7" ht="15" hidden="1" outlineLevel="2">
      <c r="B7193" s="2889" t="s">
        <v>1643</v>
      </c>
      <c r="C7193" s="2889" t="s">
        <v>1499</v>
      </c>
      <c r="D7193" s="2889" t="s">
        <v>1054</v>
      </c>
      <c r="E7193" s="2889" t="s">
        <v>1420</v>
      </c>
      <c r="F7193" s="2890">
        <v>5.4807239287307334E-5</v>
      </c>
      <c r="G7193" s="2890">
        <v>0.13877874142979385</v>
      </c>
    </row>
    <row r="7194" spans="2:7" ht="15" hidden="1" outlineLevel="2">
      <c r="B7194" s="2889" t="s">
        <v>1644</v>
      </c>
      <c r="C7194" s="2889" t="s">
        <v>1499</v>
      </c>
      <c r="D7194" s="2889" t="s">
        <v>1054</v>
      </c>
      <c r="E7194" s="2889" t="s">
        <v>1420</v>
      </c>
      <c r="F7194" s="2890">
        <v>1.2066723080553126E-3</v>
      </c>
      <c r="G7194" s="2890">
        <v>3.0554459384701942</v>
      </c>
    </row>
    <row r="7195" spans="2:7" ht="15" hidden="1" outlineLevel="2">
      <c r="B7195" s="2889" t="s">
        <v>1645</v>
      </c>
      <c r="C7195" s="2889" t="s">
        <v>1499</v>
      </c>
      <c r="D7195" s="2889" t="s">
        <v>1054</v>
      </c>
      <c r="E7195" s="2889" t="s">
        <v>1420</v>
      </c>
      <c r="F7195" s="2890">
        <v>1.3780582172519438E-3</v>
      </c>
      <c r="G7195" s="2890">
        <v>3.4894153374824302</v>
      </c>
    </row>
    <row r="7196" spans="2:7" ht="15" hidden="1" outlineLevel="2">
      <c r="B7196" s="2889" t="s">
        <v>1646</v>
      </c>
      <c r="C7196" s="2889" t="s">
        <v>1499</v>
      </c>
      <c r="D7196" s="2889" t="s">
        <v>1054</v>
      </c>
      <c r="E7196" s="2889" t="s">
        <v>1420</v>
      </c>
      <c r="F7196" s="2890">
        <v>8.0585429639697329E-5</v>
      </c>
      <c r="G7196" s="2890">
        <v>0.20405229643734488</v>
      </c>
    </row>
    <row r="7197" spans="2:7" ht="15" hidden="1" outlineLevel="2">
      <c r="B7197" s="2889" t="s">
        <v>1647</v>
      </c>
      <c r="C7197" s="2889" t="s">
        <v>1499</v>
      </c>
      <c r="D7197" s="2889" t="s">
        <v>1054</v>
      </c>
      <c r="E7197" s="2889" t="s">
        <v>1420</v>
      </c>
      <c r="F7197" s="2890">
        <v>2.0115715894421227E-4</v>
      </c>
      <c r="G7197" s="2890">
        <v>0.50935495185648827</v>
      </c>
    </row>
    <row r="7198" spans="2:7" ht="15" hidden="1" outlineLevel="2">
      <c r="B7198" s="2889" t="s">
        <v>1648</v>
      </c>
      <c r="C7198" s="2889" t="s">
        <v>1499</v>
      </c>
      <c r="D7198" s="2889" t="s">
        <v>1054</v>
      </c>
      <c r="E7198" s="2889" t="s">
        <v>1420</v>
      </c>
      <c r="F7198" s="2890">
        <v>2.2552066001132985E-5</v>
      </c>
      <c r="G7198" s="2890">
        <v>5.710465302195035E-2</v>
      </c>
    </row>
    <row r="7199" spans="2:7" ht="15" hidden="1" outlineLevel="2">
      <c r="B7199" s="2889" t="s">
        <v>1649</v>
      </c>
      <c r="C7199" s="2889" t="s">
        <v>1499</v>
      </c>
      <c r="D7199" s="2889" t="s">
        <v>1054</v>
      </c>
      <c r="E7199" s="2889" t="s">
        <v>1420</v>
      </c>
      <c r="F7199" s="3039">
        <v>1.0697128766543203E-4</v>
      </c>
      <c r="G7199" s="2890">
        <v>0.27086460026297643</v>
      </c>
    </row>
    <row r="7200" spans="2:7" ht="15" hidden="1" outlineLevel="2">
      <c r="B7200" s="2889" t="s">
        <v>1650</v>
      </c>
      <c r="C7200" s="2889" t="s">
        <v>1499</v>
      </c>
      <c r="D7200" s="2889" t="s">
        <v>1054</v>
      </c>
      <c r="E7200" s="2889" t="s">
        <v>1420</v>
      </c>
      <c r="F7200" s="3039">
        <v>2.6727222534427757E-4</v>
      </c>
      <c r="G7200" s="2890">
        <v>0.67676683962131667</v>
      </c>
    </row>
    <row r="7201" spans="2:7" ht="15" hidden="1" outlineLevel="2">
      <c r="B7201" s="2889" t="s">
        <v>1651</v>
      </c>
      <c r="C7201" s="2889" t="s">
        <v>1499</v>
      </c>
      <c r="D7201" s="2889" t="s">
        <v>1054</v>
      </c>
      <c r="E7201" s="2889" t="s">
        <v>1420</v>
      </c>
      <c r="F7201" s="2890">
        <v>1.462325070447592E-4</v>
      </c>
      <c r="G7201" s="2890">
        <v>0.37027893154606556</v>
      </c>
    </row>
    <row r="7202" spans="2:7" ht="15" hidden="1" outlineLevel="2">
      <c r="B7202" s="2889" t="s">
        <v>1652</v>
      </c>
      <c r="C7202" s="2889" t="s">
        <v>1499</v>
      </c>
      <c r="D7202" s="2889" t="s">
        <v>1054</v>
      </c>
      <c r="E7202" s="2889" t="s">
        <v>1420</v>
      </c>
      <c r="F7202" s="2890">
        <v>1.7107484498610846E-4</v>
      </c>
      <c r="G7202" s="2890">
        <v>0.43318263392723899</v>
      </c>
    </row>
    <row r="7203" spans="2:7" ht="15" hidden="1" outlineLevel="2">
      <c r="B7203" s="2889" t="s">
        <v>1653</v>
      </c>
      <c r="C7203" s="2889" t="s">
        <v>1499</v>
      </c>
      <c r="D7203" s="2889" t="s">
        <v>1054</v>
      </c>
      <c r="E7203" s="2889" t="s">
        <v>1420</v>
      </c>
      <c r="F7203" s="2890">
        <v>6.8279870837335869E-38</v>
      </c>
      <c r="G7203" s="2890">
        <v>1.7289290835431349E-34</v>
      </c>
    </row>
    <row r="7204" spans="2:7" ht="15" hidden="1" outlineLevel="2">
      <c r="B7204" s="2889" t="s">
        <v>1407</v>
      </c>
      <c r="C7204" s="2889" t="s">
        <v>1500</v>
      </c>
      <c r="D7204" s="2889" t="s">
        <v>1054</v>
      </c>
      <c r="E7204" s="2889" t="s">
        <v>1420</v>
      </c>
      <c r="F7204" s="2890">
        <v>3.6404105112430103E-4</v>
      </c>
      <c r="G7204" s="2890">
        <v>1.3767187810923898</v>
      </c>
    </row>
    <row r="7205" spans="2:7" ht="15" hidden="1" outlineLevel="2">
      <c r="B7205" s="2889" t="s">
        <v>1631</v>
      </c>
      <c r="C7205" s="2889" t="s">
        <v>1500</v>
      </c>
      <c r="D7205" s="2889" t="s">
        <v>1054</v>
      </c>
      <c r="E7205" s="2889" t="s">
        <v>1420</v>
      </c>
      <c r="F7205" s="2890">
        <v>6.0412024094079501E-3</v>
      </c>
      <c r="G7205" s="2890">
        <v>22.846420749796103</v>
      </c>
    </row>
    <row r="7206" spans="2:7" ht="15" hidden="1" outlineLevel="2">
      <c r="B7206" s="2889" t="s">
        <v>1632</v>
      </c>
      <c r="C7206" s="2889" t="s">
        <v>1500</v>
      </c>
      <c r="D7206" s="2889" t="s">
        <v>1054</v>
      </c>
      <c r="E7206" s="2889" t="s">
        <v>1420</v>
      </c>
      <c r="F7206" s="2890">
        <v>1.3993331017006306E-2</v>
      </c>
      <c r="G7206" s="2890">
        <v>52.919499204101001</v>
      </c>
    </row>
    <row r="7207" spans="2:7" ht="15" hidden="1" outlineLevel="2">
      <c r="B7207" s="2889" t="s">
        <v>1633</v>
      </c>
      <c r="C7207" s="2889" t="s">
        <v>1500</v>
      </c>
      <c r="D7207" s="2889" t="s">
        <v>1054</v>
      </c>
      <c r="E7207" s="2889" t="s">
        <v>1420</v>
      </c>
      <c r="F7207" s="2890">
        <v>1.1355888048201503E-3</v>
      </c>
      <c r="G7207" s="2890">
        <v>4.2945296749417174</v>
      </c>
    </row>
    <row r="7208" spans="2:7" ht="15" hidden="1" outlineLevel="2">
      <c r="B7208" s="2889" t="s">
        <v>1634</v>
      </c>
      <c r="C7208" s="2889" t="s">
        <v>1500</v>
      </c>
      <c r="D7208" s="2889" t="s">
        <v>1054</v>
      </c>
      <c r="E7208" s="2889" t="s">
        <v>1420</v>
      </c>
      <c r="F7208" s="2890">
        <v>2.1047807196368826E-4</v>
      </c>
      <c r="G7208" s="2890">
        <v>0.79597937712849631</v>
      </c>
    </row>
    <row r="7209" spans="2:7" ht="15" hidden="1" outlineLevel="2">
      <c r="B7209" s="2889" t="s">
        <v>1635</v>
      </c>
      <c r="C7209" s="2889" t="s">
        <v>1500</v>
      </c>
      <c r="D7209" s="2889" t="s">
        <v>1054</v>
      </c>
      <c r="E7209" s="2889" t="s">
        <v>1420</v>
      </c>
      <c r="F7209" s="2890">
        <v>1.7753156980772492E-3</v>
      </c>
      <c r="G7209" s="2890">
        <v>6.7138275554230757</v>
      </c>
    </row>
    <row r="7210" spans="2:7" ht="15" hidden="1" outlineLevel="2">
      <c r="B7210" s="2889" t="s">
        <v>1636</v>
      </c>
      <c r="C7210" s="2889" t="s">
        <v>1500</v>
      </c>
      <c r="D7210" s="2889" t="s">
        <v>1054</v>
      </c>
      <c r="E7210" s="2889" t="s">
        <v>1420</v>
      </c>
      <c r="F7210" s="2890">
        <v>1.5584547704402592E-3</v>
      </c>
      <c r="G7210" s="2890">
        <v>5.8937138081063516</v>
      </c>
    </row>
    <row r="7211" spans="2:7" ht="15" hidden="1" outlineLevel="2">
      <c r="B7211" s="2889" t="s">
        <v>1637</v>
      </c>
      <c r="C7211" s="2889" t="s">
        <v>1500</v>
      </c>
      <c r="D7211" s="2889" t="s">
        <v>1054</v>
      </c>
      <c r="E7211" s="2889" t="s">
        <v>1420</v>
      </c>
      <c r="F7211" s="2890">
        <v>2.5882255354278214E-3</v>
      </c>
      <c r="G7211" s="2890">
        <v>9.7880655307719273</v>
      </c>
    </row>
    <row r="7212" spans="2:7" ht="15" hidden="1" outlineLevel="2">
      <c r="B7212" s="2889" t="s">
        <v>1638</v>
      </c>
      <c r="C7212" s="2889" t="s">
        <v>1500</v>
      </c>
      <c r="D7212" s="2889" t="s">
        <v>1054</v>
      </c>
      <c r="E7212" s="2889" t="s">
        <v>1420</v>
      </c>
      <c r="F7212" s="2890">
        <v>3.3784004127753256E-4</v>
      </c>
      <c r="G7212" s="2890">
        <v>1.2776323886423049</v>
      </c>
    </row>
    <row r="7213" spans="2:7" ht="15" hidden="1" outlineLevel="2">
      <c r="B7213" s="2889" t="s">
        <v>1639</v>
      </c>
      <c r="C7213" s="2889" t="s">
        <v>1500</v>
      </c>
      <c r="D7213" s="2889" t="s">
        <v>1054</v>
      </c>
      <c r="E7213" s="2889" t="s">
        <v>1420</v>
      </c>
      <c r="F7213" s="2890">
        <v>3.106110388361053E-3</v>
      </c>
      <c r="G7213" s="2890">
        <v>11.746587015665447</v>
      </c>
    </row>
    <row r="7214" spans="2:7" ht="15" hidden="1" outlineLevel="2">
      <c r="B7214" s="2889" t="s">
        <v>1640</v>
      </c>
      <c r="C7214" s="2889" t="s">
        <v>1500</v>
      </c>
      <c r="D7214" s="2889" t="s">
        <v>1054</v>
      </c>
      <c r="E7214" s="2889" t="s">
        <v>1420</v>
      </c>
      <c r="F7214" s="2890">
        <v>7.3027389725954979E-4</v>
      </c>
      <c r="G7214" s="2890">
        <v>2.7617234846437051</v>
      </c>
    </row>
    <row r="7215" spans="2:7" ht="15" hidden="1" outlineLevel="2">
      <c r="B7215" s="2889" t="s">
        <v>1641</v>
      </c>
      <c r="C7215" s="2889" t="s">
        <v>1500</v>
      </c>
      <c r="D7215" s="2889" t="s">
        <v>1054</v>
      </c>
      <c r="E7215" s="2889" t="s">
        <v>1420</v>
      </c>
      <c r="F7215" s="2890">
        <v>3.7407303370075124E-3</v>
      </c>
      <c r="G7215" s="2890">
        <v>14.146565452900001</v>
      </c>
    </row>
    <row r="7216" spans="2:7" ht="15" hidden="1" outlineLevel="2">
      <c r="B7216" s="2889" t="s">
        <v>1642</v>
      </c>
      <c r="C7216" s="2889" t="s">
        <v>1500</v>
      </c>
      <c r="D7216" s="2889" t="s">
        <v>1054</v>
      </c>
      <c r="E7216" s="2889" t="s">
        <v>1420</v>
      </c>
      <c r="F7216" s="3039">
        <v>2.6850381020046498E-3</v>
      </c>
      <c r="G7216" s="2890">
        <v>10.154186140490271</v>
      </c>
    </row>
    <row r="7217" spans="2:7" ht="15" hidden="1" outlineLevel="2">
      <c r="B7217" s="2889" t="s">
        <v>1643</v>
      </c>
      <c r="C7217" s="2889" t="s">
        <v>1500</v>
      </c>
      <c r="D7217" s="2889" t="s">
        <v>1054</v>
      </c>
      <c r="E7217" s="2889" t="s">
        <v>1420</v>
      </c>
      <c r="F7217" s="3039">
        <v>3.9697934003714741E-4</v>
      </c>
      <c r="G7217" s="2890">
        <v>1.5012830079229338</v>
      </c>
    </row>
    <row r="7218" spans="2:7" ht="15" hidden="1" outlineLevel="2">
      <c r="B7218" s="2889" t="s">
        <v>1644</v>
      </c>
      <c r="C7218" s="2889" t="s">
        <v>1500</v>
      </c>
      <c r="D7218" s="2889" t="s">
        <v>1054</v>
      </c>
      <c r="E7218" s="2889" t="s">
        <v>1420</v>
      </c>
      <c r="F7218" s="3039">
        <v>8.7401652128789222E-3</v>
      </c>
      <c r="G7218" s="2890">
        <v>33.053253711468102</v>
      </c>
    </row>
    <row r="7219" spans="2:7" ht="15" hidden="1" outlineLevel="2">
      <c r="B7219" s="2889" t="s">
        <v>1645</v>
      </c>
      <c r="C7219" s="2889" t="s">
        <v>1500</v>
      </c>
      <c r="D7219" s="2889" t="s">
        <v>1054</v>
      </c>
      <c r="E7219" s="2889" t="s">
        <v>1420</v>
      </c>
      <c r="F7219" s="3039">
        <v>9.9815440061412943E-3</v>
      </c>
      <c r="G7219" s="2890">
        <v>37.747868040945349</v>
      </c>
    </row>
    <row r="7220" spans="2:7" ht="15" hidden="1" outlineLevel="2">
      <c r="B7220" s="2889" t="s">
        <v>1646</v>
      </c>
      <c r="C7220" s="2889" t="s">
        <v>1500</v>
      </c>
      <c r="D7220" s="2889" t="s">
        <v>1054</v>
      </c>
      <c r="E7220" s="2889" t="s">
        <v>1420</v>
      </c>
      <c r="F7220" s="3039">
        <v>5.8369579392739319E-4</v>
      </c>
      <c r="G7220" s="2890">
        <v>2.2074004973738268</v>
      </c>
    </row>
    <row r="7221" spans="2:7" ht="15" hidden="1" outlineLevel="2">
      <c r="B7221" s="2889" t="s">
        <v>1647</v>
      </c>
      <c r="C7221" s="2889" t="s">
        <v>1500</v>
      </c>
      <c r="D7221" s="2889" t="s">
        <v>1054</v>
      </c>
      <c r="E7221" s="2889" t="s">
        <v>1420</v>
      </c>
      <c r="F7221" s="3039">
        <v>1.4570204596389416E-3</v>
      </c>
      <c r="G7221" s="2890">
        <v>5.5101098572289331</v>
      </c>
    </row>
    <row r="7222" spans="2:7" ht="15" hidden="1" outlineLevel="2">
      <c r="B7222" s="2889" t="s">
        <v>1648</v>
      </c>
      <c r="C7222" s="2889" t="s">
        <v>1500</v>
      </c>
      <c r="D7222" s="2889" t="s">
        <v>1054</v>
      </c>
      <c r="E7222" s="2889" t="s">
        <v>1420</v>
      </c>
      <c r="F7222" s="3039">
        <v>1.6334897825841179E-4</v>
      </c>
      <c r="G7222" s="2890">
        <v>0.61774738012124719</v>
      </c>
    </row>
    <row r="7223" spans="2:7" ht="15" hidden="1" outlineLevel="2">
      <c r="B7223" s="2889" t="s">
        <v>1649</v>
      </c>
      <c r="C7223" s="2889" t="s">
        <v>1500</v>
      </c>
      <c r="D7223" s="2889" t="s">
        <v>1054</v>
      </c>
      <c r="E7223" s="2889" t="s">
        <v>1420</v>
      </c>
      <c r="F7223" s="3039">
        <v>7.7481424533937075E-4</v>
      </c>
      <c r="G7223" s="2890">
        <v>2.9301650864013449</v>
      </c>
    </row>
    <row r="7224" spans="2:7" ht="15" hidden="1" outlineLevel="2">
      <c r="B7224" s="2889" t="s">
        <v>1650</v>
      </c>
      <c r="C7224" s="2889" t="s">
        <v>1500</v>
      </c>
      <c r="D7224" s="2889" t="s">
        <v>1054</v>
      </c>
      <c r="E7224" s="2889" t="s">
        <v>1420</v>
      </c>
      <c r="F7224" s="3039">
        <v>1.935905482471439E-3</v>
      </c>
      <c r="G7224" s="2890">
        <v>7.3211354359169372</v>
      </c>
    </row>
    <row r="7225" spans="2:7" ht="15" hidden="1" outlineLevel="2">
      <c r="B7225" s="2889" t="s">
        <v>1651</v>
      </c>
      <c r="C7225" s="2889" t="s">
        <v>1500</v>
      </c>
      <c r="D7225" s="2889" t="s">
        <v>1054</v>
      </c>
      <c r="E7225" s="2889" t="s">
        <v>1420</v>
      </c>
      <c r="F7225" s="3039">
        <v>1.0591903452740585E-3</v>
      </c>
      <c r="G7225" s="2890">
        <v>4.0056111393972351</v>
      </c>
    </row>
    <row r="7226" spans="2:7" ht="15" hidden="1" outlineLevel="2">
      <c r="B7226" s="2889" t="s">
        <v>1652</v>
      </c>
      <c r="C7226" s="2889" t="s">
        <v>1500</v>
      </c>
      <c r="D7226" s="2889" t="s">
        <v>1054</v>
      </c>
      <c r="E7226" s="2889" t="s">
        <v>1420</v>
      </c>
      <c r="F7226" s="2890">
        <v>1.2391286123747283E-3</v>
      </c>
      <c r="G7226" s="2890">
        <v>4.3985117104174858</v>
      </c>
    </row>
    <row r="7227" spans="2:7" ht="15" hidden="1" outlineLevel="2">
      <c r="B7227" s="2889" t="s">
        <v>1653</v>
      </c>
      <c r="C7227" s="2889" t="s">
        <v>1500</v>
      </c>
      <c r="D7227" s="2889" t="s">
        <v>1054</v>
      </c>
      <c r="E7227" s="2889" t="s">
        <v>1420</v>
      </c>
      <c r="F7227" s="2890">
        <v>3.4244957661155564E-35</v>
      </c>
      <c r="G7227" s="2890">
        <v>1.2469494268793718E-31</v>
      </c>
    </row>
    <row r="7228" spans="2:7" ht="15" hidden="1" outlineLevel="2">
      <c r="B7228" s="2889" t="s">
        <v>1407</v>
      </c>
      <c r="C7228" s="2889" t="s">
        <v>1501</v>
      </c>
      <c r="D7228" s="2889" t="s">
        <v>1054</v>
      </c>
      <c r="E7228" s="2889" t="s">
        <v>1420</v>
      </c>
      <c r="F7228" s="3039">
        <v>4.5658662558795338E-4</v>
      </c>
      <c r="G7228" s="2890">
        <v>3.3523799833484489</v>
      </c>
    </row>
    <row r="7229" spans="2:7" ht="15" hidden="1" outlineLevel="2">
      <c r="B7229" s="2889" t="s">
        <v>1631</v>
      </c>
      <c r="C7229" s="2889" t="s">
        <v>1501</v>
      </c>
      <c r="D7229" s="2889" t="s">
        <v>1054</v>
      </c>
      <c r="E7229" s="2889" t="s">
        <v>1420</v>
      </c>
      <c r="F7229" s="2890">
        <v>7.5769772877128973E-3</v>
      </c>
      <c r="G7229" s="2890">
        <v>55.632209370459151</v>
      </c>
    </row>
    <row r="7230" spans="2:7" ht="15" hidden="1" outlineLevel="2">
      <c r="B7230" s="2889" t="s">
        <v>1632</v>
      </c>
      <c r="C7230" s="2889" t="s">
        <v>1501</v>
      </c>
      <c r="D7230" s="2889" t="s">
        <v>1054</v>
      </c>
      <c r="E7230" s="2889" t="s">
        <v>1420</v>
      </c>
      <c r="F7230" s="2890">
        <v>1.7550667659350542E-2</v>
      </c>
      <c r="G7230" s="2890">
        <v>128.86175975732479</v>
      </c>
    </row>
    <row r="7231" spans="2:7" ht="15" hidden="1" outlineLevel="2">
      <c r="B7231" s="2889" t="s">
        <v>1633</v>
      </c>
      <c r="C7231" s="2889" t="s">
        <v>1501</v>
      </c>
      <c r="D7231" s="2889" t="s">
        <v>1054</v>
      </c>
      <c r="E7231" s="2889" t="s">
        <v>1420</v>
      </c>
      <c r="F7231" s="2890">
        <v>1.42427452557231E-3</v>
      </c>
      <c r="G7231" s="2890">
        <v>10.457401306292217</v>
      </c>
    </row>
    <row r="7232" spans="2:7" ht="15" hidden="1" outlineLevel="2">
      <c r="B7232" s="2889" t="s">
        <v>1634</v>
      </c>
      <c r="C7232" s="2889" t="s">
        <v>1501</v>
      </c>
      <c r="D7232" s="2889" t="s">
        <v>1054</v>
      </c>
      <c r="E7232" s="2889" t="s">
        <v>1420</v>
      </c>
      <c r="F7232" s="2890">
        <v>2.6398519366642957E-4</v>
      </c>
      <c r="G7232" s="2890">
        <v>1.9382490063988145</v>
      </c>
    </row>
    <row r="7233" spans="2:7" ht="15" hidden="1" outlineLevel="2">
      <c r="B7233" s="2889" t="s">
        <v>1635</v>
      </c>
      <c r="C7233" s="2889" t="s">
        <v>1501</v>
      </c>
      <c r="D7233" s="2889" t="s">
        <v>1054</v>
      </c>
      <c r="E7233" s="2889" t="s">
        <v>1420</v>
      </c>
      <c r="F7233" s="2890">
        <v>2.2266302933148115E-3</v>
      </c>
      <c r="G7233" s="2890">
        <v>16.348522726070037</v>
      </c>
    </row>
    <row r="7234" spans="2:7" ht="15" hidden="1" outlineLevel="2">
      <c r="B7234" s="2889" t="s">
        <v>1636</v>
      </c>
      <c r="C7234" s="2889" t="s">
        <v>1501</v>
      </c>
      <c r="D7234" s="2889" t="s">
        <v>1054</v>
      </c>
      <c r="E7234" s="2889" t="s">
        <v>1420</v>
      </c>
      <c r="F7234" s="2890">
        <v>1.9546397217534875E-3</v>
      </c>
      <c r="G7234" s="2890">
        <v>14.351503685548487</v>
      </c>
    </row>
    <row r="7235" spans="2:7" ht="15" hidden="1" outlineLevel="2">
      <c r="B7235" s="2889" t="s">
        <v>1637</v>
      </c>
      <c r="C7235" s="2889" t="s">
        <v>1501</v>
      </c>
      <c r="D7235" s="2889" t="s">
        <v>1054</v>
      </c>
      <c r="E7235" s="2889" t="s">
        <v>1420</v>
      </c>
      <c r="F7235" s="2890">
        <v>3.2461958749929595E-3</v>
      </c>
      <c r="G7235" s="2890">
        <v>23.834447922980527</v>
      </c>
    </row>
    <row r="7236" spans="2:7" ht="15" hidden="1" outlineLevel="2">
      <c r="B7236" s="2889" t="s">
        <v>1638</v>
      </c>
      <c r="C7236" s="2889" t="s">
        <v>1501</v>
      </c>
      <c r="D7236" s="2889" t="s">
        <v>1054</v>
      </c>
      <c r="E7236" s="2889" t="s">
        <v>1420</v>
      </c>
      <c r="F7236" s="2890">
        <v>4.2372463146505911E-4</v>
      </c>
      <c r="G7236" s="2890">
        <v>3.111100461850655</v>
      </c>
    </row>
    <row r="7237" spans="2:7" ht="15" hidden="1" outlineLevel="2">
      <c r="B7237" s="2889" t="s">
        <v>1639</v>
      </c>
      <c r="C7237" s="2889" t="s">
        <v>1501</v>
      </c>
      <c r="D7237" s="2889" t="s">
        <v>1054</v>
      </c>
      <c r="E7237" s="2889" t="s">
        <v>1420</v>
      </c>
      <c r="F7237" s="2890">
        <v>3.8957360662861765E-3</v>
      </c>
      <c r="G7237" s="2890">
        <v>28.603542226911873</v>
      </c>
    </row>
    <row r="7238" spans="2:7" ht="15" hidden="1" outlineLevel="2">
      <c r="B7238" s="2889" t="s">
        <v>1640</v>
      </c>
      <c r="C7238" s="2889" t="s">
        <v>1501</v>
      </c>
      <c r="D7238" s="2889" t="s">
        <v>1054</v>
      </c>
      <c r="E7238" s="2889" t="s">
        <v>1420</v>
      </c>
      <c r="F7238" s="2890">
        <v>9.1592141229117493E-4</v>
      </c>
      <c r="G7238" s="2890">
        <v>6.7249405773358175</v>
      </c>
    </row>
    <row r="7239" spans="2:7" ht="15" hidden="1" outlineLevel="2">
      <c r="B7239" s="2889" t="s">
        <v>1641</v>
      </c>
      <c r="C7239" s="2889" t="s">
        <v>1501</v>
      </c>
      <c r="D7239" s="2889" t="s">
        <v>1054</v>
      </c>
      <c r="E7239" s="2889" t="s">
        <v>1420</v>
      </c>
      <c r="F7239" s="2890">
        <v>4.6916856699225134E-3</v>
      </c>
      <c r="G7239" s="2890">
        <v>34.447614323168551</v>
      </c>
    </row>
    <row r="7240" spans="2:7" ht="15" hidden="1" outlineLevel="2">
      <c r="B7240" s="2889" t="s">
        <v>1642</v>
      </c>
      <c r="C7240" s="2889" t="s">
        <v>1501</v>
      </c>
      <c r="D7240" s="2889" t="s">
        <v>1054</v>
      </c>
      <c r="E7240" s="2889" t="s">
        <v>1420</v>
      </c>
      <c r="F7240" s="2890">
        <v>3.3676192295026049E-3</v>
      </c>
      <c r="G7240" s="2890">
        <v>24.725970665304938</v>
      </c>
    </row>
    <row r="7241" spans="2:7" ht="15" hidden="1" outlineLevel="2">
      <c r="B7241" s="2889" t="s">
        <v>1643</v>
      </c>
      <c r="C7241" s="2889" t="s">
        <v>1501</v>
      </c>
      <c r="D7241" s="2889" t="s">
        <v>1054</v>
      </c>
      <c r="E7241" s="2889" t="s">
        <v>1420</v>
      </c>
      <c r="F7241" s="2890">
        <v>4.9789813030910637E-4</v>
      </c>
      <c r="G7241" s="2890">
        <v>3.6557021231478997</v>
      </c>
    </row>
    <row r="7242" spans="2:7" ht="15" hidden="1" outlineLevel="2">
      <c r="B7242" s="2889" t="s">
        <v>1644</v>
      </c>
      <c r="C7242" s="2889" t="s">
        <v>1501</v>
      </c>
      <c r="D7242" s="2889" t="s">
        <v>1054</v>
      </c>
      <c r="E7242" s="2889" t="s">
        <v>1420</v>
      </c>
      <c r="F7242" s="2890">
        <v>1.0962060272839259E-2</v>
      </c>
      <c r="G7242" s="2890">
        <v>80.486413875279922</v>
      </c>
    </row>
    <row r="7243" spans="2:7" ht="15" hidden="1" outlineLevel="2">
      <c r="B7243" s="2889" t="s">
        <v>1645</v>
      </c>
      <c r="C7243" s="2889" t="s">
        <v>1501</v>
      </c>
      <c r="D7243" s="2889" t="s">
        <v>1054</v>
      </c>
      <c r="E7243" s="2889" t="s">
        <v>1420</v>
      </c>
      <c r="F7243" s="2890">
        <v>1.25190193133778E-2</v>
      </c>
      <c r="G7243" s="2890">
        <v>91.917947081502746</v>
      </c>
    </row>
    <row r="7244" spans="2:7" ht="15" hidden="1" outlineLevel="2">
      <c r="B7244" s="2889" t="s">
        <v>1646</v>
      </c>
      <c r="C7244" s="2889" t="s">
        <v>1501</v>
      </c>
      <c r="D7244" s="2889" t="s">
        <v>1054</v>
      </c>
      <c r="E7244" s="2889" t="s">
        <v>1420</v>
      </c>
      <c r="F7244" s="2890">
        <v>7.3208080467443968E-4</v>
      </c>
      <c r="G7244" s="2890">
        <v>5.3751369460617378</v>
      </c>
    </row>
    <row r="7245" spans="2:7" ht="15" hidden="1" outlineLevel="2">
      <c r="B7245" s="2889" t="s">
        <v>1647</v>
      </c>
      <c r="C7245" s="2889" t="s">
        <v>1501</v>
      </c>
      <c r="D7245" s="2889" t="s">
        <v>1054</v>
      </c>
      <c r="E7245" s="2889" t="s">
        <v>1420</v>
      </c>
      <c r="F7245" s="2890">
        <v>1.82741995925798E-3</v>
      </c>
      <c r="G7245" s="2890">
        <v>13.417398739980204</v>
      </c>
    </row>
    <row r="7246" spans="2:7" ht="15" hidden="1" outlineLevel="2">
      <c r="B7246" s="2889" t="s">
        <v>1648</v>
      </c>
      <c r="C7246" s="2889" t="s">
        <v>1501</v>
      </c>
      <c r="D7246" s="2889" t="s">
        <v>1054</v>
      </c>
      <c r="E7246" s="2889" t="s">
        <v>1420</v>
      </c>
      <c r="F7246" s="2890">
        <v>2.0487516742625676E-4</v>
      </c>
      <c r="G7246" s="2890">
        <v>1.5042479826206698</v>
      </c>
    </row>
    <row r="7247" spans="2:7" ht="15" hidden="1" outlineLevel="2">
      <c r="B7247" s="2889" t="s">
        <v>1649</v>
      </c>
      <c r="C7247" s="2889" t="s">
        <v>1501</v>
      </c>
      <c r="D7247" s="2889" t="s">
        <v>1054</v>
      </c>
      <c r="E7247" s="2889" t="s">
        <v>1420</v>
      </c>
      <c r="F7247" s="2890">
        <v>9.7178477804968279E-4</v>
      </c>
      <c r="G7247" s="2890">
        <v>7.1351043069035081</v>
      </c>
    </row>
    <row r="7248" spans="2:7" ht="15" hidden="1" outlineLevel="2">
      <c r="B7248" s="2889" t="s">
        <v>1650</v>
      </c>
      <c r="C7248" s="2889" t="s">
        <v>1501</v>
      </c>
      <c r="D7248" s="2889" t="s">
        <v>1054</v>
      </c>
      <c r="E7248" s="2889" t="s">
        <v>1420</v>
      </c>
      <c r="F7248" s="2890">
        <v>2.4280452171224483E-3</v>
      </c>
      <c r="G7248" s="2890">
        <v>17.827356479308854</v>
      </c>
    </row>
    <row r="7249" spans="2:7" ht="15" hidden="1" outlineLevel="2">
      <c r="B7249" s="2889" t="s">
        <v>1651</v>
      </c>
      <c r="C7249" s="2889" t="s">
        <v>1501</v>
      </c>
      <c r="D7249" s="2889" t="s">
        <v>1054</v>
      </c>
      <c r="E7249" s="2889" t="s">
        <v>1420</v>
      </c>
      <c r="F7249" s="3039">
        <v>1.3284539190730003E-3</v>
      </c>
      <c r="G7249" s="2890">
        <v>9.7538638907069615</v>
      </c>
    </row>
    <row r="7250" spans="2:7" ht="15" hidden="1" outlineLevel="2">
      <c r="B7250" s="2889" t="s">
        <v>1652</v>
      </c>
      <c r="C7250" s="2889" t="s">
        <v>1501</v>
      </c>
      <c r="D7250" s="2889" t="s">
        <v>1054</v>
      </c>
      <c r="E7250" s="2889" t="s">
        <v>1420</v>
      </c>
      <c r="F7250" s="3039">
        <v>1.4587596367087524E-3</v>
      </c>
      <c r="G7250" s="2890">
        <v>10.710602175802613</v>
      </c>
    </row>
    <row r="7251" spans="2:7" ht="15" hidden="1" outlineLevel="2">
      <c r="B7251" s="2889" t="s">
        <v>1653</v>
      </c>
      <c r="C7251" s="2889" t="s">
        <v>1501</v>
      </c>
      <c r="D7251" s="2889" t="s">
        <v>1054</v>
      </c>
      <c r="E7251" s="2889" t="s">
        <v>1420</v>
      </c>
      <c r="F7251" s="3039">
        <v>2.9678452413219394E-36</v>
      </c>
      <c r="G7251" s="2890">
        <v>5.3996220933115452E-32</v>
      </c>
    </row>
    <row r="7252" spans="2:7" ht="15" hidden="1" outlineLevel="2">
      <c r="B7252" s="2889" t="s">
        <v>1407</v>
      </c>
      <c r="C7252" s="2889" t="s">
        <v>1502</v>
      </c>
      <c r="D7252" s="2889" t="s">
        <v>1054</v>
      </c>
      <c r="E7252" s="2889" t="s">
        <v>1420</v>
      </c>
      <c r="F7252" s="3039">
        <v>3.1858397912640682E-5</v>
      </c>
      <c r="G7252" s="2890">
        <v>0.35019436064044152</v>
      </c>
    </row>
    <row r="7253" spans="2:7" ht="15" hidden="1" outlineLevel="2">
      <c r="B7253" s="2889" t="s">
        <v>1631</v>
      </c>
      <c r="C7253" s="2889" t="s">
        <v>1502</v>
      </c>
      <c r="D7253" s="2889" t="s">
        <v>1054</v>
      </c>
      <c r="E7253" s="2889" t="s">
        <v>1420</v>
      </c>
      <c r="F7253" s="3039">
        <v>5.2868502714368756E-4</v>
      </c>
      <c r="G7253" s="2890">
        <v>5.8114202908787949</v>
      </c>
    </row>
    <row r="7254" spans="2:7" ht="15" hidden="1" outlineLevel="2">
      <c r="B7254" s="2889" t="s">
        <v>1632</v>
      </c>
      <c r="C7254" s="2889" t="s">
        <v>1502</v>
      </c>
      <c r="D7254" s="2889" t="s">
        <v>1054</v>
      </c>
      <c r="E7254" s="2889" t="s">
        <v>1420</v>
      </c>
      <c r="F7254" s="3039">
        <v>1.2246009446005386E-3</v>
      </c>
      <c r="G7254" s="2890">
        <v>13.461075001237262</v>
      </c>
    </row>
    <row r="7255" spans="2:7" ht="15" hidden="1" outlineLevel="2">
      <c r="B7255" s="2889" t="s">
        <v>1633</v>
      </c>
      <c r="C7255" s="2889" t="s">
        <v>1502</v>
      </c>
      <c r="D7255" s="2889" t="s">
        <v>1054</v>
      </c>
      <c r="E7255" s="2889" t="s">
        <v>1420</v>
      </c>
      <c r="F7255" s="2890">
        <v>9.9378969178009504E-5</v>
      </c>
      <c r="G7255" s="2890">
        <v>1.0923949375813187</v>
      </c>
    </row>
    <row r="7256" spans="2:7" ht="15" hidden="1" outlineLevel="2">
      <c r="B7256" s="2889" t="s">
        <v>1634</v>
      </c>
      <c r="C7256" s="2889" t="s">
        <v>1502</v>
      </c>
      <c r="D7256" s="2889" t="s">
        <v>1054</v>
      </c>
      <c r="E7256" s="2889" t="s">
        <v>1420</v>
      </c>
      <c r="F7256" s="2890">
        <v>1.8419613563257453E-5</v>
      </c>
      <c r="G7256" s="2890">
        <v>0.20247225907005181</v>
      </c>
    </row>
    <row r="7257" spans="2:7" ht="15" hidden="1" outlineLevel="2">
      <c r="B7257" s="2889" t="s">
        <v>1635</v>
      </c>
      <c r="C7257" s="2889" t="s">
        <v>1502</v>
      </c>
      <c r="D7257" s="2889" t="s">
        <v>1054</v>
      </c>
      <c r="E7257" s="2889" t="s">
        <v>1420</v>
      </c>
      <c r="F7257" s="2890">
        <v>1.5536360707432535E-4</v>
      </c>
      <c r="G7257" s="2890">
        <v>1.7077889604604892</v>
      </c>
    </row>
    <row r="7258" spans="2:7" ht="15" hidden="1" outlineLevel="2">
      <c r="B7258" s="2889" t="s">
        <v>1636</v>
      </c>
      <c r="C7258" s="2889" t="s">
        <v>1502</v>
      </c>
      <c r="D7258" s="2889" t="s">
        <v>1054</v>
      </c>
      <c r="E7258" s="2889" t="s">
        <v>1420</v>
      </c>
      <c r="F7258" s="2890">
        <v>1.3638538311997505E-4</v>
      </c>
      <c r="G7258" s="2890">
        <v>1.4991777156190711</v>
      </c>
    </row>
    <row r="7259" spans="2:7" ht="15" hidden="1" outlineLevel="2">
      <c r="B7259" s="2889" t="s">
        <v>1637</v>
      </c>
      <c r="C7259" s="2889" t="s">
        <v>1502</v>
      </c>
      <c r="D7259" s="2889" t="s">
        <v>1054</v>
      </c>
      <c r="E7259" s="2889" t="s">
        <v>1420</v>
      </c>
      <c r="F7259" s="2890">
        <v>2.2650394227638056E-4</v>
      </c>
      <c r="G7259" s="2890">
        <v>2.489780213601521</v>
      </c>
    </row>
    <row r="7260" spans="2:7" ht="15" hidden="1" outlineLevel="2">
      <c r="B7260" s="2889" t="s">
        <v>1638</v>
      </c>
      <c r="C7260" s="2889" t="s">
        <v>1502</v>
      </c>
      <c r="D7260" s="2889" t="s">
        <v>1054</v>
      </c>
      <c r="E7260" s="2889" t="s">
        <v>1420</v>
      </c>
      <c r="F7260" s="2890">
        <v>2.9565467424393095E-5</v>
      </c>
      <c r="G7260" s="2890">
        <v>0.32498986067897845</v>
      </c>
    </row>
    <row r="7261" spans="2:7" ht="15" hidden="1" outlineLevel="2">
      <c r="B7261" s="2889" t="s">
        <v>1639</v>
      </c>
      <c r="C7261" s="2889" t="s">
        <v>1502</v>
      </c>
      <c r="D7261" s="2889" t="s">
        <v>1054</v>
      </c>
      <c r="E7261" s="2889" t="s">
        <v>1420</v>
      </c>
      <c r="F7261" s="2890">
        <v>2.7182573988675305E-4</v>
      </c>
      <c r="G7261" s="2890">
        <v>2.9879665168966354</v>
      </c>
    </row>
    <row r="7262" spans="2:7" ht="15" hidden="1" outlineLevel="2">
      <c r="B7262" s="2889" t="s">
        <v>1640</v>
      </c>
      <c r="C7262" s="2889" t="s">
        <v>1502</v>
      </c>
      <c r="D7262" s="2889" t="s">
        <v>1054</v>
      </c>
      <c r="E7262" s="2889" t="s">
        <v>1420</v>
      </c>
      <c r="F7262" s="2890">
        <v>6.3908601644696789E-5</v>
      </c>
      <c r="G7262" s="2890">
        <v>0.70249692597257596</v>
      </c>
    </row>
    <row r="7263" spans="2:7" ht="15" hidden="1" outlineLevel="2">
      <c r="B7263" s="2889" t="s">
        <v>1641</v>
      </c>
      <c r="C7263" s="2889" t="s">
        <v>1502</v>
      </c>
      <c r="D7263" s="2889" t="s">
        <v>1054</v>
      </c>
      <c r="E7263" s="2889" t="s">
        <v>1420</v>
      </c>
      <c r="F7263" s="2890">
        <v>3.2736315883036997E-4</v>
      </c>
      <c r="G7263" s="2890">
        <v>3.5984452966113158</v>
      </c>
    </row>
    <row r="7264" spans="2:7" ht="15" hidden="1" outlineLevel="2">
      <c r="B7264" s="2889" t="s">
        <v>1642</v>
      </c>
      <c r="C7264" s="2889" t="s">
        <v>1502</v>
      </c>
      <c r="D7264" s="2889" t="s">
        <v>1054</v>
      </c>
      <c r="E7264" s="2889" t="s">
        <v>1420</v>
      </c>
      <c r="F7264" s="2890">
        <v>2.3497622658381412E-4</v>
      </c>
      <c r="G7264" s="2890">
        <v>2.5829094474643943</v>
      </c>
    </row>
    <row r="7265" spans="2:7" ht="15" hidden="1" outlineLevel="2">
      <c r="B7265" s="2889" t="s">
        <v>1643</v>
      </c>
      <c r="C7265" s="2889" t="s">
        <v>1502</v>
      </c>
      <c r="D7265" s="2889" t="s">
        <v>1054</v>
      </c>
      <c r="E7265" s="2889" t="s">
        <v>1420</v>
      </c>
      <c r="F7265" s="2890">
        <v>3.4740957858142842E-5</v>
      </c>
      <c r="G7265" s="2890">
        <v>0.38187981544007316</v>
      </c>
    </row>
    <row r="7266" spans="2:7" ht="15" hidden="1" outlineLevel="2">
      <c r="B7266" s="2889" t="s">
        <v>1644</v>
      </c>
      <c r="C7266" s="2889" t="s">
        <v>1502</v>
      </c>
      <c r="D7266" s="2889" t="s">
        <v>1054</v>
      </c>
      <c r="E7266" s="2889" t="s">
        <v>1420</v>
      </c>
      <c r="F7266" s="2890">
        <v>7.6487970531827969E-4</v>
      </c>
      <c r="G7266" s="2890">
        <v>8.4077184017403539</v>
      </c>
    </row>
    <row r="7267" spans="2:7" ht="15" hidden="1" outlineLevel="2">
      <c r="B7267" s="2889" t="s">
        <v>1645</v>
      </c>
      <c r="C7267" s="2889" t="s">
        <v>1502</v>
      </c>
      <c r="D7267" s="2889" t="s">
        <v>1054</v>
      </c>
      <c r="E7267" s="2889" t="s">
        <v>1420</v>
      </c>
      <c r="F7267" s="2890">
        <v>8.7351680582700936E-4</v>
      </c>
      <c r="G7267" s="2890">
        <v>9.6018810944133115</v>
      </c>
    </row>
    <row r="7268" spans="2:7" ht="15" hidden="1" outlineLevel="2">
      <c r="B7268" s="2889" t="s">
        <v>1646</v>
      </c>
      <c r="C7268" s="2889" t="s">
        <v>1502</v>
      </c>
      <c r="D7268" s="2889" t="s">
        <v>1054</v>
      </c>
      <c r="E7268" s="2889" t="s">
        <v>1420</v>
      </c>
      <c r="F7268" s="2890">
        <v>5.1081081904668311E-5</v>
      </c>
      <c r="G7268" s="2890">
        <v>0.56149434600610026</v>
      </c>
    </row>
    <row r="7269" spans="2:7" ht="15" hidden="1" outlineLevel="2">
      <c r="B7269" s="2889" t="s">
        <v>1647</v>
      </c>
      <c r="C7269" s="2889" t="s">
        <v>1502</v>
      </c>
      <c r="D7269" s="2889" t="s">
        <v>1054</v>
      </c>
      <c r="E7269" s="2889" t="s">
        <v>1420</v>
      </c>
      <c r="F7269" s="2890">
        <v>1.2750850668305036E-4</v>
      </c>
      <c r="G7269" s="2890">
        <v>1.4016000847357786</v>
      </c>
    </row>
    <row r="7270" spans="2:7" ht="15" hidden="1" outlineLevel="2">
      <c r="B7270" s="2889" t="s">
        <v>1648</v>
      </c>
      <c r="C7270" s="2889" t="s">
        <v>1502</v>
      </c>
      <c r="D7270" s="2889" t="s">
        <v>1054</v>
      </c>
      <c r="E7270" s="2889" t="s">
        <v>1420</v>
      </c>
      <c r="F7270" s="2890">
        <v>1.4295194322069257E-5</v>
      </c>
      <c r="G7270" s="2890">
        <v>0.15713582052495223</v>
      </c>
    </row>
    <row r="7271" spans="2:7" ht="15" hidden="1" outlineLevel="2">
      <c r="B7271" s="2889" t="s">
        <v>1649</v>
      </c>
      <c r="C7271" s="2889" t="s">
        <v>1502</v>
      </c>
      <c r="D7271" s="2889" t="s">
        <v>1054</v>
      </c>
      <c r="E7271" s="2889" t="s">
        <v>1420</v>
      </c>
      <c r="F7271" s="2890">
        <v>6.7806459282625421E-5</v>
      </c>
      <c r="G7271" s="2890">
        <v>0.74534304171379406</v>
      </c>
    </row>
    <row r="7272" spans="2:7" ht="15" hidden="1" outlineLevel="2">
      <c r="B7272" s="2889" t="s">
        <v>1650</v>
      </c>
      <c r="C7272" s="2889" t="s">
        <v>1502</v>
      </c>
      <c r="D7272" s="2889" t="s">
        <v>1054</v>
      </c>
      <c r="E7272" s="2889" t="s">
        <v>1420</v>
      </c>
      <c r="F7272" s="2890">
        <v>1.6941724517277005E-4</v>
      </c>
      <c r="G7272" s="2890">
        <v>1.8622701917411764</v>
      </c>
    </row>
    <row r="7273" spans="2:7" ht="15" hidden="1" outlineLevel="2">
      <c r="B7273" s="2889" t="s">
        <v>1651</v>
      </c>
      <c r="C7273" s="2889" t="s">
        <v>1502</v>
      </c>
      <c r="D7273" s="2889" t="s">
        <v>1054</v>
      </c>
      <c r="E7273" s="2889" t="s">
        <v>1420</v>
      </c>
      <c r="F7273" s="2890">
        <v>9.2693154642369373E-5</v>
      </c>
      <c r="G7273" s="2890">
        <v>1.0189024248582901</v>
      </c>
    </row>
    <row r="7274" spans="2:7" ht="15" hidden="1" outlineLevel="2">
      <c r="B7274" s="2889" t="s">
        <v>1652</v>
      </c>
      <c r="C7274" s="2889" t="s">
        <v>1502</v>
      </c>
      <c r="D7274" s="2889" t="s">
        <v>1054</v>
      </c>
      <c r="E7274" s="2889" t="s">
        <v>1420</v>
      </c>
      <c r="F7274" s="2890">
        <v>1.017852299817551E-4</v>
      </c>
      <c r="G7274" s="2890">
        <v>1.1188445865047394</v>
      </c>
    </row>
    <row r="7275" spans="2:7" ht="15" hidden="1" outlineLevel="2">
      <c r="B7275" s="2889" t="s">
        <v>1653</v>
      </c>
      <c r="C7275" s="2889" t="s">
        <v>1502</v>
      </c>
      <c r="D7275" s="2889" t="s">
        <v>1054</v>
      </c>
      <c r="E7275" s="2889" t="s">
        <v>1420</v>
      </c>
      <c r="F7275" s="2890">
        <v>6.1973739076226069E-36</v>
      </c>
      <c r="G7275" s="2890">
        <v>6.5262886993729976E-32</v>
      </c>
    </row>
    <row r="7276" spans="2:7" ht="15" hidden="1" outlineLevel="2">
      <c r="B7276" s="2889" t="s">
        <v>1407</v>
      </c>
      <c r="C7276" s="2889" t="s">
        <v>1503</v>
      </c>
      <c r="D7276" s="2889" t="s">
        <v>1054</v>
      </c>
      <c r="E7276" s="2889" t="s">
        <v>1420</v>
      </c>
      <c r="F7276" s="2890">
        <v>1.0506606430807563E-3</v>
      </c>
      <c r="G7276" s="2890">
        <v>2.9008818485955983</v>
      </c>
    </row>
    <row r="7277" spans="2:7" ht="15" hidden="1" outlineLevel="2">
      <c r="B7277" s="2889" t="s">
        <v>1631</v>
      </c>
      <c r="C7277" s="2889" t="s">
        <v>1503</v>
      </c>
      <c r="D7277" s="2889" t="s">
        <v>1054</v>
      </c>
      <c r="E7277" s="2889" t="s">
        <v>1420</v>
      </c>
      <c r="F7277" s="2890">
        <v>1.7435543102257797E-2</v>
      </c>
      <c r="G7277" s="2890">
        <v>48.139681210220779</v>
      </c>
    </row>
    <row r="7278" spans="2:7" ht="15" hidden="1" outlineLevel="2">
      <c r="B7278" s="2889" t="s">
        <v>1632</v>
      </c>
      <c r="C7278" s="2889" t="s">
        <v>1503</v>
      </c>
      <c r="D7278" s="2889" t="s">
        <v>1054</v>
      </c>
      <c r="E7278" s="2889" t="s">
        <v>1420</v>
      </c>
      <c r="F7278" s="2890">
        <v>4.0386219545652649E-2</v>
      </c>
      <c r="G7278" s="2890">
        <v>111.50667410764954</v>
      </c>
    </row>
    <row r="7279" spans="2:7" ht="15" hidden="1" outlineLevel="2">
      <c r="B7279" s="2889" t="s">
        <v>1633</v>
      </c>
      <c r="C7279" s="2889" t="s">
        <v>1503</v>
      </c>
      <c r="D7279" s="2889" t="s">
        <v>1054</v>
      </c>
      <c r="E7279" s="2889" t="s">
        <v>1420</v>
      </c>
      <c r="F7279" s="2890">
        <v>3.2774270429408738E-3</v>
      </c>
      <c r="G7279" s="2890">
        <v>9.0490032501563018</v>
      </c>
    </row>
    <row r="7280" spans="2:7" ht="15" hidden="1" outlineLevel="2">
      <c r="B7280" s="2889" t="s">
        <v>1634</v>
      </c>
      <c r="C7280" s="2889" t="s">
        <v>1503</v>
      </c>
      <c r="D7280" s="2889" t="s">
        <v>1054</v>
      </c>
      <c r="E7280" s="2889" t="s">
        <v>1420</v>
      </c>
      <c r="F7280" s="2890">
        <v>6.0746175875626258E-4</v>
      </c>
      <c r="G7280" s="2890">
        <v>1.6772065555300562</v>
      </c>
    </row>
    <row r="7281" spans="2:7" ht="15" hidden="1" outlineLevel="2">
      <c r="B7281" s="2889" t="s">
        <v>1635</v>
      </c>
      <c r="C7281" s="2889" t="s">
        <v>1503</v>
      </c>
      <c r="D7281" s="2889" t="s">
        <v>1054</v>
      </c>
      <c r="E7281" s="2889" t="s">
        <v>1420</v>
      </c>
      <c r="F7281" s="2890">
        <v>5.1237465869072886E-3</v>
      </c>
      <c r="G7281" s="2890">
        <v>14.146704860029178</v>
      </c>
    </row>
    <row r="7282" spans="2:7" ht="15" hidden="1" outlineLevel="2">
      <c r="B7282" s="2889" t="s">
        <v>1636</v>
      </c>
      <c r="C7282" s="2889" t="s">
        <v>1503</v>
      </c>
      <c r="D7282" s="2889" t="s">
        <v>1054</v>
      </c>
      <c r="E7282" s="2889" t="s">
        <v>1420</v>
      </c>
      <c r="F7282" s="2890">
        <v>4.4978654958864623E-3</v>
      </c>
      <c r="G7282" s="2890">
        <v>12.418642371629225</v>
      </c>
    </row>
    <row r="7283" spans="2:7" ht="15" hidden="1" outlineLevel="2">
      <c r="B7283" s="2889" t="s">
        <v>1637</v>
      </c>
      <c r="C7283" s="2889" t="s">
        <v>1503</v>
      </c>
      <c r="D7283" s="2889" t="s">
        <v>1054</v>
      </c>
      <c r="E7283" s="2889" t="s">
        <v>1420</v>
      </c>
      <c r="F7283" s="2890">
        <v>7.4698920924879024E-3</v>
      </c>
      <c r="G7283" s="2890">
        <v>20.62442563688138</v>
      </c>
    </row>
    <row r="7284" spans="2:7" ht="15" hidden="1" outlineLevel="2">
      <c r="B7284" s="2889" t="s">
        <v>1638</v>
      </c>
      <c r="C7284" s="2889" t="s">
        <v>1503</v>
      </c>
      <c r="D7284" s="2889" t="s">
        <v>1054</v>
      </c>
      <c r="E7284" s="2889" t="s">
        <v>1420</v>
      </c>
      <c r="F7284" s="2890">
        <v>9.7504183512891194E-4</v>
      </c>
      <c r="G7284" s="2890">
        <v>2.6920984114286202</v>
      </c>
    </row>
    <row r="7285" spans="2:7" ht="15" hidden="1" outlineLevel="2">
      <c r="B7285" s="2889" t="s">
        <v>1639</v>
      </c>
      <c r="C7285" s="2889" t="s">
        <v>1503</v>
      </c>
      <c r="D7285" s="2889" t="s">
        <v>1054</v>
      </c>
      <c r="E7285" s="2889" t="s">
        <v>1420</v>
      </c>
      <c r="F7285" s="2890">
        <v>8.9645614501096867E-3</v>
      </c>
      <c r="G7285" s="2890">
        <v>24.751223381194901</v>
      </c>
    </row>
    <row r="7286" spans="2:7" ht="15" hidden="1" outlineLevel="2">
      <c r="B7286" s="2889" t="s">
        <v>1640</v>
      </c>
      <c r="C7286" s="2889" t="s">
        <v>1503</v>
      </c>
      <c r="D7286" s="2889" t="s">
        <v>1054</v>
      </c>
      <c r="E7286" s="2889" t="s">
        <v>1420</v>
      </c>
      <c r="F7286" s="2890">
        <v>2.1076457417873347E-3</v>
      </c>
      <c r="G7286" s="2890">
        <v>5.8192276201211088</v>
      </c>
    </row>
    <row r="7287" spans="2:7" ht="15" hidden="1" outlineLevel="2">
      <c r="B7287" s="2889" t="s">
        <v>1641</v>
      </c>
      <c r="C7287" s="2889" t="s">
        <v>1503</v>
      </c>
      <c r="D7287" s="2889" t="s">
        <v>1054</v>
      </c>
      <c r="E7287" s="2889" t="s">
        <v>1420</v>
      </c>
      <c r="F7287" s="2890">
        <v>1.0796137447477575E-2</v>
      </c>
      <c r="G7287" s="2890">
        <v>29.808220795102628</v>
      </c>
    </row>
    <row r="7288" spans="2:7" ht="15" hidden="1" outlineLevel="2">
      <c r="B7288" s="2889" t="s">
        <v>1642</v>
      </c>
      <c r="C7288" s="2889" t="s">
        <v>1503</v>
      </c>
      <c r="D7288" s="2889" t="s">
        <v>1054</v>
      </c>
      <c r="E7288" s="2889" t="s">
        <v>1420</v>
      </c>
      <c r="F7288" s="2890">
        <v>7.7493027594397173E-3</v>
      </c>
      <c r="G7288" s="2890">
        <v>21.39588338591885</v>
      </c>
    </row>
    <row r="7289" spans="2:7" ht="15" hidden="1" outlineLevel="2">
      <c r="B7289" s="2889" t="s">
        <v>1643</v>
      </c>
      <c r="C7289" s="2889" t="s">
        <v>1503</v>
      </c>
      <c r="D7289" s="2889" t="s">
        <v>1054</v>
      </c>
      <c r="E7289" s="2889" t="s">
        <v>1420</v>
      </c>
      <c r="F7289" s="2890">
        <v>1.1457240018577634E-3</v>
      </c>
      <c r="G7289" s="2890">
        <v>3.1633539043877423</v>
      </c>
    </row>
    <row r="7290" spans="2:7" ht="15" hidden="1" outlineLevel="2">
      <c r="B7290" s="2889" t="s">
        <v>1644</v>
      </c>
      <c r="C7290" s="2889" t="s">
        <v>1503</v>
      </c>
      <c r="D7290" s="2889" t="s">
        <v>1054</v>
      </c>
      <c r="E7290" s="2889" t="s">
        <v>1420</v>
      </c>
      <c r="F7290" s="2890">
        <v>2.5225029580156974E-2</v>
      </c>
      <c r="G7290" s="2890">
        <v>69.646510712822348</v>
      </c>
    </row>
    <row r="7291" spans="2:7" ht="15" hidden="1" outlineLevel="2">
      <c r="B7291" s="2889" t="s">
        <v>1645</v>
      </c>
      <c r="C7291" s="2889" t="s">
        <v>1503</v>
      </c>
      <c r="D7291" s="2889" t="s">
        <v>1054</v>
      </c>
      <c r="E7291" s="2889" t="s">
        <v>1420</v>
      </c>
      <c r="F7291" s="2890">
        <v>2.8807789416624648E-2</v>
      </c>
      <c r="G7291" s="2890">
        <v>79.538491945031438</v>
      </c>
    </row>
    <row r="7292" spans="2:7" ht="15" hidden="1" outlineLevel="2">
      <c r="B7292" s="2889" t="s">
        <v>1646</v>
      </c>
      <c r="C7292" s="2889" t="s">
        <v>1503</v>
      </c>
      <c r="D7292" s="2889" t="s">
        <v>1054</v>
      </c>
      <c r="E7292" s="2889" t="s">
        <v>1420</v>
      </c>
      <c r="F7292" s="2890">
        <v>1.6846074023102822E-3</v>
      </c>
      <c r="G7292" s="2890">
        <v>4.6512135284501657</v>
      </c>
    </row>
    <row r="7293" spans="2:7" ht="15" hidden="1" outlineLevel="2">
      <c r="B7293" s="2889" t="s">
        <v>1647</v>
      </c>
      <c r="C7293" s="2889" t="s">
        <v>1503</v>
      </c>
      <c r="D7293" s="2889" t="s">
        <v>1054</v>
      </c>
      <c r="E7293" s="2889" t="s">
        <v>1420</v>
      </c>
      <c r="F7293" s="2890">
        <v>4.2051133819282988E-3</v>
      </c>
      <c r="G7293" s="2890">
        <v>11.610352354417277</v>
      </c>
    </row>
    <row r="7294" spans="2:7" ht="15" hidden="1" outlineLevel="2">
      <c r="B7294" s="2889" t="s">
        <v>1648</v>
      </c>
      <c r="C7294" s="2889" t="s">
        <v>1503</v>
      </c>
      <c r="D7294" s="2889" t="s">
        <v>1054</v>
      </c>
      <c r="E7294" s="2889" t="s">
        <v>1420</v>
      </c>
      <c r="F7294" s="2890">
        <v>4.7144251071071805E-4</v>
      </c>
      <c r="G7294" s="2890">
        <v>1.3016564443123093</v>
      </c>
    </row>
    <row r="7295" spans="2:7" ht="15" hidden="1" outlineLevel="2">
      <c r="B7295" s="2889" t="s">
        <v>1649</v>
      </c>
      <c r="C7295" s="2889" t="s">
        <v>1503</v>
      </c>
      <c r="D7295" s="2889" t="s">
        <v>1054</v>
      </c>
      <c r="E7295" s="2889" t="s">
        <v>1420</v>
      </c>
      <c r="F7295" s="3039">
        <v>2.2361952610810082E-3</v>
      </c>
      <c r="G7295" s="2890">
        <v>6.1741503179400006</v>
      </c>
    </row>
    <row r="7296" spans="2:7" ht="15" hidden="1" outlineLevel="2">
      <c r="B7296" s="2889" t="s">
        <v>1650</v>
      </c>
      <c r="C7296" s="2889" t="s">
        <v>1503</v>
      </c>
      <c r="D7296" s="2889" t="s">
        <v>1054</v>
      </c>
      <c r="E7296" s="2889" t="s">
        <v>1420</v>
      </c>
      <c r="F7296" s="3039">
        <v>5.58722544955204E-3</v>
      </c>
      <c r="G7296" s="2890">
        <v>15.42637097715399</v>
      </c>
    </row>
    <row r="7297" spans="2:7" ht="15" hidden="1" outlineLevel="2">
      <c r="B7297" s="2889" t="s">
        <v>1651</v>
      </c>
      <c r="C7297" s="2889" t="s">
        <v>1503</v>
      </c>
      <c r="D7297" s="2889" t="s">
        <v>1054</v>
      </c>
      <c r="E7297" s="2889" t="s">
        <v>1420</v>
      </c>
      <c r="F7297" s="3039">
        <v>3.0569346889818289E-3</v>
      </c>
      <c r="G7297" s="2890">
        <v>8.4402226135949192</v>
      </c>
    </row>
    <row r="7298" spans="2:7" ht="15" hidden="1" outlineLevel="2">
      <c r="B7298" s="2889" t="s">
        <v>1652</v>
      </c>
      <c r="C7298" s="2889" t="s">
        <v>1503</v>
      </c>
      <c r="D7298" s="2889" t="s">
        <v>1054</v>
      </c>
      <c r="E7298" s="2889" t="s">
        <v>1420</v>
      </c>
      <c r="F7298" s="3039">
        <v>3.3567827987697934E-3</v>
      </c>
      <c r="G7298" s="2890">
        <v>9.2681039280145487</v>
      </c>
    </row>
    <row r="7299" spans="2:7" ht="15" hidden="1" outlineLevel="2">
      <c r="B7299" s="2889" t="s">
        <v>1653</v>
      </c>
      <c r="C7299" s="2889" t="s">
        <v>1503</v>
      </c>
      <c r="D7299" s="2889" t="s">
        <v>1054</v>
      </c>
      <c r="E7299" s="2889" t="s">
        <v>1420</v>
      </c>
      <c r="F7299" s="3039">
        <v>1.2247076726416674E-35</v>
      </c>
      <c r="G7299" s="2890">
        <v>2.7481169934555332E-32</v>
      </c>
    </row>
    <row r="7300" spans="2:7" ht="15" hidden="1" outlineLevel="2">
      <c r="B7300" s="2889" t="s">
        <v>1407</v>
      </c>
      <c r="C7300" s="2889" t="s">
        <v>1504</v>
      </c>
      <c r="D7300" s="2889" t="s">
        <v>1054</v>
      </c>
      <c r="E7300" s="2889" t="s">
        <v>1420</v>
      </c>
      <c r="F7300" s="3039">
        <v>5.419616215420781E-4</v>
      </c>
      <c r="G7300" s="2890">
        <v>1.1996342157668611</v>
      </c>
    </row>
    <row r="7301" spans="2:7" ht="15" hidden="1" outlineLevel="2">
      <c r="B7301" s="2889" t="s">
        <v>1631</v>
      </c>
      <c r="C7301" s="2889" t="s">
        <v>1504</v>
      </c>
      <c r="D7301" s="2889" t="s">
        <v>1054</v>
      </c>
      <c r="E7301" s="2889" t="s">
        <v>1420</v>
      </c>
      <c r="F7301" s="3039">
        <v>8.9937562856983125E-3</v>
      </c>
      <c r="G7301" s="2890">
        <v>19.907754856203077</v>
      </c>
    </row>
    <row r="7302" spans="2:7" ht="15" hidden="1" outlineLevel="2">
      <c r="B7302" s="2889" t="s">
        <v>1632</v>
      </c>
      <c r="C7302" s="2889" t="s">
        <v>1504</v>
      </c>
      <c r="D7302" s="2889" t="s">
        <v>1054</v>
      </c>
      <c r="E7302" s="2889" t="s">
        <v>1420</v>
      </c>
      <c r="F7302" s="3039">
        <v>2.0832367998534444E-2</v>
      </c>
      <c r="G7302" s="2890">
        <v>46.112633988313753</v>
      </c>
    </row>
    <row r="7303" spans="2:7" ht="15" hidden="1" outlineLevel="2">
      <c r="B7303" s="2889" t="s">
        <v>1633</v>
      </c>
      <c r="C7303" s="2889" t="s">
        <v>1504</v>
      </c>
      <c r="D7303" s="2889" t="s">
        <v>1054</v>
      </c>
      <c r="E7303" s="2889" t="s">
        <v>1420</v>
      </c>
      <c r="F7303" s="3039">
        <v>1.690591369785885E-3</v>
      </c>
      <c r="G7303" s="2890">
        <v>3.7421391875076311</v>
      </c>
    </row>
    <row r="7304" spans="2:7" ht="15" hidden="1" outlineLevel="2">
      <c r="B7304" s="2889" t="s">
        <v>1634</v>
      </c>
      <c r="C7304" s="2889" t="s">
        <v>1504</v>
      </c>
      <c r="D7304" s="2889" t="s">
        <v>1054</v>
      </c>
      <c r="E7304" s="2889" t="s">
        <v>1420</v>
      </c>
      <c r="F7304" s="3039">
        <v>3.1334633674544619E-4</v>
      </c>
      <c r="G7304" s="2890">
        <v>0.69359496764939677</v>
      </c>
    </row>
    <row r="7305" spans="2:7" ht="15" hidden="1" outlineLevel="2">
      <c r="B7305" s="2889" t="s">
        <v>1635</v>
      </c>
      <c r="C7305" s="2889" t="s">
        <v>1504</v>
      </c>
      <c r="D7305" s="2889" t="s">
        <v>1054</v>
      </c>
      <c r="E7305" s="2889" t="s">
        <v>1420</v>
      </c>
      <c r="F7305" s="3039">
        <v>2.6429767665317842E-3</v>
      </c>
      <c r="G7305" s="2890">
        <v>5.8502511801540313</v>
      </c>
    </row>
    <row r="7306" spans="2:7" ht="15" hidden="1" outlineLevel="2">
      <c r="B7306" s="2889" t="s">
        <v>1636</v>
      </c>
      <c r="C7306" s="2889" t="s">
        <v>1504</v>
      </c>
      <c r="D7306" s="2889" t="s">
        <v>1054</v>
      </c>
      <c r="E7306" s="2889" t="s">
        <v>1420</v>
      </c>
      <c r="F7306" s="3039">
        <v>2.3201289246222228E-3</v>
      </c>
      <c r="G7306" s="2890">
        <v>5.1356241463332513</v>
      </c>
    </row>
    <row r="7307" spans="2:7" ht="15" hidden="1" outlineLevel="2">
      <c r="B7307" s="2889" t="s">
        <v>1637</v>
      </c>
      <c r="C7307" s="2889" t="s">
        <v>1504</v>
      </c>
      <c r="D7307" s="2889" t="s">
        <v>1054</v>
      </c>
      <c r="E7307" s="2889" t="s">
        <v>1420</v>
      </c>
      <c r="F7307" s="3039">
        <v>3.8531867722628277E-3</v>
      </c>
      <c r="G7307" s="2890">
        <v>8.5290622387662811</v>
      </c>
    </row>
    <row r="7308" spans="2:7" ht="15" hidden="1" outlineLevel="2">
      <c r="B7308" s="2889" t="s">
        <v>1638</v>
      </c>
      <c r="C7308" s="2889" t="s">
        <v>1504</v>
      </c>
      <c r="D7308" s="2889" t="s">
        <v>1054</v>
      </c>
      <c r="E7308" s="2889" t="s">
        <v>1420</v>
      </c>
      <c r="F7308" s="3039">
        <v>5.0295461325746934E-4</v>
      </c>
      <c r="G7308" s="2890">
        <v>1.1132944830208209</v>
      </c>
    </row>
    <row r="7309" spans="2:7" ht="15" hidden="1" outlineLevel="2">
      <c r="B7309" s="2889" t="s">
        <v>1639</v>
      </c>
      <c r="C7309" s="2889" t="s">
        <v>1504</v>
      </c>
      <c r="D7309" s="2889" t="s">
        <v>1054</v>
      </c>
      <c r="E7309" s="2889" t="s">
        <v>1420</v>
      </c>
      <c r="F7309" s="3039">
        <v>4.6241793579882796E-3</v>
      </c>
      <c r="G7309" s="2890">
        <v>10.235659276976234</v>
      </c>
    </row>
    <row r="7310" spans="2:7" ht="15" hidden="1" outlineLevel="2">
      <c r="B7310" s="2889" t="s">
        <v>1640</v>
      </c>
      <c r="C7310" s="2889" t="s">
        <v>1504</v>
      </c>
      <c r="D7310" s="2889" t="s">
        <v>1054</v>
      </c>
      <c r="E7310" s="2889" t="s">
        <v>1420</v>
      </c>
      <c r="F7310" s="3039">
        <v>1.0871847357242694E-3</v>
      </c>
      <c r="G7310" s="2890">
        <v>2.406493336467733</v>
      </c>
    </row>
    <row r="7311" spans="2:7" ht="15" hidden="1" outlineLevel="2">
      <c r="B7311" s="2889" t="s">
        <v>1641</v>
      </c>
      <c r="C7311" s="2889" t="s">
        <v>1504</v>
      </c>
      <c r="D7311" s="2889" t="s">
        <v>1054</v>
      </c>
      <c r="E7311" s="2889" t="s">
        <v>1420</v>
      </c>
      <c r="F7311" s="3039">
        <v>5.5689581247559423E-3</v>
      </c>
      <c r="G7311" s="2890">
        <v>12.326947350576637</v>
      </c>
    </row>
    <row r="7312" spans="2:7" ht="15" hidden="1" outlineLevel="2">
      <c r="B7312" s="2889" t="s">
        <v>1642</v>
      </c>
      <c r="C7312" s="2889" t="s">
        <v>1504</v>
      </c>
      <c r="D7312" s="2889" t="s">
        <v>1054</v>
      </c>
      <c r="E7312" s="2889" t="s">
        <v>1420</v>
      </c>
      <c r="F7312" s="3039">
        <v>3.9973129307513833E-3</v>
      </c>
      <c r="G7312" s="2890">
        <v>8.8480900073985023</v>
      </c>
    </row>
    <row r="7313" spans="2:7" ht="15" hidden="1" outlineLevel="2">
      <c r="B7313" s="2889" t="s">
        <v>1643</v>
      </c>
      <c r="C7313" s="2889" t="s">
        <v>1504</v>
      </c>
      <c r="D7313" s="2889" t="s">
        <v>1054</v>
      </c>
      <c r="E7313" s="2889" t="s">
        <v>1420</v>
      </c>
      <c r="F7313" s="3039">
        <v>5.9099733279262289E-4</v>
      </c>
      <c r="G7313" s="2890">
        <v>1.3081784705955768</v>
      </c>
    </row>
    <row r="7314" spans="2:7" ht="15" hidden="1" outlineLevel="2">
      <c r="B7314" s="2889" t="s">
        <v>1644</v>
      </c>
      <c r="C7314" s="2889" t="s">
        <v>1504</v>
      </c>
      <c r="D7314" s="2889" t="s">
        <v>1054</v>
      </c>
      <c r="E7314" s="2889" t="s">
        <v>1420</v>
      </c>
      <c r="F7314" s="3039">
        <v>1.3011802293871118E-2</v>
      </c>
      <c r="G7314" s="2890">
        <v>28.801723640383369</v>
      </c>
    </row>
    <row r="7315" spans="2:7" ht="15" hidden="1" outlineLevel="2">
      <c r="B7315" s="2889" t="s">
        <v>1645</v>
      </c>
      <c r="C7315" s="2889" t="s">
        <v>1504</v>
      </c>
      <c r="D7315" s="2889" t="s">
        <v>1054</v>
      </c>
      <c r="E7315" s="2889" t="s">
        <v>1420</v>
      </c>
      <c r="F7315" s="3039">
        <v>1.4859883754257378E-2</v>
      </c>
      <c r="G7315" s="2890">
        <v>32.892469063302165</v>
      </c>
    </row>
    <row r="7316" spans="2:7" ht="15" hidden="1" outlineLevel="2">
      <c r="B7316" s="2889" t="s">
        <v>1646</v>
      </c>
      <c r="C7316" s="2889" t="s">
        <v>1504</v>
      </c>
      <c r="D7316" s="2889" t="s">
        <v>1054</v>
      </c>
      <c r="E7316" s="2889" t="s">
        <v>1420</v>
      </c>
      <c r="F7316" s="3039">
        <v>8.6896885393872411E-4</v>
      </c>
      <c r="G7316" s="2890">
        <v>1.9234701997945758</v>
      </c>
    </row>
    <row r="7317" spans="2:7" ht="15" hidden="1" outlineLevel="2">
      <c r="B7317" s="2889" t="s">
        <v>1647</v>
      </c>
      <c r="C7317" s="2889" t="s">
        <v>1504</v>
      </c>
      <c r="D7317" s="2889" t="s">
        <v>1054</v>
      </c>
      <c r="E7317" s="2889" t="s">
        <v>1420</v>
      </c>
      <c r="F7317" s="3039">
        <v>2.1691192027921409E-3</v>
      </c>
      <c r="G7317" s="2890">
        <v>4.8013626000361374</v>
      </c>
    </row>
    <row r="7318" spans="2:7" ht="15" hidden="1" outlineLevel="2">
      <c r="B7318" s="2889" t="s">
        <v>1648</v>
      </c>
      <c r="C7318" s="2889" t="s">
        <v>1504</v>
      </c>
      <c r="D7318" s="2889" t="s">
        <v>1054</v>
      </c>
      <c r="E7318" s="2889" t="s">
        <v>1420</v>
      </c>
      <c r="F7318" s="3039">
        <v>2.4318361933864369E-4</v>
      </c>
      <c r="G7318" s="2890">
        <v>0.53828894085336332</v>
      </c>
    </row>
    <row r="7319" spans="2:7" ht="15" hidden="1" outlineLevel="2">
      <c r="B7319" s="2889" t="s">
        <v>1649</v>
      </c>
      <c r="C7319" s="2889" t="s">
        <v>1504</v>
      </c>
      <c r="D7319" s="2889" t="s">
        <v>1054</v>
      </c>
      <c r="E7319" s="2889" t="s">
        <v>1420</v>
      </c>
      <c r="F7319" s="3039">
        <v>1.153494114234136E-3</v>
      </c>
      <c r="G7319" s="2890">
        <v>2.5532688866615625</v>
      </c>
    </row>
    <row r="7320" spans="2:7" ht="15" hidden="1" outlineLevel="2">
      <c r="B7320" s="2889" t="s">
        <v>1650</v>
      </c>
      <c r="C7320" s="2889" t="s">
        <v>1504</v>
      </c>
      <c r="D7320" s="2889" t="s">
        <v>1054</v>
      </c>
      <c r="E7320" s="2889" t="s">
        <v>1420</v>
      </c>
      <c r="F7320" s="2890">
        <v>2.882051126998574E-3</v>
      </c>
      <c r="G7320" s="2890">
        <v>6.3794454850704918</v>
      </c>
    </row>
    <row r="7321" spans="2:7" ht="15" hidden="1" outlineLevel="2">
      <c r="B7321" s="2889" t="s">
        <v>1651</v>
      </c>
      <c r="C7321" s="2889" t="s">
        <v>1504</v>
      </c>
      <c r="D7321" s="2889" t="s">
        <v>1054</v>
      </c>
      <c r="E7321" s="2889" t="s">
        <v>1420</v>
      </c>
      <c r="F7321" s="2890">
        <v>1.5768547756311142E-3</v>
      </c>
      <c r="G7321" s="2890">
        <v>3.4903824005292177</v>
      </c>
    </row>
    <row r="7322" spans="2:7" ht="15" hidden="1" outlineLevel="2">
      <c r="B7322" s="2889" t="s">
        <v>1652</v>
      </c>
      <c r="C7322" s="2889" t="s">
        <v>1504</v>
      </c>
      <c r="D7322" s="2889" t="s">
        <v>1054</v>
      </c>
      <c r="E7322" s="2889" t="s">
        <v>1420</v>
      </c>
      <c r="F7322" s="2890">
        <v>1.7315242288392547E-3</v>
      </c>
      <c r="G7322" s="2890">
        <v>3.832745449839702</v>
      </c>
    </row>
    <row r="7323" spans="2:7" ht="15" hidden="1" outlineLevel="2">
      <c r="B7323" s="2889" t="s">
        <v>1653</v>
      </c>
      <c r="C7323" s="2889" t="s">
        <v>1504</v>
      </c>
      <c r="D7323" s="2889" t="s">
        <v>1054</v>
      </c>
      <c r="E7323" s="2889" t="s">
        <v>1420</v>
      </c>
      <c r="F7323" s="2890">
        <v>7.4995456310312559E-34</v>
      </c>
      <c r="G7323" s="2890">
        <v>1.6600302959676247E-30</v>
      </c>
    </row>
    <row r="7324" spans="2:7" ht="15" hidden="1" outlineLevel="2">
      <c r="B7324" s="2889" t="s">
        <v>1407</v>
      </c>
      <c r="C7324" s="2889" t="s">
        <v>1505</v>
      </c>
      <c r="D7324" s="2889" t="s">
        <v>1054</v>
      </c>
      <c r="E7324" s="2889" t="s">
        <v>1423</v>
      </c>
      <c r="F7324" s="2890">
        <v>1.536882996822734E-3</v>
      </c>
      <c r="G7324" s="2890">
        <v>3.8034520024112894E-2</v>
      </c>
    </row>
    <row r="7325" spans="2:7" ht="15" hidden="1" outlineLevel="2">
      <c r="B7325" s="2889" t="s">
        <v>1631</v>
      </c>
      <c r="C7325" s="2889" t="s">
        <v>1505</v>
      </c>
      <c r="D7325" s="2889" t="s">
        <v>1054</v>
      </c>
      <c r="E7325" s="2889" t="s">
        <v>1423</v>
      </c>
      <c r="F7325" s="2890">
        <v>2.5504325386466391E-2</v>
      </c>
      <c r="G7325" s="2890">
        <v>0.63117670345983867</v>
      </c>
    </row>
    <row r="7326" spans="2:7" ht="15" hidden="1" outlineLevel="2">
      <c r="B7326" s="2889" t="s">
        <v>1632</v>
      </c>
      <c r="C7326" s="2889" t="s">
        <v>1505</v>
      </c>
      <c r="D7326" s="2889" t="s">
        <v>1054</v>
      </c>
      <c r="E7326" s="2889" t="s">
        <v>1423</v>
      </c>
      <c r="F7326" s="2890">
        <v>5.9076043619418366E-2</v>
      </c>
      <c r="G7326" s="2890">
        <v>1.4620046933460145</v>
      </c>
    </row>
    <row r="7327" spans="2:7" ht="15" hidden="1" outlineLevel="2">
      <c r="B7327" s="2889" t="s">
        <v>1633</v>
      </c>
      <c r="C7327" s="2889" t="s">
        <v>1505</v>
      </c>
      <c r="D7327" s="2889" t="s">
        <v>1054</v>
      </c>
      <c r="E7327" s="2889" t="s">
        <v>1423</v>
      </c>
      <c r="F7327" s="2890">
        <v>4.7941488509969368E-3</v>
      </c>
      <c r="G7327" s="2890">
        <v>0.11864478474667108</v>
      </c>
    </row>
    <row r="7328" spans="2:7" ht="15" hidden="1" outlineLevel="2">
      <c r="B7328" s="2889" t="s">
        <v>1634</v>
      </c>
      <c r="C7328" s="2889" t="s">
        <v>1505</v>
      </c>
      <c r="D7328" s="2889" t="s">
        <v>1054</v>
      </c>
      <c r="E7328" s="2889" t="s">
        <v>1423</v>
      </c>
      <c r="F7328" s="2890">
        <v>8.8858136616269104E-4</v>
      </c>
      <c r="G7328" s="2890">
        <v>2.1990466408568322E-2</v>
      </c>
    </row>
    <row r="7329" spans="2:7" ht="15" hidden="1" outlineLevel="2">
      <c r="B7329" s="2889" t="s">
        <v>1635</v>
      </c>
      <c r="C7329" s="2889" t="s">
        <v>1505</v>
      </c>
      <c r="D7329" s="2889" t="s">
        <v>1054</v>
      </c>
      <c r="E7329" s="2889" t="s">
        <v>1423</v>
      </c>
      <c r="F7329" s="2890">
        <v>7.4949082658301138E-3</v>
      </c>
      <c r="G7329" s="2890">
        <v>0.18548264520015595</v>
      </c>
    </row>
    <row r="7330" spans="2:7" ht="15" hidden="1" outlineLevel="2">
      <c r="B7330" s="2889" t="s">
        <v>1636</v>
      </c>
      <c r="C7330" s="2889" t="s">
        <v>1505</v>
      </c>
      <c r="D7330" s="2889" t="s">
        <v>1054</v>
      </c>
      <c r="E7330" s="2889" t="s">
        <v>1423</v>
      </c>
      <c r="F7330" s="2890">
        <v>6.5793774874574424E-3</v>
      </c>
      <c r="G7330" s="2890">
        <v>0.1628252796547337</v>
      </c>
    </row>
    <row r="7331" spans="2:7" ht="15" hidden="1" outlineLevel="2">
      <c r="B7331" s="2889" t="s">
        <v>1637</v>
      </c>
      <c r="C7331" s="2889" t="s">
        <v>1505</v>
      </c>
      <c r="D7331" s="2889" t="s">
        <v>1054</v>
      </c>
      <c r="E7331" s="2889" t="s">
        <v>1423</v>
      </c>
      <c r="F7331" s="2890">
        <v>1.0926796589862158E-2</v>
      </c>
      <c r="G7331" s="2890">
        <v>0.27041438970995041</v>
      </c>
    </row>
    <row r="7332" spans="2:7" ht="15" hidden="1" outlineLevel="2">
      <c r="B7332" s="2889" t="s">
        <v>1638</v>
      </c>
      <c r="C7332" s="2889" t="s">
        <v>1505</v>
      </c>
      <c r="D7332" s="2889" t="s">
        <v>1054</v>
      </c>
      <c r="E7332" s="2889" t="s">
        <v>1423</v>
      </c>
      <c r="F7332" s="2890">
        <v>1.4262689421798693E-3</v>
      </c>
      <c r="G7332" s="2890">
        <v>3.52970905472434E-2</v>
      </c>
    </row>
    <row r="7333" spans="2:7" ht="15" hidden="1" outlineLevel="2">
      <c r="B7333" s="2889" t="s">
        <v>1639</v>
      </c>
      <c r="C7333" s="2889" t="s">
        <v>1505</v>
      </c>
      <c r="D7333" s="2889" t="s">
        <v>1054</v>
      </c>
      <c r="E7333" s="2889" t="s">
        <v>1423</v>
      </c>
      <c r="F7333" s="2890">
        <v>1.3113157268405772E-2</v>
      </c>
      <c r="G7333" s="2890">
        <v>0.32452230721329678</v>
      </c>
    </row>
    <row r="7334" spans="2:7" ht="15" hidden="1" outlineLevel="2">
      <c r="B7334" s="2889" t="s">
        <v>1640</v>
      </c>
      <c r="C7334" s="2889" t="s">
        <v>1505</v>
      </c>
      <c r="D7334" s="2889" t="s">
        <v>1054</v>
      </c>
      <c r="E7334" s="2889" t="s">
        <v>1423</v>
      </c>
      <c r="F7334" s="2890">
        <v>3.0830178309566867E-3</v>
      </c>
      <c r="G7334" s="2890">
        <v>7.6298037165207291E-2</v>
      </c>
    </row>
    <row r="7335" spans="2:7" ht="15" hidden="1" outlineLevel="2">
      <c r="B7335" s="2889" t="s">
        <v>1641</v>
      </c>
      <c r="C7335" s="2889" t="s">
        <v>1505</v>
      </c>
      <c r="D7335" s="2889" t="s">
        <v>1054</v>
      </c>
      <c r="E7335" s="2889" t="s">
        <v>1423</v>
      </c>
      <c r="F7335" s="2890">
        <v>1.5792349637501455E-2</v>
      </c>
      <c r="G7335" s="2890">
        <v>0.39082648490303912</v>
      </c>
    </row>
    <row r="7336" spans="2:7" ht="15" hidden="1" outlineLevel="2">
      <c r="B7336" s="2889" t="s">
        <v>1642</v>
      </c>
      <c r="C7336" s="2889" t="s">
        <v>1505</v>
      </c>
      <c r="D7336" s="2889" t="s">
        <v>1054</v>
      </c>
      <c r="E7336" s="2889" t="s">
        <v>1423</v>
      </c>
      <c r="F7336" s="2890">
        <v>1.1335508399852772E-2</v>
      </c>
      <c r="G7336" s="2890">
        <v>0.28052916827264052</v>
      </c>
    </row>
    <row r="7337" spans="2:7" ht="15" hidden="1" outlineLevel="2">
      <c r="B7337" s="2889" t="s">
        <v>1643</v>
      </c>
      <c r="C7337" s="2889" t="s">
        <v>1505</v>
      </c>
      <c r="D7337" s="2889" t="s">
        <v>1054</v>
      </c>
      <c r="E7337" s="2889" t="s">
        <v>1423</v>
      </c>
      <c r="F7337" s="2890">
        <v>1.6759397143499147E-3</v>
      </c>
      <c r="G7337" s="2890">
        <v>4.1475881852695101E-2</v>
      </c>
    </row>
    <row r="7338" spans="2:7" ht="15" hidden="1" outlineLevel="2">
      <c r="B7338" s="2889" t="s">
        <v>1644</v>
      </c>
      <c r="C7338" s="2889" t="s">
        <v>1505</v>
      </c>
      <c r="D7338" s="2889" t="s">
        <v>1054</v>
      </c>
      <c r="E7338" s="2889" t="s">
        <v>1423</v>
      </c>
      <c r="F7338" s="2890">
        <v>3.6898614004771145E-2</v>
      </c>
      <c r="G7338" s="2890">
        <v>0.91315991552201425</v>
      </c>
    </row>
    <row r="7339" spans="2:7" ht="15" hidden="1" outlineLevel="2">
      <c r="B7339" s="2889" t="s">
        <v>1645</v>
      </c>
      <c r="C7339" s="2889" t="s">
        <v>1505</v>
      </c>
      <c r="D7339" s="2889" t="s">
        <v>1054</v>
      </c>
      <c r="E7339" s="2889" t="s">
        <v>1423</v>
      </c>
      <c r="F7339" s="2890">
        <v>4.2139372298977934E-2</v>
      </c>
      <c r="G7339" s="2890">
        <v>1.0428584449083387</v>
      </c>
    </row>
    <row r="7340" spans="2:7" ht="15" hidden="1" outlineLevel="2">
      <c r="B7340" s="2889" t="s">
        <v>1646</v>
      </c>
      <c r="C7340" s="2889" t="s">
        <v>1505</v>
      </c>
      <c r="D7340" s="2889" t="s">
        <v>1054</v>
      </c>
      <c r="E7340" s="2889" t="s">
        <v>1423</v>
      </c>
      <c r="F7340" s="3039">
        <v>2.4642046781924443E-3</v>
      </c>
      <c r="G7340" s="2890">
        <v>6.0983751720908128E-2</v>
      </c>
    </row>
    <row r="7341" spans="2:7" ht="15" hidden="1" outlineLevel="2">
      <c r="B7341" s="2889" t="s">
        <v>1647</v>
      </c>
      <c r="C7341" s="2889" t="s">
        <v>1505</v>
      </c>
      <c r="D7341" s="2889" t="s">
        <v>1054</v>
      </c>
      <c r="E7341" s="2889" t="s">
        <v>1423</v>
      </c>
      <c r="F7341" s="3039">
        <v>6.1511459337759223E-3</v>
      </c>
      <c r="G7341" s="2890">
        <v>0.15222757326723971</v>
      </c>
    </row>
    <row r="7342" spans="2:7" ht="15" hidden="1" outlineLevel="2">
      <c r="B7342" s="2889" t="s">
        <v>1648</v>
      </c>
      <c r="C7342" s="2889" t="s">
        <v>1505</v>
      </c>
      <c r="D7342" s="2889" t="s">
        <v>1054</v>
      </c>
      <c r="E7342" s="2889" t="s">
        <v>1423</v>
      </c>
      <c r="F7342" s="3039">
        <v>6.8961494940410185E-4</v>
      </c>
      <c r="G7342" s="2890">
        <v>1.7066500942458269E-2</v>
      </c>
    </row>
    <row r="7343" spans="2:7" ht="15" hidden="1" outlineLevel="2">
      <c r="B7343" s="2889" t="s">
        <v>1649</v>
      </c>
      <c r="C7343" s="2889" t="s">
        <v>1505</v>
      </c>
      <c r="D7343" s="2889" t="s">
        <v>1054</v>
      </c>
      <c r="E7343" s="2889" t="s">
        <v>1423</v>
      </c>
      <c r="F7343" s="3039">
        <v>3.2710550834010154E-3</v>
      </c>
      <c r="G7343" s="2890">
        <v>8.0951514053075588E-2</v>
      </c>
    </row>
    <row r="7344" spans="2:7" ht="15" hidden="1" outlineLevel="2">
      <c r="B7344" s="2889" t="s">
        <v>1650</v>
      </c>
      <c r="C7344" s="2889" t="s">
        <v>1505</v>
      </c>
      <c r="D7344" s="2889" t="s">
        <v>1054</v>
      </c>
      <c r="E7344" s="2889" t="s">
        <v>1423</v>
      </c>
      <c r="F7344" s="3039">
        <v>8.1728673325834403E-3</v>
      </c>
      <c r="G7344" s="2890">
        <v>0.20226076880445151</v>
      </c>
    </row>
    <row r="7345" spans="2:7" ht="15" hidden="1" outlineLevel="2">
      <c r="B7345" s="2889" t="s">
        <v>1651</v>
      </c>
      <c r="C7345" s="2889" t="s">
        <v>1505</v>
      </c>
      <c r="D7345" s="2889" t="s">
        <v>1054</v>
      </c>
      <c r="E7345" s="2889" t="s">
        <v>1423</v>
      </c>
      <c r="F7345" s="3039">
        <v>4.4716165448079933E-3</v>
      </c>
      <c r="G7345" s="2890">
        <v>0.11066290061093272</v>
      </c>
    </row>
    <row r="7346" spans="2:7" ht="15" hidden="1" outlineLevel="2">
      <c r="B7346" s="2889" t="s">
        <v>1652</v>
      </c>
      <c r="C7346" s="2889" t="s">
        <v>1505</v>
      </c>
      <c r="D7346" s="2889" t="s">
        <v>1054</v>
      </c>
      <c r="E7346" s="2889" t="s">
        <v>1423</v>
      </c>
      <c r="F7346" s="3039">
        <v>4.9102281469096121E-3</v>
      </c>
      <c r="G7346" s="2890">
        <v>0.1215174373328049</v>
      </c>
    </row>
    <row r="7347" spans="2:7" ht="15" hidden="1" outlineLevel="2">
      <c r="B7347" s="2889" t="s">
        <v>1653</v>
      </c>
      <c r="C7347" s="2889" t="s">
        <v>1505</v>
      </c>
      <c r="D7347" s="2889" t="s">
        <v>1054</v>
      </c>
      <c r="E7347" s="2889" t="s">
        <v>1423</v>
      </c>
      <c r="F7347" s="2890">
        <v>2.1032574139291268E-33</v>
      </c>
      <c r="G7347" s="2890">
        <v>5.2051066912620041E-32</v>
      </c>
    </row>
    <row r="7348" spans="2:7" ht="15" hidden="1" outlineLevel="2">
      <c r="B7348" s="2889" t="s">
        <v>1407</v>
      </c>
      <c r="C7348" s="2889" t="s">
        <v>1506</v>
      </c>
      <c r="D7348" s="2889" t="s">
        <v>1054</v>
      </c>
      <c r="E7348" s="2889" t="s">
        <v>1426</v>
      </c>
      <c r="F7348" s="3040"/>
      <c r="G7348" s="2890">
        <v>112.92892940228325</v>
      </c>
    </row>
    <row r="7349" spans="2:7" ht="15" hidden="1" outlineLevel="2">
      <c r="B7349" s="2889" t="s">
        <v>1631</v>
      </c>
      <c r="C7349" s="2889" t="s">
        <v>1506</v>
      </c>
      <c r="D7349" s="2889" t="s">
        <v>1054</v>
      </c>
      <c r="E7349" s="2889" t="s">
        <v>1426</v>
      </c>
      <c r="F7349" s="2890">
        <v>6.2063333535991375E-2</v>
      </c>
      <c r="G7349" s="2890">
        <v>1874.0373568088044</v>
      </c>
    </row>
    <row r="7350" spans="2:7" ht="15" hidden="1" outlineLevel="2">
      <c r="B7350" s="2889" t="s">
        <v>1632</v>
      </c>
      <c r="C7350" s="2889" t="s">
        <v>1506</v>
      </c>
      <c r="D7350" s="2889" t="s">
        <v>1054</v>
      </c>
      <c r="E7350" s="2889" t="s">
        <v>1426</v>
      </c>
      <c r="F7350" s="3040"/>
      <c r="G7350" s="2890">
        <v>4340.8615878848386</v>
      </c>
    </row>
    <row r="7351" spans="2:7" ht="15" hidden="1" outlineLevel="2">
      <c r="B7351" s="2889" t="s">
        <v>1633</v>
      </c>
      <c r="C7351" s="2889" t="s">
        <v>1506</v>
      </c>
      <c r="D7351" s="2889" t="s">
        <v>1054</v>
      </c>
      <c r="E7351" s="2889" t="s">
        <v>1426</v>
      </c>
      <c r="F7351" s="3040"/>
      <c r="G7351" s="2890">
        <v>352.2702525046123</v>
      </c>
    </row>
    <row r="7352" spans="2:7" ht="15" hidden="1" outlineLevel="2">
      <c r="B7352" s="2889" t="s">
        <v>1634</v>
      </c>
      <c r="C7352" s="2889" t="s">
        <v>1506</v>
      </c>
      <c r="D7352" s="2889" t="s">
        <v>1054</v>
      </c>
      <c r="E7352" s="2889" t="s">
        <v>1426</v>
      </c>
      <c r="F7352" s="3040"/>
      <c r="G7352" s="2890">
        <v>65.292257428933468</v>
      </c>
    </row>
    <row r="7353" spans="2:7" ht="15" hidden="1" outlineLevel="2">
      <c r="B7353" s="2889" t="s">
        <v>1635</v>
      </c>
      <c r="C7353" s="2889" t="s">
        <v>1506</v>
      </c>
      <c r="D7353" s="2889" t="s">
        <v>1054</v>
      </c>
      <c r="E7353" s="2889" t="s">
        <v>1426</v>
      </c>
      <c r="F7353" s="3040"/>
      <c r="G7353" s="2890">
        <v>550.71955907221923</v>
      </c>
    </row>
    <row r="7354" spans="2:7" ht="15" hidden="1" outlineLevel="2">
      <c r="B7354" s="2889" t="s">
        <v>1636</v>
      </c>
      <c r="C7354" s="2889" t="s">
        <v>1506</v>
      </c>
      <c r="D7354" s="2889" t="s">
        <v>1054</v>
      </c>
      <c r="E7354" s="2889" t="s">
        <v>1426</v>
      </c>
      <c r="F7354" s="3040"/>
      <c r="G7354" s="2890">
        <v>483.44729608395437</v>
      </c>
    </row>
    <row r="7355" spans="2:7" ht="15" hidden="1" outlineLevel="2">
      <c r="B7355" s="2889" t="s">
        <v>1637</v>
      </c>
      <c r="C7355" s="2889" t="s">
        <v>1506</v>
      </c>
      <c r="D7355" s="2889" t="s">
        <v>1054</v>
      </c>
      <c r="E7355" s="2889" t="s">
        <v>1426</v>
      </c>
      <c r="F7355" s="3040"/>
      <c r="G7355" s="2890">
        <v>802.89173118326619</v>
      </c>
    </row>
    <row r="7356" spans="2:7" ht="15" hidden="1" outlineLevel="2">
      <c r="B7356" s="2889" t="s">
        <v>1638</v>
      </c>
      <c r="C7356" s="2889" t="s">
        <v>1506</v>
      </c>
      <c r="D7356" s="2889" t="s">
        <v>1054</v>
      </c>
      <c r="E7356" s="2889" t="s">
        <v>1426</v>
      </c>
      <c r="F7356" s="3040"/>
      <c r="G7356" s="2890">
        <v>104.8011144571137</v>
      </c>
    </row>
    <row r="7357" spans="2:7" ht="15" hidden="1" outlineLevel="2">
      <c r="B7357" s="2889" t="s">
        <v>1639</v>
      </c>
      <c r="C7357" s="2889" t="s">
        <v>1506</v>
      </c>
      <c r="D7357" s="2889" t="s">
        <v>1054</v>
      </c>
      <c r="E7357" s="2889" t="s">
        <v>1426</v>
      </c>
      <c r="F7357" s="3040"/>
      <c r="G7357" s="2890">
        <v>963.54446895641991</v>
      </c>
    </row>
    <row r="7358" spans="2:7" ht="15" hidden="1" outlineLevel="2">
      <c r="B7358" s="2889" t="s">
        <v>1640</v>
      </c>
      <c r="C7358" s="2889" t="s">
        <v>1506</v>
      </c>
      <c r="D7358" s="2889" t="s">
        <v>1054</v>
      </c>
      <c r="E7358" s="2889" t="s">
        <v>1426</v>
      </c>
      <c r="F7358" s="3040"/>
      <c r="G7358" s="2890">
        <v>226.53770376503471</v>
      </c>
    </row>
    <row r="7359" spans="2:7" ht="15" hidden="1" outlineLevel="2">
      <c r="B7359" s="2889" t="s">
        <v>1641</v>
      </c>
      <c r="C7359" s="2889" t="s">
        <v>1506</v>
      </c>
      <c r="D7359" s="2889" t="s">
        <v>1054</v>
      </c>
      <c r="E7359" s="2889" t="s">
        <v>1426</v>
      </c>
      <c r="F7359" s="3040"/>
      <c r="G7359" s="2890">
        <v>1160.40916776105</v>
      </c>
    </row>
    <row r="7360" spans="2:7" ht="15" hidden="1" outlineLevel="2">
      <c r="B7360" s="2889" t="s">
        <v>1642</v>
      </c>
      <c r="C7360" s="2889" t="s">
        <v>1506</v>
      </c>
      <c r="D7360" s="2889" t="s">
        <v>1054</v>
      </c>
      <c r="E7360" s="2889" t="s">
        <v>1426</v>
      </c>
      <c r="F7360" s="3040"/>
      <c r="G7360" s="2890">
        <v>832.92381542593853</v>
      </c>
    </row>
    <row r="7361" spans="2:7" ht="15" hidden="1" outlineLevel="2">
      <c r="B7361" s="2889" t="s">
        <v>1643</v>
      </c>
      <c r="C7361" s="2889" t="s">
        <v>1506</v>
      </c>
      <c r="D7361" s="2889" t="s">
        <v>1054</v>
      </c>
      <c r="E7361" s="2889" t="s">
        <v>1426</v>
      </c>
      <c r="F7361" s="3040"/>
      <c r="G7361" s="2890">
        <v>123.14668351426195</v>
      </c>
    </row>
    <row r="7362" spans="2:7" ht="15" hidden="1" outlineLevel="2">
      <c r="B7362" s="2889" t="s">
        <v>1644</v>
      </c>
      <c r="C7362" s="2889" t="s">
        <v>1506</v>
      </c>
      <c r="D7362" s="2889" t="s">
        <v>1054</v>
      </c>
      <c r="E7362" s="2889" t="s">
        <v>1426</v>
      </c>
      <c r="F7362" s="3040"/>
      <c r="G7362" s="2890">
        <v>2711.2806585827957</v>
      </c>
    </row>
    <row r="7363" spans="2:7" ht="15" hidden="1" outlineLevel="2">
      <c r="B7363" s="2889" t="s">
        <v>1645</v>
      </c>
      <c r="C7363" s="2889" t="s">
        <v>1506</v>
      </c>
      <c r="D7363" s="2889" t="s">
        <v>1054</v>
      </c>
      <c r="E7363" s="2889" t="s">
        <v>1426</v>
      </c>
      <c r="F7363" s="3040"/>
      <c r="G7363" s="2890">
        <v>3096.3665845338423</v>
      </c>
    </row>
    <row r="7364" spans="2:7" ht="15" hidden="1" outlineLevel="2">
      <c r="B7364" s="2889" t="s">
        <v>1646</v>
      </c>
      <c r="C7364" s="2889" t="s">
        <v>1506</v>
      </c>
      <c r="D7364" s="2889" t="s">
        <v>1054</v>
      </c>
      <c r="E7364" s="2889" t="s">
        <v>1426</v>
      </c>
      <c r="F7364" s="3040"/>
      <c r="G7364" s="2890">
        <v>181.06783786850019</v>
      </c>
    </row>
    <row r="7365" spans="2:7" ht="15" hidden="1" outlineLevel="2">
      <c r="B7365" s="2889" t="s">
        <v>1647</v>
      </c>
      <c r="C7365" s="2889" t="s">
        <v>1506</v>
      </c>
      <c r="D7365" s="2889" t="s">
        <v>1054</v>
      </c>
      <c r="E7365" s="2889" t="s">
        <v>1426</v>
      </c>
      <c r="F7365" s="3040"/>
      <c r="G7365" s="2890">
        <v>451.98119250186147</v>
      </c>
    </row>
    <row r="7366" spans="2:7" ht="15" hidden="1" outlineLevel="2">
      <c r="B7366" s="2889" t="s">
        <v>1648</v>
      </c>
      <c r="C7366" s="2889" t="s">
        <v>1506</v>
      </c>
      <c r="D7366" s="2889" t="s">
        <v>1054</v>
      </c>
      <c r="E7366" s="2889" t="s">
        <v>1426</v>
      </c>
      <c r="F7366" s="3040"/>
      <c r="G7366" s="2890">
        <v>50.672404110038215</v>
      </c>
    </row>
    <row r="7367" spans="2:7" ht="15" hidden="1" outlineLevel="2">
      <c r="B7367" s="2889" t="s">
        <v>1649</v>
      </c>
      <c r="C7367" s="2889" t="s">
        <v>1506</v>
      </c>
      <c r="D7367" s="2889" t="s">
        <v>1054</v>
      </c>
      <c r="E7367" s="2889" t="s">
        <v>1426</v>
      </c>
      <c r="F7367" s="3040"/>
      <c r="G7367" s="2890">
        <v>240.35448158654685</v>
      </c>
    </row>
    <row r="7368" spans="2:7" ht="15" hidden="1" outlineLevel="2">
      <c r="B7368" s="2889" t="s">
        <v>1650</v>
      </c>
      <c r="C7368" s="2889" t="s">
        <v>1506</v>
      </c>
      <c r="D7368" s="2889" t="s">
        <v>1054</v>
      </c>
      <c r="E7368" s="2889" t="s">
        <v>1426</v>
      </c>
      <c r="F7368" s="3040"/>
      <c r="G7368" s="2890">
        <v>600.53571992976708</v>
      </c>
    </row>
    <row r="7369" spans="2:7" ht="15" hidden="1" outlineLevel="2">
      <c r="B7369" s="2889" t="s">
        <v>1651</v>
      </c>
      <c r="C7369" s="2889" t="s">
        <v>1506</v>
      </c>
      <c r="D7369" s="2889" t="s">
        <v>1054</v>
      </c>
      <c r="E7369" s="2889" t="s">
        <v>1426</v>
      </c>
      <c r="F7369" s="3040"/>
      <c r="G7369" s="2890">
        <v>328.57067439068271</v>
      </c>
    </row>
    <row r="7370" spans="2:7" ht="15" hidden="1" outlineLevel="2">
      <c r="B7370" s="2889" t="s">
        <v>1652</v>
      </c>
      <c r="C7370" s="2889" t="s">
        <v>1506</v>
      </c>
      <c r="D7370" s="2889" t="s">
        <v>1054</v>
      </c>
      <c r="E7370" s="2889" t="s">
        <v>1426</v>
      </c>
      <c r="F7370" s="3040"/>
      <c r="G7370" s="2890">
        <v>360.79948700723946</v>
      </c>
    </row>
    <row r="7371" spans="2:7" ht="15" hidden="1" outlineLevel="2">
      <c r="B7371" s="2889" t="s">
        <v>1653</v>
      </c>
      <c r="C7371" s="2889" t="s">
        <v>1506</v>
      </c>
      <c r="D7371" s="2889" t="s">
        <v>1054</v>
      </c>
      <c r="E7371" s="2889" t="s">
        <v>1426</v>
      </c>
      <c r="F7371" s="3040"/>
      <c r="G7371" s="2890">
        <v>2.1125038966377829E-29</v>
      </c>
    </row>
    <row r="7372" spans="2:7" ht="15" hidden="1" outlineLevel="2">
      <c r="B7372" s="2889" t="s">
        <v>1407</v>
      </c>
      <c r="C7372" s="2889" t="s">
        <v>1507</v>
      </c>
      <c r="D7372" s="2889" t="s">
        <v>1054</v>
      </c>
      <c r="E7372" s="2889" t="s">
        <v>1426</v>
      </c>
      <c r="F7372" s="3040"/>
      <c r="G7372" s="2890">
        <v>0.18408181297184548</v>
      </c>
    </row>
    <row r="7373" spans="2:7" ht="15" hidden="1" outlineLevel="2">
      <c r="B7373" s="2889" t="s">
        <v>1631</v>
      </c>
      <c r="C7373" s="2889" t="s">
        <v>1507</v>
      </c>
      <c r="D7373" s="2889" t="s">
        <v>1054</v>
      </c>
      <c r="E7373" s="2889" t="s">
        <v>1426</v>
      </c>
      <c r="F7373" s="2890">
        <v>2.2922326966446803E-4</v>
      </c>
      <c r="G7373" s="2890">
        <v>3.0548081027743423</v>
      </c>
    </row>
    <row r="7374" spans="2:7" ht="15" hidden="1" outlineLevel="2">
      <c r="B7374" s="2889" t="s">
        <v>1632</v>
      </c>
      <c r="C7374" s="2889" t="s">
        <v>1507</v>
      </c>
      <c r="D7374" s="2889" t="s">
        <v>1054</v>
      </c>
      <c r="E7374" s="2889" t="s">
        <v>1426</v>
      </c>
      <c r="F7374" s="3040"/>
      <c r="G7374" s="2890">
        <v>7.075898716159438</v>
      </c>
    </row>
    <row r="7375" spans="2:7" ht="15" hidden="1" outlineLevel="2">
      <c r="B7375" s="2889" t="s">
        <v>1633</v>
      </c>
      <c r="C7375" s="2889" t="s">
        <v>1507</v>
      </c>
      <c r="D7375" s="2889" t="s">
        <v>1054</v>
      </c>
      <c r="E7375" s="2889" t="s">
        <v>1426</v>
      </c>
      <c r="F7375" s="3040"/>
      <c r="G7375" s="2890">
        <v>0.57422432591537742</v>
      </c>
    </row>
    <row r="7376" spans="2:7" ht="15" hidden="1" outlineLevel="2">
      <c r="B7376" s="2889" t="s">
        <v>1634</v>
      </c>
      <c r="C7376" s="2889" t="s">
        <v>1507</v>
      </c>
      <c r="D7376" s="2889" t="s">
        <v>1054</v>
      </c>
      <c r="E7376" s="2889" t="s">
        <v>1426</v>
      </c>
      <c r="F7376" s="3040"/>
      <c r="G7376" s="2890">
        <v>0.10643078236226711</v>
      </c>
    </row>
    <row r="7377" spans="2:7" ht="15" hidden="1" outlineLevel="2">
      <c r="B7377" s="2889" t="s">
        <v>1635</v>
      </c>
      <c r="C7377" s="2889" t="s">
        <v>1507</v>
      </c>
      <c r="D7377" s="2889" t="s">
        <v>1054</v>
      </c>
      <c r="E7377" s="2889" t="s">
        <v>1426</v>
      </c>
      <c r="F7377" s="3040"/>
      <c r="G7377" s="2890">
        <v>0.89771046763246454</v>
      </c>
    </row>
    <row r="7378" spans="2:7" ht="15" hidden="1" outlineLevel="2">
      <c r="B7378" s="2889" t="s">
        <v>1636</v>
      </c>
      <c r="C7378" s="2889" t="s">
        <v>1507</v>
      </c>
      <c r="D7378" s="2889" t="s">
        <v>1054</v>
      </c>
      <c r="E7378" s="2889" t="s">
        <v>1426</v>
      </c>
      <c r="F7378" s="3040"/>
      <c r="G7378" s="2890">
        <v>0.7880521867316288</v>
      </c>
    </row>
    <row r="7379" spans="2:7" ht="15" hidden="1" outlineLevel="2">
      <c r="B7379" s="2889" t="s">
        <v>1637</v>
      </c>
      <c r="C7379" s="2889" t="s">
        <v>1507</v>
      </c>
      <c r="D7379" s="2889" t="s">
        <v>1054</v>
      </c>
      <c r="E7379" s="2889" t="s">
        <v>1426</v>
      </c>
      <c r="F7379" s="2891"/>
      <c r="G7379" s="2890">
        <v>1.3087685247288434</v>
      </c>
    </row>
    <row r="7380" spans="2:7" ht="15" hidden="1" outlineLevel="2">
      <c r="B7380" s="2889" t="s">
        <v>1638</v>
      </c>
      <c r="C7380" s="2889" t="s">
        <v>1507</v>
      </c>
      <c r="D7380" s="2889" t="s">
        <v>1054</v>
      </c>
      <c r="E7380" s="2889" t="s">
        <v>1426</v>
      </c>
      <c r="F7380" s="2891"/>
      <c r="G7380" s="2890">
        <v>0.1708329668738004</v>
      </c>
    </row>
    <row r="7381" spans="2:7" ht="15" hidden="1" outlineLevel="2">
      <c r="B7381" s="2889" t="s">
        <v>1639</v>
      </c>
      <c r="C7381" s="2889" t="s">
        <v>1507</v>
      </c>
      <c r="D7381" s="2889" t="s">
        <v>1054</v>
      </c>
      <c r="E7381" s="2889" t="s">
        <v>1426</v>
      </c>
      <c r="F7381" s="2891"/>
      <c r="G7381" s="2890">
        <v>1.5706431951414932</v>
      </c>
    </row>
    <row r="7382" spans="2:7" ht="15" hidden="1" outlineLevel="2">
      <c r="B7382" s="2889" t="s">
        <v>1640</v>
      </c>
      <c r="C7382" s="2889" t="s">
        <v>1507</v>
      </c>
      <c r="D7382" s="2889" t="s">
        <v>1054</v>
      </c>
      <c r="E7382" s="2889" t="s">
        <v>1426</v>
      </c>
      <c r="F7382" s="2891"/>
      <c r="G7382" s="2890">
        <v>0.36927186949696766</v>
      </c>
    </row>
    <row r="7383" spans="2:7" ht="15" hidden="1" outlineLevel="2">
      <c r="B7383" s="2889" t="s">
        <v>1641</v>
      </c>
      <c r="C7383" s="2889" t="s">
        <v>1507</v>
      </c>
      <c r="D7383" s="2889" t="s">
        <v>1054</v>
      </c>
      <c r="E7383" s="2889" t="s">
        <v>1426</v>
      </c>
      <c r="F7383" s="2891"/>
      <c r="G7383" s="2890">
        <v>1.8915456825712469</v>
      </c>
    </row>
    <row r="7384" spans="2:7" ht="15" hidden="1" outlineLevel="2">
      <c r="B7384" s="2889" t="s">
        <v>1642</v>
      </c>
      <c r="C7384" s="2889" t="s">
        <v>1507</v>
      </c>
      <c r="D7384" s="2889" t="s">
        <v>1054</v>
      </c>
      <c r="E7384" s="2889" t="s">
        <v>1426</v>
      </c>
      <c r="F7384" s="2891"/>
      <c r="G7384" s="2890">
        <v>1.357722794414665</v>
      </c>
    </row>
    <row r="7385" spans="2:7" ht="15" hidden="1" outlineLevel="2">
      <c r="B7385" s="2889" t="s">
        <v>1643</v>
      </c>
      <c r="C7385" s="2889" t="s">
        <v>1507</v>
      </c>
      <c r="D7385" s="2889" t="s">
        <v>1054</v>
      </c>
      <c r="E7385" s="2889" t="s">
        <v>1426</v>
      </c>
      <c r="F7385" s="2891"/>
      <c r="G7385" s="2890">
        <v>0.20073750014539174</v>
      </c>
    </row>
    <row r="7386" spans="2:7" ht="15" hidden="1" outlineLevel="2">
      <c r="B7386" s="2889" t="s">
        <v>1644</v>
      </c>
      <c r="C7386" s="2889" t="s">
        <v>1507</v>
      </c>
      <c r="D7386" s="2889" t="s">
        <v>1054</v>
      </c>
      <c r="E7386" s="2889" t="s">
        <v>1426</v>
      </c>
      <c r="F7386" s="3040"/>
      <c r="G7386" s="2890">
        <v>4.4195705235518714</v>
      </c>
    </row>
    <row r="7387" spans="2:7" ht="15" hidden="1" outlineLevel="2">
      <c r="B7387" s="2889" t="s">
        <v>1645</v>
      </c>
      <c r="C7387" s="2889" t="s">
        <v>1507</v>
      </c>
      <c r="D7387" s="2889" t="s">
        <v>1054</v>
      </c>
      <c r="E7387" s="2889" t="s">
        <v>1426</v>
      </c>
      <c r="F7387" s="3040"/>
      <c r="G7387" s="2890">
        <v>5.0472903490246139</v>
      </c>
    </row>
    <row r="7388" spans="2:7" ht="15" hidden="1" outlineLevel="2">
      <c r="B7388" s="2889" t="s">
        <v>1646</v>
      </c>
      <c r="C7388" s="2889" t="s">
        <v>1507</v>
      </c>
      <c r="D7388" s="2889" t="s">
        <v>1054</v>
      </c>
      <c r="E7388" s="2889" t="s">
        <v>1426</v>
      </c>
      <c r="F7388" s="3040"/>
      <c r="G7388" s="2890">
        <v>0.29515285363729743</v>
      </c>
    </row>
    <row r="7389" spans="2:7" ht="15" hidden="1" outlineLevel="2">
      <c r="B7389" s="2889" t="s">
        <v>1647</v>
      </c>
      <c r="C7389" s="2889" t="s">
        <v>1507</v>
      </c>
      <c r="D7389" s="2889" t="s">
        <v>1054</v>
      </c>
      <c r="E7389" s="2889" t="s">
        <v>1426</v>
      </c>
      <c r="F7389" s="2891"/>
      <c r="G7389" s="2890">
        <v>0.73676032264347846</v>
      </c>
    </row>
    <row r="7390" spans="2:7" ht="15" hidden="1" outlineLevel="2">
      <c r="B7390" s="2889" t="s">
        <v>1648</v>
      </c>
      <c r="C7390" s="2889" t="s">
        <v>1507</v>
      </c>
      <c r="D7390" s="2889" t="s">
        <v>1054</v>
      </c>
      <c r="E7390" s="2889" t="s">
        <v>1426</v>
      </c>
      <c r="F7390" s="3040"/>
      <c r="G7390" s="2890">
        <v>8.2599461990348177E-2</v>
      </c>
    </row>
    <row r="7391" spans="2:7" ht="15" hidden="1" outlineLevel="2">
      <c r="B7391" s="2889" t="s">
        <v>1649</v>
      </c>
      <c r="C7391" s="2889" t="s">
        <v>1507</v>
      </c>
      <c r="D7391" s="2889" t="s">
        <v>1054</v>
      </c>
      <c r="E7391" s="2889" t="s">
        <v>1426</v>
      </c>
      <c r="F7391" s="3040"/>
      <c r="G7391" s="2890">
        <v>0.39179421689414573</v>
      </c>
    </row>
    <row r="7392" spans="2:7" ht="15" hidden="1" outlineLevel="2">
      <c r="B7392" s="2889" t="s">
        <v>1650</v>
      </c>
      <c r="C7392" s="2889" t="s">
        <v>1507</v>
      </c>
      <c r="D7392" s="2889" t="s">
        <v>1054</v>
      </c>
      <c r="E7392" s="2889" t="s">
        <v>1426</v>
      </c>
      <c r="F7392" s="2891"/>
      <c r="G7392" s="2890">
        <v>0.97891415816024718</v>
      </c>
    </row>
    <row r="7393" spans="2:7" ht="15" hidden="1" outlineLevel="2">
      <c r="B7393" s="2889" t="s">
        <v>1651</v>
      </c>
      <c r="C7393" s="2889" t="s">
        <v>1507</v>
      </c>
      <c r="D7393" s="2889" t="s">
        <v>1054</v>
      </c>
      <c r="E7393" s="2889" t="s">
        <v>1426</v>
      </c>
      <c r="F7393" s="3040"/>
      <c r="G7393" s="2890">
        <v>0.53559275834672404</v>
      </c>
    </row>
    <row r="7394" spans="2:7" ht="15" hidden="1" outlineLevel="2">
      <c r="B7394" s="2889" t="s">
        <v>1652</v>
      </c>
      <c r="C7394" s="2889" t="s">
        <v>1507</v>
      </c>
      <c r="D7394" s="2889" t="s">
        <v>1054</v>
      </c>
      <c r="E7394" s="2889" t="s">
        <v>1426</v>
      </c>
      <c r="F7394" s="3040"/>
      <c r="G7394" s="2890">
        <v>0.58812755851015364</v>
      </c>
    </row>
    <row r="7395" spans="2:7" ht="15" hidden="1" outlineLevel="2">
      <c r="B7395" s="2889" t="s">
        <v>1653</v>
      </c>
      <c r="C7395" s="2889" t="s">
        <v>1507</v>
      </c>
      <c r="D7395" s="2889" t="s">
        <v>1054</v>
      </c>
      <c r="E7395" s="2889" t="s">
        <v>1426</v>
      </c>
      <c r="F7395" s="3040"/>
      <c r="G7395" s="2890">
        <v>2.5468520671224045E-31</v>
      </c>
    </row>
    <row r="7396" spans="2:7" ht="15" hidden="1" outlineLevel="2">
      <c r="B7396" s="2889" t="s">
        <v>1407</v>
      </c>
      <c r="C7396" s="2889" t="s">
        <v>1508</v>
      </c>
      <c r="D7396" s="2889" t="s">
        <v>1054</v>
      </c>
      <c r="E7396" s="2889" t="s">
        <v>1426</v>
      </c>
      <c r="F7396" s="2891"/>
      <c r="G7396" s="2890">
        <v>3.0326834664232796</v>
      </c>
    </row>
    <row r="7397" spans="2:7" ht="15" hidden="1" outlineLevel="2">
      <c r="B7397" s="2889" t="s">
        <v>1631</v>
      </c>
      <c r="C7397" s="2889" t="s">
        <v>1508</v>
      </c>
      <c r="D7397" s="2889" t="s">
        <v>1054</v>
      </c>
      <c r="E7397" s="2889" t="s">
        <v>1426</v>
      </c>
      <c r="F7397" s="3039">
        <v>3.590689941708095E-3</v>
      </c>
      <c r="G7397" s="2890">
        <v>50.326874473500737</v>
      </c>
    </row>
    <row r="7398" spans="2:7" ht="15" hidden="1" outlineLevel="2">
      <c r="B7398" s="2889" t="s">
        <v>1632</v>
      </c>
      <c r="C7398" s="2889" t="s">
        <v>1508</v>
      </c>
      <c r="D7398" s="2889" t="s">
        <v>1054</v>
      </c>
      <c r="E7398" s="2889" t="s">
        <v>1426</v>
      </c>
      <c r="F7398" s="2891"/>
      <c r="G7398" s="2890">
        <v>116.57292280712215</v>
      </c>
    </row>
    <row r="7399" spans="2:7" ht="15" hidden="1" outlineLevel="2">
      <c r="B7399" s="2889" t="s">
        <v>1633</v>
      </c>
      <c r="C7399" s="2889" t="s">
        <v>1508</v>
      </c>
      <c r="D7399" s="2889" t="s">
        <v>1054</v>
      </c>
      <c r="E7399" s="2889" t="s">
        <v>1426</v>
      </c>
      <c r="F7399" s="3040"/>
      <c r="G7399" s="2890">
        <v>9.4601418637078716</v>
      </c>
    </row>
    <row r="7400" spans="2:7" ht="15" hidden="1" outlineLevel="2">
      <c r="B7400" s="2889" t="s">
        <v>1634</v>
      </c>
      <c r="C7400" s="2889" t="s">
        <v>1508</v>
      </c>
      <c r="D7400" s="2889" t="s">
        <v>1054</v>
      </c>
      <c r="E7400" s="2889" t="s">
        <v>1426</v>
      </c>
      <c r="F7400" s="3040"/>
      <c r="G7400" s="2890">
        <v>1.7534099732987725</v>
      </c>
    </row>
    <row r="7401" spans="2:7" ht="15" hidden="1" outlineLevel="2">
      <c r="B7401" s="2889" t="s">
        <v>1635</v>
      </c>
      <c r="C7401" s="2889" t="s">
        <v>1508</v>
      </c>
      <c r="D7401" s="2889" t="s">
        <v>1054</v>
      </c>
      <c r="E7401" s="2889" t="s">
        <v>1426</v>
      </c>
      <c r="F7401" s="3040"/>
      <c r="G7401" s="2890">
        <v>14.789460675878855</v>
      </c>
    </row>
    <row r="7402" spans="2:7" ht="15" hidden="1" outlineLevel="2">
      <c r="B7402" s="2889" t="s">
        <v>1636</v>
      </c>
      <c r="C7402" s="2889" t="s">
        <v>1508</v>
      </c>
      <c r="D7402" s="2889" t="s">
        <v>1054</v>
      </c>
      <c r="E7402" s="2889" t="s">
        <v>1426</v>
      </c>
      <c r="F7402" s="3040"/>
      <c r="G7402" s="2890">
        <v>12.982880868184967</v>
      </c>
    </row>
    <row r="7403" spans="2:7" ht="15" hidden="1" outlineLevel="2">
      <c r="B7403" s="2889" t="s">
        <v>1637</v>
      </c>
      <c r="C7403" s="2889" t="s">
        <v>1508</v>
      </c>
      <c r="D7403" s="2889" t="s">
        <v>1054</v>
      </c>
      <c r="E7403" s="2889" t="s">
        <v>1426</v>
      </c>
      <c r="F7403" s="3040"/>
      <c r="G7403" s="2890">
        <v>21.561494429427956</v>
      </c>
    </row>
    <row r="7404" spans="2:7" ht="15" hidden="1" outlineLevel="2">
      <c r="B7404" s="2889" t="s">
        <v>1638</v>
      </c>
      <c r="C7404" s="2889" t="s">
        <v>1508</v>
      </c>
      <c r="D7404" s="2889" t="s">
        <v>1054</v>
      </c>
      <c r="E7404" s="2889" t="s">
        <v>1426</v>
      </c>
      <c r="F7404" s="3040"/>
      <c r="G7404" s="2890">
        <v>2.8144126943632424</v>
      </c>
    </row>
    <row r="7405" spans="2:7" ht="15" hidden="1" outlineLevel="2">
      <c r="B7405" s="2889" t="s">
        <v>1639</v>
      </c>
      <c r="C7405" s="2889" t="s">
        <v>1508</v>
      </c>
      <c r="D7405" s="2889" t="s">
        <v>1054</v>
      </c>
      <c r="E7405" s="2889" t="s">
        <v>1426</v>
      </c>
      <c r="F7405" s="3040"/>
      <c r="G7405" s="2890">
        <v>25.875793057513835</v>
      </c>
    </row>
    <row r="7406" spans="2:7" ht="15" hidden="1" outlineLevel="2">
      <c r="B7406" s="2889" t="s">
        <v>1640</v>
      </c>
      <c r="C7406" s="2889" t="s">
        <v>1508</v>
      </c>
      <c r="D7406" s="2889" t="s">
        <v>1054</v>
      </c>
      <c r="E7406" s="2889" t="s">
        <v>1426</v>
      </c>
      <c r="F7406" s="3040"/>
      <c r="G7406" s="2890">
        <v>6.0836219398820734</v>
      </c>
    </row>
    <row r="7407" spans="2:7" ht="15" hidden="1" outlineLevel="2">
      <c r="B7407" s="2889" t="s">
        <v>1641</v>
      </c>
      <c r="C7407" s="2889" t="s">
        <v>1508</v>
      </c>
      <c r="D7407" s="2889" t="s">
        <v>1054</v>
      </c>
      <c r="E7407" s="2889" t="s">
        <v>1426</v>
      </c>
      <c r="F7407" s="3040"/>
      <c r="G7407" s="2890">
        <v>31.162552686777417</v>
      </c>
    </row>
    <row r="7408" spans="2:7" ht="15" hidden="1" outlineLevel="2">
      <c r="B7408" s="2889" t="s">
        <v>1642</v>
      </c>
      <c r="C7408" s="2889" t="s">
        <v>1508</v>
      </c>
      <c r="D7408" s="2889" t="s">
        <v>1054</v>
      </c>
      <c r="E7408" s="2889" t="s">
        <v>1426</v>
      </c>
      <c r="F7408" s="3040"/>
      <c r="G7408" s="2890">
        <v>22.36800184520596</v>
      </c>
    </row>
    <row r="7409" spans="2:7" ht="15" hidden="1" outlineLevel="2">
      <c r="B7409" s="2889" t="s">
        <v>1643</v>
      </c>
      <c r="C7409" s="2889" t="s">
        <v>1508</v>
      </c>
      <c r="D7409" s="2889" t="s">
        <v>1054</v>
      </c>
      <c r="E7409" s="2889" t="s">
        <v>1426</v>
      </c>
      <c r="F7409" s="3040"/>
      <c r="G7409" s="2890">
        <v>3.3070795667856387</v>
      </c>
    </row>
    <row r="7410" spans="2:7" ht="15" hidden="1" outlineLevel="2">
      <c r="B7410" s="2889" t="s">
        <v>1644</v>
      </c>
      <c r="C7410" s="2889" t="s">
        <v>1508</v>
      </c>
      <c r="D7410" s="2889" t="s">
        <v>1054</v>
      </c>
      <c r="E7410" s="2889" t="s">
        <v>1426</v>
      </c>
      <c r="F7410" s="2891"/>
      <c r="G7410" s="2890">
        <v>72.810882868562473</v>
      </c>
    </row>
    <row r="7411" spans="2:7" ht="15" hidden="1" outlineLevel="2">
      <c r="B7411" s="2889" t="s">
        <v>1645</v>
      </c>
      <c r="C7411" s="2889" t="s">
        <v>1508</v>
      </c>
      <c r="D7411" s="2889" t="s">
        <v>1054</v>
      </c>
      <c r="E7411" s="2889" t="s">
        <v>1426</v>
      </c>
      <c r="F7411" s="2891"/>
      <c r="G7411" s="2890">
        <v>83.152305028815064</v>
      </c>
    </row>
    <row r="7412" spans="2:7" ht="15" hidden="1" outlineLevel="2">
      <c r="B7412" s="2889" t="s">
        <v>1646</v>
      </c>
      <c r="C7412" s="2889" t="s">
        <v>1508</v>
      </c>
      <c r="D7412" s="2889" t="s">
        <v>1054</v>
      </c>
      <c r="E7412" s="2889" t="s">
        <v>1426</v>
      </c>
      <c r="F7412" s="3040"/>
      <c r="G7412" s="2890">
        <v>4.8625395398210305</v>
      </c>
    </row>
    <row r="7413" spans="2:7" ht="15" hidden="1" outlineLevel="2">
      <c r="B7413" s="2889" t="s">
        <v>1647</v>
      </c>
      <c r="C7413" s="2889" t="s">
        <v>1508</v>
      </c>
      <c r="D7413" s="2889" t="s">
        <v>1054</v>
      </c>
      <c r="E7413" s="2889" t="s">
        <v>1426</v>
      </c>
      <c r="F7413" s="3040"/>
      <c r="G7413" s="2890">
        <v>12.137865491772672</v>
      </c>
    </row>
    <row r="7414" spans="2:7" ht="15" hidden="1" outlineLevel="2">
      <c r="B7414" s="2889" t="s">
        <v>1648</v>
      </c>
      <c r="C7414" s="2889" t="s">
        <v>1508</v>
      </c>
      <c r="D7414" s="2889" t="s">
        <v>1054</v>
      </c>
      <c r="E7414" s="2889" t="s">
        <v>1426</v>
      </c>
      <c r="F7414" s="3040"/>
      <c r="G7414" s="2890">
        <v>1.3607966960553299</v>
      </c>
    </row>
    <row r="7415" spans="2:7" ht="15" hidden="1" outlineLevel="2">
      <c r="B7415" s="2889" t="s">
        <v>1649</v>
      </c>
      <c r="C7415" s="2889" t="s">
        <v>1508</v>
      </c>
      <c r="D7415" s="2889" t="s">
        <v>1054</v>
      </c>
      <c r="E7415" s="2889" t="s">
        <v>1426</v>
      </c>
      <c r="F7415" s="3040"/>
      <c r="G7415" s="2890">
        <v>6.4546701951434704</v>
      </c>
    </row>
    <row r="7416" spans="2:7" ht="15" hidden="1" outlineLevel="2">
      <c r="B7416" s="2889" t="s">
        <v>1650</v>
      </c>
      <c r="C7416" s="2889" t="s">
        <v>1508</v>
      </c>
      <c r="D7416" s="2889" t="s">
        <v>1054</v>
      </c>
      <c r="E7416" s="2889" t="s">
        <v>1426</v>
      </c>
      <c r="F7416" s="3040"/>
      <c r="G7416" s="2890">
        <v>16.12726511964815</v>
      </c>
    </row>
    <row r="7417" spans="2:7" ht="15" hidden="1" outlineLevel="2">
      <c r="B7417" s="2889" t="s">
        <v>1651</v>
      </c>
      <c r="C7417" s="2889" t="s">
        <v>1508</v>
      </c>
      <c r="D7417" s="2889" t="s">
        <v>1054</v>
      </c>
      <c r="E7417" s="2889" t="s">
        <v>1426</v>
      </c>
      <c r="F7417" s="3040"/>
      <c r="G7417" s="2890">
        <v>8.823699840115987</v>
      </c>
    </row>
    <row r="7418" spans="2:7" ht="15" hidden="1" outlineLevel="2">
      <c r="B7418" s="2889" t="s">
        <v>1652</v>
      </c>
      <c r="C7418" s="2889" t="s">
        <v>1508</v>
      </c>
      <c r="D7418" s="2889" t="s">
        <v>1054</v>
      </c>
      <c r="E7418" s="2889" t="s">
        <v>1426</v>
      </c>
      <c r="F7418" s="3040"/>
      <c r="G7418" s="2890">
        <v>9.6891965780686427</v>
      </c>
    </row>
    <row r="7419" spans="2:7" ht="15" hidden="1" outlineLevel="2">
      <c r="B7419" s="2889" t="s">
        <v>1653</v>
      </c>
      <c r="C7419" s="2889" t="s">
        <v>1508</v>
      </c>
      <c r="D7419" s="2889" t="s">
        <v>1054</v>
      </c>
      <c r="E7419" s="2889" t="s">
        <v>1426</v>
      </c>
      <c r="F7419" s="3040"/>
      <c r="G7419" s="2890">
        <v>5.6807384089217021E-32</v>
      </c>
    </row>
    <row r="7420" spans="2:7" ht="15" hidden="1" outlineLevel="2">
      <c r="B7420" s="2889" t="s">
        <v>1407</v>
      </c>
      <c r="C7420" s="2889" t="s">
        <v>1509</v>
      </c>
      <c r="D7420" s="2889" t="s">
        <v>1054</v>
      </c>
      <c r="E7420" s="2889" t="s">
        <v>1426</v>
      </c>
      <c r="F7420" s="3040"/>
      <c r="G7420" s="2890">
        <v>282.67437396437674</v>
      </c>
    </row>
    <row r="7421" spans="2:7" ht="15" hidden="1" outlineLevel="2">
      <c r="B7421" s="2889" t="s">
        <v>1631</v>
      </c>
      <c r="C7421" s="2889" t="s">
        <v>1509</v>
      </c>
      <c r="D7421" s="2889" t="s">
        <v>1054</v>
      </c>
      <c r="E7421" s="2889" t="s">
        <v>1426</v>
      </c>
      <c r="F7421" s="2890">
        <v>0.16404737994373894</v>
      </c>
      <c r="G7421" s="2890">
        <v>4690.9365503674626</v>
      </c>
    </row>
    <row r="7422" spans="2:7" ht="15" hidden="1" outlineLevel="2">
      <c r="B7422" s="2889" t="s">
        <v>1632</v>
      </c>
      <c r="C7422" s="2889" t="s">
        <v>1509</v>
      </c>
      <c r="D7422" s="2889" t="s">
        <v>1054</v>
      </c>
      <c r="E7422" s="2889" t="s">
        <v>1426</v>
      </c>
      <c r="F7422" s="3040"/>
      <c r="G7422" s="2890">
        <v>10865.686254759386</v>
      </c>
    </row>
    <row r="7423" spans="2:7" ht="15" hidden="1" outlineLevel="2">
      <c r="B7423" s="2889" t="s">
        <v>1633</v>
      </c>
      <c r="C7423" s="2889" t="s">
        <v>1509</v>
      </c>
      <c r="D7423" s="2889" t="s">
        <v>1054</v>
      </c>
      <c r="E7423" s="2889" t="s">
        <v>1426</v>
      </c>
      <c r="F7423" s="3040"/>
      <c r="G7423" s="2890">
        <v>881.77355995995629</v>
      </c>
    </row>
    <row r="7424" spans="2:7" ht="15" hidden="1" outlineLevel="2">
      <c r="B7424" s="2889" t="s">
        <v>1634</v>
      </c>
      <c r="C7424" s="2889" t="s">
        <v>1509</v>
      </c>
      <c r="D7424" s="2889" t="s">
        <v>1054</v>
      </c>
      <c r="E7424" s="2889" t="s">
        <v>1426</v>
      </c>
      <c r="F7424" s="3040"/>
      <c r="G7424" s="2890">
        <v>163.43420550267908</v>
      </c>
    </row>
    <row r="7425" spans="2:7" ht="15" hidden="1" outlineLevel="2">
      <c r="B7425" s="2889" t="s">
        <v>1635</v>
      </c>
      <c r="C7425" s="2889" t="s">
        <v>1509</v>
      </c>
      <c r="D7425" s="2889" t="s">
        <v>1054</v>
      </c>
      <c r="E7425" s="2889" t="s">
        <v>1426</v>
      </c>
      <c r="F7425" s="3040"/>
      <c r="G7425" s="2890">
        <v>1378.5157803827847</v>
      </c>
    </row>
    <row r="7426" spans="2:7" ht="15" hidden="1" outlineLevel="2">
      <c r="B7426" s="2889" t="s">
        <v>1636</v>
      </c>
      <c r="C7426" s="2889" t="s">
        <v>1509</v>
      </c>
      <c r="D7426" s="2889" t="s">
        <v>1054</v>
      </c>
      <c r="E7426" s="2889" t="s">
        <v>1426</v>
      </c>
      <c r="F7426" s="3040"/>
      <c r="G7426" s="2890">
        <v>1210.1257431736922</v>
      </c>
    </row>
    <row r="7427" spans="2:7" ht="15" hidden="1" outlineLevel="2">
      <c r="B7427" s="2889" t="s">
        <v>1637</v>
      </c>
      <c r="C7427" s="2889" t="s">
        <v>1509</v>
      </c>
      <c r="D7427" s="2889" t="s">
        <v>1054</v>
      </c>
      <c r="E7427" s="2889" t="s">
        <v>1426</v>
      </c>
      <c r="F7427" s="2891"/>
      <c r="G7427" s="2890">
        <v>2009.7327424342986</v>
      </c>
    </row>
    <row r="7428" spans="2:7" ht="15" hidden="1" outlineLevel="2">
      <c r="B7428" s="2889" t="s">
        <v>1638</v>
      </c>
      <c r="C7428" s="2889" t="s">
        <v>1509</v>
      </c>
      <c r="D7428" s="2889" t="s">
        <v>1054</v>
      </c>
      <c r="E7428" s="2889" t="s">
        <v>1426</v>
      </c>
      <c r="F7428" s="2891"/>
      <c r="G7428" s="2890">
        <v>262.32954611814</v>
      </c>
    </row>
    <row r="7429" spans="2:7" ht="15" hidden="1" outlineLevel="2">
      <c r="B7429" s="2889" t="s">
        <v>1639</v>
      </c>
      <c r="C7429" s="2889" t="s">
        <v>1509</v>
      </c>
      <c r="D7429" s="2889" t="s">
        <v>1054</v>
      </c>
      <c r="E7429" s="2889" t="s">
        <v>1426</v>
      </c>
      <c r="F7429" s="2891"/>
      <c r="G7429" s="2890">
        <v>2411.8658127272233</v>
      </c>
    </row>
    <row r="7430" spans="2:7" ht="15" hidden="1" outlineLevel="2">
      <c r="B7430" s="2889" t="s">
        <v>1640</v>
      </c>
      <c r="C7430" s="2889" t="s">
        <v>1509</v>
      </c>
      <c r="D7430" s="2889" t="s">
        <v>1054</v>
      </c>
      <c r="E7430" s="2889" t="s">
        <v>1426</v>
      </c>
      <c r="F7430" s="2891"/>
      <c r="G7430" s="2890">
        <v>567.05042575436164</v>
      </c>
    </row>
    <row r="7431" spans="2:7" ht="15" hidden="1" outlineLevel="2">
      <c r="B7431" s="2889" t="s">
        <v>1641</v>
      </c>
      <c r="C7431" s="2889" t="s">
        <v>1509</v>
      </c>
      <c r="D7431" s="2889" t="s">
        <v>1054</v>
      </c>
      <c r="E7431" s="2889" t="s">
        <v>1426</v>
      </c>
      <c r="F7431" s="2891"/>
      <c r="G7431" s="2890">
        <v>2904.640285784425</v>
      </c>
    </row>
    <row r="7432" spans="2:7" ht="15" hidden="1" outlineLevel="2">
      <c r="B7432" s="2889" t="s">
        <v>1642</v>
      </c>
      <c r="C7432" s="2889" t="s">
        <v>1509</v>
      </c>
      <c r="D7432" s="2889" t="s">
        <v>1054</v>
      </c>
      <c r="E7432" s="2889" t="s">
        <v>1426</v>
      </c>
      <c r="F7432" s="2891"/>
      <c r="G7432" s="2890">
        <v>2084.9066631256774</v>
      </c>
    </row>
    <row r="7433" spans="2:7" ht="15" hidden="1" outlineLevel="2">
      <c r="B7433" s="2889" t="s">
        <v>1643</v>
      </c>
      <c r="C7433" s="2889" t="s">
        <v>1509</v>
      </c>
      <c r="D7433" s="2889" t="s">
        <v>1054</v>
      </c>
      <c r="E7433" s="2889" t="s">
        <v>1426</v>
      </c>
      <c r="F7433" s="2891"/>
      <c r="G7433" s="2890">
        <v>308.25072502330681</v>
      </c>
    </row>
    <row r="7434" spans="2:7" ht="15" hidden="1" outlineLevel="2">
      <c r="B7434" s="2889" t="s">
        <v>1644</v>
      </c>
      <c r="C7434" s="2889" t="s">
        <v>1509</v>
      </c>
      <c r="D7434" s="2889" t="s">
        <v>1054</v>
      </c>
      <c r="E7434" s="2889" t="s">
        <v>1426</v>
      </c>
      <c r="F7434" s="2891"/>
      <c r="G7434" s="2890">
        <v>6786.6515097111951</v>
      </c>
    </row>
    <row r="7435" spans="2:7" ht="15" hidden="1" outlineLevel="2">
      <c r="B7435" s="2889" t="s">
        <v>1645</v>
      </c>
      <c r="C7435" s="2889" t="s">
        <v>1509</v>
      </c>
      <c r="D7435" s="2889" t="s">
        <v>1054</v>
      </c>
      <c r="E7435" s="2889" t="s">
        <v>1426</v>
      </c>
      <c r="F7435" s="2891"/>
      <c r="G7435" s="2890">
        <v>7750.5724765012646</v>
      </c>
    </row>
    <row r="7436" spans="2:7" ht="15" hidden="1" outlineLevel="2">
      <c r="B7436" s="2889" t="s">
        <v>1646</v>
      </c>
      <c r="C7436" s="2889" t="s">
        <v>1509</v>
      </c>
      <c r="D7436" s="2889" t="s">
        <v>1054</v>
      </c>
      <c r="E7436" s="2889" t="s">
        <v>1426</v>
      </c>
      <c r="F7436" s="2891"/>
      <c r="G7436" s="2890">
        <v>453.23406519921525</v>
      </c>
    </row>
    <row r="7437" spans="2:7" ht="15" hidden="1" outlineLevel="2">
      <c r="B7437" s="2889" t="s">
        <v>1647</v>
      </c>
      <c r="C7437" s="2889" t="s">
        <v>1509</v>
      </c>
      <c r="D7437" s="2889" t="s">
        <v>1054</v>
      </c>
      <c r="E7437" s="2889" t="s">
        <v>1426</v>
      </c>
      <c r="F7437" s="3040"/>
      <c r="G7437" s="2890">
        <v>1131.3624267435302</v>
      </c>
    </row>
    <row r="7438" spans="2:7" ht="15" hidden="1" outlineLevel="2">
      <c r="B7438" s="2889" t="s">
        <v>1648</v>
      </c>
      <c r="C7438" s="2889" t="s">
        <v>1509</v>
      </c>
      <c r="D7438" s="2889" t="s">
        <v>1054</v>
      </c>
      <c r="E7438" s="2889" t="s">
        <v>1426</v>
      </c>
      <c r="F7438" s="3040"/>
      <c r="G7438" s="2890">
        <v>126.83896547960863</v>
      </c>
    </row>
    <row r="7439" spans="2:7" ht="15" hidden="1" outlineLevel="2">
      <c r="B7439" s="2889" t="s">
        <v>1649</v>
      </c>
      <c r="C7439" s="2889" t="s">
        <v>1509</v>
      </c>
      <c r="D7439" s="2889" t="s">
        <v>1054</v>
      </c>
      <c r="E7439" s="2889" t="s">
        <v>1426</v>
      </c>
      <c r="F7439" s="2891"/>
      <c r="G7439" s="2890">
        <v>601.63573311262144</v>
      </c>
    </row>
    <row r="7440" spans="2:7" ht="15" hidden="1" outlineLevel="2">
      <c r="B7440" s="2889" t="s">
        <v>1650</v>
      </c>
      <c r="C7440" s="2889" t="s">
        <v>1509</v>
      </c>
      <c r="D7440" s="2889" t="s">
        <v>1054</v>
      </c>
      <c r="E7440" s="2889" t="s">
        <v>1426</v>
      </c>
      <c r="F7440" s="3040"/>
      <c r="G7440" s="2890">
        <v>1503.2119196789545</v>
      </c>
    </row>
    <row r="7441" spans="2:7" ht="15" hidden="1" outlineLevel="2">
      <c r="B7441" s="2889" t="s">
        <v>1651</v>
      </c>
      <c r="C7441" s="2889" t="s">
        <v>1509</v>
      </c>
      <c r="D7441" s="2889" t="s">
        <v>1054</v>
      </c>
      <c r="E7441" s="2889" t="s">
        <v>1426</v>
      </c>
      <c r="F7441" s="3040"/>
      <c r="G7441" s="2890">
        <v>822.45128173444971</v>
      </c>
    </row>
    <row r="7442" spans="2:7" ht="15" hidden="1" outlineLevel="2">
      <c r="B7442" s="2889" t="s">
        <v>1652</v>
      </c>
      <c r="C7442" s="2889" t="s">
        <v>1509</v>
      </c>
      <c r="D7442" s="2889" t="s">
        <v>1054</v>
      </c>
      <c r="E7442" s="2889" t="s">
        <v>1426</v>
      </c>
      <c r="F7442" s="3040"/>
      <c r="G7442" s="2890">
        <v>903.12340345594691</v>
      </c>
    </row>
    <row r="7443" spans="2:7" ht="15" hidden="1" outlineLevel="2">
      <c r="B7443" s="2889" t="s">
        <v>1653</v>
      </c>
      <c r="C7443" s="2889" t="s">
        <v>1509</v>
      </c>
      <c r="D7443" s="2889" t="s">
        <v>1054</v>
      </c>
      <c r="E7443" s="2889" t="s">
        <v>1426</v>
      </c>
      <c r="F7443" s="3040"/>
      <c r="G7443" s="2890">
        <v>2.1908390456812876E-29</v>
      </c>
    </row>
    <row r="7444" spans="2:7" ht="15" hidden="1" outlineLevel="2">
      <c r="B7444" s="2889" t="s">
        <v>1407</v>
      </c>
      <c r="C7444" s="2889" t="s">
        <v>1510</v>
      </c>
      <c r="D7444" s="2889" t="s">
        <v>1054</v>
      </c>
      <c r="E7444" s="2889" t="s">
        <v>1426</v>
      </c>
      <c r="F7444" s="3040"/>
      <c r="G7444" s="2890">
        <v>307.49028747185116</v>
      </c>
    </row>
    <row r="7445" spans="2:7" ht="15" hidden="1" outlineLevel="2">
      <c r="B7445" s="2889" t="s">
        <v>1631</v>
      </c>
      <c r="C7445" s="2889" t="s">
        <v>1510</v>
      </c>
      <c r="D7445" s="2889" t="s">
        <v>1054</v>
      </c>
      <c r="E7445" s="2889" t="s">
        <v>1426</v>
      </c>
      <c r="F7445" s="2890">
        <v>0.13850505320868839</v>
      </c>
      <c r="G7445" s="2890">
        <v>5102.7528402799371</v>
      </c>
    </row>
    <row r="7446" spans="2:7" ht="15" hidden="1" outlineLevel="2">
      <c r="B7446" s="2889" t="s">
        <v>1632</v>
      </c>
      <c r="C7446" s="2889" t="s">
        <v>1510</v>
      </c>
      <c r="D7446" s="2889" t="s">
        <v>1054</v>
      </c>
      <c r="E7446" s="2889" t="s">
        <v>1426</v>
      </c>
      <c r="F7446" s="3040"/>
      <c r="G7446" s="2890">
        <v>11819.579543334396</v>
      </c>
    </row>
    <row r="7447" spans="2:7" ht="15" hidden="1" outlineLevel="2">
      <c r="B7447" s="2889" t="s">
        <v>1633</v>
      </c>
      <c r="C7447" s="2889" t="s">
        <v>1510</v>
      </c>
      <c r="D7447" s="2889" t="s">
        <v>1054</v>
      </c>
      <c r="E7447" s="2889" t="s">
        <v>1426</v>
      </c>
      <c r="F7447" s="3040"/>
      <c r="G7447" s="2890">
        <v>959.18422030798592</v>
      </c>
    </row>
    <row r="7448" spans="2:7" ht="15" hidden="1" outlineLevel="2">
      <c r="B7448" s="2889" t="s">
        <v>1634</v>
      </c>
      <c r="C7448" s="2889" t="s">
        <v>1510</v>
      </c>
      <c r="D7448" s="2889" t="s">
        <v>1054</v>
      </c>
      <c r="E7448" s="2889" t="s">
        <v>1426</v>
      </c>
      <c r="F7448" s="3040"/>
      <c r="G7448" s="2890">
        <v>177.78200492789742</v>
      </c>
    </row>
    <row r="7449" spans="2:7" ht="15" hidden="1" outlineLevel="2">
      <c r="B7449" s="2889" t="s">
        <v>1635</v>
      </c>
      <c r="C7449" s="2889" t="s">
        <v>1510</v>
      </c>
      <c r="D7449" s="2889" t="s">
        <v>1054</v>
      </c>
      <c r="E7449" s="2889" t="s">
        <v>1426</v>
      </c>
      <c r="F7449" s="3040"/>
      <c r="G7449" s="2890">
        <v>1499.534816964331</v>
      </c>
    </row>
    <row r="7450" spans="2:7" ht="15" hidden="1" outlineLevel="2">
      <c r="B7450" s="2889" t="s">
        <v>1636</v>
      </c>
      <c r="C7450" s="2889" t="s">
        <v>1510</v>
      </c>
      <c r="D7450" s="2889" t="s">
        <v>1054</v>
      </c>
      <c r="E7450" s="2889" t="s">
        <v>1426</v>
      </c>
      <c r="F7450" s="3040"/>
      <c r="G7450" s="2890">
        <v>1316.3619082542227</v>
      </c>
    </row>
    <row r="7451" spans="2:7" ht="15" hidden="1" outlineLevel="2">
      <c r="B7451" s="2889" t="s">
        <v>1637</v>
      </c>
      <c r="C7451" s="2889" t="s">
        <v>1510</v>
      </c>
      <c r="D7451" s="2889" t="s">
        <v>1054</v>
      </c>
      <c r="E7451" s="2889" t="s">
        <v>1426</v>
      </c>
      <c r="F7451" s="3040"/>
      <c r="G7451" s="2890">
        <v>2186.1666266778593</v>
      </c>
    </row>
    <row r="7452" spans="2:7" ht="15" hidden="1" outlineLevel="2">
      <c r="B7452" s="2889" t="s">
        <v>1638</v>
      </c>
      <c r="C7452" s="2889" t="s">
        <v>1510</v>
      </c>
      <c r="D7452" s="2889" t="s">
        <v>1054</v>
      </c>
      <c r="E7452" s="2889" t="s">
        <v>1426</v>
      </c>
      <c r="F7452" s="3040"/>
      <c r="G7452" s="2890">
        <v>285.35936805910882</v>
      </c>
    </row>
    <row r="7453" spans="2:7" ht="15" hidden="1" outlineLevel="2">
      <c r="B7453" s="2889" t="s">
        <v>1639</v>
      </c>
      <c r="C7453" s="2889" t="s">
        <v>1510</v>
      </c>
      <c r="D7453" s="2889" t="s">
        <v>1054</v>
      </c>
      <c r="E7453" s="2889" t="s">
        <v>1426</v>
      </c>
      <c r="F7453" s="3040"/>
      <c r="G7453" s="2890">
        <v>2623.6022907252782</v>
      </c>
    </row>
    <row r="7454" spans="2:7" ht="15" hidden="1" outlineLevel="2">
      <c r="B7454" s="2889" t="s">
        <v>1640</v>
      </c>
      <c r="C7454" s="2889" t="s">
        <v>1510</v>
      </c>
      <c r="D7454" s="2889" t="s">
        <v>1054</v>
      </c>
      <c r="E7454" s="2889" t="s">
        <v>1426</v>
      </c>
      <c r="F7454" s="3040"/>
      <c r="G7454" s="2890">
        <v>616.8317315608117</v>
      </c>
    </row>
    <row r="7455" spans="2:7" ht="15" hidden="1" outlineLevel="2">
      <c r="B7455" s="2889" t="s">
        <v>1641</v>
      </c>
      <c r="C7455" s="2889" t="s">
        <v>1510</v>
      </c>
      <c r="D7455" s="2889" t="s">
        <v>1054</v>
      </c>
      <c r="E7455" s="2889" t="s">
        <v>1426</v>
      </c>
      <c r="F7455" s="3040"/>
      <c r="G7455" s="2890">
        <v>3159.6383806230751</v>
      </c>
    </row>
    <row r="7456" spans="2:7" ht="15" hidden="1" outlineLevel="2">
      <c r="B7456" s="2889" t="s">
        <v>1642</v>
      </c>
      <c r="C7456" s="2889" t="s">
        <v>1510</v>
      </c>
      <c r="D7456" s="2889" t="s">
        <v>1054</v>
      </c>
      <c r="E7456" s="2889" t="s">
        <v>1426</v>
      </c>
      <c r="F7456" s="3040"/>
      <c r="G7456" s="2890">
        <v>2267.9394626048952</v>
      </c>
    </row>
    <row r="7457" spans="2:7" ht="15" hidden="1" outlineLevel="2">
      <c r="B7457" s="2889" t="s">
        <v>1643</v>
      </c>
      <c r="C7457" s="2889" t="s">
        <v>1510</v>
      </c>
      <c r="D7457" s="2889" t="s">
        <v>1054</v>
      </c>
      <c r="E7457" s="2889" t="s">
        <v>1426</v>
      </c>
      <c r="F7457" s="3040"/>
      <c r="G7457" s="2890">
        <v>335.31198947510609</v>
      </c>
    </row>
    <row r="7458" spans="2:7" ht="15" hidden="1" outlineLevel="2">
      <c r="B7458" s="2889" t="s">
        <v>1644</v>
      </c>
      <c r="C7458" s="2889" t="s">
        <v>1510</v>
      </c>
      <c r="D7458" s="2889" t="s">
        <v>1054</v>
      </c>
      <c r="E7458" s="2889" t="s">
        <v>1426</v>
      </c>
      <c r="F7458" s="3040"/>
      <c r="G7458" s="2890">
        <v>7382.4523179520675</v>
      </c>
    </row>
    <row r="7459" spans="2:7" ht="15" hidden="1" outlineLevel="2">
      <c r="B7459" s="2889" t="s">
        <v>1645</v>
      </c>
      <c r="C7459" s="2889" t="s">
        <v>1510</v>
      </c>
      <c r="D7459" s="2889" t="s">
        <v>1054</v>
      </c>
      <c r="E7459" s="2889" t="s">
        <v>1426</v>
      </c>
      <c r="F7459" s="3040"/>
      <c r="G7459" s="2890">
        <v>8430.9901174119241</v>
      </c>
    </row>
    <row r="7460" spans="2:7" ht="15" hidden="1" outlineLevel="2">
      <c r="B7460" s="2889" t="s">
        <v>1646</v>
      </c>
      <c r="C7460" s="2889" t="s">
        <v>1510</v>
      </c>
      <c r="D7460" s="2889" t="s">
        <v>1054</v>
      </c>
      <c r="E7460" s="2889" t="s">
        <v>1426</v>
      </c>
      <c r="F7460" s="2891"/>
      <c r="G7460" s="2890">
        <v>493.02326910069604</v>
      </c>
    </row>
    <row r="7461" spans="2:7" ht="15" hidden="1" outlineLevel="2">
      <c r="B7461" s="2889" t="s">
        <v>1647</v>
      </c>
      <c r="C7461" s="2889" t="s">
        <v>1510</v>
      </c>
      <c r="D7461" s="2889" t="s">
        <v>1054</v>
      </c>
      <c r="E7461" s="2889" t="s">
        <v>1426</v>
      </c>
      <c r="F7461" s="2891"/>
      <c r="G7461" s="2890">
        <v>1230.6844237356636</v>
      </c>
    </row>
    <row r="7462" spans="2:7" ht="15" hidden="1" outlineLevel="2">
      <c r="B7462" s="2889" t="s">
        <v>1648</v>
      </c>
      <c r="C7462" s="2889" t="s">
        <v>1510</v>
      </c>
      <c r="D7462" s="2889" t="s">
        <v>1054</v>
      </c>
      <c r="E7462" s="2889" t="s">
        <v>1426</v>
      </c>
      <c r="F7462" s="2891"/>
      <c r="G7462" s="2890">
        <v>137.974104709226</v>
      </c>
    </row>
    <row r="7463" spans="2:7" ht="15" hidden="1" outlineLevel="2">
      <c r="B7463" s="2889" t="s">
        <v>1649</v>
      </c>
      <c r="C7463" s="2889" t="s">
        <v>1510</v>
      </c>
      <c r="D7463" s="2889" t="s">
        <v>1054</v>
      </c>
      <c r="E7463" s="2889" t="s">
        <v>1426</v>
      </c>
      <c r="F7463" s="2891"/>
      <c r="G7463" s="2890">
        <v>654.45304507844173</v>
      </c>
    </row>
    <row r="7464" spans="2:7" ht="15" hidden="1" outlineLevel="2">
      <c r="B7464" s="2889" t="s">
        <v>1650</v>
      </c>
      <c r="C7464" s="2889" t="s">
        <v>1510</v>
      </c>
      <c r="D7464" s="2889" t="s">
        <v>1054</v>
      </c>
      <c r="E7464" s="2889" t="s">
        <v>1426</v>
      </c>
      <c r="F7464" s="2891"/>
      <c r="G7464" s="2890">
        <v>1635.178080931471</v>
      </c>
    </row>
    <row r="7465" spans="2:7" ht="15" hidden="1" outlineLevel="2">
      <c r="B7465" s="2889" t="s">
        <v>1651</v>
      </c>
      <c r="C7465" s="2889" t="s">
        <v>1510</v>
      </c>
      <c r="D7465" s="2889" t="s">
        <v>1054</v>
      </c>
      <c r="E7465" s="2889" t="s">
        <v>1426</v>
      </c>
      <c r="F7465" s="2891"/>
      <c r="G7465" s="2890">
        <v>894.6541402717412</v>
      </c>
    </row>
    <row r="7466" spans="2:7" ht="15" hidden="1" outlineLevel="2">
      <c r="B7466" s="2889" t="s">
        <v>1652</v>
      </c>
      <c r="C7466" s="2889" t="s">
        <v>1510</v>
      </c>
      <c r="D7466" s="2889" t="s">
        <v>1054</v>
      </c>
      <c r="E7466" s="2889" t="s">
        <v>1426</v>
      </c>
      <c r="F7466" s="3040"/>
      <c r="G7466" s="2890">
        <v>982.40833087962574</v>
      </c>
    </row>
    <row r="7467" spans="2:7" ht="15" hidden="1" outlineLevel="2">
      <c r="B7467" s="2889" t="s">
        <v>1653</v>
      </c>
      <c r="C7467" s="2889" t="s">
        <v>1510</v>
      </c>
      <c r="D7467" s="2889" t="s">
        <v>1054</v>
      </c>
      <c r="E7467" s="2889" t="s">
        <v>1426</v>
      </c>
      <c r="F7467" s="3040"/>
      <c r="G7467" s="2890">
        <v>7.2473938761866715E-31</v>
      </c>
    </row>
    <row r="7468" spans="2:7" ht="15" hidden="1" outlineLevel="2">
      <c r="B7468" s="2889" t="s">
        <v>1407</v>
      </c>
      <c r="C7468" s="2889" t="s">
        <v>1511</v>
      </c>
      <c r="D7468" s="2889" t="s">
        <v>1054</v>
      </c>
      <c r="E7468" s="2889" t="s">
        <v>1426</v>
      </c>
      <c r="F7468" s="3040"/>
      <c r="G7468" s="2890">
        <v>16.940687290986229</v>
      </c>
    </row>
    <row r="7469" spans="2:7" ht="15" hidden="1" outlineLevel="2">
      <c r="B7469" s="2889" t="s">
        <v>1631</v>
      </c>
      <c r="C7469" s="2889" t="s">
        <v>1511</v>
      </c>
      <c r="D7469" s="2889" t="s">
        <v>1054</v>
      </c>
      <c r="E7469" s="2889" t="s">
        <v>1426</v>
      </c>
      <c r="F7469" s="2890">
        <v>1.0146753052866888E-2</v>
      </c>
      <c r="G7469" s="2890">
        <v>281.12797347091413</v>
      </c>
    </row>
    <row r="7470" spans="2:7" ht="15" hidden="1" outlineLevel="2">
      <c r="B7470" s="2889" t="s">
        <v>1632</v>
      </c>
      <c r="C7470" s="2889" t="s">
        <v>1511</v>
      </c>
      <c r="D7470" s="2889" t="s">
        <v>1054</v>
      </c>
      <c r="E7470" s="2889" t="s">
        <v>1426</v>
      </c>
      <c r="F7470" s="3040"/>
      <c r="G7470" s="2890">
        <v>651.18100201690174</v>
      </c>
    </row>
    <row r="7471" spans="2:7" ht="15" hidden="1" outlineLevel="2">
      <c r="B7471" s="2889" t="s">
        <v>1633</v>
      </c>
      <c r="C7471" s="2889" t="s">
        <v>1511</v>
      </c>
      <c r="D7471" s="2889" t="s">
        <v>1054</v>
      </c>
      <c r="E7471" s="2889" t="s">
        <v>1426</v>
      </c>
      <c r="F7471" s="3040"/>
      <c r="G7471" s="2890">
        <v>52.844742956522367</v>
      </c>
    </row>
    <row r="7472" spans="2:7" ht="15" hidden="1" outlineLevel="2">
      <c r="B7472" s="2889" t="s">
        <v>1634</v>
      </c>
      <c r="C7472" s="2889" t="s">
        <v>1511</v>
      </c>
      <c r="D7472" s="2889" t="s">
        <v>1054</v>
      </c>
      <c r="E7472" s="2889" t="s">
        <v>1426</v>
      </c>
      <c r="F7472" s="3040"/>
      <c r="G7472" s="2890">
        <v>9.7946175974308716</v>
      </c>
    </row>
    <row r="7473" spans="2:7" ht="15" hidden="1" outlineLevel="2">
      <c r="B7473" s="2889" t="s">
        <v>1635</v>
      </c>
      <c r="C7473" s="2889" t="s">
        <v>1511</v>
      </c>
      <c r="D7473" s="2889" t="s">
        <v>1054</v>
      </c>
      <c r="E7473" s="2889" t="s">
        <v>1426</v>
      </c>
      <c r="F7473" s="3040"/>
      <c r="G7473" s="2890">
        <v>82.614500395464063</v>
      </c>
    </row>
    <row r="7474" spans="2:7" ht="15" hidden="1" outlineLevel="2">
      <c r="B7474" s="2889" t="s">
        <v>1636</v>
      </c>
      <c r="C7474" s="2889" t="s">
        <v>1511</v>
      </c>
      <c r="D7474" s="2889" t="s">
        <v>1054</v>
      </c>
      <c r="E7474" s="2889" t="s">
        <v>1426</v>
      </c>
      <c r="F7474" s="3040"/>
      <c r="G7474" s="2890">
        <v>72.522878778626378</v>
      </c>
    </row>
    <row r="7475" spans="2:7" ht="15" hidden="1" outlineLevel="2">
      <c r="B7475" s="2889" t="s">
        <v>1637</v>
      </c>
      <c r="C7475" s="2889" t="s">
        <v>1511</v>
      </c>
      <c r="D7475" s="2889" t="s">
        <v>1054</v>
      </c>
      <c r="E7475" s="2889" t="s">
        <v>1426</v>
      </c>
      <c r="F7475" s="3040"/>
      <c r="G7475" s="2890">
        <v>120.4433514679905</v>
      </c>
    </row>
    <row r="7476" spans="2:7" ht="15" hidden="1" outlineLevel="2">
      <c r="B7476" s="2889" t="s">
        <v>1638</v>
      </c>
      <c r="C7476" s="2889" t="s">
        <v>1511</v>
      </c>
      <c r="D7476" s="2889" t="s">
        <v>1054</v>
      </c>
      <c r="E7476" s="2889" t="s">
        <v>1426</v>
      </c>
      <c r="F7476" s="3040"/>
      <c r="G7476" s="2890">
        <v>15.721421172273477</v>
      </c>
    </row>
    <row r="7477" spans="2:7" ht="15" hidden="1" outlineLevel="2">
      <c r="B7477" s="2889" t="s">
        <v>1639</v>
      </c>
      <c r="C7477" s="2889" t="s">
        <v>1511</v>
      </c>
      <c r="D7477" s="2889" t="s">
        <v>1054</v>
      </c>
      <c r="E7477" s="2889" t="s">
        <v>1426</v>
      </c>
      <c r="F7477" s="3040"/>
      <c r="G7477" s="2890">
        <v>144.54318271372466</v>
      </c>
    </row>
    <row r="7478" spans="2:7" ht="15" hidden="1" outlineLevel="2">
      <c r="B7478" s="2889" t="s">
        <v>1640</v>
      </c>
      <c r="C7478" s="2889" t="s">
        <v>1511</v>
      </c>
      <c r="D7478" s="2889" t="s">
        <v>1054</v>
      </c>
      <c r="E7478" s="2889" t="s">
        <v>1426</v>
      </c>
      <c r="F7478" s="3040"/>
      <c r="G7478" s="2890">
        <v>33.983356105972206</v>
      </c>
    </row>
    <row r="7479" spans="2:7" ht="15" hidden="1" outlineLevel="2">
      <c r="B7479" s="2889" t="s">
        <v>1641</v>
      </c>
      <c r="C7479" s="2889" t="s">
        <v>1511</v>
      </c>
      <c r="D7479" s="2889" t="s">
        <v>1054</v>
      </c>
      <c r="E7479" s="2889" t="s">
        <v>1426</v>
      </c>
      <c r="F7479" s="3040"/>
      <c r="G7479" s="2890">
        <v>174.07522543603619</v>
      </c>
    </row>
    <row r="7480" spans="2:7" ht="15" hidden="1" outlineLevel="2">
      <c r="B7480" s="2889" t="s">
        <v>1642</v>
      </c>
      <c r="C7480" s="2889" t="s">
        <v>1511</v>
      </c>
      <c r="D7480" s="2889" t="s">
        <v>1054</v>
      </c>
      <c r="E7480" s="2889" t="s">
        <v>1426</v>
      </c>
      <c r="F7480" s="3040"/>
      <c r="G7480" s="2890">
        <v>124.9485137819272</v>
      </c>
    </row>
    <row r="7481" spans="2:7" ht="15" hidden="1" outlineLevel="2">
      <c r="B7481" s="2889" t="s">
        <v>1643</v>
      </c>
      <c r="C7481" s="2889" t="s">
        <v>1511</v>
      </c>
      <c r="D7481" s="2889" t="s">
        <v>1054</v>
      </c>
      <c r="E7481" s="2889" t="s">
        <v>1426</v>
      </c>
      <c r="F7481" s="3040"/>
      <c r="G7481" s="2890">
        <v>18.473477013615259</v>
      </c>
    </row>
    <row r="7482" spans="2:7" ht="15" hidden="1" outlineLevel="2">
      <c r="B7482" s="2889" t="s">
        <v>1644</v>
      </c>
      <c r="C7482" s="2889" t="s">
        <v>1511</v>
      </c>
      <c r="D7482" s="2889" t="s">
        <v>1054</v>
      </c>
      <c r="E7482" s="2889" t="s">
        <v>1426</v>
      </c>
      <c r="F7482" s="3040"/>
      <c r="G7482" s="2890">
        <v>406.72443807191718</v>
      </c>
    </row>
    <row r="7483" spans="2:7" ht="15" hidden="1" outlineLevel="2">
      <c r="B7483" s="2889" t="s">
        <v>1645</v>
      </c>
      <c r="C7483" s="2889" t="s">
        <v>1511</v>
      </c>
      <c r="D7483" s="2889" t="s">
        <v>1054</v>
      </c>
      <c r="E7483" s="2889" t="s">
        <v>1426</v>
      </c>
      <c r="F7483" s="3040"/>
      <c r="G7483" s="2890">
        <v>464.49204120692912</v>
      </c>
    </row>
    <row r="7484" spans="2:7" ht="15" hidden="1" outlineLevel="2">
      <c r="B7484" s="2889" t="s">
        <v>1646</v>
      </c>
      <c r="C7484" s="2889" t="s">
        <v>1511</v>
      </c>
      <c r="D7484" s="2889" t="s">
        <v>1054</v>
      </c>
      <c r="E7484" s="2889" t="s">
        <v>1426</v>
      </c>
      <c r="F7484" s="3040"/>
      <c r="G7484" s="2890">
        <v>27.162338682803796</v>
      </c>
    </row>
    <row r="7485" spans="2:7" ht="15" hidden="1" outlineLevel="2">
      <c r="B7485" s="2889" t="s">
        <v>1647</v>
      </c>
      <c r="C7485" s="2889" t="s">
        <v>1511</v>
      </c>
      <c r="D7485" s="2889" t="s">
        <v>1054</v>
      </c>
      <c r="E7485" s="2889" t="s">
        <v>1426</v>
      </c>
      <c r="F7485" s="3040"/>
      <c r="G7485" s="2890">
        <v>67.802591668293076</v>
      </c>
    </row>
    <row r="7486" spans="2:7" ht="15" hidden="1" outlineLevel="2">
      <c r="B7486" s="2889" t="s">
        <v>1648</v>
      </c>
      <c r="C7486" s="2889" t="s">
        <v>1511</v>
      </c>
      <c r="D7486" s="2889" t="s">
        <v>1054</v>
      </c>
      <c r="E7486" s="2889" t="s">
        <v>1426</v>
      </c>
      <c r="F7486" s="3040"/>
      <c r="G7486" s="2890">
        <v>7.6014656051805343</v>
      </c>
    </row>
    <row r="7487" spans="2:7" ht="15" hidden="1" outlineLevel="2">
      <c r="B7487" s="2889" t="s">
        <v>1649</v>
      </c>
      <c r="C7487" s="2889" t="s">
        <v>1511</v>
      </c>
      <c r="D7487" s="2889" t="s">
        <v>1054</v>
      </c>
      <c r="E7487" s="2889" t="s">
        <v>1426</v>
      </c>
      <c r="F7487" s="3040"/>
      <c r="G7487" s="2890">
        <v>36.056047656655529</v>
      </c>
    </row>
    <row r="7488" spans="2:7" ht="15" hidden="1" outlineLevel="2">
      <c r="B7488" s="2889" t="s">
        <v>1650</v>
      </c>
      <c r="C7488" s="2889" t="s">
        <v>1511</v>
      </c>
      <c r="D7488" s="2889" t="s">
        <v>1054</v>
      </c>
      <c r="E7488" s="2889" t="s">
        <v>1426</v>
      </c>
      <c r="F7488" s="3040"/>
      <c r="G7488" s="2890">
        <v>90.087534528183909</v>
      </c>
    </row>
    <row r="7489" spans="2:7" ht="15" hidden="1" outlineLevel="2">
      <c r="B7489" s="2889" t="s">
        <v>1651</v>
      </c>
      <c r="C7489" s="2889" t="s">
        <v>1511</v>
      </c>
      <c r="D7489" s="2889" t="s">
        <v>1054</v>
      </c>
      <c r="E7489" s="2889" t="s">
        <v>1426</v>
      </c>
      <c r="F7489" s="3040"/>
      <c r="G7489" s="2890">
        <v>49.289541480635279</v>
      </c>
    </row>
    <row r="7490" spans="2:7" ht="15" hidden="1" outlineLevel="2">
      <c r="B7490" s="2889" t="s">
        <v>1652</v>
      </c>
      <c r="C7490" s="2889" t="s">
        <v>1511</v>
      </c>
      <c r="D7490" s="2889" t="s">
        <v>1054</v>
      </c>
      <c r="E7490" s="2889" t="s">
        <v>1426</v>
      </c>
      <c r="F7490" s="3040"/>
      <c r="G7490" s="2890">
        <v>54.124237331466603</v>
      </c>
    </row>
    <row r="7491" spans="2:7" ht="15" hidden="1" outlineLevel="2">
      <c r="B7491" s="2889" t="s">
        <v>1653</v>
      </c>
      <c r="C7491" s="2889" t="s">
        <v>1511</v>
      </c>
      <c r="D7491" s="2889" t="s">
        <v>1054</v>
      </c>
      <c r="E7491" s="2889" t="s">
        <v>1426</v>
      </c>
      <c r="F7491" s="3040"/>
      <c r="G7491" s="2890">
        <v>6.469651473654982E-31</v>
      </c>
    </row>
    <row r="7492" spans="2:7" ht="15" hidden="1" outlineLevel="2">
      <c r="B7492" s="2889" t="s">
        <v>1407</v>
      </c>
      <c r="C7492" s="2889" t="s">
        <v>1512</v>
      </c>
      <c r="D7492" s="2889" t="s">
        <v>1054</v>
      </c>
      <c r="E7492" s="2889" t="s">
        <v>1426</v>
      </c>
      <c r="F7492" s="3040"/>
      <c r="G7492" s="2890">
        <v>10.456299590518821</v>
      </c>
    </row>
    <row r="7493" spans="2:7" ht="15" hidden="1" outlineLevel="2">
      <c r="B7493" s="2889" t="s">
        <v>1631</v>
      </c>
      <c r="C7493" s="2889" t="s">
        <v>1512</v>
      </c>
      <c r="D7493" s="2889" t="s">
        <v>1054</v>
      </c>
      <c r="E7493" s="2889" t="s">
        <v>1426</v>
      </c>
      <c r="F7493" s="2890">
        <v>5.0830889194446362E-3</v>
      </c>
      <c r="G7493" s="2890">
        <v>173.52055990953764</v>
      </c>
    </row>
    <row r="7494" spans="2:7" ht="15" hidden="1" outlineLevel="2">
      <c r="B7494" s="2889" t="s">
        <v>1632</v>
      </c>
      <c r="C7494" s="2889" t="s">
        <v>1512</v>
      </c>
      <c r="D7494" s="2889" t="s">
        <v>1054</v>
      </c>
      <c r="E7494" s="2889" t="s">
        <v>1426</v>
      </c>
      <c r="F7494" s="3040"/>
      <c r="G7494" s="2890">
        <v>401.92830682243039</v>
      </c>
    </row>
    <row r="7495" spans="2:7" ht="15" hidden="1" outlineLevel="2">
      <c r="B7495" s="2889" t="s">
        <v>1633</v>
      </c>
      <c r="C7495" s="2889" t="s">
        <v>1512</v>
      </c>
      <c r="D7495" s="2889" t="s">
        <v>1054</v>
      </c>
      <c r="E7495" s="2889" t="s">
        <v>1426</v>
      </c>
      <c r="F7495" s="3040"/>
      <c r="G7495" s="2890">
        <v>32.617341235493107</v>
      </c>
    </row>
    <row r="7496" spans="2:7" ht="15" hidden="1" outlineLevel="2">
      <c r="B7496" s="2889" t="s">
        <v>1634</v>
      </c>
      <c r="C7496" s="2889" t="s">
        <v>1512</v>
      </c>
      <c r="D7496" s="2889" t="s">
        <v>1054</v>
      </c>
      <c r="E7496" s="2889" t="s">
        <v>1426</v>
      </c>
      <c r="F7496" s="3040"/>
      <c r="G7496" s="2890">
        <v>6.0455305156030983</v>
      </c>
    </row>
    <row r="7497" spans="2:7" ht="15" hidden="1" outlineLevel="2">
      <c r="B7497" s="2889" t="s">
        <v>1635</v>
      </c>
      <c r="C7497" s="2889" t="s">
        <v>1512</v>
      </c>
      <c r="D7497" s="2889" t="s">
        <v>1054</v>
      </c>
      <c r="E7497" s="2889" t="s">
        <v>1426</v>
      </c>
      <c r="F7497" s="3040"/>
      <c r="G7497" s="2890">
        <v>50.992131232133978</v>
      </c>
    </row>
    <row r="7498" spans="2:7" ht="15" hidden="1" outlineLevel="2">
      <c r="B7498" s="2889" t="s">
        <v>1636</v>
      </c>
      <c r="C7498" s="2889" t="s">
        <v>1512</v>
      </c>
      <c r="D7498" s="2889" t="s">
        <v>1054</v>
      </c>
      <c r="E7498" s="2889" t="s">
        <v>1426</v>
      </c>
      <c r="F7498" s="3040"/>
      <c r="G7498" s="2890">
        <v>44.763280068272543</v>
      </c>
    </row>
    <row r="7499" spans="2:7" ht="15" hidden="1" outlineLevel="2">
      <c r="B7499" s="2889" t="s">
        <v>1637</v>
      </c>
      <c r="C7499" s="2889" t="s">
        <v>1512</v>
      </c>
      <c r="D7499" s="2889" t="s">
        <v>1054</v>
      </c>
      <c r="E7499" s="2889" t="s">
        <v>1426</v>
      </c>
      <c r="F7499" s="3040"/>
      <c r="G7499" s="2890">
        <v>74.341238947279678</v>
      </c>
    </row>
    <row r="7500" spans="2:7" ht="15" hidden="1" outlineLevel="2">
      <c r="B7500" s="2889" t="s">
        <v>1638</v>
      </c>
      <c r="C7500" s="2889" t="s">
        <v>1512</v>
      </c>
      <c r="D7500" s="2889" t="s">
        <v>1054</v>
      </c>
      <c r="E7500" s="2889" t="s">
        <v>1426</v>
      </c>
      <c r="F7500" s="3040"/>
      <c r="G7500" s="2890">
        <v>9.8229266689795338</v>
      </c>
    </row>
    <row r="7501" spans="2:7" ht="15" hidden="1" outlineLevel="2">
      <c r="B7501" s="2889" t="s">
        <v>1639</v>
      </c>
      <c r="C7501" s="2889" t="s">
        <v>1512</v>
      </c>
      <c r="D7501" s="2889" t="s">
        <v>1054</v>
      </c>
      <c r="E7501" s="2889" t="s">
        <v>1426</v>
      </c>
      <c r="F7501" s="3040"/>
      <c r="G7501" s="2890">
        <v>89.216370446838951</v>
      </c>
    </row>
    <row r="7502" spans="2:7" ht="15" hidden="1" outlineLevel="2">
      <c r="B7502" s="2889" t="s">
        <v>1640</v>
      </c>
      <c r="C7502" s="2889" t="s">
        <v>1512</v>
      </c>
      <c r="D7502" s="2889" t="s">
        <v>1054</v>
      </c>
      <c r="E7502" s="2889" t="s">
        <v>1426</v>
      </c>
      <c r="F7502" s="3040"/>
      <c r="G7502" s="2890">
        <v>20.975539936122637</v>
      </c>
    </row>
    <row r="7503" spans="2:7" ht="15" hidden="1" outlineLevel="2">
      <c r="B7503" s="2889" t="s">
        <v>1641</v>
      </c>
      <c r="C7503" s="2889" t="s">
        <v>1512</v>
      </c>
      <c r="D7503" s="2889" t="s">
        <v>1054</v>
      </c>
      <c r="E7503" s="2889" t="s">
        <v>1426</v>
      </c>
      <c r="F7503" s="3040"/>
      <c r="G7503" s="2890">
        <v>107.44442346760717</v>
      </c>
    </row>
    <row r="7504" spans="2:7" ht="15" hidden="1" outlineLevel="2">
      <c r="B7504" s="2889" t="s">
        <v>1642</v>
      </c>
      <c r="C7504" s="2889" t="s">
        <v>1512</v>
      </c>
      <c r="D7504" s="2889" t="s">
        <v>1054</v>
      </c>
      <c r="E7504" s="2889" t="s">
        <v>1426</v>
      </c>
      <c r="F7504" s="3040"/>
      <c r="G7504" s="2890">
        <v>77.121963701916073</v>
      </c>
    </row>
    <row r="7505" spans="2:7" ht="15" hidden="1" outlineLevel="2">
      <c r="B7505" s="2889" t="s">
        <v>1643</v>
      </c>
      <c r="C7505" s="2889" t="s">
        <v>1512</v>
      </c>
      <c r="D7505" s="2889" t="s">
        <v>1054</v>
      </c>
      <c r="E7505" s="2889" t="s">
        <v>1426</v>
      </c>
      <c r="F7505" s="3040"/>
      <c r="G7505" s="2890">
        <v>11.40238065142087</v>
      </c>
    </row>
    <row r="7506" spans="2:7" ht="15" hidden="1" outlineLevel="2">
      <c r="B7506" s="2889" t="s">
        <v>1644</v>
      </c>
      <c r="C7506" s="2889" t="s">
        <v>1512</v>
      </c>
      <c r="D7506" s="2889" t="s">
        <v>1054</v>
      </c>
      <c r="E7506" s="2889" t="s">
        <v>1426</v>
      </c>
      <c r="F7506" s="2891"/>
      <c r="G7506" s="2890">
        <v>251.04245700371214</v>
      </c>
    </row>
    <row r="7507" spans="2:7" ht="15" hidden="1" outlineLevel="2">
      <c r="B7507" s="2889" t="s">
        <v>1645</v>
      </c>
      <c r="C7507" s="2889" t="s">
        <v>1512</v>
      </c>
      <c r="D7507" s="2889" t="s">
        <v>1054</v>
      </c>
      <c r="E7507" s="2889" t="s">
        <v>1426</v>
      </c>
      <c r="F7507" s="2891"/>
      <c r="G7507" s="2890">
        <v>286.69836751273556</v>
      </c>
    </row>
    <row r="7508" spans="2:7" ht="15" hidden="1" outlineLevel="2">
      <c r="B7508" s="2889" t="s">
        <v>1646</v>
      </c>
      <c r="C7508" s="2889" t="s">
        <v>1512</v>
      </c>
      <c r="D7508" s="2889" t="s">
        <v>1054</v>
      </c>
      <c r="E7508" s="2889" t="s">
        <v>1426</v>
      </c>
      <c r="F7508" s="2891"/>
      <c r="G7508" s="2890">
        <v>16.765403730806362</v>
      </c>
    </row>
    <row r="7509" spans="2:7" ht="15" hidden="1" outlineLevel="2">
      <c r="B7509" s="2889" t="s">
        <v>1647</v>
      </c>
      <c r="C7509" s="2889" t="s">
        <v>1512</v>
      </c>
      <c r="D7509" s="2889" t="s">
        <v>1054</v>
      </c>
      <c r="E7509" s="2889" t="s">
        <v>1426</v>
      </c>
      <c r="F7509" s="2891"/>
      <c r="G7509" s="2890">
        <v>41.849780217737319</v>
      </c>
    </row>
    <row r="7510" spans="2:7" ht="15" hidden="1" outlineLevel="2">
      <c r="B7510" s="2889" t="s">
        <v>1648</v>
      </c>
      <c r="C7510" s="2889" t="s">
        <v>1512</v>
      </c>
      <c r="D7510" s="2889" t="s">
        <v>1054</v>
      </c>
      <c r="E7510" s="2889" t="s">
        <v>1426</v>
      </c>
      <c r="F7510" s="2891"/>
      <c r="G7510" s="2890">
        <v>4.6918508446314764</v>
      </c>
    </row>
    <row r="7511" spans="2:7" ht="15" hidden="1" outlineLevel="2">
      <c r="B7511" s="2889" t="s">
        <v>1649</v>
      </c>
      <c r="C7511" s="2889" t="s">
        <v>1512</v>
      </c>
      <c r="D7511" s="2889" t="s">
        <v>1054</v>
      </c>
      <c r="E7511" s="2889" t="s">
        <v>1426</v>
      </c>
      <c r="F7511" s="2891"/>
      <c r="G7511" s="2890">
        <v>22.254863428397258</v>
      </c>
    </row>
    <row r="7512" spans="2:7" ht="15" hidden="1" outlineLevel="2">
      <c r="B7512" s="2889" t="s">
        <v>1650</v>
      </c>
      <c r="C7512" s="2889" t="s">
        <v>1512</v>
      </c>
      <c r="D7512" s="2889" t="s">
        <v>1054</v>
      </c>
      <c r="E7512" s="2889" t="s">
        <v>1426</v>
      </c>
      <c r="F7512" s="2891"/>
      <c r="G7512" s="2890">
        <v>55.604707933701746</v>
      </c>
    </row>
    <row r="7513" spans="2:7" ht="15" hidden="1" outlineLevel="2">
      <c r="B7513" s="2889" t="s">
        <v>1651</v>
      </c>
      <c r="C7513" s="2889" t="s">
        <v>1512</v>
      </c>
      <c r="D7513" s="2889" t="s">
        <v>1054</v>
      </c>
      <c r="E7513" s="2889" t="s">
        <v>1426</v>
      </c>
      <c r="F7513" s="2891"/>
      <c r="G7513" s="2890">
        <v>30.422973709045671</v>
      </c>
    </row>
    <row r="7514" spans="2:7" ht="15" hidden="1" outlineLevel="2">
      <c r="B7514" s="2889" t="s">
        <v>1652</v>
      </c>
      <c r="C7514" s="2889" t="s">
        <v>1512</v>
      </c>
      <c r="D7514" s="2889" t="s">
        <v>1054</v>
      </c>
      <c r="E7514" s="2889" t="s">
        <v>1426</v>
      </c>
      <c r="F7514" s="2891"/>
      <c r="G7514" s="2890">
        <v>33.40708843956277</v>
      </c>
    </row>
    <row r="7515" spans="2:7" ht="15" hidden="1" outlineLevel="2">
      <c r="B7515" s="2889" t="s">
        <v>1653</v>
      </c>
      <c r="C7515" s="2889" t="s">
        <v>1512</v>
      </c>
      <c r="D7515" s="2889" t="s">
        <v>1054</v>
      </c>
      <c r="E7515" s="2889" t="s">
        <v>1426</v>
      </c>
      <c r="F7515" s="2891"/>
      <c r="G7515" s="2890">
        <v>2.7786197671643139E-30</v>
      </c>
    </row>
    <row r="7516" spans="2:7" ht="15" hidden="1" outlineLevel="2">
      <c r="B7516" s="2889" t="s">
        <v>1407</v>
      </c>
      <c r="C7516" s="2889" t="s">
        <v>1513</v>
      </c>
      <c r="D7516" s="2889" t="s">
        <v>1054</v>
      </c>
      <c r="E7516" s="2889" t="s">
        <v>1426</v>
      </c>
      <c r="F7516" s="2891"/>
      <c r="G7516" s="2890">
        <v>31.221973803910892</v>
      </c>
    </row>
    <row r="7517" spans="2:7" ht="15" hidden="1" outlineLevel="2">
      <c r="B7517" s="2889" t="s">
        <v>1631</v>
      </c>
      <c r="C7517" s="2889" t="s">
        <v>1513</v>
      </c>
      <c r="D7517" s="2889" t="s">
        <v>1054</v>
      </c>
      <c r="E7517" s="2889" t="s">
        <v>1426</v>
      </c>
      <c r="F7517" s="3039">
        <v>2.8102835609977304E-2</v>
      </c>
      <c r="G7517" s="2890">
        <v>518.12367756493836</v>
      </c>
    </row>
    <row r="7518" spans="2:7" ht="15" hidden="1" outlineLevel="2">
      <c r="B7518" s="2889" t="s">
        <v>1632</v>
      </c>
      <c r="C7518" s="2889" t="s">
        <v>1513</v>
      </c>
      <c r="D7518" s="2889" t="s">
        <v>1054</v>
      </c>
      <c r="E7518" s="2889" t="s">
        <v>1426</v>
      </c>
      <c r="F7518" s="2891"/>
      <c r="G7518" s="2890">
        <v>1200.1375095642529</v>
      </c>
    </row>
    <row r="7519" spans="2:7" ht="15" hidden="1" outlineLevel="2">
      <c r="B7519" s="2889" t="s">
        <v>1633</v>
      </c>
      <c r="C7519" s="2889" t="s">
        <v>1513</v>
      </c>
      <c r="D7519" s="2889" t="s">
        <v>1054</v>
      </c>
      <c r="E7519" s="2889" t="s">
        <v>1426</v>
      </c>
      <c r="F7519" s="2891"/>
      <c r="G7519" s="2890">
        <v>97.393726055923537</v>
      </c>
    </row>
    <row r="7520" spans="2:7" ht="15" hidden="1" outlineLevel="2">
      <c r="B7520" s="2889" t="s">
        <v>1634</v>
      </c>
      <c r="C7520" s="2889" t="s">
        <v>1513</v>
      </c>
      <c r="D7520" s="2889" t="s">
        <v>1054</v>
      </c>
      <c r="E7520" s="2889" t="s">
        <v>1426</v>
      </c>
      <c r="F7520" s="2891"/>
      <c r="G7520" s="2890">
        <v>18.051650541280768</v>
      </c>
    </row>
    <row r="7521" spans="2:7" ht="15" hidden="1" outlineLevel="2">
      <c r="B7521" s="2889" t="s">
        <v>1635</v>
      </c>
      <c r="C7521" s="2889" t="s">
        <v>1513</v>
      </c>
      <c r="D7521" s="2889" t="s">
        <v>1054</v>
      </c>
      <c r="E7521" s="2889" t="s">
        <v>1426</v>
      </c>
      <c r="F7521" s="2891"/>
      <c r="G7521" s="2890">
        <v>152.25996813750803</v>
      </c>
    </row>
    <row r="7522" spans="2:7" ht="15" hidden="1" outlineLevel="2">
      <c r="B7522" s="2889" t="s">
        <v>1636</v>
      </c>
      <c r="C7522" s="2889" t="s">
        <v>1513</v>
      </c>
      <c r="D7522" s="2889" t="s">
        <v>1054</v>
      </c>
      <c r="E7522" s="2889" t="s">
        <v>1426</v>
      </c>
      <c r="F7522" s="2891"/>
      <c r="G7522" s="2890">
        <v>133.66089985389405</v>
      </c>
    </row>
    <row r="7523" spans="2:7" ht="15" hidden="1" outlineLevel="2">
      <c r="B7523" s="2889" t="s">
        <v>1637</v>
      </c>
      <c r="C7523" s="2889" t="s">
        <v>1513</v>
      </c>
      <c r="D7523" s="2889" t="s">
        <v>1054</v>
      </c>
      <c r="E7523" s="2889" t="s">
        <v>1426</v>
      </c>
      <c r="F7523" s="2891"/>
      <c r="G7523" s="2890">
        <v>221.97917186101347</v>
      </c>
    </row>
    <row r="7524" spans="2:7" ht="15" hidden="1" outlineLevel="2">
      <c r="B7524" s="2889" t="s">
        <v>1638</v>
      </c>
      <c r="C7524" s="2889" t="s">
        <v>1513</v>
      </c>
      <c r="D7524" s="2889" t="s">
        <v>1054</v>
      </c>
      <c r="E7524" s="2889" t="s">
        <v>1426</v>
      </c>
      <c r="F7524" s="2891"/>
      <c r="G7524" s="2890">
        <v>29.330773858277432</v>
      </c>
    </row>
    <row r="7525" spans="2:7" ht="15" hidden="1" outlineLevel="2">
      <c r="B7525" s="2889" t="s">
        <v>1639</v>
      </c>
      <c r="C7525" s="2889" t="s">
        <v>1513</v>
      </c>
      <c r="D7525" s="2889" t="s">
        <v>1054</v>
      </c>
      <c r="E7525" s="2889" t="s">
        <v>1426</v>
      </c>
      <c r="F7525" s="2891"/>
      <c r="G7525" s="2890">
        <v>266.39555730348502</v>
      </c>
    </row>
    <row r="7526" spans="2:7" ht="15" hidden="1" outlineLevel="2">
      <c r="B7526" s="2889" t="s">
        <v>1640</v>
      </c>
      <c r="C7526" s="2889" t="s">
        <v>1513</v>
      </c>
      <c r="D7526" s="2889" t="s">
        <v>1054</v>
      </c>
      <c r="E7526" s="2889" t="s">
        <v>1426</v>
      </c>
      <c r="F7526" s="2891"/>
      <c r="G7526" s="2890">
        <v>62.631890164390526</v>
      </c>
    </row>
    <row r="7527" spans="2:7" ht="15" hidden="1" outlineLevel="2">
      <c r="B7527" s="2889" t="s">
        <v>1641</v>
      </c>
      <c r="C7527" s="2889" t="s">
        <v>1513</v>
      </c>
      <c r="D7527" s="2889" t="s">
        <v>1054</v>
      </c>
      <c r="E7527" s="2889" t="s">
        <v>1426</v>
      </c>
      <c r="F7527" s="2891"/>
      <c r="G7527" s="2890">
        <v>320.82367647194184</v>
      </c>
    </row>
    <row r="7528" spans="2:7" ht="15" hidden="1" outlineLevel="2">
      <c r="B7528" s="2889" t="s">
        <v>1642</v>
      </c>
      <c r="C7528" s="2889" t="s">
        <v>1513</v>
      </c>
      <c r="D7528" s="2889" t="s">
        <v>1054</v>
      </c>
      <c r="E7528" s="2889" t="s">
        <v>1426</v>
      </c>
      <c r="F7528" s="2891"/>
      <c r="G7528" s="2890">
        <v>230.2822464098368</v>
      </c>
    </row>
    <row r="7529" spans="2:7" ht="15" hidden="1" outlineLevel="2">
      <c r="B7529" s="2889" t="s">
        <v>1643</v>
      </c>
      <c r="C7529" s="2889" t="s">
        <v>1513</v>
      </c>
      <c r="D7529" s="2889" t="s">
        <v>1054</v>
      </c>
      <c r="E7529" s="2889" t="s">
        <v>1426</v>
      </c>
      <c r="F7529" s="2891"/>
      <c r="G7529" s="2890">
        <v>34.046934780157393</v>
      </c>
    </row>
    <row r="7530" spans="2:7" ht="15" hidden="1" outlineLevel="2">
      <c r="B7530" s="2889" t="s">
        <v>1644</v>
      </c>
      <c r="C7530" s="2889" t="s">
        <v>1513</v>
      </c>
      <c r="D7530" s="2889" t="s">
        <v>1054</v>
      </c>
      <c r="E7530" s="2889" t="s">
        <v>1426</v>
      </c>
      <c r="F7530" s="2891"/>
      <c r="G7530" s="2890">
        <v>749.60011428577025</v>
      </c>
    </row>
    <row r="7531" spans="2:7" ht="15" hidden="1" outlineLevel="2">
      <c r="B7531" s="2889" t="s">
        <v>1645</v>
      </c>
      <c r="C7531" s="2889" t="s">
        <v>1513</v>
      </c>
      <c r="D7531" s="2889" t="s">
        <v>1054</v>
      </c>
      <c r="E7531" s="2889" t="s">
        <v>1426</v>
      </c>
      <c r="F7531" s="3040"/>
      <c r="G7531" s="2890">
        <v>856.06689677784027</v>
      </c>
    </row>
    <row r="7532" spans="2:7" ht="15" hidden="1" outlineLevel="2">
      <c r="B7532" s="2889" t="s">
        <v>1646</v>
      </c>
      <c r="C7532" s="2889" t="s">
        <v>1513</v>
      </c>
      <c r="D7532" s="2889" t="s">
        <v>1054</v>
      </c>
      <c r="E7532" s="2889" t="s">
        <v>1426</v>
      </c>
      <c r="F7532" s="3040"/>
      <c r="G7532" s="2890">
        <v>50.060648739364822</v>
      </c>
    </row>
    <row r="7533" spans="2:7" ht="15" hidden="1" outlineLevel="2">
      <c r="B7533" s="2889" t="s">
        <v>1647</v>
      </c>
      <c r="C7533" s="2889" t="s">
        <v>1513</v>
      </c>
      <c r="D7533" s="2889" t="s">
        <v>1054</v>
      </c>
      <c r="E7533" s="2889" t="s">
        <v>1426</v>
      </c>
      <c r="F7533" s="3040"/>
      <c r="G7533" s="2890">
        <v>124.96130499749989</v>
      </c>
    </row>
    <row r="7534" spans="2:7" ht="15" hidden="1" outlineLevel="2">
      <c r="B7534" s="2889" t="s">
        <v>1648</v>
      </c>
      <c r="C7534" s="2889" t="s">
        <v>1513</v>
      </c>
      <c r="D7534" s="2889" t="s">
        <v>1054</v>
      </c>
      <c r="E7534" s="2889" t="s">
        <v>1426</v>
      </c>
      <c r="F7534" s="3040"/>
      <c r="G7534" s="2890">
        <v>14.009626703456695</v>
      </c>
    </row>
    <row r="7535" spans="2:7" ht="15" hidden="1" outlineLevel="2">
      <c r="B7535" s="2889" t="s">
        <v>1649</v>
      </c>
      <c r="C7535" s="2889" t="s">
        <v>1513</v>
      </c>
      <c r="D7535" s="2889" t="s">
        <v>1054</v>
      </c>
      <c r="E7535" s="2889" t="s">
        <v>1426</v>
      </c>
      <c r="F7535" s="3040"/>
      <c r="G7535" s="2890">
        <v>66.451922526603866</v>
      </c>
    </row>
    <row r="7536" spans="2:7" ht="15" hidden="1" outlineLevel="2">
      <c r="B7536" s="2889" t="s">
        <v>1650</v>
      </c>
      <c r="C7536" s="2889" t="s">
        <v>1513</v>
      </c>
      <c r="D7536" s="2889" t="s">
        <v>1054</v>
      </c>
      <c r="E7536" s="2889" t="s">
        <v>1426</v>
      </c>
      <c r="F7536" s="3040"/>
      <c r="G7536" s="2890">
        <v>166.03286075580235</v>
      </c>
    </row>
    <row r="7537" spans="2:7" ht="15" hidden="1" outlineLevel="2">
      <c r="B7537" s="2889" t="s">
        <v>1651</v>
      </c>
      <c r="C7537" s="2889" t="s">
        <v>1513</v>
      </c>
      <c r="D7537" s="2889" t="s">
        <v>1054</v>
      </c>
      <c r="E7537" s="2889" t="s">
        <v>1426</v>
      </c>
      <c r="F7537" s="3040"/>
      <c r="G7537" s="2890">
        <v>90.841460488144136</v>
      </c>
    </row>
    <row r="7538" spans="2:7" ht="15" hidden="1" outlineLevel="2">
      <c r="B7538" s="2889" t="s">
        <v>1652</v>
      </c>
      <c r="C7538" s="2889" t="s">
        <v>1513</v>
      </c>
      <c r="D7538" s="2889" t="s">
        <v>1054</v>
      </c>
      <c r="E7538" s="2889" t="s">
        <v>1426</v>
      </c>
      <c r="F7538" s="3040"/>
      <c r="G7538" s="2890">
        <v>99.751861662577539</v>
      </c>
    </row>
    <row r="7539" spans="2:7" ht="15" hidden="1" outlineLevel="2">
      <c r="B7539" s="2889" t="s">
        <v>1653</v>
      </c>
      <c r="C7539" s="2889" t="s">
        <v>1513</v>
      </c>
      <c r="D7539" s="2889" t="s">
        <v>1054</v>
      </c>
      <c r="E7539" s="2889" t="s">
        <v>1426</v>
      </c>
      <c r="F7539" s="3040"/>
      <c r="G7539" s="2890">
        <v>3.2943024353921524E-30</v>
      </c>
    </row>
    <row r="7540" spans="2:7" ht="15" hidden="1" outlineLevel="2">
      <c r="B7540" s="2889" t="s">
        <v>1407</v>
      </c>
      <c r="C7540" s="2889" t="s">
        <v>1514</v>
      </c>
      <c r="D7540" s="2889" t="s">
        <v>1054</v>
      </c>
      <c r="E7540" s="2889" t="s">
        <v>1426</v>
      </c>
      <c r="F7540" s="3040"/>
      <c r="G7540" s="2890">
        <v>134.10446074404604</v>
      </c>
    </row>
    <row r="7541" spans="2:7" ht="15" hidden="1" outlineLevel="2">
      <c r="B7541" s="2889" t="s">
        <v>1631</v>
      </c>
      <c r="C7541" s="2889" t="s">
        <v>1514</v>
      </c>
      <c r="D7541" s="2889" t="s">
        <v>1054</v>
      </c>
      <c r="E7541" s="2889" t="s">
        <v>1426</v>
      </c>
      <c r="F7541" s="2890">
        <v>7.3184321258552329E-2</v>
      </c>
      <c r="G7541" s="2890">
        <v>2225.4420124042695</v>
      </c>
    </row>
    <row r="7542" spans="2:7" ht="15" hidden="1" outlineLevel="2">
      <c r="B7542" s="2889" t="s">
        <v>1632</v>
      </c>
      <c r="C7542" s="2889" t="s">
        <v>1514</v>
      </c>
      <c r="D7542" s="2889" t="s">
        <v>1054</v>
      </c>
      <c r="E7542" s="2889" t="s">
        <v>1426</v>
      </c>
      <c r="F7542" s="3040"/>
      <c r="G7542" s="2890">
        <v>5154.8242571513438</v>
      </c>
    </row>
    <row r="7543" spans="2:7" ht="15" hidden="1" outlineLevel="2">
      <c r="B7543" s="2889" t="s">
        <v>1633</v>
      </c>
      <c r="C7543" s="2889" t="s">
        <v>1514</v>
      </c>
      <c r="D7543" s="2889" t="s">
        <v>1054</v>
      </c>
      <c r="E7543" s="2889" t="s">
        <v>1426</v>
      </c>
      <c r="F7543" s="3040"/>
      <c r="G7543" s="2890">
        <v>418.32504797581595</v>
      </c>
    </row>
    <row r="7544" spans="2:7" ht="15" hidden="1" outlineLevel="2">
      <c r="B7544" s="2889" t="s">
        <v>1634</v>
      </c>
      <c r="C7544" s="2889" t="s">
        <v>1514</v>
      </c>
      <c r="D7544" s="2889" t="s">
        <v>1054</v>
      </c>
      <c r="E7544" s="2889" t="s">
        <v>1426</v>
      </c>
      <c r="F7544" s="3040"/>
      <c r="G7544" s="2890">
        <v>77.535347406392361</v>
      </c>
    </row>
    <row r="7545" spans="2:7" ht="15" hidden="1" outlineLevel="2">
      <c r="B7545" s="2889" t="s">
        <v>1635</v>
      </c>
      <c r="C7545" s="2889" t="s">
        <v>1514</v>
      </c>
      <c r="D7545" s="2889" t="s">
        <v>1054</v>
      </c>
      <c r="E7545" s="2889" t="s">
        <v>1426</v>
      </c>
      <c r="F7545" s="3040"/>
      <c r="G7545" s="2890">
        <v>653.98603693894279</v>
      </c>
    </row>
    <row r="7546" spans="2:7" ht="15" hidden="1" outlineLevel="2">
      <c r="B7546" s="2889" t="s">
        <v>1636</v>
      </c>
      <c r="C7546" s="2889" t="s">
        <v>1514</v>
      </c>
      <c r="D7546" s="2889" t="s">
        <v>1054</v>
      </c>
      <c r="E7546" s="2889" t="s">
        <v>1426</v>
      </c>
      <c r="F7546" s="3040"/>
      <c r="G7546" s="2890">
        <v>574.0996435655037</v>
      </c>
    </row>
    <row r="7547" spans="2:7" ht="15" hidden="1" outlineLevel="2">
      <c r="B7547" s="2889" t="s">
        <v>1637</v>
      </c>
      <c r="C7547" s="2889" t="s">
        <v>1514</v>
      </c>
      <c r="D7547" s="2889" t="s">
        <v>1054</v>
      </c>
      <c r="E7547" s="2889" t="s">
        <v>1426</v>
      </c>
      <c r="F7547" s="3040"/>
      <c r="G7547" s="2890">
        <v>953.44394057660077</v>
      </c>
    </row>
    <row r="7548" spans="2:7" ht="15" hidden="1" outlineLevel="2">
      <c r="B7548" s="2889" t="s">
        <v>1638</v>
      </c>
      <c r="C7548" s="2889" t="s">
        <v>1514</v>
      </c>
      <c r="D7548" s="2889" t="s">
        <v>1054</v>
      </c>
      <c r="E7548" s="2889" t="s">
        <v>1426</v>
      </c>
      <c r="F7548" s="3040"/>
      <c r="G7548" s="2890">
        <v>125.98137069606663</v>
      </c>
    </row>
    <row r="7549" spans="2:7" ht="15" hidden="1" outlineLevel="2">
      <c r="B7549" s="2889" t="s">
        <v>1639</v>
      </c>
      <c r="C7549" s="2889" t="s">
        <v>1514</v>
      </c>
      <c r="D7549" s="2889" t="s">
        <v>1054</v>
      </c>
      <c r="E7549" s="2889" t="s">
        <v>1426</v>
      </c>
      <c r="F7549" s="3040"/>
      <c r="G7549" s="2890">
        <v>1144.2207892246702</v>
      </c>
    </row>
    <row r="7550" spans="2:7" ht="15" hidden="1" outlineLevel="2">
      <c r="B7550" s="2889" t="s">
        <v>1640</v>
      </c>
      <c r="C7550" s="2889" t="s">
        <v>1514</v>
      </c>
      <c r="D7550" s="2889" t="s">
        <v>1054</v>
      </c>
      <c r="E7550" s="2889" t="s">
        <v>1426</v>
      </c>
      <c r="F7550" s="3040"/>
      <c r="G7550" s="2890">
        <v>269.01621623863792</v>
      </c>
    </row>
    <row r="7551" spans="2:7" ht="15" hidden="1" outlineLevel="2">
      <c r="B7551" s="2889" t="s">
        <v>1641</v>
      </c>
      <c r="C7551" s="2889" t="s">
        <v>1514</v>
      </c>
      <c r="D7551" s="2889" t="s">
        <v>1054</v>
      </c>
      <c r="E7551" s="2889" t="s">
        <v>1426</v>
      </c>
      <c r="F7551" s="2891"/>
      <c r="G7551" s="2890">
        <v>1377.9998850884388</v>
      </c>
    </row>
    <row r="7552" spans="2:7" ht="15" hidden="1" outlineLevel="2">
      <c r="B7552" s="2889" t="s">
        <v>1642</v>
      </c>
      <c r="C7552" s="2889" t="s">
        <v>1514</v>
      </c>
      <c r="D7552" s="2889" t="s">
        <v>1054</v>
      </c>
      <c r="E7552" s="2889" t="s">
        <v>1426</v>
      </c>
      <c r="F7552" s="2891"/>
      <c r="G7552" s="2890">
        <v>989.10738658671119</v>
      </c>
    </row>
    <row r="7553" spans="2:7" ht="15" hidden="1" outlineLevel="2">
      <c r="B7553" s="2889" t="s">
        <v>1643</v>
      </c>
      <c r="C7553" s="2889" t="s">
        <v>1514</v>
      </c>
      <c r="D7553" s="2889" t="s">
        <v>1054</v>
      </c>
      <c r="E7553" s="2889" t="s">
        <v>1426</v>
      </c>
      <c r="F7553" s="2891"/>
      <c r="G7553" s="2890">
        <v>146.23819682231999</v>
      </c>
    </row>
    <row r="7554" spans="2:7" ht="15" hidden="1" outlineLevel="2">
      <c r="B7554" s="2889" t="s">
        <v>1644</v>
      </c>
      <c r="C7554" s="2889" t="s">
        <v>1514</v>
      </c>
      <c r="D7554" s="2889" t="s">
        <v>1054</v>
      </c>
      <c r="E7554" s="2889" t="s">
        <v>1426</v>
      </c>
      <c r="F7554" s="2891"/>
      <c r="G7554" s="2890">
        <v>3219.678087879387</v>
      </c>
    </row>
    <row r="7555" spans="2:7" ht="15" hidden="1" outlineLevel="2">
      <c r="B7555" s="2889" t="s">
        <v>1645</v>
      </c>
      <c r="C7555" s="2889" t="s">
        <v>1514</v>
      </c>
      <c r="D7555" s="2889" t="s">
        <v>1054</v>
      </c>
      <c r="E7555" s="2889" t="s">
        <v>1426</v>
      </c>
      <c r="F7555" s="2891"/>
      <c r="G7555" s="2890">
        <v>3676.9739966893185</v>
      </c>
    </row>
    <row r="7556" spans="2:7" ht="15" hidden="1" outlineLevel="2">
      <c r="B7556" s="2889" t="s">
        <v>1646</v>
      </c>
      <c r="C7556" s="2889" t="s">
        <v>1514</v>
      </c>
      <c r="D7556" s="2889" t="s">
        <v>1054</v>
      </c>
      <c r="E7556" s="2889" t="s">
        <v>1426</v>
      </c>
      <c r="F7556" s="2891"/>
      <c r="G7556" s="2890">
        <v>215.02023481796104</v>
      </c>
    </row>
    <row r="7557" spans="2:7" ht="15" hidden="1" outlineLevel="2">
      <c r="B7557" s="2889" t="s">
        <v>1647</v>
      </c>
      <c r="C7557" s="2889" t="s">
        <v>1514</v>
      </c>
      <c r="D7557" s="2889" t="s">
        <v>1054</v>
      </c>
      <c r="E7557" s="2889" t="s">
        <v>1426</v>
      </c>
      <c r="F7557" s="2891"/>
      <c r="G7557" s="2890">
        <v>536.7332881851529</v>
      </c>
    </row>
    <row r="7558" spans="2:7" ht="15" hidden="1" outlineLevel="2">
      <c r="B7558" s="2889" t="s">
        <v>1648</v>
      </c>
      <c r="C7558" s="2889" t="s">
        <v>1514</v>
      </c>
      <c r="D7558" s="2889" t="s">
        <v>1054</v>
      </c>
      <c r="E7558" s="2889" t="s">
        <v>1426</v>
      </c>
      <c r="F7558" s="3040"/>
      <c r="G7558" s="2890">
        <v>60.174087620923061</v>
      </c>
    </row>
    <row r="7559" spans="2:7" ht="15" hidden="1" outlineLevel="2">
      <c r="B7559" s="2889" t="s">
        <v>1649</v>
      </c>
      <c r="C7559" s="2889" t="s">
        <v>1514</v>
      </c>
      <c r="D7559" s="2889" t="s">
        <v>1054</v>
      </c>
      <c r="E7559" s="2889" t="s">
        <v>1426</v>
      </c>
      <c r="F7559" s="3040"/>
      <c r="G7559" s="2890">
        <v>285.4238644728643</v>
      </c>
    </row>
    <row r="7560" spans="2:7" ht="15" hidden="1" outlineLevel="2">
      <c r="B7560" s="2889" t="s">
        <v>1650</v>
      </c>
      <c r="C7560" s="2889" t="s">
        <v>1514</v>
      </c>
      <c r="D7560" s="2889" t="s">
        <v>1054</v>
      </c>
      <c r="E7560" s="2889" t="s">
        <v>1426</v>
      </c>
      <c r="F7560" s="3040"/>
      <c r="G7560" s="2890">
        <v>713.1434470910275</v>
      </c>
    </row>
    <row r="7561" spans="2:7" ht="15" hidden="1" outlineLevel="2">
      <c r="B7561" s="2889" t="s">
        <v>1651</v>
      </c>
      <c r="C7561" s="2889" t="s">
        <v>1514</v>
      </c>
      <c r="D7561" s="2889" t="s">
        <v>1054</v>
      </c>
      <c r="E7561" s="2889" t="s">
        <v>1426</v>
      </c>
      <c r="F7561" s="3040"/>
      <c r="G7561" s="2890">
        <v>390.1817632172714</v>
      </c>
    </row>
    <row r="7562" spans="2:7" ht="15" hidden="1" outlineLevel="2">
      <c r="B7562" s="2889" t="s">
        <v>1652</v>
      </c>
      <c r="C7562" s="2889" t="s">
        <v>1514</v>
      </c>
      <c r="D7562" s="2889" t="s">
        <v>1054</v>
      </c>
      <c r="E7562" s="2889" t="s">
        <v>1426</v>
      </c>
      <c r="F7562" s="3040"/>
      <c r="G7562" s="2890">
        <v>428.45367027728065</v>
      </c>
    </row>
    <row r="7563" spans="2:7" ht="15" hidden="1" outlineLevel="2">
      <c r="B7563" s="2889" t="s">
        <v>1653</v>
      </c>
      <c r="C7563" s="2889" t="s">
        <v>1514</v>
      </c>
      <c r="D7563" s="2889" t="s">
        <v>1054</v>
      </c>
      <c r="E7563" s="2889" t="s">
        <v>1426</v>
      </c>
      <c r="F7563" s="3040"/>
      <c r="G7563" s="2890">
        <v>6.6305868479862841E-29</v>
      </c>
    </row>
    <row r="7564" spans="2:7" ht="15" hidden="1" outlineLevel="2">
      <c r="B7564" s="2889" t="s">
        <v>1407</v>
      </c>
      <c r="C7564" s="2889" t="s">
        <v>1515</v>
      </c>
      <c r="D7564" s="2889" t="s">
        <v>1054</v>
      </c>
      <c r="E7564" s="2889" t="s">
        <v>1426</v>
      </c>
      <c r="F7564" s="3040"/>
      <c r="G7564" s="2890">
        <v>115.31415754520516</v>
      </c>
    </row>
    <row r="7565" spans="2:7" ht="15" hidden="1" outlineLevel="2">
      <c r="B7565" s="2889" t="s">
        <v>1631</v>
      </c>
      <c r="C7565" s="2889" t="s">
        <v>1515</v>
      </c>
      <c r="D7565" s="2889" t="s">
        <v>1054</v>
      </c>
      <c r="E7565" s="2889" t="s">
        <v>1426</v>
      </c>
      <c r="F7565" s="2890">
        <v>4.4731628140244881E-2</v>
      </c>
      <c r="G7565" s="2890">
        <v>1913.6195586632939</v>
      </c>
    </row>
    <row r="7566" spans="2:7" ht="15" hidden="1" outlineLevel="2">
      <c r="B7566" s="2889" t="s">
        <v>1632</v>
      </c>
      <c r="C7566" s="2889" t="s">
        <v>1515</v>
      </c>
      <c r="D7566" s="2889" t="s">
        <v>1054</v>
      </c>
      <c r="E7566" s="2889" t="s">
        <v>1426</v>
      </c>
      <c r="F7566" s="3040"/>
      <c r="G7566" s="2890">
        <v>4432.5462912108806</v>
      </c>
    </row>
    <row r="7567" spans="2:7" ht="15" hidden="1" outlineLevel="2">
      <c r="B7567" s="2889" t="s">
        <v>1633</v>
      </c>
      <c r="C7567" s="2889" t="s">
        <v>1515</v>
      </c>
      <c r="D7567" s="2889" t="s">
        <v>1054</v>
      </c>
      <c r="E7567" s="2889" t="s">
        <v>1426</v>
      </c>
      <c r="F7567" s="3040"/>
      <c r="G7567" s="2890">
        <v>359.71059900055684</v>
      </c>
    </row>
    <row r="7568" spans="2:7" ht="15" hidden="1" outlineLevel="2">
      <c r="B7568" s="2889" t="s">
        <v>1634</v>
      </c>
      <c r="C7568" s="2889" t="s">
        <v>1515</v>
      </c>
      <c r="D7568" s="2889" t="s">
        <v>1054</v>
      </c>
      <c r="E7568" s="2889" t="s">
        <v>1426</v>
      </c>
      <c r="F7568" s="3040"/>
      <c r="G7568" s="2890">
        <v>66.671316165798729</v>
      </c>
    </row>
    <row r="7569" spans="2:7" ht="15" hidden="1" outlineLevel="2">
      <c r="B7569" s="2889" t="s">
        <v>1635</v>
      </c>
      <c r="C7569" s="2889" t="s">
        <v>1515</v>
      </c>
      <c r="D7569" s="2889" t="s">
        <v>1054</v>
      </c>
      <c r="E7569" s="2889" t="s">
        <v>1426</v>
      </c>
      <c r="F7569" s="3040"/>
      <c r="G7569" s="2890">
        <v>562.35150828496489</v>
      </c>
    </row>
    <row r="7570" spans="2:7" ht="15" hidden="1" outlineLevel="2">
      <c r="B7570" s="2889" t="s">
        <v>1636</v>
      </c>
      <c r="C7570" s="2889" t="s">
        <v>1515</v>
      </c>
      <c r="D7570" s="2889" t="s">
        <v>1054</v>
      </c>
      <c r="E7570" s="2889" t="s">
        <v>1426</v>
      </c>
      <c r="F7570" s="3040"/>
      <c r="G7570" s="2890">
        <v>493.6584463804046</v>
      </c>
    </row>
    <row r="7571" spans="2:7" ht="15" hidden="1" outlineLevel="2">
      <c r="B7571" s="2889" t="s">
        <v>1637</v>
      </c>
      <c r="C7571" s="2889" t="s">
        <v>1515</v>
      </c>
      <c r="D7571" s="2889" t="s">
        <v>1054</v>
      </c>
      <c r="E7571" s="2889" t="s">
        <v>1426</v>
      </c>
      <c r="F7571" s="3040"/>
      <c r="G7571" s="2890">
        <v>819.84991414170076</v>
      </c>
    </row>
    <row r="7572" spans="2:7" ht="15" hidden="1" outlineLevel="2">
      <c r="B7572" s="2889" t="s">
        <v>1638</v>
      </c>
      <c r="C7572" s="2889" t="s">
        <v>1515</v>
      </c>
      <c r="D7572" s="2889" t="s">
        <v>1054</v>
      </c>
      <c r="E7572" s="2889" t="s">
        <v>1426</v>
      </c>
      <c r="F7572" s="3040"/>
      <c r="G7572" s="2890">
        <v>108.32920486335803</v>
      </c>
    </row>
    <row r="7573" spans="2:7" ht="15" hidden="1" outlineLevel="2">
      <c r="B7573" s="2889" t="s">
        <v>1639</v>
      </c>
      <c r="C7573" s="2889" t="s">
        <v>1515</v>
      </c>
      <c r="D7573" s="2889" t="s">
        <v>1054</v>
      </c>
      <c r="E7573" s="2889" t="s">
        <v>1426</v>
      </c>
      <c r="F7573" s="3040"/>
      <c r="G7573" s="2890">
        <v>983.89595584660606</v>
      </c>
    </row>
    <row r="7574" spans="2:7" ht="15" hidden="1" outlineLevel="2">
      <c r="B7574" s="2889" t="s">
        <v>1640</v>
      </c>
      <c r="C7574" s="2889" t="s">
        <v>1515</v>
      </c>
      <c r="D7574" s="2889" t="s">
        <v>1054</v>
      </c>
      <c r="E7574" s="2889" t="s">
        <v>1426</v>
      </c>
      <c r="F7574" s="3040"/>
      <c r="G7574" s="2890">
        <v>231.32246617037765</v>
      </c>
    </row>
    <row r="7575" spans="2:7" ht="15" hidden="1" outlineLevel="2">
      <c r="B7575" s="2889" t="s">
        <v>1641</v>
      </c>
      <c r="C7575" s="2889" t="s">
        <v>1515</v>
      </c>
      <c r="D7575" s="2889" t="s">
        <v>1054</v>
      </c>
      <c r="E7575" s="2889" t="s">
        <v>1426</v>
      </c>
      <c r="F7575" s="3040"/>
      <c r="G7575" s="2890">
        <v>1184.9186179475223</v>
      </c>
    </row>
    <row r="7576" spans="2:7" ht="15" hidden="1" outlineLevel="2">
      <c r="B7576" s="2889" t="s">
        <v>1642</v>
      </c>
      <c r="C7576" s="2889" t="s">
        <v>1515</v>
      </c>
      <c r="D7576" s="2889" t="s">
        <v>1054</v>
      </c>
      <c r="E7576" s="2889" t="s">
        <v>1426</v>
      </c>
      <c r="F7576" s="3040"/>
      <c r="G7576" s="2890">
        <v>850.51635841913765</v>
      </c>
    </row>
    <row r="7577" spans="2:7" ht="15" hidden="1" outlineLevel="2">
      <c r="B7577" s="2889" t="s">
        <v>1643</v>
      </c>
      <c r="C7577" s="2889" t="s">
        <v>1515</v>
      </c>
      <c r="D7577" s="2889" t="s">
        <v>1054</v>
      </c>
      <c r="E7577" s="2889" t="s">
        <v>1426</v>
      </c>
      <c r="F7577" s="3040"/>
      <c r="G7577" s="2890">
        <v>125.74774326195214</v>
      </c>
    </row>
    <row r="7578" spans="2:7" ht="15" hidden="1" outlineLevel="2">
      <c r="B7578" s="2889" t="s">
        <v>1644</v>
      </c>
      <c r="C7578" s="2889" t="s">
        <v>1515</v>
      </c>
      <c r="D7578" s="2889" t="s">
        <v>1054</v>
      </c>
      <c r="E7578" s="2889" t="s">
        <v>1426</v>
      </c>
      <c r="F7578" s="3040"/>
      <c r="G7578" s="2890">
        <v>2768.546050500845</v>
      </c>
    </row>
    <row r="7579" spans="2:7" ht="15" hidden="1" outlineLevel="2">
      <c r="B7579" s="2889" t="s">
        <v>1645</v>
      </c>
      <c r="C7579" s="2889" t="s">
        <v>1515</v>
      </c>
      <c r="D7579" s="2889" t="s">
        <v>1054</v>
      </c>
      <c r="E7579" s="2889" t="s">
        <v>1426</v>
      </c>
      <c r="F7579" s="3040"/>
      <c r="G7579" s="2890">
        <v>3161.7667972816766</v>
      </c>
    </row>
    <row r="7580" spans="2:7" ht="15" hidden="1" outlineLevel="2">
      <c r="B7580" s="2889" t="s">
        <v>1646</v>
      </c>
      <c r="C7580" s="2889" t="s">
        <v>1515</v>
      </c>
      <c r="D7580" s="2889" t="s">
        <v>1054</v>
      </c>
      <c r="E7580" s="2889" t="s">
        <v>1426</v>
      </c>
      <c r="F7580" s="3040"/>
      <c r="G7580" s="2890">
        <v>184.89225734669745</v>
      </c>
    </row>
    <row r="7581" spans="2:7" ht="15" hidden="1" outlineLevel="2">
      <c r="B7581" s="2889" t="s">
        <v>1647</v>
      </c>
      <c r="C7581" s="2889" t="s">
        <v>1515</v>
      </c>
      <c r="D7581" s="2889" t="s">
        <v>1054</v>
      </c>
      <c r="E7581" s="2889" t="s">
        <v>1426</v>
      </c>
      <c r="F7581" s="3040"/>
      <c r="G7581" s="2890">
        <v>461.52776884512173</v>
      </c>
    </row>
    <row r="7582" spans="2:7" ht="15" hidden="1" outlineLevel="2">
      <c r="B7582" s="2889" t="s">
        <v>1648</v>
      </c>
      <c r="C7582" s="2889" t="s">
        <v>1515</v>
      </c>
      <c r="D7582" s="2889" t="s">
        <v>1054</v>
      </c>
      <c r="E7582" s="2889" t="s">
        <v>1426</v>
      </c>
      <c r="F7582" s="3040"/>
      <c r="G7582" s="2890">
        <v>51.742666327029411</v>
      </c>
    </row>
    <row r="7583" spans="2:7" ht="15" hidden="1" outlineLevel="2">
      <c r="B7583" s="2889" t="s">
        <v>1649</v>
      </c>
      <c r="C7583" s="2889" t="s">
        <v>1515</v>
      </c>
      <c r="D7583" s="2889" t="s">
        <v>1054</v>
      </c>
      <c r="E7583" s="2889" t="s">
        <v>1426</v>
      </c>
      <c r="F7583" s="3040"/>
      <c r="G7583" s="2890">
        <v>245.4311490539427</v>
      </c>
    </row>
    <row r="7584" spans="2:7" ht="15" hidden="1" outlineLevel="2">
      <c r="B7584" s="2889" t="s">
        <v>1650</v>
      </c>
      <c r="C7584" s="2889" t="s">
        <v>1515</v>
      </c>
      <c r="D7584" s="2889" t="s">
        <v>1054</v>
      </c>
      <c r="E7584" s="2889" t="s">
        <v>1426</v>
      </c>
      <c r="F7584" s="3040"/>
      <c r="G7584" s="2890">
        <v>613.21996247334357</v>
      </c>
    </row>
    <row r="7585" spans="2:7" ht="15" hidden="1" outlineLevel="2">
      <c r="B7585" s="2889" t="s">
        <v>1651</v>
      </c>
      <c r="C7585" s="2889" t="s">
        <v>1515</v>
      </c>
      <c r="D7585" s="2889" t="s">
        <v>1054</v>
      </c>
      <c r="E7585" s="2889" t="s">
        <v>1426</v>
      </c>
      <c r="F7585" s="3040"/>
      <c r="G7585" s="2890">
        <v>335.51065547882769</v>
      </c>
    </row>
    <row r="7586" spans="2:7" ht="15" hidden="1" outlineLevel="2">
      <c r="B7586" s="2889" t="s">
        <v>1652</v>
      </c>
      <c r="C7586" s="2889" t="s">
        <v>1515</v>
      </c>
      <c r="D7586" s="2889" t="s">
        <v>1054</v>
      </c>
      <c r="E7586" s="2889" t="s">
        <v>1426</v>
      </c>
      <c r="F7586" s="3040"/>
      <c r="G7586" s="2890">
        <v>368.41998537933858</v>
      </c>
    </row>
    <row r="7587" spans="2:7" ht="15" hidden="1" outlineLevel="2">
      <c r="B7587" s="2889" t="s">
        <v>1653</v>
      </c>
      <c r="C7587" s="2889" t="s">
        <v>1515</v>
      </c>
      <c r="D7587" s="2889" t="s">
        <v>1054</v>
      </c>
      <c r="E7587" s="2889" t="s">
        <v>1426</v>
      </c>
      <c r="F7587" s="3040"/>
      <c r="G7587" s="2890">
        <v>1.6942062932964157E-29</v>
      </c>
    </row>
    <row r="7588" spans="2:7" ht="15" hidden="1" outlineLevel="2">
      <c r="B7588" s="2889" t="s">
        <v>1407</v>
      </c>
      <c r="C7588" s="2889" t="s">
        <v>1516</v>
      </c>
      <c r="D7588" s="2889" t="s">
        <v>1054</v>
      </c>
      <c r="E7588" s="2889" t="s">
        <v>1426</v>
      </c>
      <c r="F7588" s="3040"/>
      <c r="G7588" s="2890">
        <v>1145.5710764301989</v>
      </c>
    </row>
    <row r="7589" spans="2:7" ht="15" hidden="1" outlineLevel="2">
      <c r="B7589" s="2889" t="s">
        <v>1631</v>
      </c>
      <c r="C7589" s="2889" t="s">
        <v>1516</v>
      </c>
      <c r="D7589" s="2889" t="s">
        <v>1054</v>
      </c>
      <c r="E7589" s="2889" t="s">
        <v>1426</v>
      </c>
      <c r="F7589" s="2890">
        <v>0.58626737043763022</v>
      </c>
      <c r="G7589" s="2890">
        <v>19010.568858304807</v>
      </c>
    </row>
    <row r="7590" spans="2:7" ht="15" hidden="1" outlineLevel="2">
      <c r="B7590" s="2889" t="s">
        <v>1632</v>
      </c>
      <c r="C7590" s="2889" t="s">
        <v>1516</v>
      </c>
      <c r="D7590" s="2889" t="s">
        <v>1054</v>
      </c>
      <c r="E7590" s="2889" t="s">
        <v>1426</v>
      </c>
      <c r="F7590" s="2891"/>
      <c r="G7590" s="2890">
        <v>44034.451121293561</v>
      </c>
    </row>
    <row r="7591" spans="2:7" ht="15" hidden="1" outlineLevel="2">
      <c r="B7591" s="2889" t="s">
        <v>1633</v>
      </c>
      <c r="C7591" s="2889" t="s">
        <v>1516</v>
      </c>
      <c r="D7591" s="2889" t="s">
        <v>1054</v>
      </c>
      <c r="E7591" s="2889" t="s">
        <v>1426</v>
      </c>
      <c r="F7591" s="2891"/>
      <c r="G7591" s="2890">
        <v>3573.490855089271</v>
      </c>
    </row>
    <row r="7592" spans="2:7" ht="15" hidden="1" outlineLevel="2">
      <c r="B7592" s="2889" t="s">
        <v>1634</v>
      </c>
      <c r="C7592" s="2889" t="s">
        <v>1516</v>
      </c>
      <c r="D7592" s="2889" t="s">
        <v>1054</v>
      </c>
      <c r="E7592" s="2889" t="s">
        <v>1426</v>
      </c>
      <c r="F7592" s="2891"/>
      <c r="G7592" s="2890">
        <v>662.33640365525071</v>
      </c>
    </row>
    <row r="7593" spans="2:7" ht="15" hidden="1" outlineLevel="2">
      <c r="B7593" s="2889" t="s">
        <v>1635</v>
      </c>
      <c r="C7593" s="2889" t="s">
        <v>1516</v>
      </c>
      <c r="D7593" s="2889" t="s">
        <v>1054</v>
      </c>
      <c r="E7593" s="2889" t="s">
        <v>1426</v>
      </c>
      <c r="F7593" s="2891"/>
      <c r="G7593" s="2890">
        <v>5586.5969260331603</v>
      </c>
    </row>
    <row r="7594" spans="2:7" ht="15" hidden="1" outlineLevel="2">
      <c r="B7594" s="2889" t="s">
        <v>1636</v>
      </c>
      <c r="C7594" s="2889" t="s">
        <v>1516</v>
      </c>
      <c r="D7594" s="2889" t="s">
        <v>1054</v>
      </c>
      <c r="E7594" s="2889" t="s">
        <v>1426</v>
      </c>
      <c r="F7594" s="2891"/>
      <c r="G7594" s="2890">
        <v>4904.1746474850752</v>
      </c>
    </row>
    <row r="7595" spans="2:7" ht="15" hidden="1" outlineLevel="2">
      <c r="B7595" s="2889" t="s">
        <v>1637</v>
      </c>
      <c r="C7595" s="2889" t="s">
        <v>1516</v>
      </c>
      <c r="D7595" s="2889" t="s">
        <v>1054</v>
      </c>
      <c r="E7595" s="2889" t="s">
        <v>1426</v>
      </c>
      <c r="F7595" s="2891"/>
      <c r="G7595" s="2890">
        <v>8144.6762145989469</v>
      </c>
    </row>
    <row r="7596" spans="2:7" ht="15" hidden="1" outlineLevel="2">
      <c r="B7596" s="2889" t="s">
        <v>1638</v>
      </c>
      <c r="C7596" s="2889" t="s">
        <v>1516</v>
      </c>
      <c r="D7596" s="2889" t="s">
        <v>1054</v>
      </c>
      <c r="E7596" s="2889" t="s">
        <v>1426</v>
      </c>
      <c r="F7596" s="2891"/>
      <c r="G7596" s="2890">
        <v>1076.1805032918564</v>
      </c>
    </row>
    <row r="7597" spans="2:7" ht="15" hidden="1" outlineLevel="2">
      <c r="B7597" s="2889" t="s">
        <v>1639</v>
      </c>
      <c r="C7597" s="2889" t="s">
        <v>1516</v>
      </c>
      <c r="D7597" s="2889" t="s">
        <v>1054</v>
      </c>
      <c r="E7597" s="2889" t="s">
        <v>1426</v>
      </c>
      <c r="F7597" s="3040"/>
      <c r="G7597" s="2890">
        <v>9774.3651755865849</v>
      </c>
    </row>
    <row r="7598" spans="2:7" ht="15" hidden="1" outlineLevel="2">
      <c r="B7598" s="2889" t="s">
        <v>1640</v>
      </c>
      <c r="C7598" s="2889" t="s">
        <v>1516</v>
      </c>
      <c r="D7598" s="2889" t="s">
        <v>1054</v>
      </c>
      <c r="E7598" s="2889" t="s">
        <v>1426</v>
      </c>
      <c r="F7598" s="3040"/>
      <c r="G7598" s="2890">
        <v>2298.0382541926901</v>
      </c>
    </row>
    <row r="7599" spans="2:7" ht="15" hidden="1" outlineLevel="2">
      <c r="B7599" s="2889" t="s">
        <v>1641</v>
      </c>
      <c r="C7599" s="2889" t="s">
        <v>1516</v>
      </c>
      <c r="D7599" s="2889" t="s">
        <v>1054</v>
      </c>
      <c r="E7599" s="2889" t="s">
        <v>1426</v>
      </c>
      <c r="F7599" s="3040"/>
      <c r="G7599" s="2890">
        <v>11771.397969823965</v>
      </c>
    </row>
    <row r="7600" spans="2:7" ht="15" hidden="1" outlineLevel="2">
      <c r="B7600" s="2889" t="s">
        <v>1642</v>
      </c>
      <c r="C7600" s="2889" t="s">
        <v>1516</v>
      </c>
      <c r="D7600" s="2889" t="s">
        <v>1054</v>
      </c>
      <c r="E7600" s="2889" t="s">
        <v>1426</v>
      </c>
      <c r="F7600" s="2891"/>
      <c r="G7600" s="2890">
        <v>8449.328541456136</v>
      </c>
    </row>
    <row r="7601" spans="2:7" ht="15" hidden="1" outlineLevel="2">
      <c r="B7601" s="2889" t="s">
        <v>1643</v>
      </c>
      <c r="C7601" s="2889" t="s">
        <v>1516</v>
      </c>
      <c r="D7601" s="2889" t="s">
        <v>1054</v>
      </c>
      <c r="E7601" s="2889" t="s">
        <v>1426</v>
      </c>
      <c r="F7601" s="3040"/>
      <c r="G7601" s="2890">
        <v>1249.2222593527281</v>
      </c>
    </row>
    <row r="7602" spans="2:7" ht="15" hidden="1" outlineLevel="2">
      <c r="B7602" s="2889" t="s">
        <v>1644</v>
      </c>
      <c r="C7602" s="2889" t="s">
        <v>1516</v>
      </c>
      <c r="D7602" s="2889" t="s">
        <v>1054</v>
      </c>
      <c r="E7602" s="2889" t="s">
        <v>1426</v>
      </c>
      <c r="F7602" s="3040"/>
      <c r="G7602" s="2890">
        <v>27503.711653381306</v>
      </c>
    </row>
    <row r="7603" spans="2:7" ht="15" hidden="1" outlineLevel="2">
      <c r="B7603" s="2889" t="s">
        <v>1645</v>
      </c>
      <c r="C7603" s="2889" t="s">
        <v>1516</v>
      </c>
      <c r="D7603" s="2889" t="s">
        <v>1054</v>
      </c>
      <c r="E7603" s="2889" t="s">
        <v>1426</v>
      </c>
      <c r="F7603" s="2891"/>
      <c r="G7603" s="2890">
        <v>31410.101341556714</v>
      </c>
    </row>
    <row r="7604" spans="2:7" ht="15" hidden="1" outlineLevel="2">
      <c r="B7604" s="2889" t="s">
        <v>1646</v>
      </c>
      <c r="C7604" s="2889" t="s">
        <v>1516</v>
      </c>
      <c r="D7604" s="2889" t="s">
        <v>1054</v>
      </c>
      <c r="E7604" s="2889" t="s">
        <v>1426</v>
      </c>
      <c r="F7604" s="3040"/>
      <c r="G7604" s="2890">
        <v>1836.7843482009732</v>
      </c>
    </row>
    <row r="7605" spans="2:7" ht="15" hidden="1" outlineLevel="2">
      <c r="B7605" s="2889" t="s">
        <v>1647</v>
      </c>
      <c r="C7605" s="2889" t="s">
        <v>1516</v>
      </c>
      <c r="D7605" s="2889" t="s">
        <v>1054</v>
      </c>
      <c r="E7605" s="2889" t="s">
        <v>1426</v>
      </c>
      <c r="F7605" s="3040"/>
      <c r="G7605" s="2890">
        <v>4584.9781955629087</v>
      </c>
    </row>
    <row r="7606" spans="2:7" ht="15" hidden="1" outlineLevel="2">
      <c r="B7606" s="2889" t="s">
        <v>1648</v>
      </c>
      <c r="C7606" s="2889" t="s">
        <v>1516</v>
      </c>
      <c r="D7606" s="2889" t="s">
        <v>1054</v>
      </c>
      <c r="E7606" s="2889" t="s">
        <v>1426</v>
      </c>
      <c r="F7606" s="3040"/>
      <c r="G7606" s="2890">
        <v>514.029737204497</v>
      </c>
    </row>
    <row r="7607" spans="2:7" ht="15" hidden="1" outlineLevel="2">
      <c r="B7607" s="2889" t="s">
        <v>1649</v>
      </c>
      <c r="C7607" s="2889" t="s">
        <v>1516</v>
      </c>
      <c r="D7607" s="2889" t="s">
        <v>1054</v>
      </c>
      <c r="E7607" s="2889" t="s">
        <v>1426</v>
      </c>
      <c r="F7607" s="2891"/>
      <c r="G7607" s="2890">
        <v>2438.1986968134579</v>
      </c>
    </row>
    <row r="7608" spans="2:7" ht="15" hidden="1" outlineLevel="2">
      <c r="B7608" s="2889" t="s">
        <v>1650</v>
      </c>
      <c r="C7608" s="2889" t="s">
        <v>1516</v>
      </c>
      <c r="D7608" s="2889" t="s">
        <v>1054</v>
      </c>
      <c r="E7608" s="2889" t="s">
        <v>1426</v>
      </c>
      <c r="F7608" s="2891"/>
      <c r="G7608" s="2890">
        <v>6091.9430475665868</v>
      </c>
    </row>
    <row r="7609" spans="2:7" ht="15" hidden="1" outlineLevel="2">
      <c r="B7609" s="2889" t="s">
        <v>1651</v>
      </c>
      <c r="C7609" s="2889" t="s">
        <v>1516</v>
      </c>
      <c r="D7609" s="2889" t="s">
        <v>1054</v>
      </c>
      <c r="E7609" s="2889" t="s">
        <v>1426</v>
      </c>
      <c r="F7609" s="2891"/>
      <c r="G7609" s="2890">
        <v>3333.0800469534629</v>
      </c>
    </row>
    <row r="7610" spans="2:7" ht="15" hidden="1" outlineLevel="2">
      <c r="B7610" s="2889" t="s">
        <v>1652</v>
      </c>
      <c r="C7610" s="2889" t="s">
        <v>1516</v>
      </c>
      <c r="D7610" s="2889" t="s">
        <v>1054</v>
      </c>
      <c r="E7610" s="2889" t="s">
        <v>1426</v>
      </c>
      <c r="F7610" s="3040"/>
      <c r="G7610" s="2890">
        <v>3660.0136359352846</v>
      </c>
    </row>
    <row r="7611" spans="2:7" ht="15" hidden="1" outlineLevel="2">
      <c r="B7611" s="2889" t="s">
        <v>1653</v>
      </c>
      <c r="C7611" s="2889" t="s">
        <v>1516</v>
      </c>
      <c r="D7611" s="2889" t="s">
        <v>1054</v>
      </c>
      <c r="E7611" s="2889" t="s">
        <v>1426</v>
      </c>
      <c r="F7611" s="3040"/>
      <c r="G7611" s="2890">
        <v>1.2678898311801315E-28</v>
      </c>
    </row>
    <row r="7612" spans="2:7" ht="15" hidden="1" outlineLevel="2">
      <c r="B7612" s="2889" t="s">
        <v>1407</v>
      </c>
      <c r="C7612" s="2889" t="s">
        <v>1517</v>
      </c>
      <c r="D7612" s="2889" t="s">
        <v>1054</v>
      </c>
      <c r="E7612" s="2889" t="s">
        <v>1426</v>
      </c>
      <c r="F7612" s="3040"/>
      <c r="G7612" s="2890">
        <v>9.5024559023550985</v>
      </c>
    </row>
    <row r="7613" spans="2:7" ht="15" hidden="1" outlineLevel="2">
      <c r="B7613" s="2889" t="s">
        <v>1631</v>
      </c>
      <c r="C7613" s="2889" t="s">
        <v>1517</v>
      </c>
      <c r="D7613" s="2889" t="s">
        <v>1054</v>
      </c>
      <c r="E7613" s="2889" t="s">
        <v>1426</v>
      </c>
      <c r="F7613" s="2890">
        <v>5.8336617882605076E-3</v>
      </c>
      <c r="G7613" s="2890">
        <v>157.69175639036578</v>
      </c>
    </row>
    <row r="7614" spans="2:7" ht="15" hidden="1" outlineLevel="2">
      <c r="B7614" s="2889" t="s">
        <v>1632</v>
      </c>
      <c r="C7614" s="2889" t="s">
        <v>1517</v>
      </c>
      <c r="D7614" s="2889" t="s">
        <v>1054</v>
      </c>
      <c r="E7614" s="2889" t="s">
        <v>1426</v>
      </c>
      <c r="F7614" s="3040"/>
      <c r="G7614" s="2890">
        <v>365.26378802437659</v>
      </c>
    </row>
    <row r="7615" spans="2:7" ht="15" hidden="1" outlineLevel="2">
      <c r="B7615" s="2889" t="s">
        <v>1633</v>
      </c>
      <c r="C7615" s="2889" t="s">
        <v>1517</v>
      </c>
      <c r="D7615" s="2889" t="s">
        <v>1054</v>
      </c>
      <c r="E7615" s="2889" t="s">
        <v>1426</v>
      </c>
      <c r="F7615" s="3040"/>
      <c r="G7615" s="2890">
        <v>29.64194152035277</v>
      </c>
    </row>
    <row r="7616" spans="2:7" ht="15" hidden="1" outlineLevel="2">
      <c r="B7616" s="2889" t="s">
        <v>1634</v>
      </c>
      <c r="C7616" s="2889" t="s">
        <v>1517</v>
      </c>
      <c r="D7616" s="2889" t="s">
        <v>1054</v>
      </c>
      <c r="E7616" s="2889" t="s">
        <v>1426</v>
      </c>
      <c r="F7616" s="3040"/>
      <c r="G7616" s="2890">
        <v>5.4940487819034933</v>
      </c>
    </row>
    <row r="7617" spans="2:7" ht="15" hidden="1" outlineLevel="2">
      <c r="B7617" s="2889" t="s">
        <v>1635</v>
      </c>
      <c r="C7617" s="2889" t="s">
        <v>1517</v>
      </c>
      <c r="D7617" s="2889" t="s">
        <v>1054</v>
      </c>
      <c r="E7617" s="2889" t="s">
        <v>1426</v>
      </c>
      <c r="F7617" s="3040"/>
      <c r="G7617" s="2890">
        <v>46.340557810574488</v>
      </c>
    </row>
    <row r="7618" spans="2:7" ht="15" hidden="1" outlineLevel="2">
      <c r="B7618" s="2889" t="s">
        <v>1636</v>
      </c>
      <c r="C7618" s="2889" t="s">
        <v>1517</v>
      </c>
      <c r="D7618" s="2889" t="s">
        <v>1054</v>
      </c>
      <c r="E7618" s="2889" t="s">
        <v>1426</v>
      </c>
      <c r="F7618" s="3040"/>
      <c r="G7618" s="2890">
        <v>40.679903894916407</v>
      </c>
    </row>
    <row r="7619" spans="2:7" ht="15" hidden="1" outlineLevel="2">
      <c r="B7619" s="2889" t="s">
        <v>1637</v>
      </c>
      <c r="C7619" s="2889" t="s">
        <v>1517</v>
      </c>
      <c r="D7619" s="2889" t="s">
        <v>1054</v>
      </c>
      <c r="E7619" s="2889" t="s">
        <v>1426</v>
      </c>
      <c r="F7619" s="3040"/>
      <c r="G7619" s="2890">
        <v>67.559722174654482</v>
      </c>
    </row>
    <row r="7620" spans="2:7" ht="15" hidden="1" outlineLevel="2">
      <c r="B7620" s="2889" t="s">
        <v>1638</v>
      </c>
      <c r="C7620" s="2889" t="s">
        <v>1517</v>
      </c>
      <c r="D7620" s="2889" t="s">
        <v>1054</v>
      </c>
      <c r="E7620" s="2889" t="s">
        <v>1426</v>
      </c>
      <c r="F7620" s="3040"/>
      <c r="G7620" s="2890">
        <v>8.9268667098563004</v>
      </c>
    </row>
    <row r="7621" spans="2:7" ht="15" hidden="1" outlineLevel="2">
      <c r="B7621" s="2889" t="s">
        <v>1639</v>
      </c>
      <c r="C7621" s="2889" t="s">
        <v>1517</v>
      </c>
      <c r="D7621" s="2889" t="s">
        <v>1054</v>
      </c>
      <c r="E7621" s="2889" t="s">
        <v>1426</v>
      </c>
      <c r="F7621" s="2891"/>
      <c r="G7621" s="2890">
        <v>81.077906605157622</v>
      </c>
    </row>
    <row r="7622" spans="2:7" ht="15" hidden="1" outlineLevel="2">
      <c r="B7622" s="2889" t="s">
        <v>1640</v>
      </c>
      <c r="C7622" s="2889" t="s">
        <v>1517</v>
      </c>
      <c r="D7622" s="2889" t="s">
        <v>1054</v>
      </c>
      <c r="E7622" s="2889" t="s">
        <v>1426</v>
      </c>
      <c r="F7622" s="2891"/>
      <c r="G7622" s="2890">
        <v>19.062123356059161</v>
      </c>
    </row>
    <row r="7623" spans="2:7" ht="15" hidden="1" outlineLevel="2">
      <c r="B7623" s="2889" t="s">
        <v>1641</v>
      </c>
      <c r="C7623" s="2889" t="s">
        <v>1517</v>
      </c>
      <c r="D7623" s="2889" t="s">
        <v>1054</v>
      </c>
      <c r="E7623" s="2889" t="s">
        <v>1426</v>
      </c>
      <c r="F7623" s="3040"/>
      <c r="G7623" s="2890">
        <v>97.643179566578894</v>
      </c>
    </row>
    <row r="7624" spans="2:7" ht="15" hidden="1" outlineLevel="2">
      <c r="B7624" s="2889" t="s">
        <v>1642</v>
      </c>
      <c r="C7624" s="2889" t="s">
        <v>1517</v>
      </c>
      <c r="D7624" s="2889" t="s">
        <v>1054</v>
      </c>
      <c r="E7624" s="2889" t="s">
        <v>1426</v>
      </c>
      <c r="F7624" s="3040"/>
      <c r="G7624" s="2890">
        <v>70.086751939349625</v>
      </c>
    </row>
    <row r="7625" spans="2:7" ht="15" hidden="1" outlineLevel="2">
      <c r="B7625" s="2889" t="s">
        <v>1643</v>
      </c>
      <c r="C7625" s="2889" t="s">
        <v>1517</v>
      </c>
      <c r="D7625" s="2889" t="s">
        <v>1054</v>
      </c>
      <c r="E7625" s="2889" t="s">
        <v>1426</v>
      </c>
      <c r="F7625" s="3040"/>
      <c r="G7625" s="2890">
        <v>10.362237611240655</v>
      </c>
    </row>
    <row r="7626" spans="2:7" ht="15" hidden="1" outlineLevel="2">
      <c r="B7626" s="2889" t="s">
        <v>1644</v>
      </c>
      <c r="C7626" s="2889" t="s">
        <v>1517</v>
      </c>
      <c r="D7626" s="2889" t="s">
        <v>1054</v>
      </c>
      <c r="E7626" s="2889" t="s">
        <v>1426</v>
      </c>
      <c r="F7626" s="3040"/>
      <c r="G7626" s="2890">
        <v>228.14194052303674</v>
      </c>
    </row>
    <row r="7627" spans="2:7" ht="15" hidden="1" outlineLevel="2">
      <c r="B7627" s="2889" t="s">
        <v>1645</v>
      </c>
      <c r="C7627" s="2889" t="s">
        <v>1517</v>
      </c>
      <c r="D7627" s="2889" t="s">
        <v>1054</v>
      </c>
      <c r="E7627" s="2889" t="s">
        <v>1426</v>
      </c>
      <c r="F7627" s="3040"/>
      <c r="G7627" s="2890">
        <v>260.54534638524541</v>
      </c>
    </row>
    <row r="7628" spans="2:7" ht="15" hidden="1" outlineLevel="2">
      <c r="B7628" s="2889" t="s">
        <v>1646</v>
      </c>
      <c r="C7628" s="2889" t="s">
        <v>1517</v>
      </c>
      <c r="D7628" s="2889" t="s">
        <v>1054</v>
      </c>
      <c r="E7628" s="2889" t="s">
        <v>1426</v>
      </c>
      <c r="F7628" s="3040"/>
      <c r="G7628" s="2890">
        <v>15.236038998859803</v>
      </c>
    </row>
    <row r="7629" spans="2:7" ht="15" hidden="1" outlineLevel="2">
      <c r="B7629" s="2889" t="s">
        <v>1647</v>
      </c>
      <c r="C7629" s="2889" t="s">
        <v>1517</v>
      </c>
      <c r="D7629" s="2889" t="s">
        <v>1054</v>
      </c>
      <c r="E7629" s="2889" t="s">
        <v>1426</v>
      </c>
      <c r="F7629" s="3040"/>
      <c r="G7629" s="2890">
        <v>38.032175534906429</v>
      </c>
    </row>
    <row r="7630" spans="2:7" ht="15" hidden="1" outlineLevel="2">
      <c r="B7630" s="2889" t="s">
        <v>1648</v>
      </c>
      <c r="C7630" s="2889" t="s">
        <v>1517</v>
      </c>
      <c r="D7630" s="2889" t="s">
        <v>1054</v>
      </c>
      <c r="E7630" s="2889" t="s">
        <v>1426</v>
      </c>
      <c r="F7630" s="3040"/>
      <c r="G7630" s="2890">
        <v>4.2638525358427968</v>
      </c>
    </row>
    <row r="7631" spans="2:7" ht="15" hidden="1" outlineLevel="2">
      <c r="B7631" s="2889" t="s">
        <v>1649</v>
      </c>
      <c r="C7631" s="2889" t="s">
        <v>1517</v>
      </c>
      <c r="D7631" s="2889" t="s">
        <v>1054</v>
      </c>
      <c r="E7631" s="2889" t="s">
        <v>1426</v>
      </c>
      <c r="F7631" s="3040"/>
      <c r="G7631" s="2890">
        <v>20.224747569215378</v>
      </c>
    </row>
    <row r="7632" spans="2:7" ht="15" hidden="1" outlineLevel="2">
      <c r="B7632" s="2889" t="s">
        <v>1650</v>
      </c>
      <c r="C7632" s="2889" t="s">
        <v>1517</v>
      </c>
      <c r="D7632" s="2889" t="s">
        <v>1054</v>
      </c>
      <c r="E7632" s="2889" t="s">
        <v>1426</v>
      </c>
      <c r="F7632" s="3040"/>
      <c r="G7632" s="2890">
        <v>50.532373579067553</v>
      </c>
    </row>
    <row r="7633" spans="2:7" ht="15" hidden="1" outlineLevel="2">
      <c r="B7633" s="2889" t="s">
        <v>1651</v>
      </c>
      <c r="C7633" s="2889" t="s">
        <v>1517</v>
      </c>
      <c r="D7633" s="2889" t="s">
        <v>1054</v>
      </c>
      <c r="E7633" s="2889" t="s">
        <v>1426</v>
      </c>
      <c r="F7633" s="3040"/>
      <c r="G7633" s="2890">
        <v>27.647740461977872</v>
      </c>
    </row>
    <row r="7634" spans="2:7" ht="15" hidden="1" outlineLevel="2">
      <c r="B7634" s="2889" t="s">
        <v>1652</v>
      </c>
      <c r="C7634" s="2889" t="s">
        <v>1517</v>
      </c>
      <c r="D7634" s="2889" t="s">
        <v>1054</v>
      </c>
      <c r="E7634" s="2889" t="s">
        <v>1426</v>
      </c>
      <c r="F7634" s="3040"/>
      <c r="G7634" s="2890">
        <v>30.359638158009954</v>
      </c>
    </row>
    <row r="7635" spans="2:7" ht="15" hidden="1" outlineLevel="2">
      <c r="B7635" s="2889" t="s">
        <v>1653</v>
      </c>
      <c r="C7635" s="2889" t="s">
        <v>1517</v>
      </c>
      <c r="D7635" s="2889" t="s">
        <v>1054</v>
      </c>
      <c r="E7635" s="2889" t="s">
        <v>1426</v>
      </c>
      <c r="F7635" s="3040"/>
      <c r="G7635" s="2890">
        <v>5.7536869703209902E-30</v>
      </c>
    </row>
    <row r="7636" spans="2:7" ht="15" hidden="1" outlineLevel="2">
      <c r="B7636" s="2889" t="s">
        <v>1407</v>
      </c>
      <c r="C7636" s="2889" t="s">
        <v>1518</v>
      </c>
      <c r="D7636" s="2889" t="s">
        <v>1054</v>
      </c>
      <c r="E7636" s="2889" t="s">
        <v>1426</v>
      </c>
      <c r="F7636" s="3040"/>
      <c r="G7636" s="2890">
        <v>4.4884455108699131</v>
      </c>
    </row>
    <row r="7637" spans="2:7" ht="15" hidden="1" outlineLevel="2">
      <c r="B7637" s="2889" t="s">
        <v>1631</v>
      </c>
      <c r="C7637" s="2889" t="s">
        <v>1518</v>
      </c>
      <c r="D7637" s="2889" t="s">
        <v>1054</v>
      </c>
      <c r="E7637" s="2889" t="s">
        <v>1426</v>
      </c>
      <c r="F7637" s="2890">
        <v>2.2224104415720664E-3</v>
      </c>
      <c r="G7637" s="2890">
        <v>74.485037296919316</v>
      </c>
    </row>
    <row r="7638" spans="2:7" ht="15" hidden="1" outlineLevel="2">
      <c r="B7638" s="2889" t="s">
        <v>1632</v>
      </c>
      <c r="C7638" s="2889" t="s">
        <v>1518</v>
      </c>
      <c r="D7638" s="2889" t="s">
        <v>1054</v>
      </c>
      <c r="E7638" s="2889" t="s">
        <v>1426</v>
      </c>
      <c r="F7638" s="2891"/>
      <c r="G7638" s="2890">
        <v>172.53078658474323</v>
      </c>
    </row>
    <row r="7639" spans="2:7" ht="15" hidden="1" outlineLevel="2">
      <c r="B7639" s="2889" t="s">
        <v>1633</v>
      </c>
      <c r="C7639" s="2889" t="s">
        <v>1518</v>
      </c>
      <c r="D7639" s="2889" t="s">
        <v>1054</v>
      </c>
      <c r="E7639" s="2889" t="s">
        <v>1426</v>
      </c>
      <c r="F7639" s="2891"/>
      <c r="G7639" s="2890">
        <v>14.001241109190893</v>
      </c>
    </row>
    <row r="7640" spans="2:7" ht="15" hidden="1" outlineLevel="2">
      <c r="B7640" s="2889" t="s">
        <v>1634</v>
      </c>
      <c r="C7640" s="2889" t="s">
        <v>1518</v>
      </c>
      <c r="D7640" s="2889" t="s">
        <v>1054</v>
      </c>
      <c r="E7640" s="2889" t="s">
        <v>1426</v>
      </c>
      <c r="F7640" s="2891"/>
      <c r="G7640" s="2890">
        <v>2.5950896296772714</v>
      </c>
    </row>
    <row r="7641" spans="2:7" ht="15" hidden="1" outlineLevel="2">
      <c r="B7641" s="2889" t="s">
        <v>1635</v>
      </c>
      <c r="C7641" s="2889" t="s">
        <v>1518</v>
      </c>
      <c r="D7641" s="2889" t="s">
        <v>1054</v>
      </c>
      <c r="E7641" s="2889" t="s">
        <v>1426</v>
      </c>
      <c r="F7641" s="2891"/>
      <c r="G7641" s="2890">
        <v>21.888761031880545</v>
      </c>
    </row>
    <row r="7642" spans="2:7" ht="15" hidden="1" outlineLevel="2">
      <c r="B7642" s="2889" t="s">
        <v>1636</v>
      </c>
      <c r="C7642" s="2889" t="s">
        <v>1518</v>
      </c>
      <c r="D7642" s="2889" t="s">
        <v>1054</v>
      </c>
      <c r="E7642" s="2889" t="s">
        <v>1426</v>
      </c>
      <c r="F7642" s="2891"/>
      <c r="G7642" s="2890">
        <v>19.214977570029937</v>
      </c>
    </row>
    <row r="7643" spans="2:7" ht="15" hidden="1" outlineLevel="2">
      <c r="B7643" s="2889" t="s">
        <v>1637</v>
      </c>
      <c r="C7643" s="2889" t="s">
        <v>1518</v>
      </c>
      <c r="D7643" s="2889" t="s">
        <v>1054</v>
      </c>
      <c r="E7643" s="2889" t="s">
        <v>1426</v>
      </c>
      <c r="F7643" s="2891"/>
      <c r="G7643" s="2890">
        <v>31.911540982111962</v>
      </c>
    </row>
    <row r="7644" spans="2:7" ht="15" hidden="1" outlineLevel="2">
      <c r="B7644" s="2889" t="s">
        <v>1638</v>
      </c>
      <c r="C7644" s="2889" t="s">
        <v>1518</v>
      </c>
      <c r="D7644" s="2889" t="s">
        <v>1054</v>
      </c>
      <c r="E7644" s="2889" t="s">
        <v>1426</v>
      </c>
      <c r="F7644" s="2891"/>
      <c r="G7644" s="2890">
        <v>4.2165663011762788</v>
      </c>
    </row>
    <row r="7645" spans="2:7" ht="15" hidden="1" outlineLevel="2">
      <c r="B7645" s="2889" t="s">
        <v>1639</v>
      </c>
      <c r="C7645" s="2889" t="s">
        <v>1518</v>
      </c>
      <c r="D7645" s="2889" t="s">
        <v>1054</v>
      </c>
      <c r="E7645" s="2889" t="s">
        <v>1426</v>
      </c>
      <c r="F7645" s="2891"/>
      <c r="G7645" s="2890">
        <v>38.296799701512882</v>
      </c>
    </row>
    <row r="7646" spans="2:7" ht="15" hidden="1" outlineLevel="2">
      <c r="B7646" s="2889" t="s">
        <v>1640</v>
      </c>
      <c r="C7646" s="2889" t="s">
        <v>1518</v>
      </c>
      <c r="D7646" s="2889" t="s">
        <v>1054</v>
      </c>
      <c r="E7646" s="2889" t="s">
        <v>1426</v>
      </c>
      <c r="F7646" s="2891"/>
      <c r="G7646" s="2890">
        <v>9.0039094704240874</v>
      </c>
    </row>
    <row r="7647" spans="2:7" ht="15" hidden="1" outlineLevel="2">
      <c r="B7647" s="2889" t="s">
        <v>1641</v>
      </c>
      <c r="C7647" s="2889" t="s">
        <v>1518</v>
      </c>
      <c r="D7647" s="2889" t="s">
        <v>1054</v>
      </c>
      <c r="E7647" s="2889" t="s">
        <v>1426</v>
      </c>
      <c r="F7647" s="2891"/>
      <c r="G7647" s="2890">
        <v>46.121336151582284</v>
      </c>
    </row>
    <row r="7648" spans="2:7" ht="15" hidden="1" outlineLevel="2">
      <c r="B7648" s="2889" t="s">
        <v>1642</v>
      </c>
      <c r="C7648" s="2889" t="s">
        <v>1518</v>
      </c>
      <c r="D7648" s="2889" t="s">
        <v>1054</v>
      </c>
      <c r="E7648" s="2889" t="s">
        <v>1426</v>
      </c>
      <c r="F7648" s="3040"/>
      <c r="G7648" s="2890">
        <v>33.105184768443763</v>
      </c>
    </row>
    <row r="7649" spans="2:7" ht="15" hidden="1" outlineLevel="2">
      <c r="B7649" s="2889" t="s">
        <v>1643</v>
      </c>
      <c r="C7649" s="2889" t="s">
        <v>1518</v>
      </c>
      <c r="D7649" s="2889" t="s">
        <v>1054</v>
      </c>
      <c r="E7649" s="2889" t="s">
        <v>1426</v>
      </c>
      <c r="F7649" s="3040"/>
      <c r="G7649" s="2890">
        <v>4.894558410469644</v>
      </c>
    </row>
    <row r="7650" spans="2:7" ht="15" hidden="1" outlineLevel="2">
      <c r="B7650" s="2889" t="s">
        <v>1644</v>
      </c>
      <c r="C7650" s="2889" t="s">
        <v>1518</v>
      </c>
      <c r="D7650" s="2889" t="s">
        <v>1054</v>
      </c>
      <c r="E7650" s="2889" t="s">
        <v>1426</v>
      </c>
      <c r="F7650" s="2891"/>
      <c r="G7650" s="2890">
        <v>107.76186107276507</v>
      </c>
    </row>
    <row r="7651" spans="2:7" ht="15" hidden="1" outlineLevel="2">
      <c r="B7651" s="2889" t="s">
        <v>1645</v>
      </c>
      <c r="C7651" s="2889" t="s">
        <v>1518</v>
      </c>
      <c r="D7651" s="2889" t="s">
        <v>1054</v>
      </c>
      <c r="E7651" s="2889" t="s">
        <v>1426</v>
      </c>
      <c r="F7651" s="3040"/>
      <c r="G7651" s="2890">
        <v>123.0674720858278</v>
      </c>
    </row>
    <row r="7652" spans="2:7" ht="15" hidden="1" outlineLevel="2">
      <c r="B7652" s="2889" t="s">
        <v>1646</v>
      </c>
      <c r="C7652" s="2889" t="s">
        <v>1518</v>
      </c>
      <c r="D7652" s="2889" t="s">
        <v>1054</v>
      </c>
      <c r="E7652" s="2889" t="s">
        <v>1426</v>
      </c>
      <c r="F7652" s="3040"/>
      <c r="G7652" s="2890">
        <v>7.196676554716908</v>
      </c>
    </row>
    <row r="7653" spans="2:7" ht="15" hidden="1" outlineLevel="2">
      <c r="B7653" s="2889" t="s">
        <v>1647</v>
      </c>
      <c r="C7653" s="2889" t="s">
        <v>1518</v>
      </c>
      <c r="D7653" s="2889" t="s">
        <v>1054</v>
      </c>
      <c r="E7653" s="2889" t="s">
        <v>1426</v>
      </c>
      <c r="F7653" s="3040"/>
      <c r="G7653" s="2890">
        <v>17.964334644500337</v>
      </c>
    </row>
    <row r="7654" spans="2:7" ht="15" hidden="1" outlineLevel="2">
      <c r="B7654" s="2889" t="s">
        <v>1648</v>
      </c>
      <c r="C7654" s="2889" t="s">
        <v>1518</v>
      </c>
      <c r="D7654" s="2889" t="s">
        <v>1054</v>
      </c>
      <c r="E7654" s="2889" t="s">
        <v>1426</v>
      </c>
      <c r="F7654" s="3040"/>
      <c r="G7654" s="2890">
        <v>2.0140123065726203</v>
      </c>
    </row>
    <row r="7655" spans="2:7" ht="15" hidden="1" outlineLevel="2">
      <c r="B7655" s="2889" t="s">
        <v>1649</v>
      </c>
      <c r="C7655" s="2889" t="s">
        <v>1518</v>
      </c>
      <c r="D7655" s="2889" t="s">
        <v>1054</v>
      </c>
      <c r="E7655" s="2889" t="s">
        <v>1426</v>
      </c>
      <c r="F7655" s="3040"/>
      <c r="G7655" s="2890">
        <v>9.5530715098767551</v>
      </c>
    </row>
    <row r="7656" spans="2:7" ht="15" hidden="1" outlineLevel="2">
      <c r="B7656" s="2889" t="s">
        <v>1650</v>
      </c>
      <c r="C7656" s="2889" t="s">
        <v>1518</v>
      </c>
      <c r="D7656" s="2889" t="s">
        <v>1054</v>
      </c>
      <c r="E7656" s="2889" t="s">
        <v>1426</v>
      </c>
      <c r="F7656" s="3040"/>
      <c r="G7656" s="2890">
        <v>23.86874472190113</v>
      </c>
    </row>
    <row r="7657" spans="2:7" ht="15" hidden="1" outlineLevel="2">
      <c r="B7657" s="2889" t="s">
        <v>1651</v>
      </c>
      <c r="C7657" s="2889" t="s">
        <v>1518</v>
      </c>
      <c r="D7657" s="2889" t="s">
        <v>1054</v>
      </c>
      <c r="E7657" s="2889" t="s">
        <v>1426</v>
      </c>
      <c r="F7657" s="3040"/>
      <c r="G7657" s="2890">
        <v>13.059291775272998</v>
      </c>
    </row>
    <row r="7658" spans="2:7" ht="15" hidden="1" outlineLevel="2">
      <c r="B7658" s="2889" t="s">
        <v>1652</v>
      </c>
      <c r="C7658" s="2889" t="s">
        <v>1518</v>
      </c>
      <c r="D7658" s="2889" t="s">
        <v>1054</v>
      </c>
      <c r="E7658" s="2889" t="s">
        <v>1426</v>
      </c>
      <c r="F7658" s="3040"/>
      <c r="G7658" s="2890">
        <v>14.340243140689884</v>
      </c>
    </row>
    <row r="7659" spans="2:7" ht="15" hidden="1" outlineLevel="2">
      <c r="B7659" s="2889" t="s">
        <v>1653</v>
      </c>
      <c r="C7659" s="2889" t="s">
        <v>1518</v>
      </c>
      <c r="D7659" s="2889" t="s">
        <v>1054</v>
      </c>
      <c r="E7659" s="2889" t="s">
        <v>1426</v>
      </c>
      <c r="F7659" s="3040"/>
      <c r="G7659" s="2890">
        <v>2.5688594811403869E-30</v>
      </c>
    </row>
    <row r="7660" spans="2:7" ht="15" hidden="1" outlineLevel="2">
      <c r="B7660" s="2889" t="s">
        <v>1407</v>
      </c>
      <c r="C7660" s="2889" t="s">
        <v>1519</v>
      </c>
      <c r="D7660" s="2889" t="s">
        <v>1054</v>
      </c>
      <c r="E7660" s="2889" t="s">
        <v>1426</v>
      </c>
      <c r="F7660" s="3040"/>
      <c r="G7660" s="2890">
        <v>261.6385610994264</v>
      </c>
    </row>
    <row r="7661" spans="2:7" ht="15" hidden="1" outlineLevel="2">
      <c r="B7661" s="2889" t="s">
        <v>1631</v>
      </c>
      <c r="C7661" s="2889" t="s">
        <v>1519</v>
      </c>
      <c r="D7661" s="2889" t="s">
        <v>1054</v>
      </c>
      <c r="E7661" s="2889" t="s">
        <v>1426</v>
      </c>
      <c r="F7661" s="2890">
        <v>0.12760420935217642</v>
      </c>
      <c r="G7661" s="2890">
        <v>4341.8496005876941</v>
      </c>
    </row>
    <row r="7662" spans="2:7" ht="15" hidden="1" outlineLevel="2">
      <c r="B7662" s="2889" t="s">
        <v>1632</v>
      </c>
      <c r="C7662" s="2889" t="s">
        <v>1519</v>
      </c>
      <c r="D7662" s="2889" t="s">
        <v>1054</v>
      </c>
      <c r="E7662" s="2889" t="s">
        <v>1426</v>
      </c>
      <c r="F7662" s="3040"/>
      <c r="G7662" s="2890">
        <v>10057.089058205491</v>
      </c>
    </row>
    <row r="7663" spans="2:7" ht="15" hidden="1" outlineLevel="2">
      <c r="B7663" s="2889" t="s">
        <v>1633</v>
      </c>
      <c r="C7663" s="2889" t="s">
        <v>1519</v>
      </c>
      <c r="D7663" s="2889" t="s">
        <v>1054</v>
      </c>
      <c r="E7663" s="2889" t="s">
        <v>1426</v>
      </c>
      <c r="F7663" s="3040"/>
      <c r="G7663" s="2890">
        <v>816.15438289449071</v>
      </c>
    </row>
    <row r="7664" spans="2:7" ht="15" hidden="1" outlineLevel="2">
      <c r="B7664" s="2889" t="s">
        <v>1634</v>
      </c>
      <c r="C7664" s="2889" t="s">
        <v>1519</v>
      </c>
      <c r="D7664" s="2889" t="s">
        <v>1054</v>
      </c>
      <c r="E7664" s="2889" t="s">
        <v>1426</v>
      </c>
      <c r="F7664" s="3040"/>
      <c r="G7664" s="2890">
        <v>151.27185425751756</v>
      </c>
    </row>
    <row r="7665" spans="2:7" ht="15" hidden="1" outlineLevel="2">
      <c r="B7665" s="2889" t="s">
        <v>1635</v>
      </c>
      <c r="C7665" s="2889" t="s">
        <v>1519</v>
      </c>
      <c r="D7665" s="2889" t="s">
        <v>1054</v>
      </c>
      <c r="E7665" s="2889" t="s">
        <v>1426</v>
      </c>
      <c r="F7665" s="3040"/>
      <c r="G7665" s="2890">
        <v>1275.9300443663731</v>
      </c>
    </row>
    <row r="7666" spans="2:7" ht="15" hidden="1" outlineLevel="2">
      <c r="B7666" s="2889" t="s">
        <v>1636</v>
      </c>
      <c r="C7666" s="2889" t="s">
        <v>1519</v>
      </c>
      <c r="D7666" s="2889" t="s">
        <v>1054</v>
      </c>
      <c r="E7666" s="2889" t="s">
        <v>1426</v>
      </c>
      <c r="F7666" s="3040"/>
      <c r="G7666" s="2890">
        <v>1120.0713702148805</v>
      </c>
    </row>
    <row r="7667" spans="2:7" ht="15" hidden="1" outlineLevel="2">
      <c r="B7667" s="2889" t="s">
        <v>1637</v>
      </c>
      <c r="C7667" s="2889" t="s">
        <v>1519</v>
      </c>
      <c r="D7667" s="2889" t="s">
        <v>1054</v>
      </c>
      <c r="E7667" s="2889" t="s">
        <v>1426</v>
      </c>
      <c r="F7667" s="3040"/>
      <c r="G7667" s="2890">
        <v>1860.1735680706904</v>
      </c>
    </row>
    <row r="7668" spans="2:7" ht="15" hidden="1" outlineLevel="2">
      <c r="B7668" s="2889" t="s">
        <v>1638</v>
      </c>
      <c r="C7668" s="2889" t="s">
        <v>1519</v>
      </c>
      <c r="D7668" s="2889" t="s">
        <v>1054</v>
      </c>
      <c r="E7668" s="2889" t="s">
        <v>1426</v>
      </c>
      <c r="F7668" s="3040"/>
      <c r="G7668" s="2890">
        <v>245.79025829335535</v>
      </c>
    </row>
    <row r="7669" spans="2:7" ht="15" hidden="1" outlineLevel="2">
      <c r="B7669" s="2889" t="s">
        <v>1639</v>
      </c>
      <c r="C7669" s="2889" t="s">
        <v>1519</v>
      </c>
      <c r="D7669" s="2889" t="s">
        <v>1054</v>
      </c>
      <c r="E7669" s="2889" t="s">
        <v>1426</v>
      </c>
      <c r="F7669" s="3040"/>
      <c r="G7669" s="2890">
        <v>2232.3809065374803</v>
      </c>
    </row>
    <row r="7670" spans="2:7" ht="15" hidden="1" outlineLevel="2">
      <c r="B7670" s="2889" t="s">
        <v>1640</v>
      </c>
      <c r="C7670" s="2889" t="s">
        <v>1519</v>
      </c>
      <c r="D7670" s="2889" t="s">
        <v>1054</v>
      </c>
      <c r="E7670" s="2889" t="s">
        <v>1426</v>
      </c>
      <c r="F7670" s="3040"/>
      <c r="G7670" s="2890">
        <v>524.85214111391281</v>
      </c>
    </row>
    <row r="7671" spans="2:7" ht="15" hidden="1" outlineLevel="2">
      <c r="B7671" s="2889" t="s">
        <v>1641</v>
      </c>
      <c r="C7671" s="2889" t="s">
        <v>1519</v>
      </c>
      <c r="D7671" s="2889" t="s">
        <v>1054</v>
      </c>
      <c r="E7671" s="2889" t="s">
        <v>1426</v>
      </c>
      <c r="F7671" s="2891"/>
      <c r="G7671" s="2890">
        <v>2688.4852431611257</v>
      </c>
    </row>
    <row r="7672" spans="2:7" ht="15" hidden="1" outlineLevel="2">
      <c r="B7672" s="2889" t="s">
        <v>1642</v>
      </c>
      <c r="C7672" s="2889" t="s">
        <v>1519</v>
      </c>
      <c r="D7672" s="2889" t="s">
        <v>1054</v>
      </c>
      <c r="E7672" s="2889" t="s">
        <v>1426</v>
      </c>
      <c r="F7672" s="2891"/>
      <c r="G7672" s="2890">
        <v>1929.7533664110438</v>
      </c>
    </row>
    <row r="7673" spans="2:7" ht="15" hidden="1" outlineLevel="2">
      <c r="B7673" s="2889" t="s">
        <v>1643</v>
      </c>
      <c r="C7673" s="2889" t="s">
        <v>1519</v>
      </c>
      <c r="D7673" s="2889" t="s">
        <v>1054</v>
      </c>
      <c r="E7673" s="2889" t="s">
        <v>1426</v>
      </c>
      <c r="F7673" s="2891"/>
      <c r="G7673" s="2890">
        <v>285.31150748604671</v>
      </c>
    </row>
    <row r="7674" spans="2:7" ht="15" hidden="1" outlineLevel="2">
      <c r="B7674" s="2889" t="s">
        <v>1644</v>
      </c>
      <c r="C7674" s="2889" t="s">
        <v>1519</v>
      </c>
      <c r="D7674" s="2889" t="s">
        <v>1054</v>
      </c>
      <c r="E7674" s="2889" t="s">
        <v>1426</v>
      </c>
      <c r="F7674" s="2891"/>
      <c r="G7674" s="2890">
        <v>6281.6085369711736</v>
      </c>
    </row>
    <row r="7675" spans="2:7" ht="15" hidden="1" outlineLevel="2">
      <c r="B7675" s="2889" t="s">
        <v>1645</v>
      </c>
      <c r="C7675" s="2889" t="s">
        <v>1519</v>
      </c>
      <c r="D7675" s="2889" t="s">
        <v>1054</v>
      </c>
      <c r="E7675" s="2889" t="s">
        <v>1426</v>
      </c>
      <c r="F7675" s="2891"/>
      <c r="G7675" s="2890">
        <v>7173.7950866485207</v>
      </c>
    </row>
    <row r="7676" spans="2:7" ht="15" hidden="1" outlineLevel="2">
      <c r="B7676" s="2889" t="s">
        <v>1646</v>
      </c>
      <c r="C7676" s="2889" t="s">
        <v>1519</v>
      </c>
      <c r="D7676" s="2889" t="s">
        <v>1054</v>
      </c>
      <c r="E7676" s="2889" t="s">
        <v>1426</v>
      </c>
      <c r="F7676" s="2891"/>
      <c r="G7676" s="2890">
        <v>419.50558772218881</v>
      </c>
    </row>
    <row r="7677" spans="2:7" ht="15" hidden="1" outlineLevel="2">
      <c r="B7677" s="2889" t="s">
        <v>1647</v>
      </c>
      <c r="C7677" s="2889" t="s">
        <v>1519</v>
      </c>
      <c r="D7677" s="2889" t="s">
        <v>1054</v>
      </c>
      <c r="E7677" s="2889" t="s">
        <v>1426</v>
      </c>
      <c r="F7677" s="3040"/>
      <c r="G7677" s="2890">
        <v>1047.1694109012644</v>
      </c>
    </row>
    <row r="7678" spans="2:7" ht="15" hidden="1" outlineLevel="2">
      <c r="B7678" s="2889" t="s">
        <v>1648</v>
      </c>
      <c r="C7678" s="2889" t="s">
        <v>1519</v>
      </c>
      <c r="D7678" s="2889" t="s">
        <v>1054</v>
      </c>
      <c r="E7678" s="2889" t="s">
        <v>1426</v>
      </c>
      <c r="F7678" s="3040"/>
      <c r="G7678" s="2890">
        <v>117.39994250179079</v>
      </c>
    </row>
    <row r="7679" spans="2:7" ht="15" hidden="1" outlineLevel="2">
      <c r="B7679" s="2889" t="s">
        <v>1649</v>
      </c>
      <c r="C7679" s="2889" t="s">
        <v>1519</v>
      </c>
      <c r="D7679" s="2889" t="s">
        <v>1054</v>
      </c>
      <c r="E7679" s="2889" t="s">
        <v>1426</v>
      </c>
      <c r="F7679" s="3040"/>
      <c r="G7679" s="2890">
        <v>556.86352497160033</v>
      </c>
    </row>
    <row r="7680" spans="2:7" ht="15" hidden="1" outlineLevel="2">
      <c r="B7680" s="2889" t="s">
        <v>1650</v>
      </c>
      <c r="C7680" s="2889" t="s">
        <v>1519</v>
      </c>
      <c r="D7680" s="2889" t="s">
        <v>1054</v>
      </c>
      <c r="E7680" s="2889" t="s">
        <v>1426</v>
      </c>
      <c r="F7680" s="3040"/>
      <c r="G7680" s="2890">
        <v>1391.3468008460327</v>
      </c>
    </row>
    <row r="7681" spans="2:7" ht="15" hidden="1" outlineLevel="2">
      <c r="B7681" s="2889" t="s">
        <v>1651</v>
      </c>
      <c r="C7681" s="2889" t="s">
        <v>1519</v>
      </c>
      <c r="D7681" s="2889" t="s">
        <v>1054</v>
      </c>
      <c r="E7681" s="2889" t="s">
        <v>1426</v>
      </c>
      <c r="F7681" s="3040"/>
      <c r="G7681" s="2890">
        <v>761.24683827976378</v>
      </c>
    </row>
    <row r="7682" spans="2:7" ht="15" hidden="1" outlineLevel="2">
      <c r="B7682" s="2889" t="s">
        <v>1652</v>
      </c>
      <c r="C7682" s="2889" t="s">
        <v>1519</v>
      </c>
      <c r="D7682" s="2889" t="s">
        <v>1054</v>
      </c>
      <c r="E7682" s="2889" t="s">
        <v>1426</v>
      </c>
      <c r="F7682" s="3040"/>
      <c r="G7682" s="2890">
        <v>835.91538372316586</v>
      </c>
    </row>
    <row r="7683" spans="2:7" ht="15" hidden="1" outlineLevel="2">
      <c r="B7683" s="2889" t="s">
        <v>1653</v>
      </c>
      <c r="C7683" s="2889" t="s">
        <v>1519</v>
      </c>
      <c r="D7683" s="2889" t="s">
        <v>1054</v>
      </c>
      <c r="E7683" s="2889" t="s">
        <v>1426</v>
      </c>
      <c r="F7683" s="3040"/>
      <c r="G7683" s="2890">
        <v>1.2978143078073451E-28</v>
      </c>
    </row>
    <row r="7684" spans="2:7" ht="15" hidden="1" outlineLevel="2">
      <c r="B7684" s="2889" t="s">
        <v>1407</v>
      </c>
      <c r="C7684" s="2889" t="s">
        <v>1520</v>
      </c>
      <c r="D7684" s="2889" t="s">
        <v>1054</v>
      </c>
      <c r="E7684" s="2889" t="s">
        <v>1426</v>
      </c>
      <c r="F7684" s="3040"/>
      <c r="G7684" s="2890">
        <v>285.01103413851428</v>
      </c>
    </row>
    <row r="7685" spans="2:7" ht="15" hidden="1" outlineLevel="2">
      <c r="B7685" s="2889" t="s">
        <v>1631</v>
      </c>
      <c r="C7685" s="2889" t="s">
        <v>1520</v>
      </c>
      <c r="D7685" s="2889" t="s">
        <v>1054</v>
      </c>
      <c r="E7685" s="2889" t="s">
        <v>1426</v>
      </c>
      <c r="F7685" s="2890">
        <v>0.14615141355139191</v>
      </c>
      <c r="G7685" s="2890">
        <v>4729.7100099539202</v>
      </c>
    </row>
    <row r="7686" spans="2:7" ht="15" hidden="1" outlineLevel="2">
      <c r="B7686" s="2889" t="s">
        <v>1632</v>
      </c>
      <c r="C7686" s="2889" t="s">
        <v>1520</v>
      </c>
      <c r="D7686" s="2889" t="s">
        <v>1054</v>
      </c>
      <c r="E7686" s="2889" t="s">
        <v>1426</v>
      </c>
      <c r="F7686" s="3040"/>
      <c r="G7686" s="2890">
        <v>10955.500315579371</v>
      </c>
    </row>
    <row r="7687" spans="2:7" ht="15" hidden="1" outlineLevel="2">
      <c r="B7687" s="2889" t="s">
        <v>1633</v>
      </c>
      <c r="C7687" s="2889" t="s">
        <v>1520</v>
      </c>
      <c r="D7687" s="2889" t="s">
        <v>1054</v>
      </c>
      <c r="E7687" s="2889" t="s">
        <v>1426</v>
      </c>
      <c r="F7687" s="3040"/>
      <c r="G7687" s="2890">
        <v>889.06218380009773</v>
      </c>
    </row>
    <row r="7688" spans="2:7" ht="15" hidden="1" outlineLevel="2">
      <c r="B7688" s="2889" t="s">
        <v>1634</v>
      </c>
      <c r="C7688" s="2889" t="s">
        <v>1520</v>
      </c>
      <c r="D7688" s="2889" t="s">
        <v>1054</v>
      </c>
      <c r="E7688" s="2889" t="s">
        <v>1426</v>
      </c>
      <c r="F7688" s="3040"/>
      <c r="G7688" s="2890">
        <v>164.78519045818129</v>
      </c>
    </row>
    <row r="7689" spans="2:7" ht="15" hidden="1" outlineLevel="2">
      <c r="B7689" s="2889" t="s">
        <v>1635</v>
      </c>
      <c r="C7689" s="2889" t="s">
        <v>1520</v>
      </c>
      <c r="D7689" s="2889" t="s">
        <v>1054</v>
      </c>
      <c r="E7689" s="2889" t="s">
        <v>1426</v>
      </c>
      <c r="F7689" s="3040"/>
      <c r="G7689" s="2890">
        <v>1389.9104597916116</v>
      </c>
    </row>
    <row r="7690" spans="2:7" ht="15" hidden="1" outlineLevel="2">
      <c r="B7690" s="2889" t="s">
        <v>1636</v>
      </c>
      <c r="C7690" s="2889" t="s">
        <v>1520</v>
      </c>
      <c r="D7690" s="2889" t="s">
        <v>1054</v>
      </c>
      <c r="E7690" s="2889" t="s">
        <v>1426</v>
      </c>
      <c r="F7690" s="3040"/>
      <c r="G7690" s="2890">
        <v>1220.1281262823866</v>
      </c>
    </row>
    <row r="7691" spans="2:7" ht="15" hidden="1" outlineLevel="2">
      <c r="B7691" s="2889" t="s">
        <v>1637</v>
      </c>
      <c r="C7691" s="2889" t="s">
        <v>1520</v>
      </c>
      <c r="D7691" s="2889" t="s">
        <v>1054</v>
      </c>
      <c r="E7691" s="2889" t="s">
        <v>1426</v>
      </c>
      <c r="F7691" s="3040"/>
      <c r="G7691" s="2890">
        <v>2026.3449241715543</v>
      </c>
    </row>
    <row r="7692" spans="2:7" ht="15" hidden="1" outlineLevel="2">
      <c r="B7692" s="2889" t="s">
        <v>1638</v>
      </c>
      <c r="C7692" s="2889" t="s">
        <v>1520</v>
      </c>
      <c r="D7692" s="2889" t="s">
        <v>1054</v>
      </c>
      <c r="E7692" s="2889" t="s">
        <v>1426</v>
      </c>
      <c r="F7692" s="3040"/>
      <c r="G7692" s="2890">
        <v>267.74702838063985</v>
      </c>
    </row>
    <row r="7693" spans="2:7" ht="15" hidden="1" outlineLevel="2">
      <c r="B7693" s="2889" t="s">
        <v>1639</v>
      </c>
      <c r="C7693" s="2889" t="s">
        <v>1520</v>
      </c>
      <c r="D7693" s="2889" t="s">
        <v>1054</v>
      </c>
      <c r="E7693" s="2889" t="s">
        <v>1426</v>
      </c>
      <c r="F7693" s="3040"/>
      <c r="G7693" s="2890">
        <v>2431.8014225963807</v>
      </c>
    </row>
    <row r="7694" spans="2:7" ht="15" hidden="1" outlineLevel="2">
      <c r="B7694" s="2889" t="s">
        <v>1640</v>
      </c>
      <c r="C7694" s="2889" t="s">
        <v>1520</v>
      </c>
      <c r="D7694" s="2889" t="s">
        <v>1054</v>
      </c>
      <c r="E7694" s="2889" t="s">
        <v>1426</v>
      </c>
      <c r="F7694" s="3040"/>
      <c r="G7694" s="2890">
        <v>571.73751750604401</v>
      </c>
    </row>
    <row r="7695" spans="2:7" ht="15" hidden="1" outlineLevel="2">
      <c r="B7695" s="2889" t="s">
        <v>1641</v>
      </c>
      <c r="C7695" s="2889" t="s">
        <v>1520</v>
      </c>
      <c r="D7695" s="2889" t="s">
        <v>1054</v>
      </c>
      <c r="E7695" s="2889" t="s">
        <v>1426</v>
      </c>
      <c r="F7695" s="3040"/>
      <c r="G7695" s="2890">
        <v>2928.6491964408356</v>
      </c>
    </row>
    <row r="7696" spans="2:7" ht="15" hidden="1" outlineLevel="2">
      <c r="B7696" s="2889" t="s">
        <v>1642</v>
      </c>
      <c r="C7696" s="2889" t="s">
        <v>1520</v>
      </c>
      <c r="D7696" s="2889" t="s">
        <v>1054</v>
      </c>
      <c r="E7696" s="2889" t="s">
        <v>1426</v>
      </c>
      <c r="F7696" s="3040"/>
      <c r="G7696" s="2890">
        <v>2102.1407870954909</v>
      </c>
    </row>
    <row r="7697" spans="2:7" ht="15" hidden="1" outlineLevel="2">
      <c r="B7697" s="2889" t="s">
        <v>1643</v>
      </c>
      <c r="C7697" s="2889" t="s">
        <v>1520</v>
      </c>
      <c r="D7697" s="2889" t="s">
        <v>1054</v>
      </c>
      <c r="E7697" s="2889" t="s">
        <v>1426</v>
      </c>
      <c r="F7697" s="3040"/>
      <c r="G7697" s="2890">
        <v>310.79864767796767</v>
      </c>
    </row>
    <row r="7698" spans="2:7" ht="15" hidden="1" outlineLevel="2">
      <c r="B7698" s="2889" t="s">
        <v>1644</v>
      </c>
      <c r="C7698" s="2889" t="s">
        <v>1520</v>
      </c>
      <c r="D7698" s="2889" t="s">
        <v>1054</v>
      </c>
      <c r="E7698" s="2889" t="s">
        <v>1426</v>
      </c>
      <c r="F7698" s="3040"/>
      <c r="G7698" s="2890">
        <v>6842.750124300057</v>
      </c>
    </row>
    <row r="7699" spans="2:7" ht="15" hidden="1" outlineLevel="2">
      <c r="B7699" s="2889" t="s">
        <v>1645</v>
      </c>
      <c r="C7699" s="2889" t="s">
        <v>1520</v>
      </c>
      <c r="D7699" s="2889" t="s">
        <v>1054</v>
      </c>
      <c r="E7699" s="2889" t="s">
        <v>1426</v>
      </c>
      <c r="F7699" s="3040"/>
      <c r="G7699" s="2890">
        <v>7814.6377280241695</v>
      </c>
    </row>
    <row r="7700" spans="2:7" ht="15" hidden="1" outlineLevel="2">
      <c r="B7700" s="2889" t="s">
        <v>1646</v>
      </c>
      <c r="C7700" s="2889" t="s">
        <v>1520</v>
      </c>
      <c r="D7700" s="2889" t="s">
        <v>1054</v>
      </c>
      <c r="E7700" s="2889" t="s">
        <v>1426</v>
      </c>
      <c r="F7700" s="3040"/>
      <c r="G7700" s="2890">
        <v>456.98052691878041</v>
      </c>
    </row>
    <row r="7701" spans="2:7" ht="15" hidden="1" outlineLevel="2">
      <c r="B7701" s="2889" t="s">
        <v>1647</v>
      </c>
      <c r="C7701" s="2889" t="s">
        <v>1520</v>
      </c>
      <c r="D7701" s="2889" t="s">
        <v>1054</v>
      </c>
      <c r="E7701" s="2889" t="s">
        <v>1426</v>
      </c>
      <c r="F7701" s="3040"/>
      <c r="G7701" s="2890">
        <v>1140.714073219184</v>
      </c>
    </row>
    <row r="7702" spans="2:7" ht="15" hidden="1" outlineLevel="2">
      <c r="B7702" s="2889" t="s">
        <v>1648</v>
      </c>
      <c r="C7702" s="2889" t="s">
        <v>1520</v>
      </c>
      <c r="D7702" s="2889" t="s">
        <v>1054</v>
      </c>
      <c r="E7702" s="2889" t="s">
        <v>1426</v>
      </c>
      <c r="F7702" s="3040"/>
      <c r="G7702" s="2890">
        <v>127.88738734235746</v>
      </c>
    </row>
    <row r="7703" spans="2:7" ht="15" hidden="1" outlineLevel="2">
      <c r="B7703" s="2889" t="s">
        <v>1649</v>
      </c>
      <c r="C7703" s="2889" t="s">
        <v>1520</v>
      </c>
      <c r="D7703" s="2889" t="s">
        <v>1054</v>
      </c>
      <c r="E7703" s="2889" t="s">
        <v>1426</v>
      </c>
      <c r="F7703" s="3040"/>
      <c r="G7703" s="2890">
        <v>606.60875580784534</v>
      </c>
    </row>
    <row r="7704" spans="2:7" ht="15" hidden="1" outlineLevel="2">
      <c r="B7704" s="2889" t="s">
        <v>1650</v>
      </c>
      <c r="C7704" s="2889" t="s">
        <v>1520</v>
      </c>
      <c r="D7704" s="2889" t="s">
        <v>1054</v>
      </c>
      <c r="E7704" s="2889" t="s">
        <v>1426</v>
      </c>
      <c r="F7704" s="3040"/>
      <c r="G7704" s="2890">
        <v>1515.6372114955652</v>
      </c>
    </row>
    <row r="7705" spans="2:7" ht="15" hidden="1" outlineLevel="2">
      <c r="B7705" s="2889" t="s">
        <v>1651</v>
      </c>
      <c r="C7705" s="2889" t="s">
        <v>1520</v>
      </c>
      <c r="D7705" s="2889" t="s">
        <v>1054</v>
      </c>
      <c r="E7705" s="2889" t="s">
        <v>1426</v>
      </c>
      <c r="F7705" s="3040"/>
      <c r="G7705" s="2890">
        <v>829.24942876641398</v>
      </c>
    </row>
    <row r="7706" spans="2:7" ht="15" hidden="1" outlineLevel="2">
      <c r="B7706" s="2889" t="s">
        <v>1652</v>
      </c>
      <c r="C7706" s="2889" t="s">
        <v>1520</v>
      </c>
      <c r="D7706" s="2889" t="s">
        <v>1054</v>
      </c>
      <c r="E7706" s="2889" t="s">
        <v>1426</v>
      </c>
      <c r="F7706" s="3040"/>
      <c r="G7706" s="2890">
        <v>910.58856982222267</v>
      </c>
    </row>
    <row r="7707" spans="2:7" ht="15" hidden="1" outlineLevel="2">
      <c r="B7707" s="2889" t="s">
        <v>1653</v>
      </c>
      <c r="C7707" s="2889" t="s">
        <v>1520</v>
      </c>
      <c r="D7707" s="2889" t="s">
        <v>1054</v>
      </c>
      <c r="E7707" s="2889" t="s">
        <v>1426</v>
      </c>
      <c r="F7707" s="3040"/>
      <c r="G7707" s="2890">
        <v>4.5319368336702387E-29</v>
      </c>
    </row>
    <row r="7708" spans="2:7" ht="15" hidden="1" outlineLevel="2">
      <c r="B7708" s="2889" t="s">
        <v>1407</v>
      </c>
      <c r="C7708" s="2889" t="s">
        <v>1521</v>
      </c>
      <c r="D7708" s="2889" t="s">
        <v>1054</v>
      </c>
      <c r="E7708" s="2889" t="s">
        <v>1426</v>
      </c>
      <c r="F7708" s="3040"/>
      <c r="G7708" s="2890">
        <v>979.79990107837341</v>
      </c>
    </row>
    <row r="7709" spans="2:7" ht="15" hidden="1" outlineLevel="2">
      <c r="B7709" s="2889" t="s">
        <v>1631</v>
      </c>
      <c r="C7709" s="2889" t="s">
        <v>1521</v>
      </c>
      <c r="D7709" s="2889" t="s">
        <v>1054</v>
      </c>
      <c r="E7709" s="2889" t="s">
        <v>1426</v>
      </c>
      <c r="F7709" s="2890">
        <v>0.57197739114006174</v>
      </c>
      <c r="G7709" s="2890">
        <v>16259.618370754453</v>
      </c>
    </row>
    <row r="7710" spans="2:7" ht="15" hidden="1" outlineLevel="2">
      <c r="B7710" s="2889" t="s">
        <v>1632</v>
      </c>
      <c r="C7710" s="2889" t="s">
        <v>1521</v>
      </c>
      <c r="D7710" s="2889" t="s">
        <v>1054</v>
      </c>
      <c r="E7710" s="2889" t="s">
        <v>1426</v>
      </c>
      <c r="F7710" s="3040"/>
      <c r="G7710" s="2890">
        <v>37662.398357990955</v>
      </c>
    </row>
    <row r="7711" spans="2:7" ht="15" hidden="1" outlineLevel="2">
      <c r="B7711" s="2889" t="s">
        <v>1633</v>
      </c>
      <c r="C7711" s="2889" t="s">
        <v>1521</v>
      </c>
      <c r="D7711" s="2889" t="s">
        <v>1054</v>
      </c>
      <c r="E7711" s="2889" t="s">
        <v>1426</v>
      </c>
      <c r="F7711" s="3040"/>
      <c r="G7711" s="2890">
        <v>3056.3836084867844</v>
      </c>
    </row>
    <row r="7712" spans="2:7" ht="15" hidden="1" outlineLevel="2">
      <c r="B7712" s="2889" t="s">
        <v>1634</v>
      </c>
      <c r="C7712" s="2889" t="s">
        <v>1521</v>
      </c>
      <c r="D7712" s="2889" t="s">
        <v>1054</v>
      </c>
      <c r="E7712" s="2889" t="s">
        <v>1426</v>
      </c>
      <c r="F7712" s="3040"/>
      <c r="G7712" s="2890">
        <v>566.49196719457814</v>
      </c>
    </row>
    <row r="7713" spans="2:7" ht="15" hidden="1" outlineLevel="2">
      <c r="B7713" s="2889" t="s">
        <v>1635</v>
      </c>
      <c r="C7713" s="2889" t="s">
        <v>1521</v>
      </c>
      <c r="D7713" s="2889" t="s">
        <v>1054</v>
      </c>
      <c r="E7713" s="2889" t="s">
        <v>1426</v>
      </c>
      <c r="F7713" s="3040"/>
      <c r="G7713" s="2890">
        <v>4778.1801660420406</v>
      </c>
    </row>
    <row r="7714" spans="2:7" ht="15" hidden="1" outlineLevel="2">
      <c r="B7714" s="2889" t="s">
        <v>1636</v>
      </c>
      <c r="C7714" s="2889" t="s">
        <v>1521</v>
      </c>
      <c r="D7714" s="2889" t="s">
        <v>1054</v>
      </c>
      <c r="E7714" s="2889" t="s">
        <v>1426</v>
      </c>
      <c r="F7714" s="3040"/>
      <c r="G7714" s="2890">
        <v>4194.5096453725764</v>
      </c>
    </row>
    <row r="7715" spans="2:7" ht="15" hidden="1" outlineLevel="2">
      <c r="B7715" s="2889" t="s">
        <v>1637</v>
      </c>
      <c r="C7715" s="2889" t="s">
        <v>1521</v>
      </c>
      <c r="D7715" s="2889" t="s">
        <v>1054</v>
      </c>
      <c r="E7715" s="2889" t="s">
        <v>1426</v>
      </c>
      <c r="F7715" s="3040"/>
      <c r="G7715" s="2890">
        <v>6966.0907475788317</v>
      </c>
    </row>
    <row r="7716" spans="2:7" ht="15" hidden="1" outlineLevel="2">
      <c r="B7716" s="2889" t="s">
        <v>1638</v>
      </c>
      <c r="C7716" s="2889" t="s">
        <v>1521</v>
      </c>
      <c r="D7716" s="2889" t="s">
        <v>1054</v>
      </c>
      <c r="E7716" s="2889" t="s">
        <v>1426</v>
      </c>
      <c r="F7716" s="3040"/>
      <c r="G7716" s="2890">
        <v>920.45028336297241</v>
      </c>
    </row>
    <row r="7717" spans="2:7" ht="15" hidden="1" outlineLevel="2">
      <c r="B7717" s="2889" t="s">
        <v>1639</v>
      </c>
      <c r="C7717" s="2889" t="s">
        <v>1521</v>
      </c>
      <c r="D7717" s="2889" t="s">
        <v>1054</v>
      </c>
      <c r="E7717" s="2889" t="s">
        <v>1426</v>
      </c>
      <c r="F7717" s="2891"/>
      <c r="G7717" s="2890">
        <v>8359.9532351176986</v>
      </c>
    </row>
    <row r="7718" spans="2:7" ht="15" hidden="1" outlineLevel="2">
      <c r="B7718" s="2889" t="s">
        <v>1640</v>
      </c>
      <c r="C7718" s="2889" t="s">
        <v>1521</v>
      </c>
      <c r="D7718" s="2889" t="s">
        <v>1054</v>
      </c>
      <c r="E7718" s="2889" t="s">
        <v>1426</v>
      </c>
      <c r="F7718" s="2891"/>
      <c r="G7718" s="2890">
        <v>1965.4972484286566</v>
      </c>
    </row>
    <row r="7719" spans="2:7" ht="15" hidden="1" outlineLevel="2">
      <c r="B7719" s="2889" t="s">
        <v>1641</v>
      </c>
      <c r="C7719" s="2889" t="s">
        <v>1521</v>
      </c>
      <c r="D7719" s="2889" t="s">
        <v>1054</v>
      </c>
      <c r="E7719" s="2889" t="s">
        <v>1426</v>
      </c>
      <c r="F7719" s="2891"/>
      <c r="G7719" s="2890">
        <v>10068.000191282936</v>
      </c>
    </row>
    <row r="7720" spans="2:7" ht="15" hidden="1" outlineLevel="2">
      <c r="B7720" s="2889" t="s">
        <v>1642</v>
      </c>
      <c r="C7720" s="2889" t="s">
        <v>1521</v>
      </c>
      <c r="D7720" s="2889" t="s">
        <v>1054</v>
      </c>
      <c r="E7720" s="2889" t="s">
        <v>1426</v>
      </c>
      <c r="F7720" s="2891"/>
      <c r="G7720" s="2890">
        <v>7226.6551421236009</v>
      </c>
    </row>
    <row r="7721" spans="2:7" ht="15" hidden="1" outlineLevel="2">
      <c r="B7721" s="2889" t="s">
        <v>1643</v>
      </c>
      <c r="C7721" s="2889" t="s">
        <v>1521</v>
      </c>
      <c r="D7721" s="2889" t="s">
        <v>1054</v>
      </c>
      <c r="E7721" s="2889" t="s">
        <v>1426</v>
      </c>
      <c r="F7721" s="2891"/>
      <c r="G7721" s="2890">
        <v>1068.4515675360117</v>
      </c>
    </row>
    <row r="7722" spans="2:7" ht="15" hidden="1" outlineLevel="2">
      <c r="B7722" s="2889" t="s">
        <v>1644</v>
      </c>
      <c r="C7722" s="2889" t="s">
        <v>1521</v>
      </c>
      <c r="D7722" s="2889" t="s">
        <v>1054</v>
      </c>
      <c r="E7722" s="2889" t="s">
        <v>1426</v>
      </c>
      <c r="F7722" s="2891"/>
      <c r="G7722" s="2890">
        <v>23523.747805134597</v>
      </c>
    </row>
    <row r="7723" spans="2:7" ht="15" hidden="1" outlineLevel="2">
      <c r="B7723" s="2889" t="s">
        <v>1645</v>
      </c>
      <c r="C7723" s="2889" t="s">
        <v>1521</v>
      </c>
      <c r="D7723" s="2889" t="s">
        <v>1054</v>
      </c>
      <c r="E7723" s="2889" t="s">
        <v>1426</v>
      </c>
      <c r="F7723" s="2891"/>
      <c r="G7723" s="2890">
        <v>26864.850377018585</v>
      </c>
    </row>
    <row r="7724" spans="2:7" ht="15" hidden="1" outlineLevel="2">
      <c r="B7724" s="2889" t="s">
        <v>1646</v>
      </c>
      <c r="C7724" s="2889" t="s">
        <v>1521</v>
      </c>
      <c r="D7724" s="2889" t="s">
        <v>1054</v>
      </c>
      <c r="E7724" s="2889" t="s">
        <v>1426</v>
      </c>
      <c r="F7724" s="2891"/>
      <c r="G7724" s="2890">
        <v>1570.9897941658785</v>
      </c>
    </row>
    <row r="7725" spans="2:7" ht="15" hidden="1" outlineLevel="2">
      <c r="B7725" s="2889" t="s">
        <v>1647</v>
      </c>
      <c r="C7725" s="2889" t="s">
        <v>1521</v>
      </c>
      <c r="D7725" s="2889" t="s">
        <v>1054</v>
      </c>
      <c r="E7725" s="2889" t="s">
        <v>1426</v>
      </c>
      <c r="F7725" s="2891"/>
      <c r="G7725" s="2890">
        <v>3921.5028199196722</v>
      </c>
    </row>
    <row r="7726" spans="2:7" ht="15" hidden="1" outlineLevel="2">
      <c r="B7726" s="2889" t="s">
        <v>1648</v>
      </c>
      <c r="C7726" s="2889" t="s">
        <v>1521</v>
      </c>
      <c r="D7726" s="2889" t="s">
        <v>1054</v>
      </c>
      <c r="E7726" s="2889" t="s">
        <v>1426</v>
      </c>
      <c r="F7726" s="2891"/>
      <c r="G7726" s="2890">
        <v>439.6465023649306</v>
      </c>
    </row>
    <row r="7727" spans="2:7" ht="15" hidden="1" outlineLevel="2">
      <c r="B7727" s="2889" t="s">
        <v>1649</v>
      </c>
      <c r="C7727" s="2889" t="s">
        <v>1521</v>
      </c>
      <c r="D7727" s="2889" t="s">
        <v>1054</v>
      </c>
      <c r="E7727" s="2889" t="s">
        <v>1426</v>
      </c>
      <c r="F7727" s="2891"/>
      <c r="G7727" s="2890">
        <v>2085.3756903889152</v>
      </c>
    </row>
    <row r="7728" spans="2:7" ht="15" hidden="1" outlineLevel="2">
      <c r="B7728" s="2889" t="s">
        <v>1650</v>
      </c>
      <c r="C7728" s="2889" t="s">
        <v>1521</v>
      </c>
      <c r="D7728" s="2889" t="s">
        <v>1054</v>
      </c>
      <c r="E7728" s="2889" t="s">
        <v>1426</v>
      </c>
      <c r="F7728" s="2891"/>
      <c r="G7728" s="2890">
        <v>5210.397585962216</v>
      </c>
    </row>
    <row r="7729" spans="2:7" ht="15" hidden="1" outlineLevel="2">
      <c r="B7729" s="2889" t="s">
        <v>1651</v>
      </c>
      <c r="C7729" s="2889" t="s">
        <v>1521</v>
      </c>
      <c r="D7729" s="2889" t="s">
        <v>1054</v>
      </c>
      <c r="E7729" s="2889" t="s">
        <v>1426</v>
      </c>
      <c r="F7729" s="2891"/>
      <c r="G7729" s="2890">
        <v>2850.7624443895238</v>
      </c>
    </row>
    <row r="7730" spans="2:7" ht="15" hidden="1" outlineLevel="2">
      <c r="B7730" s="2889" t="s">
        <v>1652</v>
      </c>
      <c r="C7730" s="2889" t="s">
        <v>1521</v>
      </c>
      <c r="D7730" s="2889" t="s">
        <v>1054</v>
      </c>
      <c r="E7730" s="2889" t="s">
        <v>1426</v>
      </c>
      <c r="F7730" s="2891"/>
      <c r="G7730" s="2890">
        <v>3130.3858879058889</v>
      </c>
    </row>
    <row r="7731" spans="2:7" ht="15" hidden="1" outlineLevel="2">
      <c r="B7731" s="2889" t="s">
        <v>1653</v>
      </c>
      <c r="C7731" s="2889" t="s">
        <v>1521</v>
      </c>
      <c r="D7731" s="2889" t="s">
        <v>1054</v>
      </c>
      <c r="E7731" s="2889" t="s">
        <v>1426</v>
      </c>
      <c r="F7731" s="2891"/>
      <c r="G7731" s="2890">
        <v>4.9554371100347877E-28</v>
      </c>
    </row>
    <row r="7732" spans="2:7" ht="15" hidden="1" outlineLevel="2">
      <c r="B7732" s="2889" t="s">
        <v>1407</v>
      </c>
      <c r="C7732" s="2889" t="s">
        <v>1522</v>
      </c>
      <c r="D7732" s="2889" t="s">
        <v>1054</v>
      </c>
      <c r="E7732" s="2889" t="s">
        <v>1426</v>
      </c>
      <c r="F7732" s="2891"/>
      <c r="G7732" s="2890">
        <v>46.127607117533302</v>
      </c>
    </row>
    <row r="7733" spans="2:7" ht="15" hidden="1" outlineLevel="2">
      <c r="B7733" s="2889" t="s">
        <v>1631</v>
      </c>
      <c r="C7733" s="2889" t="s">
        <v>1522</v>
      </c>
      <c r="D7733" s="2889" t="s">
        <v>1054</v>
      </c>
      <c r="E7733" s="2889" t="s">
        <v>1426</v>
      </c>
      <c r="F7733" s="3039">
        <v>2.2223886984418698E-2</v>
      </c>
      <c r="G7733" s="2890">
        <v>765.48034814439382</v>
      </c>
    </row>
    <row r="7734" spans="2:7" ht="15" hidden="1" outlineLevel="2">
      <c r="B7734" s="2889" t="s">
        <v>1632</v>
      </c>
      <c r="C7734" s="2889" t="s">
        <v>1522</v>
      </c>
      <c r="D7734" s="2889" t="s">
        <v>1054</v>
      </c>
      <c r="E7734" s="2889" t="s">
        <v>1426</v>
      </c>
      <c r="F7734" s="2891"/>
      <c r="G7734" s="2890">
        <v>1773.0934023088735</v>
      </c>
    </row>
    <row r="7735" spans="2:7" ht="15" hidden="1" outlineLevel="2">
      <c r="B7735" s="2889" t="s">
        <v>1633</v>
      </c>
      <c r="C7735" s="2889" t="s">
        <v>1522</v>
      </c>
      <c r="D7735" s="2889" t="s">
        <v>1054</v>
      </c>
      <c r="E7735" s="2889" t="s">
        <v>1426</v>
      </c>
      <c r="F7735" s="2891"/>
      <c r="G7735" s="2890">
        <v>143.89030766048199</v>
      </c>
    </row>
    <row r="7736" spans="2:7" ht="15" hidden="1" outlineLevel="2">
      <c r="B7736" s="2889" t="s">
        <v>1634</v>
      </c>
      <c r="C7736" s="2889" t="s">
        <v>1522</v>
      </c>
      <c r="D7736" s="2889" t="s">
        <v>1054</v>
      </c>
      <c r="E7736" s="2889" t="s">
        <v>1426</v>
      </c>
      <c r="F7736" s="2891"/>
      <c r="G7736" s="2890">
        <v>26.669654257308178</v>
      </c>
    </row>
    <row r="7737" spans="2:7" ht="15" hidden="1" outlineLevel="2">
      <c r="B7737" s="2889" t="s">
        <v>1635</v>
      </c>
      <c r="C7737" s="2889" t="s">
        <v>1522</v>
      </c>
      <c r="D7737" s="2889" t="s">
        <v>1054</v>
      </c>
      <c r="E7737" s="2889" t="s">
        <v>1426</v>
      </c>
      <c r="F7737" s="2891"/>
      <c r="G7737" s="2890">
        <v>224.95011947622638</v>
      </c>
    </row>
    <row r="7738" spans="2:7" ht="15" hidden="1" outlineLevel="2">
      <c r="B7738" s="2889" t="s">
        <v>1636</v>
      </c>
      <c r="C7738" s="2889" t="s">
        <v>1522</v>
      </c>
      <c r="D7738" s="2889" t="s">
        <v>1054</v>
      </c>
      <c r="E7738" s="2889" t="s">
        <v>1426</v>
      </c>
      <c r="F7738" s="2891"/>
      <c r="G7738" s="2890">
        <v>197.47172497482308</v>
      </c>
    </row>
    <row r="7739" spans="2:7" ht="15" hidden="1" outlineLevel="2">
      <c r="B7739" s="2889" t="s">
        <v>1637</v>
      </c>
      <c r="C7739" s="2889" t="s">
        <v>1522</v>
      </c>
      <c r="D7739" s="2889" t="s">
        <v>1054</v>
      </c>
      <c r="E7739" s="2889" t="s">
        <v>1426</v>
      </c>
      <c r="F7739" s="2891"/>
      <c r="G7739" s="2890">
        <v>327.95394574102789</v>
      </c>
    </row>
    <row r="7740" spans="2:7" ht="15" hidden="1" outlineLevel="2">
      <c r="B7740" s="2889" t="s">
        <v>1638</v>
      </c>
      <c r="C7740" s="2889" t="s">
        <v>1522</v>
      </c>
      <c r="D7740" s="2889" t="s">
        <v>1054</v>
      </c>
      <c r="E7740" s="2889" t="s">
        <v>1426</v>
      </c>
      <c r="F7740" s="2891"/>
      <c r="G7740" s="2890">
        <v>43.333524456583156</v>
      </c>
    </row>
    <row r="7741" spans="2:7" ht="15" hidden="1" outlineLevel="2">
      <c r="B7741" s="2889" t="s">
        <v>1639</v>
      </c>
      <c r="C7741" s="2889" t="s">
        <v>1522</v>
      </c>
      <c r="D7741" s="2889" t="s">
        <v>1054</v>
      </c>
      <c r="E7741" s="2889" t="s">
        <v>1426</v>
      </c>
      <c r="F7741" s="2891"/>
      <c r="G7741" s="2890">
        <v>393.57501861418763</v>
      </c>
    </row>
    <row r="7742" spans="2:7" ht="15" hidden="1" outlineLevel="2">
      <c r="B7742" s="2889" t="s">
        <v>1640</v>
      </c>
      <c r="C7742" s="2889" t="s">
        <v>1522</v>
      </c>
      <c r="D7742" s="2889" t="s">
        <v>1054</v>
      </c>
      <c r="E7742" s="2889" t="s">
        <v>1426</v>
      </c>
      <c r="F7742" s="3040"/>
      <c r="G7742" s="2890">
        <v>92.532917147203321</v>
      </c>
    </row>
    <row r="7743" spans="2:7" ht="15" hidden="1" outlineLevel="2">
      <c r="B7743" s="2889" t="s">
        <v>1641</v>
      </c>
      <c r="C7743" s="2889" t="s">
        <v>1522</v>
      </c>
      <c r="D7743" s="2889" t="s">
        <v>1054</v>
      </c>
      <c r="E7743" s="2889" t="s">
        <v>1426</v>
      </c>
      <c r="F7743" s="3040"/>
      <c r="G7743" s="2890">
        <v>473.98756264287744</v>
      </c>
    </row>
    <row r="7744" spans="2:7" ht="15" hidden="1" outlineLevel="2">
      <c r="B7744" s="2889" t="s">
        <v>1642</v>
      </c>
      <c r="C7744" s="2889" t="s">
        <v>1522</v>
      </c>
      <c r="D7744" s="2889" t="s">
        <v>1054</v>
      </c>
      <c r="E7744" s="2889" t="s">
        <v>1426</v>
      </c>
      <c r="F7744" s="3040"/>
      <c r="G7744" s="2890">
        <v>340.22102233836466</v>
      </c>
    </row>
    <row r="7745" spans="2:7" ht="15" hidden="1" outlineLevel="2">
      <c r="B7745" s="2889" t="s">
        <v>1643</v>
      </c>
      <c r="C7745" s="2889" t="s">
        <v>1522</v>
      </c>
      <c r="D7745" s="2889" t="s">
        <v>1054</v>
      </c>
      <c r="E7745" s="2889" t="s">
        <v>1426</v>
      </c>
      <c r="F7745" s="3040"/>
      <c r="G7745" s="2890">
        <v>50.301223489002453</v>
      </c>
    </row>
    <row r="7746" spans="2:7" ht="15" hidden="1" outlineLevel="2">
      <c r="B7746" s="2889" t="s">
        <v>1644</v>
      </c>
      <c r="C7746" s="2889" t="s">
        <v>1522</v>
      </c>
      <c r="D7746" s="2889" t="s">
        <v>1054</v>
      </c>
      <c r="E7746" s="2889" t="s">
        <v>1426</v>
      </c>
      <c r="F7746" s="3040"/>
      <c r="G7746" s="2890">
        <v>1107.4655383736788</v>
      </c>
    </row>
    <row r="7747" spans="2:7" ht="15" hidden="1" outlineLevel="2">
      <c r="B7747" s="2889" t="s">
        <v>1645</v>
      </c>
      <c r="C7747" s="2889" t="s">
        <v>1522</v>
      </c>
      <c r="D7747" s="2889" t="s">
        <v>1054</v>
      </c>
      <c r="E7747" s="2889" t="s">
        <v>1426</v>
      </c>
      <c r="F7747" s="3040"/>
      <c r="G7747" s="2890">
        <v>1264.7603190684365</v>
      </c>
    </row>
    <row r="7748" spans="2:7" ht="15" hidden="1" outlineLevel="2">
      <c r="B7748" s="2889" t="s">
        <v>1646</v>
      </c>
      <c r="C7748" s="2889" t="s">
        <v>1522</v>
      </c>
      <c r="D7748" s="2889" t="s">
        <v>1054</v>
      </c>
      <c r="E7748" s="2889" t="s">
        <v>1426</v>
      </c>
      <c r="F7748" s="3040"/>
      <c r="G7748" s="2890">
        <v>73.960017915935055</v>
      </c>
    </row>
    <row r="7749" spans="2:7" ht="15" hidden="1" outlineLevel="2">
      <c r="B7749" s="2889" t="s">
        <v>1647</v>
      </c>
      <c r="C7749" s="2889" t="s">
        <v>1522</v>
      </c>
      <c r="D7749" s="2889" t="s">
        <v>1054</v>
      </c>
      <c r="E7749" s="2889" t="s">
        <v>1426</v>
      </c>
      <c r="F7749" s="3040"/>
      <c r="G7749" s="2890">
        <v>184.6189270988848</v>
      </c>
    </row>
    <row r="7750" spans="2:7" ht="15" hidden="1" outlineLevel="2">
      <c r="B7750" s="2889" t="s">
        <v>1648</v>
      </c>
      <c r="C7750" s="2889" t="s">
        <v>1522</v>
      </c>
      <c r="D7750" s="2889" t="s">
        <v>1054</v>
      </c>
      <c r="E7750" s="2889" t="s">
        <v>1426</v>
      </c>
      <c r="F7750" s="3040"/>
      <c r="G7750" s="2890">
        <v>20.697945233932423</v>
      </c>
    </row>
    <row r="7751" spans="2:7" ht="15" hidden="1" outlineLevel="2">
      <c r="B7751" s="2889" t="s">
        <v>1649</v>
      </c>
      <c r="C7751" s="2889" t="s">
        <v>1522</v>
      </c>
      <c r="D7751" s="2889" t="s">
        <v>1054</v>
      </c>
      <c r="E7751" s="2889" t="s">
        <v>1426</v>
      </c>
      <c r="F7751" s="3040"/>
      <c r="G7751" s="2890">
        <v>98.17662644609841</v>
      </c>
    </row>
    <row r="7752" spans="2:7" ht="15" hidden="1" outlineLevel="2">
      <c r="B7752" s="2889" t="s">
        <v>1650</v>
      </c>
      <c r="C7752" s="2889" t="s">
        <v>1522</v>
      </c>
      <c r="D7752" s="2889" t="s">
        <v>1054</v>
      </c>
      <c r="E7752" s="2889" t="s">
        <v>1426</v>
      </c>
      <c r="F7752" s="3040"/>
      <c r="G7752" s="2890">
        <v>245.29836879750974</v>
      </c>
    </row>
    <row r="7753" spans="2:7" ht="15" hidden="1" outlineLevel="2">
      <c r="B7753" s="2889" t="s">
        <v>1651</v>
      </c>
      <c r="C7753" s="2889" t="s">
        <v>1522</v>
      </c>
      <c r="D7753" s="2889" t="s">
        <v>1054</v>
      </c>
      <c r="E7753" s="2889" t="s">
        <v>1426</v>
      </c>
      <c r="F7753" s="3040"/>
      <c r="G7753" s="2890">
        <v>134.2099268855255</v>
      </c>
    </row>
    <row r="7754" spans="2:7" ht="15" hidden="1" outlineLevel="2">
      <c r="B7754" s="2889" t="s">
        <v>1652</v>
      </c>
      <c r="C7754" s="2889" t="s">
        <v>1522</v>
      </c>
      <c r="D7754" s="2889" t="s">
        <v>1054</v>
      </c>
      <c r="E7754" s="2889" t="s">
        <v>1426</v>
      </c>
      <c r="F7754" s="3040"/>
      <c r="G7754" s="2890">
        <v>147.37425119469393</v>
      </c>
    </row>
    <row r="7755" spans="2:7" ht="15" hidden="1" outlineLevel="2">
      <c r="B7755" s="2889" t="s">
        <v>1653</v>
      </c>
      <c r="C7755" s="2889" t="s">
        <v>1522</v>
      </c>
      <c r="D7755" s="2889" t="s">
        <v>1054</v>
      </c>
      <c r="E7755" s="2889" t="s">
        <v>1426</v>
      </c>
      <c r="F7755" s="3040"/>
      <c r="G7755" s="2890">
        <v>1.2734909224969495E-29</v>
      </c>
    </row>
    <row r="7756" spans="2:7" ht="15" hidden="1" outlineLevel="2">
      <c r="B7756" s="2889" t="s">
        <v>1407</v>
      </c>
      <c r="C7756" s="2889" t="s">
        <v>1523</v>
      </c>
      <c r="D7756" s="2889" t="s">
        <v>1054</v>
      </c>
      <c r="E7756" s="2889" t="s">
        <v>1426</v>
      </c>
      <c r="F7756" s="3040"/>
      <c r="G7756" s="2890">
        <v>366.68355618345879</v>
      </c>
    </row>
    <row r="7757" spans="2:7" ht="15" hidden="1" outlineLevel="2">
      <c r="B7757" s="2889" t="s">
        <v>1631</v>
      </c>
      <c r="C7757" s="2889" t="s">
        <v>1523</v>
      </c>
      <c r="D7757" s="2889" t="s">
        <v>1054</v>
      </c>
      <c r="E7757" s="2889" t="s">
        <v>1426</v>
      </c>
      <c r="F7757" s="2890">
        <v>0.20644567582031118</v>
      </c>
      <c r="G7757" s="2890">
        <v>6085.0538708928207</v>
      </c>
    </row>
    <row r="7758" spans="2:7" ht="15" hidden="1" outlineLevel="2">
      <c r="B7758" s="2889" t="s">
        <v>1632</v>
      </c>
      <c r="C7758" s="2889" t="s">
        <v>1523</v>
      </c>
      <c r="D7758" s="2889" t="s">
        <v>1054</v>
      </c>
      <c r="E7758" s="2889" t="s">
        <v>1426</v>
      </c>
      <c r="F7758" s="3040"/>
      <c r="G7758" s="2890">
        <v>14094.901524241084</v>
      </c>
    </row>
    <row r="7759" spans="2:7" ht="15" hidden="1" outlineLevel="2">
      <c r="B7759" s="2889" t="s">
        <v>1633</v>
      </c>
      <c r="C7759" s="2889" t="s">
        <v>1523</v>
      </c>
      <c r="D7759" s="2889" t="s">
        <v>1054</v>
      </c>
      <c r="E7759" s="2889" t="s">
        <v>1426</v>
      </c>
      <c r="F7759" s="3040"/>
      <c r="G7759" s="2890">
        <v>1143.8315391451524</v>
      </c>
    </row>
    <row r="7760" spans="2:7" ht="15" hidden="1" outlineLevel="2">
      <c r="B7760" s="2889" t="s">
        <v>1634</v>
      </c>
      <c r="C7760" s="2889" t="s">
        <v>1523</v>
      </c>
      <c r="D7760" s="2889" t="s">
        <v>1054</v>
      </c>
      <c r="E7760" s="2889" t="s">
        <v>1426</v>
      </c>
      <c r="F7760" s="3040"/>
      <c r="G7760" s="2890">
        <v>212.00587067321595</v>
      </c>
    </row>
    <row r="7761" spans="2:7" ht="15" hidden="1" outlineLevel="2">
      <c r="B7761" s="2889" t="s">
        <v>1635</v>
      </c>
      <c r="C7761" s="2889" t="s">
        <v>1523</v>
      </c>
      <c r="D7761" s="2889" t="s">
        <v>1054</v>
      </c>
      <c r="E7761" s="2889" t="s">
        <v>1426</v>
      </c>
      <c r="F7761" s="3040"/>
      <c r="G7761" s="2890">
        <v>1788.2024213831423</v>
      </c>
    </row>
    <row r="7762" spans="2:7" ht="15" hidden="1" outlineLevel="2">
      <c r="B7762" s="2889" t="s">
        <v>1636</v>
      </c>
      <c r="C7762" s="2889" t="s">
        <v>1523</v>
      </c>
      <c r="D7762" s="2889" t="s">
        <v>1054</v>
      </c>
      <c r="E7762" s="2889" t="s">
        <v>1426</v>
      </c>
      <c r="F7762" s="2891"/>
      <c r="G7762" s="2890">
        <v>1569.7676999002151</v>
      </c>
    </row>
    <row r="7763" spans="2:7" ht="15" hidden="1" outlineLevel="2">
      <c r="B7763" s="2889" t="s">
        <v>1637</v>
      </c>
      <c r="C7763" s="2889" t="s">
        <v>1523</v>
      </c>
      <c r="D7763" s="2889" t="s">
        <v>1054</v>
      </c>
      <c r="E7763" s="2889" t="s">
        <v>1426</v>
      </c>
      <c r="F7763" s="2891"/>
      <c r="G7763" s="2890">
        <v>2607.0133978148856</v>
      </c>
    </row>
    <row r="7764" spans="2:7" ht="15" hidden="1" outlineLevel="2">
      <c r="B7764" s="2889" t="s">
        <v>1638</v>
      </c>
      <c r="C7764" s="2889" t="s">
        <v>1523</v>
      </c>
      <c r="D7764" s="2889" t="s">
        <v>1054</v>
      </c>
      <c r="E7764" s="2889" t="s">
        <v>1426</v>
      </c>
      <c r="F7764" s="2891"/>
      <c r="G7764" s="2890">
        <v>344.472402802418</v>
      </c>
    </row>
    <row r="7765" spans="2:7" ht="15" hidden="1" outlineLevel="2">
      <c r="B7765" s="2889" t="s">
        <v>1639</v>
      </c>
      <c r="C7765" s="2889" t="s">
        <v>1523</v>
      </c>
      <c r="D7765" s="2889" t="s">
        <v>1054</v>
      </c>
      <c r="E7765" s="2889" t="s">
        <v>1426</v>
      </c>
      <c r="F7765" s="2891"/>
      <c r="G7765" s="2890">
        <v>3128.6573147968729</v>
      </c>
    </row>
    <row r="7766" spans="2:7" ht="15" hidden="1" outlineLevel="2">
      <c r="B7766" s="2889" t="s">
        <v>1640</v>
      </c>
      <c r="C7766" s="2889" t="s">
        <v>1523</v>
      </c>
      <c r="D7766" s="2889" t="s">
        <v>1054</v>
      </c>
      <c r="E7766" s="2889" t="s">
        <v>1426</v>
      </c>
      <c r="F7766" s="2891"/>
      <c r="G7766" s="2890">
        <v>735.57449620109674</v>
      </c>
    </row>
    <row r="7767" spans="2:7" ht="15" hidden="1" outlineLevel="2">
      <c r="B7767" s="2889" t="s">
        <v>1641</v>
      </c>
      <c r="C7767" s="2889" t="s">
        <v>1523</v>
      </c>
      <c r="D7767" s="2889" t="s">
        <v>1054</v>
      </c>
      <c r="E7767" s="2889" t="s">
        <v>1426</v>
      </c>
      <c r="F7767" s="2891"/>
      <c r="G7767" s="2890">
        <v>3767.8820646535496</v>
      </c>
    </row>
    <row r="7768" spans="2:7" ht="15" hidden="1" outlineLevel="2">
      <c r="B7768" s="2889" t="s">
        <v>1642</v>
      </c>
      <c r="C7768" s="2889" t="s">
        <v>1523</v>
      </c>
      <c r="D7768" s="2889" t="s">
        <v>1054</v>
      </c>
      <c r="E7768" s="2889" t="s">
        <v>1426</v>
      </c>
      <c r="F7768" s="2891"/>
      <c r="G7768" s="2890">
        <v>2704.5284430649772</v>
      </c>
    </row>
    <row r="7769" spans="2:7" ht="15" hidden="1" outlineLevel="2">
      <c r="B7769" s="2889" t="s">
        <v>1643</v>
      </c>
      <c r="C7769" s="2889" t="s">
        <v>1523</v>
      </c>
      <c r="D7769" s="2889" t="s">
        <v>1054</v>
      </c>
      <c r="E7769" s="2889" t="s">
        <v>1426</v>
      </c>
      <c r="F7769" s="3040"/>
      <c r="G7769" s="2890">
        <v>399.86091152919204</v>
      </c>
    </row>
    <row r="7770" spans="2:7" ht="15" hidden="1" outlineLevel="2">
      <c r="B7770" s="2889" t="s">
        <v>1644</v>
      </c>
      <c r="C7770" s="2889" t="s">
        <v>1523</v>
      </c>
      <c r="D7770" s="2889" t="s">
        <v>1054</v>
      </c>
      <c r="E7770" s="2889" t="s">
        <v>1426</v>
      </c>
      <c r="F7770" s="3040"/>
      <c r="G7770" s="2890">
        <v>8803.6052058201512</v>
      </c>
    </row>
    <row r="7771" spans="2:7" ht="15" hidden="1" outlineLevel="2">
      <c r="B7771" s="2889" t="s">
        <v>1645</v>
      </c>
      <c r="C7771" s="2889" t="s">
        <v>1523</v>
      </c>
      <c r="D7771" s="2889" t="s">
        <v>1054</v>
      </c>
      <c r="E7771" s="2889" t="s">
        <v>1426</v>
      </c>
      <c r="F7771" s="3040"/>
      <c r="G7771" s="2890">
        <v>10053.993133455449</v>
      </c>
    </row>
    <row r="7772" spans="2:7" ht="15" hidden="1" outlineLevel="2">
      <c r="B7772" s="2889" t="s">
        <v>1646</v>
      </c>
      <c r="C7772" s="2889" t="s">
        <v>1523</v>
      </c>
      <c r="D7772" s="2889" t="s">
        <v>1054</v>
      </c>
      <c r="E7772" s="2889" t="s">
        <v>1426</v>
      </c>
      <c r="F7772" s="3040"/>
      <c r="G7772" s="2890">
        <v>587.93260276973638</v>
      </c>
    </row>
    <row r="7773" spans="2:7" ht="15" hidden="1" outlineLevel="2">
      <c r="B7773" s="2889" t="s">
        <v>1647</v>
      </c>
      <c r="C7773" s="2889" t="s">
        <v>1523</v>
      </c>
      <c r="D7773" s="2889" t="s">
        <v>1054</v>
      </c>
      <c r="E7773" s="2889" t="s">
        <v>1426</v>
      </c>
      <c r="F7773" s="3040"/>
      <c r="G7773" s="2890">
        <v>1467.5965065509563</v>
      </c>
    </row>
    <row r="7774" spans="2:7" ht="15" hidden="1" outlineLevel="2">
      <c r="B7774" s="2889" t="s">
        <v>1648</v>
      </c>
      <c r="C7774" s="2889" t="s">
        <v>1523</v>
      </c>
      <c r="D7774" s="2889" t="s">
        <v>1054</v>
      </c>
      <c r="E7774" s="2889" t="s">
        <v>1426</v>
      </c>
      <c r="F7774" s="3040"/>
      <c r="G7774" s="2890">
        <v>164.53478085553775</v>
      </c>
    </row>
    <row r="7775" spans="2:7" ht="15" hidden="1" outlineLevel="2">
      <c r="B7775" s="2889" t="s">
        <v>1649</v>
      </c>
      <c r="C7775" s="2889" t="s">
        <v>1523</v>
      </c>
      <c r="D7775" s="2889" t="s">
        <v>1054</v>
      </c>
      <c r="E7775" s="2889" t="s">
        <v>1426</v>
      </c>
      <c r="F7775" s="3040"/>
      <c r="G7775" s="2890">
        <v>780.43812273126832</v>
      </c>
    </row>
    <row r="7776" spans="2:7" ht="15" hidden="1" outlineLevel="2">
      <c r="B7776" s="2889" t="s">
        <v>1650</v>
      </c>
      <c r="C7776" s="2889" t="s">
        <v>1523</v>
      </c>
      <c r="D7776" s="2889" t="s">
        <v>1054</v>
      </c>
      <c r="E7776" s="2889" t="s">
        <v>1426</v>
      </c>
      <c r="F7776" s="3040"/>
      <c r="G7776" s="2890">
        <v>1949.9573845310504</v>
      </c>
    </row>
    <row r="7777" spans="2:7" ht="15" hidden="1" outlineLevel="2">
      <c r="B7777" s="2889" t="s">
        <v>1651</v>
      </c>
      <c r="C7777" s="2889" t="s">
        <v>1523</v>
      </c>
      <c r="D7777" s="2889" t="s">
        <v>1054</v>
      </c>
      <c r="E7777" s="2889" t="s">
        <v>1426</v>
      </c>
      <c r="F7777" s="3040"/>
      <c r="G7777" s="2890">
        <v>1066.8789865699268</v>
      </c>
    </row>
    <row r="7778" spans="2:7" ht="15" hidden="1" outlineLevel="2">
      <c r="B7778" s="2889" t="s">
        <v>1652</v>
      </c>
      <c r="C7778" s="2889" t="s">
        <v>1523</v>
      </c>
      <c r="D7778" s="2889" t="s">
        <v>1054</v>
      </c>
      <c r="E7778" s="2889" t="s">
        <v>1426</v>
      </c>
      <c r="F7778" s="3040"/>
      <c r="G7778" s="2890">
        <v>1171.5262720258631</v>
      </c>
    </row>
    <row r="7779" spans="2:7" ht="15" hidden="1" outlineLevel="2">
      <c r="B7779" s="2889" t="s">
        <v>1653</v>
      </c>
      <c r="C7779" s="2889" t="s">
        <v>1523</v>
      </c>
      <c r="D7779" s="2889" t="s">
        <v>1054</v>
      </c>
      <c r="E7779" s="2889" t="s">
        <v>1426</v>
      </c>
      <c r="F7779" s="3040"/>
      <c r="G7779" s="2890">
        <v>1.1239336321238442E-29</v>
      </c>
    </row>
    <row r="7780" spans="2:7" ht="15" hidden="1" outlineLevel="2">
      <c r="B7780" s="2889" t="s">
        <v>1407</v>
      </c>
      <c r="C7780" s="2889" t="s">
        <v>1524</v>
      </c>
      <c r="D7780" s="2889" t="s">
        <v>1054</v>
      </c>
      <c r="E7780" s="2889" t="s">
        <v>1426</v>
      </c>
      <c r="F7780" s="3040"/>
      <c r="G7780" s="2890">
        <v>1246.9063462137522</v>
      </c>
    </row>
    <row r="7781" spans="2:7" ht="15" hidden="1" outlineLevel="2">
      <c r="B7781" s="2889" t="s">
        <v>1631</v>
      </c>
      <c r="C7781" s="2889" t="s">
        <v>1524</v>
      </c>
      <c r="D7781" s="2889" t="s">
        <v>1054</v>
      </c>
      <c r="E7781" s="2889" t="s">
        <v>1426</v>
      </c>
      <c r="F7781" s="2890">
        <v>0.60878282559782748</v>
      </c>
      <c r="G7781" s="2890">
        <v>20692.208321247803</v>
      </c>
    </row>
    <row r="7782" spans="2:7" ht="15" hidden="1" outlineLevel="2">
      <c r="B7782" s="2889" t="s">
        <v>1632</v>
      </c>
      <c r="C7782" s="2889" t="s">
        <v>1524</v>
      </c>
      <c r="D7782" s="2889" t="s">
        <v>1054</v>
      </c>
      <c r="E7782" s="2889" t="s">
        <v>1426</v>
      </c>
      <c r="F7782" s="3040"/>
      <c r="G7782" s="2890">
        <v>47929.667453317255</v>
      </c>
    </row>
    <row r="7783" spans="2:7" ht="15" hidden="1" outlineLevel="2">
      <c r="B7783" s="2889" t="s">
        <v>1633</v>
      </c>
      <c r="C7783" s="2889" t="s">
        <v>1524</v>
      </c>
      <c r="D7783" s="2889" t="s">
        <v>1054</v>
      </c>
      <c r="E7783" s="2889" t="s">
        <v>1426</v>
      </c>
      <c r="F7783" s="3040"/>
      <c r="G7783" s="2890">
        <v>3889.5956548413069</v>
      </c>
    </row>
    <row r="7784" spans="2:7" ht="15" hidden="1" outlineLevel="2">
      <c r="B7784" s="2889" t="s">
        <v>1634</v>
      </c>
      <c r="C7784" s="2889" t="s">
        <v>1524</v>
      </c>
      <c r="D7784" s="2889" t="s">
        <v>1054</v>
      </c>
      <c r="E7784" s="2889" t="s">
        <v>1426</v>
      </c>
      <c r="F7784" s="3040"/>
      <c r="G7784" s="2890">
        <v>720.92520786402838</v>
      </c>
    </row>
    <row r="7785" spans="2:7" ht="15" hidden="1" outlineLevel="2">
      <c r="B7785" s="2889" t="s">
        <v>1635</v>
      </c>
      <c r="C7785" s="2889" t="s">
        <v>1524</v>
      </c>
      <c r="D7785" s="2889" t="s">
        <v>1054</v>
      </c>
      <c r="E7785" s="2889" t="s">
        <v>1426</v>
      </c>
      <c r="F7785" s="3040"/>
      <c r="G7785" s="2890">
        <v>6080.7766503136518</v>
      </c>
    </row>
    <row r="7786" spans="2:7" ht="15" hidden="1" outlineLevel="2">
      <c r="B7786" s="2889" t="s">
        <v>1636</v>
      </c>
      <c r="C7786" s="2889" t="s">
        <v>1524</v>
      </c>
      <c r="D7786" s="2889" t="s">
        <v>1054</v>
      </c>
      <c r="E7786" s="2889" t="s">
        <v>1426</v>
      </c>
      <c r="F7786" s="3040"/>
      <c r="G7786" s="2890">
        <v>5337.9907409413763</v>
      </c>
    </row>
    <row r="7787" spans="2:7" ht="15" hidden="1" outlineLevel="2">
      <c r="B7787" s="2889" t="s">
        <v>1637</v>
      </c>
      <c r="C7787" s="2889" t="s">
        <v>1524</v>
      </c>
      <c r="D7787" s="2889" t="s">
        <v>1054</v>
      </c>
      <c r="E7787" s="2889" t="s">
        <v>1426</v>
      </c>
      <c r="F7787" s="3040"/>
      <c r="G7787" s="2890">
        <v>8865.1392177401758</v>
      </c>
    </row>
    <row r="7788" spans="2:7" ht="15" hidden="1" outlineLevel="2">
      <c r="B7788" s="2889" t="s">
        <v>1638</v>
      </c>
      <c r="C7788" s="2889" t="s">
        <v>1524</v>
      </c>
      <c r="D7788" s="2889" t="s">
        <v>1054</v>
      </c>
      <c r="E7788" s="2889" t="s">
        <v>1426</v>
      </c>
      <c r="F7788" s="3040"/>
      <c r="G7788" s="2890">
        <v>1171.3773798133486</v>
      </c>
    </row>
    <row r="7789" spans="2:7" ht="15" hidden="1" outlineLevel="2">
      <c r="B7789" s="2889" t="s">
        <v>1639</v>
      </c>
      <c r="C7789" s="2889" t="s">
        <v>1524</v>
      </c>
      <c r="D7789" s="2889" t="s">
        <v>1054</v>
      </c>
      <c r="E7789" s="2889" t="s">
        <v>1426</v>
      </c>
      <c r="F7789" s="3040"/>
      <c r="G7789" s="2890">
        <v>10638.989753470927</v>
      </c>
    </row>
    <row r="7790" spans="2:7" ht="15" hidden="1" outlineLevel="2">
      <c r="B7790" s="2889" t="s">
        <v>1640</v>
      </c>
      <c r="C7790" s="2889" t="s">
        <v>1524</v>
      </c>
      <c r="D7790" s="2889" t="s">
        <v>1054</v>
      </c>
      <c r="E7790" s="2889" t="s">
        <v>1426</v>
      </c>
      <c r="F7790" s="3040"/>
      <c r="G7790" s="2890">
        <v>2501.318714545032</v>
      </c>
    </row>
    <row r="7791" spans="2:7" ht="15" hidden="1" outlineLevel="2">
      <c r="B7791" s="2889" t="s">
        <v>1641</v>
      </c>
      <c r="C7791" s="2889" t="s">
        <v>1524</v>
      </c>
      <c r="D7791" s="2889" t="s">
        <v>1054</v>
      </c>
      <c r="E7791" s="2889" t="s">
        <v>1426</v>
      </c>
      <c r="F7791" s="3040"/>
      <c r="G7791" s="2890">
        <v>12812.673110270667</v>
      </c>
    </row>
    <row r="7792" spans="2:7" ht="15" hidden="1" outlineLevel="2">
      <c r="B7792" s="2889" t="s">
        <v>1642</v>
      </c>
      <c r="C7792" s="2889" t="s">
        <v>1524</v>
      </c>
      <c r="D7792" s="2889" t="s">
        <v>1054</v>
      </c>
      <c r="E7792" s="2889" t="s">
        <v>1426</v>
      </c>
      <c r="F7792" s="3040"/>
      <c r="G7792" s="2890">
        <v>9196.7421570652241</v>
      </c>
    </row>
    <row r="7793" spans="2:7" ht="15" hidden="1" outlineLevel="2">
      <c r="B7793" s="2889" t="s">
        <v>1643</v>
      </c>
      <c r="C7793" s="2889" t="s">
        <v>1524</v>
      </c>
      <c r="D7793" s="2889" t="s">
        <v>1054</v>
      </c>
      <c r="E7793" s="2889" t="s">
        <v>1426</v>
      </c>
      <c r="F7793" s="3040"/>
      <c r="G7793" s="2890">
        <v>1359.7260349901549</v>
      </c>
    </row>
    <row r="7794" spans="2:7" ht="15" hidden="1" outlineLevel="2">
      <c r="B7794" s="2889" t="s">
        <v>1644</v>
      </c>
      <c r="C7794" s="2889" t="s">
        <v>1524</v>
      </c>
      <c r="D7794" s="2889" t="s">
        <v>1054</v>
      </c>
      <c r="E7794" s="2889" t="s">
        <v>1426</v>
      </c>
      <c r="F7794" s="3040"/>
      <c r="G7794" s="2890">
        <v>29936.636313730993</v>
      </c>
    </row>
    <row r="7795" spans="2:7" ht="15" hidden="1" outlineLevel="2">
      <c r="B7795" s="2889" t="s">
        <v>1645</v>
      </c>
      <c r="C7795" s="2889" t="s">
        <v>1524</v>
      </c>
      <c r="D7795" s="2889" t="s">
        <v>1054</v>
      </c>
      <c r="E7795" s="2889" t="s">
        <v>1426</v>
      </c>
      <c r="F7795" s="3040"/>
      <c r="G7795" s="2890">
        <v>34188.582656890903</v>
      </c>
    </row>
    <row r="7796" spans="2:7" ht="15" hidden="1" outlineLevel="2">
      <c r="B7796" s="2889" t="s">
        <v>1646</v>
      </c>
      <c r="C7796" s="2889" t="s">
        <v>1524</v>
      </c>
      <c r="D7796" s="2889" t="s">
        <v>1054</v>
      </c>
      <c r="E7796" s="2889" t="s">
        <v>1426</v>
      </c>
      <c r="F7796" s="3040"/>
      <c r="G7796" s="2890">
        <v>1999.2629935600512</v>
      </c>
    </row>
    <row r="7797" spans="2:7" ht="15" hidden="1" outlineLevel="2">
      <c r="B7797" s="2889" t="s">
        <v>1647</v>
      </c>
      <c r="C7797" s="2889" t="s">
        <v>1524</v>
      </c>
      <c r="D7797" s="2889" t="s">
        <v>1054</v>
      </c>
      <c r="E7797" s="2889" t="s">
        <v>1426</v>
      </c>
      <c r="F7797" s="3040"/>
      <c r="G7797" s="2890">
        <v>4990.5578350191327</v>
      </c>
    </row>
    <row r="7798" spans="2:7" ht="15" hidden="1" outlineLevel="2">
      <c r="B7798" s="2889" t="s">
        <v>1648</v>
      </c>
      <c r="C7798" s="2889" t="s">
        <v>1524</v>
      </c>
      <c r="D7798" s="2889" t="s">
        <v>1054</v>
      </c>
      <c r="E7798" s="2889" t="s">
        <v>1426</v>
      </c>
      <c r="F7798" s="3040"/>
      <c r="G7798" s="2890">
        <v>559.49996165371658</v>
      </c>
    </row>
    <row r="7799" spans="2:7" ht="15" hidden="1" outlineLevel="2">
      <c r="B7799" s="2889" t="s">
        <v>1649</v>
      </c>
      <c r="C7799" s="2889" t="s">
        <v>1524</v>
      </c>
      <c r="D7799" s="2889" t="s">
        <v>1054</v>
      </c>
      <c r="E7799" s="2889" t="s">
        <v>1426</v>
      </c>
      <c r="F7799" s="3040"/>
      <c r="G7799" s="2890">
        <v>2653.8771888825809</v>
      </c>
    </row>
    <row r="7800" spans="2:7" ht="15" hidden="1" outlineLevel="2">
      <c r="B7800" s="2889" t="s">
        <v>1650</v>
      </c>
      <c r="C7800" s="2889" t="s">
        <v>1524</v>
      </c>
      <c r="D7800" s="2889" t="s">
        <v>1054</v>
      </c>
      <c r="E7800" s="2889" t="s">
        <v>1426</v>
      </c>
      <c r="F7800" s="3040"/>
      <c r="G7800" s="2890">
        <v>6630.8235777330965</v>
      </c>
    </row>
    <row r="7801" spans="2:7" ht="15" hidden="1" outlineLevel="2">
      <c r="B7801" s="2889" t="s">
        <v>1651</v>
      </c>
      <c r="C7801" s="2889" t="s">
        <v>1524</v>
      </c>
      <c r="D7801" s="2889" t="s">
        <v>1054</v>
      </c>
      <c r="E7801" s="2889" t="s">
        <v>1426</v>
      </c>
      <c r="F7801" s="2891"/>
      <c r="G7801" s="2890">
        <v>3627.9182396621973</v>
      </c>
    </row>
    <row r="7802" spans="2:7" ht="15" hidden="1" outlineLevel="2">
      <c r="B7802" s="2889" t="s">
        <v>1652</v>
      </c>
      <c r="C7802" s="2889" t="s">
        <v>1524</v>
      </c>
      <c r="D7802" s="2889" t="s">
        <v>1054</v>
      </c>
      <c r="E7802" s="2889" t="s">
        <v>1426</v>
      </c>
      <c r="F7802" s="2891"/>
      <c r="G7802" s="2890">
        <v>3983.7721252373258</v>
      </c>
    </row>
    <row r="7803" spans="2:7" ht="15" hidden="1" outlineLevel="2">
      <c r="B7803" s="2889" t="s">
        <v>1653</v>
      </c>
      <c r="C7803" s="2889" t="s">
        <v>1524</v>
      </c>
      <c r="D7803" s="2889" t="s">
        <v>1054</v>
      </c>
      <c r="E7803" s="2889" t="s">
        <v>1426</v>
      </c>
      <c r="F7803" s="2891"/>
      <c r="G7803" s="2890">
        <v>6.6724197561422064E-28</v>
      </c>
    </row>
    <row r="7804" spans="2:7" ht="15" hidden="1" outlineLevel="2">
      <c r="B7804" s="2889" t="s">
        <v>1407</v>
      </c>
      <c r="C7804" s="2889" t="s">
        <v>1525</v>
      </c>
      <c r="D7804" s="2889" t="s">
        <v>1054</v>
      </c>
      <c r="E7804" s="2889" t="s">
        <v>1426</v>
      </c>
      <c r="F7804" s="2891"/>
      <c r="G7804" s="2890">
        <v>756.17298695551699</v>
      </c>
    </row>
    <row r="7805" spans="2:7" ht="15" hidden="1" outlineLevel="2">
      <c r="B7805" s="2889" t="s">
        <v>1631</v>
      </c>
      <c r="C7805" s="2889" t="s">
        <v>1525</v>
      </c>
      <c r="D7805" s="2889" t="s">
        <v>1054</v>
      </c>
      <c r="E7805" s="2889" t="s">
        <v>1426</v>
      </c>
      <c r="F7805" s="3039">
        <v>0.62185607320161418</v>
      </c>
      <c r="G7805" s="2890">
        <v>12548.569498351602</v>
      </c>
    </row>
    <row r="7806" spans="2:7" ht="15" hidden="1" outlineLevel="2">
      <c r="B7806" s="2889" t="s">
        <v>1632</v>
      </c>
      <c r="C7806" s="2889" t="s">
        <v>1525</v>
      </c>
      <c r="D7806" s="2889" t="s">
        <v>1054</v>
      </c>
      <c r="E7806" s="2889" t="s">
        <v>1426</v>
      </c>
      <c r="F7806" s="2891"/>
      <c r="G7806" s="2890">
        <v>29066.441121095057</v>
      </c>
    </row>
    <row r="7807" spans="2:7" ht="15" hidden="1" outlineLevel="2">
      <c r="B7807" s="2889" t="s">
        <v>1633</v>
      </c>
      <c r="C7807" s="2889" t="s">
        <v>1525</v>
      </c>
      <c r="D7807" s="2889" t="s">
        <v>1054</v>
      </c>
      <c r="E7807" s="2889" t="s">
        <v>1426</v>
      </c>
      <c r="F7807" s="2891"/>
      <c r="G7807" s="2890">
        <v>2358.8035884569704</v>
      </c>
    </row>
    <row r="7808" spans="2:7" ht="15" hidden="1" outlineLevel="2">
      <c r="B7808" s="2889" t="s">
        <v>1634</v>
      </c>
      <c r="C7808" s="2889" t="s">
        <v>1525</v>
      </c>
      <c r="D7808" s="2889" t="s">
        <v>1054</v>
      </c>
      <c r="E7808" s="2889" t="s">
        <v>1426</v>
      </c>
      <c r="F7808" s="3040"/>
      <c r="G7808" s="2890">
        <v>437.19747004309511</v>
      </c>
    </row>
    <row r="7809" spans="2:7" ht="15" hidden="1" outlineLevel="2">
      <c r="B7809" s="2889" t="s">
        <v>1635</v>
      </c>
      <c r="C7809" s="2889" t="s">
        <v>1525</v>
      </c>
      <c r="D7809" s="2889" t="s">
        <v>1054</v>
      </c>
      <c r="E7809" s="2889" t="s">
        <v>1426</v>
      </c>
      <c r="F7809" s="3040"/>
      <c r="G7809" s="2890">
        <v>3687.6221240624741</v>
      </c>
    </row>
    <row r="7810" spans="2:7" ht="15" hidden="1" outlineLevel="2">
      <c r="B7810" s="2889" t="s">
        <v>1636</v>
      </c>
      <c r="C7810" s="2889" t="s">
        <v>1525</v>
      </c>
      <c r="D7810" s="2889" t="s">
        <v>1054</v>
      </c>
      <c r="E7810" s="2889" t="s">
        <v>1426</v>
      </c>
      <c r="F7810" s="3040"/>
      <c r="G7810" s="2890">
        <v>3237.1670112440925</v>
      </c>
    </row>
    <row r="7811" spans="2:7" ht="15" hidden="1" outlineLevel="2">
      <c r="B7811" s="2889" t="s">
        <v>1637</v>
      </c>
      <c r="C7811" s="2889" t="s">
        <v>1525</v>
      </c>
      <c r="D7811" s="2889" t="s">
        <v>1054</v>
      </c>
      <c r="E7811" s="2889" t="s">
        <v>1426</v>
      </c>
      <c r="F7811" s="2891"/>
      <c r="G7811" s="2890">
        <v>5376.1700710256728</v>
      </c>
    </row>
    <row r="7812" spans="2:7" ht="15" hidden="1" outlineLevel="2">
      <c r="B7812" s="2889" t="s">
        <v>1638</v>
      </c>
      <c r="C7812" s="2889" t="s">
        <v>1525</v>
      </c>
      <c r="D7812" s="2889" t="s">
        <v>1054</v>
      </c>
      <c r="E7812" s="2889" t="s">
        <v>1426</v>
      </c>
      <c r="F7812" s="3040"/>
      <c r="G7812" s="2890">
        <v>710.36934371129007</v>
      </c>
    </row>
    <row r="7813" spans="2:7" ht="15" hidden="1" outlineLevel="2">
      <c r="B7813" s="2889" t="s">
        <v>1639</v>
      </c>
      <c r="C7813" s="2889" t="s">
        <v>1525</v>
      </c>
      <c r="D7813" s="2889" t="s">
        <v>1054</v>
      </c>
      <c r="E7813" s="2889" t="s">
        <v>1426</v>
      </c>
      <c r="F7813" s="3040"/>
      <c r="G7813" s="2890">
        <v>6451.902498893226</v>
      </c>
    </row>
    <row r="7814" spans="2:7" ht="15" hidden="1" outlineLevel="2">
      <c r="B7814" s="2889" t="s">
        <v>1640</v>
      </c>
      <c r="C7814" s="2889" t="s">
        <v>1525</v>
      </c>
      <c r="D7814" s="2889" t="s">
        <v>1054</v>
      </c>
      <c r="E7814" s="2889" t="s">
        <v>1426</v>
      </c>
      <c r="F7814" s="2891"/>
      <c r="G7814" s="2890">
        <v>1516.8980036245698</v>
      </c>
    </row>
    <row r="7815" spans="2:7" ht="15" hidden="1" outlineLevel="2">
      <c r="B7815" s="2889" t="s">
        <v>1641</v>
      </c>
      <c r="C7815" s="2889" t="s">
        <v>1525</v>
      </c>
      <c r="D7815" s="2889" t="s">
        <v>1054</v>
      </c>
      <c r="E7815" s="2889" t="s">
        <v>1426</v>
      </c>
      <c r="F7815" s="3040"/>
      <c r="G7815" s="2890">
        <v>7770.1093539595249</v>
      </c>
    </row>
    <row r="7816" spans="2:7" ht="15" hidden="1" outlineLevel="2">
      <c r="B7816" s="2889" t="s">
        <v>1642</v>
      </c>
      <c r="C7816" s="2889" t="s">
        <v>1525</v>
      </c>
      <c r="D7816" s="2889" t="s">
        <v>1054</v>
      </c>
      <c r="E7816" s="2889" t="s">
        <v>1426</v>
      </c>
      <c r="F7816" s="3040"/>
      <c r="G7816" s="2890">
        <v>5577.2653446815802</v>
      </c>
    </row>
    <row r="7817" spans="2:7" ht="15" hidden="1" outlineLevel="2">
      <c r="B7817" s="2889" t="s">
        <v>1643</v>
      </c>
      <c r="C7817" s="2889" t="s">
        <v>1525</v>
      </c>
      <c r="D7817" s="2889" t="s">
        <v>1054</v>
      </c>
      <c r="E7817" s="2889" t="s">
        <v>1426</v>
      </c>
      <c r="F7817" s="3040"/>
      <c r="G7817" s="2890">
        <v>824.59137874467126</v>
      </c>
    </row>
    <row r="7818" spans="2:7" ht="15" hidden="1" outlineLevel="2">
      <c r="B7818" s="2889" t="s">
        <v>1644</v>
      </c>
      <c r="C7818" s="2889" t="s">
        <v>1525</v>
      </c>
      <c r="D7818" s="2889" t="s">
        <v>1054</v>
      </c>
      <c r="E7818" s="2889" t="s">
        <v>1426</v>
      </c>
      <c r="F7818" s="2891"/>
      <c r="G7818" s="2890">
        <v>18154.753645643883</v>
      </c>
    </row>
    <row r="7819" spans="2:7" ht="15" hidden="1" outlineLevel="2">
      <c r="B7819" s="2889" t="s">
        <v>1645</v>
      </c>
      <c r="C7819" s="2889" t="s">
        <v>1525</v>
      </c>
      <c r="D7819" s="2889" t="s">
        <v>1054</v>
      </c>
      <c r="E7819" s="2889" t="s">
        <v>1426</v>
      </c>
      <c r="F7819" s="2891"/>
      <c r="G7819" s="2890">
        <v>20733.301638259847</v>
      </c>
    </row>
    <row r="7820" spans="2:7" ht="15" hidden="1" outlineLevel="2">
      <c r="B7820" s="2889" t="s">
        <v>1646</v>
      </c>
      <c r="C7820" s="2889" t="s">
        <v>1525</v>
      </c>
      <c r="D7820" s="2889" t="s">
        <v>1054</v>
      </c>
      <c r="E7820" s="2889" t="s">
        <v>1426</v>
      </c>
      <c r="F7820" s="2891"/>
      <c r="G7820" s="2890">
        <v>1212.4316585436497</v>
      </c>
    </row>
    <row r="7821" spans="2:7" ht="15" hidden="1" outlineLevel="2">
      <c r="B7821" s="2889" t="s">
        <v>1647</v>
      </c>
      <c r="C7821" s="2889" t="s">
        <v>1525</v>
      </c>
      <c r="D7821" s="2889" t="s">
        <v>1054</v>
      </c>
      <c r="E7821" s="2889" t="s">
        <v>1426</v>
      </c>
      <c r="F7821" s="3040"/>
      <c r="G7821" s="2890">
        <v>3026.4703066605603</v>
      </c>
    </row>
    <row r="7822" spans="2:7" ht="15" hidden="1" outlineLevel="2">
      <c r="B7822" s="2889" t="s">
        <v>1648</v>
      </c>
      <c r="C7822" s="2889" t="s">
        <v>1525</v>
      </c>
      <c r="D7822" s="2889" t="s">
        <v>1054</v>
      </c>
      <c r="E7822" s="2889" t="s">
        <v>1426</v>
      </c>
      <c r="F7822" s="3040"/>
      <c r="G7822" s="2890">
        <v>339.30283551825914</v>
      </c>
    </row>
    <row r="7823" spans="2:7" ht="15" hidden="1" outlineLevel="2">
      <c r="B7823" s="2889" t="s">
        <v>1649</v>
      </c>
      <c r="C7823" s="2889" t="s">
        <v>1525</v>
      </c>
      <c r="D7823" s="2889" t="s">
        <v>1054</v>
      </c>
      <c r="E7823" s="2889" t="s">
        <v>1426</v>
      </c>
      <c r="F7823" s="3040"/>
      <c r="G7823" s="2890">
        <v>1609.4158714098644</v>
      </c>
    </row>
    <row r="7824" spans="2:7" ht="15" hidden="1" outlineLevel="2">
      <c r="B7824" s="2889" t="s">
        <v>1650</v>
      </c>
      <c r="C7824" s="2889" t="s">
        <v>1525</v>
      </c>
      <c r="D7824" s="2889" t="s">
        <v>1054</v>
      </c>
      <c r="E7824" s="2889" t="s">
        <v>1426</v>
      </c>
      <c r="F7824" s="3040"/>
      <c r="G7824" s="2890">
        <v>4021.1925905246462</v>
      </c>
    </row>
    <row r="7825" spans="2:7" ht="15" hidden="1" outlineLevel="2">
      <c r="B7825" s="2889" t="s">
        <v>1651</v>
      </c>
      <c r="C7825" s="2889" t="s">
        <v>1525</v>
      </c>
      <c r="D7825" s="2889" t="s">
        <v>1054</v>
      </c>
      <c r="E7825" s="2889" t="s">
        <v>1426</v>
      </c>
      <c r="F7825" s="3040"/>
      <c r="G7825" s="2890">
        <v>2200.1122025786426</v>
      </c>
    </row>
    <row r="7826" spans="2:7" ht="15" hidden="1" outlineLevel="2">
      <c r="B7826" s="2889" t="s">
        <v>1652</v>
      </c>
      <c r="C7826" s="2889" t="s">
        <v>1525</v>
      </c>
      <c r="D7826" s="2889" t="s">
        <v>1054</v>
      </c>
      <c r="E7826" s="2889" t="s">
        <v>1426</v>
      </c>
      <c r="F7826" s="3040"/>
      <c r="G7826" s="2890">
        <v>2415.9158723357186</v>
      </c>
    </row>
    <row r="7827" spans="2:7" ht="15" hidden="1" outlineLevel="2">
      <c r="B7827" s="2889" t="s">
        <v>1653</v>
      </c>
      <c r="C7827" s="2889" t="s">
        <v>1525</v>
      </c>
      <c r="D7827" s="2889" t="s">
        <v>1054</v>
      </c>
      <c r="E7827" s="2889" t="s">
        <v>1426</v>
      </c>
      <c r="F7827" s="3040"/>
      <c r="G7827" s="2890">
        <v>1.683010752913425E-27</v>
      </c>
    </row>
    <row r="7828" spans="2:7" ht="15" hidden="1" outlineLevel="2">
      <c r="B7828" s="2889" t="s">
        <v>1407</v>
      </c>
      <c r="C7828" s="2889" t="s">
        <v>1526</v>
      </c>
      <c r="D7828" s="2889" t="s">
        <v>1054</v>
      </c>
      <c r="E7828" s="2889" t="s">
        <v>1426</v>
      </c>
      <c r="F7828" s="3040"/>
      <c r="G7828" s="2890">
        <v>1141.1631230349922</v>
      </c>
    </row>
    <row r="7829" spans="2:7" ht="15" hidden="1" outlineLevel="2">
      <c r="B7829" s="2889" t="s">
        <v>1631</v>
      </c>
      <c r="C7829" s="2889" t="s">
        <v>1526</v>
      </c>
      <c r="D7829" s="2889" t="s">
        <v>1054</v>
      </c>
      <c r="E7829" s="2889" t="s">
        <v>1426</v>
      </c>
      <c r="F7829" s="2890">
        <v>0.56384913726194985</v>
      </c>
      <c r="G7829" s="2890">
        <v>18937.419316028816</v>
      </c>
    </row>
    <row r="7830" spans="2:7" ht="15" hidden="1" outlineLevel="2">
      <c r="B7830" s="2889" t="s">
        <v>1632</v>
      </c>
      <c r="C7830" s="2889" t="s">
        <v>1526</v>
      </c>
      <c r="D7830" s="2889" t="s">
        <v>1054</v>
      </c>
      <c r="E7830" s="2889" t="s">
        <v>1426</v>
      </c>
      <c r="F7830" s="3040"/>
      <c r="G7830" s="2890">
        <v>43865.019118059507</v>
      </c>
    </row>
    <row r="7831" spans="2:7" ht="15" hidden="1" outlineLevel="2">
      <c r="B7831" s="2889" t="s">
        <v>1633</v>
      </c>
      <c r="C7831" s="2889" t="s">
        <v>1526</v>
      </c>
      <c r="D7831" s="2889" t="s">
        <v>1054</v>
      </c>
      <c r="E7831" s="2889" t="s">
        <v>1426</v>
      </c>
      <c r="F7831" s="3040"/>
      <c r="G7831" s="2890">
        <v>3559.73995578004</v>
      </c>
    </row>
    <row r="7832" spans="2:7" ht="15" hidden="1" outlineLevel="2">
      <c r="B7832" s="2889" t="s">
        <v>1634</v>
      </c>
      <c r="C7832" s="2889" t="s">
        <v>1526</v>
      </c>
      <c r="D7832" s="2889" t="s">
        <v>1054</v>
      </c>
      <c r="E7832" s="2889" t="s">
        <v>1426</v>
      </c>
      <c r="F7832" s="2891"/>
      <c r="G7832" s="2890">
        <v>659.7876261139437</v>
      </c>
    </row>
    <row r="7833" spans="2:7" ht="15" hidden="1" outlineLevel="2">
      <c r="B7833" s="2889" t="s">
        <v>1635</v>
      </c>
      <c r="C7833" s="2889" t="s">
        <v>1526</v>
      </c>
      <c r="D7833" s="2889" t="s">
        <v>1054</v>
      </c>
      <c r="E7833" s="2889" t="s">
        <v>1426</v>
      </c>
      <c r="F7833" s="2891"/>
      <c r="G7833" s="2890">
        <v>5565.1002688268591</v>
      </c>
    </row>
    <row r="7834" spans="2:7" ht="15" hidden="1" outlineLevel="2">
      <c r="B7834" s="2889" t="s">
        <v>1636</v>
      </c>
      <c r="C7834" s="2889" t="s">
        <v>1526</v>
      </c>
      <c r="D7834" s="2889" t="s">
        <v>1054</v>
      </c>
      <c r="E7834" s="2889" t="s">
        <v>1426</v>
      </c>
      <c r="F7834" s="3040"/>
      <c r="G7834" s="2890">
        <v>4885.3036095895077</v>
      </c>
    </row>
    <row r="7835" spans="2:7" ht="15" hidden="1" outlineLevel="2">
      <c r="B7835" s="2889" t="s">
        <v>1637</v>
      </c>
      <c r="C7835" s="2889" t="s">
        <v>1526</v>
      </c>
      <c r="D7835" s="2889" t="s">
        <v>1054</v>
      </c>
      <c r="E7835" s="2889" t="s">
        <v>1426</v>
      </c>
      <c r="F7835" s="3040"/>
      <c r="G7835" s="2890">
        <v>8113.3369644978775</v>
      </c>
    </row>
    <row r="7836" spans="2:7" ht="15" hidden="1" outlineLevel="2">
      <c r="B7836" s="2889" t="s">
        <v>1638</v>
      </c>
      <c r="C7836" s="2889" t="s">
        <v>1526</v>
      </c>
      <c r="D7836" s="2889" t="s">
        <v>1054</v>
      </c>
      <c r="E7836" s="2889" t="s">
        <v>1426</v>
      </c>
      <c r="F7836" s="3040"/>
      <c r="G7836" s="2890">
        <v>1072.0395672172824</v>
      </c>
    </row>
    <row r="7837" spans="2:7" ht="15" hidden="1" outlineLevel="2">
      <c r="B7837" s="2889" t="s">
        <v>1639</v>
      </c>
      <c r="C7837" s="2889" t="s">
        <v>1526</v>
      </c>
      <c r="D7837" s="2889" t="s">
        <v>1054</v>
      </c>
      <c r="E7837" s="2889" t="s">
        <v>1426</v>
      </c>
      <c r="F7837" s="3040"/>
      <c r="G7837" s="2890">
        <v>9736.756087752241</v>
      </c>
    </row>
    <row r="7838" spans="2:7" ht="15" hidden="1" outlineLevel="2">
      <c r="B7838" s="2889" t="s">
        <v>1640</v>
      </c>
      <c r="C7838" s="2889" t="s">
        <v>1526</v>
      </c>
      <c r="D7838" s="2889" t="s">
        <v>1054</v>
      </c>
      <c r="E7838" s="2889" t="s">
        <v>1426</v>
      </c>
      <c r="F7838" s="3040"/>
      <c r="G7838" s="2890">
        <v>2289.1958027329906</v>
      </c>
    </row>
    <row r="7839" spans="2:7" ht="15" hidden="1" outlineLevel="2">
      <c r="B7839" s="2889" t="s">
        <v>1641</v>
      </c>
      <c r="C7839" s="2889" t="s">
        <v>1526</v>
      </c>
      <c r="D7839" s="2889" t="s">
        <v>1054</v>
      </c>
      <c r="E7839" s="2889" t="s">
        <v>1426</v>
      </c>
      <c r="F7839" s="3040"/>
      <c r="G7839" s="2890">
        <v>11726.100566564326</v>
      </c>
    </row>
    <row r="7840" spans="2:7" ht="15" hidden="1" outlineLevel="2">
      <c r="B7840" s="2889" t="s">
        <v>1642</v>
      </c>
      <c r="C7840" s="2889" t="s">
        <v>1526</v>
      </c>
      <c r="D7840" s="2889" t="s">
        <v>1054</v>
      </c>
      <c r="E7840" s="2889" t="s">
        <v>1426</v>
      </c>
      <c r="F7840" s="3040"/>
      <c r="G7840" s="2890">
        <v>8416.8153383906483</v>
      </c>
    </row>
    <row r="7841" spans="2:7" ht="15" hidden="1" outlineLevel="2">
      <c r="B7841" s="2889" t="s">
        <v>1643</v>
      </c>
      <c r="C7841" s="2889" t="s">
        <v>1526</v>
      </c>
      <c r="D7841" s="2889" t="s">
        <v>1054</v>
      </c>
      <c r="E7841" s="2889" t="s">
        <v>1426</v>
      </c>
      <c r="F7841" s="3040"/>
      <c r="G7841" s="2890">
        <v>1244.4150448279552</v>
      </c>
    </row>
    <row r="7842" spans="2:7" ht="15" hidden="1" outlineLevel="2">
      <c r="B7842" s="2889" t="s">
        <v>1644</v>
      </c>
      <c r="C7842" s="2889" t="s">
        <v>1526</v>
      </c>
      <c r="D7842" s="2889" t="s">
        <v>1054</v>
      </c>
      <c r="E7842" s="2889" t="s">
        <v>1426</v>
      </c>
      <c r="F7842" s="3040"/>
      <c r="G7842" s="2890">
        <v>27397.876025142705</v>
      </c>
    </row>
    <row r="7843" spans="2:7" ht="15" hidden="1" outlineLevel="2">
      <c r="B7843" s="2889" t="s">
        <v>1645</v>
      </c>
      <c r="C7843" s="2889" t="s">
        <v>1526</v>
      </c>
      <c r="D7843" s="2889" t="s">
        <v>1054</v>
      </c>
      <c r="E7843" s="2889" t="s">
        <v>1426</v>
      </c>
      <c r="F7843" s="3040"/>
      <c r="G7843" s="2890">
        <v>31289.235859260683</v>
      </c>
    </row>
    <row r="7844" spans="2:7" ht="15" hidden="1" outlineLevel="2">
      <c r="B7844" s="2889" t="s">
        <v>1646</v>
      </c>
      <c r="C7844" s="2889" t="s">
        <v>1526</v>
      </c>
      <c r="D7844" s="2889" t="s">
        <v>1054</v>
      </c>
      <c r="E7844" s="2889" t="s">
        <v>1426</v>
      </c>
      <c r="F7844" s="3040"/>
      <c r="G7844" s="2890">
        <v>1829.7161603422257</v>
      </c>
    </row>
    <row r="7845" spans="2:7" ht="15" hidden="1" outlineLevel="2">
      <c r="B7845" s="2889" t="s">
        <v>1647</v>
      </c>
      <c r="C7845" s="2889" t="s">
        <v>1526</v>
      </c>
      <c r="D7845" s="2889" t="s">
        <v>1054</v>
      </c>
      <c r="E7845" s="2889" t="s">
        <v>1426</v>
      </c>
      <c r="F7845" s="3040"/>
      <c r="G7845" s="2890">
        <v>4567.3360398912919</v>
      </c>
    </row>
    <row r="7846" spans="2:7" ht="15" hidden="1" outlineLevel="2">
      <c r="B7846" s="2889" t="s">
        <v>1648</v>
      </c>
      <c r="C7846" s="2889" t="s">
        <v>1526</v>
      </c>
      <c r="D7846" s="2889" t="s">
        <v>1054</v>
      </c>
      <c r="E7846" s="2889" t="s">
        <v>1426</v>
      </c>
      <c r="F7846" s="3040"/>
      <c r="G7846" s="2890">
        <v>512.0517750261065</v>
      </c>
    </row>
    <row r="7847" spans="2:7" ht="15" hidden="1" outlineLevel="2">
      <c r="B7847" s="2889" t="s">
        <v>1649</v>
      </c>
      <c r="C7847" s="2889" t="s">
        <v>1526</v>
      </c>
      <c r="D7847" s="2889" t="s">
        <v>1054</v>
      </c>
      <c r="E7847" s="2889" t="s">
        <v>1426</v>
      </c>
      <c r="F7847" s="3040"/>
      <c r="G7847" s="2890">
        <v>2428.8168561301868</v>
      </c>
    </row>
    <row r="7848" spans="2:7" ht="15" hidden="1" outlineLevel="2">
      <c r="B7848" s="2889" t="s">
        <v>1650</v>
      </c>
      <c r="C7848" s="2889" t="s">
        <v>1526</v>
      </c>
      <c r="D7848" s="2889" t="s">
        <v>1054</v>
      </c>
      <c r="E7848" s="2889" t="s">
        <v>1426</v>
      </c>
      <c r="F7848" s="3040"/>
      <c r="G7848" s="2890">
        <v>6068.5001322413564</v>
      </c>
    </row>
    <row r="7849" spans="2:7" ht="15" hidden="1" outlineLevel="2">
      <c r="B7849" s="2889" t="s">
        <v>1651</v>
      </c>
      <c r="C7849" s="2889" t="s">
        <v>1526</v>
      </c>
      <c r="D7849" s="2889" t="s">
        <v>1054</v>
      </c>
      <c r="E7849" s="2889" t="s">
        <v>1426</v>
      </c>
      <c r="F7849" s="2891"/>
      <c r="G7849" s="2890">
        <v>3320.2546013975834</v>
      </c>
    </row>
    <row r="7850" spans="2:7" ht="15" hidden="1" outlineLevel="2">
      <c r="B7850" s="2889" t="s">
        <v>1652</v>
      </c>
      <c r="C7850" s="2889" t="s">
        <v>1526</v>
      </c>
      <c r="D7850" s="2889" t="s">
        <v>1054</v>
      </c>
      <c r="E7850" s="2889" t="s">
        <v>1426</v>
      </c>
      <c r="F7850" s="2891"/>
      <c r="G7850" s="2890">
        <v>3645.9303856438551</v>
      </c>
    </row>
    <row r="7851" spans="2:7" ht="15" hidden="1" outlineLevel="2">
      <c r="B7851" s="2889" t="s">
        <v>1653</v>
      </c>
      <c r="C7851" s="2889" t="s">
        <v>1526</v>
      </c>
      <c r="D7851" s="2889" t="s">
        <v>1054</v>
      </c>
      <c r="E7851" s="2889" t="s">
        <v>1426</v>
      </c>
      <c r="F7851" s="2891"/>
      <c r="G7851" s="2890">
        <v>2.5047711264957134E-28</v>
      </c>
    </row>
    <row r="7852" spans="2:7" ht="15" hidden="1" outlineLevel="2">
      <c r="B7852" s="2889" t="s">
        <v>1407</v>
      </c>
      <c r="C7852" s="2889" t="s">
        <v>1527</v>
      </c>
      <c r="D7852" s="2889" t="s">
        <v>1054</v>
      </c>
      <c r="E7852" s="2889" t="s">
        <v>1426</v>
      </c>
      <c r="F7852" s="2891"/>
      <c r="G7852" s="2890">
        <v>518.50119686893345</v>
      </c>
    </row>
    <row r="7853" spans="2:7" ht="15" hidden="1" outlineLevel="2">
      <c r="B7853" s="2889" t="s">
        <v>1631</v>
      </c>
      <c r="C7853" s="2889" t="s">
        <v>1527</v>
      </c>
      <c r="D7853" s="2889" t="s">
        <v>1054</v>
      </c>
      <c r="E7853" s="2889" t="s">
        <v>1426</v>
      </c>
      <c r="F7853" s="3039">
        <v>0.37986238309612236</v>
      </c>
      <c r="G7853" s="2890">
        <v>8604.4422469753536</v>
      </c>
    </row>
    <row r="7854" spans="2:7" ht="15" hidden="1" outlineLevel="2">
      <c r="B7854" s="2889" t="s">
        <v>1632</v>
      </c>
      <c r="C7854" s="2889" t="s">
        <v>1527</v>
      </c>
      <c r="D7854" s="2889" t="s">
        <v>1054</v>
      </c>
      <c r="E7854" s="2889" t="s">
        <v>1426</v>
      </c>
      <c r="F7854" s="2891"/>
      <c r="G7854" s="2890">
        <v>19930.598339018226</v>
      </c>
    </row>
    <row r="7855" spans="2:7" ht="15" hidden="1" outlineLevel="2">
      <c r="B7855" s="2889" t="s">
        <v>1633</v>
      </c>
      <c r="C7855" s="2889" t="s">
        <v>1527</v>
      </c>
      <c r="D7855" s="2889" t="s">
        <v>1054</v>
      </c>
      <c r="E7855" s="2889" t="s">
        <v>1426</v>
      </c>
      <c r="F7855" s="2891"/>
      <c r="G7855" s="2890">
        <v>1617.4110291108636</v>
      </c>
    </row>
    <row r="7856" spans="2:7" ht="15" hidden="1" outlineLevel="2">
      <c r="B7856" s="2889" t="s">
        <v>1634</v>
      </c>
      <c r="C7856" s="2889" t="s">
        <v>1527</v>
      </c>
      <c r="D7856" s="2889" t="s">
        <v>1054</v>
      </c>
      <c r="E7856" s="2889" t="s">
        <v>1426</v>
      </c>
      <c r="F7856" s="2891"/>
      <c r="G7856" s="2890">
        <v>299.78245493140946</v>
      </c>
    </row>
    <row r="7857" spans="2:7" ht="15" hidden="1" outlineLevel="2">
      <c r="B7857" s="2889" t="s">
        <v>1635</v>
      </c>
      <c r="C7857" s="2889" t="s">
        <v>1527</v>
      </c>
      <c r="D7857" s="2889" t="s">
        <v>1054</v>
      </c>
      <c r="E7857" s="2889" t="s">
        <v>1426</v>
      </c>
      <c r="F7857" s="2891"/>
      <c r="G7857" s="2890">
        <v>2528.5698857945476</v>
      </c>
    </row>
    <row r="7858" spans="2:7" ht="15" hidden="1" outlineLevel="2">
      <c r="B7858" s="2889" t="s">
        <v>1636</v>
      </c>
      <c r="C7858" s="2889" t="s">
        <v>1527</v>
      </c>
      <c r="D7858" s="2889" t="s">
        <v>1054</v>
      </c>
      <c r="E7858" s="2889" t="s">
        <v>1426</v>
      </c>
      <c r="F7858" s="2891"/>
      <c r="G7858" s="2890">
        <v>2219.6970039655635</v>
      </c>
    </row>
    <row r="7859" spans="2:7" ht="15" hidden="1" outlineLevel="2">
      <c r="B7859" s="2889" t="s">
        <v>1637</v>
      </c>
      <c r="C7859" s="2889" t="s">
        <v>1527</v>
      </c>
      <c r="D7859" s="2889" t="s">
        <v>1054</v>
      </c>
      <c r="E7859" s="2889" t="s">
        <v>1426</v>
      </c>
      <c r="F7859" s="3040"/>
      <c r="G7859" s="2890">
        <v>3686.3919701787195</v>
      </c>
    </row>
    <row r="7860" spans="2:7" ht="15" hidden="1" outlineLevel="2">
      <c r="B7860" s="2889" t="s">
        <v>1638</v>
      </c>
      <c r="C7860" s="2889" t="s">
        <v>1527</v>
      </c>
      <c r="D7860" s="2889" t="s">
        <v>1054</v>
      </c>
      <c r="E7860" s="2889" t="s">
        <v>1426</v>
      </c>
      <c r="F7860" s="3040"/>
      <c r="G7860" s="2890">
        <v>487.0939659270993</v>
      </c>
    </row>
    <row r="7861" spans="2:7" ht="15" hidden="1" outlineLevel="2">
      <c r="B7861" s="2889" t="s">
        <v>1639</v>
      </c>
      <c r="C7861" s="2889" t="s">
        <v>1527</v>
      </c>
      <c r="D7861" s="2889" t="s">
        <v>1054</v>
      </c>
      <c r="E7861" s="2889" t="s">
        <v>1426</v>
      </c>
      <c r="F7861" s="2891"/>
      <c r="G7861" s="2890">
        <v>4424.0127053586548</v>
      </c>
    </row>
    <row r="7862" spans="2:7" ht="15" hidden="1" outlineLevel="2">
      <c r="B7862" s="2889" t="s">
        <v>1640</v>
      </c>
      <c r="C7862" s="2889" t="s">
        <v>1527</v>
      </c>
      <c r="D7862" s="2889" t="s">
        <v>1054</v>
      </c>
      <c r="E7862" s="2889" t="s">
        <v>1426</v>
      </c>
      <c r="F7862" s="3040"/>
      <c r="G7862" s="2890">
        <v>1040.1237123150113</v>
      </c>
    </row>
    <row r="7863" spans="2:7" ht="15" hidden="1" outlineLevel="2">
      <c r="B7863" s="2889" t="s">
        <v>1641</v>
      </c>
      <c r="C7863" s="2889" t="s">
        <v>1527</v>
      </c>
      <c r="D7863" s="2889" t="s">
        <v>1054</v>
      </c>
      <c r="E7863" s="2889" t="s">
        <v>1426</v>
      </c>
      <c r="F7863" s="3040"/>
      <c r="G7863" s="2890">
        <v>5327.8942050405531</v>
      </c>
    </row>
    <row r="7864" spans="2:7" ht="15" hidden="1" outlineLevel="2">
      <c r="B7864" s="2889" t="s">
        <v>1642</v>
      </c>
      <c r="C7864" s="2889" t="s">
        <v>1527</v>
      </c>
      <c r="D7864" s="2889" t="s">
        <v>1054</v>
      </c>
      <c r="E7864" s="2889" t="s">
        <v>1426</v>
      </c>
      <c r="F7864" s="3040"/>
      <c r="G7864" s="2890">
        <v>3824.2814641269615</v>
      </c>
    </row>
    <row r="7865" spans="2:7" ht="15" hidden="1" outlineLevel="2">
      <c r="B7865" s="2889" t="s">
        <v>1643</v>
      </c>
      <c r="C7865" s="2889" t="s">
        <v>1527</v>
      </c>
      <c r="D7865" s="2889" t="s">
        <v>1054</v>
      </c>
      <c r="E7865" s="2889" t="s">
        <v>1426</v>
      </c>
      <c r="F7865" s="3040"/>
      <c r="G7865" s="2890">
        <v>565.41490802597013</v>
      </c>
    </row>
    <row r="7866" spans="2:7" ht="15" hidden="1" outlineLevel="2">
      <c r="B7866" s="2889" t="s">
        <v>1644</v>
      </c>
      <c r="C7866" s="2889" t="s">
        <v>1527</v>
      </c>
      <c r="D7866" s="2889" t="s">
        <v>1054</v>
      </c>
      <c r="E7866" s="2889" t="s">
        <v>1426</v>
      </c>
      <c r="F7866" s="3040"/>
      <c r="G7866" s="2890">
        <v>12448.553806794826</v>
      </c>
    </row>
    <row r="7867" spans="2:7" ht="15" hidden="1" outlineLevel="2">
      <c r="B7867" s="2889" t="s">
        <v>1645</v>
      </c>
      <c r="C7867" s="2889" t="s">
        <v>1527</v>
      </c>
      <c r="D7867" s="2889" t="s">
        <v>1054</v>
      </c>
      <c r="E7867" s="2889" t="s">
        <v>1426</v>
      </c>
      <c r="F7867" s="3040"/>
      <c r="G7867" s="2890">
        <v>14216.641502417462</v>
      </c>
    </row>
    <row r="7868" spans="2:7" ht="15" hidden="1" outlineLevel="2">
      <c r="B7868" s="2889" t="s">
        <v>1646</v>
      </c>
      <c r="C7868" s="2889" t="s">
        <v>1527</v>
      </c>
      <c r="D7868" s="2889" t="s">
        <v>1054</v>
      </c>
      <c r="E7868" s="2889" t="s">
        <v>1426</v>
      </c>
      <c r="F7868" s="3040"/>
      <c r="G7868" s="2890">
        <v>831.35375265490632</v>
      </c>
    </row>
    <row r="7869" spans="2:7" ht="15" hidden="1" outlineLevel="2">
      <c r="B7869" s="2889" t="s">
        <v>1647</v>
      </c>
      <c r="C7869" s="2889" t="s">
        <v>1527</v>
      </c>
      <c r="D7869" s="2889" t="s">
        <v>1054</v>
      </c>
      <c r="E7869" s="2889" t="s">
        <v>1426</v>
      </c>
      <c r="F7869" s="3040"/>
      <c r="G7869" s="2890">
        <v>2075.2240642193387</v>
      </c>
    </row>
    <row r="7870" spans="2:7" ht="15" hidden="1" outlineLevel="2">
      <c r="B7870" s="2889" t="s">
        <v>1648</v>
      </c>
      <c r="C7870" s="2889" t="s">
        <v>1527</v>
      </c>
      <c r="D7870" s="2889" t="s">
        <v>1054</v>
      </c>
      <c r="E7870" s="2889" t="s">
        <v>1426</v>
      </c>
      <c r="F7870" s="3040"/>
      <c r="G7870" s="2890">
        <v>232.65688547722982</v>
      </c>
    </row>
    <row r="7871" spans="2:7" ht="15" hidden="1" outlineLevel="2">
      <c r="B7871" s="2889" t="s">
        <v>1649</v>
      </c>
      <c r="C7871" s="2889" t="s">
        <v>1527</v>
      </c>
      <c r="D7871" s="2889" t="s">
        <v>1054</v>
      </c>
      <c r="E7871" s="2889" t="s">
        <v>1426</v>
      </c>
      <c r="F7871" s="3040"/>
      <c r="G7871" s="2890">
        <v>1103.5622771627243</v>
      </c>
    </row>
    <row r="7872" spans="2:7" ht="15" hidden="1" outlineLevel="2">
      <c r="B7872" s="2889" t="s">
        <v>1650</v>
      </c>
      <c r="C7872" s="2889" t="s">
        <v>1527</v>
      </c>
      <c r="D7872" s="2889" t="s">
        <v>1054</v>
      </c>
      <c r="E7872" s="2889" t="s">
        <v>1426</v>
      </c>
      <c r="F7872" s="3040"/>
      <c r="G7872" s="2890">
        <v>2757.2963437655553</v>
      </c>
    </row>
    <row r="7873" spans="2:7" ht="15" hidden="1" outlineLevel="2">
      <c r="B7873" s="2889" t="s">
        <v>1651</v>
      </c>
      <c r="C7873" s="2889" t="s">
        <v>1527</v>
      </c>
      <c r="D7873" s="2889" t="s">
        <v>1054</v>
      </c>
      <c r="E7873" s="2889" t="s">
        <v>1426</v>
      </c>
      <c r="F7873" s="3040"/>
      <c r="G7873" s="2890">
        <v>1508.5976616871999</v>
      </c>
    </row>
    <row r="7874" spans="2:7" ht="15" hidden="1" outlineLevel="2">
      <c r="B7874" s="2889" t="s">
        <v>1652</v>
      </c>
      <c r="C7874" s="2889" t="s">
        <v>1527</v>
      </c>
      <c r="D7874" s="2889" t="s">
        <v>1054</v>
      </c>
      <c r="E7874" s="2889" t="s">
        <v>1426</v>
      </c>
      <c r="F7874" s="3040"/>
      <c r="G7874" s="2890">
        <v>1656.5722540414126</v>
      </c>
    </row>
    <row r="7875" spans="2:7" ht="15" hidden="1" outlineLevel="2">
      <c r="B7875" s="2889" t="s">
        <v>1653</v>
      </c>
      <c r="C7875" s="2889" t="s">
        <v>1527</v>
      </c>
      <c r="D7875" s="2889" t="s">
        <v>1054</v>
      </c>
      <c r="E7875" s="2889" t="s">
        <v>1426</v>
      </c>
      <c r="F7875" s="3040"/>
      <c r="G7875" s="2890">
        <v>1.9648185978513224E-29</v>
      </c>
    </row>
    <row r="7876" spans="2:7" ht="15" hidden="1" outlineLevel="2">
      <c r="B7876" s="2889" t="s">
        <v>1407</v>
      </c>
      <c r="C7876" s="2889" t="s">
        <v>1528</v>
      </c>
      <c r="D7876" s="2889" t="s">
        <v>1054</v>
      </c>
      <c r="E7876" s="2889" t="s">
        <v>1426</v>
      </c>
      <c r="F7876" s="3040"/>
      <c r="G7876" s="2890">
        <v>122.74568863682644</v>
      </c>
    </row>
    <row r="7877" spans="2:7" ht="15" hidden="1" outlineLevel="2">
      <c r="B7877" s="2889" t="s">
        <v>1631</v>
      </c>
      <c r="C7877" s="2889" t="s">
        <v>1528</v>
      </c>
      <c r="D7877" s="2889" t="s">
        <v>1054</v>
      </c>
      <c r="E7877" s="2889" t="s">
        <v>1426</v>
      </c>
      <c r="F7877" s="2890">
        <v>5.5726778536169731E-2</v>
      </c>
      <c r="G7877" s="2890">
        <v>2036.9448898070061</v>
      </c>
    </row>
    <row r="7878" spans="2:7" ht="15" hidden="1" outlineLevel="2">
      <c r="B7878" s="2889" t="s">
        <v>1632</v>
      </c>
      <c r="C7878" s="2889" t="s">
        <v>1528</v>
      </c>
      <c r="D7878" s="2889" t="s">
        <v>1054</v>
      </c>
      <c r="E7878" s="2889" t="s">
        <v>1426</v>
      </c>
      <c r="F7878" s="3040"/>
      <c r="G7878" s="2890">
        <v>4718.2053722333612</v>
      </c>
    </row>
    <row r="7879" spans="2:7" ht="15" hidden="1" outlineLevel="2">
      <c r="B7879" s="2889" t="s">
        <v>1633</v>
      </c>
      <c r="C7879" s="2889" t="s">
        <v>1528</v>
      </c>
      <c r="D7879" s="2889" t="s">
        <v>1054</v>
      </c>
      <c r="E7879" s="2889" t="s">
        <v>1426</v>
      </c>
      <c r="F7879" s="3040"/>
      <c r="G7879" s="2890">
        <v>382.89247716017303</v>
      </c>
    </row>
    <row r="7880" spans="2:7" ht="15" hidden="1" outlineLevel="2">
      <c r="B7880" s="2889" t="s">
        <v>1634</v>
      </c>
      <c r="C7880" s="2889" t="s">
        <v>1528</v>
      </c>
      <c r="D7880" s="2889" t="s">
        <v>1054</v>
      </c>
      <c r="E7880" s="2889" t="s">
        <v>1426</v>
      </c>
      <c r="F7880" s="3040"/>
      <c r="G7880" s="2890">
        <v>70.968012240125688</v>
      </c>
    </row>
    <row r="7881" spans="2:7" ht="15" hidden="1" outlineLevel="2">
      <c r="B7881" s="2889" t="s">
        <v>1635</v>
      </c>
      <c r="C7881" s="2889" t="s">
        <v>1528</v>
      </c>
      <c r="D7881" s="2889" t="s">
        <v>1054</v>
      </c>
      <c r="E7881" s="2889" t="s">
        <v>1426</v>
      </c>
      <c r="F7881" s="3040"/>
      <c r="G7881" s="2890">
        <v>598.59262946931005</v>
      </c>
    </row>
    <row r="7882" spans="2:7" ht="15" hidden="1" outlineLevel="2">
      <c r="B7882" s="2889" t="s">
        <v>1636</v>
      </c>
      <c r="C7882" s="2889" t="s">
        <v>1528</v>
      </c>
      <c r="D7882" s="2889" t="s">
        <v>1054</v>
      </c>
      <c r="E7882" s="2889" t="s">
        <v>1426</v>
      </c>
      <c r="F7882" s="2891"/>
      <c r="G7882" s="2890">
        <v>525.47264906577186</v>
      </c>
    </row>
    <row r="7883" spans="2:7" ht="15" hidden="1" outlineLevel="2">
      <c r="B7883" s="2889" t="s">
        <v>1637</v>
      </c>
      <c r="C7883" s="2889" t="s">
        <v>1528</v>
      </c>
      <c r="D7883" s="2889" t="s">
        <v>1054</v>
      </c>
      <c r="E7883" s="2889" t="s">
        <v>1426</v>
      </c>
      <c r="F7883" s="2891"/>
      <c r="G7883" s="2890">
        <v>872.68612691120302</v>
      </c>
    </row>
    <row r="7884" spans="2:7" ht="15" hidden="1" outlineLevel="2">
      <c r="B7884" s="2889" t="s">
        <v>1638</v>
      </c>
      <c r="C7884" s="2889" t="s">
        <v>1528</v>
      </c>
      <c r="D7884" s="2889" t="s">
        <v>1054</v>
      </c>
      <c r="E7884" s="2889" t="s">
        <v>1426</v>
      </c>
      <c r="F7884" s="2891"/>
      <c r="G7884" s="2890">
        <v>115.31058815306388</v>
      </c>
    </row>
    <row r="7885" spans="2:7" ht="15" hidden="1" outlineLevel="2">
      <c r="B7885" s="2889" t="s">
        <v>1639</v>
      </c>
      <c r="C7885" s="2889" t="s">
        <v>1528</v>
      </c>
      <c r="D7885" s="2889" t="s">
        <v>1054</v>
      </c>
      <c r="E7885" s="2889" t="s">
        <v>1426</v>
      </c>
      <c r="F7885" s="2891"/>
      <c r="G7885" s="2890">
        <v>1047.3039033366958</v>
      </c>
    </row>
    <row r="7886" spans="2:7" ht="15" hidden="1" outlineLevel="2">
      <c r="B7886" s="2889" t="s">
        <v>1640</v>
      </c>
      <c r="C7886" s="2889" t="s">
        <v>1528</v>
      </c>
      <c r="D7886" s="2889" t="s">
        <v>1054</v>
      </c>
      <c r="E7886" s="2889" t="s">
        <v>1426</v>
      </c>
      <c r="F7886" s="2891"/>
      <c r="G7886" s="2890">
        <v>246.23028477909577</v>
      </c>
    </row>
    <row r="7887" spans="2:7" ht="15" hidden="1" outlineLevel="2">
      <c r="B7887" s="2889" t="s">
        <v>1641</v>
      </c>
      <c r="C7887" s="2889" t="s">
        <v>1528</v>
      </c>
      <c r="D7887" s="2889" t="s">
        <v>1054</v>
      </c>
      <c r="E7887" s="2889" t="s">
        <v>1426</v>
      </c>
      <c r="F7887" s="2891"/>
      <c r="G7887" s="2890">
        <v>1261.2818437877168</v>
      </c>
    </row>
    <row r="7888" spans="2:7" ht="15" hidden="1" outlineLevel="2">
      <c r="B7888" s="2889" t="s">
        <v>1642</v>
      </c>
      <c r="C7888" s="2889" t="s">
        <v>1528</v>
      </c>
      <c r="D7888" s="2889" t="s">
        <v>1054</v>
      </c>
      <c r="E7888" s="2889" t="s">
        <v>1426</v>
      </c>
      <c r="F7888" s="3040"/>
      <c r="G7888" s="2890">
        <v>905.3288380151912</v>
      </c>
    </row>
    <row r="7889" spans="2:7" ht="15" hidden="1" outlineLevel="2">
      <c r="B7889" s="2889" t="s">
        <v>1643</v>
      </c>
      <c r="C7889" s="2889" t="s">
        <v>1528</v>
      </c>
      <c r="D7889" s="2889" t="s">
        <v>1054</v>
      </c>
      <c r="E7889" s="2889" t="s">
        <v>1426</v>
      </c>
      <c r="F7889" s="3040"/>
      <c r="G7889" s="2890">
        <v>133.85170071279856</v>
      </c>
    </row>
    <row r="7890" spans="2:7" ht="15" hidden="1" outlineLevel="2">
      <c r="B7890" s="2889" t="s">
        <v>1644</v>
      </c>
      <c r="C7890" s="2889" t="s">
        <v>1528</v>
      </c>
      <c r="D7890" s="2889" t="s">
        <v>1054</v>
      </c>
      <c r="E7890" s="2889" t="s">
        <v>1426</v>
      </c>
      <c r="F7890" s="3040"/>
      <c r="G7890" s="2890">
        <v>2946.9681528042961</v>
      </c>
    </row>
    <row r="7891" spans="2:7" ht="15" hidden="1" outlineLevel="2">
      <c r="B7891" s="2889" t="s">
        <v>1645</v>
      </c>
      <c r="C7891" s="2889" t="s">
        <v>1528</v>
      </c>
      <c r="D7891" s="2889" t="s">
        <v>1054</v>
      </c>
      <c r="E7891" s="2889" t="s">
        <v>1426</v>
      </c>
      <c r="F7891" s="3040"/>
      <c r="G7891" s="2890">
        <v>3365.5298133812789</v>
      </c>
    </row>
    <row r="7892" spans="2:7" ht="15" hidden="1" outlineLevel="2">
      <c r="B7892" s="2889" t="s">
        <v>1646</v>
      </c>
      <c r="C7892" s="2889" t="s">
        <v>1528</v>
      </c>
      <c r="D7892" s="2889" t="s">
        <v>1054</v>
      </c>
      <c r="E7892" s="2889" t="s">
        <v>1426</v>
      </c>
      <c r="F7892" s="3040"/>
      <c r="G7892" s="2890">
        <v>196.80779134380657</v>
      </c>
    </row>
    <row r="7893" spans="2:7" ht="15" hidden="1" outlineLevel="2">
      <c r="B7893" s="2889" t="s">
        <v>1647</v>
      </c>
      <c r="C7893" s="2889" t="s">
        <v>1528</v>
      </c>
      <c r="D7893" s="2889" t="s">
        <v>1054</v>
      </c>
      <c r="E7893" s="2889" t="s">
        <v>1426</v>
      </c>
      <c r="F7893" s="3040"/>
      <c r="G7893" s="2890">
        <v>491.27129098342874</v>
      </c>
    </row>
    <row r="7894" spans="2:7" ht="15" hidden="1" outlineLevel="2">
      <c r="B7894" s="2889" t="s">
        <v>1648</v>
      </c>
      <c r="C7894" s="2889" t="s">
        <v>1528</v>
      </c>
      <c r="D7894" s="2889" t="s">
        <v>1054</v>
      </c>
      <c r="E7894" s="2889" t="s">
        <v>1426</v>
      </c>
      <c r="F7894" s="3040"/>
      <c r="G7894" s="2890">
        <v>55.077277858976394</v>
      </c>
    </row>
    <row r="7895" spans="2:7" ht="15" hidden="1" outlineLevel="2">
      <c r="B7895" s="2889" t="s">
        <v>1649</v>
      </c>
      <c r="C7895" s="2889" t="s">
        <v>1528</v>
      </c>
      <c r="D7895" s="2889" t="s">
        <v>1054</v>
      </c>
      <c r="E7895" s="2889" t="s">
        <v>1426</v>
      </c>
      <c r="F7895" s="3040"/>
      <c r="G7895" s="2890">
        <v>261.24820082761704</v>
      </c>
    </row>
    <row r="7896" spans="2:7" ht="15" hidden="1" outlineLevel="2">
      <c r="B7896" s="2889" t="s">
        <v>1650</v>
      </c>
      <c r="C7896" s="2889" t="s">
        <v>1528</v>
      </c>
      <c r="D7896" s="2889" t="s">
        <v>1054</v>
      </c>
      <c r="E7896" s="2889" t="s">
        <v>1426</v>
      </c>
      <c r="F7896" s="3040"/>
      <c r="G7896" s="2890">
        <v>652.73919318564072</v>
      </c>
    </row>
    <row r="7897" spans="2:7" ht="15" hidden="1" outlineLevel="2">
      <c r="B7897" s="2889" t="s">
        <v>1651</v>
      </c>
      <c r="C7897" s="2889" t="s">
        <v>1528</v>
      </c>
      <c r="D7897" s="2889" t="s">
        <v>1054</v>
      </c>
      <c r="E7897" s="2889" t="s">
        <v>1426</v>
      </c>
      <c r="F7897" s="3040"/>
      <c r="G7897" s="2890">
        <v>357.13289890466234</v>
      </c>
    </row>
    <row r="7898" spans="2:7" ht="15" hidden="1" outlineLevel="2">
      <c r="B7898" s="2889" t="s">
        <v>1652</v>
      </c>
      <c r="C7898" s="2889" t="s">
        <v>1528</v>
      </c>
      <c r="D7898" s="2889" t="s">
        <v>1054</v>
      </c>
      <c r="E7898" s="2889" t="s">
        <v>1426</v>
      </c>
      <c r="F7898" s="3040"/>
      <c r="G7898" s="2890">
        <v>392.16320498488682</v>
      </c>
    </row>
    <row r="7899" spans="2:7" ht="15" hidden="1" outlineLevel="2">
      <c r="B7899" s="2889" t="s">
        <v>1653</v>
      </c>
      <c r="C7899" s="2889" t="s">
        <v>1528</v>
      </c>
      <c r="D7899" s="2889" t="s">
        <v>1054</v>
      </c>
      <c r="E7899" s="2889" t="s">
        <v>1426</v>
      </c>
      <c r="F7899" s="3040"/>
      <c r="G7899" s="2890">
        <v>2.4155894972604634E-28</v>
      </c>
    </row>
    <row r="7900" spans="2:7" ht="15" hidden="1" outlineLevel="2">
      <c r="B7900" s="2889" t="s">
        <v>1407</v>
      </c>
      <c r="C7900" s="2889" t="s">
        <v>1529</v>
      </c>
      <c r="D7900" s="2889" t="s">
        <v>1054</v>
      </c>
      <c r="E7900" s="2889" t="s">
        <v>1426</v>
      </c>
      <c r="F7900" s="3040"/>
      <c r="G7900" s="2890">
        <v>1.5975416149777744</v>
      </c>
    </row>
    <row r="7901" spans="2:7" ht="15" hidden="1" outlineLevel="2">
      <c r="B7901" s="2889" t="s">
        <v>1631</v>
      </c>
      <c r="C7901" s="2889" t="s">
        <v>1529</v>
      </c>
      <c r="D7901" s="2889" t="s">
        <v>1054</v>
      </c>
      <c r="E7901" s="2889" t="s">
        <v>1426</v>
      </c>
      <c r="F7901" s="2890">
        <v>1.2853391584113135E-3</v>
      </c>
      <c r="G7901" s="2890">
        <v>26.510945109893473</v>
      </c>
    </row>
    <row r="7902" spans="2:7" ht="15" hidden="1" outlineLevel="2">
      <c r="B7902" s="2889" t="s">
        <v>1632</v>
      </c>
      <c r="C7902" s="2889" t="s">
        <v>1529</v>
      </c>
      <c r="D7902" s="2889" t="s">
        <v>1054</v>
      </c>
      <c r="E7902" s="2889" t="s">
        <v>1426</v>
      </c>
      <c r="F7902" s="3040"/>
      <c r="G7902" s="2890">
        <v>61.407701383533713</v>
      </c>
    </row>
    <row r="7903" spans="2:7" ht="15" hidden="1" outlineLevel="2">
      <c r="B7903" s="2889" t="s">
        <v>1633</v>
      </c>
      <c r="C7903" s="2889" t="s">
        <v>1529</v>
      </c>
      <c r="D7903" s="2889" t="s">
        <v>1054</v>
      </c>
      <c r="E7903" s="2889" t="s">
        <v>1426</v>
      </c>
      <c r="F7903" s="3040"/>
      <c r="G7903" s="2890">
        <v>4.983365919467543</v>
      </c>
    </row>
    <row r="7904" spans="2:7" ht="15" hidden="1" outlineLevel="2">
      <c r="B7904" s="2889" t="s">
        <v>1634</v>
      </c>
      <c r="C7904" s="2889" t="s">
        <v>1529</v>
      </c>
      <c r="D7904" s="2889" t="s">
        <v>1054</v>
      </c>
      <c r="E7904" s="2889" t="s">
        <v>1426</v>
      </c>
      <c r="F7904" s="3040"/>
      <c r="G7904" s="2890">
        <v>0.92365242543592152</v>
      </c>
    </row>
    <row r="7905" spans="2:7" ht="15" hidden="1" outlineLevel="2">
      <c r="B7905" s="2889" t="s">
        <v>1635</v>
      </c>
      <c r="C7905" s="2889" t="s">
        <v>1529</v>
      </c>
      <c r="D7905" s="2889" t="s">
        <v>1054</v>
      </c>
      <c r="E7905" s="2889" t="s">
        <v>1426</v>
      </c>
      <c r="F7905" s="3040"/>
      <c r="G7905" s="2890">
        <v>7.7907162701270014</v>
      </c>
    </row>
    <row r="7906" spans="2:7" ht="15" hidden="1" outlineLevel="2">
      <c r="B7906" s="2889" t="s">
        <v>1636</v>
      </c>
      <c r="C7906" s="2889" t="s">
        <v>1529</v>
      </c>
      <c r="D7906" s="2889" t="s">
        <v>1054</v>
      </c>
      <c r="E7906" s="2889" t="s">
        <v>1426</v>
      </c>
      <c r="F7906" s="3040"/>
      <c r="G7906" s="2890">
        <v>6.8390553675287942</v>
      </c>
    </row>
    <row r="7907" spans="2:7" ht="15" hidden="1" outlineLevel="2">
      <c r="B7907" s="2889" t="s">
        <v>1637</v>
      </c>
      <c r="C7907" s="2889" t="s">
        <v>1529</v>
      </c>
      <c r="D7907" s="2889" t="s">
        <v>1054</v>
      </c>
      <c r="E7907" s="2889" t="s">
        <v>1426</v>
      </c>
      <c r="F7907" s="3040"/>
      <c r="G7907" s="2890">
        <v>11.358055354173326</v>
      </c>
    </row>
    <row r="7908" spans="2:7" ht="15" hidden="1" outlineLevel="2">
      <c r="B7908" s="2889" t="s">
        <v>1638</v>
      </c>
      <c r="C7908" s="2889" t="s">
        <v>1529</v>
      </c>
      <c r="D7908" s="2889" t="s">
        <v>1054</v>
      </c>
      <c r="E7908" s="2889" t="s">
        <v>1426</v>
      </c>
      <c r="F7908" s="3040"/>
      <c r="G7908" s="2890">
        <v>1.500773950107698</v>
      </c>
    </row>
    <row r="7909" spans="2:7" ht="15" hidden="1" outlineLevel="2">
      <c r="B7909" s="2889" t="s">
        <v>1639</v>
      </c>
      <c r="C7909" s="2889" t="s">
        <v>1529</v>
      </c>
      <c r="D7909" s="2889" t="s">
        <v>1054</v>
      </c>
      <c r="E7909" s="2889" t="s">
        <v>1426</v>
      </c>
      <c r="F7909" s="3040"/>
      <c r="G7909" s="2890">
        <v>13.630717413467906</v>
      </c>
    </row>
    <row r="7910" spans="2:7" ht="15" hidden="1" outlineLevel="2">
      <c r="B7910" s="2889" t="s">
        <v>1640</v>
      </c>
      <c r="C7910" s="2889" t="s">
        <v>1529</v>
      </c>
      <c r="D7910" s="2889" t="s">
        <v>1054</v>
      </c>
      <c r="E7910" s="2889" t="s">
        <v>1426</v>
      </c>
      <c r="F7910" s="3040"/>
      <c r="G7910" s="2890">
        <v>3.2046997148982777</v>
      </c>
    </row>
    <row r="7911" spans="2:7" ht="15" hidden="1" outlineLevel="2">
      <c r="B7911" s="2889" t="s">
        <v>1641</v>
      </c>
      <c r="C7911" s="2889" t="s">
        <v>1529</v>
      </c>
      <c r="D7911" s="2889" t="s">
        <v>1054</v>
      </c>
      <c r="E7911" s="2889" t="s">
        <v>1426</v>
      </c>
      <c r="F7911" s="3040"/>
      <c r="G7911" s="2890">
        <v>16.415649059560497</v>
      </c>
    </row>
    <row r="7912" spans="2:7" ht="15" hidden="1" outlineLevel="2">
      <c r="B7912" s="2889" t="s">
        <v>1642</v>
      </c>
      <c r="C7912" s="2889" t="s">
        <v>1529</v>
      </c>
      <c r="D7912" s="2889" t="s">
        <v>1054</v>
      </c>
      <c r="E7912" s="2889" t="s">
        <v>1426</v>
      </c>
      <c r="F7912" s="3040"/>
      <c r="G7912" s="2890">
        <v>11.782903342172743</v>
      </c>
    </row>
    <row r="7913" spans="2:7" ht="15" hidden="1" outlineLevel="2">
      <c r="B7913" s="2889" t="s">
        <v>1643</v>
      </c>
      <c r="C7913" s="2889" t="s">
        <v>1529</v>
      </c>
      <c r="D7913" s="2889" t="s">
        <v>1054</v>
      </c>
      <c r="E7913" s="2889" t="s">
        <v>1426</v>
      </c>
      <c r="F7913" s="3040"/>
      <c r="G7913" s="2890">
        <v>1.7420868862791878</v>
      </c>
    </row>
    <row r="7914" spans="2:7" ht="15" hidden="1" outlineLevel="2">
      <c r="B7914" s="2889" t="s">
        <v>1644</v>
      </c>
      <c r="C7914" s="2889" t="s">
        <v>1529</v>
      </c>
      <c r="D7914" s="2889" t="s">
        <v>1054</v>
      </c>
      <c r="E7914" s="2889" t="s">
        <v>1426</v>
      </c>
      <c r="F7914" s="3040"/>
      <c r="G7914" s="2890">
        <v>38.354942013291598</v>
      </c>
    </row>
    <row r="7915" spans="2:7" ht="15" hidden="1" outlineLevel="2">
      <c r="B7915" s="2889" t="s">
        <v>1645</v>
      </c>
      <c r="C7915" s="2889" t="s">
        <v>1529</v>
      </c>
      <c r="D7915" s="2889" t="s">
        <v>1054</v>
      </c>
      <c r="E7915" s="2889" t="s">
        <v>1426</v>
      </c>
      <c r="F7915" s="3040"/>
      <c r="G7915" s="2890">
        <v>43.802554201068588</v>
      </c>
    </row>
    <row r="7916" spans="2:7" ht="15" hidden="1" outlineLevel="2">
      <c r="B7916" s="2889" t="s">
        <v>1646</v>
      </c>
      <c r="C7916" s="2889" t="s">
        <v>1529</v>
      </c>
      <c r="D7916" s="2889" t="s">
        <v>1054</v>
      </c>
      <c r="E7916" s="2889" t="s">
        <v>1426</v>
      </c>
      <c r="F7916" s="3040"/>
      <c r="G7916" s="2890">
        <v>2.5614636093655632</v>
      </c>
    </row>
    <row r="7917" spans="2:7" ht="15" hidden="1" outlineLevel="2">
      <c r="B7917" s="2889" t="s">
        <v>1647</v>
      </c>
      <c r="C7917" s="2889" t="s">
        <v>1529</v>
      </c>
      <c r="D7917" s="2889" t="s">
        <v>1054</v>
      </c>
      <c r="E7917" s="2889" t="s">
        <v>1426</v>
      </c>
      <c r="F7917" s="3040"/>
      <c r="G7917" s="2890">
        <v>6.3939236573511806</v>
      </c>
    </row>
    <row r="7918" spans="2:7" ht="15" hidden="1" outlineLevel="2">
      <c r="B7918" s="2889" t="s">
        <v>1648</v>
      </c>
      <c r="C7918" s="2889" t="s">
        <v>1529</v>
      </c>
      <c r="D7918" s="2889" t="s">
        <v>1054</v>
      </c>
      <c r="E7918" s="2889" t="s">
        <v>1426</v>
      </c>
      <c r="F7918" s="3040"/>
      <c r="G7918" s="2890">
        <v>0.71683351612763602</v>
      </c>
    </row>
    <row r="7919" spans="2:7" ht="15" hidden="1" outlineLevel="2">
      <c r="B7919" s="2889" t="s">
        <v>1649</v>
      </c>
      <c r="C7919" s="2889" t="s">
        <v>1529</v>
      </c>
      <c r="D7919" s="2889" t="s">
        <v>1054</v>
      </c>
      <c r="E7919" s="2889" t="s">
        <v>1426</v>
      </c>
      <c r="F7919" s="3040"/>
      <c r="G7919" s="2890">
        <v>3.4001591910669933</v>
      </c>
    </row>
    <row r="7920" spans="2:7" ht="15" hidden="1" outlineLevel="2">
      <c r="B7920" s="2889" t="s">
        <v>1650</v>
      </c>
      <c r="C7920" s="2889" t="s">
        <v>1529</v>
      </c>
      <c r="D7920" s="2889" t="s">
        <v>1054</v>
      </c>
      <c r="E7920" s="2889" t="s">
        <v>1426</v>
      </c>
      <c r="F7920" s="3040"/>
      <c r="G7920" s="2890">
        <v>8.4954401865260554</v>
      </c>
    </row>
    <row r="7921" spans="2:7" ht="15" hidden="1" outlineLevel="2">
      <c r="B7921" s="2889" t="s">
        <v>1651</v>
      </c>
      <c r="C7921" s="2889" t="s">
        <v>1529</v>
      </c>
      <c r="D7921" s="2889" t="s">
        <v>1054</v>
      </c>
      <c r="E7921" s="2889" t="s">
        <v>1426</v>
      </c>
      <c r="F7921" s="3040"/>
      <c r="G7921" s="2890">
        <v>4.648103852033767</v>
      </c>
    </row>
    <row r="7922" spans="2:7" ht="15" hidden="1" outlineLevel="2">
      <c r="B7922" s="2889" t="s">
        <v>1652</v>
      </c>
      <c r="C7922" s="2889" t="s">
        <v>1529</v>
      </c>
      <c r="D7922" s="2889" t="s">
        <v>1054</v>
      </c>
      <c r="E7922" s="2889" t="s">
        <v>1426</v>
      </c>
      <c r="F7922" s="3040"/>
      <c r="G7922" s="2890">
        <v>5.104025495169247</v>
      </c>
    </row>
    <row r="7923" spans="2:7" ht="15" hidden="1" outlineLevel="2">
      <c r="B7923" s="2889" t="s">
        <v>1653</v>
      </c>
      <c r="C7923" s="2889" t="s">
        <v>1529</v>
      </c>
      <c r="D7923" s="2889" t="s">
        <v>1054</v>
      </c>
      <c r="E7923" s="2889" t="s">
        <v>1426</v>
      </c>
      <c r="F7923" s="3040"/>
      <c r="G7923" s="2890">
        <v>3.2635428971378915E-31</v>
      </c>
    </row>
    <row r="7924" spans="2:7" ht="15" hidden="1" outlineLevel="2">
      <c r="B7924" s="2889" t="s">
        <v>1407</v>
      </c>
      <c r="C7924" s="2889" t="s">
        <v>1530</v>
      </c>
      <c r="D7924" s="2889" t="s">
        <v>1054</v>
      </c>
      <c r="E7924" s="2889" t="s">
        <v>1426</v>
      </c>
      <c r="F7924" s="3040"/>
      <c r="G7924" s="2890">
        <v>117.61955531510569</v>
      </c>
    </row>
    <row r="7925" spans="2:7" ht="15" hidden="1" outlineLevel="2">
      <c r="B7925" s="2889" t="s">
        <v>1631</v>
      </c>
      <c r="C7925" s="2889" t="s">
        <v>1530</v>
      </c>
      <c r="D7925" s="2889" t="s">
        <v>1054</v>
      </c>
      <c r="E7925" s="2889" t="s">
        <v>1426</v>
      </c>
      <c r="F7925" s="2890">
        <v>4.801830915258172E-2</v>
      </c>
      <c r="G7925" s="2890">
        <v>1951.8771470774648</v>
      </c>
    </row>
    <row r="7926" spans="2:7" ht="15" hidden="1" outlineLevel="2">
      <c r="B7926" s="2889" t="s">
        <v>1632</v>
      </c>
      <c r="C7926" s="2889" t="s">
        <v>1530</v>
      </c>
      <c r="D7926" s="2889" t="s">
        <v>1054</v>
      </c>
      <c r="E7926" s="2889" t="s">
        <v>1426</v>
      </c>
      <c r="F7926" s="3040"/>
      <c r="G7926" s="2890">
        <v>4521.1616269132219</v>
      </c>
    </row>
    <row r="7927" spans="2:7" ht="15" hidden="1" outlineLevel="2">
      <c r="B7927" s="2889" t="s">
        <v>1633</v>
      </c>
      <c r="C7927" s="2889" t="s">
        <v>1530</v>
      </c>
      <c r="D7927" s="2889" t="s">
        <v>1054</v>
      </c>
      <c r="E7927" s="2889" t="s">
        <v>1426</v>
      </c>
      <c r="F7927" s="3040"/>
      <c r="G7927" s="2890">
        <v>366.90201154555837</v>
      </c>
    </row>
    <row r="7928" spans="2:7" ht="15" hidden="1" outlineLevel="2">
      <c r="B7928" s="2889" t="s">
        <v>1634</v>
      </c>
      <c r="C7928" s="2889" t="s">
        <v>1530</v>
      </c>
      <c r="D7928" s="2889" t="s">
        <v>1054</v>
      </c>
      <c r="E7928" s="2889" t="s">
        <v>1426</v>
      </c>
      <c r="F7928" s="2891"/>
      <c r="G7928" s="2890">
        <v>68.004224955563615</v>
      </c>
    </row>
    <row r="7929" spans="2:7" ht="15" hidden="1" outlineLevel="2">
      <c r="B7929" s="2889" t="s">
        <v>1635</v>
      </c>
      <c r="C7929" s="2889" t="s">
        <v>1530</v>
      </c>
      <c r="D7929" s="2889" t="s">
        <v>1054</v>
      </c>
      <c r="E7929" s="2889" t="s">
        <v>1426</v>
      </c>
      <c r="F7929" s="2891"/>
      <c r="G7929" s="2890">
        <v>573.59404225969013</v>
      </c>
    </row>
    <row r="7930" spans="2:7" ht="15" hidden="1" outlineLevel="2">
      <c r="B7930" s="2889" t="s">
        <v>1636</v>
      </c>
      <c r="C7930" s="2889" t="s">
        <v>1530</v>
      </c>
      <c r="D7930" s="2889" t="s">
        <v>1054</v>
      </c>
      <c r="E7930" s="2889" t="s">
        <v>1426</v>
      </c>
      <c r="F7930" s="2891"/>
      <c r="G7930" s="2890">
        <v>503.52775726485152</v>
      </c>
    </row>
    <row r="7931" spans="2:7" ht="15" hidden="1" outlineLevel="2">
      <c r="B7931" s="2889" t="s">
        <v>1637</v>
      </c>
      <c r="C7931" s="2889" t="s">
        <v>1530</v>
      </c>
      <c r="D7931" s="2889" t="s">
        <v>1054</v>
      </c>
      <c r="E7931" s="2889" t="s">
        <v>1426</v>
      </c>
      <c r="F7931" s="2891"/>
      <c r="G7931" s="2890">
        <v>836.24074139148729</v>
      </c>
    </row>
    <row r="7932" spans="2:7" ht="15" hidden="1" outlineLevel="2">
      <c r="B7932" s="2889" t="s">
        <v>1638</v>
      </c>
      <c r="C7932" s="2889" t="s">
        <v>1530</v>
      </c>
      <c r="D7932" s="2889" t="s">
        <v>1054</v>
      </c>
      <c r="E7932" s="2889" t="s">
        <v>1426</v>
      </c>
      <c r="F7932" s="2891"/>
      <c r="G7932" s="2890">
        <v>110.4949498773678</v>
      </c>
    </row>
    <row r="7933" spans="2:7" ht="15" hidden="1" outlineLevel="2">
      <c r="B7933" s="2889" t="s">
        <v>1639</v>
      </c>
      <c r="C7933" s="2889" t="s">
        <v>1530</v>
      </c>
      <c r="D7933" s="2889" t="s">
        <v>1054</v>
      </c>
      <c r="E7933" s="2889" t="s">
        <v>1426</v>
      </c>
      <c r="F7933" s="2891"/>
      <c r="G7933" s="2890">
        <v>1003.5664325977467</v>
      </c>
    </row>
    <row r="7934" spans="2:7" ht="15" hidden="1" outlineLevel="2">
      <c r="B7934" s="2889" t="s">
        <v>1640</v>
      </c>
      <c r="C7934" s="2889" t="s">
        <v>1530</v>
      </c>
      <c r="D7934" s="2889" t="s">
        <v>1054</v>
      </c>
      <c r="E7934" s="2889" t="s">
        <v>1426</v>
      </c>
      <c r="F7934" s="2891"/>
      <c r="G7934" s="2890">
        <v>235.94708598026583</v>
      </c>
    </row>
    <row r="7935" spans="2:7" ht="15" hidden="1" outlineLevel="2">
      <c r="B7935" s="2889" t="s">
        <v>1641</v>
      </c>
      <c r="C7935" s="2889" t="s">
        <v>1530</v>
      </c>
      <c r="D7935" s="2889" t="s">
        <v>1054</v>
      </c>
      <c r="E7935" s="2889" t="s">
        <v>1426</v>
      </c>
      <c r="F7935" s="2891"/>
      <c r="G7935" s="2890">
        <v>1208.607596974706</v>
      </c>
    </row>
    <row r="7936" spans="2:7" ht="15" hidden="1" outlineLevel="2">
      <c r="B7936" s="2889" t="s">
        <v>1642</v>
      </c>
      <c r="C7936" s="2889" t="s">
        <v>1530</v>
      </c>
      <c r="D7936" s="2889" t="s">
        <v>1054</v>
      </c>
      <c r="E7936" s="2889" t="s">
        <v>1426</v>
      </c>
      <c r="F7936" s="2891"/>
      <c r="G7936" s="2890">
        <v>867.52008762478602</v>
      </c>
    </row>
    <row r="7937" spans="2:7" ht="15" hidden="1" outlineLevel="2">
      <c r="B7937" s="2889" t="s">
        <v>1643</v>
      </c>
      <c r="C7937" s="2889" t="s">
        <v>1530</v>
      </c>
      <c r="D7937" s="2889" t="s">
        <v>1054</v>
      </c>
      <c r="E7937" s="2889" t="s">
        <v>1426</v>
      </c>
      <c r="F7937" s="2891"/>
      <c r="G7937" s="2890">
        <v>128.26168242863619</v>
      </c>
    </row>
    <row r="7938" spans="2:7" ht="15" hidden="1" outlineLevel="2">
      <c r="B7938" s="2889" t="s">
        <v>1644</v>
      </c>
      <c r="C7938" s="2889" t="s">
        <v>1530</v>
      </c>
      <c r="D7938" s="2889" t="s">
        <v>1054</v>
      </c>
      <c r="E7938" s="2889" t="s">
        <v>1426</v>
      </c>
      <c r="F7938" s="2891"/>
      <c r="G7938" s="2890">
        <v>2823.8956985329846</v>
      </c>
    </row>
    <row r="7939" spans="2:7" ht="15" hidden="1" outlineLevel="2">
      <c r="B7939" s="2889" t="s">
        <v>1645</v>
      </c>
      <c r="C7939" s="2889" t="s">
        <v>1530</v>
      </c>
      <c r="D7939" s="2889" t="s">
        <v>1054</v>
      </c>
      <c r="E7939" s="2889" t="s">
        <v>1426</v>
      </c>
      <c r="F7939" s="2891"/>
      <c r="G7939" s="2890">
        <v>3224.9783770331637</v>
      </c>
    </row>
    <row r="7940" spans="2:7" ht="15" hidden="1" outlineLevel="2">
      <c r="B7940" s="2889" t="s">
        <v>1646</v>
      </c>
      <c r="C7940" s="2889" t="s">
        <v>1530</v>
      </c>
      <c r="D7940" s="2889" t="s">
        <v>1054</v>
      </c>
      <c r="E7940" s="2889" t="s">
        <v>1426</v>
      </c>
      <c r="F7940" s="2891"/>
      <c r="G7940" s="2890">
        <v>188.58865680609452</v>
      </c>
    </row>
    <row r="7941" spans="2:7" ht="15" hidden="1" outlineLevel="2">
      <c r="B7941" s="2889" t="s">
        <v>1647</v>
      </c>
      <c r="C7941" s="2889" t="s">
        <v>1530</v>
      </c>
      <c r="D7941" s="2889" t="s">
        <v>1054</v>
      </c>
      <c r="E7941" s="2889" t="s">
        <v>1426</v>
      </c>
      <c r="F7941" s="2891"/>
      <c r="G7941" s="2890">
        <v>470.75465315006539</v>
      </c>
    </row>
    <row r="7942" spans="2:7" ht="15" hidden="1" outlineLevel="2">
      <c r="B7942" s="2889" t="s">
        <v>1648</v>
      </c>
      <c r="C7942" s="2889" t="s">
        <v>1530</v>
      </c>
      <c r="D7942" s="2889" t="s">
        <v>1054</v>
      </c>
      <c r="E7942" s="2889" t="s">
        <v>1426</v>
      </c>
      <c r="F7942" s="2891"/>
      <c r="G7942" s="2890">
        <v>52.777104937708302</v>
      </c>
    </row>
    <row r="7943" spans="2:7" ht="15" hidden="1" outlineLevel="2">
      <c r="B7943" s="2889" t="s">
        <v>1649</v>
      </c>
      <c r="C7943" s="2889" t="s">
        <v>1530</v>
      </c>
      <c r="D7943" s="2889" t="s">
        <v>1054</v>
      </c>
      <c r="E7943" s="2889" t="s">
        <v>1426</v>
      </c>
      <c r="F7943" s="2891"/>
      <c r="G7943" s="2890">
        <v>250.3378530350231</v>
      </c>
    </row>
    <row r="7944" spans="2:7" ht="15" hidden="1" outlineLevel="2">
      <c r="B7944" s="2889" t="s">
        <v>1650</v>
      </c>
      <c r="C7944" s="2889" t="s">
        <v>1530</v>
      </c>
      <c r="D7944" s="2889" t="s">
        <v>1054</v>
      </c>
      <c r="E7944" s="2889" t="s">
        <v>1426</v>
      </c>
      <c r="F7944" s="2891"/>
      <c r="G7944" s="2890">
        <v>625.47950396415126</v>
      </c>
    </row>
    <row r="7945" spans="2:7" ht="15" hidden="1" outlineLevel="2">
      <c r="B7945" s="2889" t="s">
        <v>1651</v>
      </c>
      <c r="C7945" s="2889" t="s">
        <v>1530</v>
      </c>
      <c r="D7945" s="2889" t="s">
        <v>1054</v>
      </c>
      <c r="E7945" s="2889" t="s">
        <v>1426</v>
      </c>
      <c r="F7945" s="2891"/>
      <c r="G7945" s="2890">
        <v>342.21830331096754</v>
      </c>
    </row>
    <row r="7946" spans="2:7" ht="15" hidden="1" outlineLevel="2">
      <c r="B7946" s="2889" t="s">
        <v>1652</v>
      </c>
      <c r="C7946" s="2889" t="s">
        <v>1530</v>
      </c>
      <c r="D7946" s="2889" t="s">
        <v>1054</v>
      </c>
      <c r="E7946" s="2889" t="s">
        <v>1426</v>
      </c>
      <c r="F7946" s="2891"/>
      <c r="G7946" s="2890">
        <v>375.78555883728086</v>
      </c>
    </row>
    <row r="7947" spans="2:7" ht="15" hidden="1" outlineLevel="2">
      <c r="B7947" s="2889" t="s">
        <v>1653</v>
      </c>
      <c r="C7947" s="2889" t="s">
        <v>1530</v>
      </c>
      <c r="D7947" s="2889" t="s">
        <v>1054</v>
      </c>
      <c r="E7947" s="2889" t="s">
        <v>1426</v>
      </c>
      <c r="F7947" s="2891"/>
      <c r="G7947" s="2890">
        <v>7.731068103147799E-30</v>
      </c>
    </row>
    <row r="7948" spans="2:7" ht="15" outlineLevel="1" collapsed="1">
      <c r="B7948" s="2889"/>
      <c r="C7948" s="2889"/>
      <c r="D7948" s="3042" t="s">
        <v>1690</v>
      </c>
      <c r="E7948" s="2889"/>
      <c r="F7948" s="2891">
        <f>SUBTOTAL(9,F6388:F7947)</f>
        <v>24.208952267593254</v>
      </c>
      <c r="G7948" s="2890">
        <f>SUBTOTAL(9,G6388:G7947)</f>
        <v>1446080.6645375881</v>
      </c>
    </row>
    <row r="7949" spans="2:7" ht="15" hidden="1" outlineLevel="2">
      <c r="B7949" s="2889" t="s">
        <v>1407</v>
      </c>
      <c r="C7949" s="2889" t="s">
        <v>1531</v>
      </c>
      <c r="D7949" s="2889" t="s">
        <v>1106</v>
      </c>
      <c r="E7949" s="2889" t="s">
        <v>217</v>
      </c>
      <c r="F7949" s="3039">
        <v>2.9567878804087519E-4</v>
      </c>
      <c r="G7949" s="2890">
        <v>0.13254097279533403</v>
      </c>
    </row>
    <row r="7950" spans="2:7" ht="15" hidden="1" outlineLevel="2">
      <c r="B7950" s="2889" t="s">
        <v>1631</v>
      </c>
      <c r="C7950" s="2889" t="s">
        <v>1531</v>
      </c>
      <c r="D7950" s="2889" t="s">
        <v>1106</v>
      </c>
      <c r="E7950" s="2889" t="s">
        <v>217</v>
      </c>
      <c r="F7950" s="3039">
        <v>1.2548497752644526E-3</v>
      </c>
      <c r="G7950" s="2890">
        <v>0.56160357303741903</v>
      </c>
    </row>
    <row r="7951" spans="2:7" ht="15" hidden="1" outlineLevel="2">
      <c r="B7951" s="2889" t="s">
        <v>1632</v>
      </c>
      <c r="C7951" s="2889" t="s">
        <v>1531</v>
      </c>
      <c r="D7951" s="2889" t="s">
        <v>1106</v>
      </c>
      <c r="E7951" s="2889" t="s">
        <v>217</v>
      </c>
      <c r="F7951" s="3039">
        <v>2.2926257519966125E-3</v>
      </c>
      <c r="G7951" s="2890">
        <v>1.0277793808908262</v>
      </c>
    </row>
    <row r="7952" spans="2:7" ht="15" hidden="1" outlineLevel="2">
      <c r="B7952" s="2889" t="s">
        <v>1633</v>
      </c>
      <c r="C7952" s="2889" t="s">
        <v>1531</v>
      </c>
      <c r="D7952" s="2889" t="s">
        <v>1106</v>
      </c>
      <c r="E7952" s="2889" t="s">
        <v>217</v>
      </c>
      <c r="F7952" s="3039">
        <v>6.1346850047686556E-5</v>
      </c>
      <c r="G7952" s="2890">
        <v>2.7501673323810746E-2</v>
      </c>
    </row>
    <row r="7953" spans="2:7" ht="15" hidden="1" outlineLevel="2">
      <c r="B7953" s="2889" t="s">
        <v>1634</v>
      </c>
      <c r="C7953" s="2889" t="s">
        <v>1531</v>
      </c>
      <c r="D7953" s="2889" t="s">
        <v>1106</v>
      </c>
      <c r="E7953" s="2889" t="s">
        <v>217</v>
      </c>
      <c r="F7953" s="3039">
        <v>1.4865024286129597E-4</v>
      </c>
      <c r="G7953" s="2890">
        <v>6.6634131361934579E-2</v>
      </c>
    </row>
    <row r="7954" spans="2:7" ht="15" hidden="1" outlineLevel="2">
      <c r="B7954" s="2889" t="s">
        <v>1635</v>
      </c>
      <c r="C7954" s="2889" t="s">
        <v>1531</v>
      </c>
      <c r="D7954" s="2889" t="s">
        <v>1106</v>
      </c>
      <c r="E7954" s="2889" t="s">
        <v>217</v>
      </c>
      <c r="F7954" s="2890">
        <v>3.1952613788030325E-4</v>
      </c>
      <c r="G7954" s="2890">
        <v>0.14324283840768842</v>
      </c>
    </row>
    <row r="7955" spans="2:7" ht="15" hidden="1" outlineLevel="2">
      <c r="B7955" s="2889" t="s">
        <v>1636</v>
      </c>
      <c r="C7955" s="2889" t="s">
        <v>1531</v>
      </c>
      <c r="D7955" s="2889" t="s">
        <v>1106</v>
      </c>
      <c r="E7955" s="2889" t="s">
        <v>217</v>
      </c>
      <c r="F7955" s="2890">
        <v>2.9141993244393322E-4</v>
      </c>
      <c r="G7955" s="2890">
        <v>0.13064309690123208</v>
      </c>
    </row>
    <row r="7956" spans="2:7" ht="15" hidden="1" outlineLevel="2">
      <c r="B7956" s="2889" t="s">
        <v>1637</v>
      </c>
      <c r="C7956" s="2889" t="s">
        <v>1531</v>
      </c>
      <c r="D7956" s="2889" t="s">
        <v>1106</v>
      </c>
      <c r="E7956" s="2889" t="s">
        <v>217</v>
      </c>
      <c r="F7956" s="2890">
        <v>1.0129882113497628E-4</v>
      </c>
      <c r="G7956" s="2890">
        <v>4.5412127678293696E-2</v>
      </c>
    </row>
    <row r="7957" spans="2:7" ht="15" hidden="1" outlineLevel="2">
      <c r="B7957" s="2889" t="s">
        <v>1638</v>
      </c>
      <c r="C7957" s="2889" t="s">
        <v>1531</v>
      </c>
      <c r="D7957" s="2889" t="s">
        <v>1106</v>
      </c>
      <c r="E7957" s="2889" t="s">
        <v>217</v>
      </c>
      <c r="F7957" s="2890">
        <v>2.1039844666956932E-4</v>
      </c>
      <c r="G7957" s="2890">
        <v>9.4314264080385332E-2</v>
      </c>
    </row>
    <row r="7958" spans="2:7" ht="15" hidden="1" outlineLevel="2">
      <c r="B7958" s="2889" t="s">
        <v>1639</v>
      </c>
      <c r="C7958" s="2889" t="s">
        <v>1531</v>
      </c>
      <c r="D7958" s="2889" t="s">
        <v>1106</v>
      </c>
      <c r="E7958" s="2889" t="s">
        <v>217</v>
      </c>
      <c r="F7958" s="2890">
        <v>7.7318718026721852E-4</v>
      </c>
      <c r="G7958" s="2890">
        <v>0.34661795878326984</v>
      </c>
    </row>
    <row r="7959" spans="2:7" ht="15" hidden="1" outlineLevel="2">
      <c r="B7959" s="2889" t="s">
        <v>1640</v>
      </c>
      <c r="C7959" s="2889" t="s">
        <v>1531</v>
      </c>
      <c r="D7959" s="2889" t="s">
        <v>1106</v>
      </c>
      <c r="E7959" s="2889" t="s">
        <v>217</v>
      </c>
      <c r="F7959" s="2890">
        <v>7.5991805414344333E-5</v>
      </c>
      <c r="G7959" s="2890">
        <v>3.4064119873605872E-2</v>
      </c>
    </row>
    <row r="7960" spans="2:7" ht="15" hidden="1" outlineLevel="2">
      <c r="B7960" s="2889" t="s">
        <v>1641</v>
      </c>
      <c r="C7960" s="2889" t="s">
        <v>1531</v>
      </c>
      <c r="D7960" s="2889" t="s">
        <v>1106</v>
      </c>
      <c r="E7960" s="2889" t="s">
        <v>217</v>
      </c>
      <c r="F7960" s="2890">
        <v>5.1599826808181363E-4</v>
      </c>
      <c r="G7960" s="2890">
        <v>0.23132099884656371</v>
      </c>
    </row>
    <row r="7961" spans="2:7" ht="15" hidden="1" outlineLevel="2">
      <c r="B7961" s="2889" t="s">
        <v>1642</v>
      </c>
      <c r="C7961" s="2889" t="s">
        <v>1531</v>
      </c>
      <c r="D7961" s="2889" t="s">
        <v>1106</v>
      </c>
      <c r="E7961" s="2889" t="s">
        <v>217</v>
      </c>
      <c r="F7961" s="2890">
        <v>7.008046113384823E-4</v>
      </c>
      <c r="G7961" s="2890">
        <v>0.31416926062522321</v>
      </c>
    </row>
    <row r="7962" spans="2:7" ht="15" hidden="1" outlineLevel="2">
      <c r="B7962" s="2889" t="s">
        <v>1643</v>
      </c>
      <c r="C7962" s="2889" t="s">
        <v>1531</v>
      </c>
      <c r="D7962" s="2889" t="s">
        <v>1106</v>
      </c>
      <c r="E7962" s="2889" t="s">
        <v>217</v>
      </c>
      <c r="F7962" s="2890">
        <v>9.4294813407152955E-5</v>
      </c>
      <c r="G7962" s="2890">
        <v>4.2273672547016625E-2</v>
      </c>
    </row>
    <row r="7963" spans="2:7" ht="15" hidden="1" outlineLevel="2">
      <c r="B7963" s="2889" t="s">
        <v>1644</v>
      </c>
      <c r="C7963" s="2889" t="s">
        <v>1531</v>
      </c>
      <c r="D7963" s="2889" t="s">
        <v>1106</v>
      </c>
      <c r="E7963" s="2889" t="s">
        <v>217</v>
      </c>
      <c r="F7963" s="2890">
        <v>1.2971569028998905E-3</v>
      </c>
      <c r="G7963" s="2890">
        <v>0.58151257957200941</v>
      </c>
    </row>
    <row r="7964" spans="2:7" ht="15" hidden="1" outlineLevel="2">
      <c r="B7964" s="2889" t="s">
        <v>1645</v>
      </c>
      <c r="C7964" s="2889" t="s">
        <v>1531</v>
      </c>
      <c r="D7964" s="2889" t="s">
        <v>1106</v>
      </c>
      <c r="E7964" s="2889" t="s">
        <v>217</v>
      </c>
      <c r="F7964" s="2890">
        <v>9.5240740220013784E-4</v>
      </c>
      <c r="G7964" s="2890">
        <v>0.42696200896341263</v>
      </c>
    </row>
    <row r="7965" spans="2:7" ht="15" hidden="1" outlineLevel="2">
      <c r="B7965" s="2889" t="s">
        <v>1646</v>
      </c>
      <c r="C7965" s="2889" t="s">
        <v>1531</v>
      </c>
      <c r="D7965" s="2889" t="s">
        <v>1106</v>
      </c>
      <c r="E7965" s="2889" t="s">
        <v>217</v>
      </c>
      <c r="F7965" s="2890">
        <v>7.8012321424761737E-5</v>
      </c>
      <c r="G7965" s="2890">
        <v>3.4972755859109285E-2</v>
      </c>
    </row>
    <row r="7966" spans="2:7" ht="15" hidden="1" outlineLevel="2">
      <c r="B7966" s="2889" t="s">
        <v>1647</v>
      </c>
      <c r="C7966" s="2889" t="s">
        <v>1531</v>
      </c>
      <c r="D7966" s="2889" t="s">
        <v>1106</v>
      </c>
      <c r="E7966" s="2889" t="s">
        <v>217</v>
      </c>
      <c r="F7966" s="2890">
        <v>4.202745823716649E-5</v>
      </c>
      <c r="G7966" s="2890">
        <v>1.8839266483879787E-2</v>
      </c>
    </row>
    <row r="7967" spans="2:7" ht="15" hidden="1" outlineLevel="2">
      <c r="B7967" s="2889" t="s">
        <v>1648</v>
      </c>
      <c r="C7967" s="2889" t="s">
        <v>1531</v>
      </c>
      <c r="D7967" s="2889" t="s">
        <v>1106</v>
      </c>
      <c r="E7967" s="2889" t="s">
        <v>217</v>
      </c>
      <c r="F7967" s="2890">
        <v>2.8603902772108954E-5</v>
      </c>
      <c r="G7967" s="2890">
        <v>1.282199683588911E-2</v>
      </c>
    </row>
    <row r="7968" spans="2:7" ht="15" hidden="1" outlineLevel="2">
      <c r="B7968" s="2889" t="s">
        <v>1649</v>
      </c>
      <c r="C7968" s="2889" t="s">
        <v>1531</v>
      </c>
      <c r="D7968" s="2889" t="s">
        <v>1106</v>
      </c>
      <c r="E7968" s="2889" t="s">
        <v>217</v>
      </c>
      <c r="F7968" s="2890">
        <v>2.009930927633888E-4</v>
      </c>
      <c r="G7968" s="2890">
        <v>9.0097208850078284E-2</v>
      </c>
    </row>
    <row r="7969" spans="2:7" ht="15" hidden="1" outlineLevel="2">
      <c r="B7969" s="2889" t="s">
        <v>1650</v>
      </c>
      <c r="C7969" s="2889" t="s">
        <v>1531</v>
      </c>
      <c r="D7969" s="2889" t="s">
        <v>1106</v>
      </c>
      <c r="E7969" s="2889" t="s">
        <v>217</v>
      </c>
      <c r="F7969" s="2890">
        <v>7.2162953190603809E-4</v>
      </c>
      <c r="G7969" s="2890">
        <v>0.32347773525774393</v>
      </c>
    </row>
    <row r="7970" spans="2:7" ht="15" hidden="1" outlineLevel="2">
      <c r="B7970" s="2889" t="s">
        <v>1651</v>
      </c>
      <c r="C7970" s="2889" t="s">
        <v>1531</v>
      </c>
      <c r="D7970" s="2889" t="s">
        <v>1106</v>
      </c>
      <c r="E7970" s="2889" t="s">
        <v>217</v>
      </c>
      <c r="F7970" s="2890">
        <v>3.6468844974520359E-4</v>
      </c>
      <c r="G7970" s="2890">
        <v>0.16347537255280076</v>
      </c>
    </row>
    <row r="7971" spans="2:7" ht="15" hidden="1" outlineLevel="2">
      <c r="B7971" s="2889" t="s">
        <v>1652</v>
      </c>
      <c r="C7971" s="2889" t="s">
        <v>1531</v>
      </c>
      <c r="D7971" s="2889" t="s">
        <v>1106</v>
      </c>
      <c r="E7971" s="2889" t="s">
        <v>217</v>
      </c>
      <c r="F7971" s="2890">
        <v>9.5406267830208154E-5</v>
      </c>
      <c r="G7971" s="2890">
        <v>4.2766881657676108E-2</v>
      </c>
    </row>
    <row r="7972" spans="2:7" ht="15" hidden="1" outlineLevel="2">
      <c r="B7972" s="2889" t="s">
        <v>1653</v>
      </c>
      <c r="C7972" s="2889" t="s">
        <v>1531</v>
      </c>
      <c r="D7972" s="2889" t="s">
        <v>1106</v>
      </c>
      <c r="E7972" s="2889" t="s">
        <v>217</v>
      </c>
      <c r="F7972" s="2890">
        <v>1.7394672191487757E-3</v>
      </c>
      <c r="G7972" s="2890">
        <v>0.7797989467711457</v>
      </c>
    </row>
    <row r="7973" spans="2:7" ht="15" hidden="1" outlineLevel="2">
      <c r="B7973" s="2889" t="s">
        <v>1407</v>
      </c>
      <c r="C7973" s="2889" t="s">
        <v>1532</v>
      </c>
      <c r="D7973" s="2889" t="s">
        <v>1106</v>
      </c>
      <c r="E7973" s="2889" t="s">
        <v>217</v>
      </c>
      <c r="F7973" s="2890">
        <v>2.328732541675699E-5</v>
      </c>
      <c r="G7973" s="2890">
        <v>1.0438782064317333E-2</v>
      </c>
    </row>
    <row r="7974" spans="2:7" ht="15" hidden="1" outlineLevel="2">
      <c r="B7974" s="2889" t="s">
        <v>1631</v>
      </c>
      <c r="C7974" s="2889" t="s">
        <v>1532</v>
      </c>
      <c r="D7974" s="2889" t="s">
        <v>1106</v>
      </c>
      <c r="E7974" s="2889" t="s">
        <v>217</v>
      </c>
      <c r="F7974" s="3039">
        <v>9.8830367406113658E-5</v>
      </c>
      <c r="G7974" s="2890">
        <v>4.4231227617380207E-2</v>
      </c>
    </row>
    <row r="7975" spans="2:7" ht="15" hidden="1" outlineLevel="2">
      <c r="B7975" s="2889" t="s">
        <v>1632</v>
      </c>
      <c r="C7975" s="2889" t="s">
        <v>1532</v>
      </c>
      <c r="D7975" s="2889" t="s">
        <v>1106</v>
      </c>
      <c r="E7975" s="2889" t="s">
        <v>217</v>
      </c>
      <c r="F7975" s="3039">
        <v>1.805645031727217E-4</v>
      </c>
      <c r="G7975" s="2890">
        <v>8.0946620552983115E-2</v>
      </c>
    </row>
    <row r="7976" spans="2:7" ht="15" hidden="1" outlineLevel="2">
      <c r="B7976" s="2889" t="s">
        <v>1633</v>
      </c>
      <c r="C7976" s="2889" t="s">
        <v>1532</v>
      </c>
      <c r="D7976" s="2889" t="s">
        <v>1106</v>
      </c>
      <c r="E7976" s="2889" t="s">
        <v>217</v>
      </c>
      <c r="F7976" s="3039">
        <v>4.8316047927810178E-6</v>
      </c>
      <c r="G7976" s="2890">
        <v>2.1660002942862949E-3</v>
      </c>
    </row>
    <row r="7977" spans="2:7" ht="15" hidden="1" outlineLevel="2">
      <c r="B7977" s="2889" t="s">
        <v>1634</v>
      </c>
      <c r="C7977" s="2889" t="s">
        <v>1532</v>
      </c>
      <c r="D7977" s="2889" t="s">
        <v>1106</v>
      </c>
      <c r="E7977" s="2889" t="s">
        <v>217</v>
      </c>
      <c r="F7977" s="3039">
        <v>1.1707517905293312E-5</v>
      </c>
      <c r="G7977" s="2890">
        <v>5.2480201418053747E-3</v>
      </c>
    </row>
    <row r="7978" spans="2:7" ht="15" hidden="1" outlineLevel="2">
      <c r="B7978" s="2889" t="s">
        <v>1635</v>
      </c>
      <c r="C7978" s="2889" t="s">
        <v>1532</v>
      </c>
      <c r="D7978" s="2889" t="s">
        <v>1106</v>
      </c>
      <c r="E7978" s="2889" t="s">
        <v>217</v>
      </c>
      <c r="F7978" s="3039">
        <v>2.516550530658934E-5</v>
      </c>
      <c r="G7978" s="2890">
        <v>1.1281659688983885E-2</v>
      </c>
    </row>
    <row r="7979" spans="2:7" ht="15" hidden="1" outlineLevel="2">
      <c r="B7979" s="2889" t="s">
        <v>1636</v>
      </c>
      <c r="C7979" s="2889" t="s">
        <v>1532</v>
      </c>
      <c r="D7979" s="2889" t="s">
        <v>1106</v>
      </c>
      <c r="E7979" s="2889" t="s">
        <v>217</v>
      </c>
      <c r="F7979" s="3039">
        <v>2.295190420456418E-5</v>
      </c>
      <c r="G7979" s="2890">
        <v>1.0289286452678259E-2</v>
      </c>
    </row>
    <row r="7980" spans="2:7" ht="15" hidden="1" outlineLevel="2">
      <c r="B7980" s="2889" t="s">
        <v>1637</v>
      </c>
      <c r="C7980" s="2889" t="s">
        <v>1532</v>
      </c>
      <c r="D7980" s="2889" t="s">
        <v>1106</v>
      </c>
      <c r="E7980" s="2889" t="s">
        <v>217</v>
      </c>
      <c r="F7980" s="3039">
        <v>7.9781764293924906E-6</v>
      </c>
      <c r="G7980" s="2890">
        <v>3.5766031174506111E-3</v>
      </c>
    </row>
    <row r="7981" spans="2:7" ht="15" hidden="1" outlineLevel="2">
      <c r="B7981" s="2889" t="s">
        <v>1638</v>
      </c>
      <c r="C7981" s="2889" t="s">
        <v>1532</v>
      </c>
      <c r="D7981" s="2889" t="s">
        <v>1106</v>
      </c>
      <c r="E7981" s="2889" t="s">
        <v>217</v>
      </c>
      <c r="F7981" s="2890">
        <v>1.6570740832769542E-5</v>
      </c>
      <c r="G7981" s="2890">
        <v>7.4280665505126421E-3</v>
      </c>
    </row>
    <row r="7982" spans="2:7" ht="15" hidden="1" outlineLevel="2">
      <c r="B7982" s="2889" t="s">
        <v>1639</v>
      </c>
      <c r="C7982" s="2889" t="s">
        <v>1532</v>
      </c>
      <c r="D7982" s="2889" t="s">
        <v>1106</v>
      </c>
      <c r="E7982" s="2889" t="s">
        <v>217</v>
      </c>
      <c r="F7982" s="2890">
        <v>6.0895253519162761E-5</v>
      </c>
      <c r="G7982" s="2890">
        <v>2.7299226367133687E-2</v>
      </c>
    </row>
    <row r="7983" spans="2:7" ht="15" hidden="1" outlineLevel="2">
      <c r="B7983" s="2889" t="s">
        <v>1640</v>
      </c>
      <c r="C7983" s="2889" t="s">
        <v>1532</v>
      </c>
      <c r="D7983" s="2889" t="s">
        <v>1106</v>
      </c>
      <c r="E7983" s="2889" t="s">
        <v>217</v>
      </c>
      <c r="F7983" s="2890">
        <v>5.9850298343740954E-6</v>
      </c>
      <c r="G7983" s="2890">
        <v>2.6828521999823812E-3</v>
      </c>
    </row>
    <row r="7984" spans="2:7" ht="15" hidden="1" outlineLevel="2">
      <c r="B7984" s="2889" t="s">
        <v>1641</v>
      </c>
      <c r="C7984" s="2889" t="s">
        <v>1532</v>
      </c>
      <c r="D7984" s="2889" t="s">
        <v>1106</v>
      </c>
      <c r="E7984" s="2889" t="s">
        <v>217</v>
      </c>
      <c r="F7984" s="2890">
        <v>4.0639423225723539E-5</v>
      </c>
      <c r="G7984" s="2890">
        <v>1.8218558563448183E-2</v>
      </c>
    </row>
    <row r="7985" spans="2:7" ht="15" hidden="1" outlineLevel="2">
      <c r="B7985" s="2889" t="s">
        <v>1642</v>
      </c>
      <c r="C7985" s="2889" t="s">
        <v>1532</v>
      </c>
      <c r="D7985" s="2889" t="s">
        <v>1106</v>
      </c>
      <c r="E7985" s="2889" t="s">
        <v>217</v>
      </c>
      <c r="F7985" s="2890">
        <v>5.5194558954797426E-5</v>
      </c>
      <c r="G7985" s="2890">
        <v>2.4743603882306793E-2</v>
      </c>
    </row>
    <row r="7986" spans="2:7" ht="15" hidden="1" outlineLevel="2">
      <c r="B7986" s="2889" t="s">
        <v>1643</v>
      </c>
      <c r="C7986" s="2889" t="s">
        <v>1532</v>
      </c>
      <c r="D7986" s="2889" t="s">
        <v>1106</v>
      </c>
      <c r="E7986" s="2889" t="s">
        <v>217</v>
      </c>
      <c r="F7986" s="2890">
        <v>7.4265512427321364E-6</v>
      </c>
      <c r="G7986" s="2890">
        <v>3.3294268505499333E-3</v>
      </c>
    </row>
    <row r="7987" spans="2:7" ht="15" hidden="1" outlineLevel="2">
      <c r="B7987" s="2889" t="s">
        <v>1644</v>
      </c>
      <c r="C7987" s="2889" t="s">
        <v>1532</v>
      </c>
      <c r="D7987" s="2889" t="s">
        <v>1106</v>
      </c>
      <c r="E7987" s="2889" t="s">
        <v>217</v>
      </c>
      <c r="F7987" s="2890">
        <v>1.0216266790839285E-4</v>
      </c>
      <c r="G7987" s="2890">
        <v>4.5799177590048368E-2</v>
      </c>
    </row>
    <row r="7988" spans="2:7" ht="15" hidden="1" outlineLevel="2">
      <c r="B7988" s="2889" t="s">
        <v>1645</v>
      </c>
      <c r="C7988" s="2889" t="s">
        <v>1532</v>
      </c>
      <c r="D7988" s="2889" t="s">
        <v>1106</v>
      </c>
      <c r="E7988" s="2889" t="s">
        <v>217</v>
      </c>
      <c r="F7988" s="2890">
        <v>7.501047641007647E-5</v>
      </c>
      <c r="G7988" s="2890">
        <v>3.3627050195433543E-2</v>
      </c>
    </row>
    <row r="7989" spans="2:7" ht="15" hidden="1" outlineLevel="2">
      <c r="B7989" s="2889" t="s">
        <v>1646</v>
      </c>
      <c r="C7989" s="2889" t="s">
        <v>1532</v>
      </c>
      <c r="D7989" s="2889" t="s">
        <v>1106</v>
      </c>
      <c r="E7989" s="2889" t="s">
        <v>217</v>
      </c>
      <c r="F7989" s="2890">
        <v>6.1441517122064699E-6</v>
      </c>
      <c r="G7989" s="2890">
        <v>2.7544153879955108E-3</v>
      </c>
    </row>
    <row r="7990" spans="2:7" ht="15" hidden="1" outlineLevel="2">
      <c r="B7990" s="2889" t="s">
        <v>1647</v>
      </c>
      <c r="C7990" s="2889" t="s">
        <v>1532</v>
      </c>
      <c r="D7990" s="2889" t="s">
        <v>1106</v>
      </c>
      <c r="E7990" s="2889" t="s">
        <v>217</v>
      </c>
      <c r="F7990" s="2890">
        <v>3.3100339477851717E-6</v>
      </c>
      <c r="G7990" s="2890">
        <v>1.483757495083494E-3</v>
      </c>
    </row>
    <row r="7991" spans="2:7" ht="15" hidden="1" outlineLevel="2">
      <c r="B7991" s="2889" t="s">
        <v>1648</v>
      </c>
      <c r="C7991" s="2889" t="s">
        <v>1532</v>
      </c>
      <c r="D7991" s="2889" t="s">
        <v>1106</v>
      </c>
      <c r="E7991" s="2889" t="s">
        <v>217</v>
      </c>
      <c r="F7991" s="2890">
        <v>2.2528096334564419E-6</v>
      </c>
      <c r="G7991" s="2890">
        <v>1.0098462376720661E-3</v>
      </c>
    </row>
    <row r="7992" spans="2:7" ht="15" hidden="1" outlineLevel="2">
      <c r="B7992" s="2889" t="s">
        <v>1649</v>
      </c>
      <c r="C7992" s="2889" t="s">
        <v>1532</v>
      </c>
      <c r="D7992" s="2889" t="s">
        <v>1106</v>
      </c>
      <c r="E7992" s="2889" t="s">
        <v>217</v>
      </c>
      <c r="F7992" s="2890">
        <v>1.5829984617546432E-5</v>
      </c>
      <c r="G7992" s="2890">
        <v>7.0959546991590265E-3</v>
      </c>
    </row>
    <row r="7993" spans="2:7" ht="15" hidden="1" outlineLevel="2">
      <c r="B7993" s="2889" t="s">
        <v>1650</v>
      </c>
      <c r="C7993" s="2889" t="s">
        <v>1532</v>
      </c>
      <c r="D7993" s="2889" t="s">
        <v>1106</v>
      </c>
      <c r="E7993" s="2889" t="s">
        <v>217</v>
      </c>
      <c r="F7993" s="2890">
        <v>5.6834660149819471E-5</v>
      </c>
      <c r="G7993" s="2890">
        <v>2.5476726787329859E-2</v>
      </c>
    </row>
    <row r="7994" spans="2:7" ht="15" hidden="1" outlineLevel="2">
      <c r="B7994" s="2889" t="s">
        <v>1651</v>
      </c>
      <c r="C7994" s="2889" t="s">
        <v>1532</v>
      </c>
      <c r="D7994" s="2889" t="s">
        <v>1106</v>
      </c>
      <c r="E7994" s="2889" t="s">
        <v>217</v>
      </c>
      <c r="F7994" s="2890">
        <v>2.8722448153366881E-5</v>
      </c>
      <c r="G7994" s="2890">
        <v>1.2875125628862255E-2</v>
      </c>
    </row>
    <row r="7995" spans="2:7" ht="15" hidden="1" outlineLevel="2">
      <c r="B7995" s="2889" t="s">
        <v>1652</v>
      </c>
      <c r="C7995" s="2889" t="s">
        <v>1532</v>
      </c>
      <c r="D7995" s="2889" t="s">
        <v>1106</v>
      </c>
      <c r="E7995" s="2889" t="s">
        <v>217</v>
      </c>
      <c r="F7995" s="2890">
        <v>7.5140986644624995E-6</v>
      </c>
      <c r="G7995" s="2890">
        <v>3.3682723072808152E-3</v>
      </c>
    </row>
    <row r="7996" spans="2:7" ht="15" hidden="1" outlineLevel="2">
      <c r="B7996" s="2889" t="s">
        <v>1653</v>
      </c>
      <c r="C7996" s="2889" t="s">
        <v>1532</v>
      </c>
      <c r="D7996" s="2889" t="s">
        <v>1106</v>
      </c>
      <c r="E7996" s="2889" t="s">
        <v>217</v>
      </c>
      <c r="F7996" s="2890">
        <v>1.3699847396112964E-4</v>
      </c>
      <c r="G7996" s="2890">
        <v>6.1416036487596908E-2</v>
      </c>
    </row>
    <row r="7997" spans="2:7" ht="15" hidden="1" outlineLevel="2">
      <c r="B7997" s="2889" t="s">
        <v>1407</v>
      </c>
      <c r="C7997" s="2889" t="s">
        <v>1533</v>
      </c>
      <c r="D7997" s="2889" t="s">
        <v>1106</v>
      </c>
      <c r="E7997" s="2889" t="s">
        <v>217</v>
      </c>
      <c r="F7997" s="2890">
        <v>1.5213487945923707E-2</v>
      </c>
      <c r="G7997" s="2890">
        <v>16.121582572880097</v>
      </c>
    </row>
    <row r="7998" spans="2:7" ht="15" hidden="1" outlineLevel="2">
      <c r="B7998" s="2889" t="s">
        <v>1631</v>
      </c>
      <c r="C7998" s="2889" t="s">
        <v>1533</v>
      </c>
      <c r="D7998" s="2889" t="s">
        <v>1106</v>
      </c>
      <c r="E7998" s="2889" t="s">
        <v>217</v>
      </c>
      <c r="F7998" s="2890">
        <v>6.4999079531758361E-2</v>
      </c>
      <c r="G7998" s="2890">
        <v>68.31038307665645</v>
      </c>
    </row>
    <row r="7999" spans="2:7" ht="15" hidden="1" outlineLevel="2">
      <c r="B7999" s="2889" t="s">
        <v>1632</v>
      </c>
      <c r="C7999" s="2889" t="s">
        <v>1533</v>
      </c>
      <c r="D7999" s="2889" t="s">
        <v>1106</v>
      </c>
      <c r="E7999" s="2889" t="s">
        <v>217</v>
      </c>
      <c r="F7999" s="2890">
        <v>0.11752235067220348</v>
      </c>
      <c r="G7999" s="2890">
        <v>125.01342704825485</v>
      </c>
    </row>
    <row r="8000" spans="2:7" ht="15" hidden="1" outlineLevel="2">
      <c r="B8000" s="2889" t="s">
        <v>1633</v>
      </c>
      <c r="C8000" s="2889" t="s">
        <v>1533</v>
      </c>
      <c r="D8000" s="2889" t="s">
        <v>1106</v>
      </c>
      <c r="E8000" s="2889" t="s">
        <v>217</v>
      </c>
      <c r="F8000" s="2890">
        <v>3.1322339779011848E-3</v>
      </c>
      <c r="G8000" s="2890">
        <v>3.3451536773093613</v>
      </c>
    </row>
    <row r="8001" spans="2:7" ht="15" hidden="1" outlineLevel="2">
      <c r="B8001" s="2889" t="s">
        <v>1634</v>
      </c>
      <c r="C8001" s="2889" t="s">
        <v>1533</v>
      </c>
      <c r="D8001" s="2889" t="s">
        <v>1106</v>
      </c>
      <c r="E8001" s="2889" t="s">
        <v>217</v>
      </c>
      <c r="F8001" s="2890">
        <v>7.5825981585375575E-3</v>
      </c>
      <c r="G8001" s="2890">
        <v>8.1050029384108129</v>
      </c>
    </row>
    <row r="8002" spans="2:7" ht="15" hidden="1" outlineLevel="2">
      <c r="B8002" s="2889" t="s">
        <v>1635</v>
      </c>
      <c r="C8002" s="2889" t="s">
        <v>1533</v>
      </c>
      <c r="D8002" s="2889" t="s">
        <v>1106</v>
      </c>
      <c r="E8002" s="2889" t="s">
        <v>217</v>
      </c>
      <c r="F8002" s="2890">
        <v>1.637924803889465E-2</v>
      </c>
      <c r="G8002" s="2890">
        <v>17.423298631607793</v>
      </c>
    </row>
    <row r="8003" spans="2:7" ht="15" hidden="1" outlineLevel="2">
      <c r="B8003" s="2889" t="s">
        <v>1636</v>
      </c>
      <c r="C8003" s="2889" t="s">
        <v>1533</v>
      </c>
      <c r="D8003" s="2889" t="s">
        <v>1106</v>
      </c>
      <c r="E8003" s="2889" t="s">
        <v>217</v>
      </c>
      <c r="F8003" s="2890">
        <v>1.49373867446263E-2</v>
      </c>
      <c r="G8003" s="2890">
        <v>15.890699504536363</v>
      </c>
    </row>
    <row r="8004" spans="2:7" ht="15" hidden="1" outlineLevel="2">
      <c r="B8004" s="2889" t="s">
        <v>1637</v>
      </c>
      <c r="C8004" s="2889" t="s">
        <v>1533</v>
      </c>
      <c r="D8004" s="2889" t="s">
        <v>1106</v>
      </c>
      <c r="E8004" s="2889" t="s">
        <v>217</v>
      </c>
      <c r="F8004" s="2890">
        <v>5.1720938974191806E-3</v>
      </c>
      <c r="G8004" s="2890">
        <v>5.5236816032044196</v>
      </c>
    </row>
    <row r="8005" spans="2:7" ht="15" hidden="1" outlineLevel="2">
      <c r="B8005" s="2889" t="s">
        <v>1638</v>
      </c>
      <c r="C8005" s="2889" t="s">
        <v>1533</v>
      </c>
      <c r="D8005" s="2889" t="s">
        <v>1106</v>
      </c>
      <c r="E8005" s="2889" t="s">
        <v>217</v>
      </c>
      <c r="F8005" s="2890">
        <v>1.0731384687763731E-2</v>
      </c>
      <c r="G8005" s="2890">
        <v>11.324895939563417</v>
      </c>
    </row>
    <row r="8006" spans="2:7" ht="15" hidden="1" outlineLevel="2">
      <c r="B8006" s="2889" t="s">
        <v>1639</v>
      </c>
      <c r="C8006" s="2889" t="s">
        <v>1533</v>
      </c>
      <c r="D8006" s="2889" t="s">
        <v>1106</v>
      </c>
      <c r="E8006" s="2889" t="s">
        <v>217</v>
      </c>
      <c r="F8006" s="2890">
        <v>3.9477167613563027E-2</v>
      </c>
      <c r="G8006" s="2890">
        <v>42.160711308315491</v>
      </c>
    </row>
    <row r="8007" spans="2:7" ht="15" hidden="1" outlineLevel="2">
      <c r="B8007" s="2889" t="s">
        <v>1640</v>
      </c>
      <c r="C8007" s="2889" t="s">
        <v>1533</v>
      </c>
      <c r="D8007" s="2889" t="s">
        <v>1106</v>
      </c>
      <c r="E8007" s="2889" t="s">
        <v>217</v>
      </c>
      <c r="F8007" s="2890">
        <v>3.9099877627100724E-3</v>
      </c>
      <c r="G8007" s="2890">
        <v>4.143372622936031</v>
      </c>
    </row>
    <row r="8008" spans="2:7" ht="15" hidden="1" outlineLevel="2">
      <c r="B8008" s="2889" t="s">
        <v>1641</v>
      </c>
      <c r="C8008" s="2889" t="s">
        <v>1533</v>
      </c>
      <c r="D8008" s="2889" t="s">
        <v>1106</v>
      </c>
      <c r="E8008" s="2889" t="s">
        <v>217</v>
      </c>
      <c r="F8008" s="2890">
        <v>2.645061454633274E-2</v>
      </c>
      <c r="G8008" s="2890">
        <v>28.136632427405448</v>
      </c>
    </row>
    <row r="8009" spans="2:7" ht="15" hidden="1" outlineLevel="2">
      <c r="B8009" s="2889" t="s">
        <v>1642</v>
      </c>
      <c r="C8009" s="2889" t="s">
        <v>1533</v>
      </c>
      <c r="D8009" s="2889" t="s">
        <v>1106</v>
      </c>
      <c r="E8009" s="2889" t="s">
        <v>217</v>
      </c>
      <c r="F8009" s="2890">
        <v>3.5923986006507001E-2</v>
      </c>
      <c r="G8009" s="2890">
        <v>38.213830774558339</v>
      </c>
    </row>
    <row r="8010" spans="2:7" ht="15" hidden="1" outlineLevel="2">
      <c r="B8010" s="2889" t="s">
        <v>1643</v>
      </c>
      <c r="C8010" s="2889" t="s">
        <v>1533</v>
      </c>
      <c r="D8010" s="2889" t="s">
        <v>1106</v>
      </c>
      <c r="E8010" s="2889" t="s">
        <v>217</v>
      </c>
      <c r="F8010" s="2890">
        <v>4.8402610954992433E-3</v>
      </c>
      <c r="G8010" s="2890">
        <v>5.1419402006522743</v>
      </c>
    </row>
    <row r="8011" spans="2:7" ht="15" hidden="1" outlineLevel="2">
      <c r="B8011" s="2889" t="s">
        <v>1644</v>
      </c>
      <c r="C8011" s="2889" t="s">
        <v>1533</v>
      </c>
      <c r="D8011" s="2889" t="s">
        <v>1106</v>
      </c>
      <c r="E8011" s="2889" t="s">
        <v>217</v>
      </c>
      <c r="F8011" s="2890">
        <v>6.6229954265306451E-2</v>
      </c>
      <c r="G8011" s="2890">
        <v>70.732053087906706</v>
      </c>
    </row>
    <row r="8012" spans="2:7" ht="15" hidden="1" outlineLevel="2">
      <c r="B8012" s="2889" t="s">
        <v>1645</v>
      </c>
      <c r="C8012" s="2889" t="s">
        <v>1533</v>
      </c>
      <c r="D8012" s="2889" t="s">
        <v>1106</v>
      </c>
      <c r="E8012" s="2889" t="s">
        <v>217</v>
      </c>
      <c r="F8012" s="2890">
        <v>4.8627803536123622E-2</v>
      </c>
      <c r="G8012" s="2890">
        <v>51.933390848799085</v>
      </c>
    </row>
    <row r="8013" spans="2:7" ht="15" hidden="1" outlineLevel="2">
      <c r="B8013" s="2889" t="s">
        <v>1646</v>
      </c>
      <c r="C8013" s="2889" t="s">
        <v>1533</v>
      </c>
      <c r="D8013" s="2889" t="s">
        <v>1106</v>
      </c>
      <c r="E8013" s="2889" t="s">
        <v>217</v>
      </c>
      <c r="F8013" s="3039">
        <v>3.9989941401296861E-3</v>
      </c>
      <c r="G8013" s="2890">
        <v>4.2538944306374269</v>
      </c>
    </row>
    <row r="8014" spans="2:7" ht="15" hidden="1" outlineLevel="2">
      <c r="B8014" s="2889" t="s">
        <v>1647</v>
      </c>
      <c r="C8014" s="2889" t="s">
        <v>1533</v>
      </c>
      <c r="D8014" s="2889" t="s">
        <v>1106</v>
      </c>
      <c r="E8014" s="2889" t="s">
        <v>217</v>
      </c>
      <c r="F8014" s="3039">
        <v>2.1438058094865654E-3</v>
      </c>
      <c r="G8014" s="2890">
        <v>2.2915036852323509</v>
      </c>
    </row>
    <row r="8015" spans="2:7" ht="15" hidden="1" outlineLevel="2">
      <c r="B8015" s="2889" t="s">
        <v>1648</v>
      </c>
      <c r="C8015" s="2889" t="s">
        <v>1533</v>
      </c>
      <c r="D8015" s="2889" t="s">
        <v>1106</v>
      </c>
      <c r="E8015" s="2889" t="s">
        <v>217</v>
      </c>
      <c r="F8015" s="3039">
        <v>1.4590749894531321E-3</v>
      </c>
      <c r="G8015" s="2890">
        <v>1.5595986469633485</v>
      </c>
    </row>
    <row r="8016" spans="2:7" ht="15" hidden="1" outlineLevel="2">
      <c r="B8016" s="2889" t="s">
        <v>1649</v>
      </c>
      <c r="C8016" s="2889" t="s">
        <v>1533</v>
      </c>
      <c r="D8016" s="2889" t="s">
        <v>1106</v>
      </c>
      <c r="E8016" s="2889" t="s">
        <v>217</v>
      </c>
      <c r="F8016" s="3039">
        <v>1.0252585822422521E-2</v>
      </c>
      <c r="G8016" s="2890">
        <v>10.958948589093893</v>
      </c>
    </row>
    <row r="8017" spans="2:7" ht="15" hidden="1" outlineLevel="2">
      <c r="B8017" s="2889" t="s">
        <v>1650</v>
      </c>
      <c r="C8017" s="2889" t="s">
        <v>1533</v>
      </c>
      <c r="D8017" s="2889" t="s">
        <v>1106</v>
      </c>
      <c r="E8017" s="2889" t="s">
        <v>217</v>
      </c>
      <c r="F8017" s="3039">
        <v>3.7129822650086991E-2</v>
      </c>
      <c r="G8017" s="2890">
        <v>39.346077312132827</v>
      </c>
    </row>
    <row r="8018" spans="2:7" ht="15" hidden="1" outlineLevel="2">
      <c r="B8018" s="2889" t="s">
        <v>1651</v>
      </c>
      <c r="C8018" s="2889" t="s">
        <v>1533</v>
      </c>
      <c r="D8018" s="2889" t="s">
        <v>1106</v>
      </c>
      <c r="E8018" s="2889" t="s">
        <v>217</v>
      </c>
      <c r="F8018" s="3039">
        <v>1.8602631201337757E-2</v>
      </c>
      <c r="G8018" s="2890">
        <v>19.884245098114253</v>
      </c>
    </row>
    <row r="8019" spans="2:7" ht="15" hidden="1" outlineLevel="2">
      <c r="B8019" s="2889" t="s">
        <v>1652</v>
      </c>
      <c r="C8019" s="2889" t="s">
        <v>1533</v>
      </c>
      <c r="D8019" s="2889" t="s">
        <v>1106</v>
      </c>
      <c r="E8019" s="2889" t="s">
        <v>217</v>
      </c>
      <c r="F8019" s="3039">
        <v>4.86664772951928E-3</v>
      </c>
      <c r="G8019" s="2890">
        <v>4.8426040666188399</v>
      </c>
    </row>
    <row r="8020" spans="2:7" ht="15" hidden="1" outlineLevel="2">
      <c r="B8020" s="2889" t="s">
        <v>1653</v>
      </c>
      <c r="C8020" s="2889" t="s">
        <v>1533</v>
      </c>
      <c r="D8020" s="2889" t="s">
        <v>1106</v>
      </c>
      <c r="E8020" s="2889" t="s">
        <v>217</v>
      </c>
      <c r="F8020" s="2890">
        <v>8.9166915397259433E-2</v>
      </c>
      <c r="G8020" s="2890">
        <v>94.850497481921465</v>
      </c>
    </row>
    <row r="8021" spans="2:7" ht="15" hidden="1" outlineLevel="2">
      <c r="B8021" s="2889" t="s">
        <v>1407</v>
      </c>
      <c r="C8021" s="2889" t="s">
        <v>1534</v>
      </c>
      <c r="D8021" s="2889" t="s">
        <v>1106</v>
      </c>
      <c r="E8021" s="2889" t="s">
        <v>217</v>
      </c>
      <c r="F8021" s="2890">
        <v>1.3833928443991507E-2</v>
      </c>
      <c r="G8021" s="2890">
        <v>47.740332808858454</v>
      </c>
    </row>
    <row r="8022" spans="2:7" ht="15" hidden="1" outlineLevel="2">
      <c r="B8022" s="2889" t="s">
        <v>1631</v>
      </c>
      <c r="C8022" s="2889" t="s">
        <v>1534</v>
      </c>
      <c r="D8022" s="2889" t="s">
        <v>1106</v>
      </c>
      <c r="E8022" s="2889" t="s">
        <v>217</v>
      </c>
      <c r="F8022" s="2890">
        <v>5.9119199692486461E-2</v>
      </c>
      <c r="G8022" s="2890">
        <v>202.28545366487577</v>
      </c>
    </row>
    <row r="8023" spans="2:7" ht="15" hidden="1" outlineLevel="2">
      <c r="B8023" s="2889" t="s">
        <v>1632</v>
      </c>
      <c r="C8023" s="2889" t="s">
        <v>1534</v>
      </c>
      <c r="D8023" s="2889" t="s">
        <v>1106</v>
      </c>
      <c r="E8023" s="2889" t="s">
        <v>217</v>
      </c>
      <c r="F8023" s="3039">
        <v>0.10685348586416167</v>
      </c>
      <c r="G8023" s="2890">
        <v>370.1985804071499</v>
      </c>
    </row>
    <row r="8024" spans="2:7" ht="15" hidden="1" outlineLevel="2">
      <c r="B8024" s="2889" t="s">
        <v>1633</v>
      </c>
      <c r="C8024" s="2889" t="s">
        <v>1534</v>
      </c>
      <c r="D8024" s="2889" t="s">
        <v>1106</v>
      </c>
      <c r="E8024" s="2889" t="s">
        <v>217</v>
      </c>
      <c r="F8024" s="2890">
        <v>2.8475511534117211E-3</v>
      </c>
      <c r="G8024" s="2890">
        <v>9.9059041064606372</v>
      </c>
    </row>
    <row r="8025" spans="2:7" ht="15" hidden="1" outlineLevel="2">
      <c r="B8025" s="2889" t="s">
        <v>1634</v>
      </c>
      <c r="C8025" s="2889" t="s">
        <v>1534</v>
      </c>
      <c r="D8025" s="2889" t="s">
        <v>1106</v>
      </c>
      <c r="E8025" s="2889" t="s">
        <v>217</v>
      </c>
      <c r="F8025" s="2890">
        <v>6.8932562975588703E-3</v>
      </c>
      <c r="G8025" s="2890">
        <v>24.001085114896568</v>
      </c>
    </row>
    <row r="8026" spans="2:7" ht="15" hidden="1" outlineLevel="2">
      <c r="B8026" s="2889" t="s">
        <v>1635</v>
      </c>
      <c r="C8026" s="2889" t="s">
        <v>1534</v>
      </c>
      <c r="D8026" s="2889" t="s">
        <v>1106</v>
      </c>
      <c r="E8026" s="2889" t="s">
        <v>217</v>
      </c>
      <c r="F8026" s="3039">
        <v>1.4892312256483516E-2</v>
      </c>
      <c r="G8026" s="2890">
        <v>51.595084187382454</v>
      </c>
    </row>
    <row r="8027" spans="2:7" ht="15" hidden="1" outlineLevel="2">
      <c r="B8027" s="2889" t="s">
        <v>1636</v>
      </c>
      <c r="C8027" s="2889" t="s">
        <v>1534</v>
      </c>
      <c r="D8027" s="2889" t="s">
        <v>1106</v>
      </c>
      <c r="E8027" s="2889" t="s">
        <v>217</v>
      </c>
      <c r="F8027" s="2890">
        <v>1.358131409967772E-2</v>
      </c>
      <c r="G8027" s="2890">
        <v>47.056671666416712</v>
      </c>
    </row>
    <row r="8028" spans="2:7" ht="15" hidden="1" outlineLevel="2">
      <c r="B8028" s="2889" t="s">
        <v>1637</v>
      </c>
      <c r="C8028" s="2889" t="s">
        <v>1534</v>
      </c>
      <c r="D8028" s="2889" t="s">
        <v>1106</v>
      </c>
      <c r="E8028" s="2889" t="s">
        <v>217</v>
      </c>
      <c r="F8028" s="2890">
        <v>4.7020147561236073E-3</v>
      </c>
      <c r="G8028" s="2890">
        <v>16.357114774187643</v>
      </c>
    </row>
    <row r="8029" spans="2:7" ht="15" hidden="1" outlineLevel="2">
      <c r="B8029" s="2889" t="s">
        <v>1638</v>
      </c>
      <c r="C8029" s="2889" t="s">
        <v>1534</v>
      </c>
      <c r="D8029" s="2889" t="s">
        <v>1106</v>
      </c>
      <c r="E8029" s="2889" t="s">
        <v>217</v>
      </c>
      <c r="F8029" s="2890">
        <v>9.6317589134150977E-3</v>
      </c>
      <c r="G8029" s="2890">
        <v>33.100828733274916</v>
      </c>
    </row>
    <row r="8030" spans="2:7" ht="15" hidden="1" outlineLevel="2">
      <c r="B8030" s="2889" t="s">
        <v>1639</v>
      </c>
      <c r="C8030" s="2889" t="s">
        <v>1534</v>
      </c>
      <c r="D8030" s="2889" t="s">
        <v>1106</v>
      </c>
      <c r="E8030" s="2889" t="s">
        <v>217</v>
      </c>
      <c r="F8030" s="3039">
        <v>3.5889180268609953E-2</v>
      </c>
      <c r="G8030" s="2890">
        <v>124.84930689731237</v>
      </c>
    </row>
    <row r="8031" spans="2:7" ht="15" hidden="1" outlineLevel="2">
      <c r="B8031" s="2889" t="s">
        <v>1640</v>
      </c>
      <c r="C8031" s="2889" t="s">
        <v>1534</v>
      </c>
      <c r="D8031" s="2889" t="s">
        <v>1106</v>
      </c>
      <c r="E8031" s="2889" t="s">
        <v>217</v>
      </c>
      <c r="F8031" s="3039">
        <v>3.5554288136190855E-3</v>
      </c>
      <c r="G8031" s="2890">
        <v>12.269647567082133</v>
      </c>
    </row>
    <row r="8032" spans="2:7" ht="15" hidden="1" outlineLevel="2">
      <c r="B8032" s="2889" t="s">
        <v>1641</v>
      </c>
      <c r="C8032" s="2889" t="s">
        <v>1534</v>
      </c>
      <c r="D8032" s="2889" t="s">
        <v>1106</v>
      </c>
      <c r="E8032" s="2889" t="s">
        <v>217</v>
      </c>
      <c r="F8032" s="3039">
        <v>2.4049372059505834E-2</v>
      </c>
      <c r="G8032" s="2890">
        <v>83.3201407745008</v>
      </c>
    </row>
    <row r="8033" spans="2:7" ht="15" hidden="1" outlineLevel="2">
      <c r="B8033" s="2889" t="s">
        <v>1642</v>
      </c>
      <c r="C8033" s="2889" t="s">
        <v>1534</v>
      </c>
      <c r="D8033" s="2889" t="s">
        <v>1106</v>
      </c>
      <c r="E8033" s="2889" t="s">
        <v>217</v>
      </c>
      <c r="F8033" s="2890">
        <v>3.2662736250075708E-2</v>
      </c>
      <c r="G8033" s="2890">
        <v>113.16149660668259</v>
      </c>
    </row>
    <row r="8034" spans="2:7" ht="15" hidden="1" outlineLevel="2">
      <c r="B8034" s="2889" t="s">
        <v>1643</v>
      </c>
      <c r="C8034" s="2889" t="s">
        <v>1534</v>
      </c>
      <c r="D8034" s="2889" t="s">
        <v>1106</v>
      </c>
      <c r="E8034" s="2889" t="s">
        <v>217</v>
      </c>
      <c r="F8034" s="2890">
        <v>4.4010267406730591E-3</v>
      </c>
      <c r="G8034" s="2890">
        <v>15.226672523699087</v>
      </c>
    </row>
    <row r="8035" spans="2:7" ht="15" hidden="1" outlineLevel="2">
      <c r="B8035" s="2889" t="s">
        <v>1644</v>
      </c>
      <c r="C8035" s="2889" t="s">
        <v>1534</v>
      </c>
      <c r="D8035" s="2889" t="s">
        <v>1106</v>
      </c>
      <c r="E8035" s="2889" t="s">
        <v>217</v>
      </c>
      <c r="F8035" s="2890">
        <v>6.0210442373786151E-2</v>
      </c>
      <c r="G8035" s="2890">
        <v>209.45676887995367</v>
      </c>
    </row>
    <row r="8036" spans="2:7" ht="15" hidden="1" outlineLevel="2">
      <c r="B8036" s="2889" t="s">
        <v>1645</v>
      </c>
      <c r="C8036" s="2889" t="s">
        <v>1534</v>
      </c>
      <c r="D8036" s="2889" t="s">
        <v>1106</v>
      </c>
      <c r="E8036" s="2889" t="s">
        <v>217</v>
      </c>
      <c r="F8036" s="2890">
        <v>4.4208126217943559E-2</v>
      </c>
      <c r="G8036" s="2890">
        <v>153.78869560900375</v>
      </c>
    </row>
    <row r="8037" spans="2:7" ht="15" hidden="1" outlineLevel="2">
      <c r="B8037" s="2889" t="s">
        <v>1646</v>
      </c>
      <c r="C8037" s="2889" t="s">
        <v>1534</v>
      </c>
      <c r="D8037" s="2889" t="s">
        <v>1106</v>
      </c>
      <c r="E8037" s="2889" t="s">
        <v>217</v>
      </c>
      <c r="F8037" s="2890">
        <v>3.6359566733543025E-3</v>
      </c>
      <c r="G8037" s="2890">
        <v>12.59693507885504</v>
      </c>
    </row>
    <row r="8038" spans="2:7" ht="15" hidden="1" outlineLevel="2">
      <c r="B8038" s="2889" t="s">
        <v>1647</v>
      </c>
      <c r="C8038" s="2889" t="s">
        <v>1534</v>
      </c>
      <c r="D8038" s="2889" t="s">
        <v>1106</v>
      </c>
      <c r="E8038" s="2889" t="s">
        <v>217</v>
      </c>
      <c r="F8038" s="2890">
        <v>1.9489112524140348E-3</v>
      </c>
      <c r="G8038" s="2890">
        <v>6.7857643976469397</v>
      </c>
    </row>
    <row r="8039" spans="2:7" ht="15" hidden="1" outlineLevel="2">
      <c r="B8039" s="2889" t="s">
        <v>1648</v>
      </c>
      <c r="C8039" s="2889" t="s">
        <v>1534</v>
      </c>
      <c r="D8039" s="2889" t="s">
        <v>1106</v>
      </c>
      <c r="E8039" s="2889" t="s">
        <v>217</v>
      </c>
      <c r="F8039" s="2890">
        <v>1.3264296209603212E-3</v>
      </c>
      <c r="G8039" s="2890">
        <v>4.6183900474138033</v>
      </c>
    </row>
    <row r="8040" spans="2:7" ht="15" hidden="1" outlineLevel="2">
      <c r="B8040" s="2889" t="s">
        <v>1649</v>
      </c>
      <c r="C8040" s="2889" t="s">
        <v>1534</v>
      </c>
      <c r="D8040" s="2889" t="s">
        <v>1106</v>
      </c>
      <c r="E8040" s="2889" t="s">
        <v>217</v>
      </c>
      <c r="F8040" s="2890">
        <v>9.3205179377346559E-3</v>
      </c>
      <c r="G8040" s="2890">
        <v>32.452359586445766</v>
      </c>
    </row>
    <row r="8041" spans="2:7" ht="15" hidden="1" outlineLevel="2">
      <c r="B8041" s="2889" t="s">
        <v>1650</v>
      </c>
      <c r="C8041" s="2889" t="s">
        <v>1534</v>
      </c>
      <c r="D8041" s="2889" t="s">
        <v>1106</v>
      </c>
      <c r="E8041" s="2889" t="s">
        <v>217</v>
      </c>
      <c r="F8041" s="2890">
        <v>3.3762874863268538E-2</v>
      </c>
      <c r="G8041" s="2890">
        <v>116.51438481627349</v>
      </c>
    </row>
    <row r="8042" spans="2:7" ht="15" hidden="1" outlineLevel="2">
      <c r="B8042" s="2889" t="s">
        <v>1651</v>
      </c>
      <c r="C8042" s="2889" t="s">
        <v>1534</v>
      </c>
      <c r="D8042" s="2889" t="s">
        <v>1106</v>
      </c>
      <c r="E8042" s="2889" t="s">
        <v>217</v>
      </c>
      <c r="F8042" s="2890">
        <v>1.6911457413295226E-2</v>
      </c>
      <c r="G8042" s="2890">
        <v>58.88264417107186</v>
      </c>
    </row>
    <row r="8043" spans="2:7" ht="15" hidden="1" outlineLevel="2">
      <c r="B8043" s="2889" t="s">
        <v>1652</v>
      </c>
      <c r="C8043" s="2889" t="s">
        <v>1534</v>
      </c>
      <c r="D8043" s="2889" t="s">
        <v>1106</v>
      </c>
      <c r="E8043" s="2889" t="s">
        <v>217</v>
      </c>
      <c r="F8043" s="2890">
        <v>4.1251006761173648E-3</v>
      </c>
      <c r="G8043" s="2890">
        <v>14.340248505412191</v>
      </c>
    </row>
    <row r="8044" spans="2:7" ht="15" hidden="1" outlineLevel="2">
      <c r="B8044" s="2889" t="s">
        <v>1653</v>
      </c>
      <c r="C8044" s="2889" t="s">
        <v>1534</v>
      </c>
      <c r="D8044" s="2889" t="s">
        <v>1106</v>
      </c>
      <c r="E8044" s="2889" t="s">
        <v>217</v>
      </c>
      <c r="F8044" s="3039">
        <v>8.1072203141179341E-2</v>
      </c>
      <c r="G8044" s="2890">
        <v>280.87822818993857</v>
      </c>
    </row>
    <row r="8045" spans="2:7" ht="15" hidden="1" outlineLevel="2">
      <c r="B8045" s="2889" t="s">
        <v>1407</v>
      </c>
      <c r="C8045" s="2889" t="s">
        <v>1535</v>
      </c>
      <c r="D8045" s="2889" t="s">
        <v>1106</v>
      </c>
      <c r="E8045" s="2889" t="s">
        <v>217</v>
      </c>
      <c r="F8045" s="3039">
        <v>5.1795970225510827E-3</v>
      </c>
      <c r="G8045" s="2890">
        <v>12.056931147145857</v>
      </c>
    </row>
    <row r="8046" spans="2:7" ht="15" hidden="1" outlineLevel="2">
      <c r="B8046" s="2889" t="s">
        <v>1631</v>
      </c>
      <c r="C8046" s="2889" t="s">
        <v>1535</v>
      </c>
      <c r="D8046" s="2889" t="s">
        <v>1106</v>
      </c>
      <c r="E8046" s="2889" t="s">
        <v>217</v>
      </c>
      <c r="F8046" s="2890">
        <v>2.2167644747385438E-2</v>
      </c>
      <c r="G8046" s="2890">
        <v>51.08770233517486</v>
      </c>
    </row>
    <row r="8047" spans="2:7" ht="15" hidden="1" outlineLevel="2">
      <c r="B8047" s="2889" t="s">
        <v>1632</v>
      </c>
      <c r="C8047" s="2889" t="s">
        <v>1535</v>
      </c>
      <c r="D8047" s="2889" t="s">
        <v>1106</v>
      </c>
      <c r="E8047" s="2889" t="s">
        <v>217</v>
      </c>
      <c r="F8047" s="2890">
        <v>3.9979932605677303E-2</v>
      </c>
      <c r="G8047" s="2890">
        <v>93.494512899630834</v>
      </c>
    </row>
    <row r="8048" spans="2:7" ht="15" hidden="1" outlineLevel="2">
      <c r="B8048" s="2889" t="s">
        <v>1633</v>
      </c>
      <c r="C8048" s="2889" t="s">
        <v>1535</v>
      </c>
      <c r="D8048" s="2889" t="s">
        <v>1106</v>
      </c>
      <c r="E8048" s="2889" t="s">
        <v>217</v>
      </c>
      <c r="F8048" s="2890">
        <v>1.0646676839135107E-3</v>
      </c>
      <c r="G8048" s="2890">
        <v>2.5017603942248643</v>
      </c>
    </row>
    <row r="8049" spans="2:7" ht="15" hidden="1" outlineLevel="2">
      <c r="B8049" s="2889" t="s">
        <v>1634</v>
      </c>
      <c r="C8049" s="2889" t="s">
        <v>1535</v>
      </c>
      <c r="D8049" s="2889" t="s">
        <v>1106</v>
      </c>
      <c r="E8049" s="2889" t="s">
        <v>217</v>
      </c>
      <c r="F8049" s="2890">
        <v>2.5769101488670389E-3</v>
      </c>
      <c r="G8049" s="2890">
        <v>6.0615308953465243</v>
      </c>
    </row>
    <row r="8050" spans="2:7" ht="15" hidden="1" outlineLevel="2">
      <c r="B8050" s="2889" t="s">
        <v>1635</v>
      </c>
      <c r="C8050" s="2889" t="s">
        <v>1535</v>
      </c>
      <c r="D8050" s="2889" t="s">
        <v>1106</v>
      </c>
      <c r="E8050" s="2889" t="s">
        <v>217</v>
      </c>
      <c r="F8050" s="2890">
        <v>5.5720546727978503E-3</v>
      </c>
      <c r="G8050" s="2890">
        <v>13.030448109484412</v>
      </c>
    </row>
    <row r="8051" spans="2:7" ht="15" hidden="1" outlineLevel="2">
      <c r="B8051" s="2889" t="s">
        <v>1636</v>
      </c>
      <c r="C8051" s="2889" t="s">
        <v>1535</v>
      </c>
      <c r="D8051" s="2889" t="s">
        <v>1106</v>
      </c>
      <c r="E8051" s="2889" t="s">
        <v>217</v>
      </c>
      <c r="F8051" s="2890">
        <v>5.0814687674891135E-3</v>
      </c>
      <c r="G8051" s="2890">
        <v>11.884268872043833</v>
      </c>
    </row>
    <row r="8052" spans="2:7" ht="15" hidden="1" outlineLevel="2">
      <c r="B8052" s="2889" t="s">
        <v>1637</v>
      </c>
      <c r="C8052" s="2889" t="s">
        <v>1535</v>
      </c>
      <c r="D8052" s="2889" t="s">
        <v>1106</v>
      </c>
      <c r="E8052" s="2889" t="s">
        <v>217</v>
      </c>
      <c r="F8052" s="2890">
        <v>1.7580310051601271E-3</v>
      </c>
      <c r="G8052" s="2890">
        <v>4.1310255666613829</v>
      </c>
    </row>
    <row r="8053" spans="2:7" ht="15" hidden="1" outlineLevel="2">
      <c r="B8053" s="2889" t="s">
        <v>1638</v>
      </c>
      <c r="C8053" s="2889" t="s">
        <v>1535</v>
      </c>
      <c r="D8053" s="2889" t="s">
        <v>1106</v>
      </c>
      <c r="E8053" s="2889" t="s">
        <v>217</v>
      </c>
      <c r="F8053" s="2890">
        <v>3.5543625130006634E-3</v>
      </c>
      <c r="G8053" s="2890">
        <v>8.3596919916953247</v>
      </c>
    </row>
    <row r="8054" spans="2:7" ht="15" hidden="1" outlineLevel="2">
      <c r="B8054" s="2889" t="s">
        <v>1639</v>
      </c>
      <c r="C8054" s="2889" t="s">
        <v>1535</v>
      </c>
      <c r="D8054" s="2889" t="s">
        <v>1106</v>
      </c>
      <c r="E8054" s="2889" t="s">
        <v>217</v>
      </c>
      <c r="F8054" s="2890">
        <v>1.3418562802643193E-2</v>
      </c>
      <c r="G8054" s="2890">
        <v>31.530962023474466</v>
      </c>
    </row>
    <row r="8055" spans="2:7" ht="15" hidden="1" outlineLevel="2">
      <c r="B8055" s="2889" t="s">
        <v>1640</v>
      </c>
      <c r="C8055" s="2889" t="s">
        <v>1535</v>
      </c>
      <c r="D8055" s="2889" t="s">
        <v>1106</v>
      </c>
      <c r="E8055" s="2889" t="s">
        <v>217</v>
      </c>
      <c r="F8055" s="2890">
        <v>1.3311976172046759E-3</v>
      </c>
      <c r="G8055" s="2890">
        <v>3.0987280323529909</v>
      </c>
    </row>
    <row r="8056" spans="2:7" ht="15" hidden="1" outlineLevel="2">
      <c r="B8056" s="2889" t="s">
        <v>1641</v>
      </c>
      <c r="C8056" s="2889" t="s">
        <v>1535</v>
      </c>
      <c r="D8056" s="2889" t="s">
        <v>1106</v>
      </c>
      <c r="E8056" s="2889" t="s">
        <v>217</v>
      </c>
      <c r="F8056" s="2890">
        <v>8.9982292301437564E-3</v>
      </c>
      <c r="G8056" s="2890">
        <v>21.042678982774646</v>
      </c>
    </row>
    <row r="8057" spans="2:7" ht="15" hidden="1" outlineLevel="2">
      <c r="B8057" s="2889" t="s">
        <v>1642</v>
      </c>
      <c r="C8057" s="2889" t="s">
        <v>1535</v>
      </c>
      <c r="D8057" s="2889" t="s">
        <v>1106</v>
      </c>
      <c r="E8057" s="2889" t="s">
        <v>217</v>
      </c>
      <c r="F8057" s="2890">
        <v>1.2220975526967546E-2</v>
      </c>
      <c r="G8057" s="2890">
        <v>28.57918139457761</v>
      </c>
    </row>
    <row r="8058" spans="2:7" ht="15" hidden="1" outlineLevel="2">
      <c r="B8058" s="2889" t="s">
        <v>1643</v>
      </c>
      <c r="C8058" s="2889" t="s">
        <v>1535</v>
      </c>
      <c r="D8058" s="2889" t="s">
        <v>1106</v>
      </c>
      <c r="E8058" s="2889" t="s">
        <v>217</v>
      </c>
      <c r="F8058" s="2890">
        <v>1.6470662372641246E-3</v>
      </c>
      <c r="G8058" s="2890">
        <v>3.8455305199658145</v>
      </c>
    </row>
    <row r="8059" spans="2:7" ht="15" hidden="1" outlineLevel="2">
      <c r="B8059" s="2889" t="s">
        <v>1644</v>
      </c>
      <c r="C8059" s="2889" t="s">
        <v>1535</v>
      </c>
      <c r="D8059" s="2889" t="s">
        <v>1106</v>
      </c>
      <c r="E8059" s="2889" t="s">
        <v>217</v>
      </c>
      <c r="F8059" s="2890">
        <v>2.2512011149707068E-2</v>
      </c>
      <c r="G8059" s="2890">
        <v>52.898797048878428</v>
      </c>
    </row>
    <row r="8060" spans="2:7" ht="15" hidden="1" outlineLevel="2">
      <c r="B8060" s="2889" t="s">
        <v>1645</v>
      </c>
      <c r="C8060" s="2889" t="s">
        <v>1535</v>
      </c>
      <c r="D8060" s="2889" t="s">
        <v>1106</v>
      </c>
      <c r="E8060" s="2889" t="s">
        <v>217</v>
      </c>
      <c r="F8060" s="2890">
        <v>1.6528925800354269E-2</v>
      </c>
      <c r="G8060" s="2890">
        <v>38.839712351212874</v>
      </c>
    </row>
    <row r="8061" spans="2:7" ht="15" hidden="1" outlineLevel="2">
      <c r="B8061" s="2889" t="s">
        <v>1646</v>
      </c>
      <c r="C8061" s="2889" t="s">
        <v>1535</v>
      </c>
      <c r="D8061" s="2889" t="s">
        <v>1106</v>
      </c>
      <c r="E8061" s="2889" t="s">
        <v>217</v>
      </c>
      <c r="F8061" s="3039">
        <v>1.3604175515727467E-3</v>
      </c>
      <c r="G8061" s="2890">
        <v>3.1813843841201241</v>
      </c>
    </row>
    <row r="8062" spans="2:7" ht="15" hidden="1" outlineLevel="2">
      <c r="B8062" s="2889" t="s">
        <v>1647</v>
      </c>
      <c r="C8062" s="2889" t="s">
        <v>1535</v>
      </c>
      <c r="D8062" s="2889" t="s">
        <v>1106</v>
      </c>
      <c r="E8062" s="2889" t="s">
        <v>217</v>
      </c>
      <c r="F8062" s="3039">
        <v>7.2856303534211248E-4</v>
      </c>
      <c r="G8062" s="2890">
        <v>1.7137599906021779</v>
      </c>
    </row>
    <row r="8063" spans="2:7" ht="15" hidden="1" outlineLevel="2">
      <c r="B8063" s="2889" t="s">
        <v>1648</v>
      </c>
      <c r="C8063" s="2889" t="s">
        <v>1535</v>
      </c>
      <c r="D8063" s="2889" t="s">
        <v>1106</v>
      </c>
      <c r="E8063" s="2889" t="s">
        <v>217</v>
      </c>
      <c r="F8063" s="3039">
        <v>4.9586029396523506E-4</v>
      </c>
      <c r="G8063" s="2890">
        <v>1.1663851159151069</v>
      </c>
    </row>
    <row r="8064" spans="2:7" ht="15" hidden="1" outlineLevel="2">
      <c r="B8064" s="2889" t="s">
        <v>1649</v>
      </c>
      <c r="C8064" s="2889" t="s">
        <v>1535</v>
      </c>
      <c r="D8064" s="2889" t="s">
        <v>1106</v>
      </c>
      <c r="E8064" s="2889" t="s">
        <v>217</v>
      </c>
      <c r="F8064" s="3039">
        <v>3.4842967618901048E-3</v>
      </c>
      <c r="G8064" s="2890">
        <v>8.1959229742347262</v>
      </c>
    </row>
    <row r="8065" spans="2:7" ht="15" hidden="1" outlineLevel="2">
      <c r="B8065" s="2889" t="s">
        <v>1650</v>
      </c>
      <c r="C8065" s="2889" t="s">
        <v>1535</v>
      </c>
      <c r="D8065" s="2889" t="s">
        <v>1106</v>
      </c>
      <c r="E8065" s="2889" t="s">
        <v>217</v>
      </c>
      <c r="F8065" s="3039">
        <v>1.264124719830061E-2</v>
      </c>
      <c r="G8065" s="2890">
        <v>29.425969438446906</v>
      </c>
    </row>
    <row r="8066" spans="2:7" ht="15" hidden="1" outlineLevel="2">
      <c r="B8066" s="2889" t="s">
        <v>1651</v>
      </c>
      <c r="C8066" s="2889" t="s">
        <v>1535</v>
      </c>
      <c r="D8066" s="2889" t="s">
        <v>1106</v>
      </c>
      <c r="E8066" s="2889" t="s">
        <v>217</v>
      </c>
      <c r="F8066" s="3039">
        <v>6.3220225157992419E-3</v>
      </c>
      <c r="G8066" s="2890">
        <v>14.870953554526624</v>
      </c>
    </row>
    <row r="8067" spans="2:7" ht="15" hidden="1" outlineLevel="2">
      <c r="B8067" s="2889" t="s">
        <v>1652</v>
      </c>
      <c r="C8067" s="2889" t="s">
        <v>1535</v>
      </c>
      <c r="D8067" s="2889" t="s">
        <v>1106</v>
      </c>
      <c r="E8067" s="2889" t="s">
        <v>217</v>
      </c>
      <c r="F8067" s="3039">
        <v>1.54251533904164E-3</v>
      </c>
      <c r="G8067" s="2890">
        <v>3.6216651577819503</v>
      </c>
    </row>
    <row r="8068" spans="2:7" ht="15" hidden="1" outlineLevel="2">
      <c r="B8068" s="2889" t="s">
        <v>1653</v>
      </c>
      <c r="C8068" s="2889" t="s">
        <v>1535</v>
      </c>
      <c r="D8068" s="2889" t="s">
        <v>1106</v>
      </c>
      <c r="E8068" s="2889" t="s">
        <v>217</v>
      </c>
      <c r="F8068" s="3039">
        <v>3.0333684470770984E-2</v>
      </c>
      <c r="G8068" s="2890">
        <v>70.93641720746345</v>
      </c>
    </row>
    <row r="8069" spans="2:7" ht="15" hidden="1" outlineLevel="2">
      <c r="B8069" s="2889" t="s">
        <v>1407</v>
      </c>
      <c r="C8069" s="2889" t="s">
        <v>1536</v>
      </c>
      <c r="D8069" s="2889" t="s">
        <v>1106</v>
      </c>
      <c r="E8069" s="2889" t="s">
        <v>217</v>
      </c>
      <c r="F8069" s="3039">
        <v>1.7380174622713719E-2</v>
      </c>
      <c r="G8069" s="2890">
        <v>22.473574423545639</v>
      </c>
    </row>
    <row r="8070" spans="2:7" ht="15" hidden="1" outlineLevel="2">
      <c r="B8070" s="2889" t="s">
        <v>1631</v>
      </c>
      <c r="C8070" s="2889" t="s">
        <v>1536</v>
      </c>
      <c r="D8070" s="2889" t="s">
        <v>1106</v>
      </c>
      <c r="E8070" s="2889" t="s">
        <v>217</v>
      </c>
      <c r="F8070" s="3039">
        <v>7.4403475242024328E-2</v>
      </c>
      <c r="G8070" s="2890">
        <v>95.225119079348843</v>
      </c>
    </row>
    <row r="8071" spans="2:7" ht="15" hidden="1" outlineLevel="2">
      <c r="B8071" s="2889" t="s">
        <v>1632</v>
      </c>
      <c r="C8071" s="2889" t="s">
        <v>1536</v>
      </c>
      <c r="D8071" s="2889" t="s">
        <v>1106</v>
      </c>
      <c r="E8071" s="2889" t="s">
        <v>217</v>
      </c>
      <c r="F8071" s="2890">
        <v>0.13413638830087166</v>
      </c>
      <c r="G8071" s="2890">
        <v>174.26948456430253</v>
      </c>
    </row>
    <row r="8072" spans="2:7" ht="15" hidden="1" outlineLevel="2">
      <c r="B8072" s="2889" t="s">
        <v>1633</v>
      </c>
      <c r="C8072" s="2889" t="s">
        <v>1536</v>
      </c>
      <c r="D8072" s="2889" t="s">
        <v>1106</v>
      </c>
      <c r="E8072" s="2889" t="s">
        <v>217</v>
      </c>
      <c r="F8072" s="2890">
        <v>3.5715952859300009E-3</v>
      </c>
      <c r="G8072" s="2890">
        <v>4.6631647896257711</v>
      </c>
    </row>
    <row r="8073" spans="2:7" ht="15" hidden="1" outlineLevel="2">
      <c r="B8073" s="2889" t="s">
        <v>1634</v>
      </c>
      <c r="C8073" s="2889" t="s">
        <v>1536</v>
      </c>
      <c r="D8073" s="2889" t="s">
        <v>1106</v>
      </c>
      <c r="E8073" s="2889" t="s">
        <v>217</v>
      </c>
      <c r="F8073" s="3039">
        <v>8.6444136190096978E-3</v>
      </c>
      <c r="G8073" s="2890">
        <v>11.298421603621421</v>
      </c>
    </row>
    <row r="8074" spans="2:7" ht="15" hidden="1" outlineLevel="2">
      <c r="B8074" s="2889" t="s">
        <v>1635</v>
      </c>
      <c r="C8074" s="2889" t="s">
        <v>1536</v>
      </c>
      <c r="D8074" s="2889" t="s">
        <v>1106</v>
      </c>
      <c r="E8074" s="2889" t="s">
        <v>217</v>
      </c>
      <c r="F8074" s="2890">
        <v>1.8694752876962942E-2</v>
      </c>
      <c r="G8074" s="2890">
        <v>24.28817188893305</v>
      </c>
    </row>
    <row r="8075" spans="2:7" ht="15" hidden="1" outlineLevel="2">
      <c r="B8075" s="2889" t="s">
        <v>1636</v>
      </c>
      <c r="C8075" s="2889" t="s">
        <v>1536</v>
      </c>
      <c r="D8075" s="2889" t="s">
        <v>1106</v>
      </c>
      <c r="E8075" s="2889" t="s">
        <v>217</v>
      </c>
      <c r="F8075" s="2890">
        <v>1.7048754330067015E-2</v>
      </c>
      <c r="G8075" s="2890">
        <v>22.151744844960856</v>
      </c>
    </row>
    <row r="8076" spans="2:7" ht="15" hidden="1" outlineLevel="2">
      <c r="B8076" s="2889" t="s">
        <v>1637</v>
      </c>
      <c r="C8076" s="2889" t="s">
        <v>1536</v>
      </c>
      <c r="D8076" s="2889" t="s">
        <v>1106</v>
      </c>
      <c r="E8076" s="2889" t="s">
        <v>217</v>
      </c>
      <c r="F8076" s="2890">
        <v>5.8975908706915192E-3</v>
      </c>
      <c r="G8076" s="2890">
        <v>7.7000446571930246</v>
      </c>
    </row>
    <row r="8077" spans="2:7" ht="15" hidden="1" outlineLevel="2">
      <c r="B8077" s="2889" t="s">
        <v>1638</v>
      </c>
      <c r="C8077" s="2889" t="s">
        <v>1536</v>
      </c>
      <c r="D8077" s="2889" t="s">
        <v>1106</v>
      </c>
      <c r="E8077" s="2889" t="s">
        <v>217</v>
      </c>
      <c r="F8077" s="2890">
        <v>1.1923381103485139E-2</v>
      </c>
      <c r="G8077" s="2890">
        <v>15.582086099554557</v>
      </c>
    </row>
    <row r="8078" spans="2:7" ht="15" hidden="1" outlineLevel="2">
      <c r="B8078" s="2889" t="s">
        <v>1639</v>
      </c>
      <c r="C8078" s="2889" t="s">
        <v>1536</v>
      </c>
      <c r="D8078" s="2889" t="s">
        <v>1106</v>
      </c>
      <c r="E8078" s="2889" t="s">
        <v>217</v>
      </c>
      <c r="F8078" s="2890">
        <v>4.5014687786055219E-2</v>
      </c>
      <c r="G8078" s="2890">
        <v>58.772315563183156</v>
      </c>
    </row>
    <row r="8079" spans="2:7" ht="15" hidden="1" outlineLevel="2">
      <c r="B8079" s="2889" t="s">
        <v>1640</v>
      </c>
      <c r="C8079" s="2889" t="s">
        <v>1536</v>
      </c>
      <c r="D8079" s="2889" t="s">
        <v>1106</v>
      </c>
      <c r="E8079" s="2889" t="s">
        <v>217</v>
      </c>
      <c r="F8079" s="2890">
        <v>4.4668432620313938E-3</v>
      </c>
      <c r="G8079" s="2890">
        <v>5.7758866780994964</v>
      </c>
    </row>
    <row r="8080" spans="2:7" ht="15" hidden="1" outlineLevel="2">
      <c r="B8080" s="2889" t="s">
        <v>1641</v>
      </c>
      <c r="C8080" s="2889" t="s">
        <v>1536</v>
      </c>
      <c r="D8080" s="2889" t="s">
        <v>1106</v>
      </c>
      <c r="E8080" s="2889" t="s">
        <v>217</v>
      </c>
      <c r="F8080" s="2890">
        <v>3.0189895123715473E-2</v>
      </c>
      <c r="G8080" s="2890">
        <v>39.222631885138789</v>
      </c>
    </row>
    <row r="8081" spans="2:7" ht="15" hidden="1" outlineLevel="2">
      <c r="B8081" s="2889" t="s">
        <v>1642</v>
      </c>
      <c r="C8081" s="2889" t="s">
        <v>1536</v>
      </c>
      <c r="D8081" s="2889" t="s">
        <v>1106</v>
      </c>
      <c r="E8081" s="2889" t="s">
        <v>217</v>
      </c>
      <c r="F8081" s="2890">
        <v>4.1002507841335925E-2</v>
      </c>
      <c r="G8081" s="2890">
        <v>53.270331227497799</v>
      </c>
    </row>
    <row r="8082" spans="2:7" ht="15" hidden="1" outlineLevel="2">
      <c r="B8082" s="2889" t="s">
        <v>1643</v>
      </c>
      <c r="C8082" s="2889" t="s">
        <v>1536</v>
      </c>
      <c r="D8082" s="2889" t="s">
        <v>1106</v>
      </c>
      <c r="E8082" s="2889" t="s">
        <v>217</v>
      </c>
      <c r="F8082" s="2890">
        <v>5.5262994351608667E-3</v>
      </c>
      <c r="G8082" s="2890">
        <v>7.1678937112344148</v>
      </c>
    </row>
    <row r="8083" spans="2:7" ht="15" hidden="1" outlineLevel="2">
      <c r="B8083" s="2889" t="s">
        <v>1644</v>
      </c>
      <c r="C8083" s="2889" t="s">
        <v>1536</v>
      </c>
      <c r="D8083" s="2889" t="s">
        <v>1106</v>
      </c>
      <c r="E8083" s="2889" t="s">
        <v>217</v>
      </c>
      <c r="F8083" s="2890">
        <v>7.5520103689415974E-2</v>
      </c>
      <c r="G8083" s="2890">
        <v>98.600959519767329</v>
      </c>
    </row>
    <row r="8084" spans="2:7" ht="15" hidden="1" outlineLevel="2">
      <c r="B8084" s="2889" t="s">
        <v>1645</v>
      </c>
      <c r="C8084" s="2889" t="s">
        <v>1536</v>
      </c>
      <c r="D8084" s="2889" t="s">
        <v>1106</v>
      </c>
      <c r="E8084" s="2889" t="s">
        <v>217</v>
      </c>
      <c r="F8084" s="2890">
        <v>5.5448880770526475E-2</v>
      </c>
      <c r="G8084" s="2890">
        <v>72.395463214597271</v>
      </c>
    </row>
    <row r="8085" spans="2:7" ht="15" hidden="1" outlineLevel="2">
      <c r="B8085" s="2889" t="s">
        <v>1646</v>
      </c>
      <c r="C8085" s="2889" t="s">
        <v>1536</v>
      </c>
      <c r="D8085" s="2889" t="s">
        <v>1106</v>
      </c>
      <c r="E8085" s="2889" t="s">
        <v>217</v>
      </c>
      <c r="F8085" s="2890">
        <v>4.5643249844521429E-3</v>
      </c>
      <c r="G8085" s="2890">
        <v>5.9299560942281166</v>
      </c>
    </row>
    <row r="8086" spans="2:7" ht="15" hidden="1" outlineLevel="2">
      <c r="B8086" s="2889" t="s">
        <v>1647</v>
      </c>
      <c r="C8086" s="2889" t="s">
        <v>1536</v>
      </c>
      <c r="D8086" s="2889" t="s">
        <v>1106</v>
      </c>
      <c r="E8086" s="2889" t="s">
        <v>217</v>
      </c>
      <c r="F8086" s="2890">
        <v>2.4440117384294103E-3</v>
      </c>
      <c r="G8086" s="2890">
        <v>3.1943697943315823</v>
      </c>
    </row>
    <row r="8087" spans="2:7" ht="15" hidden="1" outlineLevel="2">
      <c r="B8087" s="2889" t="s">
        <v>1648</v>
      </c>
      <c r="C8087" s="2889" t="s">
        <v>1536</v>
      </c>
      <c r="D8087" s="2889" t="s">
        <v>1106</v>
      </c>
      <c r="E8087" s="2889" t="s">
        <v>217</v>
      </c>
      <c r="F8087" s="2890">
        <v>1.6633946501474926E-3</v>
      </c>
      <c r="G8087" s="2890">
        <v>2.1740899112543755</v>
      </c>
    </row>
    <row r="8088" spans="2:7" ht="15" hidden="1" outlineLevel="2">
      <c r="B8088" s="2889" t="s">
        <v>1649</v>
      </c>
      <c r="C8088" s="2889" t="s">
        <v>1536</v>
      </c>
      <c r="D8088" s="2889" t="s">
        <v>1106</v>
      </c>
      <c r="E8088" s="2889" t="s">
        <v>217</v>
      </c>
      <c r="F8088" s="2890">
        <v>1.1688297434459928E-2</v>
      </c>
      <c r="G8088" s="2890">
        <v>15.276825717798708</v>
      </c>
    </row>
    <row r="8089" spans="2:7" ht="15" hidden="1" outlineLevel="2">
      <c r="B8089" s="2889" t="s">
        <v>1650</v>
      </c>
      <c r="C8089" s="2889" t="s">
        <v>1536</v>
      </c>
      <c r="D8089" s="2889" t="s">
        <v>1106</v>
      </c>
      <c r="E8089" s="2889" t="s">
        <v>217</v>
      </c>
      <c r="F8089" s="2890">
        <v>4.2417791958802263E-2</v>
      </c>
      <c r="G8089" s="2890">
        <v>54.848681099879357</v>
      </c>
    </row>
    <row r="8090" spans="2:7" ht="15" hidden="1" outlineLevel="2">
      <c r="B8090" s="2889" t="s">
        <v>1651</v>
      </c>
      <c r="C8090" s="2889" t="s">
        <v>1536</v>
      </c>
      <c r="D8090" s="2889" t="s">
        <v>1106</v>
      </c>
      <c r="E8090" s="2889" t="s">
        <v>217</v>
      </c>
      <c r="F8090" s="2890">
        <v>2.1207627583295433E-2</v>
      </c>
      <c r="G8090" s="2890">
        <v>27.718778224054205</v>
      </c>
    </row>
    <row r="8091" spans="2:7" ht="15" hidden="1" outlineLevel="2">
      <c r="B8091" s="2889" t="s">
        <v>1652</v>
      </c>
      <c r="C8091" s="2889" t="s">
        <v>1536</v>
      </c>
      <c r="D8091" s="2889" t="s">
        <v>1106</v>
      </c>
      <c r="E8091" s="2889" t="s">
        <v>217</v>
      </c>
      <c r="F8091" s="2890">
        <v>5.5481419171866048E-3</v>
      </c>
      <c r="G8091" s="2890">
        <v>7.2515305426786227</v>
      </c>
    </row>
    <row r="8092" spans="2:7" ht="15" hidden="1" outlineLevel="2">
      <c r="B8092" s="2889" t="s">
        <v>1653</v>
      </c>
      <c r="C8092" s="2889" t="s">
        <v>1536</v>
      </c>
      <c r="D8092" s="2889" t="s">
        <v>1106</v>
      </c>
      <c r="E8092" s="2889" t="s">
        <v>217</v>
      </c>
      <c r="F8092" s="2890">
        <v>0.10177231060530803</v>
      </c>
      <c r="G8092" s="2890">
        <v>132.22226474064894</v>
      </c>
    </row>
    <row r="8093" spans="2:7" ht="15" hidden="1" outlineLevel="2">
      <c r="B8093" s="2889" t="s">
        <v>1407</v>
      </c>
      <c r="C8093" s="2889" t="s">
        <v>1537</v>
      </c>
      <c r="D8093" s="2889" t="s">
        <v>1106</v>
      </c>
      <c r="E8093" s="2889" t="s">
        <v>217</v>
      </c>
      <c r="F8093" s="2890">
        <v>9.7202809782820864E-4</v>
      </c>
      <c r="G8093" s="2890">
        <v>1.1041873832889446</v>
      </c>
    </row>
    <row r="8094" spans="2:7" ht="15" hidden="1" outlineLevel="2">
      <c r="B8094" s="2889" t="s">
        <v>1631</v>
      </c>
      <c r="C8094" s="2889" t="s">
        <v>1537</v>
      </c>
      <c r="D8094" s="2889" t="s">
        <v>1106</v>
      </c>
      <c r="E8094" s="2889" t="s">
        <v>217</v>
      </c>
      <c r="F8094" s="3039">
        <v>4.1539269009508682E-3</v>
      </c>
      <c r="G8094" s="2890">
        <v>4.6786671292178035</v>
      </c>
    </row>
    <row r="8095" spans="2:7" ht="15" hidden="1" outlineLevel="2">
      <c r="B8095" s="2889" t="s">
        <v>1632</v>
      </c>
      <c r="C8095" s="2889" t="s">
        <v>1537</v>
      </c>
      <c r="D8095" s="2889" t="s">
        <v>1106</v>
      </c>
      <c r="E8095" s="2889" t="s">
        <v>217</v>
      </c>
      <c r="F8095" s="3039">
        <v>7.507981179712425E-3</v>
      </c>
      <c r="G8095" s="2890">
        <v>8.5623303903819217</v>
      </c>
    </row>
    <row r="8096" spans="2:7" ht="15" hidden="1" outlineLevel="2">
      <c r="B8096" s="2889" t="s">
        <v>1633</v>
      </c>
      <c r="C8096" s="2889" t="s">
        <v>1537</v>
      </c>
      <c r="D8096" s="2889" t="s">
        <v>1106</v>
      </c>
      <c r="E8096" s="2889" t="s">
        <v>217</v>
      </c>
      <c r="F8096" s="3039">
        <v>2.0008182721096291E-4</v>
      </c>
      <c r="G8096" s="2890">
        <v>0.22911381464592398</v>
      </c>
    </row>
    <row r="8097" spans="2:7" ht="15" hidden="1" outlineLevel="2">
      <c r="B8097" s="2889" t="s">
        <v>1634</v>
      </c>
      <c r="C8097" s="2889" t="s">
        <v>1537</v>
      </c>
      <c r="D8097" s="2889" t="s">
        <v>1106</v>
      </c>
      <c r="E8097" s="2889" t="s">
        <v>217</v>
      </c>
      <c r="F8097" s="3039">
        <v>4.8435151325748805E-4</v>
      </c>
      <c r="G8097" s="2890">
        <v>0.55512165052902385</v>
      </c>
    </row>
    <row r="8098" spans="2:7" ht="15" hidden="1" outlineLevel="2">
      <c r="B8098" s="2889" t="s">
        <v>1635</v>
      </c>
      <c r="C8098" s="2889" t="s">
        <v>1537</v>
      </c>
      <c r="D8098" s="2889" t="s">
        <v>1106</v>
      </c>
      <c r="E8098" s="2889" t="s">
        <v>217</v>
      </c>
      <c r="F8098" s="3039">
        <v>1.0463975592941114E-3</v>
      </c>
      <c r="G8098" s="2890">
        <v>1.19334364601471</v>
      </c>
    </row>
    <row r="8099" spans="2:7" ht="15" hidden="1" outlineLevel="2">
      <c r="B8099" s="2889" t="s">
        <v>1636</v>
      </c>
      <c r="C8099" s="2889" t="s">
        <v>1537</v>
      </c>
      <c r="D8099" s="2889" t="s">
        <v>1106</v>
      </c>
      <c r="E8099" s="2889" t="s">
        <v>217</v>
      </c>
      <c r="F8099" s="3039">
        <v>9.5428111670386171E-4</v>
      </c>
      <c r="G8099" s="2890">
        <v>1.0883745270054617</v>
      </c>
    </row>
    <row r="8100" spans="2:7" ht="15" hidden="1" outlineLevel="2">
      <c r="B8100" s="2889" t="s">
        <v>1637</v>
      </c>
      <c r="C8100" s="2889" t="s">
        <v>1537</v>
      </c>
      <c r="D8100" s="2889" t="s">
        <v>1106</v>
      </c>
      <c r="E8100" s="2889" t="s">
        <v>217</v>
      </c>
      <c r="F8100" s="2890">
        <v>3.3038454527298115E-4</v>
      </c>
      <c r="G8100" s="2890">
        <v>0.37832373067709929</v>
      </c>
    </row>
    <row r="8101" spans="2:7" ht="15" hidden="1" outlineLevel="2">
      <c r="B8101" s="2889" t="s">
        <v>1638</v>
      </c>
      <c r="C8101" s="2889" t="s">
        <v>1537</v>
      </c>
      <c r="D8101" s="2889" t="s">
        <v>1106</v>
      </c>
      <c r="E8101" s="2889" t="s">
        <v>217</v>
      </c>
      <c r="F8101" s="2890">
        <v>6.6805890681650884E-4</v>
      </c>
      <c r="G8101" s="2890">
        <v>0.76558987320213279</v>
      </c>
    </row>
    <row r="8102" spans="2:7" ht="15" hidden="1" outlineLevel="2">
      <c r="B8102" s="2889" t="s">
        <v>1639</v>
      </c>
      <c r="C8102" s="2889" t="s">
        <v>1537</v>
      </c>
      <c r="D8102" s="2889" t="s">
        <v>1106</v>
      </c>
      <c r="E8102" s="2889" t="s">
        <v>217</v>
      </c>
      <c r="F8102" s="2890">
        <v>2.5217348310018865E-3</v>
      </c>
      <c r="G8102" s="2890">
        <v>2.8876427350069234</v>
      </c>
    </row>
    <row r="8103" spans="2:7" ht="15" hidden="1" outlineLevel="2">
      <c r="B8103" s="2889" t="s">
        <v>1640</v>
      </c>
      <c r="C8103" s="2889" t="s">
        <v>1537</v>
      </c>
      <c r="D8103" s="2889" t="s">
        <v>1106</v>
      </c>
      <c r="E8103" s="2889" t="s">
        <v>217</v>
      </c>
      <c r="F8103" s="2890">
        <v>2.4981884992341578E-4</v>
      </c>
      <c r="G8103" s="2890">
        <v>0.28378500069178342</v>
      </c>
    </row>
    <row r="8104" spans="2:7" ht="15" hidden="1" outlineLevel="2">
      <c r="B8104" s="2889" t="s">
        <v>1641</v>
      </c>
      <c r="C8104" s="2889" t="s">
        <v>1537</v>
      </c>
      <c r="D8104" s="2889" t="s">
        <v>1106</v>
      </c>
      <c r="E8104" s="2889" t="s">
        <v>217</v>
      </c>
      <c r="F8104" s="2890">
        <v>1.6898121503503016E-3</v>
      </c>
      <c r="G8104" s="2890">
        <v>1.9271134739456643</v>
      </c>
    </row>
    <row r="8105" spans="2:7" ht="15" hidden="1" outlineLevel="2">
      <c r="B8105" s="2889" t="s">
        <v>1642</v>
      </c>
      <c r="C8105" s="2889" t="s">
        <v>1537</v>
      </c>
      <c r="D8105" s="2889" t="s">
        <v>1106</v>
      </c>
      <c r="E8105" s="2889" t="s">
        <v>217</v>
      </c>
      <c r="F8105" s="2890">
        <v>2.2950223317475017E-3</v>
      </c>
      <c r="G8105" s="2890">
        <v>2.6173147264126357</v>
      </c>
    </row>
    <row r="8106" spans="2:7" ht="15" hidden="1" outlineLevel="2">
      <c r="B8106" s="2889" t="s">
        <v>1643</v>
      </c>
      <c r="C8106" s="2889" t="s">
        <v>1537</v>
      </c>
      <c r="D8106" s="2889" t="s">
        <v>1106</v>
      </c>
      <c r="E8106" s="2889" t="s">
        <v>217</v>
      </c>
      <c r="F8106" s="2890">
        <v>3.0923449505185165E-4</v>
      </c>
      <c r="G8106" s="2890">
        <v>0.35217815898544841</v>
      </c>
    </row>
    <row r="8107" spans="2:7" ht="15" hidden="1" outlineLevel="2">
      <c r="B8107" s="2889" t="s">
        <v>1644</v>
      </c>
      <c r="C8107" s="2889" t="s">
        <v>1537</v>
      </c>
      <c r="D8107" s="2889" t="s">
        <v>1106</v>
      </c>
      <c r="E8107" s="2889" t="s">
        <v>217</v>
      </c>
      <c r="F8107" s="2890">
        <v>4.2306560866032785E-3</v>
      </c>
      <c r="G8107" s="2890">
        <v>4.8445319263122704</v>
      </c>
    </row>
    <row r="8108" spans="2:7" ht="15" hidden="1" outlineLevel="2">
      <c r="B8108" s="2889" t="s">
        <v>1645</v>
      </c>
      <c r="C8108" s="2889" t="s">
        <v>1537</v>
      </c>
      <c r="D8108" s="2889" t="s">
        <v>1106</v>
      </c>
      <c r="E8108" s="2889" t="s">
        <v>217</v>
      </c>
      <c r="F8108" s="2890">
        <v>3.1062616410176057E-3</v>
      </c>
      <c r="G8108" s="2890">
        <v>3.5569839577936095</v>
      </c>
    </row>
    <row r="8109" spans="2:7" ht="15" hidden="1" outlineLevel="2">
      <c r="B8109" s="2889" t="s">
        <v>1646</v>
      </c>
      <c r="C8109" s="2889" t="s">
        <v>1537</v>
      </c>
      <c r="D8109" s="2889" t="s">
        <v>1106</v>
      </c>
      <c r="E8109" s="2889" t="s">
        <v>217</v>
      </c>
      <c r="F8109" s="2890">
        <v>2.5547785497349244E-4</v>
      </c>
      <c r="G8109" s="2890">
        <v>0.29135483954579589</v>
      </c>
    </row>
    <row r="8110" spans="2:7" ht="15" hidden="1" outlineLevel="2">
      <c r="B8110" s="2889" t="s">
        <v>1647</v>
      </c>
      <c r="C8110" s="2889" t="s">
        <v>1537</v>
      </c>
      <c r="D8110" s="2889" t="s">
        <v>1106</v>
      </c>
      <c r="E8110" s="2889" t="s">
        <v>217</v>
      </c>
      <c r="F8110" s="2890">
        <v>1.3693939060592072E-4</v>
      </c>
      <c r="G8110" s="2890">
        <v>0.15694818247347631</v>
      </c>
    </row>
    <row r="8111" spans="2:7" ht="15" hidden="1" outlineLevel="2">
      <c r="B8111" s="2889" t="s">
        <v>1648</v>
      </c>
      <c r="C8111" s="2889" t="s">
        <v>1537</v>
      </c>
      <c r="D8111" s="2889" t="s">
        <v>1106</v>
      </c>
      <c r="E8111" s="2889" t="s">
        <v>217</v>
      </c>
      <c r="F8111" s="2890">
        <v>9.3201000000954373E-5</v>
      </c>
      <c r="G8111" s="2890">
        <v>0.10681890258701691</v>
      </c>
    </row>
    <row r="8112" spans="2:7" ht="15" hidden="1" outlineLevel="2">
      <c r="B8112" s="2889" t="s">
        <v>1649</v>
      </c>
      <c r="C8112" s="2889" t="s">
        <v>1537</v>
      </c>
      <c r="D8112" s="2889" t="s">
        <v>1106</v>
      </c>
      <c r="E8112" s="2889" t="s">
        <v>217</v>
      </c>
      <c r="F8112" s="2890">
        <v>6.549018519723561E-4</v>
      </c>
      <c r="G8112" s="2890">
        <v>0.75059171434629057</v>
      </c>
    </row>
    <row r="8113" spans="2:7" ht="15" hidden="1" outlineLevel="2">
      <c r="B8113" s="2889" t="s">
        <v>1650</v>
      </c>
      <c r="C8113" s="2889" t="s">
        <v>1537</v>
      </c>
      <c r="D8113" s="2889" t="s">
        <v>1106</v>
      </c>
      <c r="E8113" s="2889" t="s">
        <v>217</v>
      </c>
      <c r="F8113" s="2890">
        <v>2.3723167304111467E-3</v>
      </c>
      <c r="G8113" s="2890">
        <v>2.6948646944734791</v>
      </c>
    </row>
    <row r="8114" spans="2:7" ht="15" hidden="1" outlineLevel="2">
      <c r="B8114" s="2889" t="s">
        <v>1651</v>
      </c>
      <c r="C8114" s="2889" t="s">
        <v>1537</v>
      </c>
      <c r="D8114" s="2889" t="s">
        <v>1106</v>
      </c>
      <c r="E8114" s="2889" t="s">
        <v>217</v>
      </c>
      <c r="F8114" s="2890">
        <v>1.1882757579932536E-3</v>
      </c>
      <c r="G8114" s="2890">
        <v>1.3619001888479747</v>
      </c>
    </row>
    <row r="8115" spans="2:7" ht="15" hidden="1" outlineLevel="2">
      <c r="B8115" s="2889" t="s">
        <v>1652</v>
      </c>
      <c r="C8115" s="2889" t="s">
        <v>1537</v>
      </c>
      <c r="D8115" s="2889" t="s">
        <v>1106</v>
      </c>
      <c r="E8115" s="2889" t="s">
        <v>217</v>
      </c>
      <c r="F8115" s="2890">
        <v>3.1086540177720164E-4</v>
      </c>
      <c r="G8115" s="2890">
        <v>0.3562873406800483</v>
      </c>
    </row>
    <row r="8116" spans="2:7" ht="15" hidden="1" outlineLevel="2">
      <c r="B8116" s="2889" t="s">
        <v>1653</v>
      </c>
      <c r="C8116" s="2889" t="s">
        <v>1537</v>
      </c>
      <c r="D8116" s="2889" t="s">
        <v>1106</v>
      </c>
      <c r="E8116" s="2889" t="s">
        <v>217</v>
      </c>
      <c r="F8116" s="2890">
        <v>5.6964773566100142E-3</v>
      </c>
      <c r="G8116" s="2890">
        <v>6.4964354852159119</v>
      </c>
    </row>
    <row r="8117" spans="2:7" ht="15" hidden="1" outlineLevel="2">
      <c r="B8117" s="2889" t="s">
        <v>1407</v>
      </c>
      <c r="C8117" s="2889" t="s">
        <v>1538</v>
      </c>
      <c r="D8117" s="2889" t="s">
        <v>1106</v>
      </c>
      <c r="E8117" s="2889" t="s">
        <v>217</v>
      </c>
      <c r="F8117" s="2890">
        <v>3.775422395862531E-4</v>
      </c>
      <c r="G8117" s="2890">
        <v>0.50614138875111869</v>
      </c>
    </row>
    <row r="8118" spans="2:7" ht="15" hidden="1" outlineLevel="2">
      <c r="B8118" s="2889" t="s">
        <v>1631</v>
      </c>
      <c r="C8118" s="2889" t="s">
        <v>1538</v>
      </c>
      <c r="D8118" s="2889" t="s">
        <v>1106</v>
      </c>
      <c r="E8118" s="2889" t="s">
        <v>217</v>
      </c>
      <c r="F8118" s="2890">
        <v>2.5881763704647827E-3</v>
      </c>
      <c r="G8118" s="2890">
        <v>3.4341572276266112</v>
      </c>
    </row>
    <row r="8119" spans="2:7" ht="15" hidden="1" outlineLevel="2">
      <c r="B8119" s="2889" t="s">
        <v>1632</v>
      </c>
      <c r="C8119" s="2889" t="s">
        <v>1538</v>
      </c>
      <c r="D8119" s="2889" t="s">
        <v>1106</v>
      </c>
      <c r="E8119" s="2889" t="s">
        <v>217</v>
      </c>
      <c r="F8119" s="2890">
        <v>3.9028893072190563E-3</v>
      </c>
      <c r="G8119" s="2890">
        <v>5.257269334617428</v>
      </c>
    </row>
    <row r="8120" spans="2:7" ht="15" hidden="1" outlineLevel="2">
      <c r="B8120" s="2889" t="s">
        <v>1633</v>
      </c>
      <c r="C8120" s="2889" t="s">
        <v>1538</v>
      </c>
      <c r="D8120" s="2889" t="s">
        <v>1106</v>
      </c>
      <c r="E8120" s="2889" t="s">
        <v>217</v>
      </c>
      <c r="F8120" s="2890">
        <v>4.0879212997327184E-4</v>
      </c>
      <c r="G8120" s="2890">
        <v>0.55337786939888889</v>
      </c>
    </row>
    <row r="8121" spans="2:7" ht="15" hidden="1" outlineLevel="2">
      <c r="B8121" s="2889" t="s">
        <v>1634</v>
      </c>
      <c r="C8121" s="2889" t="s">
        <v>1538</v>
      </c>
      <c r="D8121" s="2889" t="s">
        <v>1106</v>
      </c>
      <c r="E8121" s="2889" t="s">
        <v>217</v>
      </c>
      <c r="F8121" s="2890">
        <v>1.5317288986022376E-4</v>
      </c>
      <c r="G8121" s="2890">
        <v>0.20756876617431697</v>
      </c>
    </row>
    <row r="8122" spans="2:7" ht="15" hidden="1" outlineLevel="2">
      <c r="B8122" s="2889" t="s">
        <v>1635</v>
      </c>
      <c r="C8122" s="2889" t="s">
        <v>1538</v>
      </c>
      <c r="D8122" s="2889" t="s">
        <v>1106</v>
      </c>
      <c r="E8122" s="2889" t="s">
        <v>217</v>
      </c>
      <c r="F8122" s="2890">
        <v>8.0900580260024452E-4</v>
      </c>
      <c r="G8122" s="2890">
        <v>1.089746222763859</v>
      </c>
    </row>
    <row r="8123" spans="2:7" ht="15" hidden="1" outlineLevel="2">
      <c r="B8123" s="2889" t="s">
        <v>1636</v>
      </c>
      <c r="C8123" s="2889" t="s">
        <v>1538</v>
      </c>
      <c r="D8123" s="2889" t="s">
        <v>1106</v>
      </c>
      <c r="E8123" s="2889" t="s">
        <v>217</v>
      </c>
      <c r="F8123" s="2890">
        <v>4.5881660708079288E-4</v>
      </c>
      <c r="G8123" s="2890">
        <v>0.6180898021121467</v>
      </c>
    </row>
    <row r="8124" spans="2:7" ht="15" hidden="1" outlineLevel="2">
      <c r="B8124" s="2889" t="s">
        <v>1637</v>
      </c>
      <c r="C8124" s="2889" t="s">
        <v>1538</v>
      </c>
      <c r="D8124" s="2889" t="s">
        <v>1106</v>
      </c>
      <c r="E8124" s="2889" t="s">
        <v>217</v>
      </c>
      <c r="F8124" s="2890">
        <v>6.4783684540575717E-4</v>
      </c>
      <c r="G8124" s="2890">
        <v>0.87696995931548771</v>
      </c>
    </row>
    <row r="8125" spans="2:7" ht="15" hidden="1" outlineLevel="2">
      <c r="B8125" s="2889" t="s">
        <v>1638</v>
      </c>
      <c r="C8125" s="2889" t="s">
        <v>1538</v>
      </c>
      <c r="D8125" s="2889" t="s">
        <v>1106</v>
      </c>
      <c r="E8125" s="2889" t="s">
        <v>217</v>
      </c>
      <c r="F8125" s="2890">
        <v>1.5051906425468127E-4</v>
      </c>
      <c r="G8125" s="2890">
        <v>0.20392672490648989</v>
      </c>
    </row>
    <row r="8126" spans="2:7" ht="15" hidden="1" outlineLevel="2">
      <c r="B8126" s="2889" t="s">
        <v>1639</v>
      </c>
      <c r="C8126" s="2889" t="s">
        <v>1538</v>
      </c>
      <c r="D8126" s="2889" t="s">
        <v>1106</v>
      </c>
      <c r="E8126" s="2889" t="s">
        <v>217</v>
      </c>
      <c r="F8126" s="2890">
        <v>1.0565435987852298E-3</v>
      </c>
      <c r="G8126" s="2890">
        <v>1.4302329961680744</v>
      </c>
    </row>
    <row r="8127" spans="2:7" ht="15" hidden="1" outlineLevel="2">
      <c r="B8127" s="2889" t="s">
        <v>1640</v>
      </c>
      <c r="C8127" s="2889" t="s">
        <v>1538</v>
      </c>
      <c r="D8127" s="2889" t="s">
        <v>1106</v>
      </c>
      <c r="E8127" s="2889" t="s">
        <v>217</v>
      </c>
      <c r="F8127" s="2890">
        <v>1.5262594972066825E-4</v>
      </c>
      <c r="G8127" s="2890">
        <v>0.20461396624474662</v>
      </c>
    </row>
    <row r="8128" spans="2:7" ht="15" hidden="1" outlineLevel="2">
      <c r="B8128" s="2889" t="s">
        <v>1641</v>
      </c>
      <c r="C8128" s="2889" t="s">
        <v>1538</v>
      </c>
      <c r="D8128" s="2889" t="s">
        <v>1106</v>
      </c>
      <c r="E8128" s="2889" t="s">
        <v>217</v>
      </c>
      <c r="F8128" s="2890">
        <v>1.1544859187757458E-3</v>
      </c>
      <c r="G8128" s="2890">
        <v>1.5551150217003011</v>
      </c>
    </row>
    <row r="8129" spans="2:7" ht="15" hidden="1" outlineLevel="2">
      <c r="B8129" s="2889" t="s">
        <v>1642</v>
      </c>
      <c r="C8129" s="2889" t="s">
        <v>1538</v>
      </c>
      <c r="D8129" s="2889" t="s">
        <v>1106</v>
      </c>
      <c r="E8129" s="2889" t="s">
        <v>217</v>
      </c>
      <c r="F8129" s="2890">
        <v>1.3197170529481458E-3</v>
      </c>
      <c r="G8129" s="2890">
        <v>1.7776819619017958</v>
      </c>
    </row>
    <row r="8130" spans="2:7" ht="15" hidden="1" outlineLevel="2">
      <c r="B8130" s="2889" t="s">
        <v>1643</v>
      </c>
      <c r="C8130" s="2889" t="s">
        <v>1538</v>
      </c>
      <c r="D8130" s="2889" t="s">
        <v>1106</v>
      </c>
      <c r="E8130" s="2889" t="s">
        <v>217</v>
      </c>
      <c r="F8130" s="2890">
        <v>1.3506314818879659E-4</v>
      </c>
      <c r="G8130" s="2890">
        <v>0.18163281047114108</v>
      </c>
    </row>
    <row r="8131" spans="2:7" ht="15" hidden="1" outlineLevel="2">
      <c r="B8131" s="2889" t="s">
        <v>1644</v>
      </c>
      <c r="C8131" s="2889" t="s">
        <v>1538</v>
      </c>
      <c r="D8131" s="2889" t="s">
        <v>1106</v>
      </c>
      <c r="E8131" s="2889" t="s">
        <v>217</v>
      </c>
      <c r="F8131" s="2890">
        <v>4.5777593717603081E-3</v>
      </c>
      <c r="G8131" s="2890">
        <v>6.1968609689659724</v>
      </c>
    </row>
    <row r="8132" spans="2:7" ht="15" hidden="1" outlineLevel="2">
      <c r="B8132" s="2889" t="s">
        <v>1645</v>
      </c>
      <c r="C8132" s="2889" t="s">
        <v>1538</v>
      </c>
      <c r="D8132" s="2889" t="s">
        <v>1106</v>
      </c>
      <c r="E8132" s="2889" t="s">
        <v>217</v>
      </c>
      <c r="F8132" s="2890">
        <v>4.1821746874444159E-3</v>
      </c>
      <c r="G8132" s="2890">
        <v>5.6613650240587958</v>
      </c>
    </row>
    <row r="8133" spans="2:7" ht="15" hidden="1" outlineLevel="2">
      <c r="B8133" s="2889" t="s">
        <v>1646</v>
      </c>
      <c r="C8133" s="2889" t="s">
        <v>1538</v>
      </c>
      <c r="D8133" s="2889" t="s">
        <v>1106</v>
      </c>
      <c r="E8133" s="2889" t="s">
        <v>217</v>
      </c>
      <c r="F8133" s="2890">
        <v>2.1771436670036334E-4</v>
      </c>
      <c r="G8133" s="2890">
        <v>0.29326519810824753</v>
      </c>
    </row>
    <row r="8134" spans="2:7" ht="15" hidden="1" outlineLevel="2">
      <c r="B8134" s="2889" t="s">
        <v>1647</v>
      </c>
      <c r="C8134" s="2889" t="s">
        <v>1538</v>
      </c>
      <c r="D8134" s="2889" t="s">
        <v>1106</v>
      </c>
      <c r="E8134" s="2889" t="s">
        <v>217</v>
      </c>
      <c r="F8134" s="2890">
        <v>4.5401708472075431E-4</v>
      </c>
      <c r="G8134" s="2890">
        <v>0.61525046676664819</v>
      </c>
    </row>
    <row r="8135" spans="2:7" ht="15" hidden="1" outlineLevel="2">
      <c r="B8135" s="2889" t="s">
        <v>1648</v>
      </c>
      <c r="C8135" s="2889" t="s">
        <v>1538</v>
      </c>
      <c r="D8135" s="2889" t="s">
        <v>1106</v>
      </c>
      <c r="E8135" s="2889" t="s">
        <v>217</v>
      </c>
      <c r="F8135" s="2890">
        <v>1.2853155951164354E-4</v>
      </c>
      <c r="G8135" s="2890">
        <v>0.17417683096836992</v>
      </c>
    </row>
    <row r="8136" spans="2:7" ht="15" hidden="1" outlineLevel="2">
      <c r="B8136" s="2889" t="s">
        <v>1649</v>
      </c>
      <c r="C8136" s="2889" t="s">
        <v>1538</v>
      </c>
      <c r="D8136" s="2889" t="s">
        <v>1106</v>
      </c>
      <c r="E8136" s="2889" t="s">
        <v>217</v>
      </c>
      <c r="F8136" s="2890">
        <v>1.7346330663911083E-4</v>
      </c>
      <c r="G8136" s="2890">
        <v>0.2350649910864121</v>
      </c>
    </row>
    <row r="8137" spans="2:7" ht="15" hidden="1" outlineLevel="2">
      <c r="B8137" s="2889" t="s">
        <v>1650</v>
      </c>
      <c r="C8137" s="2889" t="s">
        <v>1538</v>
      </c>
      <c r="D8137" s="2889" t="s">
        <v>1106</v>
      </c>
      <c r="E8137" s="2889" t="s">
        <v>217</v>
      </c>
      <c r="F8137" s="2890">
        <v>6.8768265061129499E-4</v>
      </c>
      <c r="G8137" s="2890">
        <v>0.92192354191020531</v>
      </c>
    </row>
    <row r="8138" spans="2:7" ht="15" hidden="1" outlineLevel="2">
      <c r="B8138" s="2889" t="s">
        <v>1651</v>
      </c>
      <c r="C8138" s="2889" t="s">
        <v>1538</v>
      </c>
      <c r="D8138" s="2889" t="s">
        <v>1106</v>
      </c>
      <c r="E8138" s="2889" t="s">
        <v>217</v>
      </c>
      <c r="F8138" s="2890">
        <v>4.3489247538599325E-4</v>
      </c>
      <c r="G8138" s="2890">
        <v>0.58933428077303229</v>
      </c>
    </row>
    <row r="8139" spans="2:7" ht="15" hidden="1" outlineLevel="2">
      <c r="B8139" s="2889" t="s">
        <v>1652</v>
      </c>
      <c r="C8139" s="2889" t="s">
        <v>1538</v>
      </c>
      <c r="D8139" s="2889" t="s">
        <v>1106</v>
      </c>
      <c r="E8139" s="2889" t="s">
        <v>217</v>
      </c>
      <c r="F8139" s="2890">
        <v>2.4239552723012887E-4</v>
      </c>
      <c r="G8139" s="2890">
        <v>0.32847694756379531</v>
      </c>
    </row>
    <row r="8140" spans="2:7" ht="15" hidden="1" outlineLevel="2">
      <c r="B8140" s="2889" t="s">
        <v>1653</v>
      </c>
      <c r="C8140" s="2889" t="s">
        <v>1538</v>
      </c>
      <c r="D8140" s="2889" t="s">
        <v>1106</v>
      </c>
      <c r="E8140" s="2889" t="s">
        <v>217</v>
      </c>
      <c r="F8140" s="3039">
        <v>3.2301774922591652E-3</v>
      </c>
      <c r="G8140" s="2890">
        <v>4.3511063097358624</v>
      </c>
    </row>
    <row r="8141" spans="2:7" ht="15" hidden="1" outlineLevel="2">
      <c r="B8141" s="2889" t="s">
        <v>1407</v>
      </c>
      <c r="C8141" s="2889" t="s">
        <v>1539</v>
      </c>
      <c r="D8141" s="2889" t="s">
        <v>1106</v>
      </c>
      <c r="E8141" s="2889" t="s">
        <v>217</v>
      </c>
      <c r="F8141" s="3039">
        <v>3.8226915338767921E-4</v>
      </c>
      <c r="G8141" s="2890">
        <v>4.8680174919265484</v>
      </c>
    </row>
    <row r="8142" spans="2:7" ht="15" hidden="1" outlineLevel="2">
      <c r="B8142" s="2889" t="s">
        <v>1631</v>
      </c>
      <c r="C8142" s="2889" t="s">
        <v>1539</v>
      </c>
      <c r="D8142" s="2889" t="s">
        <v>1106</v>
      </c>
      <c r="E8142" s="2889" t="s">
        <v>217</v>
      </c>
      <c r="F8142" s="3039">
        <v>1.6365424220981153E-3</v>
      </c>
      <c r="G8142" s="2890">
        <v>20.626774585261938</v>
      </c>
    </row>
    <row r="8143" spans="2:7" ht="15" hidden="1" outlineLevel="2">
      <c r="B8143" s="2889" t="s">
        <v>1632</v>
      </c>
      <c r="C8143" s="2889" t="s">
        <v>1539</v>
      </c>
      <c r="D8143" s="2889" t="s">
        <v>1106</v>
      </c>
      <c r="E8143" s="2889" t="s">
        <v>217</v>
      </c>
      <c r="F8143" s="3039">
        <v>2.9502096061902881E-3</v>
      </c>
      <c r="G8143" s="2890">
        <v>37.748636254183637</v>
      </c>
    </row>
    <row r="8144" spans="2:7" ht="15" hidden="1" outlineLevel="2">
      <c r="B8144" s="2889" t="s">
        <v>1633</v>
      </c>
      <c r="C8144" s="2889" t="s">
        <v>1539</v>
      </c>
      <c r="D8144" s="2889" t="s">
        <v>1106</v>
      </c>
      <c r="E8144" s="2889" t="s">
        <v>217</v>
      </c>
      <c r="F8144" s="3039">
        <v>7.8552446349812731E-5</v>
      </c>
      <c r="G8144" s="2890">
        <v>1.0100913996089811</v>
      </c>
    </row>
    <row r="8145" spans="2:7" ht="15" hidden="1" outlineLevel="2">
      <c r="B8145" s="2889" t="s">
        <v>1634</v>
      </c>
      <c r="C8145" s="2889" t="s">
        <v>1539</v>
      </c>
      <c r="D8145" s="2889" t="s">
        <v>1106</v>
      </c>
      <c r="E8145" s="2889" t="s">
        <v>217</v>
      </c>
      <c r="F8145" s="3039">
        <v>1.9012136498010551E-4</v>
      </c>
      <c r="G8145" s="2890">
        <v>2.4473570607901189</v>
      </c>
    </row>
    <row r="8146" spans="2:7" ht="15" hidden="1" outlineLevel="2">
      <c r="B8146" s="2889" t="s">
        <v>1635</v>
      </c>
      <c r="C8146" s="2889" t="s">
        <v>1539</v>
      </c>
      <c r="D8146" s="2889" t="s">
        <v>1106</v>
      </c>
      <c r="E8146" s="2889" t="s">
        <v>217</v>
      </c>
      <c r="F8146" s="3039">
        <v>4.111747369712086E-4</v>
      </c>
      <c r="G8146" s="2890">
        <v>5.2610753393976406</v>
      </c>
    </row>
    <row r="8147" spans="2:7" ht="15" hidden="1" outlineLevel="2">
      <c r="B8147" s="2889" t="s">
        <v>1636</v>
      </c>
      <c r="C8147" s="2889" t="s">
        <v>1539</v>
      </c>
      <c r="D8147" s="2889" t="s">
        <v>1106</v>
      </c>
      <c r="E8147" s="2889" t="s">
        <v>217</v>
      </c>
      <c r="F8147" s="3039">
        <v>3.7497216011487389E-4</v>
      </c>
      <c r="G8147" s="2890">
        <v>4.7983015515885103</v>
      </c>
    </row>
    <row r="8148" spans="2:7" ht="15" hidden="1" outlineLevel="2">
      <c r="B8148" s="2889" t="s">
        <v>1637</v>
      </c>
      <c r="C8148" s="2889" t="s">
        <v>1539</v>
      </c>
      <c r="D8148" s="2889" t="s">
        <v>1106</v>
      </c>
      <c r="E8148" s="2889" t="s">
        <v>217</v>
      </c>
      <c r="F8148" s="3039">
        <v>1.2970950753968719E-4</v>
      </c>
      <c r="G8148" s="2890">
        <v>1.667911057742447</v>
      </c>
    </row>
    <row r="8149" spans="2:7" ht="15" hidden="1" outlineLevel="2">
      <c r="B8149" s="2889" t="s">
        <v>1638</v>
      </c>
      <c r="C8149" s="2889" t="s">
        <v>1539</v>
      </c>
      <c r="D8149" s="2889" t="s">
        <v>1106</v>
      </c>
      <c r="E8149" s="2889" t="s">
        <v>217</v>
      </c>
      <c r="F8149" s="3039">
        <v>2.6223767078717669E-4</v>
      </c>
      <c r="G8149" s="2890">
        <v>3.375244095325832</v>
      </c>
    </row>
    <row r="8150" spans="2:7" ht="15" hidden="1" outlineLevel="2">
      <c r="B8150" s="2889" t="s">
        <v>1639</v>
      </c>
      <c r="C8150" s="2889" t="s">
        <v>1539</v>
      </c>
      <c r="D8150" s="2889" t="s">
        <v>1106</v>
      </c>
      <c r="E8150" s="2889" t="s">
        <v>217</v>
      </c>
      <c r="F8150" s="3039">
        <v>9.9003711282573403E-4</v>
      </c>
      <c r="G8150" s="2890">
        <v>12.730700426417775</v>
      </c>
    </row>
    <row r="8151" spans="2:7" ht="15" hidden="1" outlineLevel="2">
      <c r="B8151" s="2889" t="s">
        <v>1640</v>
      </c>
      <c r="C8151" s="2889" t="s">
        <v>1539</v>
      </c>
      <c r="D8151" s="2889" t="s">
        <v>1106</v>
      </c>
      <c r="E8151" s="2889" t="s">
        <v>217</v>
      </c>
      <c r="F8151" s="3039">
        <v>9.824621602482957E-5</v>
      </c>
      <c r="G8151" s="2890">
        <v>1.2511181936089173</v>
      </c>
    </row>
    <row r="8152" spans="2:7" ht="15" hidden="1" outlineLevel="2">
      <c r="B8152" s="2889" t="s">
        <v>1641</v>
      </c>
      <c r="C8152" s="2889" t="s">
        <v>1539</v>
      </c>
      <c r="D8152" s="2889" t="s">
        <v>1106</v>
      </c>
      <c r="E8152" s="2889" t="s">
        <v>217</v>
      </c>
      <c r="F8152" s="3039">
        <v>6.6400027421077538E-4</v>
      </c>
      <c r="G8152" s="2890">
        <v>8.4960343084771068</v>
      </c>
    </row>
    <row r="8153" spans="2:7" ht="15" hidden="1" outlineLevel="2">
      <c r="B8153" s="2889" t="s">
        <v>1642</v>
      </c>
      <c r="C8153" s="2889" t="s">
        <v>1539</v>
      </c>
      <c r="D8153" s="2889" t="s">
        <v>1106</v>
      </c>
      <c r="E8153" s="2889" t="s">
        <v>217</v>
      </c>
      <c r="F8153" s="3039">
        <v>9.0181415583149313E-4</v>
      </c>
      <c r="G8153" s="2890">
        <v>11.538929113863654</v>
      </c>
    </row>
    <row r="8154" spans="2:7" ht="15" hidden="1" outlineLevel="2">
      <c r="B8154" s="2889" t="s">
        <v>1643</v>
      </c>
      <c r="C8154" s="2889" t="s">
        <v>1539</v>
      </c>
      <c r="D8154" s="2889" t="s">
        <v>1106</v>
      </c>
      <c r="E8154" s="2889" t="s">
        <v>217</v>
      </c>
      <c r="F8154" s="3039">
        <v>1.2154691796050467E-4</v>
      </c>
      <c r="G8154" s="2890">
        <v>1.552642774811215</v>
      </c>
    </row>
    <row r="8155" spans="2:7" ht="15" hidden="1" outlineLevel="2">
      <c r="B8155" s="2889" t="s">
        <v>1644</v>
      </c>
      <c r="C8155" s="2889" t="s">
        <v>1539</v>
      </c>
      <c r="D8155" s="2889" t="s">
        <v>1106</v>
      </c>
      <c r="E8155" s="2889" t="s">
        <v>217</v>
      </c>
      <c r="F8155" s="3039">
        <v>1.6609631478459186E-3</v>
      </c>
      <c r="G8155" s="2890">
        <v>21.358017978790173</v>
      </c>
    </row>
    <row r="8156" spans="2:7" ht="15" hidden="1" outlineLevel="2">
      <c r="B8156" s="2889" t="s">
        <v>1645</v>
      </c>
      <c r="C8156" s="2889" t="s">
        <v>1539</v>
      </c>
      <c r="D8156" s="2889" t="s">
        <v>1106</v>
      </c>
      <c r="E8156" s="2889" t="s">
        <v>217</v>
      </c>
      <c r="F8156" s="3039">
        <v>1.219524075342692E-3</v>
      </c>
      <c r="G8156" s="2890">
        <v>15.681627753870949</v>
      </c>
    </row>
    <row r="8157" spans="2:7" ht="15" hidden="1" outlineLevel="2">
      <c r="B8157" s="2889" t="s">
        <v>1646</v>
      </c>
      <c r="C8157" s="2889" t="s">
        <v>1539</v>
      </c>
      <c r="D8157" s="2889" t="s">
        <v>1106</v>
      </c>
      <c r="E8157" s="2889" t="s">
        <v>217</v>
      </c>
      <c r="F8157" s="3039">
        <v>1.0038832431166092E-4</v>
      </c>
      <c r="G8157" s="2890">
        <v>1.2844919049531394</v>
      </c>
    </row>
    <row r="8158" spans="2:7" ht="15" hidden="1" outlineLevel="2">
      <c r="B8158" s="2889" t="s">
        <v>1647</v>
      </c>
      <c r="C8158" s="2889" t="s">
        <v>1539</v>
      </c>
      <c r="D8158" s="2889" t="s">
        <v>1106</v>
      </c>
      <c r="E8158" s="2889" t="s">
        <v>217</v>
      </c>
      <c r="F8158" s="3039">
        <v>5.3752490277903612E-5</v>
      </c>
      <c r="G8158" s="2890">
        <v>0.6919351669083138</v>
      </c>
    </row>
    <row r="8159" spans="2:7" ht="15" hidden="1" outlineLevel="2">
      <c r="B8159" s="2889" t="s">
        <v>1648</v>
      </c>
      <c r="C8159" s="2889" t="s">
        <v>1539</v>
      </c>
      <c r="D8159" s="2889" t="s">
        <v>1106</v>
      </c>
      <c r="E8159" s="2889" t="s">
        <v>217</v>
      </c>
      <c r="F8159" s="3039">
        <v>3.6583953679926098E-5</v>
      </c>
      <c r="G8159" s="2890">
        <v>0.47093081766736555</v>
      </c>
    </row>
    <row r="8160" spans="2:7" ht="15" hidden="1" outlineLevel="2">
      <c r="B8160" s="2889" t="s">
        <v>1649</v>
      </c>
      <c r="C8160" s="2889" t="s">
        <v>1539</v>
      </c>
      <c r="D8160" s="2889" t="s">
        <v>1106</v>
      </c>
      <c r="E8160" s="2889" t="s">
        <v>217</v>
      </c>
      <c r="F8160" s="3039">
        <v>2.570670982875248E-4</v>
      </c>
      <c r="G8160" s="2890">
        <v>3.3091237003146241</v>
      </c>
    </row>
    <row r="8161" spans="2:7" ht="15" hidden="1" outlineLevel="2">
      <c r="B8161" s="2889" t="s">
        <v>1650</v>
      </c>
      <c r="C8161" s="2889" t="s">
        <v>1539</v>
      </c>
      <c r="D8161" s="2889" t="s">
        <v>1106</v>
      </c>
      <c r="E8161" s="2889" t="s">
        <v>217</v>
      </c>
      <c r="F8161" s="3039">
        <v>9.3296074384002997E-4</v>
      </c>
      <c r="G8161" s="2890">
        <v>11.880801968442666</v>
      </c>
    </row>
    <row r="8162" spans="2:7" ht="15" hidden="1" outlineLevel="2">
      <c r="B8162" s="2889" t="s">
        <v>1651</v>
      </c>
      <c r="C8162" s="2889" t="s">
        <v>1539</v>
      </c>
      <c r="D8162" s="2889" t="s">
        <v>1106</v>
      </c>
      <c r="E8162" s="2889" t="s">
        <v>217</v>
      </c>
      <c r="F8162" s="3039">
        <v>4.6643110265598105E-4</v>
      </c>
      <c r="G8162" s="2890">
        <v>6.0041765747264861</v>
      </c>
    </row>
    <row r="8163" spans="2:7" ht="15" hidden="1" outlineLevel="2">
      <c r="B8163" s="2889" t="s">
        <v>1652</v>
      </c>
      <c r="C8163" s="2889" t="s">
        <v>1539</v>
      </c>
      <c r="D8163" s="2889" t="s">
        <v>1106</v>
      </c>
      <c r="E8163" s="2889" t="s">
        <v>217</v>
      </c>
      <c r="F8163" s="3039">
        <v>1.2202335929890334E-4</v>
      </c>
      <c r="G8163" s="2890">
        <v>1.5707592380940749</v>
      </c>
    </row>
    <row r="8164" spans="2:7" ht="15" hidden="1" outlineLevel="2">
      <c r="B8164" s="2889" t="s">
        <v>1653</v>
      </c>
      <c r="C8164" s="2889" t="s">
        <v>1539</v>
      </c>
      <c r="D8164" s="2889" t="s">
        <v>1106</v>
      </c>
      <c r="E8164" s="2889" t="s">
        <v>217</v>
      </c>
      <c r="F8164" s="3039">
        <v>2.2383917843001189E-3</v>
      </c>
      <c r="G8164" s="2890">
        <v>28.640743724603901</v>
      </c>
    </row>
    <row r="8165" spans="2:7" ht="15" hidden="1" outlineLevel="2">
      <c r="B8165" s="2889" t="s">
        <v>1407</v>
      </c>
      <c r="C8165" s="2889" t="s">
        <v>1540</v>
      </c>
      <c r="D8165" s="2889" t="s">
        <v>1106</v>
      </c>
      <c r="E8165" s="2889" t="s">
        <v>1420</v>
      </c>
      <c r="F8165" s="2890">
        <v>1.6829863942939813E-2</v>
      </c>
      <c r="G8165" s="2890">
        <v>40.840492336706774</v>
      </c>
    </row>
    <row r="8166" spans="2:7" ht="15" hidden="1" outlineLevel="2">
      <c r="B8166" s="2889" t="s">
        <v>1631</v>
      </c>
      <c r="C8166" s="2889" t="s">
        <v>1540</v>
      </c>
      <c r="D8166" s="2889" t="s">
        <v>1106</v>
      </c>
      <c r="E8166" s="2889" t="s">
        <v>1420</v>
      </c>
      <c r="F8166" s="2890">
        <v>7.1311467527524999E-2</v>
      </c>
      <c r="G8166" s="2890">
        <v>173.04953761016941</v>
      </c>
    </row>
    <row r="8167" spans="2:7" ht="15" hidden="1" outlineLevel="2">
      <c r="B8167" s="2889" t="s">
        <v>1632</v>
      </c>
      <c r="C8167" s="2889" t="s">
        <v>1540</v>
      </c>
      <c r="D8167" s="2889" t="s">
        <v>1106</v>
      </c>
      <c r="E8167" s="2889" t="s">
        <v>1420</v>
      </c>
      <c r="F8167" s="2890">
        <v>0.13050580945821066</v>
      </c>
      <c r="G8167" s="2890">
        <v>316.69431884363593</v>
      </c>
    </row>
    <row r="8168" spans="2:7" ht="15" hidden="1" outlineLevel="2">
      <c r="B8168" s="2889" t="s">
        <v>1633</v>
      </c>
      <c r="C8168" s="2889" t="s">
        <v>1540</v>
      </c>
      <c r="D8168" s="2889" t="s">
        <v>1106</v>
      </c>
      <c r="E8168" s="2889" t="s">
        <v>1420</v>
      </c>
      <c r="F8168" s="2890">
        <v>3.4921202048535734E-3</v>
      </c>
      <c r="G8168" s="2890">
        <v>8.4742151460665447</v>
      </c>
    </row>
    <row r="8169" spans="2:7" ht="15" hidden="1" outlineLevel="2">
      <c r="B8169" s="2889" t="s">
        <v>1634</v>
      </c>
      <c r="C8169" s="2889" t="s">
        <v>1540</v>
      </c>
      <c r="D8169" s="2889" t="s">
        <v>1106</v>
      </c>
      <c r="E8169" s="2889" t="s">
        <v>1420</v>
      </c>
      <c r="F8169" s="2890">
        <v>8.4610778910747357E-3</v>
      </c>
      <c r="G8169" s="2890">
        <v>20.532238056335729</v>
      </c>
    </row>
    <row r="8170" spans="2:7" ht="15" hidden="1" outlineLevel="2">
      <c r="B8170" s="2889" t="s">
        <v>1635</v>
      </c>
      <c r="C8170" s="2889" t="s">
        <v>1540</v>
      </c>
      <c r="D8170" s="2889" t="s">
        <v>1106</v>
      </c>
      <c r="E8170" s="2889" t="s">
        <v>1420</v>
      </c>
      <c r="F8170" s="2890">
        <v>1.8188770734358001E-2</v>
      </c>
      <c r="G8170" s="2890">
        <v>44.138073361205642</v>
      </c>
    </row>
    <row r="8171" spans="2:7" ht="15" hidden="1" outlineLevel="2">
      <c r="B8171" s="2889" t="s">
        <v>1636</v>
      </c>
      <c r="C8171" s="2889" t="s">
        <v>1540</v>
      </c>
      <c r="D8171" s="2889" t="s">
        <v>1106</v>
      </c>
      <c r="E8171" s="2889" t="s">
        <v>1420</v>
      </c>
      <c r="F8171" s="2890">
        <v>1.6588842660710541E-2</v>
      </c>
      <c r="G8171" s="2890">
        <v>40.255614039022973</v>
      </c>
    </row>
    <row r="8172" spans="2:7" ht="15" hidden="1" outlineLevel="2">
      <c r="B8172" s="2889" t="s">
        <v>1637</v>
      </c>
      <c r="C8172" s="2889" t="s">
        <v>1540</v>
      </c>
      <c r="D8172" s="2889" t="s">
        <v>1106</v>
      </c>
      <c r="E8172" s="2889" t="s">
        <v>1420</v>
      </c>
      <c r="F8172" s="2890">
        <v>5.7663558551410247E-3</v>
      </c>
      <c r="G8172" s="2890">
        <v>13.993033509882629</v>
      </c>
    </row>
    <row r="8173" spans="2:7" ht="15" hidden="1" outlineLevel="2">
      <c r="B8173" s="2889" t="s">
        <v>1638</v>
      </c>
      <c r="C8173" s="2889" t="s">
        <v>1540</v>
      </c>
      <c r="D8173" s="2889" t="s">
        <v>1106</v>
      </c>
      <c r="E8173" s="2889" t="s">
        <v>1420</v>
      </c>
      <c r="F8173" s="2890">
        <v>1.1669009559080155E-2</v>
      </c>
      <c r="G8173" s="2890">
        <v>28.31680961693684</v>
      </c>
    </row>
    <row r="8174" spans="2:7" ht="15" hidden="1" outlineLevel="2">
      <c r="B8174" s="2889" t="s">
        <v>1639</v>
      </c>
      <c r="C8174" s="2889" t="s">
        <v>1540</v>
      </c>
      <c r="D8174" s="2889" t="s">
        <v>1106</v>
      </c>
      <c r="E8174" s="2889" t="s">
        <v>1420</v>
      </c>
      <c r="F8174" s="2890">
        <v>4.4013011623678155E-2</v>
      </c>
      <c r="G8174" s="2890">
        <v>106.80496310097892</v>
      </c>
    </row>
    <row r="8175" spans="2:7" ht="15" hidden="1" outlineLevel="2">
      <c r="B8175" s="2889" t="s">
        <v>1640</v>
      </c>
      <c r="C8175" s="2889" t="s">
        <v>1540</v>
      </c>
      <c r="D8175" s="2889" t="s">
        <v>1106</v>
      </c>
      <c r="E8175" s="2889" t="s">
        <v>1420</v>
      </c>
      <c r="F8175" s="2890">
        <v>4.3254081799267013E-3</v>
      </c>
      <c r="G8175" s="2890">
        <v>10.496336026259673</v>
      </c>
    </row>
    <row r="8176" spans="2:7" ht="15" hidden="1" outlineLevel="2">
      <c r="B8176" s="2889" t="s">
        <v>1641</v>
      </c>
      <c r="C8176" s="2889" t="s">
        <v>1540</v>
      </c>
      <c r="D8176" s="2889" t="s">
        <v>1106</v>
      </c>
      <c r="E8176" s="2889" t="s">
        <v>1420</v>
      </c>
      <c r="F8176" s="2890">
        <v>2.9372781034484555E-2</v>
      </c>
      <c r="G8176" s="2890">
        <v>71.277985785095211</v>
      </c>
    </row>
    <row r="8177" spans="2:7" ht="15" hidden="1" outlineLevel="2">
      <c r="B8177" s="2889" t="s">
        <v>1642</v>
      </c>
      <c r="C8177" s="2889" t="s">
        <v>1540</v>
      </c>
      <c r="D8177" s="2889" t="s">
        <v>1106</v>
      </c>
      <c r="E8177" s="2889" t="s">
        <v>1420</v>
      </c>
      <c r="F8177" s="2890">
        <v>3.9892720446140041E-2</v>
      </c>
      <c r="G8177" s="2890">
        <v>96.806416048824445</v>
      </c>
    </row>
    <row r="8178" spans="2:7" ht="15" hidden="1" outlineLevel="2">
      <c r="B8178" s="2889" t="s">
        <v>1643</v>
      </c>
      <c r="C8178" s="2889" t="s">
        <v>1540</v>
      </c>
      <c r="D8178" s="2889" t="s">
        <v>1106</v>
      </c>
      <c r="E8178" s="2889" t="s">
        <v>1420</v>
      </c>
      <c r="F8178" s="2890">
        <v>5.3678450638991685E-3</v>
      </c>
      <c r="G8178" s="2890">
        <v>13.0259819531119</v>
      </c>
    </row>
    <row r="8179" spans="2:7" ht="15" hidden="1" outlineLevel="2">
      <c r="B8179" s="2889" t="s">
        <v>1644</v>
      </c>
      <c r="C8179" s="2889" t="s">
        <v>1540</v>
      </c>
      <c r="D8179" s="2889" t="s">
        <v>1106</v>
      </c>
      <c r="E8179" s="2889" t="s">
        <v>1420</v>
      </c>
      <c r="F8179" s="2890">
        <v>7.383971435484217E-2</v>
      </c>
      <c r="G8179" s="2890">
        <v>179.18405288603662</v>
      </c>
    </row>
    <row r="8180" spans="2:7" ht="15" hidden="1" outlineLevel="2">
      <c r="B8180" s="2889" t="s">
        <v>1645</v>
      </c>
      <c r="C8180" s="2889" t="s">
        <v>1540</v>
      </c>
      <c r="D8180" s="2889" t="s">
        <v>1106</v>
      </c>
      <c r="E8180" s="2889" t="s">
        <v>1420</v>
      </c>
      <c r="F8180" s="2890">
        <v>5.421501868855666E-2</v>
      </c>
      <c r="G8180" s="2890">
        <v>131.56191213173574</v>
      </c>
    </row>
    <row r="8181" spans="2:7" ht="15" hidden="1" outlineLevel="2">
      <c r="B8181" s="2889" t="s">
        <v>1646</v>
      </c>
      <c r="C8181" s="2889" t="s">
        <v>1540</v>
      </c>
      <c r="D8181" s="2889" t="s">
        <v>1106</v>
      </c>
      <c r="E8181" s="2889" t="s">
        <v>1420</v>
      </c>
      <c r="F8181" s="2890">
        <v>4.4407843579916126E-3</v>
      </c>
      <c r="G8181" s="2890">
        <v>10.776319439406468</v>
      </c>
    </row>
    <row r="8182" spans="2:7" ht="15" hidden="1" outlineLevel="2">
      <c r="B8182" s="2889" t="s">
        <v>1647</v>
      </c>
      <c r="C8182" s="2889" t="s">
        <v>1540</v>
      </c>
      <c r="D8182" s="2889" t="s">
        <v>1106</v>
      </c>
      <c r="E8182" s="2889" t="s">
        <v>1420</v>
      </c>
      <c r="F8182" s="2890">
        <v>2.3921796283224283E-3</v>
      </c>
      <c r="G8182" s="2890">
        <v>5.8050236076506891</v>
      </c>
    </row>
    <row r="8183" spans="2:7" ht="15" hidden="1" outlineLevel="2">
      <c r="B8183" s="2889" t="s">
        <v>1648</v>
      </c>
      <c r="C8183" s="2889" t="s">
        <v>1540</v>
      </c>
      <c r="D8183" s="2889" t="s">
        <v>1106</v>
      </c>
      <c r="E8183" s="2889" t="s">
        <v>1420</v>
      </c>
      <c r="F8183" s="2890">
        <v>1.6281175781729365E-3</v>
      </c>
      <c r="G8183" s="2890">
        <v>3.9509019946379302</v>
      </c>
    </row>
    <row r="8184" spans="2:7" ht="15" hidden="1" outlineLevel="2">
      <c r="B8184" s="2889" t="s">
        <v>1649</v>
      </c>
      <c r="C8184" s="2889" t="s">
        <v>1540</v>
      </c>
      <c r="D8184" s="2889" t="s">
        <v>1106</v>
      </c>
      <c r="E8184" s="2889" t="s">
        <v>1420</v>
      </c>
      <c r="F8184" s="2890">
        <v>1.1440405210910186E-2</v>
      </c>
      <c r="G8184" s="2890">
        <v>27.762087493217734</v>
      </c>
    </row>
    <row r="8185" spans="2:7" ht="15" hidden="1" outlineLevel="2">
      <c r="B8185" s="2889" t="s">
        <v>1650</v>
      </c>
      <c r="C8185" s="2889" t="s">
        <v>1540</v>
      </c>
      <c r="D8185" s="2889" t="s">
        <v>1106</v>
      </c>
      <c r="E8185" s="2889" t="s">
        <v>1420</v>
      </c>
      <c r="F8185" s="3039">
        <v>4.1074718861622048E-2</v>
      </c>
      <c r="G8185" s="2890">
        <v>99.674694471250533</v>
      </c>
    </row>
    <row r="8186" spans="2:7" ht="15" hidden="1" outlineLevel="2">
      <c r="B8186" s="2889" t="s">
        <v>1651</v>
      </c>
      <c r="C8186" s="2889" t="s">
        <v>1540</v>
      </c>
      <c r="D8186" s="2889" t="s">
        <v>1106</v>
      </c>
      <c r="E8186" s="2889" t="s">
        <v>1420</v>
      </c>
      <c r="F8186" s="3039">
        <v>2.0757850449514097E-2</v>
      </c>
      <c r="G8186" s="2890">
        <v>50.372438933102387</v>
      </c>
    </row>
    <row r="8187" spans="2:7" ht="15" hidden="1" outlineLevel="2">
      <c r="B8187" s="2889" t="s">
        <v>1652</v>
      </c>
      <c r="C8187" s="2889" t="s">
        <v>1540</v>
      </c>
      <c r="D8187" s="2889" t="s">
        <v>1106</v>
      </c>
      <c r="E8187" s="2889" t="s">
        <v>1420</v>
      </c>
      <c r="F8187" s="3039">
        <v>5.430477497400138E-3</v>
      </c>
      <c r="G8187" s="2890">
        <v>13.177951153121224</v>
      </c>
    </row>
    <row r="8188" spans="2:7" ht="15" hidden="1" outlineLevel="2">
      <c r="B8188" s="2889" t="s">
        <v>1653</v>
      </c>
      <c r="C8188" s="2889" t="s">
        <v>1540</v>
      </c>
      <c r="D8188" s="2889" t="s">
        <v>1106</v>
      </c>
      <c r="E8188" s="2889" t="s">
        <v>1420</v>
      </c>
      <c r="F8188" s="3039">
        <v>9.9017798106393398E-2</v>
      </c>
      <c r="G8188" s="2890">
        <v>240.28327087222627</v>
      </c>
    </row>
    <row r="8189" spans="2:7" ht="15" hidden="1" outlineLevel="2">
      <c r="B8189" s="2889" t="s">
        <v>1407</v>
      </c>
      <c r="C8189" s="2889" t="s">
        <v>1541</v>
      </c>
      <c r="D8189" s="2889" t="s">
        <v>1106</v>
      </c>
      <c r="E8189" s="2889" t="s">
        <v>1420</v>
      </c>
      <c r="F8189" s="3039">
        <v>0.49046167252809003</v>
      </c>
      <c r="G8189" s="2890">
        <v>3610.9267438831225</v>
      </c>
    </row>
    <row r="8190" spans="2:7" ht="15" hidden="1" outlineLevel="2">
      <c r="B8190" s="2889" t="s">
        <v>1631</v>
      </c>
      <c r="C8190" s="2889" t="s">
        <v>1541</v>
      </c>
      <c r="D8190" s="2889" t="s">
        <v>1106</v>
      </c>
      <c r="E8190" s="2889" t="s">
        <v>1420</v>
      </c>
      <c r="F8190" s="3039">
        <v>2.0781860740434253</v>
      </c>
      <c r="G8190" s="2890">
        <v>15300.23373785902</v>
      </c>
    </row>
    <row r="8191" spans="2:7" ht="15" hidden="1" outlineLevel="2">
      <c r="B8191" s="2889" t="s">
        <v>1632</v>
      </c>
      <c r="C8191" s="2889" t="s">
        <v>1541</v>
      </c>
      <c r="D8191" s="2889" t="s">
        <v>1106</v>
      </c>
      <c r="E8191" s="2889" t="s">
        <v>1420</v>
      </c>
      <c r="F8191" s="3039">
        <v>3.8032456814703237</v>
      </c>
      <c r="G8191" s="2890">
        <v>28000.665075367171</v>
      </c>
    </row>
    <row r="8192" spans="2:7" ht="15" hidden="1" outlineLevel="2">
      <c r="B8192" s="2889" t="s">
        <v>1633</v>
      </c>
      <c r="C8192" s="2889" t="s">
        <v>1541</v>
      </c>
      <c r="D8192" s="2889" t="s">
        <v>1106</v>
      </c>
      <c r="E8192" s="2889" t="s">
        <v>1420</v>
      </c>
      <c r="F8192" s="2890">
        <v>0.10176856754011748</v>
      </c>
      <c r="G8192" s="2890">
        <v>749.25106335855753</v>
      </c>
    </row>
    <row r="8193" spans="2:7" ht="15" hidden="1" outlineLevel="2">
      <c r="B8193" s="2889" t="s">
        <v>1634</v>
      </c>
      <c r="C8193" s="2889" t="s">
        <v>1541</v>
      </c>
      <c r="D8193" s="2889" t="s">
        <v>1106</v>
      </c>
      <c r="E8193" s="2889" t="s">
        <v>1420</v>
      </c>
      <c r="F8193" s="2890">
        <v>0.24657585295971471</v>
      </c>
      <c r="G8193" s="2890">
        <v>1815.3658548215199</v>
      </c>
    </row>
    <row r="8194" spans="2:7" ht="15" hidden="1" outlineLevel="2">
      <c r="B8194" s="2889" t="s">
        <v>1635</v>
      </c>
      <c r="C8194" s="2889" t="s">
        <v>1541</v>
      </c>
      <c r="D8194" s="2889" t="s">
        <v>1106</v>
      </c>
      <c r="E8194" s="2889" t="s">
        <v>1420</v>
      </c>
      <c r="F8194" s="2890">
        <v>0.53006343595363592</v>
      </c>
      <c r="G8194" s="2890">
        <v>3902.487693211131</v>
      </c>
    </row>
    <row r="8195" spans="2:7" ht="15" hidden="1" outlineLevel="2">
      <c r="B8195" s="2889" t="s">
        <v>1636</v>
      </c>
      <c r="C8195" s="2889" t="s">
        <v>1541</v>
      </c>
      <c r="D8195" s="2889" t="s">
        <v>1106</v>
      </c>
      <c r="E8195" s="2889" t="s">
        <v>1420</v>
      </c>
      <c r="F8195" s="2890">
        <v>0.48343816729823702</v>
      </c>
      <c r="G8195" s="2890">
        <v>3559.2190575800587</v>
      </c>
    </row>
    <row r="8196" spans="2:7" ht="15" hidden="1" outlineLevel="2">
      <c r="B8196" s="2889" t="s">
        <v>1637</v>
      </c>
      <c r="C8196" s="2889" t="s">
        <v>1541</v>
      </c>
      <c r="D8196" s="2889" t="s">
        <v>1106</v>
      </c>
      <c r="E8196" s="2889" t="s">
        <v>1420</v>
      </c>
      <c r="F8196" s="2890">
        <v>0.16804520000692319</v>
      </c>
      <c r="G8196" s="2890">
        <v>1237.199990567354</v>
      </c>
    </row>
    <row r="8197" spans="2:7" ht="15" hidden="1" outlineLevel="2">
      <c r="B8197" s="2889" t="s">
        <v>1638</v>
      </c>
      <c r="C8197" s="2889" t="s">
        <v>1541</v>
      </c>
      <c r="D8197" s="2889" t="s">
        <v>1106</v>
      </c>
      <c r="E8197" s="2889" t="s">
        <v>1420</v>
      </c>
      <c r="F8197" s="2890">
        <v>0.34006254006987363</v>
      </c>
      <c r="G8197" s="2890">
        <v>2503.6424056226451</v>
      </c>
    </row>
    <row r="8198" spans="2:7" ht="15" hidden="1" outlineLevel="2">
      <c r="B8198" s="2889" t="s">
        <v>1639</v>
      </c>
      <c r="C8198" s="2889" t="s">
        <v>1541</v>
      </c>
      <c r="D8198" s="2889" t="s">
        <v>1106</v>
      </c>
      <c r="E8198" s="2889" t="s">
        <v>1420</v>
      </c>
      <c r="F8198" s="2890">
        <v>1.2826429374488209</v>
      </c>
      <c r="G8198" s="2890">
        <v>9443.204891356505</v>
      </c>
    </row>
    <row r="8199" spans="2:7" ht="15" hidden="1" outlineLevel="2">
      <c r="B8199" s="2889" t="s">
        <v>1640</v>
      </c>
      <c r="C8199" s="2889" t="s">
        <v>1541</v>
      </c>
      <c r="D8199" s="2889" t="s">
        <v>1106</v>
      </c>
      <c r="E8199" s="2889" t="s">
        <v>1420</v>
      </c>
      <c r="F8199" s="2890">
        <v>0.12605253904340688</v>
      </c>
      <c r="G8199" s="2890">
        <v>928.03727143853496</v>
      </c>
    </row>
    <row r="8200" spans="2:7" ht="15" hidden="1" outlineLevel="2">
      <c r="B8200" s="2889" t="s">
        <v>1641</v>
      </c>
      <c r="C8200" s="2889" t="s">
        <v>1541</v>
      </c>
      <c r="D8200" s="2889" t="s">
        <v>1106</v>
      </c>
      <c r="E8200" s="2889" t="s">
        <v>1420</v>
      </c>
      <c r="F8200" s="2890">
        <v>0.85599163135381018</v>
      </c>
      <c r="G8200" s="2890">
        <v>6302.0711690303615</v>
      </c>
    </row>
    <row r="8201" spans="2:7" ht="15" hidden="1" outlineLevel="2">
      <c r="B8201" s="2889" t="s">
        <v>1642</v>
      </c>
      <c r="C8201" s="2889" t="s">
        <v>1541</v>
      </c>
      <c r="D8201" s="2889" t="s">
        <v>1106</v>
      </c>
      <c r="E8201" s="2889" t="s">
        <v>1420</v>
      </c>
      <c r="F8201" s="2890">
        <v>1.1625678232194829</v>
      </c>
      <c r="G8201" s="2890">
        <v>8559.1757442013059</v>
      </c>
    </row>
    <row r="8202" spans="2:7" ht="15" hidden="1" outlineLevel="2">
      <c r="B8202" s="2889" t="s">
        <v>1643</v>
      </c>
      <c r="C8202" s="2889" t="s">
        <v>1541</v>
      </c>
      <c r="D8202" s="2889" t="s">
        <v>1106</v>
      </c>
      <c r="E8202" s="2889" t="s">
        <v>1420</v>
      </c>
      <c r="F8202" s="2890">
        <v>0.15643161639613287</v>
      </c>
      <c r="G8202" s="2890">
        <v>1151.6971029543286</v>
      </c>
    </row>
    <row r="8203" spans="2:7" ht="15" hidden="1" outlineLevel="2">
      <c r="B8203" s="2889" t="s">
        <v>1644</v>
      </c>
      <c r="C8203" s="2889" t="s">
        <v>1541</v>
      </c>
      <c r="D8203" s="2889" t="s">
        <v>1106</v>
      </c>
      <c r="E8203" s="2889" t="s">
        <v>1420</v>
      </c>
      <c r="F8203" s="2890">
        <v>2.1518602007222092</v>
      </c>
      <c r="G8203" s="2890">
        <v>15842.649600742825</v>
      </c>
    </row>
    <row r="8204" spans="2:7" ht="15" hidden="1" outlineLevel="2">
      <c r="B8204" s="2889" t="s">
        <v>1645</v>
      </c>
      <c r="C8204" s="2889" t="s">
        <v>1541</v>
      </c>
      <c r="D8204" s="2889" t="s">
        <v>1106</v>
      </c>
      <c r="E8204" s="2889" t="s">
        <v>1420</v>
      </c>
      <c r="F8204" s="2890">
        <v>1.5799529286285863</v>
      </c>
      <c r="G8204" s="2890">
        <v>11632.090134036021</v>
      </c>
    </row>
    <row r="8205" spans="2:7" ht="15" hidden="1" outlineLevel="2">
      <c r="B8205" s="2889" t="s">
        <v>1646</v>
      </c>
      <c r="C8205" s="2889" t="s">
        <v>1541</v>
      </c>
      <c r="D8205" s="2889" t="s">
        <v>1106</v>
      </c>
      <c r="E8205" s="2889" t="s">
        <v>1420</v>
      </c>
      <c r="F8205" s="2890">
        <v>0.12941497346061553</v>
      </c>
      <c r="G8205" s="2890">
        <v>952.79175273595547</v>
      </c>
    </row>
    <row r="8206" spans="2:7" ht="15" hidden="1" outlineLevel="2">
      <c r="B8206" s="2889" t="s">
        <v>1647</v>
      </c>
      <c r="C8206" s="2889" t="s">
        <v>1541</v>
      </c>
      <c r="D8206" s="2889" t="s">
        <v>1106</v>
      </c>
      <c r="E8206" s="2889" t="s">
        <v>1420</v>
      </c>
      <c r="F8206" s="2890">
        <v>6.9713717234819214E-2</v>
      </c>
      <c r="G8206" s="2890">
        <v>513.25351143596197</v>
      </c>
    </row>
    <row r="8207" spans="2:7" ht="15" hidden="1" outlineLevel="2">
      <c r="B8207" s="2889" t="s">
        <v>1648</v>
      </c>
      <c r="C8207" s="2889" t="s">
        <v>1541</v>
      </c>
      <c r="D8207" s="2889" t="s">
        <v>1106</v>
      </c>
      <c r="E8207" s="2889" t="s">
        <v>1420</v>
      </c>
      <c r="F8207" s="2890">
        <v>4.7447162702092288E-2</v>
      </c>
      <c r="G8207" s="2890">
        <v>349.3204265122759</v>
      </c>
    </row>
    <row r="8208" spans="2:7" ht="15" hidden="1" outlineLevel="2">
      <c r="B8208" s="2889" t="s">
        <v>1649</v>
      </c>
      <c r="C8208" s="2889" t="s">
        <v>1541</v>
      </c>
      <c r="D8208" s="2889" t="s">
        <v>1106</v>
      </c>
      <c r="E8208" s="2889" t="s">
        <v>1420</v>
      </c>
      <c r="F8208" s="2890">
        <v>0.33340033149680687</v>
      </c>
      <c r="G8208" s="2890">
        <v>2454.5966148854045</v>
      </c>
    </row>
    <row r="8209" spans="2:7" ht="15" hidden="1" outlineLevel="2">
      <c r="B8209" s="2889" t="s">
        <v>1650</v>
      </c>
      <c r="C8209" s="2889" t="s">
        <v>1541</v>
      </c>
      <c r="D8209" s="2889" t="s">
        <v>1106</v>
      </c>
      <c r="E8209" s="2889" t="s">
        <v>1420</v>
      </c>
      <c r="F8209" s="2890">
        <v>1.1970137801713574</v>
      </c>
      <c r="G8209" s="2890">
        <v>8812.7770496633439</v>
      </c>
    </row>
    <row r="8210" spans="2:7" ht="15" hidden="1" outlineLevel="2">
      <c r="B8210" s="2889" t="s">
        <v>1651</v>
      </c>
      <c r="C8210" s="2889" t="s">
        <v>1541</v>
      </c>
      <c r="D8210" s="2889" t="s">
        <v>1106</v>
      </c>
      <c r="E8210" s="2889" t="s">
        <v>1420</v>
      </c>
      <c r="F8210" s="2890">
        <v>0.60493278448590626</v>
      </c>
      <c r="G8210" s="2890">
        <v>4453.6990742271319</v>
      </c>
    </row>
    <row r="8211" spans="2:7" ht="15" hidden="1" outlineLevel="2">
      <c r="B8211" s="2889" t="s">
        <v>1652</v>
      </c>
      <c r="C8211" s="2889" t="s">
        <v>1541</v>
      </c>
      <c r="D8211" s="2889" t="s">
        <v>1106</v>
      </c>
      <c r="E8211" s="2889" t="s">
        <v>1420</v>
      </c>
      <c r="F8211" s="2890">
        <v>0.15825684174835072</v>
      </c>
      <c r="G8211" s="2890">
        <v>1165.1351279114042</v>
      </c>
    </row>
    <row r="8212" spans="2:7" ht="15" hidden="1" outlineLevel="2">
      <c r="B8212" s="2889" t="s">
        <v>1653</v>
      </c>
      <c r="C8212" s="2889" t="s">
        <v>1541</v>
      </c>
      <c r="D8212" s="2889" t="s">
        <v>1106</v>
      </c>
      <c r="E8212" s="2889" t="s">
        <v>1420</v>
      </c>
      <c r="F8212" s="2890">
        <v>2.8856085524843293</v>
      </c>
      <c r="G8212" s="2890">
        <v>21244.725851189654</v>
      </c>
    </row>
    <row r="8213" spans="2:7" ht="15" hidden="1" outlineLevel="2">
      <c r="B8213" s="2889" t="s">
        <v>1407</v>
      </c>
      <c r="C8213" s="2889" t="s">
        <v>1542</v>
      </c>
      <c r="D8213" s="2889" t="s">
        <v>1106</v>
      </c>
      <c r="E8213" s="2889" t="s">
        <v>1420</v>
      </c>
      <c r="F8213" s="2890">
        <v>2.3855812318781494E-3</v>
      </c>
      <c r="G8213" s="2890">
        <v>27.298695493587068</v>
      </c>
    </row>
    <row r="8214" spans="2:7" ht="15" hidden="1" outlineLevel="2">
      <c r="B8214" s="2889" t="s">
        <v>1631</v>
      </c>
      <c r="C8214" s="2889" t="s">
        <v>1542</v>
      </c>
      <c r="D8214" s="2889" t="s">
        <v>1106</v>
      </c>
      <c r="E8214" s="2889" t="s">
        <v>1420</v>
      </c>
      <c r="F8214" s="2890">
        <v>1.0108175199944737E-2</v>
      </c>
      <c r="G8214" s="2890">
        <v>115.670140503507</v>
      </c>
    </row>
    <row r="8215" spans="2:7" ht="15" hidden="1" outlineLevel="2">
      <c r="B8215" s="2889" t="s">
        <v>1632</v>
      </c>
      <c r="C8215" s="2889" t="s">
        <v>1542</v>
      </c>
      <c r="D8215" s="2889" t="s">
        <v>1106</v>
      </c>
      <c r="E8215" s="2889" t="s">
        <v>1420</v>
      </c>
      <c r="F8215" s="2890">
        <v>1.8498777830948668E-2</v>
      </c>
      <c r="G8215" s="2890">
        <v>211.68556849804608</v>
      </c>
    </row>
    <row r="8216" spans="2:7" ht="15" hidden="1" outlineLevel="2">
      <c r="B8216" s="2889" t="s">
        <v>1633</v>
      </c>
      <c r="C8216" s="2889" t="s">
        <v>1542</v>
      </c>
      <c r="D8216" s="2889" t="s">
        <v>1106</v>
      </c>
      <c r="E8216" s="2889" t="s">
        <v>1420</v>
      </c>
      <c r="F8216" s="2890">
        <v>4.9499665603211767E-4</v>
      </c>
      <c r="G8216" s="2890">
        <v>5.6643547122757489</v>
      </c>
    </row>
    <row r="8217" spans="2:7" ht="15" hidden="1" outlineLevel="2">
      <c r="B8217" s="2889" t="s">
        <v>1634</v>
      </c>
      <c r="C8217" s="2889" t="s">
        <v>1542</v>
      </c>
      <c r="D8217" s="2889" t="s">
        <v>1106</v>
      </c>
      <c r="E8217" s="2889" t="s">
        <v>1420</v>
      </c>
      <c r="F8217" s="2890">
        <v>1.1993313133291236E-3</v>
      </c>
      <c r="G8217" s="2890">
        <v>13.724196100194657</v>
      </c>
    </row>
    <row r="8218" spans="2:7" ht="15" hidden="1" outlineLevel="2">
      <c r="B8218" s="2889" t="s">
        <v>1635</v>
      </c>
      <c r="C8218" s="2889" t="s">
        <v>1542</v>
      </c>
      <c r="D8218" s="2889" t="s">
        <v>1106</v>
      </c>
      <c r="E8218" s="2889" t="s">
        <v>1420</v>
      </c>
      <c r="F8218" s="2890">
        <v>2.5782013150601009E-3</v>
      </c>
      <c r="G8218" s="2890">
        <v>29.502904387653061</v>
      </c>
    </row>
    <row r="8219" spans="2:7" ht="15" hidden="1" outlineLevel="2">
      <c r="B8219" s="2889" t="s">
        <v>1636</v>
      </c>
      <c r="C8219" s="2889" t="s">
        <v>1542</v>
      </c>
      <c r="D8219" s="2889" t="s">
        <v>1106</v>
      </c>
      <c r="E8219" s="2889" t="s">
        <v>1420</v>
      </c>
      <c r="F8219" s="2890">
        <v>2.3514146227456012E-3</v>
      </c>
      <c r="G8219" s="2890">
        <v>26.907772250030781</v>
      </c>
    </row>
    <row r="8220" spans="2:7" ht="15" hidden="1" outlineLevel="2">
      <c r="B8220" s="2889" t="s">
        <v>1637</v>
      </c>
      <c r="C8220" s="2889" t="s">
        <v>1542</v>
      </c>
      <c r="D8220" s="2889" t="s">
        <v>1106</v>
      </c>
      <c r="E8220" s="2889" t="s">
        <v>1420</v>
      </c>
      <c r="F8220" s="2890">
        <v>8.173619197144969E-4</v>
      </c>
      <c r="G8220" s="2890">
        <v>9.3532533369181419</v>
      </c>
    </row>
    <row r="8221" spans="2:7" ht="15" hidden="1" outlineLevel="2">
      <c r="B8221" s="2889" t="s">
        <v>1638</v>
      </c>
      <c r="C8221" s="2889" t="s">
        <v>1542</v>
      </c>
      <c r="D8221" s="2889" t="s">
        <v>1106</v>
      </c>
      <c r="E8221" s="2889" t="s">
        <v>1420</v>
      </c>
      <c r="F8221" s="2890">
        <v>1.6757923809407552E-3</v>
      </c>
      <c r="G8221" s="2890">
        <v>19.176478209783888</v>
      </c>
    </row>
    <row r="8222" spans="2:7" ht="15" hidden="1" outlineLevel="2">
      <c r="B8222" s="2889" t="s">
        <v>1639</v>
      </c>
      <c r="C8222" s="2889" t="s">
        <v>1542</v>
      </c>
      <c r="D8222" s="2889" t="s">
        <v>1106</v>
      </c>
      <c r="E8222" s="2889" t="s">
        <v>1420</v>
      </c>
      <c r="F8222" s="2890">
        <v>6.2387013173175561E-3</v>
      </c>
      <c r="G8222" s="2890">
        <v>71.390835777169869</v>
      </c>
    </row>
    <row r="8223" spans="2:7" ht="15" hidden="1" outlineLevel="2">
      <c r="B8223" s="2889" t="s">
        <v>1640</v>
      </c>
      <c r="C8223" s="2889" t="s">
        <v>1542</v>
      </c>
      <c r="D8223" s="2889" t="s">
        <v>1106</v>
      </c>
      <c r="E8223" s="2889" t="s">
        <v>1420</v>
      </c>
      <c r="F8223" s="2890">
        <v>6.1311264292078331E-4</v>
      </c>
      <c r="G8223" s="2890">
        <v>7.0159816734079632</v>
      </c>
    </row>
    <row r="8224" spans="2:7" ht="15" hidden="1" outlineLevel="2">
      <c r="B8224" s="2889" t="s">
        <v>1641</v>
      </c>
      <c r="C8224" s="2889" t="s">
        <v>1542</v>
      </c>
      <c r="D8224" s="2889" t="s">
        <v>1106</v>
      </c>
      <c r="E8224" s="2889" t="s">
        <v>1420</v>
      </c>
      <c r="F8224" s="3039">
        <v>4.1634972241179251E-3</v>
      </c>
      <c r="G8224" s="2890">
        <v>47.643789211216948</v>
      </c>
    </row>
    <row r="8225" spans="2:7" ht="15" hidden="1" outlineLevel="2">
      <c r="B8225" s="2889" t="s">
        <v>1642</v>
      </c>
      <c r="C8225" s="2889" t="s">
        <v>1542</v>
      </c>
      <c r="D8225" s="2889" t="s">
        <v>1106</v>
      </c>
      <c r="E8225" s="2889" t="s">
        <v>1420</v>
      </c>
      <c r="F8225" s="3039">
        <v>5.6546630784697263E-3</v>
      </c>
      <c r="G8225" s="2890">
        <v>64.707562138844494</v>
      </c>
    </row>
    <row r="8226" spans="2:7" ht="15" hidden="1" outlineLevel="2">
      <c r="B8226" s="2889" t="s">
        <v>1643</v>
      </c>
      <c r="C8226" s="2889" t="s">
        <v>1542</v>
      </c>
      <c r="D8226" s="2889" t="s">
        <v>1106</v>
      </c>
      <c r="E8226" s="2889" t="s">
        <v>1420</v>
      </c>
      <c r="F8226" s="3039">
        <v>7.6087460770295678E-4</v>
      </c>
      <c r="G8226" s="2890">
        <v>8.7068572931426154</v>
      </c>
    </row>
    <row r="8227" spans="2:7" ht="15" hidden="1" outlineLevel="2">
      <c r="B8227" s="2889" t="s">
        <v>1644</v>
      </c>
      <c r="C8227" s="2889" t="s">
        <v>1542</v>
      </c>
      <c r="D8227" s="2889" t="s">
        <v>1106</v>
      </c>
      <c r="E8227" s="2889" t="s">
        <v>1420</v>
      </c>
      <c r="F8227" s="3039">
        <v>1.0466526282762678E-2</v>
      </c>
      <c r="G8227" s="2890">
        <v>119.77074958424072</v>
      </c>
    </row>
    <row r="8228" spans="2:7" ht="15" hidden="1" outlineLevel="2">
      <c r="B8228" s="2889" t="s">
        <v>1645</v>
      </c>
      <c r="C8228" s="2889" t="s">
        <v>1542</v>
      </c>
      <c r="D8228" s="2889" t="s">
        <v>1106</v>
      </c>
      <c r="E8228" s="2889" t="s">
        <v>1420</v>
      </c>
      <c r="F8228" s="3039">
        <v>7.684805720649379E-3</v>
      </c>
      <c r="G8228" s="2890">
        <v>87.938894821083608</v>
      </c>
    </row>
    <row r="8229" spans="2:7" ht="15" hidden="1" outlineLevel="2">
      <c r="B8229" s="2889" t="s">
        <v>1646</v>
      </c>
      <c r="C8229" s="2889" t="s">
        <v>1542</v>
      </c>
      <c r="D8229" s="2889" t="s">
        <v>1106</v>
      </c>
      <c r="E8229" s="2889" t="s">
        <v>1420</v>
      </c>
      <c r="F8229" s="3039">
        <v>6.2946669002454029E-4</v>
      </c>
      <c r="G8229" s="2890">
        <v>7.2031293184143594</v>
      </c>
    </row>
    <row r="8230" spans="2:7" ht="15" hidden="1" outlineLevel="2">
      <c r="B8230" s="2889" t="s">
        <v>1647</v>
      </c>
      <c r="C8230" s="2889" t="s">
        <v>1542</v>
      </c>
      <c r="D8230" s="2889" t="s">
        <v>1106</v>
      </c>
      <c r="E8230" s="2889" t="s">
        <v>1420</v>
      </c>
      <c r="F8230" s="3039">
        <v>3.3908342031709055E-4</v>
      </c>
      <c r="G8230" s="2890">
        <v>3.8802086909968949</v>
      </c>
    </row>
    <row r="8231" spans="2:7" ht="15" hidden="1" outlineLevel="2">
      <c r="B8231" s="2889" t="s">
        <v>1648</v>
      </c>
      <c r="C8231" s="2889" t="s">
        <v>1542</v>
      </c>
      <c r="D8231" s="2889" t="s">
        <v>1106</v>
      </c>
      <c r="E8231" s="2889" t="s">
        <v>1420</v>
      </c>
      <c r="F8231" s="2890">
        <v>2.3078033902864024E-4</v>
      </c>
      <c r="G8231" s="2890">
        <v>2.6408710452683293</v>
      </c>
    </row>
    <row r="8232" spans="2:7" ht="15" hidden="1" outlineLevel="2">
      <c r="B8232" s="2889" t="s">
        <v>1649</v>
      </c>
      <c r="C8232" s="2889" t="s">
        <v>1542</v>
      </c>
      <c r="D8232" s="2889" t="s">
        <v>1106</v>
      </c>
      <c r="E8232" s="2889" t="s">
        <v>1420</v>
      </c>
      <c r="F8232" s="2890">
        <v>1.6216409522084745E-3</v>
      </c>
      <c r="G8232" s="2890">
        <v>18.556800159928262</v>
      </c>
    </row>
    <row r="8233" spans="2:7" ht="15" hidden="1" outlineLevel="2">
      <c r="B8233" s="2889" t="s">
        <v>1650</v>
      </c>
      <c r="C8233" s="2889" t="s">
        <v>1542</v>
      </c>
      <c r="D8233" s="2889" t="s">
        <v>1106</v>
      </c>
      <c r="E8233" s="2889" t="s">
        <v>1420</v>
      </c>
      <c r="F8233" s="2890">
        <v>5.8222033510104852E-3</v>
      </c>
      <c r="G8233" s="2890">
        <v>66.624785694858318</v>
      </c>
    </row>
    <row r="8234" spans="2:7" ht="15" hidden="1" outlineLevel="2">
      <c r="B8234" s="2889" t="s">
        <v>1651</v>
      </c>
      <c r="C8234" s="2889" t="s">
        <v>1542</v>
      </c>
      <c r="D8234" s="2889" t="s">
        <v>1106</v>
      </c>
      <c r="E8234" s="2889" t="s">
        <v>1420</v>
      </c>
      <c r="F8234" s="3039">
        <v>2.942358987565636E-3</v>
      </c>
      <c r="G8234" s="2890">
        <v>33.670065367858257</v>
      </c>
    </row>
    <row r="8235" spans="2:7" ht="15" hidden="1" outlineLevel="2">
      <c r="B8235" s="2889" t="s">
        <v>1652</v>
      </c>
      <c r="C8235" s="2889" t="s">
        <v>1542</v>
      </c>
      <c r="D8235" s="2889" t="s">
        <v>1106</v>
      </c>
      <c r="E8235" s="2889" t="s">
        <v>1420</v>
      </c>
      <c r="F8235" s="2890">
        <v>7.697521687407273E-4</v>
      </c>
      <c r="G8235" s="2890">
        <v>8.8084455105374921</v>
      </c>
    </row>
    <row r="8236" spans="2:7" ht="15" hidden="1" outlineLevel="2">
      <c r="B8236" s="2889" t="s">
        <v>1653</v>
      </c>
      <c r="C8236" s="2889" t="s">
        <v>1542</v>
      </c>
      <c r="D8236" s="2889" t="s">
        <v>1106</v>
      </c>
      <c r="E8236" s="2889" t="s">
        <v>1420</v>
      </c>
      <c r="F8236" s="2890">
        <v>1.4035448353310087E-2</v>
      </c>
      <c r="G8236" s="2890">
        <v>160.61064696722323</v>
      </c>
    </row>
    <row r="8237" spans="2:7" ht="15" hidden="1" outlineLevel="2">
      <c r="B8237" s="2889" t="s">
        <v>1407</v>
      </c>
      <c r="C8237" s="2889" t="s">
        <v>1543</v>
      </c>
      <c r="D8237" s="2889" t="s">
        <v>1106</v>
      </c>
      <c r="E8237" s="2889" t="s">
        <v>1420</v>
      </c>
      <c r="F8237" s="3039">
        <v>8.6447508423933791E-4</v>
      </c>
      <c r="G8237" s="2890">
        <v>8.4613329321624224</v>
      </c>
    </row>
    <row r="8238" spans="2:7" ht="15" hidden="1" outlineLevel="2">
      <c r="B8238" s="2889" t="s">
        <v>1631</v>
      </c>
      <c r="C8238" s="2889" t="s">
        <v>1543</v>
      </c>
      <c r="D8238" s="2889" t="s">
        <v>1106</v>
      </c>
      <c r="E8238" s="2889" t="s">
        <v>1420</v>
      </c>
      <c r="F8238" s="2890">
        <v>3.6629580724601659E-3</v>
      </c>
      <c r="G8238" s="2890">
        <v>35.852387243204284</v>
      </c>
    </row>
    <row r="8239" spans="2:7" ht="15" hidden="1" outlineLevel="2">
      <c r="B8239" s="2889" t="s">
        <v>1632</v>
      </c>
      <c r="C8239" s="2889" t="s">
        <v>1543</v>
      </c>
      <c r="D8239" s="2889" t="s">
        <v>1106</v>
      </c>
      <c r="E8239" s="2889" t="s">
        <v>1420</v>
      </c>
      <c r="F8239" s="2890">
        <v>6.7035007594920364E-3</v>
      </c>
      <c r="G8239" s="2890">
        <v>65.612711760304393</v>
      </c>
    </row>
    <row r="8240" spans="2:7" ht="15" hidden="1" outlineLevel="2">
      <c r="B8240" s="2889" t="s">
        <v>1633</v>
      </c>
      <c r="C8240" s="2889" t="s">
        <v>1543</v>
      </c>
      <c r="D8240" s="2889" t="s">
        <v>1106</v>
      </c>
      <c r="E8240" s="2889" t="s">
        <v>1420</v>
      </c>
      <c r="F8240" s="2890">
        <v>1.7937462793672393E-4</v>
      </c>
      <c r="G8240" s="2890">
        <v>1.7556900306118084</v>
      </c>
    </row>
    <row r="8241" spans="2:7" ht="15" hidden="1" outlineLevel="2">
      <c r="B8241" s="2889" t="s">
        <v>1634</v>
      </c>
      <c r="C8241" s="2889" t="s">
        <v>1543</v>
      </c>
      <c r="D8241" s="2889" t="s">
        <v>1106</v>
      </c>
      <c r="E8241" s="2889" t="s">
        <v>1420</v>
      </c>
      <c r="F8241" s="3039">
        <v>4.3460826028303564E-4</v>
      </c>
      <c r="G8241" s="2890">
        <v>4.2538685178079199</v>
      </c>
    </row>
    <row r="8242" spans="2:7" ht="15" hidden="1" outlineLevel="2">
      <c r="B8242" s="2889" t="s">
        <v>1635</v>
      </c>
      <c r="C8242" s="2889" t="s">
        <v>1543</v>
      </c>
      <c r="D8242" s="2889" t="s">
        <v>1106</v>
      </c>
      <c r="E8242" s="2889" t="s">
        <v>1420</v>
      </c>
      <c r="F8242" s="3039">
        <v>9.3427560436663945E-4</v>
      </c>
      <c r="G8242" s="2890">
        <v>9.1445300139070014</v>
      </c>
    </row>
    <row r="8243" spans="2:7" ht="15" hidden="1" outlineLevel="2">
      <c r="B8243" s="2889" t="s">
        <v>1636</v>
      </c>
      <c r="C8243" s="2889" t="s">
        <v>1543</v>
      </c>
      <c r="D8243" s="2889" t="s">
        <v>1106</v>
      </c>
      <c r="E8243" s="2889" t="s">
        <v>1420</v>
      </c>
      <c r="F8243" s="3039">
        <v>8.5209500953712584E-4</v>
      </c>
      <c r="G8243" s="2890">
        <v>8.3401602296176041</v>
      </c>
    </row>
    <row r="8244" spans="2:7" ht="15" hidden="1" outlineLevel="2">
      <c r="B8244" s="2889" t="s">
        <v>1637</v>
      </c>
      <c r="C8244" s="2889" t="s">
        <v>1543</v>
      </c>
      <c r="D8244" s="2889" t="s">
        <v>1106</v>
      </c>
      <c r="E8244" s="2889" t="s">
        <v>1420</v>
      </c>
      <c r="F8244" s="2890">
        <v>2.9619177637818544E-4</v>
      </c>
      <c r="G8244" s="2890">
        <v>2.8990767306870553</v>
      </c>
    </row>
    <row r="8245" spans="2:7" ht="15" hidden="1" outlineLevel="2">
      <c r="B8245" s="2889" t="s">
        <v>1638</v>
      </c>
      <c r="C8245" s="2889" t="s">
        <v>1543</v>
      </c>
      <c r="D8245" s="2889" t="s">
        <v>1106</v>
      </c>
      <c r="E8245" s="2889" t="s">
        <v>1420</v>
      </c>
      <c r="F8245" s="2890">
        <v>6.0726603593287427E-4</v>
      </c>
      <c r="G8245" s="2890">
        <v>5.9438144746150563</v>
      </c>
    </row>
    <row r="8246" spans="2:7" ht="15" hidden="1" outlineLevel="2">
      <c r="B8246" s="2889" t="s">
        <v>1639</v>
      </c>
      <c r="C8246" s="2889" t="s">
        <v>1543</v>
      </c>
      <c r="D8246" s="2889" t="s">
        <v>1106</v>
      </c>
      <c r="E8246" s="2889" t="s">
        <v>1420</v>
      </c>
      <c r="F8246" s="2890">
        <v>2.2607525413261232E-3</v>
      </c>
      <c r="G8246" s="2890">
        <v>22.127855621367129</v>
      </c>
    </row>
    <row r="8247" spans="2:7" ht="15" hidden="1" outlineLevel="2">
      <c r="B8247" s="2889" t="s">
        <v>1640</v>
      </c>
      <c r="C8247" s="2889" t="s">
        <v>1543</v>
      </c>
      <c r="D8247" s="2889" t="s">
        <v>1106</v>
      </c>
      <c r="E8247" s="2889" t="s">
        <v>1420</v>
      </c>
      <c r="F8247" s="2890">
        <v>2.2217695737063707E-4</v>
      </c>
      <c r="G8247" s="2890">
        <v>2.1746295248166079</v>
      </c>
    </row>
    <row r="8248" spans="2:7" ht="15" hidden="1" outlineLevel="2">
      <c r="B8248" s="2889" t="s">
        <v>1641</v>
      </c>
      <c r="C8248" s="2889" t="s">
        <v>1543</v>
      </c>
      <c r="D8248" s="2889" t="s">
        <v>1106</v>
      </c>
      <c r="E8248" s="2889" t="s">
        <v>1420</v>
      </c>
      <c r="F8248" s="2890">
        <v>1.5087482904487047E-3</v>
      </c>
      <c r="G8248" s="2890">
        <v>14.767377802840413</v>
      </c>
    </row>
    <row r="8249" spans="2:7" ht="15" hidden="1" outlineLevel="2">
      <c r="B8249" s="2889" t="s">
        <v>1642</v>
      </c>
      <c r="C8249" s="2889" t="s">
        <v>1543</v>
      </c>
      <c r="D8249" s="2889" t="s">
        <v>1106</v>
      </c>
      <c r="E8249" s="2889" t="s">
        <v>1420</v>
      </c>
      <c r="F8249" s="2890">
        <v>2.0491119082669401E-3</v>
      </c>
      <c r="G8249" s="2890">
        <v>20.056360963778129</v>
      </c>
    </row>
    <row r="8250" spans="2:7" ht="15" hidden="1" outlineLevel="2">
      <c r="B8250" s="2889" t="s">
        <v>1643</v>
      </c>
      <c r="C8250" s="2889" t="s">
        <v>1543</v>
      </c>
      <c r="D8250" s="2889" t="s">
        <v>1106</v>
      </c>
      <c r="E8250" s="2889" t="s">
        <v>1420</v>
      </c>
      <c r="F8250" s="2890">
        <v>2.7572237382223326E-4</v>
      </c>
      <c r="G8250" s="2890">
        <v>2.6987227778912408</v>
      </c>
    </row>
    <row r="8251" spans="2:7" ht="15" hidden="1" outlineLevel="2">
      <c r="B8251" s="2889" t="s">
        <v>1644</v>
      </c>
      <c r="C8251" s="2889" t="s">
        <v>1543</v>
      </c>
      <c r="D8251" s="2889" t="s">
        <v>1106</v>
      </c>
      <c r="E8251" s="2889" t="s">
        <v>1420</v>
      </c>
      <c r="F8251" s="2890">
        <v>3.7928102515697205E-3</v>
      </c>
      <c r="G8251" s="2890">
        <v>37.123385677538877</v>
      </c>
    </row>
    <row r="8252" spans="2:7" ht="15" hidden="1" outlineLevel="2">
      <c r="B8252" s="2889" t="s">
        <v>1645</v>
      </c>
      <c r="C8252" s="2889" t="s">
        <v>1543</v>
      </c>
      <c r="D8252" s="2889" t="s">
        <v>1106</v>
      </c>
      <c r="E8252" s="2889" t="s">
        <v>1420</v>
      </c>
      <c r="F8252" s="2890">
        <v>2.7847852343186354E-3</v>
      </c>
      <c r="G8252" s="2890">
        <v>27.25698604891722</v>
      </c>
    </row>
    <row r="8253" spans="2:7" ht="15" hidden="1" outlineLevel="2">
      <c r="B8253" s="2889" t="s">
        <v>1646</v>
      </c>
      <c r="C8253" s="2889" t="s">
        <v>1543</v>
      </c>
      <c r="D8253" s="2889" t="s">
        <v>1106</v>
      </c>
      <c r="E8253" s="2889" t="s">
        <v>1420</v>
      </c>
      <c r="F8253" s="2890">
        <v>2.2810347171911124E-4</v>
      </c>
      <c r="G8253" s="2890">
        <v>2.2326355767438679</v>
      </c>
    </row>
    <row r="8254" spans="2:7" ht="15" hidden="1" outlineLevel="2">
      <c r="B8254" s="2889" t="s">
        <v>1647</v>
      </c>
      <c r="C8254" s="2889" t="s">
        <v>1543</v>
      </c>
      <c r="D8254" s="2889" t="s">
        <v>1106</v>
      </c>
      <c r="E8254" s="2889" t="s">
        <v>1420</v>
      </c>
      <c r="F8254" s="2890">
        <v>1.2287561143883253E-4</v>
      </c>
      <c r="G8254" s="2890">
        <v>1.20268487491283</v>
      </c>
    </row>
    <row r="8255" spans="2:7" ht="15" hidden="1" outlineLevel="2">
      <c r="B8255" s="2889" t="s">
        <v>1648</v>
      </c>
      <c r="C8255" s="2889" t="s">
        <v>1543</v>
      </c>
      <c r="D8255" s="2889" t="s">
        <v>1106</v>
      </c>
      <c r="E8255" s="2889" t="s">
        <v>1420</v>
      </c>
      <c r="F8255" s="3039">
        <v>8.3629162400639711E-5</v>
      </c>
      <c r="G8255" s="2890">
        <v>0.81854761578141866</v>
      </c>
    </row>
    <row r="8256" spans="2:7" ht="15" hidden="1" outlineLevel="2">
      <c r="B8256" s="2889" t="s">
        <v>1649</v>
      </c>
      <c r="C8256" s="2889" t="s">
        <v>1543</v>
      </c>
      <c r="D8256" s="2889" t="s">
        <v>1106</v>
      </c>
      <c r="E8256" s="2889" t="s">
        <v>1420</v>
      </c>
      <c r="F8256" s="3039">
        <v>5.8764279587918892E-4</v>
      </c>
      <c r="G8256" s="2890">
        <v>5.7517445238085676</v>
      </c>
    </row>
    <row r="8257" spans="2:7" ht="15" hidden="1" outlineLevel="2">
      <c r="B8257" s="2889" t="s">
        <v>1650</v>
      </c>
      <c r="C8257" s="2889" t="s">
        <v>1543</v>
      </c>
      <c r="D8257" s="2889" t="s">
        <v>1106</v>
      </c>
      <c r="E8257" s="2889" t="s">
        <v>1420</v>
      </c>
      <c r="F8257" s="2890">
        <v>2.109825372144145E-3</v>
      </c>
      <c r="G8257" s="2890">
        <v>20.650585579218735</v>
      </c>
    </row>
    <row r="8258" spans="2:7" ht="15" hidden="1" outlineLevel="2">
      <c r="B8258" s="2889" t="s">
        <v>1651</v>
      </c>
      <c r="C8258" s="2889" t="s">
        <v>1543</v>
      </c>
      <c r="D8258" s="2889" t="s">
        <v>1106</v>
      </c>
      <c r="E8258" s="2889" t="s">
        <v>1420</v>
      </c>
      <c r="F8258" s="2890">
        <v>1.0662384328488351E-3</v>
      </c>
      <c r="G8258" s="2890">
        <v>10.436150251267705</v>
      </c>
    </row>
    <row r="8259" spans="2:7" ht="15" hidden="1" outlineLevel="2">
      <c r="B8259" s="2889" t="s">
        <v>1652</v>
      </c>
      <c r="C8259" s="2889" t="s">
        <v>1543</v>
      </c>
      <c r="D8259" s="2889" t="s">
        <v>1106</v>
      </c>
      <c r="E8259" s="2889" t="s">
        <v>1420</v>
      </c>
      <c r="F8259" s="2890">
        <v>2.7893944456037096E-4</v>
      </c>
      <c r="G8259" s="2890">
        <v>2.7302120800991432</v>
      </c>
    </row>
    <row r="8260" spans="2:7" ht="15" hidden="1" outlineLevel="2">
      <c r="B8260" s="2889" t="s">
        <v>1653</v>
      </c>
      <c r="C8260" s="2889" t="s">
        <v>1543</v>
      </c>
      <c r="D8260" s="2889" t="s">
        <v>1106</v>
      </c>
      <c r="E8260" s="2889" t="s">
        <v>1420</v>
      </c>
      <c r="F8260" s="2890">
        <v>5.0861021733914075E-3</v>
      </c>
      <c r="G8260" s="2890">
        <v>49.781881622611223</v>
      </c>
    </row>
    <row r="8261" spans="2:7" ht="15" hidden="1" outlineLevel="2">
      <c r="B8261" s="2889" t="s">
        <v>1407</v>
      </c>
      <c r="C8261" s="2889" t="s">
        <v>1544</v>
      </c>
      <c r="D8261" s="2889" t="s">
        <v>1106</v>
      </c>
      <c r="E8261" s="2889" t="s">
        <v>1420</v>
      </c>
      <c r="F8261" s="2890">
        <v>8.3556376516019681E-4</v>
      </c>
      <c r="G8261" s="2890">
        <v>2.1831714079490294</v>
      </c>
    </row>
    <row r="8262" spans="2:7" ht="15" hidden="1" outlineLevel="2">
      <c r="B8262" s="2889" t="s">
        <v>1631</v>
      </c>
      <c r="C8262" s="2889" t="s">
        <v>1544</v>
      </c>
      <c r="D8262" s="2889" t="s">
        <v>1106</v>
      </c>
      <c r="E8262" s="2889" t="s">
        <v>1420</v>
      </c>
      <c r="F8262" s="2890">
        <v>3.5404539671011048E-3</v>
      </c>
      <c r="G8262" s="2890">
        <v>9.2505299541467547</v>
      </c>
    </row>
    <row r="8263" spans="2:7" ht="15" hidden="1" outlineLevel="2">
      <c r="B8263" s="2889" t="s">
        <v>1632</v>
      </c>
      <c r="C8263" s="2889" t="s">
        <v>1544</v>
      </c>
      <c r="D8263" s="2889" t="s">
        <v>1106</v>
      </c>
      <c r="E8263" s="2889" t="s">
        <v>1420</v>
      </c>
      <c r="F8263" s="2890">
        <v>6.4793189664884929E-3</v>
      </c>
      <c r="G8263" s="2890">
        <v>16.929225060670852</v>
      </c>
    </row>
    <row r="8264" spans="2:7" ht="15" hidden="1" outlineLevel="2">
      <c r="B8264" s="2889" t="s">
        <v>1633</v>
      </c>
      <c r="C8264" s="2889" t="s">
        <v>1544</v>
      </c>
      <c r="D8264" s="2889" t="s">
        <v>1106</v>
      </c>
      <c r="E8264" s="2889" t="s">
        <v>1420</v>
      </c>
      <c r="F8264" s="2890">
        <v>1.7337585258684089E-4</v>
      </c>
      <c r="G8264" s="2890">
        <v>0.45299808414371145</v>
      </c>
    </row>
    <row r="8265" spans="2:7" ht="15" hidden="1" outlineLevel="2">
      <c r="B8265" s="2889" t="s">
        <v>1634</v>
      </c>
      <c r="C8265" s="2889" t="s">
        <v>1544</v>
      </c>
      <c r="D8265" s="2889" t="s">
        <v>1106</v>
      </c>
      <c r="E8265" s="2889" t="s">
        <v>1420</v>
      </c>
      <c r="F8265" s="2890">
        <v>4.2007322837978663E-4</v>
      </c>
      <c r="G8265" s="2890">
        <v>1.0975721291122125</v>
      </c>
    </row>
    <row r="8266" spans="2:7" ht="15" hidden="1" outlineLevel="2">
      <c r="B8266" s="2889" t="s">
        <v>1635</v>
      </c>
      <c r="C8266" s="2889" t="s">
        <v>1544</v>
      </c>
      <c r="D8266" s="2889" t="s">
        <v>1106</v>
      </c>
      <c r="E8266" s="2889" t="s">
        <v>1420</v>
      </c>
      <c r="F8266" s="2890">
        <v>9.030310500776239E-4</v>
      </c>
      <c r="G8266" s="2890">
        <v>2.3594475588055364</v>
      </c>
    </row>
    <row r="8267" spans="2:7" ht="15" hidden="1" outlineLevel="2">
      <c r="B8267" s="2889" t="s">
        <v>1636</v>
      </c>
      <c r="C8267" s="2889" t="s">
        <v>1544</v>
      </c>
      <c r="D8267" s="2889" t="s">
        <v>1106</v>
      </c>
      <c r="E8267" s="2889" t="s">
        <v>1420</v>
      </c>
      <c r="F8267" s="2890">
        <v>8.2359878461067454E-4</v>
      </c>
      <c r="G8267" s="2890">
        <v>2.1519070645942646</v>
      </c>
    </row>
    <row r="8268" spans="2:7" ht="15" hidden="1" outlineLevel="2">
      <c r="B8268" s="2889" t="s">
        <v>1637</v>
      </c>
      <c r="C8268" s="2889" t="s">
        <v>1544</v>
      </c>
      <c r="D8268" s="2889" t="s">
        <v>1106</v>
      </c>
      <c r="E8268" s="2889" t="s">
        <v>1420</v>
      </c>
      <c r="F8268" s="2890">
        <v>2.8628641042086056E-4</v>
      </c>
      <c r="G8268" s="2890">
        <v>0.74801187827796256</v>
      </c>
    </row>
    <row r="8269" spans="2:7" ht="15" hidden="1" outlineLevel="2">
      <c r="B8269" s="2889" t="s">
        <v>1638</v>
      </c>
      <c r="C8269" s="2889" t="s">
        <v>1544</v>
      </c>
      <c r="D8269" s="2889" t="s">
        <v>1106</v>
      </c>
      <c r="E8269" s="2889" t="s">
        <v>1420</v>
      </c>
      <c r="F8269" s="2890">
        <v>5.8695671903938025E-4</v>
      </c>
      <c r="G8269" s="2890">
        <v>1.5336071117364756</v>
      </c>
    </row>
    <row r="8270" spans="2:7" ht="15" hidden="1" outlineLevel="2">
      <c r="B8270" s="2889" t="s">
        <v>1639</v>
      </c>
      <c r="C8270" s="2889" t="s">
        <v>1544</v>
      </c>
      <c r="D8270" s="2889" t="s">
        <v>1106</v>
      </c>
      <c r="E8270" s="2889" t="s">
        <v>1420</v>
      </c>
      <c r="F8270" s="2890">
        <v>2.1851440458377238E-3</v>
      </c>
      <c r="G8270" s="2890">
        <v>5.7093725881125676</v>
      </c>
    </row>
    <row r="8271" spans="2:7" ht="15" hidden="1" outlineLevel="2">
      <c r="B8271" s="2889" t="s">
        <v>1640</v>
      </c>
      <c r="C8271" s="2889" t="s">
        <v>1544</v>
      </c>
      <c r="D8271" s="2889" t="s">
        <v>1106</v>
      </c>
      <c r="E8271" s="2889" t="s">
        <v>1420</v>
      </c>
      <c r="F8271" s="2890">
        <v>2.147465100487325E-4</v>
      </c>
      <c r="G8271" s="2890">
        <v>0.56109197482939177</v>
      </c>
    </row>
    <row r="8272" spans="2:7" ht="15" hidden="1" outlineLevel="2">
      <c r="B8272" s="2889" t="s">
        <v>1641</v>
      </c>
      <c r="C8272" s="2889" t="s">
        <v>1544</v>
      </c>
      <c r="D8272" s="2889" t="s">
        <v>1106</v>
      </c>
      <c r="E8272" s="2889" t="s">
        <v>1420</v>
      </c>
      <c r="F8272" s="3039">
        <v>1.458291565600433E-3</v>
      </c>
      <c r="G8272" s="2890">
        <v>3.8102376035363026</v>
      </c>
    </row>
    <row r="8273" spans="2:7" ht="15" hidden="1" outlineLevel="2">
      <c r="B8273" s="2889" t="s">
        <v>1642</v>
      </c>
      <c r="C8273" s="2889" t="s">
        <v>1544</v>
      </c>
      <c r="D8273" s="2889" t="s">
        <v>1106</v>
      </c>
      <c r="E8273" s="2889" t="s">
        <v>1420</v>
      </c>
      <c r="F8273" s="3039">
        <v>1.9805825125255023E-3</v>
      </c>
      <c r="G8273" s="2890">
        <v>5.1748873256766039</v>
      </c>
    </row>
    <row r="8274" spans="2:7" ht="15" hidden="1" outlineLevel="2">
      <c r="B8274" s="2889" t="s">
        <v>1643</v>
      </c>
      <c r="C8274" s="2889" t="s">
        <v>1544</v>
      </c>
      <c r="D8274" s="2889" t="s">
        <v>1106</v>
      </c>
      <c r="E8274" s="2889" t="s">
        <v>1420</v>
      </c>
      <c r="F8274" s="3039">
        <v>2.665012082760456E-4</v>
      </c>
      <c r="G8274" s="2890">
        <v>0.69631741617919218</v>
      </c>
    </row>
    <row r="8275" spans="2:7" ht="15" hidden="1" outlineLevel="2">
      <c r="B8275" s="2889" t="s">
        <v>1644</v>
      </c>
      <c r="C8275" s="2889" t="s">
        <v>1544</v>
      </c>
      <c r="D8275" s="2889" t="s">
        <v>1106</v>
      </c>
      <c r="E8275" s="2889" t="s">
        <v>1420</v>
      </c>
      <c r="F8275" s="3039">
        <v>3.6659667181837227E-3</v>
      </c>
      <c r="G8275" s="2890">
        <v>9.5784707315886557</v>
      </c>
    </row>
    <row r="8276" spans="2:7" ht="15" hidden="1" outlineLevel="2">
      <c r="B8276" s="2889" t="s">
        <v>1645</v>
      </c>
      <c r="C8276" s="2889" t="s">
        <v>1544</v>
      </c>
      <c r="D8276" s="2889" t="s">
        <v>1106</v>
      </c>
      <c r="E8276" s="2889" t="s">
        <v>1420</v>
      </c>
      <c r="F8276" s="3039">
        <v>2.6916525583095237E-3</v>
      </c>
      <c r="G8276" s="2890">
        <v>7.0327739100111133</v>
      </c>
    </row>
    <row r="8277" spans="2:7" ht="15" hidden="1" outlineLevel="2">
      <c r="B8277" s="2889" t="s">
        <v>1646</v>
      </c>
      <c r="C8277" s="2889" t="s">
        <v>1544</v>
      </c>
      <c r="D8277" s="2889" t="s">
        <v>1106</v>
      </c>
      <c r="E8277" s="2889" t="s">
        <v>1420</v>
      </c>
      <c r="F8277" s="3039">
        <v>2.2047488340397068E-4</v>
      </c>
      <c r="G8277" s="2890">
        <v>0.57605920607223693</v>
      </c>
    </row>
    <row r="8278" spans="2:7" ht="15" hidden="1" outlineLevel="2">
      <c r="B8278" s="2889" t="s">
        <v>1647</v>
      </c>
      <c r="C8278" s="2889" t="s">
        <v>1544</v>
      </c>
      <c r="D8278" s="2889" t="s">
        <v>1106</v>
      </c>
      <c r="E8278" s="2889" t="s">
        <v>1420</v>
      </c>
      <c r="F8278" s="3039">
        <v>1.1876614662717914E-4</v>
      </c>
      <c r="G8278" s="2890">
        <v>0.31031367642869695</v>
      </c>
    </row>
    <row r="8279" spans="2:7" ht="15" hidden="1" outlineLevel="2">
      <c r="B8279" s="2889" t="s">
        <v>1648</v>
      </c>
      <c r="C8279" s="2889" t="s">
        <v>1544</v>
      </c>
      <c r="D8279" s="2889" t="s">
        <v>1106</v>
      </c>
      <c r="E8279" s="2889" t="s">
        <v>1420</v>
      </c>
      <c r="F8279" s="3039">
        <v>8.0832332657727443E-5</v>
      </c>
      <c r="G8279" s="2890">
        <v>0.21119951820666127</v>
      </c>
    </row>
    <row r="8280" spans="2:7" ht="15" hidden="1" outlineLevel="2">
      <c r="B8280" s="2889" t="s">
        <v>1649</v>
      </c>
      <c r="C8280" s="2889" t="s">
        <v>1544</v>
      </c>
      <c r="D8280" s="2889" t="s">
        <v>1106</v>
      </c>
      <c r="E8280" s="2889" t="s">
        <v>1420</v>
      </c>
      <c r="F8280" s="3039">
        <v>5.6798995501084913E-4</v>
      </c>
      <c r="G8280" s="2890">
        <v>1.4840508491727102</v>
      </c>
    </row>
    <row r="8281" spans="2:7" ht="15" hidden="1" outlineLevel="2">
      <c r="B8281" s="2889" t="s">
        <v>1650</v>
      </c>
      <c r="C8281" s="2889" t="s">
        <v>1544</v>
      </c>
      <c r="D8281" s="2889" t="s">
        <v>1106</v>
      </c>
      <c r="E8281" s="2889" t="s">
        <v>1420</v>
      </c>
      <c r="F8281" s="3039">
        <v>2.0392649800155963E-3</v>
      </c>
      <c r="G8281" s="2890">
        <v>5.3282136735405174</v>
      </c>
    </row>
    <row r="8282" spans="2:7" ht="15" hidden="1" outlineLevel="2">
      <c r="B8282" s="2889" t="s">
        <v>1651</v>
      </c>
      <c r="C8282" s="2889" t="s">
        <v>1544</v>
      </c>
      <c r="D8282" s="2889" t="s">
        <v>1106</v>
      </c>
      <c r="E8282" s="2889" t="s">
        <v>1420</v>
      </c>
      <c r="F8282" s="2890">
        <v>1.0305792095386104E-3</v>
      </c>
      <c r="G8282" s="2890">
        <v>2.6927094504721389</v>
      </c>
    </row>
    <row r="8283" spans="2:7" ht="15" hidden="1" outlineLevel="2">
      <c r="B8283" s="2889" t="s">
        <v>1652</v>
      </c>
      <c r="C8283" s="2889" t="s">
        <v>1544</v>
      </c>
      <c r="D8283" s="2889" t="s">
        <v>1106</v>
      </c>
      <c r="E8283" s="2889" t="s">
        <v>1420</v>
      </c>
      <c r="F8283" s="2890">
        <v>2.6961060665974147E-4</v>
      </c>
      <c r="G8283" s="2890">
        <v>0.70444145363307997</v>
      </c>
    </row>
    <row r="8284" spans="2:7" ht="15" hidden="1" outlineLevel="2">
      <c r="B8284" s="2889" t="s">
        <v>1653</v>
      </c>
      <c r="C8284" s="2889" t="s">
        <v>1544</v>
      </c>
      <c r="D8284" s="2889" t="s">
        <v>1106</v>
      </c>
      <c r="E8284" s="2889" t="s">
        <v>1420</v>
      </c>
      <c r="F8284" s="3039">
        <v>4.9160022537162468E-3</v>
      </c>
      <c r="G8284" s="2890">
        <v>12.844593144114262</v>
      </c>
    </row>
    <row r="8285" spans="2:7" ht="15" hidden="1" outlineLevel="2">
      <c r="B8285" s="2889" t="s">
        <v>1407</v>
      </c>
      <c r="C8285" s="2889" t="s">
        <v>1545</v>
      </c>
      <c r="D8285" s="2889" t="s">
        <v>1106</v>
      </c>
      <c r="E8285" s="2889" t="s">
        <v>1420</v>
      </c>
      <c r="F8285" s="2890">
        <v>8.3559984622763183E-4</v>
      </c>
      <c r="G8285" s="2890">
        <v>16.605585697720802</v>
      </c>
    </row>
    <row r="8286" spans="2:7" ht="15" hidden="1" outlineLevel="2">
      <c r="B8286" s="2889" t="s">
        <v>1631</v>
      </c>
      <c r="C8286" s="2889" t="s">
        <v>1545</v>
      </c>
      <c r="D8286" s="2889" t="s">
        <v>1106</v>
      </c>
      <c r="E8286" s="2889" t="s">
        <v>1420</v>
      </c>
      <c r="F8286" s="2890">
        <v>3.5406029461706331E-3</v>
      </c>
      <c r="G8286" s="2890">
        <v>70.361152539809495</v>
      </c>
    </row>
    <row r="8287" spans="2:7" ht="15" hidden="1" outlineLevel="2">
      <c r="B8287" s="2889" t="s">
        <v>1632</v>
      </c>
      <c r="C8287" s="2889" t="s">
        <v>1545</v>
      </c>
      <c r="D8287" s="2889" t="s">
        <v>1106</v>
      </c>
      <c r="E8287" s="2889" t="s">
        <v>1420</v>
      </c>
      <c r="F8287" s="2890">
        <v>6.479582503000493E-3</v>
      </c>
      <c r="G8287" s="2890">
        <v>128.7666317040202</v>
      </c>
    </row>
    <row r="8288" spans="2:7" ht="15" hidden="1" outlineLevel="2">
      <c r="B8288" s="2889" t="s">
        <v>1633</v>
      </c>
      <c r="C8288" s="2889" t="s">
        <v>1545</v>
      </c>
      <c r="D8288" s="2889" t="s">
        <v>1106</v>
      </c>
      <c r="E8288" s="2889" t="s">
        <v>1420</v>
      </c>
      <c r="F8288" s="2890">
        <v>1.73383005560219E-4</v>
      </c>
      <c r="G8288" s="2890">
        <v>3.445584400442137</v>
      </c>
    </row>
    <row r="8289" spans="2:7" ht="15" hidden="1" outlineLevel="2">
      <c r="B8289" s="2889" t="s">
        <v>1634</v>
      </c>
      <c r="C8289" s="2889" t="s">
        <v>1545</v>
      </c>
      <c r="D8289" s="2889" t="s">
        <v>1106</v>
      </c>
      <c r="E8289" s="2889" t="s">
        <v>1420</v>
      </c>
      <c r="F8289" s="2890">
        <v>4.2009106658982831E-4</v>
      </c>
      <c r="G8289" s="2890">
        <v>8.3483364993602152</v>
      </c>
    </row>
    <row r="8290" spans="2:7" ht="15" hidden="1" outlineLevel="2">
      <c r="B8290" s="2889" t="s">
        <v>1635</v>
      </c>
      <c r="C8290" s="2889" t="s">
        <v>1545</v>
      </c>
      <c r="D8290" s="2889" t="s">
        <v>1106</v>
      </c>
      <c r="E8290" s="2889" t="s">
        <v>1420</v>
      </c>
      <c r="F8290" s="2890">
        <v>9.0306810289146437E-4</v>
      </c>
      <c r="G8290" s="2890">
        <v>17.946383973518046</v>
      </c>
    </row>
    <row r="8291" spans="2:7" ht="15" hidden="1" outlineLevel="2">
      <c r="B8291" s="2889" t="s">
        <v>1636</v>
      </c>
      <c r="C8291" s="2889" t="s">
        <v>1545</v>
      </c>
      <c r="D8291" s="2889" t="s">
        <v>1106</v>
      </c>
      <c r="E8291" s="2889" t="s">
        <v>1420</v>
      </c>
      <c r="F8291" s="2890">
        <v>8.2363361179773774E-4</v>
      </c>
      <c r="G8291" s="2890">
        <v>16.367795561529388</v>
      </c>
    </row>
    <row r="8292" spans="2:7" ht="15" hidden="1" outlineLevel="2">
      <c r="B8292" s="2889" t="s">
        <v>1637</v>
      </c>
      <c r="C8292" s="2889" t="s">
        <v>1545</v>
      </c>
      <c r="D8292" s="2889" t="s">
        <v>1106</v>
      </c>
      <c r="E8292" s="2889" t="s">
        <v>1420</v>
      </c>
      <c r="F8292" s="2890">
        <v>2.8629844213809441E-4</v>
      </c>
      <c r="G8292" s="2890">
        <v>5.6895262571402343</v>
      </c>
    </row>
    <row r="8293" spans="2:7" ht="15" hidden="1" outlineLevel="2">
      <c r="B8293" s="2889" t="s">
        <v>1638</v>
      </c>
      <c r="C8293" s="2889" t="s">
        <v>1545</v>
      </c>
      <c r="D8293" s="2889" t="s">
        <v>1106</v>
      </c>
      <c r="E8293" s="2889" t="s">
        <v>1420</v>
      </c>
      <c r="F8293" s="2890">
        <v>5.8698158685239056E-4</v>
      </c>
      <c r="G8293" s="2890">
        <v>11.664898398821192</v>
      </c>
    </row>
    <row r="8294" spans="2:7" ht="15" hidden="1" outlineLevel="2">
      <c r="B8294" s="2889" t="s">
        <v>1639</v>
      </c>
      <c r="C8294" s="2889" t="s">
        <v>1545</v>
      </c>
      <c r="D8294" s="2889" t="s">
        <v>1106</v>
      </c>
      <c r="E8294" s="2889" t="s">
        <v>1420</v>
      </c>
      <c r="F8294" s="2890">
        <v>2.1852365845793603E-3</v>
      </c>
      <c r="G8294" s="2890">
        <v>43.426483639736063</v>
      </c>
    </row>
    <row r="8295" spans="2:7" ht="15" hidden="1" outlineLevel="2">
      <c r="B8295" s="2889" t="s">
        <v>1640</v>
      </c>
      <c r="C8295" s="2889" t="s">
        <v>1545</v>
      </c>
      <c r="D8295" s="2889" t="s">
        <v>1106</v>
      </c>
      <c r="E8295" s="2889" t="s">
        <v>1420</v>
      </c>
      <c r="F8295" s="2890">
        <v>2.1475557877762697E-4</v>
      </c>
      <c r="G8295" s="2890">
        <v>4.2677682937306862</v>
      </c>
    </row>
    <row r="8296" spans="2:7" ht="15" hidden="1" outlineLevel="2">
      <c r="B8296" s="2889" t="s">
        <v>1641</v>
      </c>
      <c r="C8296" s="2889" t="s">
        <v>1545</v>
      </c>
      <c r="D8296" s="2889" t="s">
        <v>1106</v>
      </c>
      <c r="E8296" s="2889" t="s">
        <v>1420</v>
      </c>
      <c r="F8296" s="2890">
        <v>1.4583524987696963E-3</v>
      </c>
      <c r="G8296" s="2890">
        <v>28.981351014036559</v>
      </c>
    </row>
    <row r="8297" spans="2:7" ht="15" hidden="1" outlineLevel="2">
      <c r="B8297" s="2889" t="s">
        <v>1642</v>
      </c>
      <c r="C8297" s="2889" t="s">
        <v>1545</v>
      </c>
      <c r="D8297" s="2889" t="s">
        <v>1106</v>
      </c>
      <c r="E8297" s="2889" t="s">
        <v>1420</v>
      </c>
      <c r="F8297" s="2890">
        <v>1.9806658834387939E-3</v>
      </c>
      <c r="G8297" s="2890">
        <v>39.361114778316342</v>
      </c>
    </row>
    <row r="8298" spans="2:7" ht="15" hidden="1" outlineLevel="2">
      <c r="B8298" s="2889" t="s">
        <v>1643</v>
      </c>
      <c r="C8298" s="2889" t="s">
        <v>1545</v>
      </c>
      <c r="D8298" s="2889" t="s">
        <v>1106</v>
      </c>
      <c r="E8298" s="2889" t="s">
        <v>1420</v>
      </c>
      <c r="F8298" s="2890">
        <v>2.6651233010419544E-4</v>
      </c>
      <c r="G8298" s="2890">
        <v>5.296313532383536</v>
      </c>
    </row>
    <row r="8299" spans="2:7" ht="15" hidden="1" outlineLevel="2">
      <c r="B8299" s="2889" t="s">
        <v>1644</v>
      </c>
      <c r="C8299" s="2889" t="s">
        <v>1545</v>
      </c>
      <c r="D8299" s="2889" t="s">
        <v>1106</v>
      </c>
      <c r="E8299" s="2889" t="s">
        <v>1420</v>
      </c>
      <c r="F8299" s="2890">
        <v>3.6661205804965286E-3</v>
      </c>
      <c r="G8299" s="2890">
        <v>72.85558480367358</v>
      </c>
    </row>
    <row r="8300" spans="2:7" ht="15" hidden="1" outlineLevel="2">
      <c r="B8300" s="2889" t="s">
        <v>1645</v>
      </c>
      <c r="C8300" s="2889" t="s">
        <v>1545</v>
      </c>
      <c r="D8300" s="2889" t="s">
        <v>1106</v>
      </c>
      <c r="E8300" s="2889" t="s">
        <v>1420</v>
      </c>
      <c r="F8300" s="2890">
        <v>2.6917663638550385E-3</v>
      </c>
      <c r="G8300" s="2890">
        <v>53.492551777725268</v>
      </c>
    </row>
    <row r="8301" spans="2:7" ht="15" hidden="1" outlineLevel="2">
      <c r="B8301" s="2889" t="s">
        <v>1646</v>
      </c>
      <c r="C8301" s="2889" t="s">
        <v>1545</v>
      </c>
      <c r="D8301" s="2889" t="s">
        <v>1106</v>
      </c>
      <c r="E8301" s="2889" t="s">
        <v>1420</v>
      </c>
      <c r="F8301" s="2890">
        <v>2.2048398618481523E-4</v>
      </c>
      <c r="G8301" s="2890">
        <v>4.3816096456382851</v>
      </c>
    </row>
    <row r="8302" spans="2:7" ht="15" hidden="1" outlineLevel="2">
      <c r="B8302" s="2889" t="s">
        <v>1647</v>
      </c>
      <c r="C8302" s="2889" t="s">
        <v>1545</v>
      </c>
      <c r="D8302" s="2889" t="s">
        <v>1106</v>
      </c>
      <c r="E8302" s="2889" t="s">
        <v>1420</v>
      </c>
      <c r="F8302" s="2890">
        <v>1.1877130025177118E-4</v>
      </c>
      <c r="G8302" s="2890">
        <v>2.3603020027921948</v>
      </c>
    </row>
    <row r="8303" spans="2:7" ht="15" hidden="1" outlineLevel="2">
      <c r="B8303" s="2889" t="s">
        <v>1648</v>
      </c>
      <c r="C8303" s="2889" t="s">
        <v>1545</v>
      </c>
      <c r="D8303" s="2889" t="s">
        <v>1106</v>
      </c>
      <c r="E8303" s="2889" t="s">
        <v>1420</v>
      </c>
      <c r="F8303" s="2890">
        <v>8.083580417739863E-5</v>
      </c>
      <c r="G8303" s="2890">
        <v>1.6064218137294011</v>
      </c>
    </row>
    <row r="8304" spans="2:7" ht="15" hidden="1" outlineLevel="2">
      <c r="B8304" s="2889" t="s">
        <v>1649</v>
      </c>
      <c r="C8304" s="2889" t="s">
        <v>1545</v>
      </c>
      <c r="D8304" s="2889" t="s">
        <v>1106</v>
      </c>
      <c r="E8304" s="2889" t="s">
        <v>1420</v>
      </c>
      <c r="F8304" s="2890">
        <v>5.6801381199147625E-4</v>
      </c>
      <c r="G8304" s="2890">
        <v>11.287946581725585</v>
      </c>
    </row>
    <row r="8305" spans="2:7" ht="15" hidden="1" outlineLevel="2">
      <c r="B8305" s="2889" t="s">
        <v>1650</v>
      </c>
      <c r="C8305" s="2889" t="s">
        <v>1545</v>
      </c>
      <c r="D8305" s="2889" t="s">
        <v>1106</v>
      </c>
      <c r="E8305" s="2889" t="s">
        <v>1420</v>
      </c>
      <c r="F8305" s="3039">
        <v>2.0393528706509146E-3</v>
      </c>
      <c r="G8305" s="2890">
        <v>40.527353437117327</v>
      </c>
    </row>
    <row r="8306" spans="2:7" ht="15" hidden="1" outlineLevel="2">
      <c r="B8306" s="2889" t="s">
        <v>1651</v>
      </c>
      <c r="C8306" s="2889" t="s">
        <v>1545</v>
      </c>
      <c r="D8306" s="2889" t="s">
        <v>1106</v>
      </c>
      <c r="E8306" s="2889" t="s">
        <v>1420</v>
      </c>
      <c r="F8306" s="3039">
        <v>1.0306241170174892E-3</v>
      </c>
      <c r="G8306" s="2890">
        <v>20.481235834305252</v>
      </c>
    </row>
    <row r="8307" spans="2:7" ht="15" hidden="1" outlineLevel="2">
      <c r="B8307" s="2889" t="s">
        <v>1652</v>
      </c>
      <c r="C8307" s="2889" t="s">
        <v>1545</v>
      </c>
      <c r="D8307" s="2889" t="s">
        <v>1106</v>
      </c>
      <c r="E8307" s="2889" t="s">
        <v>1420</v>
      </c>
      <c r="F8307" s="3039">
        <v>2.696222580665207E-4</v>
      </c>
      <c r="G8307" s="2890">
        <v>5.3581181204252273</v>
      </c>
    </row>
    <row r="8308" spans="2:7" ht="15" hidden="1" outlineLevel="2">
      <c r="B8308" s="2889" t="s">
        <v>1653</v>
      </c>
      <c r="C8308" s="2889" t="s">
        <v>1545</v>
      </c>
      <c r="D8308" s="2889" t="s">
        <v>1106</v>
      </c>
      <c r="E8308" s="2889" t="s">
        <v>1420</v>
      </c>
      <c r="F8308" s="3039">
        <v>4.9162112424242189E-3</v>
      </c>
      <c r="G8308" s="2890">
        <v>97.698289714413747</v>
      </c>
    </row>
    <row r="8309" spans="2:7" ht="15" hidden="1" outlineLevel="2">
      <c r="B8309" s="2889" t="s">
        <v>1407</v>
      </c>
      <c r="C8309" s="2889" t="s">
        <v>1546</v>
      </c>
      <c r="D8309" s="2889" t="s">
        <v>1106</v>
      </c>
      <c r="E8309" s="2889" t="s">
        <v>1423</v>
      </c>
      <c r="F8309" s="3039">
        <v>2.532990367871486</v>
      </c>
      <c r="G8309" s="2890">
        <v>213.16564248675621</v>
      </c>
    </row>
    <row r="8310" spans="2:7" ht="15" hidden="1" outlineLevel="2">
      <c r="B8310" s="2889" t="s">
        <v>1631</v>
      </c>
      <c r="C8310" s="2889" t="s">
        <v>1546</v>
      </c>
      <c r="D8310" s="2889" t="s">
        <v>1106</v>
      </c>
      <c r="E8310" s="2889" t="s">
        <v>1423</v>
      </c>
      <c r="F8310" s="3039">
        <v>10.732806975830586</v>
      </c>
      <c r="G8310" s="2890">
        <v>903.22582637940388</v>
      </c>
    </row>
    <row r="8311" spans="2:7" ht="15" hidden="1" outlineLevel="2">
      <c r="B8311" s="2889" t="s">
        <v>1632</v>
      </c>
      <c r="C8311" s="2889" t="s">
        <v>1546</v>
      </c>
      <c r="D8311" s="2889" t="s">
        <v>1106</v>
      </c>
      <c r="E8311" s="2889" t="s">
        <v>1423</v>
      </c>
      <c r="F8311" s="2890">
        <v>19.641874886445571</v>
      </c>
      <c r="G8311" s="2890">
        <v>1652.9765598251404</v>
      </c>
    </row>
    <row r="8312" spans="2:7" ht="15" hidden="1" outlineLevel="2">
      <c r="B8312" s="2889" t="s">
        <v>1633</v>
      </c>
      <c r="C8312" s="2889" t="s">
        <v>1546</v>
      </c>
      <c r="D8312" s="2889" t="s">
        <v>1106</v>
      </c>
      <c r="E8312" s="2889" t="s">
        <v>1423</v>
      </c>
      <c r="F8312" s="2890">
        <v>0.525583808714988</v>
      </c>
      <c r="G8312" s="2890">
        <v>44.230936721427845</v>
      </c>
    </row>
    <row r="8313" spans="2:7" ht="15" hidden="1" outlineLevel="2">
      <c r="B8313" s="2889" t="s">
        <v>1634</v>
      </c>
      <c r="C8313" s="2889" t="s">
        <v>1546</v>
      </c>
      <c r="D8313" s="2889" t="s">
        <v>1106</v>
      </c>
      <c r="E8313" s="2889" t="s">
        <v>1423</v>
      </c>
      <c r="F8313" s="2890">
        <v>1.2734412747806414</v>
      </c>
      <c r="G8313" s="2890">
        <v>107.16731443866195</v>
      </c>
    </row>
    <row r="8314" spans="2:7" ht="15" hidden="1" outlineLevel="2">
      <c r="B8314" s="2889" t="s">
        <v>1635</v>
      </c>
      <c r="C8314" s="2889" t="s">
        <v>1546</v>
      </c>
      <c r="D8314" s="2889" t="s">
        <v>1106</v>
      </c>
      <c r="E8314" s="2889" t="s">
        <v>1423</v>
      </c>
      <c r="F8314" s="2890">
        <v>2.7375127664937215</v>
      </c>
      <c r="G8314" s="2890">
        <v>230.37752409074113</v>
      </c>
    </row>
    <row r="8315" spans="2:7" ht="15" hidden="1" outlineLevel="2">
      <c r="B8315" s="2889" t="s">
        <v>1636</v>
      </c>
      <c r="C8315" s="2889" t="s">
        <v>1546</v>
      </c>
      <c r="D8315" s="2889" t="s">
        <v>1106</v>
      </c>
      <c r="E8315" s="2889" t="s">
        <v>1423</v>
      </c>
      <c r="F8315" s="2890">
        <v>2.4967155539909465</v>
      </c>
      <c r="G8315" s="2890">
        <v>210.11312856061414</v>
      </c>
    </row>
    <row r="8316" spans="2:7" ht="15" hidden="1" outlineLevel="2">
      <c r="B8316" s="2889" t="s">
        <v>1637</v>
      </c>
      <c r="C8316" s="2889" t="s">
        <v>1546</v>
      </c>
      <c r="D8316" s="2889" t="s">
        <v>1106</v>
      </c>
      <c r="E8316" s="2889" t="s">
        <v>1423</v>
      </c>
      <c r="F8316" s="2890">
        <v>0.86786982752524555</v>
      </c>
      <c r="G8316" s="2890">
        <v>73.036230513804767</v>
      </c>
    </row>
    <row r="8317" spans="2:7" ht="15" hidden="1" outlineLevel="2">
      <c r="B8317" s="2889" t="s">
        <v>1638</v>
      </c>
      <c r="C8317" s="2889" t="s">
        <v>1546</v>
      </c>
      <c r="D8317" s="2889" t="s">
        <v>1106</v>
      </c>
      <c r="E8317" s="2889" t="s">
        <v>1423</v>
      </c>
      <c r="F8317" s="2890">
        <v>1.7793456327241908</v>
      </c>
      <c r="G8317" s="2890">
        <v>149.7420988733648</v>
      </c>
    </row>
    <row r="8318" spans="2:7" ht="15" hidden="1" outlineLevel="2">
      <c r="B8318" s="2889" t="s">
        <v>1639</v>
      </c>
      <c r="C8318" s="2889" t="s">
        <v>1546</v>
      </c>
      <c r="D8318" s="2889" t="s">
        <v>1106</v>
      </c>
      <c r="E8318" s="2889" t="s">
        <v>1423</v>
      </c>
      <c r="F8318" s="2890">
        <v>6.6242104081908568</v>
      </c>
      <c r="G8318" s="2890">
        <v>557.46516693808098</v>
      </c>
    </row>
    <row r="8319" spans="2:7" ht="15" hidden="1" outlineLevel="2">
      <c r="B8319" s="2889" t="s">
        <v>1640</v>
      </c>
      <c r="C8319" s="2889" t="s">
        <v>1546</v>
      </c>
      <c r="D8319" s="2889" t="s">
        <v>1106</v>
      </c>
      <c r="E8319" s="2889" t="s">
        <v>1423</v>
      </c>
      <c r="F8319" s="2890">
        <v>0.65099898777861498</v>
      </c>
      <c r="G8319" s="2890">
        <v>54.785345111895403</v>
      </c>
    </row>
    <row r="8320" spans="2:7" ht="15" hidden="1" outlineLevel="2">
      <c r="B8320" s="2889" t="s">
        <v>1641</v>
      </c>
      <c r="C8320" s="2889" t="s">
        <v>1546</v>
      </c>
      <c r="D8320" s="2889" t="s">
        <v>1106</v>
      </c>
      <c r="E8320" s="2889" t="s">
        <v>1423</v>
      </c>
      <c r="F8320" s="2890">
        <v>4.4207684572623789</v>
      </c>
      <c r="G8320" s="2890">
        <v>372.0332355345929</v>
      </c>
    </row>
    <row r="8321" spans="2:7" ht="15" hidden="1" outlineLevel="2">
      <c r="B8321" s="2889" t="s">
        <v>1642</v>
      </c>
      <c r="C8321" s="2889" t="s">
        <v>1546</v>
      </c>
      <c r="D8321" s="2889" t="s">
        <v>1106</v>
      </c>
      <c r="E8321" s="2889" t="s">
        <v>1423</v>
      </c>
      <c r="F8321" s="2890">
        <v>6.0040862373129302</v>
      </c>
      <c r="G8321" s="2890">
        <v>505.27881869753662</v>
      </c>
    </row>
    <row r="8322" spans="2:7" ht="15" hidden="1" outlineLevel="2">
      <c r="B8322" s="2889" t="s">
        <v>1643</v>
      </c>
      <c r="C8322" s="2889" t="s">
        <v>1546</v>
      </c>
      <c r="D8322" s="2889" t="s">
        <v>1106</v>
      </c>
      <c r="E8322" s="2889" t="s">
        <v>1423</v>
      </c>
      <c r="F8322" s="2890">
        <v>0.80789155494634468</v>
      </c>
      <c r="G8322" s="2890">
        <v>67.988785012324257</v>
      </c>
    </row>
    <row r="8323" spans="2:7" ht="15" hidden="1" outlineLevel="2">
      <c r="B8323" s="2889" t="s">
        <v>1644</v>
      </c>
      <c r="C8323" s="2889" t="s">
        <v>1546</v>
      </c>
      <c r="D8323" s="2889" t="s">
        <v>1106</v>
      </c>
      <c r="E8323" s="2889" t="s">
        <v>1423</v>
      </c>
      <c r="F8323" s="2890">
        <v>11.113288835372778</v>
      </c>
      <c r="G8323" s="2890">
        <v>935.24610107167052</v>
      </c>
    </row>
    <row r="8324" spans="2:7" ht="15" hidden="1" outlineLevel="2">
      <c r="B8324" s="2889" t="s">
        <v>1645</v>
      </c>
      <c r="C8324" s="2889" t="s">
        <v>1546</v>
      </c>
      <c r="D8324" s="2889" t="s">
        <v>1106</v>
      </c>
      <c r="E8324" s="2889" t="s">
        <v>1423</v>
      </c>
      <c r="F8324" s="2890">
        <v>8.1596736414453552</v>
      </c>
      <c r="G8324" s="2890">
        <v>686.68232802853174</v>
      </c>
    </row>
    <row r="8325" spans="2:7" ht="15" hidden="1" outlineLevel="2">
      <c r="B8325" s="2889" t="s">
        <v>1646</v>
      </c>
      <c r="C8325" s="2889" t="s">
        <v>1546</v>
      </c>
      <c r="D8325" s="2889" t="s">
        <v>1106</v>
      </c>
      <c r="E8325" s="2889" t="s">
        <v>1423</v>
      </c>
      <c r="F8325" s="2890">
        <v>0.66836366761285226</v>
      </c>
      <c r="G8325" s="2890">
        <v>56.24675521920031</v>
      </c>
    </row>
    <row r="8326" spans="2:7" ht="15" hidden="1" outlineLevel="2">
      <c r="B8326" s="2889" t="s">
        <v>1647</v>
      </c>
      <c r="C8326" s="2889" t="s">
        <v>1546</v>
      </c>
      <c r="D8326" s="2889" t="s">
        <v>1106</v>
      </c>
      <c r="E8326" s="2889" t="s">
        <v>1423</v>
      </c>
      <c r="F8326" s="2890">
        <v>0.36003682338414156</v>
      </c>
      <c r="G8326" s="2890">
        <v>30.29914592608592</v>
      </c>
    </row>
    <row r="8327" spans="2:7" ht="15" hidden="1" outlineLevel="2">
      <c r="B8327" s="2889" t="s">
        <v>1648</v>
      </c>
      <c r="C8327" s="2889" t="s">
        <v>1546</v>
      </c>
      <c r="D8327" s="2889" t="s">
        <v>1106</v>
      </c>
      <c r="E8327" s="2889" t="s">
        <v>1423</v>
      </c>
      <c r="F8327" s="2890">
        <v>0.24504086625589908</v>
      </c>
      <c r="G8327" s="2890">
        <v>20.621605133530398</v>
      </c>
    </row>
    <row r="8328" spans="2:7" ht="15" hidden="1" outlineLevel="2">
      <c r="B8328" s="2889" t="s">
        <v>1649</v>
      </c>
      <c r="C8328" s="2889" t="s">
        <v>1546</v>
      </c>
      <c r="D8328" s="2889" t="s">
        <v>1106</v>
      </c>
      <c r="E8328" s="2889" t="s">
        <v>1423</v>
      </c>
      <c r="F8328" s="2890">
        <v>1.72184696053828</v>
      </c>
      <c r="G8328" s="2890">
        <v>144.90328782563807</v>
      </c>
    </row>
    <row r="8329" spans="2:7" ht="15" hidden="1" outlineLevel="2">
      <c r="B8329" s="2889" t="s">
        <v>1650</v>
      </c>
      <c r="C8329" s="2889" t="s">
        <v>1546</v>
      </c>
      <c r="D8329" s="2889" t="s">
        <v>1106</v>
      </c>
      <c r="E8329" s="2889" t="s">
        <v>1423</v>
      </c>
      <c r="F8329" s="2890">
        <v>6.1819795050413093</v>
      </c>
      <c r="G8329" s="2890">
        <v>520.24949159158075</v>
      </c>
    </row>
    <row r="8330" spans="2:7" ht="15" hidden="1" outlineLevel="2">
      <c r="B8330" s="2889" t="s">
        <v>1651</v>
      </c>
      <c r="C8330" s="2889" t="s">
        <v>1546</v>
      </c>
      <c r="D8330" s="2889" t="s">
        <v>1106</v>
      </c>
      <c r="E8330" s="2889" t="s">
        <v>1423</v>
      </c>
      <c r="F8330" s="2890">
        <v>3.1241759318926765</v>
      </c>
      <c r="G8330" s="2890">
        <v>262.91739579379703</v>
      </c>
    </row>
    <row r="8331" spans="2:7" ht="15" hidden="1" outlineLevel="2">
      <c r="B8331" s="2889" t="s">
        <v>1652</v>
      </c>
      <c r="C8331" s="2889" t="s">
        <v>1546</v>
      </c>
      <c r="D8331" s="2889" t="s">
        <v>1106</v>
      </c>
      <c r="E8331" s="2889" t="s">
        <v>1423</v>
      </c>
      <c r="F8331" s="2890">
        <v>0.81731815818166542</v>
      </c>
      <c r="G8331" s="2890">
        <v>68.781991958313071</v>
      </c>
    </row>
    <row r="8332" spans="2:7" ht="15" hidden="1" outlineLevel="2">
      <c r="B8332" s="2889" t="s">
        <v>1653</v>
      </c>
      <c r="C8332" s="2889" t="s">
        <v>1546</v>
      </c>
      <c r="D8332" s="2889" t="s">
        <v>1106</v>
      </c>
      <c r="E8332" s="2889" t="s">
        <v>1423</v>
      </c>
      <c r="F8332" s="2890">
        <v>14.902749160859653</v>
      </c>
      <c r="G8332" s="2890">
        <v>1254.1506084976045</v>
      </c>
    </row>
    <row r="8333" spans="2:7" ht="15" hidden="1" outlineLevel="2">
      <c r="B8333" s="2889" t="s">
        <v>1407</v>
      </c>
      <c r="C8333" s="2889" t="s">
        <v>1547</v>
      </c>
      <c r="D8333" s="2889" t="s">
        <v>1106</v>
      </c>
      <c r="E8333" s="2889" t="s">
        <v>1423</v>
      </c>
      <c r="F8333" s="2890">
        <v>2.7666735069338424E-3</v>
      </c>
      <c r="G8333" s="2890">
        <v>0.24227060685691709</v>
      </c>
    </row>
    <row r="8334" spans="2:7" ht="15" hidden="1" outlineLevel="2">
      <c r="B8334" s="2889" t="s">
        <v>1631</v>
      </c>
      <c r="C8334" s="2889" t="s">
        <v>1547</v>
      </c>
      <c r="D8334" s="2889" t="s">
        <v>1106</v>
      </c>
      <c r="E8334" s="2889" t="s">
        <v>1423</v>
      </c>
      <c r="F8334" s="2890">
        <v>1.1722952699144907E-2</v>
      </c>
      <c r="G8334" s="2890">
        <v>1.0265490824245398</v>
      </c>
    </row>
    <row r="8335" spans="2:7" ht="15" hidden="1" outlineLevel="2">
      <c r="B8335" s="2889" t="s">
        <v>1632</v>
      </c>
      <c r="C8335" s="2889" t="s">
        <v>1547</v>
      </c>
      <c r="D8335" s="2889" t="s">
        <v>1106</v>
      </c>
      <c r="E8335" s="2889" t="s">
        <v>1423</v>
      </c>
      <c r="F8335" s="2890">
        <v>2.1453937397864074E-2</v>
      </c>
      <c r="G8335" s="2890">
        <v>1.8786678090232631</v>
      </c>
    </row>
    <row r="8336" spans="2:7" ht="15" hidden="1" outlineLevel="2">
      <c r="B8336" s="2889" t="s">
        <v>1633</v>
      </c>
      <c r="C8336" s="2889" t="s">
        <v>1547</v>
      </c>
      <c r="D8336" s="2889" t="s">
        <v>1106</v>
      </c>
      <c r="E8336" s="2889" t="s">
        <v>1423</v>
      </c>
      <c r="F8336" s="2890">
        <v>5.7407213601065523E-4</v>
      </c>
      <c r="G8336" s="2890">
        <v>5.0269935933692576E-2</v>
      </c>
    </row>
    <row r="8337" spans="2:7" ht="15" hidden="1" outlineLevel="2">
      <c r="B8337" s="2889" t="s">
        <v>1634</v>
      </c>
      <c r="C8337" s="2889" t="s">
        <v>1547</v>
      </c>
      <c r="D8337" s="2889" t="s">
        <v>1106</v>
      </c>
      <c r="E8337" s="2889" t="s">
        <v>1423</v>
      </c>
      <c r="F8337" s="2890">
        <v>1.3909233292681907E-3</v>
      </c>
      <c r="G8337" s="2890">
        <v>0.12179963547139701</v>
      </c>
    </row>
    <row r="8338" spans="2:7" ht="15" hidden="1" outlineLevel="2">
      <c r="B8338" s="2889" t="s">
        <v>1635</v>
      </c>
      <c r="C8338" s="2889" t="s">
        <v>1547</v>
      </c>
      <c r="D8338" s="2889" t="s">
        <v>1106</v>
      </c>
      <c r="E8338" s="2889" t="s">
        <v>1423</v>
      </c>
      <c r="F8338" s="2890">
        <v>2.990063603252126E-3</v>
      </c>
      <c r="G8338" s="2890">
        <v>0.2618322461845638</v>
      </c>
    </row>
    <row r="8339" spans="2:7" ht="15" hidden="1" outlineLevel="2">
      <c r="B8339" s="2889" t="s">
        <v>1636</v>
      </c>
      <c r="C8339" s="2889" t="s">
        <v>1547</v>
      </c>
      <c r="D8339" s="2889" t="s">
        <v>1106</v>
      </c>
      <c r="E8339" s="2889" t="s">
        <v>1423</v>
      </c>
      <c r="F8339" s="2890">
        <v>2.7270519409397747E-3</v>
      </c>
      <c r="G8339" s="2890">
        <v>0.23880126946794777</v>
      </c>
    </row>
    <row r="8340" spans="2:7" ht="15" hidden="1" outlineLevel="2">
      <c r="B8340" s="2889" t="s">
        <v>1637</v>
      </c>
      <c r="C8340" s="2889" t="s">
        <v>1547</v>
      </c>
      <c r="D8340" s="2889" t="s">
        <v>1106</v>
      </c>
      <c r="E8340" s="2889" t="s">
        <v>1423</v>
      </c>
      <c r="F8340" s="2890">
        <v>9.4793575132498488E-4</v>
      </c>
      <c r="G8340" s="2890">
        <v>8.3008300618627268E-2</v>
      </c>
    </row>
    <row r="8341" spans="2:7" ht="15" hidden="1" outlineLevel="2">
      <c r="B8341" s="2889" t="s">
        <v>1638</v>
      </c>
      <c r="C8341" s="2889" t="s">
        <v>1547</v>
      </c>
      <c r="D8341" s="2889" t="s">
        <v>1106</v>
      </c>
      <c r="E8341" s="2889" t="s">
        <v>1423</v>
      </c>
      <c r="F8341" s="2890">
        <v>1.9434997358692458E-3</v>
      </c>
      <c r="G8341" s="2890">
        <v>0.1701873180705688</v>
      </c>
    </row>
    <row r="8342" spans="2:7" ht="15" hidden="1" outlineLevel="2">
      <c r="B8342" s="2889" t="s">
        <v>1639</v>
      </c>
      <c r="C8342" s="2889" t="s">
        <v>1547</v>
      </c>
      <c r="D8342" s="2889" t="s">
        <v>1106</v>
      </c>
      <c r="E8342" s="2889" t="s">
        <v>1423</v>
      </c>
      <c r="F8342" s="2890">
        <v>7.2353318277866771E-3</v>
      </c>
      <c r="G8342" s="2890">
        <v>0.6335799022069778</v>
      </c>
    </row>
    <row r="8343" spans="2:7" ht="15" hidden="1" outlineLevel="2">
      <c r="B8343" s="2889" t="s">
        <v>1640</v>
      </c>
      <c r="C8343" s="2889" t="s">
        <v>1547</v>
      </c>
      <c r="D8343" s="2889" t="s">
        <v>1106</v>
      </c>
      <c r="E8343" s="2889" t="s">
        <v>1423</v>
      </c>
      <c r="F8343" s="2890">
        <v>7.110573162100941E-4</v>
      </c>
      <c r="G8343" s="2890">
        <v>6.2265501264602507E-2</v>
      </c>
    </row>
    <row r="8344" spans="2:7" ht="15" hidden="1" outlineLevel="2">
      <c r="B8344" s="2889" t="s">
        <v>1641</v>
      </c>
      <c r="C8344" s="2889" t="s">
        <v>1547</v>
      </c>
      <c r="D8344" s="2889" t="s">
        <v>1106</v>
      </c>
      <c r="E8344" s="2889" t="s">
        <v>1423</v>
      </c>
      <c r="F8344" s="2890">
        <v>4.8286152461180206E-3</v>
      </c>
      <c r="G8344" s="2890">
        <v>0.42282894972852297</v>
      </c>
    </row>
    <row r="8345" spans="2:7" ht="15" hidden="1" outlineLevel="2">
      <c r="B8345" s="2889" t="s">
        <v>1642</v>
      </c>
      <c r="C8345" s="2889" t="s">
        <v>1547</v>
      </c>
      <c r="D8345" s="2889" t="s">
        <v>1106</v>
      </c>
      <c r="E8345" s="2889" t="s">
        <v>1423</v>
      </c>
      <c r="F8345" s="2890">
        <v>6.5579953774822933E-3</v>
      </c>
      <c r="G8345" s="2890">
        <v>0.57426694973909664</v>
      </c>
    </row>
    <row r="8346" spans="2:7" ht="15" hidden="1" outlineLevel="2">
      <c r="B8346" s="2889" t="s">
        <v>1643</v>
      </c>
      <c r="C8346" s="2889" t="s">
        <v>1547</v>
      </c>
      <c r="D8346" s="2889" t="s">
        <v>1106</v>
      </c>
      <c r="E8346" s="2889" t="s">
        <v>1423</v>
      </c>
      <c r="F8346" s="2890">
        <v>8.8242405231895552E-4</v>
      </c>
      <c r="G8346" s="2890">
        <v>7.7271634760810351E-2</v>
      </c>
    </row>
    <row r="8347" spans="2:7" ht="15" hidden="1" outlineLevel="2">
      <c r="B8347" s="2889" t="s">
        <v>1644</v>
      </c>
      <c r="C8347" s="2889" t="s">
        <v>1547</v>
      </c>
      <c r="D8347" s="2889" t="s">
        <v>1106</v>
      </c>
      <c r="E8347" s="2889" t="s">
        <v>1423</v>
      </c>
      <c r="F8347" s="2890">
        <v>1.2138550695201257E-2</v>
      </c>
      <c r="G8347" s="2890">
        <v>1.0629416503572149</v>
      </c>
    </row>
    <row r="8348" spans="2:7" ht="15" hidden="1" outlineLevel="2">
      <c r="B8348" s="2889" t="s">
        <v>1645</v>
      </c>
      <c r="C8348" s="2889" t="s">
        <v>1547</v>
      </c>
      <c r="D8348" s="2889" t="s">
        <v>1106</v>
      </c>
      <c r="E8348" s="2889" t="s">
        <v>1423</v>
      </c>
      <c r="F8348" s="2890">
        <v>8.9124537392952959E-3</v>
      </c>
      <c r="G8348" s="2890">
        <v>0.78044015430036018</v>
      </c>
    </row>
    <row r="8349" spans="2:7" ht="15" hidden="1" outlineLevel="2">
      <c r="B8349" s="2889" t="s">
        <v>1646</v>
      </c>
      <c r="C8349" s="2889" t="s">
        <v>1547</v>
      </c>
      <c r="D8349" s="2889" t="s">
        <v>1106</v>
      </c>
      <c r="E8349" s="2889" t="s">
        <v>1423</v>
      </c>
      <c r="F8349" s="2890">
        <v>7.3002420176954683E-4</v>
      </c>
      <c r="G8349" s="2890">
        <v>6.3926292161045492E-2</v>
      </c>
    </row>
    <row r="8350" spans="2:7" ht="15" hidden="1" outlineLevel="2">
      <c r="B8350" s="2889" t="s">
        <v>1647</v>
      </c>
      <c r="C8350" s="2889" t="s">
        <v>1547</v>
      </c>
      <c r="D8350" s="2889" t="s">
        <v>1106</v>
      </c>
      <c r="E8350" s="2889" t="s">
        <v>1423</v>
      </c>
      <c r="F8350" s="2890">
        <v>3.9325242028912655E-4</v>
      </c>
      <c r="G8350" s="2890">
        <v>3.4436081857840216E-2</v>
      </c>
    </row>
    <row r="8351" spans="2:7" ht="15" hidden="1" outlineLevel="2">
      <c r="B8351" s="2889" t="s">
        <v>1648</v>
      </c>
      <c r="C8351" s="2889" t="s">
        <v>1547</v>
      </c>
      <c r="D8351" s="2889" t="s">
        <v>1106</v>
      </c>
      <c r="E8351" s="2889" t="s">
        <v>1423</v>
      </c>
      <c r="F8351" s="3039">
        <v>2.6764760889826138E-4</v>
      </c>
      <c r="G8351" s="2890">
        <v>2.3437193144993505E-2</v>
      </c>
    </row>
    <row r="8352" spans="2:7" ht="15" hidden="1" outlineLevel="2">
      <c r="B8352" s="2889" t="s">
        <v>1649</v>
      </c>
      <c r="C8352" s="2889" t="s">
        <v>1547</v>
      </c>
      <c r="D8352" s="2889" t="s">
        <v>1106</v>
      </c>
      <c r="E8352" s="2889" t="s">
        <v>1423</v>
      </c>
      <c r="F8352" s="3039">
        <v>1.8806967848898841E-3</v>
      </c>
      <c r="G8352" s="2890">
        <v>0.1646878637051129</v>
      </c>
    </row>
    <row r="8353" spans="2:7" ht="15" hidden="1" outlineLevel="2">
      <c r="B8353" s="2889" t="s">
        <v>1650</v>
      </c>
      <c r="C8353" s="2889" t="s">
        <v>1547</v>
      </c>
      <c r="D8353" s="2889" t="s">
        <v>1106</v>
      </c>
      <c r="E8353" s="2889" t="s">
        <v>1423</v>
      </c>
      <c r="F8353" s="3039">
        <v>6.75230648301653E-3</v>
      </c>
      <c r="G8353" s="2890">
        <v>0.59128248366660552</v>
      </c>
    </row>
    <row r="8354" spans="2:7" ht="15" hidden="1" outlineLevel="2">
      <c r="B8354" s="2889" t="s">
        <v>1651</v>
      </c>
      <c r="C8354" s="2889" t="s">
        <v>1547</v>
      </c>
      <c r="D8354" s="2889" t="s">
        <v>1106</v>
      </c>
      <c r="E8354" s="2889" t="s">
        <v>1423</v>
      </c>
      <c r="F8354" s="3039">
        <v>3.4124007360450651E-3</v>
      </c>
      <c r="G8354" s="2890">
        <v>0.29881513783050406</v>
      </c>
    </row>
    <row r="8355" spans="2:7" ht="15" hidden="1" outlineLevel="2">
      <c r="B8355" s="2889" t="s">
        <v>1652</v>
      </c>
      <c r="C8355" s="2889" t="s">
        <v>1547</v>
      </c>
      <c r="D8355" s="2889" t="s">
        <v>1106</v>
      </c>
      <c r="E8355" s="2889" t="s">
        <v>1423</v>
      </c>
      <c r="F8355" s="3039">
        <v>8.927201693249918E-4</v>
      </c>
      <c r="G8355" s="2890">
        <v>7.8173266005564096E-2</v>
      </c>
    </row>
    <row r="8356" spans="2:7" ht="15" hidden="1" outlineLevel="2">
      <c r="B8356" s="2889" t="s">
        <v>1653</v>
      </c>
      <c r="C8356" s="2889" t="s">
        <v>1547</v>
      </c>
      <c r="D8356" s="2889" t="s">
        <v>1106</v>
      </c>
      <c r="E8356" s="2889" t="s">
        <v>1423</v>
      </c>
      <c r="F8356" s="3039">
        <v>1.6277587764989873E-2</v>
      </c>
      <c r="G8356" s="2890">
        <v>1.4253882186188991</v>
      </c>
    </row>
    <row r="8357" spans="2:7" ht="15" hidden="1" outlineLevel="2">
      <c r="B8357" s="2889" t="s">
        <v>1407</v>
      </c>
      <c r="C8357" s="2889" t="s">
        <v>1548</v>
      </c>
      <c r="D8357" s="2889" t="s">
        <v>1106</v>
      </c>
      <c r="E8357" s="2889" t="s">
        <v>1423</v>
      </c>
      <c r="F8357" s="3039">
        <v>1.290928290094334E-3</v>
      </c>
      <c r="G8357" s="2890">
        <v>0.13230678034539711</v>
      </c>
    </row>
    <row r="8358" spans="2:7" ht="15" hidden="1" outlineLevel="2">
      <c r="B8358" s="2889" t="s">
        <v>1631</v>
      </c>
      <c r="C8358" s="2889" t="s">
        <v>1548</v>
      </c>
      <c r="D8358" s="2889" t="s">
        <v>1106</v>
      </c>
      <c r="E8358" s="2889" t="s">
        <v>1423</v>
      </c>
      <c r="F8358" s="3039">
        <v>5.469924400568496E-3</v>
      </c>
      <c r="G8358" s="2890">
        <v>0.56060988564558822</v>
      </c>
    </row>
    <row r="8359" spans="2:7" ht="15" hidden="1" outlineLevel="2">
      <c r="B8359" s="2889" t="s">
        <v>1632</v>
      </c>
      <c r="C8359" s="2889" t="s">
        <v>1548</v>
      </c>
      <c r="D8359" s="2889" t="s">
        <v>1106</v>
      </c>
      <c r="E8359" s="2889" t="s">
        <v>1423</v>
      </c>
      <c r="F8359" s="3039">
        <v>1.0010396266193492E-2</v>
      </c>
      <c r="G8359" s="2890">
        <v>1.0259622047491872</v>
      </c>
    </row>
    <row r="8360" spans="2:7" ht="15" hidden="1" outlineLevel="2">
      <c r="B8360" s="2889" t="s">
        <v>1633</v>
      </c>
      <c r="C8360" s="2889" t="s">
        <v>1548</v>
      </c>
      <c r="D8360" s="2889" t="s">
        <v>1106</v>
      </c>
      <c r="E8360" s="2889" t="s">
        <v>1423</v>
      </c>
      <c r="F8360" s="3039">
        <v>2.6786183078260454E-4</v>
      </c>
      <c r="G8360" s="2890">
        <v>2.7453049176611254E-2</v>
      </c>
    </row>
    <row r="8361" spans="2:7" ht="15" hidden="1" outlineLevel="2">
      <c r="B8361" s="2889" t="s">
        <v>1634</v>
      </c>
      <c r="C8361" s="2889" t="s">
        <v>1548</v>
      </c>
      <c r="D8361" s="2889" t="s">
        <v>1106</v>
      </c>
      <c r="E8361" s="2889" t="s">
        <v>1423</v>
      </c>
      <c r="F8361" s="3039">
        <v>6.4900407666723811E-4</v>
      </c>
      <c r="G8361" s="2890">
        <v>6.6516154090592819E-2</v>
      </c>
    </row>
    <row r="8362" spans="2:7" ht="15" hidden="1" outlineLevel="2">
      <c r="B8362" s="2889" t="s">
        <v>1635</v>
      </c>
      <c r="C8362" s="2889" t="s">
        <v>1548</v>
      </c>
      <c r="D8362" s="2889" t="s">
        <v>1106</v>
      </c>
      <c r="E8362" s="2889" t="s">
        <v>1423</v>
      </c>
      <c r="F8362" s="3039">
        <v>1.3951619912421932E-3</v>
      </c>
      <c r="G8362" s="2890">
        <v>0.14298973941631732</v>
      </c>
    </row>
    <row r="8363" spans="2:7" ht="15" hidden="1" outlineLevel="2">
      <c r="B8363" s="2889" t="s">
        <v>1636</v>
      </c>
      <c r="C8363" s="2889" t="s">
        <v>1548</v>
      </c>
      <c r="D8363" s="2889" t="s">
        <v>1106</v>
      </c>
      <c r="E8363" s="2889" t="s">
        <v>1423</v>
      </c>
      <c r="F8363" s="3039">
        <v>1.2724412749742899E-3</v>
      </c>
      <c r="G8363" s="2890">
        <v>0.1304121831264648</v>
      </c>
    </row>
    <row r="8364" spans="2:7" ht="15" hidden="1" outlineLevel="2">
      <c r="B8364" s="2889" t="s">
        <v>1637</v>
      </c>
      <c r="C8364" s="2889" t="s">
        <v>1548</v>
      </c>
      <c r="D8364" s="2889" t="s">
        <v>1106</v>
      </c>
      <c r="E8364" s="2889" t="s">
        <v>1423</v>
      </c>
      <c r="F8364" s="3039">
        <v>4.4230605894177188E-4</v>
      </c>
      <c r="G8364" s="2890">
        <v>4.5331826882669485E-2</v>
      </c>
    </row>
    <row r="8365" spans="2:7" ht="15" hidden="1" outlineLevel="2">
      <c r="B8365" s="2889" t="s">
        <v>1638</v>
      </c>
      <c r="C8365" s="2889" t="s">
        <v>1548</v>
      </c>
      <c r="D8365" s="2889" t="s">
        <v>1106</v>
      </c>
      <c r="E8365" s="2889" t="s">
        <v>1423</v>
      </c>
      <c r="F8365" s="3039">
        <v>9.0683578067557295E-4</v>
      </c>
      <c r="G8365" s="2890">
        <v>9.2941240945229986E-2</v>
      </c>
    </row>
    <row r="8366" spans="2:7" ht="15" hidden="1" outlineLevel="2">
      <c r="B8366" s="2889" t="s">
        <v>1639</v>
      </c>
      <c r="C8366" s="2889" t="s">
        <v>1548</v>
      </c>
      <c r="D8366" s="2889" t="s">
        <v>1106</v>
      </c>
      <c r="E8366" s="2889" t="s">
        <v>1423</v>
      </c>
      <c r="F8366" s="3039">
        <v>3.3759997027468227E-3</v>
      </c>
      <c r="G8366" s="2890">
        <v>0.34600521616470009</v>
      </c>
    </row>
    <row r="8367" spans="2:7" ht="15" hidden="1" outlineLevel="2">
      <c r="B8367" s="2889" t="s">
        <v>1640</v>
      </c>
      <c r="C8367" s="2889" t="s">
        <v>1548</v>
      </c>
      <c r="D8367" s="2889" t="s">
        <v>1106</v>
      </c>
      <c r="E8367" s="2889" t="s">
        <v>1423</v>
      </c>
      <c r="F8367" s="3039">
        <v>3.3177862541556262E-4</v>
      </c>
      <c r="G8367" s="2890">
        <v>3.4003886235259705E-2</v>
      </c>
    </row>
    <row r="8368" spans="2:7" ht="15" hidden="1" outlineLevel="2">
      <c r="B8368" s="2889" t="s">
        <v>1641</v>
      </c>
      <c r="C8368" s="2889" t="s">
        <v>1548</v>
      </c>
      <c r="D8368" s="2889" t="s">
        <v>1106</v>
      </c>
      <c r="E8368" s="2889" t="s">
        <v>1423</v>
      </c>
      <c r="F8368" s="3039">
        <v>2.2530262438766172E-3</v>
      </c>
      <c r="G8368" s="2890">
        <v>0.23091195476091103</v>
      </c>
    </row>
    <row r="8369" spans="2:7" ht="15" hidden="1" outlineLevel="2">
      <c r="B8369" s="2889" t="s">
        <v>1642</v>
      </c>
      <c r="C8369" s="2889" t="s">
        <v>1548</v>
      </c>
      <c r="D8369" s="2889" t="s">
        <v>1106</v>
      </c>
      <c r="E8369" s="2889" t="s">
        <v>1423</v>
      </c>
      <c r="F8369" s="3039">
        <v>3.0599553165375549E-3</v>
      </c>
      <c r="G8369" s="2890">
        <v>0.31361378943299734</v>
      </c>
    </row>
    <row r="8370" spans="2:7" ht="15" hidden="1" outlineLevel="2">
      <c r="B8370" s="2889" t="s">
        <v>1643</v>
      </c>
      <c r="C8370" s="2889" t="s">
        <v>1548</v>
      </c>
      <c r="D8370" s="2889" t="s">
        <v>1106</v>
      </c>
      <c r="E8370" s="2889" t="s">
        <v>1423</v>
      </c>
      <c r="F8370" s="3039">
        <v>4.1173847479322902E-4</v>
      </c>
      <c r="G8370" s="2890">
        <v>4.2198933099643982E-2</v>
      </c>
    </row>
    <row r="8371" spans="2:7" ht="15" hidden="1" outlineLevel="2">
      <c r="B8371" s="2889" t="s">
        <v>1644</v>
      </c>
      <c r="C8371" s="2889" t="s">
        <v>1548</v>
      </c>
      <c r="D8371" s="2889" t="s">
        <v>1106</v>
      </c>
      <c r="E8371" s="2889" t="s">
        <v>1423</v>
      </c>
      <c r="F8371" s="3039">
        <v>5.6638350063655625E-3</v>
      </c>
      <c r="G8371" s="2890">
        <v>0.58048437271119324</v>
      </c>
    </row>
    <row r="8372" spans="2:7" ht="15" hidden="1" outlineLevel="2">
      <c r="B8372" s="2889" t="s">
        <v>1645</v>
      </c>
      <c r="C8372" s="2889" t="s">
        <v>1548</v>
      </c>
      <c r="D8372" s="2889" t="s">
        <v>1106</v>
      </c>
      <c r="E8372" s="2889" t="s">
        <v>1423</v>
      </c>
      <c r="F8372" s="3039">
        <v>4.1585450109260253E-3</v>
      </c>
      <c r="G8372" s="2890">
        <v>0.42620699644563298</v>
      </c>
    </row>
    <row r="8373" spans="2:7" ht="15" hidden="1" outlineLevel="2">
      <c r="B8373" s="2889" t="s">
        <v>1646</v>
      </c>
      <c r="C8373" s="2889" t="s">
        <v>1548</v>
      </c>
      <c r="D8373" s="2889" t="s">
        <v>1106</v>
      </c>
      <c r="E8373" s="2889" t="s">
        <v>1423</v>
      </c>
      <c r="F8373" s="3039">
        <v>3.4062882605200891E-4</v>
      </c>
      <c r="G8373" s="2890">
        <v>3.4910921467933669E-2</v>
      </c>
    </row>
    <row r="8374" spans="2:7" ht="15" hidden="1" outlineLevel="2">
      <c r="B8374" s="2889" t="s">
        <v>1647</v>
      </c>
      <c r="C8374" s="2889" t="s">
        <v>1548</v>
      </c>
      <c r="D8374" s="2889" t="s">
        <v>1106</v>
      </c>
      <c r="E8374" s="2889" t="s">
        <v>1423</v>
      </c>
      <c r="F8374" s="3039">
        <v>1.834910913367069E-4</v>
      </c>
      <c r="G8374" s="2890">
        <v>1.8805951418760652E-2</v>
      </c>
    </row>
    <row r="8375" spans="2:7" ht="15" hidden="1" outlineLevel="2">
      <c r="B8375" s="2889" t="s">
        <v>1648</v>
      </c>
      <c r="C8375" s="2889" t="s">
        <v>1548</v>
      </c>
      <c r="D8375" s="2889" t="s">
        <v>1106</v>
      </c>
      <c r="E8375" s="2889" t="s">
        <v>1423</v>
      </c>
      <c r="F8375" s="3039">
        <v>1.2488417288310729E-4</v>
      </c>
      <c r="G8375" s="2890">
        <v>1.279932916372006E-2</v>
      </c>
    </row>
    <row r="8376" spans="2:7" ht="15" hidden="1" outlineLevel="2">
      <c r="B8376" s="2889" t="s">
        <v>1649</v>
      </c>
      <c r="C8376" s="2889" t="s">
        <v>1548</v>
      </c>
      <c r="D8376" s="2889" t="s">
        <v>1106</v>
      </c>
      <c r="E8376" s="2889" t="s">
        <v>1423</v>
      </c>
      <c r="F8376" s="2890">
        <v>8.7753213898184251E-4</v>
      </c>
      <c r="G8376" s="2890">
        <v>8.9937998181764581E-2</v>
      </c>
    </row>
    <row r="8377" spans="2:7" ht="15" hidden="1" outlineLevel="2">
      <c r="B8377" s="2889" t="s">
        <v>1650</v>
      </c>
      <c r="C8377" s="2889" t="s">
        <v>1548</v>
      </c>
      <c r="D8377" s="2889" t="s">
        <v>1106</v>
      </c>
      <c r="E8377" s="2889" t="s">
        <v>1423</v>
      </c>
      <c r="F8377" s="2890">
        <v>3.1506203201479149E-3</v>
      </c>
      <c r="G8377" s="2890">
        <v>0.32290601891570331</v>
      </c>
    </row>
    <row r="8378" spans="2:7" ht="15" hidden="1" outlineLevel="2">
      <c r="B8378" s="2889" t="s">
        <v>1651</v>
      </c>
      <c r="C8378" s="2889" t="s">
        <v>1548</v>
      </c>
      <c r="D8378" s="2889" t="s">
        <v>1106</v>
      </c>
      <c r="E8378" s="2889" t="s">
        <v>1423</v>
      </c>
      <c r="F8378" s="2890">
        <v>1.5922238874414682E-3</v>
      </c>
      <c r="G8378" s="2890">
        <v>0.16318646859922473</v>
      </c>
    </row>
    <row r="8379" spans="2:7" ht="15" hidden="1" outlineLevel="2">
      <c r="B8379" s="2889" t="s">
        <v>1652</v>
      </c>
      <c r="C8379" s="2889" t="s">
        <v>1548</v>
      </c>
      <c r="D8379" s="2889" t="s">
        <v>1106</v>
      </c>
      <c r="E8379" s="2889" t="s">
        <v>1423</v>
      </c>
      <c r="F8379" s="2890">
        <v>4.1654248530158928E-4</v>
      </c>
      <c r="G8379" s="2890">
        <v>4.2691287401743709E-2</v>
      </c>
    </row>
    <row r="8380" spans="2:7" ht="15" hidden="1" outlineLevel="2">
      <c r="B8380" s="2889" t="s">
        <v>1653</v>
      </c>
      <c r="C8380" s="2889" t="s">
        <v>1548</v>
      </c>
      <c r="D8380" s="2889" t="s">
        <v>1106</v>
      </c>
      <c r="E8380" s="2889" t="s">
        <v>1423</v>
      </c>
      <c r="F8380" s="2890">
        <v>7.5951166385988299E-3</v>
      </c>
      <c r="G8380" s="2890">
        <v>0.77842047012836568</v>
      </c>
    </row>
    <row r="8381" spans="2:7" ht="15" hidden="1" outlineLevel="2">
      <c r="B8381" s="2889" t="s">
        <v>1407</v>
      </c>
      <c r="C8381" s="2889" t="s">
        <v>1549</v>
      </c>
      <c r="D8381" s="2889" t="s">
        <v>1106</v>
      </c>
      <c r="E8381" s="2889" t="s">
        <v>1423</v>
      </c>
      <c r="F8381" s="2890">
        <v>4.8520215838762787E-3</v>
      </c>
      <c r="G8381" s="2890">
        <v>0.47779736696586422</v>
      </c>
    </row>
    <row r="8382" spans="2:7" ht="15" hidden="1" outlineLevel="2">
      <c r="B8382" s="2889" t="s">
        <v>1631</v>
      </c>
      <c r="C8382" s="2889" t="s">
        <v>1549</v>
      </c>
      <c r="D8382" s="2889" t="s">
        <v>1106</v>
      </c>
      <c r="E8382" s="2889" t="s">
        <v>1423</v>
      </c>
      <c r="F8382" s="2890">
        <v>3.2920788349754197E-2</v>
      </c>
      <c r="G8382" s="2890">
        <v>3.2418401485929378</v>
      </c>
    </row>
    <row r="8383" spans="2:7" ht="15" hidden="1" outlineLevel="2">
      <c r="B8383" s="2889" t="s">
        <v>1632</v>
      </c>
      <c r="C8383" s="2889" t="s">
        <v>1549</v>
      </c>
      <c r="D8383" s="2889" t="s">
        <v>1106</v>
      </c>
      <c r="E8383" s="2889" t="s">
        <v>1423</v>
      </c>
      <c r="F8383" s="2890">
        <v>5.0397591695737681E-2</v>
      </c>
      <c r="G8383" s="2890">
        <v>4.9628529483172565</v>
      </c>
    </row>
    <row r="8384" spans="2:7" ht="15" hidden="1" outlineLevel="2">
      <c r="B8384" s="2889" t="s">
        <v>1633</v>
      </c>
      <c r="C8384" s="2889" t="s">
        <v>1549</v>
      </c>
      <c r="D8384" s="2889" t="s">
        <v>1106</v>
      </c>
      <c r="E8384" s="2889" t="s">
        <v>1423</v>
      </c>
      <c r="F8384" s="2890">
        <v>5.3048338438391636E-3</v>
      </c>
      <c r="G8384" s="2890">
        <v>0.52238820230307681</v>
      </c>
    </row>
    <row r="8385" spans="2:7" ht="15" hidden="1" outlineLevel="2">
      <c r="B8385" s="2889" t="s">
        <v>1634</v>
      </c>
      <c r="C8385" s="2889" t="s">
        <v>1549</v>
      </c>
      <c r="D8385" s="2889" t="s">
        <v>1106</v>
      </c>
      <c r="E8385" s="2889" t="s">
        <v>1423</v>
      </c>
      <c r="F8385" s="2890">
        <v>1.9898136166521564E-3</v>
      </c>
      <c r="G8385" s="2890">
        <v>0.1959448653117149</v>
      </c>
    </row>
    <row r="8386" spans="2:7" ht="15" hidden="1" outlineLevel="2">
      <c r="B8386" s="2889" t="s">
        <v>1635</v>
      </c>
      <c r="C8386" s="2889" t="s">
        <v>1549</v>
      </c>
      <c r="D8386" s="2889" t="s">
        <v>1106</v>
      </c>
      <c r="E8386" s="2889" t="s">
        <v>1423</v>
      </c>
      <c r="F8386" s="2890">
        <v>1.0446601190335827E-2</v>
      </c>
      <c r="G8386" s="2890">
        <v>1.0287179392047801</v>
      </c>
    </row>
    <row r="8387" spans="2:7" ht="15" hidden="1" outlineLevel="2">
      <c r="B8387" s="2889" t="s">
        <v>1636</v>
      </c>
      <c r="C8387" s="2889" t="s">
        <v>1549</v>
      </c>
      <c r="D8387" s="2889" t="s">
        <v>1106</v>
      </c>
      <c r="E8387" s="2889" t="s">
        <v>1423</v>
      </c>
      <c r="F8387" s="2890">
        <v>5.9251794879892931E-3</v>
      </c>
      <c r="G8387" s="2890">
        <v>0.5834760916552274</v>
      </c>
    </row>
    <row r="8388" spans="2:7" ht="15" hidden="1" outlineLevel="2">
      <c r="B8388" s="2889" t="s">
        <v>1637</v>
      </c>
      <c r="C8388" s="2889" t="s">
        <v>1549</v>
      </c>
      <c r="D8388" s="2889" t="s">
        <v>1106</v>
      </c>
      <c r="E8388" s="2889" t="s">
        <v>1423</v>
      </c>
      <c r="F8388" s="2890">
        <v>8.4068897585988442E-3</v>
      </c>
      <c r="G8388" s="2890">
        <v>0.82786003444082434</v>
      </c>
    </row>
    <row r="8389" spans="2:7" ht="15" hidden="1" outlineLevel="2">
      <c r="B8389" s="2889" t="s">
        <v>1638</v>
      </c>
      <c r="C8389" s="2889" t="s">
        <v>1549</v>
      </c>
      <c r="D8389" s="2889" t="s">
        <v>1106</v>
      </c>
      <c r="E8389" s="2889" t="s">
        <v>1423</v>
      </c>
      <c r="F8389" s="2890">
        <v>1.9994510529634402E-3</v>
      </c>
      <c r="G8389" s="2890">
        <v>0.19689411026007353</v>
      </c>
    </row>
    <row r="8390" spans="2:7" ht="15" hidden="1" outlineLevel="2">
      <c r="B8390" s="2889" t="s">
        <v>1639</v>
      </c>
      <c r="C8390" s="2889" t="s">
        <v>1549</v>
      </c>
      <c r="D8390" s="2889" t="s">
        <v>1106</v>
      </c>
      <c r="E8390" s="2889" t="s">
        <v>1423</v>
      </c>
      <c r="F8390" s="2890">
        <v>1.37106111878736E-2</v>
      </c>
      <c r="G8390" s="2890">
        <v>1.350138312110257</v>
      </c>
    </row>
    <row r="8391" spans="2:7" ht="15" hidden="1" outlineLevel="2">
      <c r="B8391" s="2889" t="s">
        <v>1640</v>
      </c>
      <c r="C8391" s="2889" t="s">
        <v>1549</v>
      </c>
      <c r="D8391" s="2889" t="s">
        <v>1106</v>
      </c>
      <c r="E8391" s="2889" t="s">
        <v>1423</v>
      </c>
      <c r="F8391" s="2890">
        <v>1.9614883757351816E-3</v>
      </c>
      <c r="G8391" s="2890">
        <v>0.19315559212488764</v>
      </c>
    </row>
    <row r="8392" spans="2:7" ht="15" hidden="1" outlineLevel="2">
      <c r="B8392" s="2889" t="s">
        <v>1641</v>
      </c>
      <c r="C8392" s="2889" t="s">
        <v>1549</v>
      </c>
      <c r="D8392" s="2889" t="s">
        <v>1106</v>
      </c>
      <c r="E8392" s="2889" t="s">
        <v>1423</v>
      </c>
      <c r="F8392" s="2890">
        <v>1.4907752687707899E-2</v>
      </c>
      <c r="G8392" s="2890">
        <v>1.4680272332954276</v>
      </c>
    </row>
    <row r="8393" spans="2:7" ht="15" hidden="1" outlineLevel="2">
      <c r="B8393" s="2889" t="s">
        <v>1642</v>
      </c>
      <c r="C8393" s="2889" t="s">
        <v>1549</v>
      </c>
      <c r="D8393" s="2889" t="s">
        <v>1106</v>
      </c>
      <c r="E8393" s="2889" t="s">
        <v>1423</v>
      </c>
      <c r="F8393" s="2890">
        <v>1.7041358695305989E-2</v>
      </c>
      <c r="G8393" s="2890">
        <v>1.6781308158979993</v>
      </c>
    </row>
    <row r="8394" spans="2:7" ht="15" hidden="1" outlineLevel="2">
      <c r="B8394" s="2889" t="s">
        <v>1643</v>
      </c>
      <c r="C8394" s="2889" t="s">
        <v>1549</v>
      </c>
      <c r="D8394" s="2889" t="s">
        <v>1106</v>
      </c>
      <c r="E8394" s="2889" t="s">
        <v>1423</v>
      </c>
      <c r="F8394" s="2890">
        <v>1.7411838852450991E-3</v>
      </c>
      <c r="G8394" s="2890">
        <v>0.171461141410821</v>
      </c>
    </row>
    <row r="8395" spans="2:7" ht="15" hidden="1" outlineLevel="2">
      <c r="B8395" s="2889" t="s">
        <v>1644</v>
      </c>
      <c r="C8395" s="2889" t="s">
        <v>1549</v>
      </c>
      <c r="D8395" s="2889" t="s">
        <v>1106</v>
      </c>
      <c r="E8395" s="2889" t="s">
        <v>1423</v>
      </c>
      <c r="F8395" s="2890">
        <v>5.9404895362686887E-2</v>
      </c>
      <c r="G8395" s="2890">
        <v>5.8498384358372366</v>
      </c>
    </row>
    <row r="8396" spans="2:7" ht="15" hidden="1" outlineLevel="2">
      <c r="B8396" s="2889" t="s">
        <v>1645</v>
      </c>
      <c r="C8396" s="2889" t="s">
        <v>1549</v>
      </c>
      <c r="D8396" s="2889" t="s">
        <v>1106</v>
      </c>
      <c r="E8396" s="2889" t="s">
        <v>1423</v>
      </c>
      <c r="F8396" s="3039">
        <v>5.4271433616563024E-2</v>
      </c>
      <c r="G8396" s="2890">
        <v>5.3443289568528032</v>
      </c>
    </row>
    <row r="8397" spans="2:7" ht="15" hidden="1" outlineLevel="2">
      <c r="B8397" s="2889" t="s">
        <v>1646</v>
      </c>
      <c r="C8397" s="2889" t="s">
        <v>1549</v>
      </c>
      <c r="D8397" s="2889" t="s">
        <v>1106</v>
      </c>
      <c r="E8397" s="2889" t="s">
        <v>1423</v>
      </c>
      <c r="F8397" s="3039">
        <v>2.8113244292540559E-3</v>
      </c>
      <c r="G8397" s="2890">
        <v>0.27684210169633239</v>
      </c>
    </row>
    <row r="8398" spans="2:7" ht="15" hidden="1" outlineLevel="2">
      <c r="B8398" s="2889" t="s">
        <v>1647</v>
      </c>
      <c r="C8398" s="2889" t="s">
        <v>1549</v>
      </c>
      <c r="D8398" s="2889" t="s">
        <v>1106</v>
      </c>
      <c r="E8398" s="2889" t="s">
        <v>1423</v>
      </c>
      <c r="F8398" s="3039">
        <v>5.8979655580925563E-3</v>
      </c>
      <c r="G8398" s="2890">
        <v>0.58079662083387151</v>
      </c>
    </row>
    <row r="8399" spans="2:7" ht="15" hidden="1" outlineLevel="2">
      <c r="B8399" s="2889" t="s">
        <v>1648</v>
      </c>
      <c r="C8399" s="2889" t="s">
        <v>1549</v>
      </c>
      <c r="D8399" s="2889" t="s">
        <v>1106</v>
      </c>
      <c r="E8399" s="2889" t="s">
        <v>1423</v>
      </c>
      <c r="F8399" s="3039">
        <v>1.6697065503527451E-3</v>
      </c>
      <c r="G8399" s="2890">
        <v>0.16442261115456147</v>
      </c>
    </row>
    <row r="8400" spans="2:7" ht="15" hidden="1" outlineLevel="2">
      <c r="B8400" s="2889" t="s">
        <v>1649</v>
      </c>
      <c r="C8400" s="2889" t="s">
        <v>1549</v>
      </c>
      <c r="D8400" s="2889" t="s">
        <v>1106</v>
      </c>
      <c r="E8400" s="2889" t="s">
        <v>1423</v>
      </c>
      <c r="F8400" s="3039">
        <v>2.2533987461412514E-3</v>
      </c>
      <c r="G8400" s="2890">
        <v>0.22190133431064488</v>
      </c>
    </row>
    <row r="8401" spans="2:7" ht="15" hidden="1" outlineLevel="2">
      <c r="B8401" s="2889" t="s">
        <v>1650</v>
      </c>
      <c r="C8401" s="2889" t="s">
        <v>1549</v>
      </c>
      <c r="D8401" s="2889" t="s">
        <v>1106</v>
      </c>
      <c r="E8401" s="2889" t="s">
        <v>1423</v>
      </c>
      <c r="F8401" s="3039">
        <v>8.8378041809940855E-3</v>
      </c>
      <c r="G8401" s="2890">
        <v>0.87029509507414582</v>
      </c>
    </row>
    <row r="8402" spans="2:7" ht="15" hidden="1" outlineLevel="2">
      <c r="B8402" s="2889" t="s">
        <v>1651</v>
      </c>
      <c r="C8402" s="2889" t="s">
        <v>1549</v>
      </c>
      <c r="D8402" s="2889" t="s">
        <v>1106</v>
      </c>
      <c r="E8402" s="2889" t="s">
        <v>1423</v>
      </c>
      <c r="F8402" s="3039">
        <v>5.6495257359917041E-3</v>
      </c>
      <c r="G8402" s="2890">
        <v>0.55633182059210673</v>
      </c>
    </row>
    <row r="8403" spans="2:7" ht="15" hidden="1" outlineLevel="2">
      <c r="B8403" s="2889" t="s">
        <v>1652</v>
      </c>
      <c r="C8403" s="2889" t="s">
        <v>1549</v>
      </c>
      <c r="D8403" s="2889" t="s">
        <v>1106</v>
      </c>
      <c r="E8403" s="2889" t="s">
        <v>1423</v>
      </c>
      <c r="F8403" s="2890">
        <v>3.1488719114527134E-3</v>
      </c>
      <c r="G8403" s="2890">
        <v>0.31008192109175148</v>
      </c>
    </row>
    <row r="8404" spans="2:7" ht="15" hidden="1" outlineLevel="2">
      <c r="B8404" s="2889" t="s">
        <v>1653</v>
      </c>
      <c r="C8404" s="2889" t="s">
        <v>1549</v>
      </c>
      <c r="D8404" s="2889" t="s">
        <v>1106</v>
      </c>
      <c r="E8404" s="2889" t="s">
        <v>1423</v>
      </c>
      <c r="F8404" s="2890">
        <v>4.1710911083980409E-2</v>
      </c>
      <c r="G8404" s="2890">
        <v>4.1074430464458604</v>
      </c>
    </row>
    <row r="8405" spans="2:7" ht="15" hidden="1" outlineLevel="2">
      <c r="B8405" s="2889" t="s">
        <v>1407</v>
      </c>
      <c r="C8405" s="2889" t="s">
        <v>1550</v>
      </c>
      <c r="D8405" s="2889" t="s">
        <v>1106</v>
      </c>
      <c r="E8405" s="2889" t="s">
        <v>1423</v>
      </c>
      <c r="F8405" s="2890">
        <v>4.3961793005563221E-3</v>
      </c>
      <c r="G8405" s="2890">
        <v>0.98860506487890709</v>
      </c>
    </row>
    <row r="8406" spans="2:7" ht="15" hidden="1" outlineLevel="2">
      <c r="B8406" s="2889" t="s">
        <v>1631</v>
      </c>
      <c r="C8406" s="2889" t="s">
        <v>1550</v>
      </c>
      <c r="D8406" s="2889" t="s">
        <v>1106</v>
      </c>
      <c r="E8406" s="2889" t="s">
        <v>1423</v>
      </c>
      <c r="F8406" s="2890">
        <v>1.8627499771432986E-2</v>
      </c>
      <c r="G8406" s="2890">
        <v>4.1889197883083629</v>
      </c>
    </row>
    <row r="8407" spans="2:7" ht="15" hidden="1" outlineLevel="2">
      <c r="B8407" s="2889" t="s">
        <v>1632</v>
      </c>
      <c r="C8407" s="2889" t="s">
        <v>1550</v>
      </c>
      <c r="D8407" s="2889" t="s">
        <v>1106</v>
      </c>
      <c r="E8407" s="2889" t="s">
        <v>1423</v>
      </c>
      <c r="F8407" s="2890">
        <v>3.4089813644482242E-2</v>
      </c>
      <c r="G8407" s="2890">
        <v>7.6660520537387367</v>
      </c>
    </row>
    <row r="8408" spans="2:7" ht="15" hidden="1" outlineLevel="2">
      <c r="B8408" s="2889" t="s">
        <v>1633</v>
      </c>
      <c r="C8408" s="2889" t="s">
        <v>1550</v>
      </c>
      <c r="D8408" s="2889" t="s">
        <v>1106</v>
      </c>
      <c r="E8408" s="2889" t="s">
        <v>1423</v>
      </c>
      <c r="F8408" s="2890">
        <v>9.1218728997981302E-4</v>
      </c>
      <c r="G8408" s="2890">
        <v>0.20513106103028927</v>
      </c>
    </row>
    <row r="8409" spans="2:7" ht="15" hidden="1" outlineLevel="2">
      <c r="B8409" s="2889" t="s">
        <v>1634</v>
      </c>
      <c r="C8409" s="2889" t="s">
        <v>1550</v>
      </c>
      <c r="D8409" s="2889" t="s">
        <v>1106</v>
      </c>
      <c r="E8409" s="2889" t="s">
        <v>1423</v>
      </c>
      <c r="F8409" s="2890">
        <v>2.2101454607684349E-3</v>
      </c>
      <c r="G8409" s="2890">
        <v>0.49701358835291365</v>
      </c>
    </row>
    <row r="8410" spans="2:7" ht="15" hidden="1" outlineLevel="2">
      <c r="B8410" s="2889" t="s">
        <v>1635</v>
      </c>
      <c r="C8410" s="2889" t="s">
        <v>1550</v>
      </c>
      <c r="D8410" s="2889" t="s">
        <v>1106</v>
      </c>
      <c r="E8410" s="2889" t="s">
        <v>1423</v>
      </c>
      <c r="F8410" s="2890">
        <v>4.7511417125668427E-3</v>
      </c>
      <c r="G8410" s="2890">
        <v>1.0684285217783731</v>
      </c>
    </row>
    <row r="8411" spans="2:7" ht="15" hidden="1" outlineLevel="2">
      <c r="B8411" s="2889" t="s">
        <v>1636</v>
      </c>
      <c r="C8411" s="2889" t="s">
        <v>1550</v>
      </c>
      <c r="D8411" s="2889" t="s">
        <v>1106</v>
      </c>
      <c r="E8411" s="2889" t="s">
        <v>1423</v>
      </c>
      <c r="F8411" s="2890">
        <v>4.3332199909993461E-3</v>
      </c>
      <c r="G8411" s="2890">
        <v>0.97444687523748119</v>
      </c>
    </row>
    <row r="8412" spans="2:7" ht="15" hidden="1" outlineLevel="2">
      <c r="B8412" s="2889" t="s">
        <v>1637</v>
      </c>
      <c r="C8412" s="2889" t="s">
        <v>1550</v>
      </c>
      <c r="D8412" s="2889" t="s">
        <v>1106</v>
      </c>
      <c r="E8412" s="2889" t="s">
        <v>1423</v>
      </c>
      <c r="F8412" s="2890">
        <v>1.5062470471717943E-3</v>
      </c>
      <c r="G8412" s="2890">
        <v>0.33872230738413489</v>
      </c>
    </row>
    <row r="8413" spans="2:7" ht="15" hidden="1" outlineLevel="2">
      <c r="B8413" s="2889" t="s">
        <v>1638</v>
      </c>
      <c r="C8413" s="2889" t="s">
        <v>1550</v>
      </c>
      <c r="D8413" s="2889" t="s">
        <v>1106</v>
      </c>
      <c r="E8413" s="2889" t="s">
        <v>1423</v>
      </c>
      <c r="F8413" s="2890">
        <v>3.0881733472456993E-3</v>
      </c>
      <c r="G8413" s="2890">
        <v>0.69446336971687661</v>
      </c>
    </row>
    <row r="8414" spans="2:7" ht="15" hidden="1" outlineLevel="2">
      <c r="B8414" s="2889" t="s">
        <v>1639</v>
      </c>
      <c r="C8414" s="2889" t="s">
        <v>1550</v>
      </c>
      <c r="D8414" s="2889" t="s">
        <v>1106</v>
      </c>
      <c r="E8414" s="2889" t="s">
        <v>1423</v>
      </c>
      <c r="F8414" s="2890">
        <v>1.1496760275128923E-2</v>
      </c>
      <c r="G8414" s="2890">
        <v>2.5853714809949087</v>
      </c>
    </row>
    <row r="8415" spans="2:7" ht="15" hidden="1" outlineLevel="2">
      <c r="B8415" s="2889" t="s">
        <v>1640</v>
      </c>
      <c r="C8415" s="2889" t="s">
        <v>1550</v>
      </c>
      <c r="D8415" s="2889" t="s">
        <v>1106</v>
      </c>
      <c r="E8415" s="2889" t="s">
        <v>1423</v>
      </c>
      <c r="F8415" s="2890">
        <v>1.1298534715402395E-3</v>
      </c>
      <c r="G8415" s="2890">
        <v>0.25407949195764584</v>
      </c>
    </row>
    <row r="8416" spans="2:7" ht="15" hidden="1" outlineLevel="2">
      <c r="B8416" s="2889" t="s">
        <v>1641</v>
      </c>
      <c r="C8416" s="2889" t="s">
        <v>1550</v>
      </c>
      <c r="D8416" s="2889" t="s">
        <v>1106</v>
      </c>
      <c r="E8416" s="2889" t="s">
        <v>1423</v>
      </c>
      <c r="F8416" s="2890">
        <v>7.6725515794938727E-3</v>
      </c>
      <c r="G8416" s="2890">
        <v>1.7253894890159618</v>
      </c>
    </row>
    <row r="8417" spans="2:7" ht="15" hidden="1" outlineLevel="2">
      <c r="B8417" s="2889" t="s">
        <v>1642</v>
      </c>
      <c r="C8417" s="2889" t="s">
        <v>1550</v>
      </c>
      <c r="D8417" s="2889" t="s">
        <v>1106</v>
      </c>
      <c r="E8417" s="2889" t="s">
        <v>1423</v>
      </c>
      <c r="F8417" s="2890">
        <v>1.0420498150320831E-2</v>
      </c>
      <c r="G8417" s="2890">
        <v>2.3433433444127614</v>
      </c>
    </row>
    <row r="8418" spans="2:7" ht="15" hidden="1" outlineLevel="2">
      <c r="B8418" s="2889" t="s">
        <v>1643</v>
      </c>
      <c r="C8418" s="2889" t="s">
        <v>1550</v>
      </c>
      <c r="D8418" s="2889" t="s">
        <v>1106</v>
      </c>
      <c r="E8418" s="2889" t="s">
        <v>1423</v>
      </c>
      <c r="F8418" s="2890">
        <v>1.4021513275295136E-3</v>
      </c>
      <c r="G8418" s="2890">
        <v>0.3153132179011241</v>
      </c>
    </row>
    <row r="8419" spans="2:7" ht="15" hidden="1" outlineLevel="2">
      <c r="B8419" s="2889" t="s">
        <v>1644</v>
      </c>
      <c r="C8419" s="2889" t="s">
        <v>1550</v>
      </c>
      <c r="D8419" s="2889" t="s">
        <v>1106</v>
      </c>
      <c r="E8419" s="2889" t="s">
        <v>1423</v>
      </c>
      <c r="F8419" s="2890">
        <v>1.9287872620061427E-2</v>
      </c>
      <c r="G8419" s="2890">
        <v>4.3374215486181953</v>
      </c>
    </row>
    <row r="8420" spans="2:7" ht="15" hidden="1" outlineLevel="2">
      <c r="B8420" s="2889" t="s">
        <v>1645</v>
      </c>
      <c r="C8420" s="2889" t="s">
        <v>1550</v>
      </c>
      <c r="D8420" s="2889" t="s">
        <v>1106</v>
      </c>
      <c r="E8420" s="2889" t="s">
        <v>1423</v>
      </c>
      <c r="F8420" s="2890">
        <v>1.4161659329402389E-2</v>
      </c>
      <c r="G8420" s="2890">
        <v>3.1846512598461714</v>
      </c>
    </row>
    <row r="8421" spans="2:7" ht="15" hidden="1" outlineLevel="2">
      <c r="B8421" s="2889" t="s">
        <v>1646</v>
      </c>
      <c r="C8421" s="2889" t="s">
        <v>1550</v>
      </c>
      <c r="D8421" s="2889" t="s">
        <v>1106</v>
      </c>
      <c r="E8421" s="2889" t="s">
        <v>1423</v>
      </c>
      <c r="F8421" s="2890">
        <v>1.1599918887828015E-3</v>
      </c>
      <c r="G8421" s="2890">
        <v>0.26085683132209403</v>
      </c>
    </row>
    <row r="8422" spans="2:7" ht="15" hidden="1" outlineLevel="2">
      <c r="B8422" s="2889" t="s">
        <v>1647</v>
      </c>
      <c r="C8422" s="2889" t="s">
        <v>1550</v>
      </c>
      <c r="D8422" s="2889" t="s">
        <v>1106</v>
      </c>
      <c r="E8422" s="2889" t="s">
        <v>1423</v>
      </c>
      <c r="F8422" s="2890">
        <v>6.2486825847824932E-4</v>
      </c>
      <c r="G8422" s="2890">
        <v>0.14051943488253016</v>
      </c>
    </row>
    <row r="8423" spans="2:7" ht="15" hidden="1" outlineLevel="2">
      <c r="B8423" s="2889" t="s">
        <v>1648</v>
      </c>
      <c r="C8423" s="2889" t="s">
        <v>1550</v>
      </c>
      <c r="D8423" s="2889" t="s">
        <v>1106</v>
      </c>
      <c r="E8423" s="2889" t="s">
        <v>1423</v>
      </c>
      <c r="F8423" s="2890">
        <v>4.2528531127553992E-4</v>
      </c>
      <c r="G8423" s="2890">
        <v>9.5637407154123388E-2</v>
      </c>
    </row>
    <row r="8424" spans="2:7" ht="15" hidden="1" outlineLevel="2">
      <c r="B8424" s="2889" t="s">
        <v>1649</v>
      </c>
      <c r="C8424" s="2889" t="s">
        <v>1550</v>
      </c>
      <c r="D8424" s="2889" t="s">
        <v>1106</v>
      </c>
      <c r="E8424" s="2889" t="s">
        <v>1423</v>
      </c>
      <c r="F8424" s="2890">
        <v>2.9883838937917869E-3</v>
      </c>
      <c r="G8424" s="2890">
        <v>0.67202237579671587</v>
      </c>
    </row>
    <row r="8425" spans="2:7" ht="15" hidden="1" outlineLevel="2">
      <c r="B8425" s="2889" t="s">
        <v>1650</v>
      </c>
      <c r="C8425" s="2889" t="s">
        <v>1550</v>
      </c>
      <c r="D8425" s="2889" t="s">
        <v>1106</v>
      </c>
      <c r="E8425" s="2889" t="s">
        <v>1423</v>
      </c>
      <c r="F8425" s="2890">
        <v>1.0729249828688158E-2</v>
      </c>
      <c r="G8425" s="2890">
        <v>2.4127739414839184</v>
      </c>
    </row>
    <row r="8426" spans="2:7" ht="15" hidden="1" outlineLevel="2">
      <c r="B8426" s="2889" t="s">
        <v>1651</v>
      </c>
      <c r="C8426" s="2889" t="s">
        <v>1550</v>
      </c>
      <c r="D8426" s="2889" t="s">
        <v>1106</v>
      </c>
      <c r="E8426" s="2889" t="s">
        <v>1423</v>
      </c>
      <c r="F8426" s="2890">
        <v>5.4222234021296493E-3</v>
      </c>
      <c r="G8426" s="2890">
        <v>1.2193389800143624</v>
      </c>
    </row>
    <row r="8427" spans="2:7" ht="15" hidden="1" outlineLevel="2">
      <c r="B8427" s="2889" t="s">
        <v>1652</v>
      </c>
      <c r="C8427" s="2889" t="s">
        <v>1550</v>
      </c>
      <c r="D8427" s="2889" t="s">
        <v>1106</v>
      </c>
      <c r="E8427" s="2889" t="s">
        <v>1423</v>
      </c>
      <c r="F8427" s="2890">
        <v>1.4185125764654308E-3</v>
      </c>
      <c r="G8427" s="2890">
        <v>0.31899215764213895</v>
      </c>
    </row>
    <row r="8428" spans="2:7" ht="15" hidden="1" outlineLevel="2">
      <c r="B8428" s="2889" t="s">
        <v>1653</v>
      </c>
      <c r="C8428" s="2889" t="s">
        <v>1550</v>
      </c>
      <c r="D8428" s="2889" t="s">
        <v>1106</v>
      </c>
      <c r="E8428" s="2889" t="s">
        <v>1423</v>
      </c>
      <c r="F8428" s="2890">
        <v>2.5864722077660659E-2</v>
      </c>
      <c r="G8428" s="2890">
        <v>5.8164117203327166</v>
      </c>
    </row>
    <row r="8429" spans="2:7" ht="15" hidden="1" outlineLevel="2">
      <c r="B8429" s="2889" t="s">
        <v>1407</v>
      </c>
      <c r="C8429" s="2889" t="s">
        <v>1551</v>
      </c>
      <c r="D8429" s="2889" t="s">
        <v>1106</v>
      </c>
      <c r="E8429" s="2889" t="s">
        <v>1426</v>
      </c>
      <c r="F8429" s="3040"/>
      <c r="G8429" s="2890">
        <v>66.445888904003255</v>
      </c>
    </row>
    <row r="8430" spans="2:7" ht="15" hidden="1" outlineLevel="2">
      <c r="B8430" s="2889" t="s">
        <v>1631</v>
      </c>
      <c r="C8430" s="2889" t="s">
        <v>1551</v>
      </c>
      <c r="D8430" s="2889" t="s">
        <v>1106</v>
      </c>
      <c r="E8430" s="2889" t="s">
        <v>1426</v>
      </c>
      <c r="F8430" s="2890">
        <v>1.1927067988934758E-2</v>
      </c>
      <c r="G8430" s="2890">
        <v>281.54469298608655</v>
      </c>
    </row>
    <row r="8431" spans="2:7" ht="15" hidden="1" outlineLevel="2">
      <c r="B8431" s="2889" t="s">
        <v>1632</v>
      </c>
      <c r="C8431" s="2889" t="s">
        <v>1551</v>
      </c>
      <c r="D8431" s="2889" t="s">
        <v>1106</v>
      </c>
      <c r="E8431" s="2889" t="s">
        <v>1426</v>
      </c>
      <c r="F8431" s="3040"/>
      <c r="G8431" s="2890">
        <v>515.24905438901851</v>
      </c>
    </row>
    <row r="8432" spans="2:7" ht="15" hidden="1" outlineLevel="2">
      <c r="B8432" s="2889" t="s">
        <v>1633</v>
      </c>
      <c r="C8432" s="2889" t="s">
        <v>1551</v>
      </c>
      <c r="D8432" s="2889" t="s">
        <v>1106</v>
      </c>
      <c r="E8432" s="2889" t="s">
        <v>1426</v>
      </c>
      <c r="F8432" s="3040"/>
      <c r="G8432" s="2890">
        <v>13.787216732280912</v>
      </c>
    </row>
    <row r="8433" spans="2:7" ht="15" hidden="1" outlineLevel="2">
      <c r="B8433" s="2889" t="s">
        <v>1634</v>
      </c>
      <c r="C8433" s="2889" t="s">
        <v>1551</v>
      </c>
      <c r="D8433" s="2889" t="s">
        <v>1106</v>
      </c>
      <c r="E8433" s="2889" t="s">
        <v>1426</v>
      </c>
      <c r="F8433" s="3040"/>
      <c r="G8433" s="2890">
        <v>33.40514614602516</v>
      </c>
    </row>
    <row r="8434" spans="2:7" ht="15" hidden="1" outlineLevel="2">
      <c r="B8434" s="2889" t="s">
        <v>1635</v>
      </c>
      <c r="C8434" s="2889" t="s">
        <v>1551</v>
      </c>
      <c r="D8434" s="2889" t="s">
        <v>1106</v>
      </c>
      <c r="E8434" s="2889" t="s">
        <v>1426</v>
      </c>
      <c r="F8434" s="3040"/>
      <c r="G8434" s="2890">
        <v>71.810954265567773</v>
      </c>
    </row>
    <row r="8435" spans="2:7" ht="15" hidden="1" outlineLevel="2">
      <c r="B8435" s="2889" t="s">
        <v>1636</v>
      </c>
      <c r="C8435" s="2889" t="s">
        <v>1551</v>
      </c>
      <c r="D8435" s="2889" t="s">
        <v>1106</v>
      </c>
      <c r="E8435" s="2889" t="s">
        <v>1426</v>
      </c>
      <c r="F8435" s="2891"/>
      <c r="G8435" s="2890">
        <v>65.494333771240917</v>
      </c>
    </row>
    <row r="8436" spans="2:7" ht="15" hidden="1" outlineLevel="2">
      <c r="B8436" s="2889" t="s">
        <v>1637</v>
      </c>
      <c r="C8436" s="2889" t="s">
        <v>1551</v>
      </c>
      <c r="D8436" s="2889" t="s">
        <v>1106</v>
      </c>
      <c r="E8436" s="2889" t="s">
        <v>1426</v>
      </c>
      <c r="F8436" s="2891"/>
      <c r="G8436" s="2890">
        <v>22.766112881333186</v>
      </c>
    </row>
    <row r="8437" spans="2:7" ht="15" hidden="1" outlineLevel="2">
      <c r="B8437" s="2889" t="s">
        <v>1638</v>
      </c>
      <c r="C8437" s="2889" t="s">
        <v>1551</v>
      </c>
      <c r="D8437" s="2889" t="s">
        <v>1106</v>
      </c>
      <c r="E8437" s="2889" t="s">
        <v>1426</v>
      </c>
      <c r="F8437" s="2891"/>
      <c r="G8437" s="2890">
        <v>46.676075608131285</v>
      </c>
    </row>
    <row r="8438" spans="2:7" ht="15" hidden="1" outlineLevel="2">
      <c r="B8438" s="2889" t="s">
        <v>1639</v>
      </c>
      <c r="C8438" s="2889" t="s">
        <v>1551</v>
      </c>
      <c r="D8438" s="2889" t="s">
        <v>1106</v>
      </c>
      <c r="E8438" s="2889" t="s">
        <v>1426</v>
      </c>
      <c r="F8438" s="2891"/>
      <c r="G8438" s="2890">
        <v>173.76750183652769</v>
      </c>
    </row>
    <row r="8439" spans="2:7" ht="15" hidden="1" outlineLevel="2">
      <c r="B8439" s="2889" t="s">
        <v>1640</v>
      </c>
      <c r="C8439" s="2889" t="s">
        <v>1551</v>
      </c>
      <c r="D8439" s="2889" t="s">
        <v>1106</v>
      </c>
      <c r="E8439" s="2889" t="s">
        <v>1426</v>
      </c>
      <c r="F8439" s="2891"/>
      <c r="G8439" s="2890">
        <v>17.077114647904835</v>
      </c>
    </row>
    <row r="8440" spans="2:7" ht="15" hidden="1" outlineLevel="2">
      <c r="B8440" s="2889" t="s">
        <v>1641</v>
      </c>
      <c r="C8440" s="2889" t="s">
        <v>1551</v>
      </c>
      <c r="D8440" s="2889" t="s">
        <v>1106</v>
      </c>
      <c r="E8440" s="2889" t="s">
        <v>1426</v>
      </c>
      <c r="F8440" s="2891"/>
      <c r="G8440" s="2890">
        <v>115.9664730093467</v>
      </c>
    </row>
    <row r="8441" spans="2:7" ht="15" hidden="1" outlineLevel="2">
      <c r="B8441" s="2889" t="s">
        <v>1642</v>
      </c>
      <c r="C8441" s="2889" t="s">
        <v>1551</v>
      </c>
      <c r="D8441" s="2889" t="s">
        <v>1106</v>
      </c>
      <c r="E8441" s="2889" t="s">
        <v>1426</v>
      </c>
      <c r="F8441" s="2891"/>
      <c r="G8441" s="2890">
        <v>157.50015758457889</v>
      </c>
    </row>
    <row r="8442" spans="2:7" ht="15" hidden="1" outlineLevel="2">
      <c r="B8442" s="2889" t="s">
        <v>1643</v>
      </c>
      <c r="C8442" s="2889" t="s">
        <v>1551</v>
      </c>
      <c r="D8442" s="2889" t="s">
        <v>1106</v>
      </c>
      <c r="E8442" s="2889" t="s">
        <v>1426</v>
      </c>
      <c r="F8442" s="3040"/>
      <c r="G8442" s="2890">
        <v>21.192762014833921</v>
      </c>
    </row>
    <row r="8443" spans="2:7" ht="15" hidden="1" outlineLevel="2">
      <c r="B8443" s="2889" t="s">
        <v>1644</v>
      </c>
      <c r="C8443" s="2889" t="s">
        <v>1551</v>
      </c>
      <c r="D8443" s="2889" t="s">
        <v>1106</v>
      </c>
      <c r="E8443" s="2889" t="s">
        <v>1426</v>
      </c>
      <c r="F8443" s="3040"/>
      <c r="G8443" s="2890">
        <v>291.52569676993608</v>
      </c>
    </row>
    <row r="8444" spans="2:7" ht="15" hidden="1" outlineLevel="2">
      <c r="B8444" s="2889" t="s">
        <v>1645</v>
      </c>
      <c r="C8444" s="2889" t="s">
        <v>1551</v>
      </c>
      <c r="D8444" s="2889" t="s">
        <v>1106</v>
      </c>
      <c r="E8444" s="2889" t="s">
        <v>1426</v>
      </c>
      <c r="F8444" s="3040"/>
      <c r="G8444" s="2890">
        <v>214.04601545325977</v>
      </c>
    </row>
    <row r="8445" spans="2:7" ht="15" hidden="1" outlineLevel="2">
      <c r="B8445" s="2889" t="s">
        <v>1646</v>
      </c>
      <c r="C8445" s="2889" t="s">
        <v>1551</v>
      </c>
      <c r="D8445" s="2889" t="s">
        <v>1106</v>
      </c>
      <c r="E8445" s="2889" t="s">
        <v>1426</v>
      </c>
      <c r="F8445" s="2891"/>
      <c r="G8445" s="2890">
        <v>17.532640108658658</v>
      </c>
    </row>
    <row r="8446" spans="2:7" ht="15" hidden="1" outlineLevel="2">
      <c r="B8446" s="2889" t="s">
        <v>1647</v>
      </c>
      <c r="C8446" s="2889" t="s">
        <v>1551</v>
      </c>
      <c r="D8446" s="2889" t="s">
        <v>1106</v>
      </c>
      <c r="E8446" s="2889" t="s">
        <v>1426</v>
      </c>
      <c r="F8446" s="3040"/>
      <c r="G8446" s="2890">
        <v>9.4445470664095783</v>
      </c>
    </row>
    <row r="8447" spans="2:7" ht="15" hidden="1" outlineLevel="2">
      <c r="B8447" s="2889" t="s">
        <v>1648</v>
      </c>
      <c r="C8447" s="2889" t="s">
        <v>1551</v>
      </c>
      <c r="D8447" s="2889" t="s">
        <v>1106</v>
      </c>
      <c r="E8447" s="2889" t="s">
        <v>1426</v>
      </c>
      <c r="F8447" s="3040"/>
      <c r="G8447" s="2890">
        <v>6.4279601955530214</v>
      </c>
    </row>
    <row r="8448" spans="2:7" ht="15" hidden="1" outlineLevel="2">
      <c r="B8448" s="2889" t="s">
        <v>1649</v>
      </c>
      <c r="C8448" s="2889" t="s">
        <v>1551</v>
      </c>
      <c r="D8448" s="2889" t="s">
        <v>1106</v>
      </c>
      <c r="E8448" s="2889" t="s">
        <v>1426</v>
      </c>
      <c r="F8448" s="2891"/>
      <c r="G8448" s="2890">
        <v>45.167830162113887</v>
      </c>
    </row>
    <row r="8449" spans="2:7" ht="15" hidden="1" outlineLevel="2">
      <c r="B8449" s="2889" t="s">
        <v>1650</v>
      </c>
      <c r="C8449" s="2889" t="s">
        <v>1551</v>
      </c>
      <c r="D8449" s="2889" t="s">
        <v>1106</v>
      </c>
      <c r="E8449" s="2889" t="s">
        <v>1426</v>
      </c>
      <c r="F8449" s="3040"/>
      <c r="G8449" s="2890">
        <v>162.16680065271757</v>
      </c>
    </row>
    <row r="8450" spans="2:7" ht="15" hidden="1" outlineLevel="2">
      <c r="B8450" s="2889" t="s">
        <v>1651</v>
      </c>
      <c r="C8450" s="2889" t="s">
        <v>1551</v>
      </c>
      <c r="D8450" s="2889" t="s">
        <v>1106</v>
      </c>
      <c r="E8450" s="2889" t="s">
        <v>1426</v>
      </c>
      <c r="F8450" s="3040"/>
      <c r="G8450" s="2890">
        <v>81.953951546776935</v>
      </c>
    </row>
    <row r="8451" spans="2:7" ht="15" hidden="1" outlineLevel="2">
      <c r="B8451" s="2889" t="s">
        <v>1652</v>
      </c>
      <c r="C8451" s="2889" t="s">
        <v>1551</v>
      </c>
      <c r="D8451" s="2889" t="s">
        <v>1106</v>
      </c>
      <c r="E8451" s="2889" t="s">
        <v>1426</v>
      </c>
      <c r="F8451" s="3040"/>
      <c r="G8451" s="2890">
        <v>21.440033842338725</v>
      </c>
    </row>
    <row r="8452" spans="2:7" ht="15" hidden="1" outlineLevel="2">
      <c r="B8452" s="2889" t="s">
        <v>1653</v>
      </c>
      <c r="C8452" s="2889" t="s">
        <v>1551</v>
      </c>
      <c r="D8452" s="2889" t="s">
        <v>1106</v>
      </c>
      <c r="E8452" s="2889" t="s">
        <v>1426</v>
      </c>
      <c r="F8452" s="2891"/>
      <c r="G8452" s="2890">
        <v>390.93129382164426</v>
      </c>
    </row>
    <row r="8453" spans="2:7" ht="15" hidden="1" outlineLevel="2">
      <c r="B8453" s="2889" t="s">
        <v>1407</v>
      </c>
      <c r="C8453" s="2889" t="s">
        <v>1552</v>
      </c>
      <c r="D8453" s="2889" t="s">
        <v>1106</v>
      </c>
      <c r="E8453" s="2889" t="s">
        <v>1426</v>
      </c>
      <c r="F8453" s="2891"/>
      <c r="G8453" s="2890">
        <v>964.16756321826358</v>
      </c>
    </row>
    <row r="8454" spans="2:7" ht="15" hidden="1" outlineLevel="2">
      <c r="B8454" s="2889" t="s">
        <v>1631</v>
      </c>
      <c r="C8454" s="2889" t="s">
        <v>1552</v>
      </c>
      <c r="D8454" s="2889" t="s">
        <v>1106</v>
      </c>
      <c r="E8454" s="2889" t="s">
        <v>1426</v>
      </c>
      <c r="F8454" s="3039">
        <v>0.11340818890118315</v>
      </c>
      <c r="G8454" s="2890">
        <v>4085.373719001861</v>
      </c>
    </row>
    <row r="8455" spans="2:7" ht="15" hidden="1" outlineLevel="2">
      <c r="B8455" s="2889" t="s">
        <v>1632</v>
      </c>
      <c r="C8455" s="2889" t="s">
        <v>1552</v>
      </c>
      <c r="D8455" s="2889" t="s">
        <v>1106</v>
      </c>
      <c r="E8455" s="2889" t="s">
        <v>1426</v>
      </c>
      <c r="F8455" s="3040"/>
      <c r="G8455" s="2890">
        <v>7476.561428363455</v>
      </c>
    </row>
    <row r="8456" spans="2:7" ht="15" hidden="1" outlineLevel="2">
      <c r="B8456" s="2889" t="s">
        <v>1633</v>
      </c>
      <c r="C8456" s="2889" t="s">
        <v>1552</v>
      </c>
      <c r="D8456" s="2889" t="s">
        <v>1106</v>
      </c>
      <c r="E8456" s="2889" t="s">
        <v>1426</v>
      </c>
      <c r="F8456" s="3040"/>
      <c r="G8456" s="2890">
        <v>200.06041773682296</v>
      </c>
    </row>
    <row r="8457" spans="2:7" ht="15" hidden="1" outlineLevel="2">
      <c r="B8457" s="2889" t="s">
        <v>1634</v>
      </c>
      <c r="C8457" s="2889" t="s">
        <v>1552</v>
      </c>
      <c r="D8457" s="2889" t="s">
        <v>1106</v>
      </c>
      <c r="E8457" s="2889" t="s">
        <v>1426</v>
      </c>
      <c r="F8457" s="3040"/>
      <c r="G8457" s="2890">
        <v>484.7279720429778</v>
      </c>
    </row>
    <row r="8458" spans="2:7" ht="15" hidden="1" outlineLevel="2">
      <c r="B8458" s="2889" t="s">
        <v>1635</v>
      </c>
      <c r="C8458" s="2889" t="s">
        <v>1552</v>
      </c>
      <c r="D8458" s="2889" t="s">
        <v>1106</v>
      </c>
      <c r="E8458" s="2889" t="s">
        <v>1426</v>
      </c>
      <c r="F8458" s="3040"/>
      <c r="G8458" s="2890">
        <v>1042.0181119277756</v>
      </c>
    </row>
    <row r="8459" spans="2:7" ht="15" hidden="1" outlineLevel="2">
      <c r="B8459" s="2889" t="s">
        <v>1636</v>
      </c>
      <c r="C8459" s="2889" t="s">
        <v>1552</v>
      </c>
      <c r="D8459" s="2889" t="s">
        <v>1106</v>
      </c>
      <c r="E8459" s="2889" t="s">
        <v>1426</v>
      </c>
      <c r="F8459" s="3040"/>
      <c r="G8459" s="2890">
        <v>950.36023081743861</v>
      </c>
    </row>
    <row r="8460" spans="2:7" ht="15" hidden="1" outlineLevel="2">
      <c r="B8460" s="2889" t="s">
        <v>1637</v>
      </c>
      <c r="C8460" s="2889" t="s">
        <v>1552</v>
      </c>
      <c r="D8460" s="2889" t="s">
        <v>1106</v>
      </c>
      <c r="E8460" s="2889" t="s">
        <v>1426</v>
      </c>
      <c r="F8460" s="3040"/>
      <c r="G8460" s="2890">
        <v>330.34935218717442</v>
      </c>
    </row>
    <row r="8461" spans="2:7" ht="15" hidden="1" outlineLevel="2">
      <c r="B8461" s="2889" t="s">
        <v>1638</v>
      </c>
      <c r="C8461" s="2889" t="s">
        <v>1552</v>
      </c>
      <c r="D8461" s="2889" t="s">
        <v>1106</v>
      </c>
      <c r="E8461" s="2889" t="s">
        <v>1426</v>
      </c>
      <c r="F8461" s="3040"/>
      <c r="G8461" s="2890">
        <v>677.29722689060475</v>
      </c>
    </row>
    <row r="8462" spans="2:7" ht="15" hidden="1" outlineLevel="2">
      <c r="B8462" s="2889" t="s">
        <v>1639</v>
      </c>
      <c r="C8462" s="2889" t="s">
        <v>1552</v>
      </c>
      <c r="D8462" s="2889" t="s">
        <v>1106</v>
      </c>
      <c r="E8462" s="2889" t="s">
        <v>1426</v>
      </c>
      <c r="F8462" s="3040"/>
      <c r="G8462" s="2890">
        <v>2521.4658784254534</v>
      </c>
    </row>
    <row r="8463" spans="2:7" ht="15" hidden="1" outlineLevel="2">
      <c r="B8463" s="2889" t="s">
        <v>1640</v>
      </c>
      <c r="C8463" s="2889" t="s">
        <v>1552</v>
      </c>
      <c r="D8463" s="2889" t="s">
        <v>1106</v>
      </c>
      <c r="E8463" s="2889" t="s">
        <v>1426</v>
      </c>
      <c r="F8463" s="3040"/>
      <c r="G8463" s="2890">
        <v>247.7989172770869</v>
      </c>
    </row>
    <row r="8464" spans="2:7" ht="15" hidden="1" outlineLevel="2">
      <c r="B8464" s="2889" t="s">
        <v>1641</v>
      </c>
      <c r="C8464" s="2889" t="s">
        <v>1552</v>
      </c>
      <c r="D8464" s="2889" t="s">
        <v>1106</v>
      </c>
      <c r="E8464" s="2889" t="s">
        <v>1426</v>
      </c>
      <c r="F8464" s="3040"/>
      <c r="G8464" s="2890">
        <v>1682.7400805883935</v>
      </c>
    </row>
    <row r="8465" spans="2:7" ht="15" hidden="1" outlineLevel="2">
      <c r="B8465" s="2889" t="s">
        <v>1642</v>
      </c>
      <c r="C8465" s="2889" t="s">
        <v>1552</v>
      </c>
      <c r="D8465" s="2889" t="s">
        <v>1106</v>
      </c>
      <c r="E8465" s="2889" t="s">
        <v>1426</v>
      </c>
      <c r="F8465" s="3040"/>
      <c r="G8465" s="2890">
        <v>2285.4186549391093</v>
      </c>
    </row>
    <row r="8466" spans="2:7" ht="15" hidden="1" outlineLevel="2">
      <c r="B8466" s="2889" t="s">
        <v>1643</v>
      </c>
      <c r="C8466" s="2889" t="s">
        <v>1552</v>
      </c>
      <c r="D8466" s="2889" t="s">
        <v>1106</v>
      </c>
      <c r="E8466" s="2889" t="s">
        <v>1426</v>
      </c>
      <c r="F8466" s="2891"/>
      <c r="G8466" s="2890">
        <v>307.51919980269986</v>
      </c>
    </row>
    <row r="8467" spans="2:7" ht="15" hidden="1" outlineLevel="2">
      <c r="B8467" s="2889" t="s">
        <v>1644</v>
      </c>
      <c r="C8467" s="2889" t="s">
        <v>1552</v>
      </c>
      <c r="D8467" s="2889" t="s">
        <v>1106</v>
      </c>
      <c r="E8467" s="2889" t="s">
        <v>1426</v>
      </c>
      <c r="F8467" s="2891"/>
      <c r="G8467" s="2890">
        <v>4230.2041324484071</v>
      </c>
    </row>
    <row r="8468" spans="2:7" ht="15" hidden="1" outlineLevel="2">
      <c r="B8468" s="2889" t="s">
        <v>1645</v>
      </c>
      <c r="C8468" s="2889" t="s">
        <v>1552</v>
      </c>
      <c r="D8468" s="2889" t="s">
        <v>1106</v>
      </c>
      <c r="E8468" s="2889" t="s">
        <v>1426</v>
      </c>
      <c r="F8468" s="3040"/>
      <c r="G8468" s="2890">
        <v>3105.9309503026934</v>
      </c>
    </row>
    <row r="8469" spans="2:7" ht="15" hidden="1" outlineLevel="2">
      <c r="B8469" s="2889" t="s">
        <v>1646</v>
      </c>
      <c r="C8469" s="2889" t="s">
        <v>1552</v>
      </c>
      <c r="D8469" s="2889" t="s">
        <v>1106</v>
      </c>
      <c r="E8469" s="2889" t="s">
        <v>1426</v>
      </c>
      <c r="F8469" s="3040"/>
      <c r="G8469" s="2890">
        <v>254.40841713546894</v>
      </c>
    </row>
    <row r="8470" spans="2:7" ht="15" hidden="1" outlineLevel="2">
      <c r="B8470" s="2889" t="s">
        <v>1647</v>
      </c>
      <c r="C8470" s="2889" t="s">
        <v>1552</v>
      </c>
      <c r="D8470" s="2889" t="s">
        <v>1106</v>
      </c>
      <c r="E8470" s="2889" t="s">
        <v>1426</v>
      </c>
      <c r="F8470" s="3040"/>
      <c r="G8470" s="2890">
        <v>137.04581723302107</v>
      </c>
    </row>
    <row r="8471" spans="2:7" ht="15" hidden="1" outlineLevel="2">
      <c r="B8471" s="2889" t="s">
        <v>1648</v>
      </c>
      <c r="C8471" s="2889" t="s">
        <v>1552</v>
      </c>
      <c r="D8471" s="2889" t="s">
        <v>1106</v>
      </c>
      <c r="E8471" s="2889" t="s">
        <v>1426</v>
      </c>
      <c r="F8471" s="3040"/>
      <c r="G8471" s="2890">
        <v>93.273395419545835</v>
      </c>
    </row>
    <row r="8472" spans="2:7" ht="15" hidden="1" outlineLevel="2">
      <c r="B8472" s="2889" t="s">
        <v>1649</v>
      </c>
      <c r="C8472" s="2889" t="s">
        <v>1552</v>
      </c>
      <c r="D8472" s="2889" t="s">
        <v>1106</v>
      </c>
      <c r="E8472" s="2889" t="s">
        <v>1426</v>
      </c>
      <c r="F8472" s="3040"/>
      <c r="G8472" s="2890">
        <v>655.41089718192416</v>
      </c>
    </row>
    <row r="8473" spans="2:7" ht="15" hidden="1" outlineLevel="2">
      <c r="B8473" s="2889" t="s">
        <v>1650</v>
      </c>
      <c r="C8473" s="2889" t="s">
        <v>1552</v>
      </c>
      <c r="D8473" s="2889" t="s">
        <v>1106</v>
      </c>
      <c r="E8473" s="2889" t="s">
        <v>1426</v>
      </c>
      <c r="F8473" s="3040"/>
      <c r="G8473" s="2890">
        <v>2353.1347110182924</v>
      </c>
    </row>
    <row r="8474" spans="2:7" ht="15" hidden="1" outlineLevel="2">
      <c r="B8474" s="2889" t="s">
        <v>1651</v>
      </c>
      <c r="C8474" s="2889" t="s">
        <v>1552</v>
      </c>
      <c r="D8474" s="2889" t="s">
        <v>1106</v>
      </c>
      <c r="E8474" s="2889" t="s">
        <v>1426</v>
      </c>
      <c r="F8474" s="3040"/>
      <c r="G8474" s="2890">
        <v>1189.1987686792472</v>
      </c>
    </row>
    <row r="8475" spans="2:7" ht="15" hidden="1" outlineLevel="2">
      <c r="B8475" s="2889" t="s">
        <v>1652</v>
      </c>
      <c r="C8475" s="2889" t="s">
        <v>1552</v>
      </c>
      <c r="D8475" s="2889" t="s">
        <v>1106</v>
      </c>
      <c r="E8475" s="2889" t="s">
        <v>1426</v>
      </c>
      <c r="F8475" s="3040"/>
      <c r="G8475" s="2890">
        <v>311.10721438376669</v>
      </c>
    </row>
    <row r="8476" spans="2:7" ht="15" hidden="1" outlineLevel="2">
      <c r="B8476" s="2889" t="s">
        <v>1653</v>
      </c>
      <c r="C8476" s="2889" t="s">
        <v>1552</v>
      </c>
      <c r="D8476" s="2889" t="s">
        <v>1106</v>
      </c>
      <c r="E8476" s="2889" t="s">
        <v>1426</v>
      </c>
      <c r="F8476" s="3040"/>
      <c r="G8476" s="2890">
        <v>5672.6332235832742</v>
      </c>
    </row>
    <row r="8477" spans="2:7" ht="15" hidden="1" outlineLevel="2">
      <c r="B8477" s="2889" t="s">
        <v>1407</v>
      </c>
      <c r="C8477" s="2889" t="s">
        <v>1553</v>
      </c>
      <c r="D8477" s="2889" t="s">
        <v>1106</v>
      </c>
      <c r="E8477" s="2889" t="s">
        <v>1426</v>
      </c>
      <c r="F8477" s="3040"/>
      <c r="G8477" s="2890">
        <v>420.82737188225394</v>
      </c>
    </row>
    <row r="8478" spans="2:7" ht="15" hidden="1" outlineLevel="2">
      <c r="B8478" s="2889" t="s">
        <v>1631</v>
      </c>
      <c r="C8478" s="2889" t="s">
        <v>1553</v>
      </c>
      <c r="D8478" s="2889" t="s">
        <v>1106</v>
      </c>
      <c r="E8478" s="2889" t="s">
        <v>1426</v>
      </c>
      <c r="F8478" s="2890">
        <v>6.0026738435033582E-2</v>
      </c>
      <c r="G8478" s="2890">
        <v>1783.1313157881639</v>
      </c>
    </row>
    <row r="8479" spans="2:7" ht="15" hidden="1" outlineLevel="2">
      <c r="B8479" s="2889" t="s">
        <v>1632</v>
      </c>
      <c r="C8479" s="2889" t="s">
        <v>1553</v>
      </c>
      <c r="D8479" s="2889" t="s">
        <v>1106</v>
      </c>
      <c r="E8479" s="2889" t="s">
        <v>1426</v>
      </c>
      <c r="F8479" s="3040"/>
      <c r="G8479" s="2890">
        <v>3263.2725568514738</v>
      </c>
    </row>
    <row r="8480" spans="2:7" ht="15" hidden="1" outlineLevel="2">
      <c r="B8480" s="2889" t="s">
        <v>1633</v>
      </c>
      <c r="C8480" s="2889" t="s">
        <v>1553</v>
      </c>
      <c r="D8480" s="2889" t="s">
        <v>1106</v>
      </c>
      <c r="E8480" s="2889" t="s">
        <v>1426</v>
      </c>
      <c r="F8480" s="3040"/>
      <c r="G8480" s="2890">
        <v>87.319766867505265</v>
      </c>
    </row>
    <row r="8481" spans="2:7" ht="15" hidden="1" outlineLevel="2">
      <c r="B8481" s="2889" t="s">
        <v>1634</v>
      </c>
      <c r="C8481" s="2889" t="s">
        <v>1553</v>
      </c>
      <c r="D8481" s="2889" t="s">
        <v>1106</v>
      </c>
      <c r="E8481" s="2889" t="s">
        <v>1426</v>
      </c>
      <c r="F8481" s="3040"/>
      <c r="G8481" s="2890">
        <v>211.56768794948914</v>
      </c>
    </row>
    <row r="8482" spans="2:7" ht="15" hidden="1" outlineLevel="2">
      <c r="B8482" s="2889" t="s">
        <v>1635</v>
      </c>
      <c r="C8482" s="2889" t="s">
        <v>1553</v>
      </c>
      <c r="D8482" s="2889" t="s">
        <v>1106</v>
      </c>
      <c r="E8482" s="2889" t="s">
        <v>1426</v>
      </c>
      <c r="F8482" s="3040"/>
      <c r="G8482" s="2890">
        <v>454.80646969246669</v>
      </c>
    </row>
    <row r="8483" spans="2:7" ht="15" hidden="1" outlineLevel="2">
      <c r="B8483" s="2889" t="s">
        <v>1636</v>
      </c>
      <c r="C8483" s="2889" t="s">
        <v>1553</v>
      </c>
      <c r="D8483" s="2889" t="s">
        <v>1106</v>
      </c>
      <c r="E8483" s="2889" t="s">
        <v>1426</v>
      </c>
      <c r="F8483" s="2891"/>
      <c r="G8483" s="2890">
        <v>414.80105583686117</v>
      </c>
    </row>
    <row r="8484" spans="2:7" ht="15" hidden="1" outlineLevel="2">
      <c r="B8484" s="2889" t="s">
        <v>1637</v>
      </c>
      <c r="C8484" s="2889" t="s">
        <v>1553</v>
      </c>
      <c r="D8484" s="2889" t="s">
        <v>1106</v>
      </c>
      <c r="E8484" s="2889" t="s">
        <v>1426</v>
      </c>
      <c r="F8484" s="2891"/>
      <c r="G8484" s="2890">
        <v>144.18660601624151</v>
      </c>
    </row>
    <row r="8485" spans="2:7" ht="15" hidden="1" outlineLevel="2">
      <c r="B8485" s="2889" t="s">
        <v>1638</v>
      </c>
      <c r="C8485" s="2889" t="s">
        <v>1553</v>
      </c>
      <c r="D8485" s="2889" t="s">
        <v>1106</v>
      </c>
      <c r="E8485" s="2889" t="s">
        <v>1426</v>
      </c>
      <c r="F8485" s="2891"/>
      <c r="G8485" s="2890">
        <v>295.61780605150955</v>
      </c>
    </row>
    <row r="8486" spans="2:7" ht="15" hidden="1" outlineLevel="2">
      <c r="B8486" s="2889" t="s">
        <v>1639</v>
      </c>
      <c r="C8486" s="2889" t="s">
        <v>1553</v>
      </c>
      <c r="D8486" s="2889" t="s">
        <v>1106</v>
      </c>
      <c r="E8486" s="2889" t="s">
        <v>1426</v>
      </c>
      <c r="F8486" s="2891"/>
      <c r="G8486" s="2890">
        <v>1100.5367875009249</v>
      </c>
    </row>
    <row r="8487" spans="2:7" ht="15" hidden="1" outlineLevel="2">
      <c r="B8487" s="2889" t="s">
        <v>1640</v>
      </c>
      <c r="C8487" s="2889" t="s">
        <v>1553</v>
      </c>
      <c r="D8487" s="2889" t="s">
        <v>1106</v>
      </c>
      <c r="E8487" s="2889" t="s">
        <v>1426</v>
      </c>
      <c r="F8487" s="2891"/>
      <c r="G8487" s="2890">
        <v>108.15597380165377</v>
      </c>
    </row>
    <row r="8488" spans="2:7" ht="15" hidden="1" outlineLevel="2">
      <c r="B8488" s="2889" t="s">
        <v>1641</v>
      </c>
      <c r="C8488" s="2889" t="s">
        <v>1553</v>
      </c>
      <c r="D8488" s="2889" t="s">
        <v>1106</v>
      </c>
      <c r="E8488" s="2889" t="s">
        <v>1426</v>
      </c>
      <c r="F8488" s="2891"/>
      <c r="G8488" s="2890">
        <v>734.4606577538533</v>
      </c>
    </row>
    <row r="8489" spans="2:7" ht="15" hidden="1" outlineLevel="2">
      <c r="B8489" s="2889" t="s">
        <v>1642</v>
      </c>
      <c r="C8489" s="2889" t="s">
        <v>1553</v>
      </c>
      <c r="D8489" s="2889" t="s">
        <v>1106</v>
      </c>
      <c r="E8489" s="2889" t="s">
        <v>1426</v>
      </c>
      <c r="F8489" s="2891"/>
      <c r="G8489" s="2890">
        <v>997.50995852411472</v>
      </c>
    </row>
    <row r="8490" spans="2:7" ht="15" hidden="1" outlineLevel="2">
      <c r="B8490" s="2889" t="s">
        <v>1643</v>
      </c>
      <c r="C8490" s="2889" t="s">
        <v>1553</v>
      </c>
      <c r="D8490" s="2889" t="s">
        <v>1106</v>
      </c>
      <c r="E8490" s="2889" t="s">
        <v>1426</v>
      </c>
      <c r="F8490" s="2891"/>
      <c r="G8490" s="2890">
        <v>134.22194837111485</v>
      </c>
    </row>
    <row r="8491" spans="2:7" ht="15" hidden="1" outlineLevel="2">
      <c r="B8491" s="2889" t="s">
        <v>1644</v>
      </c>
      <c r="C8491" s="2889" t="s">
        <v>1553</v>
      </c>
      <c r="D8491" s="2889" t="s">
        <v>1106</v>
      </c>
      <c r="E8491" s="2889" t="s">
        <v>1426</v>
      </c>
      <c r="F8491" s="2891"/>
      <c r="G8491" s="2890">
        <v>1846.3459179634647</v>
      </c>
    </row>
    <row r="8492" spans="2:7" ht="15" hidden="1" outlineLevel="2">
      <c r="B8492" s="2889" t="s">
        <v>1645</v>
      </c>
      <c r="C8492" s="2889" t="s">
        <v>1553</v>
      </c>
      <c r="D8492" s="2889" t="s">
        <v>1106</v>
      </c>
      <c r="E8492" s="2889" t="s">
        <v>1426</v>
      </c>
      <c r="F8492" s="2891"/>
      <c r="G8492" s="2890">
        <v>1355.6365313813378</v>
      </c>
    </row>
    <row r="8493" spans="2:7" ht="15" hidden="1" outlineLevel="2">
      <c r="B8493" s="2889" t="s">
        <v>1646</v>
      </c>
      <c r="C8493" s="2889" t="s">
        <v>1553</v>
      </c>
      <c r="D8493" s="2889" t="s">
        <v>1106</v>
      </c>
      <c r="E8493" s="2889" t="s">
        <v>1426</v>
      </c>
      <c r="F8493" s="3040"/>
      <c r="G8493" s="2890">
        <v>111.04100873450035</v>
      </c>
    </row>
    <row r="8494" spans="2:7" ht="15" hidden="1" outlineLevel="2">
      <c r="B8494" s="2889" t="s">
        <v>1647</v>
      </c>
      <c r="C8494" s="2889" t="s">
        <v>1553</v>
      </c>
      <c r="D8494" s="2889" t="s">
        <v>1106</v>
      </c>
      <c r="E8494" s="2889" t="s">
        <v>1426</v>
      </c>
      <c r="F8494" s="3040"/>
      <c r="G8494" s="2890">
        <v>59.815969027499854</v>
      </c>
    </row>
    <row r="8495" spans="2:7" ht="15" hidden="1" outlineLevel="2">
      <c r="B8495" s="2889" t="s">
        <v>1648</v>
      </c>
      <c r="C8495" s="2889" t="s">
        <v>1553</v>
      </c>
      <c r="D8495" s="2889" t="s">
        <v>1106</v>
      </c>
      <c r="E8495" s="2889" t="s">
        <v>1426</v>
      </c>
      <c r="F8495" s="2891"/>
      <c r="G8495" s="2890">
        <v>40.710763955247138</v>
      </c>
    </row>
    <row r="8496" spans="2:7" ht="15" hidden="1" outlineLevel="2">
      <c r="B8496" s="2889" t="s">
        <v>1649</v>
      </c>
      <c r="C8496" s="2889" t="s">
        <v>1553</v>
      </c>
      <c r="D8496" s="2889" t="s">
        <v>1106</v>
      </c>
      <c r="E8496" s="2889" t="s">
        <v>1426</v>
      </c>
      <c r="F8496" s="3040"/>
      <c r="G8496" s="2890">
        <v>286.06523383300112</v>
      </c>
    </row>
    <row r="8497" spans="2:7" ht="15" hidden="1" outlineLevel="2">
      <c r="B8497" s="2889" t="s">
        <v>1650</v>
      </c>
      <c r="C8497" s="2889" t="s">
        <v>1553</v>
      </c>
      <c r="D8497" s="2889" t="s">
        <v>1106</v>
      </c>
      <c r="E8497" s="2889" t="s">
        <v>1426</v>
      </c>
      <c r="F8497" s="3040"/>
      <c r="G8497" s="2890">
        <v>1027.0652716025193</v>
      </c>
    </row>
    <row r="8498" spans="2:7" ht="15" hidden="1" outlineLevel="2">
      <c r="B8498" s="2889" t="s">
        <v>1651</v>
      </c>
      <c r="C8498" s="2889" t="s">
        <v>1553</v>
      </c>
      <c r="D8498" s="2889" t="s">
        <v>1106</v>
      </c>
      <c r="E8498" s="2889" t="s">
        <v>1426</v>
      </c>
      <c r="F8498" s="3040"/>
      <c r="G8498" s="2890">
        <v>519.04622186925076</v>
      </c>
    </row>
    <row r="8499" spans="2:7" ht="15" hidden="1" outlineLevel="2">
      <c r="B8499" s="2889" t="s">
        <v>1652</v>
      </c>
      <c r="C8499" s="2889" t="s">
        <v>1553</v>
      </c>
      <c r="D8499" s="2889" t="s">
        <v>1106</v>
      </c>
      <c r="E8499" s="2889" t="s">
        <v>1426</v>
      </c>
      <c r="F8499" s="3040"/>
      <c r="G8499" s="2890">
        <v>135.7880429634215</v>
      </c>
    </row>
    <row r="8500" spans="2:7" ht="15" hidden="1" outlineLevel="2">
      <c r="B8500" s="2889" t="s">
        <v>1653</v>
      </c>
      <c r="C8500" s="2889" t="s">
        <v>1553</v>
      </c>
      <c r="D8500" s="2889" t="s">
        <v>1106</v>
      </c>
      <c r="E8500" s="2889" t="s">
        <v>1426</v>
      </c>
      <c r="F8500" s="3040"/>
      <c r="G8500" s="2890">
        <v>2475.9197089843001</v>
      </c>
    </row>
    <row r="8501" spans="2:7" ht="15" hidden="1" outlineLevel="2">
      <c r="B8501" s="2889" t="s">
        <v>1407</v>
      </c>
      <c r="C8501" s="2889" t="s">
        <v>1554</v>
      </c>
      <c r="D8501" s="2889" t="s">
        <v>1106</v>
      </c>
      <c r="E8501" s="2889" t="s">
        <v>1426</v>
      </c>
      <c r="F8501" s="3040"/>
      <c r="G8501" s="2890">
        <v>427.13535143347184</v>
      </c>
    </row>
    <row r="8502" spans="2:7" ht="15" hidden="1" outlineLevel="2">
      <c r="B8502" s="2889" t="s">
        <v>1631</v>
      </c>
      <c r="C8502" s="2889" t="s">
        <v>1554</v>
      </c>
      <c r="D8502" s="2889" t="s">
        <v>1106</v>
      </c>
      <c r="E8502" s="2889" t="s">
        <v>1426</v>
      </c>
      <c r="F8502" s="2890">
        <v>5.9286149430456549E-2</v>
      </c>
      <c r="G8502" s="2890">
        <v>1809.8586097159537</v>
      </c>
    </row>
    <row r="8503" spans="2:7" ht="15" hidden="1" outlineLevel="2">
      <c r="B8503" s="2889" t="s">
        <v>1632</v>
      </c>
      <c r="C8503" s="2889" t="s">
        <v>1554</v>
      </c>
      <c r="D8503" s="2889" t="s">
        <v>1106</v>
      </c>
      <c r="E8503" s="2889" t="s">
        <v>1426</v>
      </c>
      <c r="F8503" s="3040"/>
      <c r="G8503" s="2890">
        <v>3312.1855242036368</v>
      </c>
    </row>
    <row r="8504" spans="2:7" ht="15" hidden="1" outlineLevel="2">
      <c r="B8504" s="2889" t="s">
        <v>1633</v>
      </c>
      <c r="C8504" s="2889" t="s">
        <v>1554</v>
      </c>
      <c r="D8504" s="2889" t="s">
        <v>1106</v>
      </c>
      <c r="E8504" s="2889" t="s">
        <v>1426</v>
      </c>
      <c r="F8504" s="3040"/>
      <c r="G8504" s="2890">
        <v>88.628604995621345</v>
      </c>
    </row>
    <row r="8505" spans="2:7" ht="15" hidden="1" outlineLevel="2">
      <c r="B8505" s="2889" t="s">
        <v>1634</v>
      </c>
      <c r="C8505" s="2889" t="s">
        <v>1554</v>
      </c>
      <c r="D8505" s="2889" t="s">
        <v>1106</v>
      </c>
      <c r="E8505" s="2889" t="s">
        <v>1426</v>
      </c>
      <c r="F8505" s="3040"/>
      <c r="G8505" s="2890">
        <v>214.73893747446098</v>
      </c>
    </row>
    <row r="8506" spans="2:7" ht="15" hidden="1" outlineLevel="2">
      <c r="B8506" s="2889" t="s">
        <v>1635</v>
      </c>
      <c r="C8506" s="2889" t="s">
        <v>1554</v>
      </c>
      <c r="D8506" s="2889" t="s">
        <v>1106</v>
      </c>
      <c r="E8506" s="2889" t="s">
        <v>1426</v>
      </c>
      <c r="F8506" s="3040"/>
      <c r="G8506" s="2890">
        <v>461.62362739134016</v>
      </c>
    </row>
    <row r="8507" spans="2:7" ht="15" hidden="1" outlineLevel="2">
      <c r="B8507" s="2889" t="s">
        <v>1636</v>
      </c>
      <c r="C8507" s="2889" t="s">
        <v>1554</v>
      </c>
      <c r="D8507" s="2889" t="s">
        <v>1106</v>
      </c>
      <c r="E8507" s="2889" t="s">
        <v>1426</v>
      </c>
      <c r="F8507" s="3040"/>
      <c r="G8507" s="2890">
        <v>421.01852841800468</v>
      </c>
    </row>
    <row r="8508" spans="2:7" ht="15" hidden="1" outlineLevel="2">
      <c r="B8508" s="2889" t="s">
        <v>1637</v>
      </c>
      <c r="C8508" s="2889" t="s">
        <v>1554</v>
      </c>
      <c r="D8508" s="2889" t="s">
        <v>1106</v>
      </c>
      <c r="E8508" s="2889" t="s">
        <v>1426</v>
      </c>
      <c r="F8508" s="3040"/>
      <c r="G8508" s="2890">
        <v>146.34783390126188</v>
      </c>
    </row>
    <row r="8509" spans="2:7" ht="15" hidden="1" outlineLevel="2">
      <c r="B8509" s="2889" t="s">
        <v>1638</v>
      </c>
      <c r="C8509" s="2889" t="s">
        <v>1554</v>
      </c>
      <c r="D8509" s="2889" t="s">
        <v>1106</v>
      </c>
      <c r="E8509" s="2889" t="s">
        <v>1426</v>
      </c>
      <c r="F8509" s="3040"/>
      <c r="G8509" s="2890">
        <v>300.04889109156073</v>
      </c>
    </row>
    <row r="8510" spans="2:7" ht="15" hidden="1" outlineLevel="2">
      <c r="B8510" s="2889" t="s">
        <v>1639</v>
      </c>
      <c r="C8510" s="2889" t="s">
        <v>1554</v>
      </c>
      <c r="D8510" s="2889" t="s">
        <v>1106</v>
      </c>
      <c r="E8510" s="2889" t="s">
        <v>1426</v>
      </c>
      <c r="F8510" s="3040"/>
      <c r="G8510" s="2890">
        <v>1117.0329701713424</v>
      </c>
    </row>
    <row r="8511" spans="2:7" ht="15" hidden="1" outlineLevel="2">
      <c r="B8511" s="2889" t="s">
        <v>1640</v>
      </c>
      <c r="C8511" s="2889" t="s">
        <v>1554</v>
      </c>
      <c r="D8511" s="2889" t="s">
        <v>1106</v>
      </c>
      <c r="E8511" s="2889" t="s">
        <v>1426</v>
      </c>
      <c r="F8511" s="3040"/>
      <c r="G8511" s="2890">
        <v>109.77711108783986</v>
      </c>
    </row>
    <row r="8512" spans="2:7" ht="15" hidden="1" outlineLevel="2">
      <c r="B8512" s="2889" t="s">
        <v>1641</v>
      </c>
      <c r="C8512" s="2889" t="s">
        <v>1554</v>
      </c>
      <c r="D8512" s="2889" t="s">
        <v>1106</v>
      </c>
      <c r="E8512" s="2889" t="s">
        <v>1426</v>
      </c>
      <c r="F8512" s="3040"/>
      <c r="G8512" s="2890">
        <v>745.46927106436704</v>
      </c>
    </row>
    <row r="8513" spans="2:7" ht="15" hidden="1" outlineLevel="2">
      <c r="B8513" s="2889" t="s">
        <v>1642</v>
      </c>
      <c r="C8513" s="2889" t="s">
        <v>1554</v>
      </c>
      <c r="D8513" s="2889" t="s">
        <v>1106</v>
      </c>
      <c r="E8513" s="2889" t="s">
        <v>1426</v>
      </c>
      <c r="F8513" s="3040"/>
      <c r="G8513" s="2890">
        <v>1012.4617727242946</v>
      </c>
    </row>
    <row r="8514" spans="2:7" ht="15" hidden="1" outlineLevel="2">
      <c r="B8514" s="2889" t="s">
        <v>1643</v>
      </c>
      <c r="C8514" s="2889" t="s">
        <v>1554</v>
      </c>
      <c r="D8514" s="2889" t="s">
        <v>1106</v>
      </c>
      <c r="E8514" s="2889" t="s">
        <v>1426</v>
      </c>
      <c r="F8514" s="3040"/>
      <c r="G8514" s="2890">
        <v>136.23380810522033</v>
      </c>
    </row>
    <row r="8515" spans="2:7" ht="15" hidden="1" outlineLevel="2">
      <c r="B8515" s="2889" t="s">
        <v>1644</v>
      </c>
      <c r="C8515" s="2889" t="s">
        <v>1554</v>
      </c>
      <c r="D8515" s="2889" t="s">
        <v>1106</v>
      </c>
      <c r="E8515" s="2889" t="s">
        <v>1426</v>
      </c>
      <c r="F8515" s="3040"/>
      <c r="G8515" s="2890">
        <v>1874.0200226123509</v>
      </c>
    </row>
    <row r="8516" spans="2:7" ht="15" hidden="1" outlineLevel="2">
      <c r="B8516" s="2889" t="s">
        <v>1645</v>
      </c>
      <c r="C8516" s="2889" t="s">
        <v>1554</v>
      </c>
      <c r="D8516" s="2889" t="s">
        <v>1106</v>
      </c>
      <c r="E8516" s="2889" t="s">
        <v>1426</v>
      </c>
      <c r="F8516" s="2891"/>
      <c r="G8516" s="2890">
        <v>1375.9563533279991</v>
      </c>
    </row>
    <row r="8517" spans="2:7" ht="15" hidden="1" outlineLevel="2">
      <c r="B8517" s="2889" t="s">
        <v>1646</v>
      </c>
      <c r="C8517" s="2889" t="s">
        <v>1554</v>
      </c>
      <c r="D8517" s="2889" t="s">
        <v>1106</v>
      </c>
      <c r="E8517" s="2889" t="s">
        <v>1426</v>
      </c>
      <c r="F8517" s="2891"/>
      <c r="G8517" s="2890">
        <v>112.70538373622929</v>
      </c>
    </row>
    <row r="8518" spans="2:7" ht="15" hidden="1" outlineLevel="2">
      <c r="B8518" s="2889" t="s">
        <v>1647</v>
      </c>
      <c r="C8518" s="2889" t="s">
        <v>1554</v>
      </c>
      <c r="D8518" s="2889" t="s">
        <v>1106</v>
      </c>
      <c r="E8518" s="2889" t="s">
        <v>1426</v>
      </c>
      <c r="F8518" s="2891"/>
      <c r="G8518" s="2890">
        <v>60.712559935906654</v>
      </c>
    </row>
    <row r="8519" spans="2:7" ht="15" hidden="1" outlineLevel="2">
      <c r="B8519" s="2889" t="s">
        <v>1648</v>
      </c>
      <c r="C8519" s="2889" t="s">
        <v>1554</v>
      </c>
      <c r="D8519" s="2889" t="s">
        <v>1106</v>
      </c>
      <c r="E8519" s="2889" t="s">
        <v>1426</v>
      </c>
      <c r="F8519" s="2891"/>
      <c r="G8519" s="2890">
        <v>41.320967911219398</v>
      </c>
    </row>
    <row r="8520" spans="2:7" ht="15" hidden="1" outlineLevel="2">
      <c r="B8520" s="2889" t="s">
        <v>1649</v>
      </c>
      <c r="C8520" s="2889" t="s">
        <v>1554</v>
      </c>
      <c r="D8520" s="2889" t="s">
        <v>1106</v>
      </c>
      <c r="E8520" s="2889" t="s">
        <v>1426</v>
      </c>
      <c r="F8520" s="2891"/>
      <c r="G8520" s="2890">
        <v>290.3529869570167</v>
      </c>
    </row>
    <row r="8521" spans="2:7" ht="15" hidden="1" outlineLevel="2">
      <c r="B8521" s="2889" t="s">
        <v>1650</v>
      </c>
      <c r="C8521" s="2889" t="s">
        <v>1554</v>
      </c>
      <c r="D8521" s="2889" t="s">
        <v>1106</v>
      </c>
      <c r="E8521" s="2889" t="s">
        <v>1426</v>
      </c>
      <c r="F8521" s="2891"/>
      <c r="G8521" s="2890">
        <v>1042.4598777585547</v>
      </c>
    </row>
    <row r="8522" spans="2:7" ht="15" hidden="1" outlineLevel="2">
      <c r="B8522" s="2889" t="s">
        <v>1651</v>
      </c>
      <c r="C8522" s="2889" t="s">
        <v>1554</v>
      </c>
      <c r="D8522" s="2889" t="s">
        <v>1106</v>
      </c>
      <c r="E8522" s="2889" t="s">
        <v>1426</v>
      </c>
      <c r="F8522" s="3040"/>
      <c r="G8522" s="2890">
        <v>526.826010541963</v>
      </c>
    </row>
    <row r="8523" spans="2:7" ht="15" hidden="1" outlineLevel="2">
      <c r="B8523" s="2889" t="s">
        <v>1652</v>
      </c>
      <c r="C8523" s="2889" t="s">
        <v>1554</v>
      </c>
      <c r="D8523" s="2889" t="s">
        <v>1106</v>
      </c>
      <c r="E8523" s="2889" t="s">
        <v>1426</v>
      </c>
      <c r="F8523" s="3040"/>
      <c r="G8523" s="2890">
        <v>137.82335472325181</v>
      </c>
    </row>
    <row r="8524" spans="2:7" ht="15" hidden="1" outlineLevel="2">
      <c r="B8524" s="2889" t="s">
        <v>1653</v>
      </c>
      <c r="C8524" s="2889" t="s">
        <v>1554</v>
      </c>
      <c r="D8524" s="2889" t="s">
        <v>1106</v>
      </c>
      <c r="E8524" s="2889" t="s">
        <v>1426</v>
      </c>
      <c r="F8524" s="3040"/>
      <c r="G8524" s="2890">
        <v>2513.0314417628451</v>
      </c>
    </row>
    <row r="8525" spans="2:7" ht="15" hidden="1" outlineLevel="2">
      <c r="B8525" s="2889" t="s">
        <v>1407</v>
      </c>
      <c r="C8525" s="2889" t="s">
        <v>1555</v>
      </c>
      <c r="D8525" s="2889" t="s">
        <v>1106</v>
      </c>
      <c r="E8525" s="2889" t="s">
        <v>1426</v>
      </c>
      <c r="F8525" s="3040"/>
      <c r="G8525" s="2890">
        <v>16.420604497432766</v>
      </c>
    </row>
    <row r="8526" spans="2:7" ht="15" hidden="1" outlineLevel="2">
      <c r="B8526" s="2889" t="s">
        <v>1631</v>
      </c>
      <c r="C8526" s="2889" t="s">
        <v>1555</v>
      </c>
      <c r="D8526" s="2889" t="s">
        <v>1106</v>
      </c>
      <c r="E8526" s="2889" t="s">
        <v>1426</v>
      </c>
      <c r="F8526" s="2890">
        <v>2.9190354804197243E-3</v>
      </c>
      <c r="G8526" s="2890">
        <v>69.577419224102485</v>
      </c>
    </row>
    <row r="8527" spans="2:7" ht="15" hidden="1" outlineLevel="2">
      <c r="B8527" s="2889" t="s">
        <v>1632</v>
      </c>
      <c r="C8527" s="2889" t="s">
        <v>1555</v>
      </c>
      <c r="D8527" s="2889" t="s">
        <v>1106</v>
      </c>
      <c r="E8527" s="2889" t="s">
        <v>1426</v>
      </c>
      <c r="F8527" s="3040"/>
      <c r="G8527" s="2890">
        <v>127.33219968834945</v>
      </c>
    </row>
    <row r="8528" spans="2:7" ht="15" hidden="1" outlineLevel="2">
      <c r="B8528" s="2889" t="s">
        <v>1633</v>
      </c>
      <c r="C8528" s="2889" t="s">
        <v>1555</v>
      </c>
      <c r="D8528" s="2889" t="s">
        <v>1106</v>
      </c>
      <c r="E8528" s="2889" t="s">
        <v>1426</v>
      </c>
      <c r="F8528" s="3040"/>
      <c r="G8528" s="2890">
        <v>3.4071999139075526</v>
      </c>
    </row>
    <row r="8529" spans="2:7" ht="15" hidden="1" outlineLevel="2">
      <c r="B8529" s="2889" t="s">
        <v>1634</v>
      </c>
      <c r="C8529" s="2889" t="s">
        <v>1555</v>
      </c>
      <c r="D8529" s="2889" t="s">
        <v>1106</v>
      </c>
      <c r="E8529" s="2889" t="s">
        <v>1426</v>
      </c>
      <c r="F8529" s="3040"/>
      <c r="G8529" s="2890">
        <v>8.2553299560391729</v>
      </c>
    </row>
    <row r="8530" spans="2:7" ht="15" hidden="1" outlineLevel="2">
      <c r="B8530" s="2889" t="s">
        <v>1635</v>
      </c>
      <c r="C8530" s="2889" t="s">
        <v>1555</v>
      </c>
      <c r="D8530" s="2889" t="s">
        <v>1106</v>
      </c>
      <c r="E8530" s="2889" t="s">
        <v>1426</v>
      </c>
      <c r="F8530" s="3040"/>
      <c r="G8530" s="2890">
        <v>17.746459918862445</v>
      </c>
    </row>
    <row r="8531" spans="2:7" ht="15" hidden="1" outlineLevel="2">
      <c r="B8531" s="2889" t="s">
        <v>1636</v>
      </c>
      <c r="C8531" s="2889" t="s">
        <v>1555</v>
      </c>
      <c r="D8531" s="2889" t="s">
        <v>1106</v>
      </c>
      <c r="E8531" s="2889" t="s">
        <v>1426</v>
      </c>
      <c r="F8531" s="3040"/>
      <c r="G8531" s="2890">
        <v>16.18545329909329</v>
      </c>
    </row>
    <row r="8532" spans="2:7" ht="15" hidden="1" outlineLevel="2">
      <c r="B8532" s="2889" t="s">
        <v>1637</v>
      </c>
      <c r="C8532" s="2889" t="s">
        <v>1555</v>
      </c>
      <c r="D8532" s="2889" t="s">
        <v>1106</v>
      </c>
      <c r="E8532" s="2889" t="s">
        <v>1426</v>
      </c>
      <c r="F8532" s="3040"/>
      <c r="G8532" s="2890">
        <v>5.6261341391241579</v>
      </c>
    </row>
    <row r="8533" spans="2:7" ht="15" hidden="1" outlineLevel="2">
      <c r="B8533" s="2889" t="s">
        <v>1638</v>
      </c>
      <c r="C8533" s="2889" t="s">
        <v>1555</v>
      </c>
      <c r="D8533" s="2889" t="s">
        <v>1106</v>
      </c>
      <c r="E8533" s="2889" t="s">
        <v>1426</v>
      </c>
      <c r="F8533" s="3040"/>
      <c r="G8533" s="2890">
        <v>11.534946771070983</v>
      </c>
    </row>
    <row r="8534" spans="2:7" ht="15" hidden="1" outlineLevel="2">
      <c r="B8534" s="2889" t="s">
        <v>1639</v>
      </c>
      <c r="C8534" s="2889" t="s">
        <v>1555</v>
      </c>
      <c r="D8534" s="2889" t="s">
        <v>1106</v>
      </c>
      <c r="E8534" s="2889" t="s">
        <v>1426</v>
      </c>
      <c r="F8534" s="3040"/>
      <c r="G8534" s="2890">
        <v>42.942735560875029</v>
      </c>
    </row>
    <row r="8535" spans="2:7" ht="15" hidden="1" outlineLevel="2">
      <c r="B8535" s="2889" t="s">
        <v>1640</v>
      </c>
      <c r="C8535" s="2889" t="s">
        <v>1555</v>
      </c>
      <c r="D8535" s="2889" t="s">
        <v>1106</v>
      </c>
      <c r="E8535" s="2889" t="s">
        <v>1426</v>
      </c>
      <c r="F8535" s="3040"/>
      <c r="G8535" s="2890">
        <v>4.2202248348910976</v>
      </c>
    </row>
    <row r="8536" spans="2:7" ht="15" hidden="1" outlineLevel="2">
      <c r="B8536" s="2889" t="s">
        <v>1641</v>
      </c>
      <c r="C8536" s="2889" t="s">
        <v>1555</v>
      </c>
      <c r="D8536" s="2889" t="s">
        <v>1106</v>
      </c>
      <c r="E8536" s="2889" t="s">
        <v>1426</v>
      </c>
      <c r="F8536" s="3040"/>
      <c r="G8536" s="2890">
        <v>28.658502356218367</v>
      </c>
    </row>
    <row r="8537" spans="2:7" ht="15" hidden="1" outlineLevel="2">
      <c r="B8537" s="2889" t="s">
        <v>1642</v>
      </c>
      <c r="C8537" s="2889" t="s">
        <v>1555</v>
      </c>
      <c r="D8537" s="2889" t="s">
        <v>1106</v>
      </c>
      <c r="E8537" s="2889" t="s">
        <v>1426</v>
      </c>
      <c r="F8537" s="3040"/>
      <c r="G8537" s="2890">
        <v>38.922630976660585</v>
      </c>
    </row>
    <row r="8538" spans="2:7" ht="15" hidden="1" outlineLevel="2">
      <c r="B8538" s="2889" t="s">
        <v>1643</v>
      </c>
      <c r="C8538" s="2889" t="s">
        <v>1555</v>
      </c>
      <c r="D8538" s="2889" t="s">
        <v>1106</v>
      </c>
      <c r="E8538" s="2889" t="s">
        <v>1426</v>
      </c>
      <c r="F8538" s="3040"/>
      <c r="G8538" s="2890">
        <v>5.2373122617885111</v>
      </c>
    </row>
    <row r="8539" spans="2:7" ht="15" hidden="1" outlineLevel="2">
      <c r="B8539" s="2889" t="s">
        <v>1644</v>
      </c>
      <c r="C8539" s="2889" t="s">
        <v>1555</v>
      </c>
      <c r="D8539" s="2889" t="s">
        <v>1106</v>
      </c>
      <c r="E8539" s="2889" t="s">
        <v>1426</v>
      </c>
      <c r="F8539" s="3040"/>
      <c r="G8539" s="2890">
        <v>72.043985497047956</v>
      </c>
    </row>
    <row r="8540" spans="2:7" ht="15" hidden="1" outlineLevel="2">
      <c r="B8540" s="2889" t="s">
        <v>1645</v>
      </c>
      <c r="C8540" s="2889" t="s">
        <v>1555</v>
      </c>
      <c r="D8540" s="2889" t="s">
        <v>1106</v>
      </c>
      <c r="E8540" s="2889" t="s">
        <v>1426</v>
      </c>
      <c r="F8540" s="3040"/>
      <c r="G8540" s="2890">
        <v>52.896664725519564</v>
      </c>
    </row>
    <row r="8541" spans="2:7" ht="15" hidden="1" outlineLevel="2">
      <c r="B8541" s="2889" t="s">
        <v>1646</v>
      </c>
      <c r="C8541" s="2889" t="s">
        <v>1555</v>
      </c>
      <c r="D8541" s="2889" t="s">
        <v>1106</v>
      </c>
      <c r="E8541" s="2889" t="s">
        <v>1426</v>
      </c>
      <c r="F8541" s="3040"/>
      <c r="G8541" s="2890">
        <v>4.3327957042858358</v>
      </c>
    </row>
    <row r="8542" spans="2:7" ht="15" hidden="1" outlineLevel="2">
      <c r="B8542" s="2889" t="s">
        <v>1647</v>
      </c>
      <c r="C8542" s="2889" t="s">
        <v>1555</v>
      </c>
      <c r="D8542" s="2889" t="s">
        <v>1106</v>
      </c>
      <c r="E8542" s="2889" t="s">
        <v>1426</v>
      </c>
      <c r="F8542" s="3040"/>
      <c r="G8542" s="2890">
        <v>2.3340073810470856</v>
      </c>
    </row>
    <row r="8543" spans="2:7" ht="15" hidden="1" outlineLevel="2">
      <c r="B8543" s="2889" t="s">
        <v>1648</v>
      </c>
      <c r="C8543" s="2889" t="s">
        <v>1555</v>
      </c>
      <c r="D8543" s="2889" t="s">
        <v>1106</v>
      </c>
      <c r="E8543" s="2889" t="s">
        <v>1426</v>
      </c>
      <c r="F8543" s="3040"/>
      <c r="G8543" s="2890">
        <v>1.5885259024588489</v>
      </c>
    </row>
    <row r="8544" spans="2:7" ht="15" hidden="1" outlineLevel="2">
      <c r="B8544" s="2889" t="s">
        <v>1649</v>
      </c>
      <c r="C8544" s="2889" t="s">
        <v>1555</v>
      </c>
      <c r="D8544" s="2889" t="s">
        <v>1106</v>
      </c>
      <c r="E8544" s="2889" t="s">
        <v>1426</v>
      </c>
      <c r="F8544" s="3040"/>
      <c r="G8544" s="2890">
        <v>11.162206115542936</v>
      </c>
    </row>
    <row r="8545" spans="2:7" ht="15" hidden="1" outlineLevel="2">
      <c r="B8545" s="2889" t="s">
        <v>1650</v>
      </c>
      <c r="C8545" s="2889" t="s">
        <v>1555</v>
      </c>
      <c r="D8545" s="2889" t="s">
        <v>1106</v>
      </c>
      <c r="E8545" s="2889" t="s">
        <v>1426</v>
      </c>
      <c r="F8545" s="3040"/>
      <c r="G8545" s="2890">
        <v>40.075866510922239</v>
      </c>
    </row>
    <row r="8546" spans="2:7" ht="15" hidden="1" outlineLevel="2">
      <c r="B8546" s="2889" t="s">
        <v>1651</v>
      </c>
      <c r="C8546" s="2889" t="s">
        <v>1555</v>
      </c>
      <c r="D8546" s="2889" t="s">
        <v>1106</v>
      </c>
      <c r="E8546" s="2889" t="s">
        <v>1426</v>
      </c>
      <c r="F8546" s="3040"/>
      <c r="G8546" s="2890">
        <v>20.253077445864474</v>
      </c>
    </row>
    <row r="8547" spans="2:7" ht="15" hidden="1" outlineLevel="2">
      <c r="B8547" s="2889" t="s">
        <v>1652</v>
      </c>
      <c r="C8547" s="2889" t="s">
        <v>1555</v>
      </c>
      <c r="D8547" s="2889" t="s">
        <v>1106</v>
      </c>
      <c r="E8547" s="2889" t="s">
        <v>1426</v>
      </c>
      <c r="F8547" s="3040"/>
      <c r="G8547" s="2890">
        <v>5.2984218559263185</v>
      </c>
    </row>
    <row r="8548" spans="2:7" ht="15" hidden="1" outlineLevel="2">
      <c r="B8548" s="2889" t="s">
        <v>1653</v>
      </c>
      <c r="C8548" s="2889" t="s">
        <v>1555</v>
      </c>
      <c r="D8548" s="2889" t="s">
        <v>1106</v>
      </c>
      <c r="E8548" s="2889" t="s">
        <v>1426</v>
      </c>
      <c r="F8548" s="3040"/>
      <c r="G8548" s="2890">
        <v>96.609876106145265</v>
      </c>
    </row>
    <row r="8549" spans="2:7" ht="15" hidden="1" outlineLevel="2">
      <c r="B8549" s="2889" t="s">
        <v>1407</v>
      </c>
      <c r="C8549" s="2889" t="s">
        <v>1556</v>
      </c>
      <c r="D8549" s="2889" t="s">
        <v>1106</v>
      </c>
      <c r="E8549" s="2889" t="s">
        <v>1426</v>
      </c>
      <c r="F8549" s="3040"/>
      <c r="G8549" s="2890">
        <v>1389.7914665156632</v>
      </c>
    </row>
    <row r="8550" spans="2:7" ht="15" hidden="1" outlineLevel="2">
      <c r="B8550" s="2889" t="s">
        <v>1631</v>
      </c>
      <c r="C8550" s="2889" t="s">
        <v>1556</v>
      </c>
      <c r="D8550" s="2889" t="s">
        <v>1106</v>
      </c>
      <c r="E8550" s="2889" t="s">
        <v>1426</v>
      </c>
      <c r="F8550" s="2890">
        <v>0.34716001822801501</v>
      </c>
      <c r="G8550" s="2890">
        <v>9429.7069584766014</v>
      </c>
    </row>
    <row r="8551" spans="2:7" ht="15" hidden="1" outlineLevel="2">
      <c r="B8551" s="2889" t="s">
        <v>1632</v>
      </c>
      <c r="C8551" s="2889" t="s">
        <v>1556</v>
      </c>
      <c r="D8551" s="2889" t="s">
        <v>1106</v>
      </c>
      <c r="E8551" s="2889" t="s">
        <v>1426</v>
      </c>
      <c r="F8551" s="3040"/>
      <c r="G8551" s="2890">
        <v>14435.690907101165</v>
      </c>
    </row>
    <row r="8552" spans="2:7" ht="15" hidden="1" outlineLevel="2">
      <c r="B8552" s="2889" t="s">
        <v>1633</v>
      </c>
      <c r="C8552" s="2889" t="s">
        <v>1556</v>
      </c>
      <c r="D8552" s="2889" t="s">
        <v>1106</v>
      </c>
      <c r="E8552" s="2889" t="s">
        <v>1426</v>
      </c>
      <c r="F8552" s="3040"/>
      <c r="G8552" s="2890">
        <v>1519.4956602554444</v>
      </c>
    </row>
    <row r="8553" spans="2:7" ht="15" hidden="1" outlineLevel="2">
      <c r="B8553" s="2889" t="s">
        <v>1634</v>
      </c>
      <c r="C8553" s="2889" t="s">
        <v>1556</v>
      </c>
      <c r="D8553" s="2889" t="s">
        <v>1106</v>
      </c>
      <c r="E8553" s="2889" t="s">
        <v>1426</v>
      </c>
      <c r="F8553" s="3040"/>
      <c r="G8553" s="2890">
        <v>569.95442395293242</v>
      </c>
    </row>
    <row r="8554" spans="2:7" ht="15" hidden="1" outlineLevel="2">
      <c r="B8554" s="2889" t="s">
        <v>1635</v>
      </c>
      <c r="C8554" s="2889" t="s">
        <v>1556</v>
      </c>
      <c r="D8554" s="2889" t="s">
        <v>1106</v>
      </c>
      <c r="E8554" s="2889" t="s">
        <v>1426</v>
      </c>
      <c r="F8554" s="3040"/>
      <c r="G8554" s="2890">
        <v>2992.281414077916</v>
      </c>
    </row>
    <row r="8555" spans="2:7" ht="15" hidden="1" outlineLevel="2">
      <c r="B8555" s="2889" t="s">
        <v>1636</v>
      </c>
      <c r="C8555" s="2889" t="s">
        <v>1556</v>
      </c>
      <c r="D8555" s="2889" t="s">
        <v>1106</v>
      </c>
      <c r="E8555" s="2889" t="s">
        <v>1426</v>
      </c>
      <c r="F8555" s="3040"/>
      <c r="G8555" s="2890">
        <v>1697.1855198050157</v>
      </c>
    </row>
    <row r="8556" spans="2:7" ht="15" hidden="1" outlineLevel="2">
      <c r="B8556" s="2889" t="s">
        <v>1637</v>
      </c>
      <c r="C8556" s="2889" t="s">
        <v>1556</v>
      </c>
      <c r="D8556" s="2889" t="s">
        <v>1106</v>
      </c>
      <c r="E8556" s="2889" t="s">
        <v>1426</v>
      </c>
      <c r="F8556" s="3040"/>
      <c r="G8556" s="2890">
        <v>2408.0360283179816</v>
      </c>
    </row>
    <row r="8557" spans="2:7" ht="15" hidden="1" outlineLevel="2">
      <c r="B8557" s="2889" t="s">
        <v>1638</v>
      </c>
      <c r="C8557" s="2889" t="s">
        <v>1556</v>
      </c>
      <c r="D8557" s="2889" t="s">
        <v>1106</v>
      </c>
      <c r="E8557" s="2889" t="s">
        <v>1426</v>
      </c>
      <c r="F8557" s="3040"/>
      <c r="G8557" s="2890">
        <v>572.7152177249485</v>
      </c>
    </row>
    <row r="8558" spans="2:7" ht="15" hidden="1" outlineLevel="2">
      <c r="B8558" s="2889" t="s">
        <v>1639</v>
      </c>
      <c r="C8558" s="2889" t="s">
        <v>1556</v>
      </c>
      <c r="D8558" s="2889" t="s">
        <v>1106</v>
      </c>
      <c r="E8558" s="2889" t="s">
        <v>1426</v>
      </c>
      <c r="F8558" s="3040"/>
      <c r="G8558" s="2890">
        <v>3927.2117245516311</v>
      </c>
    </row>
    <row r="8559" spans="2:7" ht="15" hidden="1" outlineLevel="2">
      <c r="B8559" s="2889" t="s">
        <v>1640</v>
      </c>
      <c r="C8559" s="2889" t="s">
        <v>1556</v>
      </c>
      <c r="D8559" s="2889" t="s">
        <v>1106</v>
      </c>
      <c r="E8559" s="2889" t="s">
        <v>1426</v>
      </c>
      <c r="F8559" s="3040"/>
      <c r="G8559" s="2890">
        <v>561.84073363483833</v>
      </c>
    </row>
    <row r="8560" spans="2:7" ht="15" hidden="1" outlineLevel="2">
      <c r="B8560" s="2889" t="s">
        <v>1641</v>
      </c>
      <c r="C8560" s="2889" t="s">
        <v>1556</v>
      </c>
      <c r="D8560" s="2889" t="s">
        <v>1106</v>
      </c>
      <c r="E8560" s="2889" t="s">
        <v>1426</v>
      </c>
      <c r="F8560" s="3040"/>
      <c r="G8560" s="2890">
        <v>4270.1208080855749</v>
      </c>
    </row>
    <row r="8561" spans="2:7" ht="15" hidden="1" outlineLevel="2">
      <c r="B8561" s="2889" t="s">
        <v>1642</v>
      </c>
      <c r="C8561" s="2889" t="s">
        <v>1556</v>
      </c>
      <c r="D8561" s="2889" t="s">
        <v>1106</v>
      </c>
      <c r="E8561" s="2889" t="s">
        <v>1426</v>
      </c>
      <c r="F8561" s="3040"/>
      <c r="G8561" s="2890">
        <v>4881.2636858415399</v>
      </c>
    </row>
    <row r="8562" spans="2:7" ht="15" hidden="1" outlineLevel="2">
      <c r="B8562" s="2889" t="s">
        <v>1643</v>
      </c>
      <c r="C8562" s="2889" t="s">
        <v>1556</v>
      </c>
      <c r="D8562" s="2889" t="s">
        <v>1106</v>
      </c>
      <c r="E8562" s="2889" t="s">
        <v>1426</v>
      </c>
      <c r="F8562" s="2891"/>
      <c r="G8562" s="2890">
        <v>498.73762222152556</v>
      </c>
    </row>
    <row r="8563" spans="2:7" ht="15" hidden="1" outlineLevel="2">
      <c r="B8563" s="2889" t="s">
        <v>1644</v>
      </c>
      <c r="C8563" s="2889" t="s">
        <v>1556</v>
      </c>
      <c r="D8563" s="2889" t="s">
        <v>1106</v>
      </c>
      <c r="E8563" s="2889" t="s">
        <v>1426</v>
      </c>
      <c r="F8563" s="2891"/>
      <c r="G8563" s="2890">
        <v>17015.696469152448</v>
      </c>
    </row>
    <row r="8564" spans="2:7" ht="15" hidden="1" outlineLevel="2">
      <c r="B8564" s="2889" t="s">
        <v>1645</v>
      </c>
      <c r="C8564" s="2889" t="s">
        <v>1556</v>
      </c>
      <c r="D8564" s="2889" t="s">
        <v>1106</v>
      </c>
      <c r="E8564" s="2889" t="s">
        <v>1426</v>
      </c>
      <c r="F8564" s="2891"/>
      <c r="G8564" s="2890">
        <v>15545.302471621861</v>
      </c>
    </row>
    <row r="8565" spans="2:7" ht="15" hidden="1" outlineLevel="2">
      <c r="B8565" s="2889" t="s">
        <v>1646</v>
      </c>
      <c r="C8565" s="2889" t="s">
        <v>1556</v>
      </c>
      <c r="D8565" s="2889" t="s">
        <v>1106</v>
      </c>
      <c r="E8565" s="2889" t="s">
        <v>1426</v>
      </c>
      <c r="F8565" s="2891"/>
      <c r="G8565" s="2890">
        <v>805.26417078854342</v>
      </c>
    </row>
    <row r="8566" spans="2:7" ht="15" hidden="1" outlineLevel="2">
      <c r="B8566" s="2889" t="s">
        <v>1647</v>
      </c>
      <c r="C8566" s="2889" t="s">
        <v>1556</v>
      </c>
      <c r="D8566" s="2889" t="s">
        <v>1106</v>
      </c>
      <c r="E8566" s="2889" t="s">
        <v>1426</v>
      </c>
      <c r="F8566" s="2891"/>
      <c r="G8566" s="2890">
        <v>1689.3912250738754</v>
      </c>
    </row>
    <row r="8567" spans="2:7" ht="15" hidden="1" outlineLevel="2">
      <c r="B8567" s="2889" t="s">
        <v>1648</v>
      </c>
      <c r="C8567" s="2889" t="s">
        <v>1556</v>
      </c>
      <c r="D8567" s="2889" t="s">
        <v>1106</v>
      </c>
      <c r="E8567" s="2889" t="s">
        <v>1426</v>
      </c>
      <c r="F8567" s="2891"/>
      <c r="G8567" s="2890">
        <v>478.26406213455232</v>
      </c>
    </row>
    <row r="8568" spans="2:7" ht="15" hidden="1" outlineLevel="2">
      <c r="B8568" s="2889" t="s">
        <v>1649</v>
      </c>
      <c r="C8568" s="2889" t="s">
        <v>1556</v>
      </c>
      <c r="D8568" s="2889" t="s">
        <v>1106</v>
      </c>
      <c r="E8568" s="2889" t="s">
        <v>1426</v>
      </c>
      <c r="F8568" s="2891"/>
      <c r="G8568" s="2890">
        <v>645.4548798533707</v>
      </c>
    </row>
    <row r="8569" spans="2:7" ht="15" hidden="1" outlineLevel="2">
      <c r="B8569" s="2889" t="s">
        <v>1650</v>
      </c>
      <c r="C8569" s="2889" t="s">
        <v>1556</v>
      </c>
      <c r="D8569" s="2889" t="s">
        <v>1106</v>
      </c>
      <c r="E8569" s="2889" t="s">
        <v>1426</v>
      </c>
      <c r="F8569" s="2891"/>
      <c r="G8569" s="2890">
        <v>2531.467368757093</v>
      </c>
    </row>
    <row r="8570" spans="2:7" ht="15" hidden="1" outlineLevel="2">
      <c r="B8570" s="2889" t="s">
        <v>1651</v>
      </c>
      <c r="C8570" s="2889" t="s">
        <v>1556</v>
      </c>
      <c r="D8570" s="2889" t="s">
        <v>1106</v>
      </c>
      <c r="E8570" s="2889" t="s">
        <v>1426</v>
      </c>
      <c r="F8570" s="2891"/>
      <c r="G8570" s="2890">
        <v>1618.2292911925458</v>
      </c>
    </row>
    <row r="8571" spans="2:7" ht="15" hidden="1" outlineLevel="2">
      <c r="B8571" s="2889" t="s">
        <v>1652</v>
      </c>
      <c r="C8571" s="2889" t="s">
        <v>1556</v>
      </c>
      <c r="D8571" s="2889" t="s">
        <v>1106</v>
      </c>
      <c r="E8571" s="2889" t="s">
        <v>1426</v>
      </c>
      <c r="F8571" s="2891"/>
      <c r="G8571" s="2890">
        <v>901.95047695305709</v>
      </c>
    </row>
    <row r="8572" spans="2:7" ht="15" hidden="1" outlineLevel="2">
      <c r="B8572" s="2889" t="s">
        <v>1653</v>
      </c>
      <c r="C8572" s="2889" t="s">
        <v>1556</v>
      </c>
      <c r="D8572" s="2889" t="s">
        <v>1106</v>
      </c>
      <c r="E8572" s="2889" t="s">
        <v>1426</v>
      </c>
      <c r="F8572" s="2891"/>
      <c r="G8572" s="2890">
        <v>11947.517405634475</v>
      </c>
    </row>
    <row r="8573" spans="2:7" ht="15" hidden="1" outlineLevel="2">
      <c r="B8573" s="2889" t="s">
        <v>1407</v>
      </c>
      <c r="C8573" s="2889" t="s">
        <v>1557</v>
      </c>
      <c r="D8573" s="2889" t="s">
        <v>1106</v>
      </c>
      <c r="E8573" s="2889" t="s">
        <v>1426</v>
      </c>
      <c r="F8573" s="2891"/>
      <c r="G8573" s="2890">
        <v>607.01783185409033</v>
      </c>
    </row>
    <row r="8574" spans="2:7" ht="15" hidden="1" outlineLevel="2">
      <c r="B8574" s="2889" t="s">
        <v>1631</v>
      </c>
      <c r="C8574" s="2889" t="s">
        <v>1557</v>
      </c>
      <c r="D8574" s="2889" t="s">
        <v>1106</v>
      </c>
      <c r="E8574" s="2889" t="s">
        <v>1426</v>
      </c>
      <c r="F8574" s="3039">
        <v>7.6930378378637684E-2</v>
      </c>
      <c r="G8574" s="2890">
        <v>2572.0578003392188</v>
      </c>
    </row>
    <row r="8575" spans="2:7" ht="15" hidden="1" outlineLevel="2">
      <c r="B8575" s="2889" t="s">
        <v>1632</v>
      </c>
      <c r="C8575" s="2889" t="s">
        <v>1557</v>
      </c>
      <c r="D8575" s="2889" t="s">
        <v>1106</v>
      </c>
      <c r="E8575" s="2889" t="s">
        <v>1426</v>
      </c>
      <c r="F8575" s="2891"/>
      <c r="G8575" s="2890">
        <v>4707.0697407743173</v>
      </c>
    </row>
    <row r="8576" spans="2:7" ht="15" hidden="1" outlineLevel="2">
      <c r="B8576" s="2889" t="s">
        <v>1633</v>
      </c>
      <c r="C8576" s="2889" t="s">
        <v>1557</v>
      </c>
      <c r="D8576" s="2889" t="s">
        <v>1106</v>
      </c>
      <c r="E8576" s="2889" t="s">
        <v>1426</v>
      </c>
      <c r="F8576" s="2891"/>
      <c r="G8576" s="2890">
        <v>125.95339813709955</v>
      </c>
    </row>
    <row r="8577" spans="2:7" ht="15" hidden="1" outlineLevel="2">
      <c r="B8577" s="2889" t="s">
        <v>1634</v>
      </c>
      <c r="C8577" s="2889" t="s">
        <v>1557</v>
      </c>
      <c r="D8577" s="2889" t="s">
        <v>1106</v>
      </c>
      <c r="E8577" s="2889" t="s">
        <v>1426</v>
      </c>
      <c r="F8577" s="2891"/>
      <c r="G8577" s="2890">
        <v>305.17360721034731</v>
      </c>
    </row>
    <row r="8578" spans="2:7" ht="15" hidden="1" outlineLevel="2">
      <c r="B8578" s="2889" t="s">
        <v>1635</v>
      </c>
      <c r="C8578" s="2889" t="s">
        <v>1557</v>
      </c>
      <c r="D8578" s="2889" t="s">
        <v>1106</v>
      </c>
      <c r="E8578" s="2889" t="s">
        <v>1426</v>
      </c>
      <c r="F8578" s="2891"/>
      <c r="G8578" s="2890">
        <v>656.03013850612604</v>
      </c>
    </row>
    <row r="8579" spans="2:7" ht="15" hidden="1" outlineLevel="2">
      <c r="B8579" s="2889" t="s">
        <v>1636</v>
      </c>
      <c r="C8579" s="2889" t="s">
        <v>1557</v>
      </c>
      <c r="D8579" s="2889" t="s">
        <v>1106</v>
      </c>
      <c r="E8579" s="2889" t="s">
        <v>1426</v>
      </c>
      <c r="F8579" s="2891"/>
      <c r="G8579" s="2890">
        <v>598.32503580396838</v>
      </c>
    </row>
    <row r="8580" spans="2:7" ht="15" hidden="1" outlineLevel="2">
      <c r="B8580" s="2889" t="s">
        <v>1637</v>
      </c>
      <c r="C8580" s="2889" t="s">
        <v>1557</v>
      </c>
      <c r="D8580" s="2889" t="s">
        <v>1106</v>
      </c>
      <c r="E8580" s="2889" t="s">
        <v>1426</v>
      </c>
      <c r="F8580" s="2891"/>
      <c r="G8580" s="2890">
        <v>207.98024047999135</v>
      </c>
    </row>
    <row r="8581" spans="2:7" ht="15" hidden="1" outlineLevel="2">
      <c r="B8581" s="2889" t="s">
        <v>1638</v>
      </c>
      <c r="C8581" s="2889" t="s">
        <v>1557</v>
      </c>
      <c r="D8581" s="2889" t="s">
        <v>1106</v>
      </c>
      <c r="E8581" s="2889" t="s">
        <v>1426</v>
      </c>
      <c r="F8581" s="2891"/>
      <c r="G8581" s="2890">
        <v>426.41071783502503</v>
      </c>
    </row>
    <row r="8582" spans="2:7" ht="15" hidden="1" outlineLevel="2">
      <c r="B8582" s="2889" t="s">
        <v>1639</v>
      </c>
      <c r="C8582" s="2889" t="s">
        <v>1557</v>
      </c>
      <c r="D8582" s="2889" t="s">
        <v>1106</v>
      </c>
      <c r="E8582" s="2889" t="s">
        <v>1426</v>
      </c>
      <c r="F8582" s="2891"/>
      <c r="G8582" s="2890">
        <v>1587.4564197371226</v>
      </c>
    </row>
    <row r="8583" spans="2:7" ht="15" hidden="1" outlineLevel="2">
      <c r="B8583" s="2889" t="s">
        <v>1640</v>
      </c>
      <c r="C8583" s="2889" t="s">
        <v>1557</v>
      </c>
      <c r="D8583" s="2889" t="s">
        <v>1106</v>
      </c>
      <c r="E8583" s="2889" t="s">
        <v>1426</v>
      </c>
      <c r="F8583" s="2891"/>
      <c r="G8583" s="2890">
        <v>156.00837594152705</v>
      </c>
    </row>
    <row r="8584" spans="2:7" ht="15" hidden="1" outlineLevel="2">
      <c r="B8584" s="2889" t="s">
        <v>1641</v>
      </c>
      <c r="C8584" s="2889" t="s">
        <v>1557</v>
      </c>
      <c r="D8584" s="2889" t="s">
        <v>1106</v>
      </c>
      <c r="E8584" s="2889" t="s">
        <v>1426</v>
      </c>
      <c r="F8584" s="2891"/>
      <c r="G8584" s="2890">
        <v>1059.4140776082343</v>
      </c>
    </row>
    <row r="8585" spans="2:7" ht="15" hidden="1" outlineLevel="2">
      <c r="B8585" s="2889" t="s">
        <v>1642</v>
      </c>
      <c r="C8585" s="2889" t="s">
        <v>1557</v>
      </c>
      <c r="D8585" s="2889" t="s">
        <v>1106</v>
      </c>
      <c r="E8585" s="2889" t="s">
        <v>1426</v>
      </c>
      <c r="F8585" s="2891"/>
      <c r="G8585" s="2890">
        <v>1438.8467342943018</v>
      </c>
    </row>
    <row r="8586" spans="2:7" ht="15" hidden="1" outlineLevel="2">
      <c r="B8586" s="2889" t="s">
        <v>1643</v>
      </c>
      <c r="C8586" s="2889" t="s">
        <v>1557</v>
      </c>
      <c r="D8586" s="2889" t="s">
        <v>1106</v>
      </c>
      <c r="E8586" s="2889" t="s">
        <v>1426</v>
      </c>
      <c r="F8586" s="2891"/>
      <c r="G8586" s="2890">
        <v>193.60686371485122</v>
      </c>
    </row>
    <row r="8587" spans="2:7" ht="15" hidden="1" outlineLevel="2">
      <c r="B8587" s="2889" t="s">
        <v>1644</v>
      </c>
      <c r="C8587" s="2889" t="s">
        <v>1557</v>
      </c>
      <c r="D8587" s="2889" t="s">
        <v>1106</v>
      </c>
      <c r="E8587" s="2889" t="s">
        <v>1426</v>
      </c>
      <c r="F8587" s="3040"/>
      <c r="G8587" s="2890">
        <v>2663.2389956805355</v>
      </c>
    </row>
    <row r="8588" spans="2:7" ht="15" hidden="1" outlineLevel="2">
      <c r="B8588" s="2889" t="s">
        <v>1645</v>
      </c>
      <c r="C8588" s="2889" t="s">
        <v>1557</v>
      </c>
      <c r="D8588" s="2889" t="s">
        <v>1106</v>
      </c>
      <c r="E8588" s="2889" t="s">
        <v>1426</v>
      </c>
      <c r="F8588" s="3040"/>
      <c r="G8588" s="2890">
        <v>1955.4222215357438</v>
      </c>
    </row>
    <row r="8589" spans="2:7" ht="15" hidden="1" outlineLevel="2">
      <c r="B8589" s="2889" t="s">
        <v>1646</v>
      </c>
      <c r="C8589" s="2889" t="s">
        <v>1557</v>
      </c>
      <c r="D8589" s="2889" t="s">
        <v>1106</v>
      </c>
      <c r="E8589" s="2889" t="s">
        <v>1426</v>
      </c>
      <c r="F8589" s="3040"/>
      <c r="G8589" s="2890">
        <v>160.16994117996566</v>
      </c>
    </row>
    <row r="8590" spans="2:7" ht="15" hidden="1" outlineLevel="2">
      <c r="B8590" s="2889" t="s">
        <v>1647</v>
      </c>
      <c r="C8590" s="2889" t="s">
        <v>1557</v>
      </c>
      <c r="D8590" s="2889" t="s">
        <v>1106</v>
      </c>
      <c r="E8590" s="2889" t="s">
        <v>1426</v>
      </c>
      <c r="F8590" s="3040"/>
      <c r="G8590" s="2890">
        <v>86.280877570141953</v>
      </c>
    </row>
    <row r="8591" spans="2:7" ht="15" hidden="1" outlineLevel="2">
      <c r="B8591" s="2889" t="s">
        <v>1648</v>
      </c>
      <c r="C8591" s="2889" t="s">
        <v>1557</v>
      </c>
      <c r="D8591" s="2889" t="s">
        <v>1106</v>
      </c>
      <c r="E8591" s="2889" t="s">
        <v>1426</v>
      </c>
      <c r="F8591" s="3040"/>
      <c r="G8591" s="2890">
        <v>58.722746654508413</v>
      </c>
    </row>
    <row r="8592" spans="2:7" ht="15" hidden="1" outlineLevel="2">
      <c r="B8592" s="2889" t="s">
        <v>1649</v>
      </c>
      <c r="C8592" s="2889" t="s">
        <v>1557</v>
      </c>
      <c r="D8592" s="2889" t="s">
        <v>1106</v>
      </c>
      <c r="E8592" s="2889" t="s">
        <v>1426</v>
      </c>
      <c r="F8592" s="3040"/>
      <c r="G8592" s="2890">
        <v>412.63144561905841</v>
      </c>
    </row>
    <row r="8593" spans="2:7" ht="15" hidden="1" outlineLevel="2">
      <c r="B8593" s="2889" t="s">
        <v>1650</v>
      </c>
      <c r="C8593" s="2889" t="s">
        <v>1557</v>
      </c>
      <c r="D8593" s="2889" t="s">
        <v>1106</v>
      </c>
      <c r="E8593" s="2889" t="s">
        <v>1426</v>
      </c>
      <c r="F8593" s="3040"/>
      <c r="G8593" s="2890">
        <v>1481.478106044116</v>
      </c>
    </row>
    <row r="8594" spans="2:7" ht="15" hidden="1" outlineLevel="2">
      <c r="B8594" s="2889" t="s">
        <v>1651</v>
      </c>
      <c r="C8594" s="2889" t="s">
        <v>1557</v>
      </c>
      <c r="D8594" s="2889" t="s">
        <v>1106</v>
      </c>
      <c r="E8594" s="2889" t="s">
        <v>1426</v>
      </c>
      <c r="F8594" s="3040"/>
      <c r="G8594" s="2890">
        <v>748.6921368370422</v>
      </c>
    </row>
    <row r="8595" spans="2:7" ht="15" hidden="1" outlineLevel="2">
      <c r="B8595" s="2889" t="s">
        <v>1652</v>
      </c>
      <c r="C8595" s="2889" t="s">
        <v>1557</v>
      </c>
      <c r="D8595" s="2889" t="s">
        <v>1106</v>
      </c>
      <c r="E8595" s="2889" t="s">
        <v>1426</v>
      </c>
      <c r="F8595" s="3040"/>
      <c r="G8595" s="2890">
        <v>195.86580753221844</v>
      </c>
    </row>
    <row r="8596" spans="2:7" ht="15" hidden="1" outlineLevel="2">
      <c r="B8596" s="2889" t="s">
        <v>1653</v>
      </c>
      <c r="C8596" s="2889" t="s">
        <v>1557</v>
      </c>
      <c r="D8596" s="2889" t="s">
        <v>1106</v>
      </c>
      <c r="E8596" s="2889" t="s">
        <v>1426</v>
      </c>
      <c r="F8596" s="3040"/>
      <c r="G8596" s="2890">
        <v>3571.3621852879669</v>
      </c>
    </row>
    <row r="8597" spans="2:7" ht="15" outlineLevel="1" collapsed="1">
      <c r="B8597" s="2889"/>
      <c r="C8597" s="2889"/>
      <c r="D8597" s="3042" t="s">
        <v>1691</v>
      </c>
      <c r="E8597" s="2889"/>
      <c r="F8597" s="3040">
        <f>SUBTOTAL(9,F7949:F8596)</f>
        <v>133.99284882928967</v>
      </c>
      <c r="G8597" s="2890">
        <f>SUBTOTAL(9,G7949:G8596)</f>
        <v>381685.29949188285</v>
      </c>
    </row>
    <row r="8598" spans="2:7" ht="15" hidden="1" outlineLevel="2">
      <c r="B8598" s="2889" t="s">
        <v>1407</v>
      </c>
      <c r="C8598" s="2889" t="s">
        <v>1558</v>
      </c>
      <c r="D8598" s="2889" t="s">
        <v>1559</v>
      </c>
      <c r="E8598" s="2889" t="s">
        <v>217</v>
      </c>
      <c r="F8598" s="2890">
        <v>6.0088696429767266E-3</v>
      </c>
      <c r="G8598" s="2890">
        <v>3.2911559318039401</v>
      </c>
    </row>
    <row r="8599" spans="2:7" ht="15" hidden="1" outlineLevel="2">
      <c r="B8599" s="2889" t="s">
        <v>1631</v>
      </c>
      <c r="C8599" s="2889" t="s">
        <v>1558</v>
      </c>
      <c r="D8599" s="2889" t="s">
        <v>1559</v>
      </c>
      <c r="E8599" s="2889" t="s">
        <v>217</v>
      </c>
      <c r="F8599" s="2890">
        <v>3.5456564283758381E-2</v>
      </c>
      <c r="G8599" s="2890">
        <v>19.391720429346382</v>
      </c>
    </row>
    <row r="8600" spans="2:7" ht="15" hidden="1" outlineLevel="2">
      <c r="B8600" s="2889" t="s">
        <v>1632</v>
      </c>
      <c r="C8600" s="2889" t="s">
        <v>1558</v>
      </c>
      <c r="D8600" s="2889" t="s">
        <v>1559</v>
      </c>
      <c r="E8600" s="2889" t="s">
        <v>217</v>
      </c>
      <c r="F8600" s="2890">
        <v>5.8668646980978123E-2</v>
      </c>
      <c r="G8600" s="2890">
        <v>32.130000750932687</v>
      </c>
    </row>
    <row r="8601" spans="2:7" ht="15" hidden="1" outlineLevel="2">
      <c r="B8601" s="2889" t="s">
        <v>1633</v>
      </c>
      <c r="C8601" s="2889" t="s">
        <v>1558</v>
      </c>
      <c r="D8601" s="2889" t="s">
        <v>1559</v>
      </c>
      <c r="E8601" s="2889" t="s">
        <v>217</v>
      </c>
      <c r="F8601" s="2890">
        <v>5.4150640348428463E-3</v>
      </c>
      <c r="G8601" s="2890">
        <v>2.9655682503632166</v>
      </c>
    </row>
    <row r="8602" spans="2:7" ht="15" hidden="1" outlineLevel="2">
      <c r="B8602" s="2889" t="s">
        <v>1634</v>
      </c>
      <c r="C8602" s="2889" t="s">
        <v>1558</v>
      </c>
      <c r="D8602" s="2889" t="s">
        <v>1559</v>
      </c>
      <c r="E8602" s="2889" t="s">
        <v>217</v>
      </c>
      <c r="F8602" s="2890">
        <v>2.2567290366958905E-3</v>
      </c>
      <c r="G8602" s="2890">
        <v>1.2360479283794858</v>
      </c>
    </row>
    <row r="8603" spans="2:7" ht="15" hidden="1" outlineLevel="2">
      <c r="B8603" s="2889" t="s">
        <v>1635</v>
      </c>
      <c r="C8603" s="2889" t="s">
        <v>1558</v>
      </c>
      <c r="D8603" s="2889" t="s">
        <v>1559</v>
      </c>
      <c r="E8603" s="2889" t="s">
        <v>217</v>
      </c>
      <c r="F8603" s="2890">
        <v>1.0461197538878367E-2</v>
      </c>
      <c r="G8603" s="2890">
        <v>5.7290887584085777</v>
      </c>
    </row>
    <row r="8604" spans="2:7" ht="15" hidden="1" outlineLevel="2">
      <c r="B8604" s="2889" t="s">
        <v>1636</v>
      </c>
      <c r="C8604" s="2889" t="s">
        <v>1558</v>
      </c>
      <c r="D8604" s="2889" t="s">
        <v>1559</v>
      </c>
      <c r="E8604" s="2889" t="s">
        <v>217</v>
      </c>
      <c r="F8604" s="2890">
        <v>6.6375895025229965E-3</v>
      </c>
      <c r="G8604" s="2890">
        <v>3.6350869764318228</v>
      </c>
    </row>
    <row r="8605" spans="2:7" ht="15" hidden="1" outlineLevel="2">
      <c r="B8605" s="2889" t="s">
        <v>1637</v>
      </c>
      <c r="C8605" s="2889" t="s">
        <v>1558</v>
      </c>
      <c r="D8605" s="2889" t="s">
        <v>1559</v>
      </c>
      <c r="E8605" s="2889" t="s">
        <v>217</v>
      </c>
      <c r="F8605" s="2890">
        <v>8.5768072969746294E-3</v>
      </c>
      <c r="G8605" s="2890">
        <v>4.6971017599245304</v>
      </c>
    </row>
    <row r="8606" spans="2:7" ht="15" hidden="1" outlineLevel="2">
      <c r="B8606" s="2889" t="s">
        <v>1638</v>
      </c>
      <c r="C8606" s="2889" t="s">
        <v>1558</v>
      </c>
      <c r="D8606" s="2889" t="s">
        <v>1559</v>
      </c>
      <c r="E8606" s="2889" t="s">
        <v>217</v>
      </c>
      <c r="F8606" s="2890">
        <v>2.7119016322127614E-3</v>
      </c>
      <c r="G8606" s="2890">
        <v>1.4853531006150751</v>
      </c>
    </row>
    <row r="8607" spans="2:7" ht="15" hidden="1" outlineLevel="2">
      <c r="B8607" s="2889" t="s">
        <v>1639</v>
      </c>
      <c r="C8607" s="2889" t="s">
        <v>1558</v>
      </c>
      <c r="D8607" s="2889" t="s">
        <v>1559</v>
      </c>
      <c r="E8607" s="2889" t="s">
        <v>217</v>
      </c>
      <c r="F8607" s="2890">
        <v>1.4336148526013288E-2</v>
      </c>
      <c r="G8607" s="2890">
        <v>7.8512138076507441</v>
      </c>
    </row>
    <row r="8608" spans="2:7" ht="15" hidden="1" outlineLevel="2">
      <c r="B8608" s="2889" t="s">
        <v>1640</v>
      </c>
      <c r="C8608" s="2889" t="s">
        <v>1558</v>
      </c>
      <c r="D8608" s="2889" t="s">
        <v>1559</v>
      </c>
      <c r="E8608" s="2889" t="s">
        <v>217</v>
      </c>
      <c r="F8608" s="3039">
        <v>3.1499634864433552E-3</v>
      </c>
      <c r="G8608" s="2890">
        <v>1.7252874328141172</v>
      </c>
    </row>
    <row r="8609" spans="2:7" ht="15" hidden="1" outlineLevel="2">
      <c r="B8609" s="2889" t="s">
        <v>1641</v>
      </c>
      <c r="C8609" s="2889" t="s">
        <v>1558</v>
      </c>
      <c r="D8609" s="2889" t="s">
        <v>1559</v>
      </c>
      <c r="E8609" s="2889" t="s">
        <v>217</v>
      </c>
      <c r="F8609" s="3039">
        <v>1.5952622606024133E-2</v>
      </c>
      <c r="G8609" s="2890">
        <v>8.7364784624170646</v>
      </c>
    </row>
    <row r="8610" spans="2:7" ht="15" hidden="1" outlineLevel="2">
      <c r="B8610" s="2889" t="s">
        <v>1642</v>
      </c>
      <c r="C8610" s="2889" t="s">
        <v>1558</v>
      </c>
      <c r="D8610" s="2889" t="s">
        <v>1559</v>
      </c>
      <c r="E8610" s="2889" t="s">
        <v>217</v>
      </c>
      <c r="F8610" s="3039">
        <v>1.7781257262262956E-2</v>
      </c>
      <c r="G8610" s="2890">
        <v>9.7379299973697879</v>
      </c>
    </row>
    <row r="8611" spans="2:7" ht="15" hidden="1" outlineLevel="2">
      <c r="B8611" s="2889" t="s">
        <v>1643</v>
      </c>
      <c r="C8611" s="2889" t="s">
        <v>1558</v>
      </c>
      <c r="D8611" s="2889" t="s">
        <v>1559</v>
      </c>
      <c r="E8611" s="2889" t="s">
        <v>217</v>
      </c>
      <c r="F8611" s="3039">
        <v>2.827961264527775E-3</v>
      </c>
      <c r="G8611" s="2890">
        <v>1.5487841462509917</v>
      </c>
    </row>
    <row r="8612" spans="2:7" ht="15" hidden="1" outlineLevel="2">
      <c r="B8612" s="2889" t="s">
        <v>1644</v>
      </c>
      <c r="C8612" s="2889" t="s">
        <v>1558</v>
      </c>
      <c r="D8612" s="2889" t="s">
        <v>1559</v>
      </c>
      <c r="E8612" s="2889" t="s">
        <v>217</v>
      </c>
      <c r="F8612" s="3039">
        <v>6.3500289116457387E-2</v>
      </c>
      <c r="G8612" s="2890">
        <v>34.776028469762615</v>
      </c>
    </row>
    <row r="8613" spans="2:7" ht="15" hidden="1" outlineLevel="2">
      <c r="B8613" s="2889" t="s">
        <v>1645</v>
      </c>
      <c r="C8613" s="2889" t="s">
        <v>1558</v>
      </c>
      <c r="D8613" s="2889" t="s">
        <v>1559</v>
      </c>
      <c r="E8613" s="2889" t="s">
        <v>217</v>
      </c>
      <c r="F8613" s="3039">
        <v>5.6844270044687534E-2</v>
      </c>
      <c r="G8613" s="2890">
        <v>31.130852625913001</v>
      </c>
    </row>
    <row r="8614" spans="2:7" ht="15" hidden="1" outlineLevel="2">
      <c r="B8614" s="2889" t="s">
        <v>1646</v>
      </c>
      <c r="C8614" s="2889" t="s">
        <v>1558</v>
      </c>
      <c r="D8614" s="2889" t="s">
        <v>1559</v>
      </c>
      <c r="E8614" s="2889" t="s">
        <v>217</v>
      </c>
      <c r="F8614" s="3039">
        <v>3.2279893987211877E-3</v>
      </c>
      <c r="G8614" s="2890">
        <v>1.7678116442371403</v>
      </c>
    </row>
    <row r="8615" spans="2:7" ht="15" hidden="1" outlineLevel="2">
      <c r="B8615" s="2889" t="s">
        <v>1647</v>
      </c>
      <c r="C8615" s="2889" t="s">
        <v>1558</v>
      </c>
      <c r="D8615" s="2889" t="s">
        <v>1559</v>
      </c>
      <c r="E8615" s="2889" t="s">
        <v>217</v>
      </c>
      <c r="F8615" s="2890">
        <v>6.5939301665821938E-3</v>
      </c>
      <c r="G8615" s="2890">
        <v>3.6116065970859323</v>
      </c>
    </row>
    <row r="8616" spans="2:7" ht="15" hidden="1" outlineLevel="2">
      <c r="B8616" s="2889" t="s">
        <v>1648</v>
      </c>
      <c r="C8616" s="2889" t="s">
        <v>1558</v>
      </c>
      <c r="D8616" s="2889" t="s">
        <v>1559</v>
      </c>
      <c r="E8616" s="2889" t="s">
        <v>217</v>
      </c>
      <c r="F8616" s="2890">
        <v>1.8499438600123425E-3</v>
      </c>
      <c r="G8616" s="2890">
        <v>1.0132441052801653</v>
      </c>
    </row>
    <row r="8617" spans="2:7" ht="15" hidden="1" outlineLevel="2">
      <c r="B8617" s="2889" t="s">
        <v>1649</v>
      </c>
      <c r="C8617" s="2889" t="s">
        <v>1558</v>
      </c>
      <c r="D8617" s="2889" t="s">
        <v>1559</v>
      </c>
      <c r="E8617" s="2889" t="s">
        <v>217</v>
      </c>
      <c r="F8617" s="2890">
        <v>3.1418683042425729E-3</v>
      </c>
      <c r="G8617" s="2890">
        <v>1.7208536809031674</v>
      </c>
    </row>
    <row r="8618" spans="2:7" ht="15" hidden="1" outlineLevel="2">
      <c r="B8618" s="2889" t="s">
        <v>1650</v>
      </c>
      <c r="C8618" s="2889" t="s">
        <v>1558</v>
      </c>
      <c r="D8618" s="2889" t="s">
        <v>1559</v>
      </c>
      <c r="E8618" s="2889" t="s">
        <v>217</v>
      </c>
      <c r="F8618" s="2890">
        <v>9.9836221055874183E-3</v>
      </c>
      <c r="G8618" s="2890">
        <v>5.4681965961827981</v>
      </c>
    </row>
    <row r="8619" spans="2:7" ht="15" hidden="1" outlineLevel="2">
      <c r="B8619" s="2889" t="s">
        <v>1651</v>
      </c>
      <c r="C8619" s="2889" t="s">
        <v>1558</v>
      </c>
      <c r="D8619" s="2889" t="s">
        <v>1559</v>
      </c>
      <c r="E8619" s="2889" t="s">
        <v>217</v>
      </c>
      <c r="F8619" s="2890">
        <v>6.5519837354494348E-3</v>
      </c>
      <c r="G8619" s="2890">
        <v>3.5886286845693411</v>
      </c>
    </row>
    <row r="8620" spans="2:7" ht="15" hidden="1" outlineLevel="2">
      <c r="B8620" s="2889" t="s">
        <v>1652</v>
      </c>
      <c r="C8620" s="2889" t="s">
        <v>1558</v>
      </c>
      <c r="D8620" s="2889" t="s">
        <v>1559</v>
      </c>
      <c r="E8620" s="2889" t="s">
        <v>217</v>
      </c>
      <c r="F8620" s="2890">
        <v>8.8582073866051419E-3</v>
      </c>
      <c r="G8620" s="2890">
        <v>4.8517806282116549</v>
      </c>
    </row>
    <row r="8621" spans="2:7" ht="15" hidden="1" outlineLevel="2">
      <c r="B8621" s="2889" t="s">
        <v>1653</v>
      </c>
      <c r="C8621" s="2889" t="s">
        <v>1558</v>
      </c>
      <c r="D8621" s="2889" t="s">
        <v>1559</v>
      </c>
      <c r="E8621" s="2889" t="s">
        <v>217</v>
      </c>
      <c r="F8621" s="2890">
        <v>5.4514246717802285E-2</v>
      </c>
      <c r="G8621" s="2890">
        <v>29.85478901724743</v>
      </c>
    </row>
    <row r="8622" spans="2:7" ht="15" hidden="1" outlineLevel="2">
      <c r="B8622" s="2889" t="s">
        <v>1407</v>
      </c>
      <c r="C8622" s="2889" t="s">
        <v>1560</v>
      </c>
      <c r="D8622" s="2889" t="s">
        <v>1559</v>
      </c>
      <c r="E8622" s="2889" t="s">
        <v>217</v>
      </c>
      <c r="F8622" s="2890">
        <v>6.0660905659068141E-3</v>
      </c>
      <c r="G8622" s="2890">
        <v>3.2740856396465974</v>
      </c>
    </row>
    <row r="8623" spans="2:7" ht="15" hidden="1" outlineLevel="2">
      <c r="B8623" s="2889" t="s">
        <v>1631</v>
      </c>
      <c r="C8623" s="2889" t="s">
        <v>1560</v>
      </c>
      <c r="D8623" s="2889" t="s">
        <v>1559</v>
      </c>
      <c r="E8623" s="2889" t="s">
        <v>217</v>
      </c>
      <c r="F8623" s="2890">
        <v>0.29111278070711355</v>
      </c>
      <c r="G8623" s="2890">
        <v>156.89428795720096</v>
      </c>
    </row>
    <row r="8624" spans="2:7" ht="15" hidden="1" outlineLevel="2">
      <c r="B8624" s="2889" t="s">
        <v>1632</v>
      </c>
      <c r="C8624" s="2889" t="s">
        <v>1560</v>
      </c>
      <c r="D8624" s="2889" t="s">
        <v>1559</v>
      </c>
      <c r="E8624" s="2889" t="s">
        <v>217</v>
      </c>
      <c r="F8624" s="2890">
        <v>0.34944850716245723</v>
      </c>
      <c r="G8624" s="2890">
        <v>188.58753859034374</v>
      </c>
    </row>
    <row r="8625" spans="2:7" ht="15" hidden="1" outlineLevel="2">
      <c r="B8625" s="2889" t="s">
        <v>1633</v>
      </c>
      <c r="C8625" s="2889" t="s">
        <v>1560</v>
      </c>
      <c r="D8625" s="2889" t="s">
        <v>1559</v>
      </c>
      <c r="E8625" s="2889" t="s">
        <v>217</v>
      </c>
      <c r="F8625" s="2890">
        <v>2.0869841206686841E-2</v>
      </c>
      <c r="G8625" s="2890">
        <v>11.262867523767431</v>
      </c>
    </row>
    <row r="8626" spans="2:7" ht="15" hidden="1" outlineLevel="2">
      <c r="B8626" s="2889" t="s">
        <v>1634</v>
      </c>
      <c r="C8626" s="2889" t="s">
        <v>1560</v>
      </c>
      <c r="D8626" s="2889" t="s">
        <v>1559</v>
      </c>
      <c r="E8626" s="2889" t="s">
        <v>217</v>
      </c>
      <c r="F8626" s="2890">
        <v>6.5513757629603953E-3</v>
      </c>
      <c r="G8626" s="2890">
        <v>3.5360153260021652</v>
      </c>
    </row>
    <row r="8627" spans="2:7" ht="15" hidden="1" outlineLevel="2">
      <c r="B8627" s="2889" t="s">
        <v>1635</v>
      </c>
      <c r="C8627" s="2889" t="s">
        <v>1560</v>
      </c>
      <c r="D8627" s="2889" t="s">
        <v>1559</v>
      </c>
      <c r="E8627" s="2889" t="s">
        <v>217</v>
      </c>
      <c r="F8627" s="2890">
        <v>0.11017335627559582</v>
      </c>
      <c r="G8627" s="2890">
        <v>59.457486549339926</v>
      </c>
    </row>
    <row r="8628" spans="2:7" ht="15" hidden="1" outlineLevel="2">
      <c r="B8628" s="2889" t="s">
        <v>1636</v>
      </c>
      <c r="C8628" s="2889" t="s">
        <v>1560</v>
      </c>
      <c r="D8628" s="2889" t="s">
        <v>1559</v>
      </c>
      <c r="E8628" s="2889" t="s">
        <v>217</v>
      </c>
      <c r="F8628" s="2890">
        <v>1.4317684308860086E-2</v>
      </c>
      <c r="G8628" s="2890">
        <v>7.726850166205379</v>
      </c>
    </row>
    <row r="8629" spans="2:7" ht="15" hidden="1" outlineLevel="2">
      <c r="B8629" s="2889" t="s">
        <v>1637</v>
      </c>
      <c r="C8629" s="2889" t="s">
        <v>1560</v>
      </c>
      <c r="D8629" s="2889" t="s">
        <v>1559</v>
      </c>
      <c r="E8629" s="2889" t="s">
        <v>217</v>
      </c>
      <c r="F8629" s="2890">
        <v>3.0091403410875243E-2</v>
      </c>
      <c r="G8629" s="2890">
        <v>16.239480319252213</v>
      </c>
    </row>
    <row r="8630" spans="2:7" ht="15" hidden="1" outlineLevel="2">
      <c r="B8630" s="2889" t="s">
        <v>1638</v>
      </c>
      <c r="C8630" s="2889" t="s">
        <v>1560</v>
      </c>
      <c r="D8630" s="2889" t="s">
        <v>1559</v>
      </c>
      <c r="E8630" s="2889" t="s">
        <v>217</v>
      </c>
      <c r="F8630" s="2890">
        <v>3.8822982438088259E-2</v>
      </c>
      <c r="G8630" s="2890">
        <v>20.954179891075828</v>
      </c>
    </row>
    <row r="8631" spans="2:7" ht="15" hidden="1" outlineLevel="2">
      <c r="B8631" s="2889" t="s">
        <v>1639</v>
      </c>
      <c r="C8631" s="2889" t="s">
        <v>1560</v>
      </c>
      <c r="D8631" s="2889" t="s">
        <v>1559</v>
      </c>
      <c r="E8631" s="2889" t="s">
        <v>217</v>
      </c>
      <c r="F8631" s="2890">
        <v>0.18297514716162203</v>
      </c>
      <c r="G8631" s="2890">
        <v>98.74655625194616</v>
      </c>
    </row>
    <row r="8632" spans="2:7" ht="15" hidden="1" outlineLevel="2">
      <c r="B8632" s="2889" t="s">
        <v>1640</v>
      </c>
      <c r="C8632" s="2889" t="s">
        <v>1560</v>
      </c>
      <c r="D8632" s="2889" t="s">
        <v>1559</v>
      </c>
      <c r="E8632" s="2889" t="s">
        <v>217</v>
      </c>
      <c r="F8632" s="2890">
        <v>3.9065624016866592E-2</v>
      </c>
      <c r="G8632" s="2890">
        <v>21.085133820802639</v>
      </c>
    </row>
    <row r="8633" spans="2:7" ht="15" hidden="1" outlineLevel="2">
      <c r="B8633" s="2889" t="s">
        <v>1641</v>
      </c>
      <c r="C8633" s="2889" t="s">
        <v>1560</v>
      </c>
      <c r="D8633" s="2889" t="s">
        <v>1559</v>
      </c>
      <c r="E8633" s="2889" t="s">
        <v>217</v>
      </c>
      <c r="F8633" s="2890">
        <v>8.0324625755776063E-2</v>
      </c>
      <c r="G8633" s="2890">
        <v>43.348956699352343</v>
      </c>
    </row>
    <row r="8634" spans="2:7" ht="15" hidden="1" outlineLevel="2">
      <c r="B8634" s="2889" t="s">
        <v>1642</v>
      </c>
      <c r="C8634" s="2889" t="s">
        <v>1560</v>
      </c>
      <c r="D8634" s="2889" t="s">
        <v>1559</v>
      </c>
      <c r="E8634" s="2889" t="s">
        <v>217</v>
      </c>
      <c r="F8634" s="2890">
        <v>0.23636317353932682</v>
      </c>
      <c r="G8634" s="2890">
        <v>127.55849315348381</v>
      </c>
    </row>
    <row r="8635" spans="2:7" ht="15" hidden="1" outlineLevel="2">
      <c r="B8635" s="2889" t="s">
        <v>1643</v>
      </c>
      <c r="C8635" s="2889" t="s">
        <v>1560</v>
      </c>
      <c r="D8635" s="2889" t="s">
        <v>1559</v>
      </c>
      <c r="E8635" s="2889" t="s">
        <v>217</v>
      </c>
      <c r="F8635" s="2890">
        <v>2.3006389362558739E-2</v>
      </c>
      <c r="G8635" s="2890">
        <v>12.416295022836326</v>
      </c>
    </row>
    <row r="8636" spans="2:7" ht="15" hidden="1" outlineLevel="2">
      <c r="B8636" s="2889" t="s">
        <v>1644</v>
      </c>
      <c r="C8636" s="2889" t="s">
        <v>1560</v>
      </c>
      <c r="D8636" s="2889" t="s">
        <v>1559</v>
      </c>
      <c r="E8636" s="2889" t="s">
        <v>217</v>
      </c>
      <c r="F8636" s="2890">
        <v>0.72267897403535108</v>
      </c>
      <c r="G8636" s="2890">
        <v>390.00944570253438</v>
      </c>
    </row>
    <row r="8637" spans="2:7" ht="15" hidden="1" outlineLevel="2">
      <c r="B8637" s="2889" t="s">
        <v>1645</v>
      </c>
      <c r="C8637" s="2889" t="s">
        <v>1560</v>
      </c>
      <c r="D8637" s="2889" t="s">
        <v>1559</v>
      </c>
      <c r="E8637" s="2889" t="s">
        <v>217</v>
      </c>
      <c r="F8637" s="2890">
        <v>0.35308885871357498</v>
      </c>
      <c r="G8637" s="2890">
        <v>190.55201093279871</v>
      </c>
    </row>
    <row r="8638" spans="2:7" ht="15" hidden="1" outlineLevel="2">
      <c r="B8638" s="2889" t="s">
        <v>1646</v>
      </c>
      <c r="C8638" s="2889" t="s">
        <v>1560</v>
      </c>
      <c r="D8638" s="2889" t="s">
        <v>1559</v>
      </c>
      <c r="E8638" s="2889" t="s">
        <v>217</v>
      </c>
      <c r="F8638" s="2890">
        <v>2.305389681475517E-2</v>
      </c>
      <c r="G8638" s="2890">
        <v>12.441540323518446</v>
      </c>
    </row>
    <row r="8639" spans="2:7" ht="15" hidden="1" outlineLevel="2">
      <c r="B8639" s="2889" t="s">
        <v>1647</v>
      </c>
      <c r="C8639" s="2889" t="s">
        <v>1560</v>
      </c>
      <c r="D8639" s="2889" t="s">
        <v>1559</v>
      </c>
      <c r="E8639" s="2889" t="s">
        <v>217</v>
      </c>
      <c r="F8639" s="2890">
        <v>1.771298384376898E-2</v>
      </c>
      <c r="G8639" s="2890">
        <v>9.5603385635727829</v>
      </c>
    </row>
    <row r="8640" spans="2:7" ht="15" hidden="1" outlineLevel="2">
      <c r="B8640" s="2889" t="s">
        <v>1648</v>
      </c>
      <c r="C8640" s="2889" t="s">
        <v>1560</v>
      </c>
      <c r="D8640" s="2889" t="s">
        <v>1559</v>
      </c>
      <c r="E8640" s="2889" t="s">
        <v>217</v>
      </c>
      <c r="F8640" s="2890">
        <v>3.9065624016866592E-2</v>
      </c>
      <c r="G8640" s="2890">
        <v>21.085133820802639</v>
      </c>
    </row>
    <row r="8641" spans="2:7" ht="15" hidden="1" outlineLevel="2">
      <c r="B8641" s="2889" t="s">
        <v>1649</v>
      </c>
      <c r="C8641" s="2889" t="s">
        <v>1560</v>
      </c>
      <c r="D8641" s="2889" t="s">
        <v>1559</v>
      </c>
      <c r="E8641" s="2889" t="s">
        <v>217</v>
      </c>
      <c r="F8641" s="2890">
        <v>3.8337672535551461E-2</v>
      </c>
      <c r="G8641" s="2890">
        <v>20.692238393943601</v>
      </c>
    </row>
    <row r="8642" spans="2:7" ht="15" hidden="1" outlineLevel="2">
      <c r="B8642" s="2889" t="s">
        <v>1650</v>
      </c>
      <c r="C8642" s="2889" t="s">
        <v>1560</v>
      </c>
      <c r="D8642" s="2889" t="s">
        <v>1559</v>
      </c>
      <c r="E8642" s="2889" t="s">
        <v>217</v>
      </c>
      <c r="F8642" s="2890">
        <v>5.4837456705275608E-2</v>
      </c>
      <c r="G8642" s="2890">
        <v>29.5977667880905</v>
      </c>
    </row>
    <row r="8643" spans="2:7" ht="15" hidden="1" outlineLevel="2">
      <c r="B8643" s="2889" t="s">
        <v>1651</v>
      </c>
      <c r="C8643" s="2889" t="s">
        <v>1560</v>
      </c>
      <c r="D8643" s="2889" t="s">
        <v>1559</v>
      </c>
      <c r="E8643" s="2889" t="s">
        <v>217</v>
      </c>
      <c r="F8643" s="2890">
        <v>2.4749640163307916E-2</v>
      </c>
      <c r="G8643" s="2890">
        <v>13.358280765501567</v>
      </c>
    </row>
    <row r="8644" spans="2:7" ht="15" hidden="1" outlineLevel="2">
      <c r="B8644" s="2889" t="s">
        <v>1652</v>
      </c>
      <c r="C8644" s="2889" t="s">
        <v>1560</v>
      </c>
      <c r="D8644" s="2889" t="s">
        <v>1559</v>
      </c>
      <c r="E8644" s="2889" t="s">
        <v>217</v>
      </c>
      <c r="F8644" s="2890">
        <v>3.9065624018477463E-2</v>
      </c>
      <c r="G8644" s="2890">
        <v>21.085133820712965</v>
      </c>
    </row>
    <row r="8645" spans="2:7" ht="15" hidden="1" outlineLevel="2">
      <c r="B8645" s="2889" t="s">
        <v>1653</v>
      </c>
      <c r="C8645" s="2889" t="s">
        <v>1560</v>
      </c>
      <c r="D8645" s="2889" t="s">
        <v>1559</v>
      </c>
      <c r="E8645" s="2889" t="s">
        <v>217</v>
      </c>
      <c r="F8645" s="2890">
        <v>4.3923747815527894E-2</v>
      </c>
      <c r="G8645" s="2890">
        <v>23.704400752645409</v>
      </c>
    </row>
    <row r="8646" spans="2:7" ht="15" hidden="1" outlineLevel="2">
      <c r="B8646" s="2889" t="s">
        <v>1407</v>
      </c>
      <c r="C8646" s="2889" t="s">
        <v>1561</v>
      </c>
      <c r="D8646" s="2889" t="s">
        <v>1559</v>
      </c>
      <c r="E8646" s="2889" t="s">
        <v>217</v>
      </c>
      <c r="F8646" s="2890">
        <v>8.6232075369762212E-2</v>
      </c>
      <c r="G8646" s="2890">
        <v>44.95990295533214</v>
      </c>
    </row>
    <row r="8647" spans="2:7" ht="15" hidden="1" outlineLevel="2">
      <c r="B8647" s="2889" t="s">
        <v>1631</v>
      </c>
      <c r="C8647" s="2889" t="s">
        <v>1561</v>
      </c>
      <c r="D8647" s="2889" t="s">
        <v>1559</v>
      </c>
      <c r="E8647" s="2889" t="s">
        <v>217</v>
      </c>
      <c r="F8647" s="3039">
        <v>0.50889545808077941</v>
      </c>
      <c r="G8647" s="2890">
        <v>264.90708518681004</v>
      </c>
    </row>
    <row r="8648" spans="2:7" ht="15" hidden="1" outlineLevel="2">
      <c r="B8648" s="2889" t="s">
        <v>1632</v>
      </c>
      <c r="C8648" s="2889" t="s">
        <v>1561</v>
      </c>
      <c r="D8648" s="2889" t="s">
        <v>1559</v>
      </c>
      <c r="E8648" s="2889" t="s">
        <v>217</v>
      </c>
      <c r="F8648" s="3039">
        <v>0.84176923743124532</v>
      </c>
      <c r="G8648" s="2890">
        <v>438.9223020432799</v>
      </c>
    </row>
    <row r="8649" spans="2:7" ht="15" hidden="1" outlineLevel="2">
      <c r="B8649" s="2889" t="s">
        <v>1633</v>
      </c>
      <c r="C8649" s="2889" t="s">
        <v>1561</v>
      </c>
      <c r="D8649" s="2889" t="s">
        <v>1559</v>
      </c>
      <c r="E8649" s="2889" t="s">
        <v>217</v>
      </c>
      <c r="F8649" s="3039">
        <v>7.7694422066920982E-2</v>
      </c>
      <c r="G8649" s="2890">
        <v>40.512062783689387</v>
      </c>
    </row>
    <row r="8650" spans="2:7" ht="15" hidden="1" outlineLevel="2">
      <c r="B8650" s="2889" t="s">
        <v>1634</v>
      </c>
      <c r="C8650" s="2889" t="s">
        <v>1561</v>
      </c>
      <c r="D8650" s="2889" t="s">
        <v>1559</v>
      </c>
      <c r="E8650" s="2889" t="s">
        <v>217</v>
      </c>
      <c r="F8650" s="3039">
        <v>3.2385867959789198E-2</v>
      </c>
      <c r="G8650" s="2890">
        <v>16.885429518341432</v>
      </c>
    </row>
    <row r="8651" spans="2:7" ht="15" hidden="1" outlineLevel="2">
      <c r="B8651" s="2889" t="s">
        <v>1635</v>
      </c>
      <c r="C8651" s="2889" t="s">
        <v>1561</v>
      </c>
      <c r="D8651" s="2889" t="s">
        <v>1559</v>
      </c>
      <c r="E8651" s="2889" t="s">
        <v>217</v>
      </c>
      <c r="F8651" s="3039">
        <v>0.1500956340912184</v>
      </c>
      <c r="G8651" s="2890">
        <v>78.264140033826919</v>
      </c>
    </row>
    <row r="8652" spans="2:7" ht="15" hidden="1" outlineLevel="2">
      <c r="B8652" s="2889" t="s">
        <v>1636</v>
      </c>
      <c r="C8652" s="2889" t="s">
        <v>1561</v>
      </c>
      <c r="D8652" s="2889" t="s">
        <v>1559</v>
      </c>
      <c r="E8652" s="2889" t="s">
        <v>217</v>
      </c>
      <c r="F8652" s="3039">
        <v>9.5235074282028181E-2</v>
      </c>
      <c r="G8652" s="2890">
        <v>49.658225856263527</v>
      </c>
    </row>
    <row r="8653" spans="2:7" ht="15" hidden="1" outlineLevel="2">
      <c r="B8653" s="2889" t="s">
        <v>1637</v>
      </c>
      <c r="C8653" s="2889" t="s">
        <v>1561</v>
      </c>
      <c r="D8653" s="2889" t="s">
        <v>1559</v>
      </c>
      <c r="E8653" s="2889" t="s">
        <v>217</v>
      </c>
      <c r="F8653" s="3039">
        <v>0.12305875093065141</v>
      </c>
      <c r="G8653" s="2890">
        <v>64.166326787783504</v>
      </c>
    </row>
    <row r="8654" spans="2:7" ht="15" hidden="1" outlineLevel="2">
      <c r="B8654" s="2889" t="s">
        <v>1638</v>
      </c>
      <c r="C8654" s="2889" t="s">
        <v>1561</v>
      </c>
      <c r="D8654" s="2889" t="s">
        <v>1559</v>
      </c>
      <c r="E8654" s="2889" t="s">
        <v>217</v>
      </c>
      <c r="F8654" s="2890">
        <v>3.8917971321611615E-2</v>
      </c>
      <c r="G8654" s="2890">
        <v>20.291149644466142</v>
      </c>
    </row>
    <row r="8655" spans="2:7" ht="15" hidden="1" outlineLevel="2">
      <c r="B8655" s="2889" t="s">
        <v>1639</v>
      </c>
      <c r="C8655" s="2889" t="s">
        <v>1561</v>
      </c>
      <c r="D8655" s="2889" t="s">
        <v>1559</v>
      </c>
      <c r="E8655" s="2889" t="s">
        <v>217</v>
      </c>
      <c r="F8655" s="2890">
        <v>0.20569284316595038</v>
      </c>
      <c r="G8655" s="2890">
        <v>107.25392952876894</v>
      </c>
    </row>
    <row r="8656" spans="2:7" ht="15" hidden="1" outlineLevel="2">
      <c r="B8656" s="2889" t="s">
        <v>1640</v>
      </c>
      <c r="C8656" s="2889" t="s">
        <v>1561</v>
      </c>
      <c r="D8656" s="2889" t="s">
        <v>1559</v>
      </c>
      <c r="E8656" s="2889" t="s">
        <v>217</v>
      </c>
      <c r="F8656" s="2890">
        <v>4.5204497572062102E-2</v>
      </c>
      <c r="G8656" s="2890">
        <v>23.568847667500346</v>
      </c>
    </row>
    <row r="8657" spans="2:7" ht="15" hidden="1" outlineLevel="2">
      <c r="B8657" s="2889" t="s">
        <v>1641</v>
      </c>
      <c r="C8657" s="2889" t="s">
        <v>1561</v>
      </c>
      <c r="D8657" s="2889" t="s">
        <v>1559</v>
      </c>
      <c r="E8657" s="2889" t="s">
        <v>217</v>
      </c>
      <c r="F8657" s="3039">
        <v>0.22888577791907611</v>
      </c>
      <c r="G8657" s="2890">
        <v>119.3475241537588</v>
      </c>
    </row>
    <row r="8658" spans="2:7" ht="15" hidden="1" outlineLevel="2">
      <c r="B8658" s="2889" t="s">
        <v>1642</v>
      </c>
      <c r="C8658" s="2889" t="s">
        <v>1561</v>
      </c>
      <c r="D8658" s="2889" t="s">
        <v>1559</v>
      </c>
      <c r="E8658" s="2889" t="s">
        <v>217</v>
      </c>
      <c r="F8658" s="2890">
        <v>0.25512273141818348</v>
      </c>
      <c r="G8658" s="2890">
        <v>133.02818602394538</v>
      </c>
    </row>
    <row r="8659" spans="2:7" ht="15" hidden="1" outlineLevel="2">
      <c r="B8659" s="2889" t="s">
        <v>1643</v>
      </c>
      <c r="C8659" s="2889" t="s">
        <v>1561</v>
      </c>
      <c r="D8659" s="2889" t="s">
        <v>1559</v>
      </c>
      <c r="E8659" s="2889" t="s">
        <v>217</v>
      </c>
      <c r="F8659" s="2890">
        <v>4.2248244679823382E-2</v>
      </c>
      <c r="G8659" s="2890">
        <v>22.030155550163485</v>
      </c>
    </row>
    <row r="8660" spans="2:7" ht="15" hidden="1" outlineLevel="2">
      <c r="B8660" s="2889" t="s">
        <v>1644</v>
      </c>
      <c r="C8660" s="2889" t="s">
        <v>1561</v>
      </c>
      <c r="D8660" s="2889" t="s">
        <v>1559</v>
      </c>
      <c r="E8660" s="2889" t="s">
        <v>217</v>
      </c>
      <c r="F8660" s="3039">
        <v>0.91109170347466861</v>
      </c>
      <c r="G8660" s="2890">
        <v>475.06938273817013</v>
      </c>
    </row>
    <row r="8661" spans="2:7" ht="15" hidden="1" outlineLevel="2">
      <c r="B8661" s="2889" t="s">
        <v>1645</v>
      </c>
      <c r="C8661" s="2889" t="s">
        <v>1561</v>
      </c>
      <c r="D8661" s="2889" t="s">
        <v>1559</v>
      </c>
      <c r="E8661" s="2889" t="s">
        <v>217</v>
      </c>
      <c r="F8661" s="2890">
        <v>0.815592931436667</v>
      </c>
      <c r="G8661" s="2890">
        <v>425.27313916790996</v>
      </c>
    </row>
    <row r="8662" spans="2:7" ht="15" hidden="1" outlineLevel="2">
      <c r="B8662" s="2889" t="s">
        <v>1646</v>
      </c>
      <c r="C8662" s="2889" t="s">
        <v>1561</v>
      </c>
      <c r="D8662" s="2889" t="s">
        <v>1559</v>
      </c>
      <c r="E8662" s="2889" t="s">
        <v>217</v>
      </c>
      <c r="F8662" s="2890">
        <v>4.6314686102606487E-2</v>
      </c>
      <c r="G8662" s="2890">
        <v>24.14978190262805</v>
      </c>
    </row>
    <row r="8663" spans="2:7" ht="15" hidden="1" outlineLevel="2">
      <c r="B8663" s="2889" t="s">
        <v>1647</v>
      </c>
      <c r="C8663" s="2889" t="s">
        <v>1561</v>
      </c>
      <c r="D8663" s="2889" t="s">
        <v>1559</v>
      </c>
      <c r="E8663" s="2889" t="s">
        <v>217</v>
      </c>
      <c r="F8663" s="2890">
        <v>9.4628220963536736E-2</v>
      </c>
      <c r="G8663" s="2890">
        <v>49.337484952298126</v>
      </c>
    </row>
    <row r="8664" spans="2:7" ht="15" hidden="1" outlineLevel="2">
      <c r="B8664" s="2889" t="s">
        <v>1648</v>
      </c>
      <c r="C8664" s="2889" t="s">
        <v>1561</v>
      </c>
      <c r="D8664" s="2889" t="s">
        <v>1559</v>
      </c>
      <c r="E8664" s="2889" t="s">
        <v>217</v>
      </c>
      <c r="F8664" s="3039">
        <v>2.6548172637157197E-2</v>
      </c>
      <c r="G8664" s="2890">
        <v>13.841763766213282</v>
      </c>
    </row>
    <row r="8665" spans="2:7" ht="15" hidden="1" outlineLevel="2">
      <c r="B8665" s="2889" t="s">
        <v>1649</v>
      </c>
      <c r="C8665" s="2889" t="s">
        <v>1561</v>
      </c>
      <c r="D8665" s="2889" t="s">
        <v>1559</v>
      </c>
      <c r="E8665" s="2889" t="s">
        <v>217</v>
      </c>
      <c r="F8665" s="3039">
        <v>4.5088320204112034E-2</v>
      </c>
      <c r="G8665" s="2890">
        <v>23.508285122011895</v>
      </c>
    </row>
    <row r="8666" spans="2:7" ht="15" hidden="1" outlineLevel="2">
      <c r="B8666" s="2889" t="s">
        <v>1650</v>
      </c>
      <c r="C8666" s="2889" t="s">
        <v>1561</v>
      </c>
      <c r="D8666" s="2889" t="s">
        <v>1559</v>
      </c>
      <c r="E8666" s="2889" t="s">
        <v>217</v>
      </c>
      <c r="F8666" s="3039">
        <v>0.14327301532974249</v>
      </c>
      <c r="G8666" s="2890">
        <v>74.700099253373494</v>
      </c>
    </row>
    <row r="8667" spans="2:7" ht="15" hidden="1" outlineLevel="2">
      <c r="B8667" s="2889" t="s">
        <v>1651</v>
      </c>
      <c r="C8667" s="2889" t="s">
        <v>1561</v>
      </c>
      <c r="D8667" s="2889" t="s">
        <v>1559</v>
      </c>
      <c r="E8667" s="2889" t="s">
        <v>217</v>
      </c>
      <c r="F8667" s="2890">
        <v>9.402617313322785E-2</v>
      </c>
      <c r="G8667" s="2890">
        <v>49.023612044238035</v>
      </c>
    </row>
    <row r="8668" spans="2:7" ht="15" hidden="1" outlineLevel="2">
      <c r="B8668" s="2889" t="s">
        <v>1652</v>
      </c>
      <c r="C8668" s="2889" t="s">
        <v>1561</v>
      </c>
      <c r="D8668" s="2889" t="s">
        <v>1559</v>
      </c>
      <c r="E8668" s="2889" t="s">
        <v>217</v>
      </c>
      <c r="F8668" s="2890">
        <v>0.12712232765276865</v>
      </c>
      <c r="G8668" s="2890">
        <v>66.279265620808289</v>
      </c>
    </row>
    <row r="8669" spans="2:7" ht="15" hidden="1" outlineLevel="2">
      <c r="B8669" s="2889" t="s">
        <v>1653</v>
      </c>
      <c r="C8669" s="2889" t="s">
        <v>1561</v>
      </c>
      <c r="D8669" s="2889" t="s">
        <v>1559</v>
      </c>
      <c r="E8669" s="2889" t="s">
        <v>217</v>
      </c>
      <c r="F8669" s="2890">
        <v>0.78216170953669961</v>
      </c>
      <c r="G8669" s="2890">
        <v>407.84088805570002</v>
      </c>
    </row>
    <row r="8670" spans="2:7" ht="15" hidden="1" outlineLevel="2">
      <c r="B8670" s="2889" t="s">
        <v>1407</v>
      </c>
      <c r="C8670" s="2889" t="s">
        <v>1562</v>
      </c>
      <c r="D8670" s="2889" t="s">
        <v>1559</v>
      </c>
      <c r="E8670" s="2889" t="s">
        <v>217</v>
      </c>
      <c r="F8670" s="2890">
        <v>6.6457514559632488E-2</v>
      </c>
      <c r="G8670" s="2890">
        <v>36.437103385874593</v>
      </c>
    </row>
    <row r="8671" spans="2:7" ht="15" hidden="1" outlineLevel="2">
      <c r="B8671" s="2889" t="s">
        <v>1631</v>
      </c>
      <c r="C8671" s="2889" t="s">
        <v>1562</v>
      </c>
      <c r="D8671" s="2889" t="s">
        <v>1559</v>
      </c>
      <c r="E8671" s="2889" t="s">
        <v>217</v>
      </c>
      <c r="F8671" s="2890">
        <v>3.1897214516403496</v>
      </c>
      <c r="G8671" s="2890">
        <v>1746.0658743220004</v>
      </c>
    </row>
    <row r="8672" spans="2:7" ht="15" hidden="1" outlineLevel="2">
      <c r="B8672" s="2889" t="s">
        <v>1632</v>
      </c>
      <c r="C8672" s="2889" t="s">
        <v>1562</v>
      </c>
      <c r="D8672" s="2889" t="s">
        <v>1559</v>
      </c>
      <c r="E8672" s="2889" t="s">
        <v>217</v>
      </c>
      <c r="F8672" s="2890">
        <v>3.8276304941663843</v>
      </c>
      <c r="G8672" s="2890">
        <v>2098.7766237009005</v>
      </c>
    </row>
    <row r="8673" spans="2:7" ht="15" hidden="1" outlineLevel="2">
      <c r="B8673" s="2889" t="s">
        <v>1633</v>
      </c>
      <c r="C8673" s="2889" t="s">
        <v>1562</v>
      </c>
      <c r="D8673" s="2889" t="s">
        <v>1559</v>
      </c>
      <c r="E8673" s="2889" t="s">
        <v>217</v>
      </c>
      <c r="F8673" s="2890">
        <v>0.22859461796973785</v>
      </c>
      <c r="G8673" s="2890">
        <v>125.34361848842487</v>
      </c>
    </row>
    <row r="8674" spans="2:7" ht="15" hidden="1" outlineLevel="2">
      <c r="B8674" s="2889" t="s">
        <v>1634</v>
      </c>
      <c r="C8674" s="2889" t="s">
        <v>1562</v>
      </c>
      <c r="D8674" s="2889" t="s">
        <v>1559</v>
      </c>
      <c r="E8674" s="2889" t="s">
        <v>217</v>
      </c>
      <c r="F8674" s="2890">
        <v>7.1774075762806186E-2</v>
      </c>
      <c r="G8674" s="2890">
        <v>39.352057452812801</v>
      </c>
    </row>
    <row r="8675" spans="2:7" ht="15" hidden="1" outlineLevel="2">
      <c r="B8675" s="2889" t="s">
        <v>1635</v>
      </c>
      <c r="C8675" s="2889" t="s">
        <v>1562</v>
      </c>
      <c r="D8675" s="2889" t="s">
        <v>1559</v>
      </c>
      <c r="E8675" s="2889" t="s">
        <v>217</v>
      </c>
      <c r="F8675" s="2890">
        <v>1.2067675493790309</v>
      </c>
      <c r="G8675" s="2890">
        <v>661.69721803280481</v>
      </c>
    </row>
    <row r="8676" spans="2:7" ht="15" hidden="1" outlineLevel="2">
      <c r="B8676" s="2889" t="s">
        <v>1636</v>
      </c>
      <c r="C8676" s="2889" t="s">
        <v>1562</v>
      </c>
      <c r="D8676" s="2889" t="s">
        <v>1559</v>
      </c>
      <c r="E8676" s="2889" t="s">
        <v>217</v>
      </c>
      <c r="F8676" s="2890">
        <v>0.15682649136068019</v>
      </c>
      <c r="G8676" s="2890">
        <v>85.991571458846579</v>
      </c>
    </row>
    <row r="8677" spans="2:7" ht="15" hidden="1" outlineLevel="2">
      <c r="B8677" s="2889" t="s">
        <v>1637</v>
      </c>
      <c r="C8677" s="2889" t="s">
        <v>1562</v>
      </c>
      <c r="D8677" s="2889" t="s">
        <v>1559</v>
      </c>
      <c r="E8677" s="2889" t="s">
        <v>217</v>
      </c>
      <c r="F8677" s="2890">
        <v>0.3296014808337831</v>
      </c>
      <c r="G8677" s="2890">
        <v>180.7281132546882</v>
      </c>
    </row>
    <row r="8678" spans="2:7" ht="15" hidden="1" outlineLevel="2">
      <c r="B8678" s="2889" t="s">
        <v>1638</v>
      </c>
      <c r="C8678" s="2889" t="s">
        <v>1562</v>
      </c>
      <c r="D8678" s="2889" t="s">
        <v>1559</v>
      </c>
      <c r="E8678" s="2889" t="s">
        <v>217</v>
      </c>
      <c r="F8678" s="3039">
        <v>0.42532804486223497</v>
      </c>
      <c r="G8678" s="2890">
        <v>233.19761041169184</v>
      </c>
    </row>
    <row r="8679" spans="2:7" ht="15" hidden="1" outlineLevel="2">
      <c r="B8679" s="2889" t="s">
        <v>1639</v>
      </c>
      <c r="C8679" s="2889" t="s">
        <v>1562</v>
      </c>
      <c r="D8679" s="2889" t="s">
        <v>1559</v>
      </c>
      <c r="E8679" s="2889" t="s">
        <v>217</v>
      </c>
      <c r="F8679" s="3039">
        <v>2.0041899857860717</v>
      </c>
      <c r="G8679" s="2890">
        <v>1098.9435032258195</v>
      </c>
    </row>
    <row r="8680" spans="2:7" ht="15" hidden="1" outlineLevel="2">
      <c r="B8680" s="2889" t="s">
        <v>1640</v>
      </c>
      <c r="C8680" s="2889" t="s">
        <v>1562</v>
      </c>
      <c r="D8680" s="2889" t="s">
        <v>1559</v>
      </c>
      <c r="E8680" s="2889" t="s">
        <v>217</v>
      </c>
      <c r="F8680" s="2890">
        <v>0.42798640112190539</v>
      </c>
      <c r="G8680" s="2890">
        <v>234.65493805739698</v>
      </c>
    </row>
    <row r="8681" spans="2:7" ht="15" hidden="1" outlineLevel="2">
      <c r="B8681" s="2889" t="s">
        <v>1641</v>
      </c>
      <c r="C8681" s="2889" t="s">
        <v>1562</v>
      </c>
      <c r="D8681" s="2889" t="s">
        <v>1559</v>
      </c>
      <c r="E8681" s="2889" t="s">
        <v>217</v>
      </c>
      <c r="F8681" s="2890">
        <v>0.87982313677781809</v>
      </c>
      <c r="G8681" s="2890">
        <v>482.42756643922843</v>
      </c>
    </row>
    <row r="8682" spans="2:7" ht="15" hidden="1" outlineLevel="2">
      <c r="B8682" s="2889" t="s">
        <v>1642</v>
      </c>
      <c r="C8682" s="2889" t="s">
        <v>1562</v>
      </c>
      <c r="D8682" s="2889" t="s">
        <v>1559</v>
      </c>
      <c r="E8682" s="2889" t="s">
        <v>217</v>
      </c>
      <c r="F8682" s="2890">
        <v>2.5889672557559034</v>
      </c>
      <c r="G8682" s="2890">
        <v>1419.589265394183</v>
      </c>
    </row>
    <row r="8683" spans="2:7" ht="15" hidden="1" outlineLevel="2">
      <c r="B8683" s="2889" t="s">
        <v>1643</v>
      </c>
      <c r="C8683" s="2889" t="s">
        <v>1562</v>
      </c>
      <c r="D8683" s="2889" t="s">
        <v>1559</v>
      </c>
      <c r="E8683" s="2889" t="s">
        <v>217</v>
      </c>
      <c r="F8683" s="2890">
        <v>0.2609189811742722</v>
      </c>
      <c r="G8683" s="2890">
        <v>143.07296852625987</v>
      </c>
    </row>
    <row r="8684" spans="2:7" ht="15" hidden="1" outlineLevel="2">
      <c r="B8684" s="2889" t="s">
        <v>1644</v>
      </c>
      <c r="C8684" s="2889" t="s">
        <v>1562</v>
      </c>
      <c r="D8684" s="2889" t="s">
        <v>1559</v>
      </c>
      <c r="E8684" s="2889" t="s">
        <v>217</v>
      </c>
      <c r="F8684" s="2890">
        <v>7.9157510985661741</v>
      </c>
      <c r="G8684" s="2890">
        <v>4340.3865681003299</v>
      </c>
    </row>
    <row r="8685" spans="2:7" ht="15" hidden="1" outlineLevel="2">
      <c r="B8685" s="2889" t="s">
        <v>1645</v>
      </c>
      <c r="C8685" s="2889" t="s">
        <v>1562</v>
      </c>
      <c r="D8685" s="2889" t="s">
        <v>1559</v>
      </c>
      <c r="E8685" s="2889" t="s">
        <v>217</v>
      </c>
      <c r="F8685" s="2890">
        <v>3.8675014829247756</v>
      </c>
      <c r="G8685" s="2890">
        <v>2120.64049170611</v>
      </c>
    </row>
    <row r="8686" spans="2:7" ht="15" hidden="1" outlineLevel="2">
      <c r="B8686" s="2889" t="s">
        <v>1646</v>
      </c>
      <c r="C8686" s="2889" t="s">
        <v>1562</v>
      </c>
      <c r="D8686" s="2889" t="s">
        <v>1559</v>
      </c>
      <c r="E8686" s="2889" t="s">
        <v>217</v>
      </c>
      <c r="F8686" s="2890">
        <v>0.25251729605477263</v>
      </c>
      <c r="G8686" s="2890">
        <v>138.46100559364416</v>
      </c>
    </row>
    <row r="8687" spans="2:7" ht="15" hidden="1" outlineLevel="2">
      <c r="B8687" s="2889" t="s">
        <v>1647</v>
      </c>
      <c r="C8687" s="2889" t="s">
        <v>1562</v>
      </c>
      <c r="D8687" s="2889" t="s">
        <v>1559</v>
      </c>
      <c r="E8687" s="2889" t="s">
        <v>217</v>
      </c>
      <c r="F8687" s="2890">
        <v>0.19405580253836735</v>
      </c>
      <c r="G8687" s="2890">
        <v>106.39638049355761</v>
      </c>
    </row>
    <row r="8688" spans="2:7" ht="15" hidden="1" outlineLevel="2">
      <c r="B8688" s="2889" t="s">
        <v>1648</v>
      </c>
      <c r="C8688" s="2889" t="s">
        <v>1562</v>
      </c>
      <c r="D8688" s="2889" t="s">
        <v>1559</v>
      </c>
      <c r="E8688" s="2889" t="s">
        <v>217</v>
      </c>
      <c r="F8688" s="2890">
        <v>0.42798640112190539</v>
      </c>
      <c r="G8688" s="2890">
        <v>234.65493805739698</v>
      </c>
    </row>
    <row r="8689" spans="2:7" ht="15" hidden="1" outlineLevel="2">
      <c r="B8689" s="2889" t="s">
        <v>1649</v>
      </c>
      <c r="C8689" s="2889" t="s">
        <v>1562</v>
      </c>
      <c r="D8689" s="2889" t="s">
        <v>1559</v>
      </c>
      <c r="E8689" s="2889" t="s">
        <v>217</v>
      </c>
      <c r="F8689" s="2890">
        <v>0.42001157135810202</v>
      </c>
      <c r="G8689" s="2890">
        <v>230.282575774935</v>
      </c>
    </row>
    <row r="8690" spans="2:7" ht="15" hidden="1" outlineLevel="2">
      <c r="B8690" s="2889" t="s">
        <v>1650</v>
      </c>
      <c r="C8690" s="2889" t="s">
        <v>1562</v>
      </c>
      <c r="D8690" s="2889" t="s">
        <v>1559</v>
      </c>
      <c r="E8690" s="2889" t="s">
        <v>217</v>
      </c>
      <c r="F8690" s="2890">
        <v>0.60077613051794565</v>
      </c>
      <c r="G8690" s="2890">
        <v>329.39162501691618</v>
      </c>
    </row>
    <row r="8691" spans="2:7" ht="15" hidden="1" outlineLevel="2">
      <c r="B8691" s="2889" t="s">
        <v>1651</v>
      </c>
      <c r="C8691" s="2889" t="s">
        <v>1562</v>
      </c>
      <c r="D8691" s="2889" t="s">
        <v>1559</v>
      </c>
      <c r="E8691" s="2889" t="s">
        <v>217</v>
      </c>
      <c r="F8691" s="2890">
        <v>0.27114672933561607</v>
      </c>
      <c r="G8691" s="2890">
        <v>148.66350700146478</v>
      </c>
    </row>
    <row r="8692" spans="2:7" ht="15" hidden="1" outlineLevel="2">
      <c r="B8692" s="2889" t="s">
        <v>1652</v>
      </c>
      <c r="C8692" s="2889" t="s">
        <v>1562</v>
      </c>
      <c r="D8692" s="2889" t="s">
        <v>1559</v>
      </c>
      <c r="E8692" s="2889" t="s">
        <v>217</v>
      </c>
      <c r="F8692" s="2890">
        <v>0.42798640113034081</v>
      </c>
      <c r="G8692" s="2890">
        <v>234.65493805465331</v>
      </c>
    </row>
    <row r="8693" spans="2:7" ht="15" hidden="1" outlineLevel="2">
      <c r="B8693" s="2889" t="s">
        <v>1653</v>
      </c>
      <c r="C8693" s="2889" t="s">
        <v>1562</v>
      </c>
      <c r="D8693" s="2889" t="s">
        <v>1559</v>
      </c>
      <c r="E8693" s="2889" t="s">
        <v>217</v>
      </c>
      <c r="F8693" s="2890">
        <v>0.48111144622480817</v>
      </c>
      <c r="G8693" s="2890">
        <v>263.80452078356552</v>
      </c>
    </row>
    <row r="8694" spans="2:7" ht="15" hidden="1" outlineLevel="2">
      <c r="B8694" s="2889" t="s">
        <v>1407</v>
      </c>
      <c r="C8694" s="2889" t="s">
        <v>1563</v>
      </c>
      <c r="D8694" s="2889" t="s">
        <v>1559</v>
      </c>
      <c r="E8694" s="2889" t="s">
        <v>217</v>
      </c>
      <c r="F8694" s="2890">
        <v>0.10630655876500736</v>
      </c>
      <c r="G8694" s="2890">
        <v>62.653801976408573</v>
      </c>
    </row>
    <row r="8695" spans="2:7" ht="15" hidden="1" outlineLevel="2">
      <c r="B8695" s="2889" t="s">
        <v>1631</v>
      </c>
      <c r="C8695" s="2889" t="s">
        <v>1563</v>
      </c>
      <c r="D8695" s="2889" t="s">
        <v>1559</v>
      </c>
      <c r="E8695" s="2889" t="s">
        <v>217</v>
      </c>
      <c r="F8695" s="3039">
        <v>0.62728309348157096</v>
      </c>
      <c r="G8695" s="2890">
        <v>369.1606211990607</v>
      </c>
    </row>
    <row r="8696" spans="2:7" ht="15" hidden="1" outlineLevel="2">
      <c r="B8696" s="2889" t="s">
        <v>1632</v>
      </c>
      <c r="C8696" s="2889" t="s">
        <v>1563</v>
      </c>
      <c r="D8696" s="2889" t="s">
        <v>1559</v>
      </c>
      <c r="E8696" s="2889" t="s">
        <v>217</v>
      </c>
      <c r="F8696" s="3039">
        <v>1.0379425401120674</v>
      </c>
      <c r="G8696" s="2890">
        <v>611.65941814167695</v>
      </c>
    </row>
    <row r="8697" spans="2:7" ht="15" hidden="1" outlineLevel="2">
      <c r="B8697" s="2889" t="s">
        <v>1633</v>
      </c>
      <c r="C8697" s="2889" t="s">
        <v>1563</v>
      </c>
      <c r="D8697" s="2889" t="s">
        <v>1559</v>
      </c>
      <c r="E8697" s="2889" t="s">
        <v>217</v>
      </c>
      <c r="F8697" s="3039">
        <v>9.5801137191246222E-2</v>
      </c>
      <c r="G8697" s="2890">
        <v>56.455595058927429</v>
      </c>
    </row>
    <row r="8698" spans="2:7" ht="15" hidden="1" outlineLevel="2">
      <c r="B8698" s="2889" t="s">
        <v>1634</v>
      </c>
      <c r="C8698" s="2889" t="s">
        <v>1563</v>
      </c>
      <c r="D8698" s="2889" t="s">
        <v>1559</v>
      </c>
      <c r="E8698" s="2889" t="s">
        <v>217</v>
      </c>
      <c r="F8698" s="3039">
        <v>3.9925159733289195E-2</v>
      </c>
      <c r="G8698" s="2890">
        <v>23.530666017882723</v>
      </c>
    </row>
    <row r="8699" spans="2:7" ht="15" hidden="1" outlineLevel="2">
      <c r="B8699" s="2889" t="s">
        <v>1635</v>
      </c>
      <c r="C8699" s="2889" t="s">
        <v>1563</v>
      </c>
      <c r="D8699" s="2889" t="s">
        <v>1559</v>
      </c>
      <c r="E8699" s="2889" t="s">
        <v>217</v>
      </c>
      <c r="F8699" s="3039">
        <v>0.18507533175085367</v>
      </c>
      <c r="G8699" s="2890">
        <v>109.06484100013508</v>
      </c>
    </row>
    <row r="8700" spans="2:7" ht="15" hidden="1" outlineLevel="2">
      <c r="B8700" s="2889" t="s">
        <v>1636</v>
      </c>
      <c r="C8700" s="2889" t="s">
        <v>1563</v>
      </c>
      <c r="D8700" s="2889" t="s">
        <v>1559</v>
      </c>
      <c r="E8700" s="2889" t="s">
        <v>217</v>
      </c>
      <c r="F8700" s="3039">
        <v>0.11742960526167431</v>
      </c>
      <c r="G8700" s="2890">
        <v>69.201194745933918</v>
      </c>
    </row>
    <row r="8701" spans="2:7" ht="15" hidden="1" outlineLevel="2">
      <c r="B8701" s="2889" t="s">
        <v>1637</v>
      </c>
      <c r="C8701" s="2889" t="s">
        <v>1563</v>
      </c>
      <c r="D8701" s="2889" t="s">
        <v>1559</v>
      </c>
      <c r="E8701" s="2889" t="s">
        <v>217</v>
      </c>
      <c r="F8701" s="3039">
        <v>0.15173744014584001</v>
      </c>
      <c r="G8701" s="2890">
        <v>89.418835406650558</v>
      </c>
    </row>
    <row r="8702" spans="2:7" ht="15" hidden="1" outlineLevel="2">
      <c r="B8702" s="2889" t="s">
        <v>1638</v>
      </c>
      <c r="C8702" s="2889" t="s">
        <v>1563</v>
      </c>
      <c r="D8702" s="2889" t="s">
        <v>1559</v>
      </c>
      <c r="E8702" s="2889" t="s">
        <v>217</v>
      </c>
      <c r="F8702" s="3039">
        <v>4.7977879290904801E-2</v>
      </c>
      <c r="G8702" s="2890">
        <v>28.276715208600169</v>
      </c>
    </row>
    <row r="8703" spans="2:7" ht="15" hidden="1" outlineLevel="2">
      <c r="B8703" s="2889" t="s">
        <v>1639</v>
      </c>
      <c r="C8703" s="2889" t="s">
        <v>1563</v>
      </c>
      <c r="D8703" s="2889" t="s">
        <v>1559</v>
      </c>
      <c r="E8703" s="2889" t="s">
        <v>217</v>
      </c>
      <c r="F8703" s="3039">
        <v>0.25362937591336115</v>
      </c>
      <c r="G8703" s="2890">
        <v>149.46369545743215</v>
      </c>
    </row>
    <row r="8704" spans="2:7" ht="15" hidden="1" outlineLevel="2">
      <c r="B8704" s="2889" t="s">
        <v>1640</v>
      </c>
      <c r="C8704" s="2889" t="s">
        <v>1563</v>
      </c>
      <c r="D8704" s="2889" t="s">
        <v>1559</v>
      </c>
      <c r="E8704" s="2889" t="s">
        <v>217</v>
      </c>
      <c r="F8704" s="3039">
        <v>5.5727905760071986E-2</v>
      </c>
      <c r="G8704" s="2890">
        <v>32.844324334965805</v>
      </c>
    </row>
    <row r="8705" spans="2:7" ht="15" hidden="1" outlineLevel="2">
      <c r="B8705" s="2889" t="s">
        <v>1641</v>
      </c>
      <c r="C8705" s="2889" t="s">
        <v>1563</v>
      </c>
      <c r="D8705" s="2889" t="s">
        <v>1559</v>
      </c>
      <c r="E8705" s="2889" t="s">
        <v>217</v>
      </c>
      <c r="F8705" s="2890">
        <v>0.28222735063658472</v>
      </c>
      <c r="G8705" s="2890">
        <v>166.31656606306547</v>
      </c>
    </row>
    <row r="8706" spans="2:7" ht="15" hidden="1" outlineLevel="2">
      <c r="B8706" s="2889" t="s">
        <v>1642</v>
      </c>
      <c r="C8706" s="2889" t="s">
        <v>1563</v>
      </c>
      <c r="D8706" s="2889" t="s">
        <v>1559</v>
      </c>
      <c r="E8706" s="2889" t="s">
        <v>217</v>
      </c>
      <c r="F8706" s="2890">
        <v>0.3145789983116401</v>
      </c>
      <c r="G8706" s="2890">
        <v>185.38119166082183</v>
      </c>
    </row>
    <row r="8707" spans="2:7" ht="15" hidden="1" outlineLevel="2">
      <c r="B8707" s="2889" t="s">
        <v>1643</v>
      </c>
      <c r="C8707" s="2889" t="s">
        <v>1563</v>
      </c>
      <c r="D8707" s="2889" t="s">
        <v>1559</v>
      </c>
      <c r="E8707" s="2889" t="s">
        <v>217</v>
      </c>
      <c r="F8707" s="3039">
        <v>5.0031172895165704E-2</v>
      </c>
      <c r="G8707" s="2890">
        <v>29.484234203459732</v>
      </c>
    </row>
    <row r="8708" spans="2:7" ht="15" hidden="1" outlineLevel="2">
      <c r="B8708" s="2889" t="s">
        <v>1644</v>
      </c>
      <c r="C8708" s="2889" t="s">
        <v>1563</v>
      </c>
      <c r="D8708" s="2889" t="s">
        <v>1559</v>
      </c>
      <c r="E8708" s="2889" t="s">
        <v>217</v>
      </c>
      <c r="F8708" s="2890">
        <v>1.1234208844732974</v>
      </c>
      <c r="G8708" s="2890">
        <v>662.03188349107904</v>
      </c>
    </row>
    <row r="8709" spans="2:7" ht="15" hidden="1" outlineLevel="2">
      <c r="B8709" s="2889" t="s">
        <v>1645</v>
      </c>
      <c r="C8709" s="2889" t="s">
        <v>1563</v>
      </c>
      <c r="D8709" s="2889" t="s">
        <v>1559</v>
      </c>
      <c r="E8709" s="2889" t="s">
        <v>217</v>
      </c>
      <c r="F8709" s="2890">
        <v>1.0056662383109296</v>
      </c>
      <c r="G8709" s="2890">
        <v>592.63869303085403</v>
      </c>
    </row>
    <row r="8710" spans="2:7" ht="15" hidden="1" outlineLevel="2">
      <c r="B8710" s="2889" t="s">
        <v>1646</v>
      </c>
      <c r="C8710" s="2889" t="s">
        <v>1563</v>
      </c>
      <c r="D8710" s="2889" t="s">
        <v>1559</v>
      </c>
      <c r="E8710" s="2889" t="s">
        <v>217</v>
      </c>
      <c r="F8710" s="2890">
        <v>5.7108290397329495E-2</v>
      </c>
      <c r="G8710" s="2890">
        <v>33.653883732180873</v>
      </c>
    </row>
    <row r="8711" spans="2:7" ht="15" hidden="1" outlineLevel="2">
      <c r="B8711" s="2889" t="s">
        <v>1647</v>
      </c>
      <c r="C8711" s="2889" t="s">
        <v>1563</v>
      </c>
      <c r="D8711" s="2889" t="s">
        <v>1559</v>
      </c>
      <c r="E8711" s="2889" t="s">
        <v>217</v>
      </c>
      <c r="F8711" s="2890">
        <v>0.1166572458994487</v>
      </c>
      <c r="G8711" s="2890">
        <v>68.754231890228894</v>
      </c>
    </row>
    <row r="8712" spans="2:7" ht="15" hidden="1" outlineLevel="2">
      <c r="B8712" s="2889" t="s">
        <v>1648</v>
      </c>
      <c r="C8712" s="2889" t="s">
        <v>1563</v>
      </c>
      <c r="D8712" s="2889" t="s">
        <v>1559</v>
      </c>
      <c r="E8712" s="2889" t="s">
        <v>217</v>
      </c>
      <c r="F8712" s="2890">
        <v>3.2728462406434643E-2</v>
      </c>
      <c r="G8712" s="2890">
        <v>19.289164748837958</v>
      </c>
    </row>
    <row r="8713" spans="2:7" ht="15" hidden="1" outlineLevel="2">
      <c r="B8713" s="2889" t="s">
        <v>1649</v>
      </c>
      <c r="C8713" s="2889" t="s">
        <v>1563</v>
      </c>
      <c r="D8713" s="2889" t="s">
        <v>1559</v>
      </c>
      <c r="E8713" s="2889" t="s">
        <v>217</v>
      </c>
      <c r="F8713" s="2890">
        <v>5.5584699544110529E-2</v>
      </c>
      <c r="G8713" s="2890">
        <v>32.759928500607607</v>
      </c>
    </row>
    <row r="8714" spans="2:7" ht="15" hidden="1" outlineLevel="2">
      <c r="B8714" s="2889" t="s">
        <v>1650</v>
      </c>
      <c r="C8714" s="2889" t="s">
        <v>1563</v>
      </c>
      <c r="D8714" s="2889" t="s">
        <v>1559</v>
      </c>
      <c r="E8714" s="2889" t="s">
        <v>217</v>
      </c>
      <c r="F8714" s="2890">
        <v>0.17662631431873171</v>
      </c>
      <c r="G8714" s="2890">
        <v>104.09813107282822</v>
      </c>
    </row>
    <row r="8715" spans="2:7" ht="15" hidden="1" outlineLevel="2">
      <c r="B8715" s="2889" t="s">
        <v>1651</v>
      </c>
      <c r="C8715" s="2889" t="s">
        <v>1563</v>
      </c>
      <c r="D8715" s="2889" t="s">
        <v>1559</v>
      </c>
      <c r="E8715" s="2889" t="s">
        <v>217</v>
      </c>
      <c r="F8715" s="2890">
        <v>0.11591506774051616</v>
      </c>
      <c r="G8715" s="2890">
        <v>68.31685410302228</v>
      </c>
    </row>
    <row r="8716" spans="2:7" ht="15" hidden="1" outlineLevel="2">
      <c r="B8716" s="2889" t="s">
        <v>1652</v>
      </c>
      <c r="C8716" s="2889" t="s">
        <v>1563</v>
      </c>
      <c r="D8716" s="2889" t="s">
        <v>1559</v>
      </c>
      <c r="E8716" s="2889" t="s">
        <v>217</v>
      </c>
      <c r="F8716" s="2890">
        <v>0.15671578781813225</v>
      </c>
      <c r="G8716" s="2890">
        <v>92.363595287757789</v>
      </c>
    </row>
    <row r="8717" spans="2:7" ht="15" hidden="1" outlineLevel="2">
      <c r="B8717" s="2889" t="s">
        <v>1653</v>
      </c>
      <c r="C8717" s="2889" t="s">
        <v>1563</v>
      </c>
      <c r="D8717" s="2889" t="s">
        <v>1559</v>
      </c>
      <c r="E8717" s="2889" t="s">
        <v>217</v>
      </c>
      <c r="F8717" s="2890">
        <v>0.96444406037473485</v>
      </c>
      <c r="G8717" s="2890">
        <v>568.34634115836855</v>
      </c>
    </row>
    <row r="8718" spans="2:7" ht="15" hidden="1" outlineLevel="2">
      <c r="B8718" s="2889" t="s">
        <v>1407</v>
      </c>
      <c r="C8718" s="2889" t="s">
        <v>1564</v>
      </c>
      <c r="D8718" s="2889" t="s">
        <v>1559</v>
      </c>
      <c r="E8718" s="2889" t="s">
        <v>217</v>
      </c>
      <c r="F8718" s="2890">
        <v>6.274423415274169E-2</v>
      </c>
      <c r="G8718" s="2890">
        <v>31.772529458901229</v>
      </c>
    </row>
    <row r="8719" spans="2:7" ht="15" hidden="1" outlineLevel="2">
      <c r="B8719" s="2889" t="s">
        <v>1631</v>
      </c>
      <c r="C8719" s="2889" t="s">
        <v>1564</v>
      </c>
      <c r="D8719" s="2889" t="s">
        <v>1559</v>
      </c>
      <c r="E8719" s="2889" t="s">
        <v>217</v>
      </c>
      <c r="F8719" s="2890">
        <v>3.011111626906247</v>
      </c>
      <c r="G8719" s="2890">
        <v>1522.5390313362384</v>
      </c>
    </row>
    <row r="8720" spans="2:7" ht="15" hidden="1" outlineLevel="2">
      <c r="B8720" s="2889" t="s">
        <v>1632</v>
      </c>
      <c r="C8720" s="2889" t="s">
        <v>1564</v>
      </c>
      <c r="D8720" s="2889" t="s">
        <v>1559</v>
      </c>
      <c r="E8720" s="2889" t="s">
        <v>217</v>
      </c>
      <c r="F8720" s="2890">
        <v>3.6145035107630936</v>
      </c>
      <c r="G8720" s="2890">
        <v>1830.09783824186</v>
      </c>
    </row>
    <row r="8721" spans="2:7" ht="15" hidden="1" outlineLevel="2">
      <c r="B8721" s="2889" t="s">
        <v>1633</v>
      </c>
      <c r="C8721" s="2889" t="s">
        <v>1564</v>
      </c>
      <c r="D8721" s="2889" t="s">
        <v>1559</v>
      </c>
      <c r="E8721" s="2889" t="s">
        <v>217</v>
      </c>
      <c r="F8721" s="2890">
        <v>0.21586615002739545</v>
      </c>
      <c r="G8721" s="2890">
        <v>109.29753235882926</v>
      </c>
    </row>
    <row r="8722" spans="2:7" ht="15" hidden="1" outlineLevel="2">
      <c r="B8722" s="2889" t="s">
        <v>1634</v>
      </c>
      <c r="C8722" s="2889" t="s">
        <v>1564</v>
      </c>
      <c r="D8722" s="2889" t="s">
        <v>1559</v>
      </c>
      <c r="E8722" s="2889" t="s">
        <v>217</v>
      </c>
      <c r="F8722" s="2890">
        <v>6.7763832229460905E-2</v>
      </c>
      <c r="G8722" s="2890">
        <v>34.314335067492415</v>
      </c>
    </row>
    <row r="8723" spans="2:7" ht="15" hidden="1" outlineLevel="2">
      <c r="B8723" s="2889" t="s">
        <v>1635</v>
      </c>
      <c r="C8723" s="2889" t="s">
        <v>1564</v>
      </c>
      <c r="D8723" s="2889" t="s">
        <v>1559</v>
      </c>
      <c r="E8723" s="2889" t="s">
        <v>217</v>
      </c>
      <c r="F8723" s="2890">
        <v>1.1395727971343332</v>
      </c>
      <c r="G8723" s="2890">
        <v>576.98861548392199</v>
      </c>
    </row>
    <row r="8724" spans="2:7" ht="15" hidden="1" outlineLevel="2">
      <c r="B8724" s="2889" t="s">
        <v>1636</v>
      </c>
      <c r="C8724" s="2889" t="s">
        <v>1564</v>
      </c>
      <c r="D8724" s="2889" t="s">
        <v>1559</v>
      </c>
      <c r="E8724" s="2889" t="s">
        <v>217</v>
      </c>
      <c r="F8724" s="2890">
        <v>0.14809426589085195</v>
      </c>
      <c r="G8724" s="2890">
        <v>74.983179006339142</v>
      </c>
    </row>
    <row r="8725" spans="2:7" ht="15" hidden="1" outlineLevel="2">
      <c r="B8725" s="2889" t="s">
        <v>1637</v>
      </c>
      <c r="C8725" s="2889" t="s">
        <v>1564</v>
      </c>
      <c r="D8725" s="2889" t="s">
        <v>1559</v>
      </c>
      <c r="E8725" s="2889" t="s">
        <v>217</v>
      </c>
      <c r="F8725" s="2890">
        <v>0.3112488984792432</v>
      </c>
      <c r="G8725" s="2890">
        <v>157.59169837484561</v>
      </c>
    </row>
    <row r="8726" spans="2:7" ht="15" hidden="1" outlineLevel="2">
      <c r="B8726" s="2889" t="s">
        <v>1638</v>
      </c>
      <c r="C8726" s="2889" t="s">
        <v>1564</v>
      </c>
      <c r="D8726" s="2889" t="s">
        <v>1559</v>
      </c>
      <c r="E8726" s="2889" t="s">
        <v>217</v>
      </c>
      <c r="F8726" s="2890">
        <v>0.40156348182353258</v>
      </c>
      <c r="G8726" s="2890">
        <v>203.3441980538646</v>
      </c>
    </row>
    <row r="8727" spans="2:7" ht="15" hidden="1" outlineLevel="2">
      <c r="B8727" s="2889" t="s">
        <v>1639</v>
      </c>
      <c r="C8727" s="2889" t="s">
        <v>1564</v>
      </c>
      <c r="D8727" s="2889" t="s">
        <v>1559</v>
      </c>
      <c r="E8727" s="2889" t="s">
        <v>217</v>
      </c>
      <c r="F8727" s="2890">
        <v>1.8925941612634065</v>
      </c>
      <c r="G8727" s="2890">
        <v>958.25978614907149</v>
      </c>
    </row>
    <row r="8728" spans="2:7" ht="15" hidden="1" outlineLevel="2">
      <c r="B8728" s="2889" t="s">
        <v>1640</v>
      </c>
      <c r="C8728" s="2889" t="s">
        <v>1564</v>
      </c>
      <c r="D8728" s="2889" t="s">
        <v>1559</v>
      </c>
      <c r="E8728" s="2889" t="s">
        <v>217</v>
      </c>
      <c r="F8728" s="3039">
        <v>0.40407305556923873</v>
      </c>
      <c r="G8728" s="2890">
        <v>204.61511726444061</v>
      </c>
    </row>
    <row r="8729" spans="2:7" ht="15" hidden="1" outlineLevel="2">
      <c r="B8729" s="2889" t="s">
        <v>1641</v>
      </c>
      <c r="C8729" s="2889" t="s">
        <v>1564</v>
      </c>
      <c r="D8729" s="2889" t="s">
        <v>1559</v>
      </c>
      <c r="E8729" s="2889" t="s">
        <v>217</v>
      </c>
      <c r="F8729" s="3039">
        <v>0.83083387869847658</v>
      </c>
      <c r="G8729" s="2890">
        <v>420.66841930600651</v>
      </c>
    </row>
    <row r="8730" spans="2:7" ht="15" hidden="1" outlineLevel="2">
      <c r="B8730" s="2889" t="s">
        <v>1642</v>
      </c>
      <c r="C8730" s="2889" t="s">
        <v>1564</v>
      </c>
      <c r="D8730" s="2889" t="s">
        <v>1559</v>
      </c>
      <c r="E8730" s="2889" t="s">
        <v>217</v>
      </c>
      <c r="F8730" s="3039">
        <v>2.4448097687127293</v>
      </c>
      <c r="G8730" s="2890">
        <v>1237.8578582483194</v>
      </c>
    </row>
    <row r="8731" spans="2:7" ht="15" hidden="1" outlineLevel="2">
      <c r="B8731" s="2889" t="s">
        <v>1643</v>
      </c>
      <c r="C8731" s="2889" t="s">
        <v>1564</v>
      </c>
      <c r="D8731" s="2889" t="s">
        <v>1559</v>
      </c>
      <c r="E8731" s="2889" t="s">
        <v>217</v>
      </c>
      <c r="F8731" s="3039">
        <v>0.23796546170722918</v>
      </c>
      <c r="G8731" s="2890">
        <v>120.49065504300292</v>
      </c>
    </row>
    <row r="8732" spans="2:7" ht="15" hidden="1" outlineLevel="2">
      <c r="B8732" s="2889" t="s">
        <v>1644</v>
      </c>
      <c r="C8732" s="2889" t="s">
        <v>1564</v>
      </c>
      <c r="D8732" s="2889" t="s">
        <v>1559</v>
      </c>
      <c r="E8732" s="2889" t="s">
        <v>217</v>
      </c>
      <c r="F8732" s="3039">
        <v>7.4749929779883839</v>
      </c>
      <c r="G8732" s="2890">
        <v>3784.7428901301801</v>
      </c>
    </row>
    <row r="8733" spans="2:7" ht="15" hidden="1" outlineLevel="2">
      <c r="B8733" s="2889" t="s">
        <v>1645</v>
      </c>
      <c r="C8733" s="2889" t="s">
        <v>1564</v>
      </c>
      <c r="D8733" s="2889" t="s">
        <v>1559</v>
      </c>
      <c r="E8733" s="2889" t="s">
        <v>217</v>
      </c>
      <c r="F8733" s="3039">
        <v>3.6521520129274716</v>
      </c>
      <c r="G8733" s="2890">
        <v>1849.1615913088087</v>
      </c>
    </row>
    <row r="8734" spans="2:7" ht="15" hidden="1" outlineLevel="2">
      <c r="B8734" s="2889" t="s">
        <v>1646</v>
      </c>
      <c r="C8734" s="2889" t="s">
        <v>1564</v>
      </c>
      <c r="D8734" s="2889" t="s">
        <v>1559</v>
      </c>
      <c r="E8734" s="2889" t="s">
        <v>217</v>
      </c>
      <c r="F8734" s="2890">
        <v>0.23845677528658513</v>
      </c>
      <c r="G8734" s="2890">
        <v>120.73558897304059</v>
      </c>
    </row>
    <row r="8735" spans="2:7" ht="15" hidden="1" outlineLevel="2">
      <c r="B8735" s="2889" t="s">
        <v>1647</v>
      </c>
      <c r="C8735" s="2889" t="s">
        <v>1564</v>
      </c>
      <c r="D8735" s="2889" t="s">
        <v>1559</v>
      </c>
      <c r="E8735" s="2889" t="s">
        <v>217</v>
      </c>
      <c r="F8735" s="2890">
        <v>0.18321330200027308</v>
      </c>
      <c r="G8735" s="2890">
        <v>92.775815335775306</v>
      </c>
    </row>
    <row r="8736" spans="2:7" ht="15" hidden="1" outlineLevel="2">
      <c r="B8736" s="2889" t="s">
        <v>1648</v>
      </c>
      <c r="C8736" s="2889" t="s">
        <v>1564</v>
      </c>
      <c r="D8736" s="2889" t="s">
        <v>1559</v>
      </c>
      <c r="E8736" s="2889" t="s">
        <v>217</v>
      </c>
      <c r="F8736" s="2890">
        <v>0.40407305556923873</v>
      </c>
      <c r="G8736" s="2890">
        <v>204.61511726444061</v>
      </c>
    </row>
    <row r="8737" spans="2:7" ht="15" hidden="1" outlineLevel="2">
      <c r="B8737" s="2889" t="s">
        <v>1649</v>
      </c>
      <c r="C8737" s="2889" t="s">
        <v>1564</v>
      </c>
      <c r="D8737" s="2889" t="s">
        <v>1559</v>
      </c>
      <c r="E8737" s="2889" t="s">
        <v>217</v>
      </c>
      <c r="F8737" s="2890">
        <v>0.39654386215713749</v>
      </c>
      <c r="G8737" s="2890">
        <v>200.80243002769316</v>
      </c>
    </row>
    <row r="8738" spans="2:7" ht="15" hidden="1" outlineLevel="2">
      <c r="B8738" s="2889" t="s">
        <v>1650</v>
      </c>
      <c r="C8738" s="2889" t="s">
        <v>1564</v>
      </c>
      <c r="D8738" s="2889" t="s">
        <v>1559</v>
      </c>
      <c r="E8738" s="2889" t="s">
        <v>217</v>
      </c>
      <c r="F8738" s="2890">
        <v>0.56720814482890192</v>
      </c>
      <c r="G8738" s="2890">
        <v>287.22356114839448</v>
      </c>
    </row>
    <row r="8739" spans="2:7" ht="15" hidden="1" outlineLevel="2">
      <c r="B8739" s="2889" t="s">
        <v>1651</v>
      </c>
      <c r="C8739" s="2889" t="s">
        <v>1564</v>
      </c>
      <c r="D8739" s="2889" t="s">
        <v>1559</v>
      </c>
      <c r="E8739" s="2889" t="s">
        <v>217</v>
      </c>
      <c r="F8739" s="2890">
        <v>0.25599655754754702</v>
      </c>
      <c r="G8739" s="2890">
        <v>129.63190358786494</v>
      </c>
    </row>
    <row r="8740" spans="2:7" ht="15" hidden="1" outlineLevel="2">
      <c r="B8740" s="2889" t="s">
        <v>1652</v>
      </c>
      <c r="C8740" s="2889" t="s">
        <v>1564</v>
      </c>
      <c r="D8740" s="2889" t="s">
        <v>1559</v>
      </c>
      <c r="E8740" s="2889" t="s">
        <v>217</v>
      </c>
      <c r="F8740" s="2890">
        <v>0.40407305555667256</v>
      </c>
      <c r="G8740" s="2890">
        <v>204.61511726666242</v>
      </c>
    </row>
    <row r="8741" spans="2:7" ht="15" hidden="1" outlineLevel="2">
      <c r="B8741" s="2889" t="s">
        <v>1653</v>
      </c>
      <c r="C8741" s="2889" t="s">
        <v>1564</v>
      </c>
      <c r="D8741" s="2889" t="s">
        <v>1559</v>
      </c>
      <c r="E8741" s="2889" t="s">
        <v>217</v>
      </c>
      <c r="F8741" s="2890">
        <v>0.45432280485815424</v>
      </c>
      <c r="G8741" s="2890">
        <v>230.03310488764376</v>
      </c>
    </row>
    <row r="8742" spans="2:7" ht="15" hidden="1" outlineLevel="2">
      <c r="B8742" s="2889" t="s">
        <v>1407</v>
      </c>
      <c r="C8742" s="2889" t="s">
        <v>1565</v>
      </c>
      <c r="D8742" s="2889" t="s">
        <v>1559</v>
      </c>
      <c r="E8742" s="2889" t="s">
        <v>217</v>
      </c>
      <c r="F8742" s="2890">
        <v>7.4931532246820309E-2</v>
      </c>
      <c r="G8742" s="2890">
        <v>40.323839803129083</v>
      </c>
    </row>
    <row r="8743" spans="2:7" ht="15" hidden="1" outlineLevel="2">
      <c r="B8743" s="2889" t="s">
        <v>1631</v>
      </c>
      <c r="C8743" s="2889" t="s">
        <v>1565</v>
      </c>
      <c r="D8743" s="2889" t="s">
        <v>1559</v>
      </c>
      <c r="E8743" s="2889" t="s">
        <v>217</v>
      </c>
      <c r="F8743" s="2890">
        <v>0.44214824707057743</v>
      </c>
      <c r="G8743" s="2890">
        <v>237.59108192634793</v>
      </c>
    </row>
    <row r="8744" spans="2:7" ht="15" hidden="1" outlineLevel="2">
      <c r="B8744" s="2889" t="s">
        <v>1632</v>
      </c>
      <c r="C8744" s="2889" t="s">
        <v>1565</v>
      </c>
      <c r="D8744" s="2889" t="s">
        <v>1559</v>
      </c>
      <c r="E8744" s="2889" t="s">
        <v>217</v>
      </c>
      <c r="F8744" s="2890">
        <v>0.73160744738203065</v>
      </c>
      <c r="G8744" s="2890">
        <v>393.66259090017599</v>
      </c>
    </row>
    <row r="8745" spans="2:7" ht="15" hidden="1" outlineLevel="2">
      <c r="B8745" s="2889" t="s">
        <v>1633</v>
      </c>
      <c r="C8745" s="2889" t="s">
        <v>1565</v>
      </c>
      <c r="D8745" s="2889" t="s">
        <v>1559</v>
      </c>
      <c r="E8745" s="2889" t="s">
        <v>217</v>
      </c>
      <c r="F8745" s="2890">
        <v>6.7526689351383867E-2</v>
      </c>
      <c r="G8745" s="2890">
        <v>36.334687950946616</v>
      </c>
    </row>
    <row r="8746" spans="2:7" ht="15" hidden="1" outlineLevel="2">
      <c r="B8746" s="2889" t="s">
        <v>1634</v>
      </c>
      <c r="C8746" s="2889" t="s">
        <v>1565</v>
      </c>
      <c r="D8746" s="2889" t="s">
        <v>1559</v>
      </c>
      <c r="E8746" s="2889" t="s">
        <v>217</v>
      </c>
      <c r="F8746" s="2890">
        <v>2.8141755968393453E-2</v>
      </c>
      <c r="G8746" s="2890">
        <v>15.144293798613969</v>
      </c>
    </row>
    <row r="8747" spans="2:7" ht="15" hidden="1" outlineLevel="2">
      <c r="B8747" s="2889" t="s">
        <v>1635</v>
      </c>
      <c r="C8747" s="2889" t="s">
        <v>1565</v>
      </c>
      <c r="D8747" s="2889" t="s">
        <v>1559</v>
      </c>
      <c r="E8747" s="2889" t="s">
        <v>217</v>
      </c>
      <c r="F8747" s="2890">
        <v>0.1304527567900986</v>
      </c>
      <c r="G8747" s="2890">
        <v>70.193870966780977</v>
      </c>
    </row>
    <row r="8748" spans="2:7" ht="15" hidden="1" outlineLevel="2">
      <c r="B8748" s="2889" t="s">
        <v>1636</v>
      </c>
      <c r="C8748" s="2889" t="s">
        <v>1565</v>
      </c>
      <c r="D8748" s="2889" t="s">
        <v>1559</v>
      </c>
      <c r="E8748" s="2889" t="s">
        <v>217</v>
      </c>
      <c r="F8748" s="2890">
        <v>8.2771768823201822E-2</v>
      </c>
      <c r="G8748" s="2890">
        <v>44.537775668977609</v>
      </c>
    </row>
    <row r="8749" spans="2:7" ht="15" hidden="1" outlineLevel="2">
      <c r="B8749" s="2889" t="s">
        <v>1637</v>
      </c>
      <c r="C8749" s="2889" t="s">
        <v>1565</v>
      </c>
      <c r="D8749" s="2889" t="s">
        <v>1559</v>
      </c>
      <c r="E8749" s="2889" t="s">
        <v>217</v>
      </c>
      <c r="F8749" s="2890">
        <v>0.1069541625967861</v>
      </c>
      <c r="G8749" s="2890">
        <v>57.549801655713274</v>
      </c>
    </row>
    <row r="8750" spans="2:7" ht="15" hidden="1" outlineLevel="2">
      <c r="B8750" s="2889" t="s">
        <v>1638</v>
      </c>
      <c r="C8750" s="2889" t="s">
        <v>1565</v>
      </c>
      <c r="D8750" s="2889" t="s">
        <v>1559</v>
      </c>
      <c r="E8750" s="2889" t="s">
        <v>217</v>
      </c>
      <c r="F8750" s="2890">
        <v>3.3817845280865538E-2</v>
      </c>
      <c r="G8750" s="2890">
        <v>18.198832612451138</v>
      </c>
    </row>
    <row r="8751" spans="2:7" ht="15" hidden="1" outlineLevel="2">
      <c r="B8751" s="2889" t="s">
        <v>1639</v>
      </c>
      <c r="C8751" s="2889" t="s">
        <v>1565</v>
      </c>
      <c r="D8751" s="2889" t="s">
        <v>1559</v>
      </c>
      <c r="E8751" s="2889" t="s">
        <v>217</v>
      </c>
      <c r="F8751" s="2890">
        <v>0.17877393350564746</v>
      </c>
      <c r="G8751" s="2890">
        <v>96.194494516443513</v>
      </c>
    </row>
    <row r="8752" spans="2:7" ht="15" hidden="1" outlineLevel="2">
      <c r="B8752" s="2889" t="s">
        <v>1640</v>
      </c>
      <c r="C8752" s="2889" t="s">
        <v>1565</v>
      </c>
      <c r="D8752" s="2889" t="s">
        <v>1559</v>
      </c>
      <c r="E8752" s="2889" t="s">
        <v>217</v>
      </c>
      <c r="F8752" s="2890">
        <v>3.9280523714084803E-2</v>
      </c>
      <c r="G8752" s="2890">
        <v>21.13854605479051</v>
      </c>
    </row>
    <row r="8753" spans="2:7" ht="15" hidden="1" outlineLevel="2">
      <c r="B8753" s="2889" t="s">
        <v>1641</v>
      </c>
      <c r="C8753" s="2889" t="s">
        <v>1565</v>
      </c>
      <c r="D8753" s="2889" t="s">
        <v>1559</v>
      </c>
      <c r="E8753" s="2889" t="s">
        <v>217</v>
      </c>
      <c r="F8753" s="2890">
        <v>0.19893173516141682</v>
      </c>
      <c r="G8753" s="2890">
        <v>107.04097688539052</v>
      </c>
    </row>
    <row r="8754" spans="2:7" ht="15" hidden="1" outlineLevel="2">
      <c r="B8754" s="2889" t="s">
        <v>1642</v>
      </c>
      <c r="C8754" s="2889" t="s">
        <v>1565</v>
      </c>
      <c r="D8754" s="2889" t="s">
        <v>1559</v>
      </c>
      <c r="E8754" s="2889" t="s">
        <v>217</v>
      </c>
      <c r="F8754" s="2890">
        <v>0.22173499323588475</v>
      </c>
      <c r="G8754" s="2890">
        <v>119.31100899286926</v>
      </c>
    </row>
    <row r="8755" spans="2:7" ht="15" hidden="1" outlineLevel="2">
      <c r="B8755" s="2889" t="s">
        <v>1643</v>
      </c>
      <c r="C8755" s="2889" t="s">
        <v>1565</v>
      </c>
      <c r="D8755" s="2889" t="s">
        <v>1559</v>
      </c>
      <c r="E8755" s="2889" t="s">
        <v>217</v>
      </c>
      <c r="F8755" s="2890">
        <v>3.5265107981360788E-2</v>
      </c>
      <c r="G8755" s="2890">
        <v>18.97599368187446</v>
      </c>
    </row>
    <row r="8756" spans="2:7" ht="15" hidden="1" outlineLevel="2">
      <c r="B8756" s="2889" t="s">
        <v>1644</v>
      </c>
      <c r="C8756" s="2889" t="s">
        <v>1565</v>
      </c>
      <c r="D8756" s="2889" t="s">
        <v>1559</v>
      </c>
      <c r="E8756" s="2889" t="s">
        <v>217</v>
      </c>
      <c r="F8756" s="2890">
        <v>0.79185771868745247</v>
      </c>
      <c r="G8756" s="2890">
        <v>426.08232660224161</v>
      </c>
    </row>
    <row r="8757" spans="2:7" ht="15" hidden="1" outlineLevel="2">
      <c r="B8757" s="2889" t="s">
        <v>1645</v>
      </c>
      <c r="C8757" s="2889" t="s">
        <v>1565</v>
      </c>
      <c r="D8757" s="2889" t="s">
        <v>1559</v>
      </c>
      <c r="E8757" s="2889" t="s">
        <v>217</v>
      </c>
      <c r="F8757" s="2890">
        <v>0.70885670416222013</v>
      </c>
      <c r="G8757" s="2890">
        <v>381.42120793259079</v>
      </c>
    </row>
    <row r="8758" spans="2:7" ht="15" hidden="1" outlineLevel="2">
      <c r="B8758" s="2889" t="s">
        <v>1646</v>
      </c>
      <c r="C8758" s="2889" t="s">
        <v>1565</v>
      </c>
      <c r="D8758" s="2889" t="s">
        <v>1559</v>
      </c>
      <c r="E8758" s="2889" t="s">
        <v>217</v>
      </c>
      <c r="F8758" s="2890">
        <v>4.025349446983028E-2</v>
      </c>
      <c r="G8758" s="2890">
        <v>21.659575923813698</v>
      </c>
    </row>
    <row r="8759" spans="2:7" ht="15" hidden="1" outlineLevel="2">
      <c r="B8759" s="2889" t="s">
        <v>1647</v>
      </c>
      <c r="C8759" s="2889" t="s">
        <v>1565</v>
      </c>
      <c r="D8759" s="2889" t="s">
        <v>1559</v>
      </c>
      <c r="E8759" s="2889" t="s">
        <v>217</v>
      </c>
      <c r="F8759" s="2890">
        <v>8.2227388994341233E-2</v>
      </c>
      <c r="G8759" s="2890">
        <v>44.250086028411005</v>
      </c>
    </row>
    <row r="8760" spans="2:7" ht="15" hidden="1" outlineLevel="2">
      <c r="B8760" s="2889" t="s">
        <v>1648</v>
      </c>
      <c r="C8760" s="2889" t="s">
        <v>1565</v>
      </c>
      <c r="D8760" s="2889" t="s">
        <v>1559</v>
      </c>
      <c r="E8760" s="2889" t="s">
        <v>217</v>
      </c>
      <c r="F8760" s="2890">
        <v>2.3069082600463389E-2</v>
      </c>
      <c r="G8760" s="2890">
        <v>12.414461766056258</v>
      </c>
    </row>
    <row r="8761" spans="2:7" ht="15" hidden="1" outlineLevel="2">
      <c r="B8761" s="2889" t="s">
        <v>1649</v>
      </c>
      <c r="C8761" s="2889" t="s">
        <v>1565</v>
      </c>
      <c r="D8761" s="2889" t="s">
        <v>1559</v>
      </c>
      <c r="E8761" s="2889" t="s">
        <v>217</v>
      </c>
      <c r="F8761" s="2890">
        <v>3.9179571351829319E-2</v>
      </c>
      <c r="G8761" s="2890">
        <v>21.084223208862834</v>
      </c>
    </row>
    <row r="8762" spans="2:7" ht="15" hidden="1" outlineLevel="2">
      <c r="B8762" s="2889" t="s">
        <v>1650</v>
      </c>
      <c r="C8762" s="2889" t="s">
        <v>1565</v>
      </c>
      <c r="D8762" s="2889" t="s">
        <v>1559</v>
      </c>
      <c r="E8762" s="2889" t="s">
        <v>217</v>
      </c>
      <c r="F8762" s="2890">
        <v>0.12449732322631317</v>
      </c>
      <c r="G8762" s="2890">
        <v>66.997349014560001</v>
      </c>
    </row>
    <row r="8763" spans="2:7" ht="15" hidden="1" outlineLevel="2">
      <c r="B8763" s="2889" t="s">
        <v>1651</v>
      </c>
      <c r="C8763" s="2889" t="s">
        <v>1565</v>
      </c>
      <c r="D8763" s="2889" t="s">
        <v>1559</v>
      </c>
      <c r="E8763" s="2889" t="s">
        <v>217</v>
      </c>
      <c r="F8763" s="2890">
        <v>8.170427418343168E-2</v>
      </c>
      <c r="G8763" s="2890">
        <v>43.968601191284357</v>
      </c>
    </row>
    <row r="8764" spans="2:7" ht="15" hidden="1" outlineLevel="2">
      <c r="B8764" s="2889" t="s">
        <v>1652</v>
      </c>
      <c r="C8764" s="2889" t="s">
        <v>1565</v>
      </c>
      <c r="D8764" s="2889" t="s">
        <v>1559</v>
      </c>
      <c r="E8764" s="2889" t="s">
        <v>217</v>
      </c>
      <c r="F8764" s="2890">
        <v>0.11046318719649088</v>
      </c>
      <c r="G8764" s="2890">
        <v>59.444958678803808</v>
      </c>
    </row>
    <row r="8765" spans="2:7" ht="15" hidden="1" outlineLevel="2">
      <c r="B8765" s="2889" t="s">
        <v>1653</v>
      </c>
      <c r="C8765" s="2889" t="s">
        <v>1565</v>
      </c>
      <c r="D8765" s="2889" t="s">
        <v>1559</v>
      </c>
      <c r="E8765" s="2889" t="s">
        <v>217</v>
      </c>
      <c r="F8765" s="2890">
        <v>0.67980107359838038</v>
      </c>
      <c r="G8765" s="2890">
        <v>365.78648457262403</v>
      </c>
    </row>
    <row r="8766" spans="2:7" ht="15" hidden="1" outlineLevel="2">
      <c r="B8766" s="2889" t="s">
        <v>1407</v>
      </c>
      <c r="C8766" s="2889" t="s">
        <v>1566</v>
      </c>
      <c r="D8766" s="2889" t="s">
        <v>1559</v>
      </c>
      <c r="E8766" s="2889" t="s">
        <v>217</v>
      </c>
      <c r="F8766" s="2890">
        <v>5.5378745732760866E-2</v>
      </c>
      <c r="G8766" s="2890">
        <v>29.667979638745773</v>
      </c>
    </row>
    <row r="8767" spans="2:7" ht="15" hidden="1" outlineLevel="2">
      <c r="B8767" s="2889" t="s">
        <v>1631</v>
      </c>
      <c r="C8767" s="2889" t="s">
        <v>1566</v>
      </c>
      <c r="D8767" s="2889" t="s">
        <v>1559</v>
      </c>
      <c r="E8767" s="2889" t="s">
        <v>217</v>
      </c>
      <c r="F8767" s="2890">
        <v>2.6576377534383653</v>
      </c>
      <c r="G8767" s="2890">
        <v>1421.6890469635975</v>
      </c>
    </row>
    <row r="8768" spans="2:7" ht="15" hidden="1" outlineLevel="2">
      <c r="B8768" s="2889" t="s">
        <v>1632</v>
      </c>
      <c r="C8768" s="2889" t="s">
        <v>1566</v>
      </c>
      <c r="D8768" s="2889" t="s">
        <v>1559</v>
      </c>
      <c r="E8768" s="2889" t="s">
        <v>217</v>
      </c>
      <c r="F8768" s="2890">
        <v>3.1901987332675223</v>
      </c>
      <c r="G8768" s="2890">
        <v>1708.8762696834744</v>
      </c>
    </row>
    <row r="8769" spans="2:7" ht="15" hidden="1" outlineLevel="2">
      <c r="B8769" s="2889" t="s">
        <v>1633</v>
      </c>
      <c r="C8769" s="2889" t="s">
        <v>1566</v>
      </c>
      <c r="D8769" s="2889" t="s">
        <v>1559</v>
      </c>
      <c r="E8769" s="2889" t="s">
        <v>217</v>
      </c>
      <c r="F8769" s="2890">
        <v>0.19052566008056318</v>
      </c>
      <c r="G8769" s="2890">
        <v>102.05782172114117</v>
      </c>
    </row>
    <row r="8770" spans="2:7" ht="15" hidden="1" outlineLevel="2">
      <c r="B8770" s="2889" t="s">
        <v>1634</v>
      </c>
      <c r="C8770" s="2889" t="s">
        <v>1566</v>
      </c>
      <c r="D8770" s="2889" t="s">
        <v>1559</v>
      </c>
      <c r="E8770" s="2889" t="s">
        <v>217</v>
      </c>
      <c r="F8770" s="2890">
        <v>5.9809038606353858E-2</v>
      </c>
      <c r="G8770" s="2890">
        <v>32.041402570077771</v>
      </c>
    </row>
    <row r="8771" spans="2:7" ht="15" hidden="1" outlineLevel="2">
      <c r="B8771" s="2889" t="s">
        <v>1635</v>
      </c>
      <c r="C8771" s="2889" t="s">
        <v>1566</v>
      </c>
      <c r="D8771" s="2889" t="s">
        <v>1559</v>
      </c>
      <c r="E8771" s="2889" t="s">
        <v>217</v>
      </c>
      <c r="F8771" s="2890">
        <v>1.0057988513757505</v>
      </c>
      <c r="G8771" s="2890">
        <v>538.77037371702261</v>
      </c>
    </row>
    <row r="8772" spans="2:7" ht="15" hidden="1" outlineLevel="2">
      <c r="B8772" s="2889" t="s">
        <v>1636</v>
      </c>
      <c r="C8772" s="2889" t="s">
        <v>1566</v>
      </c>
      <c r="D8772" s="2889" t="s">
        <v>1559</v>
      </c>
      <c r="E8772" s="2889" t="s">
        <v>217</v>
      </c>
      <c r="F8772" s="2890">
        <v>0.13070948389985065</v>
      </c>
      <c r="G8772" s="2890">
        <v>70.016445793809979</v>
      </c>
    </row>
    <row r="8773" spans="2:7" ht="15" hidden="1" outlineLevel="2">
      <c r="B8773" s="2889" t="s">
        <v>1637</v>
      </c>
      <c r="C8773" s="2889" t="s">
        <v>1566</v>
      </c>
      <c r="D8773" s="2889" t="s">
        <v>1559</v>
      </c>
      <c r="E8773" s="2889" t="s">
        <v>217</v>
      </c>
      <c r="F8773" s="2890">
        <v>0.27471140523035309</v>
      </c>
      <c r="G8773" s="2890">
        <v>147.15320898713574</v>
      </c>
    </row>
    <row r="8774" spans="2:7" ht="15" hidden="1" outlineLevel="2">
      <c r="B8774" s="2889" t="s">
        <v>1638</v>
      </c>
      <c r="C8774" s="2889" t="s">
        <v>1566</v>
      </c>
      <c r="D8774" s="2889" t="s">
        <v>1559</v>
      </c>
      <c r="E8774" s="2889" t="s">
        <v>217</v>
      </c>
      <c r="F8774" s="3039">
        <v>0.35442395053111242</v>
      </c>
      <c r="G8774" s="2890">
        <v>189.87493253649592</v>
      </c>
    </row>
    <row r="8775" spans="2:7" ht="15" hidden="1" outlineLevel="2">
      <c r="B8775" s="2889" t="s">
        <v>1639</v>
      </c>
      <c r="C8775" s="2889" t="s">
        <v>1566</v>
      </c>
      <c r="D8775" s="2889" t="s">
        <v>1559</v>
      </c>
      <c r="E8775" s="2889" t="s">
        <v>217</v>
      </c>
      <c r="F8775" s="3039">
        <v>1.6704233816576537</v>
      </c>
      <c r="G8775" s="2890">
        <v>894.78594013127713</v>
      </c>
    </row>
    <row r="8776" spans="2:7" ht="15" hidden="1" outlineLevel="2">
      <c r="B8776" s="2889" t="s">
        <v>1640</v>
      </c>
      <c r="C8776" s="2889" t="s">
        <v>1566</v>
      </c>
      <c r="D8776" s="2889" t="s">
        <v>1559</v>
      </c>
      <c r="E8776" s="2889" t="s">
        <v>217</v>
      </c>
      <c r="F8776" s="3039">
        <v>0.35663897917856452</v>
      </c>
      <c r="G8776" s="2890">
        <v>191.06180248909658</v>
      </c>
    </row>
    <row r="8777" spans="2:7" ht="15" hidden="1" outlineLevel="2">
      <c r="B8777" s="2889" t="s">
        <v>1641</v>
      </c>
      <c r="C8777" s="2889" t="s">
        <v>1566</v>
      </c>
      <c r="D8777" s="2889" t="s">
        <v>1559</v>
      </c>
      <c r="E8777" s="2889" t="s">
        <v>217</v>
      </c>
      <c r="F8777" s="3039">
        <v>0.7333021530320657</v>
      </c>
      <c r="G8777" s="2890">
        <v>392.80398754151156</v>
      </c>
    </row>
    <row r="8778" spans="2:7" ht="15" hidden="1" outlineLevel="2">
      <c r="B8778" s="2889" t="s">
        <v>1642</v>
      </c>
      <c r="C8778" s="2889" t="s">
        <v>1566</v>
      </c>
      <c r="D8778" s="2889" t="s">
        <v>1559</v>
      </c>
      <c r="E8778" s="2889" t="s">
        <v>217</v>
      </c>
      <c r="F8778" s="3039">
        <v>2.1578148016677074</v>
      </c>
      <c r="G8778" s="2890">
        <v>1155.8635971056042</v>
      </c>
    </row>
    <row r="8779" spans="2:7" ht="15" hidden="1" outlineLevel="2">
      <c r="B8779" s="2889" t="s">
        <v>1643</v>
      </c>
      <c r="C8779" s="2889" t="s">
        <v>1566</v>
      </c>
      <c r="D8779" s="2889" t="s">
        <v>1559</v>
      </c>
      <c r="E8779" s="2889" t="s">
        <v>217</v>
      </c>
      <c r="F8779" s="3039">
        <v>0.21003069726523713</v>
      </c>
      <c r="G8779" s="2890">
        <v>112.50945288311824</v>
      </c>
    </row>
    <row r="8780" spans="2:7" ht="15" hidden="1" outlineLevel="2">
      <c r="B8780" s="2889" t="s">
        <v>1644</v>
      </c>
      <c r="C8780" s="2889" t="s">
        <v>1566</v>
      </c>
      <c r="D8780" s="2889" t="s">
        <v>1559</v>
      </c>
      <c r="E8780" s="2889" t="s">
        <v>217</v>
      </c>
      <c r="F8780" s="3039">
        <v>6.5975082230540725</v>
      </c>
      <c r="G8780" s="2890">
        <v>3534.0494739974606</v>
      </c>
    </row>
    <row r="8781" spans="2:7" ht="15" hidden="1" outlineLevel="2">
      <c r="B8781" s="2889" t="s">
        <v>1645</v>
      </c>
      <c r="C8781" s="2889" t="s">
        <v>1566</v>
      </c>
      <c r="D8781" s="2889" t="s">
        <v>1559</v>
      </c>
      <c r="E8781" s="2889" t="s">
        <v>217</v>
      </c>
      <c r="F8781" s="3039">
        <v>3.2234286115465851</v>
      </c>
      <c r="G8781" s="2890">
        <v>1726.6762498268934</v>
      </c>
    </row>
    <row r="8782" spans="2:7" ht="15" hidden="1" outlineLevel="2">
      <c r="B8782" s="2889" t="s">
        <v>1646</v>
      </c>
      <c r="C8782" s="2889" t="s">
        <v>1566</v>
      </c>
      <c r="D8782" s="2889" t="s">
        <v>1559</v>
      </c>
      <c r="E8782" s="2889" t="s">
        <v>217</v>
      </c>
      <c r="F8782" s="3039">
        <v>0.21046445845364589</v>
      </c>
      <c r="G8782" s="2890">
        <v>112.73842024248974</v>
      </c>
    </row>
    <row r="8783" spans="2:7" ht="15" hidden="1" outlineLevel="2">
      <c r="B8783" s="2889" t="s">
        <v>1647</v>
      </c>
      <c r="C8783" s="2889" t="s">
        <v>1566</v>
      </c>
      <c r="D8783" s="2889" t="s">
        <v>1559</v>
      </c>
      <c r="E8783" s="2889" t="s">
        <v>217</v>
      </c>
      <c r="F8783" s="3039">
        <v>0.16170589971301674</v>
      </c>
      <c r="G8783" s="2890">
        <v>86.630559596121202</v>
      </c>
    </row>
    <row r="8784" spans="2:7" ht="15" hidden="1" outlineLevel="2">
      <c r="B8784" s="2889" t="s">
        <v>1648</v>
      </c>
      <c r="C8784" s="2889" t="s">
        <v>1566</v>
      </c>
      <c r="D8784" s="2889" t="s">
        <v>1559</v>
      </c>
      <c r="E8784" s="2889" t="s">
        <v>217</v>
      </c>
      <c r="F8784" s="3039">
        <v>0.35663897917856452</v>
      </c>
      <c r="G8784" s="2890">
        <v>191.06180248909658</v>
      </c>
    </row>
    <row r="8785" spans="2:7" ht="15" hidden="1" outlineLevel="2">
      <c r="B8785" s="2889" t="s">
        <v>1649</v>
      </c>
      <c r="C8785" s="2889" t="s">
        <v>1566</v>
      </c>
      <c r="D8785" s="2889" t="s">
        <v>1559</v>
      </c>
      <c r="E8785" s="2889" t="s">
        <v>217</v>
      </c>
      <c r="F8785" s="3039">
        <v>0.34999369796539648</v>
      </c>
      <c r="G8785" s="2890">
        <v>187.50159520050425</v>
      </c>
    </row>
    <row r="8786" spans="2:7" ht="15" hidden="1" outlineLevel="2">
      <c r="B8786" s="2889" t="s">
        <v>1650</v>
      </c>
      <c r="C8786" s="2889" t="s">
        <v>1566</v>
      </c>
      <c r="D8786" s="2889" t="s">
        <v>1559</v>
      </c>
      <c r="E8786" s="2889" t="s">
        <v>217</v>
      </c>
      <c r="F8786" s="3039">
        <v>0.50062389142601016</v>
      </c>
      <c r="G8786" s="2890">
        <v>268.19850488421292</v>
      </c>
    </row>
    <row r="8787" spans="2:7" ht="15" hidden="1" outlineLevel="2">
      <c r="B8787" s="2889" t="s">
        <v>1651</v>
      </c>
      <c r="C8787" s="2889" t="s">
        <v>1566</v>
      </c>
      <c r="D8787" s="2889" t="s">
        <v>1559</v>
      </c>
      <c r="E8787" s="2889" t="s">
        <v>217</v>
      </c>
      <c r="F8787" s="3039">
        <v>0.22594528465569386</v>
      </c>
      <c r="G8787" s="2890">
        <v>121.04534528099919</v>
      </c>
    </row>
    <row r="8788" spans="2:7" ht="15" hidden="1" outlineLevel="2">
      <c r="B8788" s="2889" t="s">
        <v>1652</v>
      </c>
      <c r="C8788" s="2889" t="s">
        <v>1566</v>
      </c>
      <c r="D8788" s="2889" t="s">
        <v>1559</v>
      </c>
      <c r="E8788" s="2889" t="s">
        <v>217</v>
      </c>
      <c r="F8788" s="3039">
        <v>0.3566389792046637</v>
      </c>
      <c r="G8788" s="2890">
        <v>191.06180249424025</v>
      </c>
    </row>
    <row r="8789" spans="2:7" ht="15" hidden="1" outlineLevel="2">
      <c r="B8789" s="2889" t="s">
        <v>1653</v>
      </c>
      <c r="C8789" s="2889" t="s">
        <v>1566</v>
      </c>
      <c r="D8789" s="2889" t="s">
        <v>1559</v>
      </c>
      <c r="E8789" s="2889" t="s">
        <v>217</v>
      </c>
      <c r="F8789" s="3039">
        <v>0.40099018893817173</v>
      </c>
      <c r="G8789" s="2890">
        <v>214.79612426189715</v>
      </c>
    </row>
    <row r="8790" spans="2:7" ht="15" hidden="1" outlineLevel="2">
      <c r="B8790" s="2889" t="s">
        <v>1407</v>
      </c>
      <c r="C8790" s="2889" t="s">
        <v>1567</v>
      </c>
      <c r="D8790" s="2889" t="s">
        <v>1559</v>
      </c>
      <c r="E8790" s="2889" t="s">
        <v>217</v>
      </c>
      <c r="F8790" s="3039">
        <v>0.13049815093121178</v>
      </c>
      <c r="G8790" s="2890">
        <v>19.191831458053741</v>
      </c>
    </row>
    <row r="8791" spans="2:7" ht="15" hidden="1" outlineLevel="2">
      <c r="B8791" s="2889" t="s">
        <v>1631</v>
      </c>
      <c r="C8791" s="2889" t="s">
        <v>1567</v>
      </c>
      <c r="D8791" s="2889" t="s">
        <v>1559</v>
      </c>
      <c r="E8791" s="2889" t="s">
        <v>217</v>
      </c>
      <c r="F8791" s="3039">
        <v>0.7704165333447357</v>
      </c>
      <c r="G8791" s="2890">
        <v>113.07970190747871</v>
      </c>
    </row>
    <row r="8792" spans="2:7" ht="15" hidden="1" outlineLevel="2">
      <c r="B8792" s="2889" t="s">
        <v>1632</v>
      </c>
      <c r="C8792" s="2889" t="s">
        <v>1567</v>
      </c>
      <c r="D8792" s="2889" t="s">
        <v>1559</v>
      </c>
      <c r="E8792" s="2889" t="s">
        <v>217</v>
      </c>
      <c r="F8792" s="3039">
        <v>1.2728762363362254</v>
      </c>
      <c r="G8792" s="2890">
        <v>187.36077369212845</v>
      </c>
    </row>
    <row r="8793" spans="2:7" ht="15" hidden="1" outlineLevel="2">
      <c r="B8793" s="2889" t="s">
        <v>1633</v>
      </c>
      <c r="C8793" s="2889" t="s">
        <v>1567</v>
      </c>
      <c r="D8793" s="2889" t="s">
        <v>1559</v>
      </c>
      <c r="E8793" s="2889" t="s">
        <v>217</v>
      </c>
      <c r="F8793" s="3039">
        <v>0.11748529684641761</v>
      </c>
      <c r="G8793" s="2890">
        <v>17.293218167474112</v>
      </c>
    </row>
    <row r="8794" spans="2:7" ht="15" hidden="1" outlineLevel="2">
      <c r="B8794" s="2889" t="s">
        <v>1634</v>
      </c>
      <c r="C8794" s="2889" t="s">
        <v>1567</v>
      </c>
      <c r="D8794" s="2889" t="s">
        <v>1559</v>
      </c>
      <c r="E8794" s="2889" t="s">
        <v>217</v>
      </c>
      <c r="F8794" s="3039">
        <v>1.7546773625768003E-31</v>
      </c>
      <c r="G8794" s="2890">
        <v>2.5805309712978553E-29</v>
      </c>
    </row>
    <row r="8795" spans="2:7" ht="15" hidden="1" outlineLevel="2">
      <c r="B8795" s="2889" t="s">
        <v>1635</v>
      </c>
      <c r="C8795" s="2889" t="s">
        <v>1567</v>
      </c>
      <c r="D8795" s="2889" t="s">
        <v>1559</v>
      </c>
      <c r="E8795" s="2889" t="s">
        <v>217</v>
      </c>
      <c r="F8795" s="3039">
        <v>0.226966294082597</v>
      </c>
      <c r="G8795" s="2890">
        <v>33.408235837355591</v>
      </c>
    </row>
    <row r="8796" spans="2:7" ht="15" hidden="1" outlineLevel="2">
      <c r="B8796" s="2889" t="s">
        <v>1636</v>
      </c>
      <c r="C8796" s="2889" t="s">
        <v>1567</v>
      </c>
      <c r="D8796" s="2889" t="s">
        <v>1559</v>
      </c>
      <c r="E8796" s="2889" t="s">
        <v>217</v>
      </c>
      <c r="F8796" s="3039">
        <v>0.14400923034185256</v>
      </c>
      <c r="G8796" s="2890">
        <v>21.197394835948202</v>
      </c>
    </row>
    <row r="8797" spans="2:7" ht="15" hidden="1" outlineLevel="2">
      <c r="B8797" s="2889" t="s">
        <v>1637</v>
      </c>
      <c r="C8797" s="2889" t="s">
        <v>1567</v>
      </c>
      <c r="D8797" s="2889" t="s">
        <v>1559</v>
      </c>
      <c r="E8797" s="2889" t="s">
        <v>217</v>
      </c>
      <c r="F8797" s="3039">
        <v>0.18608258845993064</v>
      </c>
      <c r="G8797" s="2890">
        <v>27.390400045116149</v>
      </c>
    </row>
    <row r="8798" spans="2:7" ht="15" hidden="1" outlineLevel="2">
      <c r="B8798" s="2889" t="s">
        <v>1638</v>
      </c>
      <c r="C8798" s="2889" t="s">
        <v>1567</v>
      </c>
      <c r="D8798" s="2889" t="s">
        <v>1559</v>
      </c>
      <c r="E8798" s="2889" t="s">
        <v>217</v>
      </c>
      <c r="F8798" s="3039">
        <v>4.5555325274805243E-32</v>
      </c>
      <c r="G8798" s="2890">
        <v>6.699639315255911E-30</v>
      </c>
    </row>
    <row r="8799" spans="2:7" ht="15" hidden="1" outlineLevel="2">
      <c r="B8799" s="2889" t="s">
        <v>1639</v>
      </c>
      <c r="C8799" s="2889" t="s">
        <v>1567</v>
      </c>
      <c r="D8799" s="2889" t="s">
        <v>1559</v>
      </c>
      <c r="E8799" s="2889" t="s">
        <v>217</v>
      </c>
      <c r="F8799" s="2890">
        <v>0.31103717630931699</v>
      </c>
      <c r="G8799" s="2890">
        <v>45.783072881988964</v>
      </c>
    </row>
    <row r="8800" spans="2:7" ht="15" hidden="1" outlineLevel="2">
      <c r="B8800" s="2889" t="s">
        <v>1640</v>
      </c>
      <c r="C8800" s="2889" t="s">
        <v>1567</v>
      </c>
      <c r="D8800" s="2889" t="s">
        <v>1559</v>
      </c>
      <c r="E8800" s="2889" t="s">
        <v>217</v>
      </c>
      <c r="F8800" s="2890">
        <v>6.8409625214587377E-2</v>
      </c>
      <c r="G8800" s="2890">
        <v>10.060733253109849</v>
      </c>
    </row>
    <row r="8801" spans="2:7" ht="15" hidden="1" outlineLevel="2">
      <c r="B8801" s="2889" t="s">
        <v>1641</v>
      </c>
      <c r="C8801" s="2889" t="s">
        <v>1567</v>
      </c>
      <c r="D8801" s="2889" t="s">
        <v>1559</v>
      </c>
      <c r="E8801" s="2889" t="s">
        <v>217</v>
      </c>
      <c r="F8801" s="2890">
        <v>0.34610834897943032</v>
      </c>
      <c r="G8801" s="2890">
        <v>50.945365110676093</v>
      </c>
    </row>
    <row r="8802" spans="2:7" ht="15" hidden="1" outlineLevel="2">
      <c r="B8802" s="2889" t="s">
        <v>1642</v>
      </c>
      <c r="C8802" s="2889" t="s">
        <v>1567</v>
      </c>
      <c r="D8802" s="2889" t="s">
        <v>1559</v>
      </c>
      <c r="E8802" s="2889" t="s">
        <v>217</v>
      </c>
      <c r="F8802" s="2890">
        <v>0.38578245689182517</v>
      </c>
      <c r="G8802" s="2890">
        <v>56.78519465890777</v>
      </c>
    </row>
    <row r="8803" spans="2:7" ht="15" hidden="1" outlineLevel="2">
      <c r="B8803" s="2889" t="s">
        <v>1643</v>
      </c>
      <c r="C8803" s="2889" t="s">
        <v>1567</v>
      </c>
      <c r="D8803" s="2889" t="s">
        <v>1559</v>
      </c>
      <c r="E8803" s="2889" t="s">
        <v>217</v>
      </c>
      <c r="F8803" s="2890">
        <v>6.9345806056048551E-2</v>
      </c>
      <c r="G8803" s="2890">
        <v>10.206899538925951</v>
      </c>
    </row>
    <row r="8804" spans="2:7" ht="15" hidden="1" outlineLevel="2">
      <c r="B8804" s="2889" t="s">
        <v>1644</v>
      </c>
      <c r="C8804" s="2889" t="s">
        <v>1567</v>
      </c>
      <c r="D8804" s="2889" t="s">
        <v>1559</v>
      </c>
      <c r="E8804" s="2889" t="s">
        <v>217</v>
      </c>
      <c r="F8804" s="2890">
        <v>1.3777028249947108</v>
      </c>
      <c r="G8804" s="2890">
        <v>202.79054393194093</v>
      </c>
    </row>
    <row r="8805" spans="2:7" ht="15" hidden="1" outlineLevel="2">
      <c r="B8805" s="2889" t="s">
        <v>1645</v>
      </c>
      <c r="C8805" s="2889" t="s">
        <v>1567</v>
      </c>
      <c r="D8805" s="2889" t="s">
        <v>1559</v>
      </c>
      <c r="E8805" s="2889" t="s">
        <v>217</v>
      </c>
      <c r="F8805" s="2890">
        <v>1.2332944002917117</v>
      </c>
      <c r="G8805" s="2890">
        <v>181.53453181719902</v>
      </c>
    </row>
    <row r="8806" spans="2:7" ht="15" hidden="1" outlineLevel="2">
      <c r="B8806" s="2889" t="s">
        <v>1646</v>
      </c>
      <c r="C8806" s="2889" t="s">
        <v>1567</v>
      </c>
      <c r="D8806" s="2889" t="s">
        <v>1559</v>
      </c>
      <c r="E8806" s="2889" t="s">
        <v>217</v>
      </c>
      <c r="F8806" s="2890">
        <v>6.2095682530123702E-35</v>
      </c>
      <c r="G8806" s="2890">
        <v>9.1401560370201349E-33</v>
      </c>
    </row>
    <row r="8807" spans="2:7" ht="15" hidden="1" outlineLevel="2">
      <c r="B8807" s="2889" t="s">
        <v>1647</v>
      </c>
      <c r="C8807" s="2889" t="s">
        <v>1567</v>
      </c>
      <c r="D8807" s="2889" t="s">
        <v>1559</v>
      </c>
      <c r="E8807" s="2889" t="s">
        <v>217</v>
      </c>
      <c r="F8807" s="2890">
        <v>0.14320440408333346</v>
      </c>
      <c r="G8807" s="2890">
        <v>21.060485522645081</v>
      </c>
    </row>
    <row r="8808" spans="2:7" ht="15" hidden="1" outlineLevel="2">
      <c r="B8808" s="2889" t="s">
        <v>1648</v>
      </c>
      <c r="C8808" s="2889" t="s">
        <v>1567</v>
      </c>
      <c r="D8808" s="2889" t="s">
        <v>1559</v>
      </c>
      <c r="E8808" s="2889" t="s">
        <v>217</v>
      </c>
      <c r="F8808" s="2890">
        <v>1.1518694534264608E-31</v>
      </c>
      <c r="G8808" s="2890">
        <v>1.6940080318879719E-29</v>
      </c>
    </row>
    <row r="8809" spans="2:7" ht="15" hidden="1" outlineLevel="2">
      <c r="B8809" s="2889" t="s">
        <v>1649</v>
      </c>
      <c r="C8809" s="2889" t="s">
        <v>1567</v>
      </c>
      <c r="D8809" s="2889" t="s">
        <v>1559</v>
      </c>
      <c r="E8809" s="2889" t="s">
        <v>217</v>
      </c>
      <c r="F8809" s="2890">
        <v>9.5451059140232872E-37</v>
      </c>
      <c r="G8809" s="2890">
        <v>1.403759964414025E-34</v>
      </c>
    </row>
    <row r="8810" spans="2:7" ht="15" hidden="1" outlineLevel="2">
      <c r="B8810" s="2889" t="s">
        <v>1650</v>
      </c>
      <c r="C8810" s="2889" t="s">
        <v>1567</v>
      </c>
      <c r="D8810" s="2889" t="s">
        <v>1559</v>
      </c>
      <c r="E8810" s="2889" t="s">
        <v>217</v>
      </c>
      <c r="F8810" s="2890">
        <v>0.2168205070359345</v>
      </c>
      <c r="G8810" s="2890">
        <v>31.886896620437032</v>
      </c>
    </row>
    <row r="8811" spans="2:7" ht="15" hidden="1" outlineLevel="2">
      <c r="B8811" s="2889" t="s">
        <v>1651</v>
      </c>
      <c r="C8811" s="2889" t="s">
        <v>1567</v>
      </c>
      <c r="D8811" s="2889" t="s">
        <v>1559</v>
      </c>
      <c r="E8811" s="2889" t="s">
        <v>217</v>
      </c>
      <c r="F8811" s="2890">
        <v>1.7703098600000002E-34</v>
      </c>
      <c r="G8811" s="2890">
        <v>2.6023334480000002E-32</v>
      </c>
    </row>
    <row r="8812" spans="2:7" ht="15" hidden="1" outlineLevel="2">
      <c r="B8812" s="2889" t="s">
        <v>1652</v>
      </c>
      <c r="C8812" s="2889" t="s">
        <v>1567</v>
      </c>
      <c r="D8812" s="2889" t="s">
        <v>1559</v>
      </c>
      <c r="E8812" s="2889" t="s">
        <v>217</v>
      </c>
      <c r="F8812" s="2890">
        <v>1.1512746101999998E-31</v>
      </c>
      <c r="G8812" s="2890">
        <v>1.6918253879999999E-29</v>
      </c>
    </row>
    <row r="8813" spans="2:7" ht="15" hidden="1" outlineLevel="2">
      <c r="B8813" s="2889" t="s">
        <v>1653</v>
      </c>
      <c r="C8813" s="2889" t="s">
        <v>1567</v>
      </c>
      <c r="D8813" s="2889" t="s">
        <v>1559</v>
      </c>
      <c r="E8813" s="2889" t="s">
        <v>217</v>
      </c>
      <c r="F8813" s="2890">
        <v>1.1827410213327216</v>
      </c>
      <c r="G8813" s="2890">
        <v>174.09334996715754</v>
      </c>
    </row>
    <row r="8814" spans="2:7" ht="15" hidden="1" outlineLevel="2">
      <c r="B8814" s="2889" t="s">
        <v>1407</v>
      </c>
      <c r="C8814" s="2889" t="s">
        <v>1568</v>
      </c>
      <c r="D8814" s="2889" t="s">
        <v>1559</v>
      </c>
      <c r="E8814" s="2889" t="s">
        <v>217</v>
      </c>
      <c r="F8814" s="2890">
        <v>6.4460967931616847E-2</v>
      </c>
      <c r="G8814" s="2890">
        <v>9.480349901710543</v>
      </c>
    </row>
    <row r="8815" spans="2:7" ht="15" hidden="1" outlineLevel="2">
      <c r="B8815" s="2889" t="s">
        <v>1631</v>
      </c>
      <c r="C8815" s="2889" t="s">
        <v>1568</v>
      </c>
      <c r="D8815" s="2889" t="s">
        <v>1559</v>
      </c>
      <c r="E8815" s="2889" t="s">
        <v>217</v>
      </c>
      <c r="F8815" s="2890">
        <v>3.0950530964024674</v>
      </c>
      <c r="G8815" s="2890">
        <v>454.29836691316001</v>
      </c>
    </row>
    <row r="8816" spans="2:7" ht="15" hidden="1" outlineLevel="2">
      <c r="B8816" s="2889" t="s">
        <v>1632</v>
      </c>
      <c r="C8816" s="2889" t="s">
        <v>1568</v>
      </c>
      <c r="D8816" s="2889" t="s">
        <v>1559</v>
      </c>
      <c r="E8816" s="2889" t="s">
        <v>217</v>
      </c>
      <c r="F8816" s="2890">
        <v>3.7097983509280494</v>
      </c>
      <c r="G8816" s="2890">
        <v>546.06868812869993</v>
      </c>
    </row>
    <row r="8817" spans="2:7" ht="15" hidden="1" outlineLevel="2">
      <c r="B8817" s="2889" t="s">
        <v>1633</v>
      </c>
      <c r="C8817" s="2889" t="s">
        <v>1568</v>
      </c>
      <c r="D8817" s="2889" t="s">
        <v>1559</v>
      </c>
      <c r="E8817" s="2889" t="s">
        <v>217</v>
      </c>
      <c r="F8817" s="2890">
        <v>0.22155748870418376</v>
      </c>
      <c r="G8817" s="2890">
        <v>32.612420951918025</v>
      </c>
    </row>
    <row r="8818" spans="2:7" ht="15" hidden="1" outlineLevel="2">
      <c r="B8818" s="2889" t="s">
        <v>1634</v>
      </c>
      <c r="C8818" s="2889" t="s">
        <v>1568</v>
      </c>
      <c r="D8818" s="2889" t="s">
        <v>1559</v>
      </c>
      <c r="E8818" s="2889" t="s">
        <v>217</v>
      </c>
      <c r="F8818" s="2890">
        <v>1.2564761528336011E-35</v>
      </c>
      <c r="G8818" s="2890">
        <v>1.8479142756648053E-33</v>
      </c>
    </row>
    <row r="8819" spans="2:7" ht="15" hidden="1" outlineLevel="2">
      <c r="B8819" s="2889" t="s">
        <v>1635</v>
      </c>
      <c r="C8819" s="2889" t="s">
        <v>1568</v>
      </c>
      <c r="D8819" s="2889" t="s">
        <v>1559</v>
      </c>
      <c r="E8819" s="2889" t="s">
        <v>217</v>
      </c>
      <c r="F8819" s="3039">
        <v>1.1696171710994465</v>
      </c>
      <c r="G8819" s="2890">
        <v>172.16318386879561</v>
      </c>
    </row>
    <row r="8820" spans="2:7" ht="15" hidden="1" outlineLevel="2">
      <c r="B8820" s="2889" t="s">
        <v>1636</v>
      </c>
      <c r="C8820" s="2889" t="s">
        <v>1568</v>
      </c>
      <c r="D8820" s="2889" t="s">
        <v>1559</v>
      </c>
      <c r="E8820" s="2889" t="s">
        <v>217</v>
      </c>
      <c r="F8820" s="3039">
        <v>0.15199872166775952</v>
      </c>
      <c r="G8820" s="2890">
        <v>22.373642561234554</v>
      </c>
    </row>
    <row r="8821" spans="2:7" ht="15" hidden="1" outlineLevel="2">
      <c r="B8821" s="2889" t="s">
        <v>1637</v>
      </c>
      <c r="C8821" s="2889" t="s">
        <v>1568</v>
      </c>
      <c r="D8821" s="2889" t="s">
        <v>1559</v>
      </c>
      <c r="E8821" s="2889" t="s">
        <v>217</v>
      </c>
      <c r="F8821" s="3039">
        <v>0.31945480451186631</v>
      </c>
      <c r="G8821" s="2890">
        <v>47.022549875325232</v>
      </c>
    </row>
    <row r="8822" spans="2:7" ht="15" hidden="1" outlineLevel="2">
      <c r="B8822" s="2889" t="s">
        <v>1638</v>
      </c>
      <c r="C8822" s="2889" t="s">
        <v>1568</v>
      </c>
      <c r="D8822" s="2889" t="s">
        <v>1559</v>
      </c>
      <c r="E8822" s="2889" t="s">
        <v>217</v>
      </c>
      <c r="F8822" s="3039">
        <v>7.1053686662659441E-32</v>
      </c>
      <c r="G8822" s="2890">
        <v>1.0449945038557977E-29</v>
      </c>
    </row>
    <row r="8823" spans="2:7" ht="15" hidden="1" outlineLevel="2">
      <c r="B8823" s="2889" t="s">
        <v>1639</v>
      </c>
      <c r="C8823" s="2889" t="s">
        <v>1568</v>
      </c>
      <c r="D8823" s="2889" t="s">
        <v>1559</v>
      </c>
      <c r="E8823" s="2889" t="s">
        <v>217</v>
      </c>
      <c r="F8823" s="3039">
        <v>1.9424922564786755</v>
      </c>
      <c r="G8823" s="2890">
        <v>285.92764987247313</v>
      </c>
    </row>
    <row r="8824" spans="2:7" ht="15" hidden="1" outlineLevel="2">
      <c r="B8824" s="2889" t="s">
        <v>1640</v>
      </c>
      <c r="C8824" s="2889" t="s">
        <v>1568</v>
      </c>
      <c r="D8824" s="2889" t="s">
        <v>1559</v>
      </c>
      <c r="E8824" s="2889" t="s">
        <v>217</v>
      </c>
      <c r="F8824" s="3039">
        <v>0.31456917153550812</v>
      </c>
      <c r="G8824" s="2890">
        <v>46.264150599182017</v>
      </c>
    </row>
    <row r="8825" spans="2:7" ht="15" hidden="1" outlineLevel="2">
      <c r="B8825" s="2889" t="s">
        <v>1641</v>
      </c>
      <c r="C8825" s="2889" t="s">
        <v>1568</v>
      </c>
      <c r="D8825" s="2889" t="s">
        <v>1559</v>
      </c>
      <c r="E8825" s="2889" t="s">
        <v>217</v>
      </c>
      <c r="F8825" s="3039">
        <v>0.85273848081784132</v>
      </c>
      <c r="G8825" s="2890">
        <v>125.51978880390985</v>
      </c>
    </row>
    <row r="8826" spans="2:7" ht="15" hidden="1" outlineLevel="2">
      <c r="B8826" s="2889" t="s">
        <v>1642</v>
      </c>
      <c r="C8826" s="2889" t="s">
        <v>1568</v>
      </c>
      <c r="D8826" s="2889" t="s">
        <v>1559</v>
      </c>
      <c r="E8826" s="2889" t="s">
        <v>217</v>
      </c>
      <c r="F8826" s="2890">
        <v>2.5092686504481168</v>
      </c>
      <c r="G8826" s="2890">
        <v>369.35423575006689</v>
      </c>
    </row>
    <row r="8827" spans="2:7" ht="15" hidden="1" outlineLevel="2">
      <c r="B8827" s="2889" t="s">
        <v>1643</v>
      </c>
      <c r="C8827" s="2889" t="s">
        <v>1568</v>
      </c>
      <c r="D8827" s="2889" t="s">
        <v>1559</v>
      </c>
      <c r="E8827" s="2889" t="s">
        <v>217</v>
      </c>
      <c r="F8827" s="2890">
        <v>0.26932882707511768</v>
      </c>
      <c r="G8827" s="2890">
        <v>39.643392956792546</v>
      </c>
    </row>
    <row r="8828" spans="2:7" ht="15" hidden="1" outlineLevel="2">
      <c r="B8828" s="2889" t="s">
        <v>1644</v>
      </c>
      <c r="C8828" s="2889" t="s">
        <v>1568</v>
      </c>
      <c r="D8828" s="2889" t="s">
        <v>1559</v>
      </c>
      <c r="E8828" s="2889" t="s">
        <v>217</v>
      </c>
      <c r="F8828" s="2890">
        <v>7.6720698415783719</v>
      </c>
      <c r="G8828" s="2890">
        <v>1129.2994959672799</v>
      </c>
    </row>
    <row r="8829" spans="2:7" ht="15" hidden="1" outlineLevel="2">
      <c r="B8829" s="2889" t="s">
        <v>1645</v>
      </c>
      <c r="C8829" s="2889" t="s">
        <v>1568</v>
      </c>
      <c r="D8829" s="2889" t="s">
        <v>1559</v>
      </c>
      <c r="E8829" s="2889" t="s">
        <v>217</v>
      </c>
      <c r="F8829" s="2890">
        <v>3.7484435343477323</v>
      </c>
      <c r="G8829" s="2890">
        <v>551.75671355046006</v>
      </c>
    </row>
    <row r="8830" spans="2:7" ht="15" hidden="1" outlineLevel="2">
      <c r="B8830" s="2889" t="s">
        <v>1646</v>
      </c>
      <c r="C8830" s="2889" t="s">
        <v>1568</v>
      </c>
      <c r="D8830" s="2889" t="s">
        <v>1559</v>
      </c>
      <c r="E8830" s="2889" t="s">
        <v>217</v>
      </c>
      <c r="F8830" s="2890">
        <v>1.5050351894020445E-32</v>
      </c>
      <c r="G8830" s="2890">
        <v>2.21535422210695E-30</v>
      </c>
    </row>
    <row r="8831" spans="2:7" ht="15" hidden="1" outlineLevel="2">
      <c r="B8831" s="2889" t="s">
        <v>1647</v>
      </c>
      <c r="C8831" s="2889" t="s">
        <v>1568</v>
      </c>
      <c r="D8831" s="2889" t="s">
        <v>1559</v>
      </c>
      <c r="E8831" s="2889" t="s">
        <v>217</v>
      </c>
      <c r="F8831" s="2890">
        <v>0.18822603049881942</v>
      </c>
      <c r="G8831" s="2890">
        <v>27.682631035760075</v>
      </c>
    </row>
    <row r="8832" spans="2:7" ht="15" hidden="1" outlineLevel="2">
      <c r="B8832" s="2889" t="s">
        <v>1648</v>
      </c>
      <c r="C8832" s="2889" t="s">
        <v>1568</v>
      </c>
      <c r="D8832" s="2889" t="s">
        <v>1559</v>
      </c>
      <c r="E8832" s="2889" t="s">
        <v>217</v>
      </c>
      <c r="F8832" s="2890">
        <v>2.4329076379818316E-33</v>
      </c>
      <c r="G8832" s="2890">
        <v>3.5781082307048835E-31</v>
      </c>
    </row>
    <row r="8833" spans="2:7" ht="15" hidden="1" outlineLevel="2">
      <c r="B8833" s="2889" t="s">
        <v>1649</v>
      </c>
      <c r="C8833" s="2889" t="s">
        <v>1568</v>
      </c>
      <c r="D8833" s="2889" t="s">
        <v>1559</v>
      </c>
      <c r="E8833" s="2889" t="s">
        <v>217</v>
      </c>
      <c r="F8833" s="2890">
        <v>5.9878333050808895E-32</v>
      </c>
      <c r="G8833" s="2890">
        <v>8.806380859610538E-30</v>
      </c>
    </row>
    <row r="8834" spans="2:7" ht="15" hidden="1" outlineLevel="2">
      <c r="B8834" s="2889" t="s">
        <v>1650</v>
      </c>
      <c r="C8834" s="2889" t="s">
        <v>1568</v>
      </c>
      <c r="D8834" s="2889" t="s">
        <v>1559</v>
      </c>
      <c r="E8834" s="2889" t="s">
        <v>217</v>
      </c>
      <c r="F8834" s="2890">
        <v>0.58272653972717281</v>
      </c>
      <c r="G8834" s="2890">
        <v>85.702315637339836</v>
      </c>
    </row>
    <row r="8835" spans="2:7" ht="15" hidden="1" outlineLevel="2">
      <c r="B8835" s="2889" t="s">
        <v>1651</v>
      </c>
      <c r="C8835" s="2889" t="s">
        <v>1568</v>
      </c>
      <c r="D8835" s="2889" t="s">
        <v>1559</v>
      </c>
      <c r="E8835" s="2889" t="s">
        <v>217</v>
      </c>
      <c r="F8835" s="2890">
        <v>7.1032856400000004E-32</v>
      </c>
      <c r="G8835" s="2890">
        <v>1.042564798E-29</v>
      </c>
    </row>
    <row r="8836" spans="2:7" ht="15" hidden="1" outlineLevel="2">
      <c r="B8836" s="2889" t="s">
        <v>1652</v>
      </c>
      <c r="C8836" s="2889" t="s">
        <v>1568</v>
      </c>
      <c r="D8836" s="2889" t="s">
        <v>1559</v>
      </c>
      <c r="E8836" s="2889" t="s">
        <v>217</v>
      </c>
      <c r="F8836" s="2890">
        <v>2.4347823280000003E-33</v>
      </c>
      <c r="G8836" s="2890">
        <v>3.5763345640000004E-31</v>
      </c>
    </row>
    <row r="8837" spans="2:7" ht="15" hidden="1" outlineLevel="2">
      <c r="B8837" s="2889" t="s">
        <v>1653</v>
      </c>
      <c r="C8837" s="2889" t="s">
        <v>1568</v>
      </c>
      <c r="D8837" s="2889" t="s">
        <v>1559</v>
      </c>
      <c r="E8837" s="2889" t="s">
        <v>217</v>
      </c>
      <c r="F8837" s="2890">
        <v>0.46630107496665163</v>
      </c>
      <c r="G8837" s="2890">
        <v>68.637787231194409</v>
      </c>
    </row>
    <row r="8838" spans="2:7" ht="15" hidden="1" outlineLevel="2">
      <c r="B8838" s="2889" t="s">
        <v>1407</v>
      </c>
      <c r="C8838" s="2889" t="s">
        <v>1569</v>
      </c>
      <c r="D8838" s="2889" t="s">
        <v>1559</v>
      </c>
      <c r="E8838" s="2889" t="s">
        <v>217</v>
      </c>
      <c r="F8838" s="2890">
        <v>2.713018292373933E-5</v>
      </c>
      <c r="G8838" s="2890">
        <v>1.3560782379484939E-2</v>
      </c>
    </row>
    <row r="8839" spans="2:7" ht="15" hidden="1" outlineLevel="2">
      <c r="B8839" s="2889" t="s">
        <v>1631</v>
      </c>
      <c r="C8839" s="2889" t="s">
        <v>1569</v>
      </c>
      <c r="D8839" s="2889" t="s">
        <v>1559</v>
      </c>
      <c r="E8839" s="2889" t="s">
        <v>217</v>
      </c>
      <c r="F8839" s="2890">
        <v>1.3019821715585893E-3</v>
      </c>
      <c r="G8839" s="2890">
        <v>0.64983246829680452</v>
      </c>
    </row>
    <row r="8840" spans="2:7" ht="15" hidden="1" outlineLevel="2">
      <c r="B8840" s="2889" t="s">
        <v>1632</v>
      </c>
      <c r="C8840" s="2889" t="s">
        <v>1569</v>
      </c>
      <c r="D8840" s="2889" t="s">
        <v>1559</v>
      </c>
      <c r="E8840" s="2889" t="s">
        <v>217</v>
      </c>
      <c r="F8840" s="2890">
        <v>1.562886253024141E-3</v>
      </c>
      <c r="G8840" s="2890">
        <v>0.78110193225954994</v>
      </c>
    </row>
    <row r="8841" spans="2:7" ht="15" hidden="1" outlineLevel="2">
      <c r="B8841" s="2889" t="s">
        <v>1633</v>
      </c>
      <c r="C8841" s="2889" t="s">
        <v>1569</v>
      </c>
      <c r="D8841" s="2889" t="s">
        <v>1559</v>
      </c>
      <c r="E8841" s="2889" t="s">
        <v>217</v>
      </c>
      <c r="F8841" s="2890">
        <v>9.3339029635263816E-5</v>
      </c>
      <c r="G8841" s="2890">
        <v>4.6649166843565064E-2</v>
      </c>
    </row>
    <row r="8842" spans="2:7" ht="15" hidden="1" outlineLevel="2">
      <c r="B8842" s="2889" t="s">
        <v>1634</v>
      </c>
      <c r="C8842" s="2889" t="s">
        <v>1569</v>
      </c>
      <c r="D8842" s="2889" t="s">
        <v>1559</v>
      </c>
      <c r="E8842" s="2889" t="s">
        <v>217</v>
      </c>
      <c r="F8842" s="2890">
        <v>2.9300608406094043E-5</v>
      </c>
      <c r="G8842" s="2890">
        <v>1.4645641714769534E-2</v>
      </c>
    </row>
    <row r="8843" spans="2:7" ht="15" hidden="1" outlineLevel="2">
      <c r="B8843" s="2889" t="s">
        <v>1635</v>
      </c>
      <c r="C8843" s="2889" t="s">
        <v>1569</v>
      </c>
      <c r="D8843" s="2889" t="s">
        <v>1559</v>
      </c>
      <c r="E8843" s="2889" t="s">
        <v>217</v>
      </c>
      <c r="F8843" s="2890">
        <v>4.9274332274712061E-4</v>
      </c>
      <c r="G8843" s="2890">
        <v>0.24626379757805272</v>
      </c>
    </row>
    <row r="8844" spans="2:7" ht="15" hidden="1" outlineLevel="2">
      <c r="B8844" s="2889" t="s">
        <v>1636</v>
      </c>
      <c r="C8844" s="2889" t="s">
        <v>1569</v>
      </c>
      <c r="D8844" s="2889" t="s">
        <v>1559</v>
      </c>
      <c r="E8844" s="2889" t="s">
        <v>217</v>
      </c>
      <c r="F8844" s="2890">
        <v>6.403495857478837E-5</v>
      </c>
      <c r="G8844" s="2890">
        <v>3.2003425616917602E-2</v>
      </c>
    </row>
    <row r="8845" spans="2:7" ht="15" hidden="1" outlineLevel="2">
      <c r="B8845" s="2889" t="s">
        <v>1637</v>
      </c>
      <c r="C8845" s="2889" t="s">
        <v>1569</v>
      </c>
      <c r="D8845" s="2889" t="s">
        <v>1559</v>
      </c>
      <c r="E8845" s="2889" t="s">
        <v>217</v>
      </c>
      <c r="F8845" s="2890">
        <v>1.3458189667558778E-4</v>
      </c>
      <c r="G8845" s="2890">
        <v>6.7261497345630472E-2</v>
      </c>
    </row>
    <row r="8846" spans="2:7" ht="15" hidden="1" outlineLevel="2">
      <c r="B8846" s="2889" t="s">
        <v>1638</v>
      </c>
      <c r="C8846" s="2889" t="s">
        <v>1569</v>
      </c>
      <c r="D8846" s="2889" t="s">
        <v>1559</v>
      </c>
      <c r="E8846" s="2889" t="s">
        <v>217</v>
      </c>
      <c r="F8846" s="2890">
        <v>1.7363324094411424E-4</v>
      </c>
      <c r="G8846" s="2890">
        <v>8.6789034897465062E-2</v>
      </c>
    </row>
    <row r="8847" spans="2:7" ht="15" hidden="1" outlineLevel="2">
      <c r="B8847" s="2889" t="s">
        <v>1639</v>
      </c>
      <c r="C8847" s="2889" t="s">
        <v>1569</v>
      </c>
      <c r="D8847" s="2889" t="s">
        <v>1559</v>
      </c>
      <c r="E8847" s="2889" t="s">
        <v>217</v>
      </c>
      <c r="F8847" s="2890">
        <v>8.1834464093759839E-4</v>
      </c>
      <c r="G8847" s="2890">
        <v>0.40899306828313209</v>
      </c>
    </row>
    <row r="8848" spans="2:7" ht="15" hidden="1" outlineLevel="2">
      <c r="B8848" s="2889" t="s">
        <v>1640</v>
      </c>
      <c r="C8848" s="2889" t="s">
        <v>1569</v>
      </c>
      <c r="D8848" s="2889" t="s">
        <v>1559</v>
      </c>
      <c r="E8848" s="2889" t="s">
        <v>217</v>
      </c>
      <c r="F8848" s="2890">
        <v>1.7471834919243742E-4</v>
      </c>
      <c r="G8848" s="2890">
        <v>8.7331409108793806E-2</v>
      </c>
    </row>
    <row r="8849" spans="2:7" ht="15" hidden="1" outlineLevel="2">
      <c r="B8849" s="2889" t="s">
        <v>1641</v>
      </c>
      <c r="C8849" s="2889" t="s">
        <v>1569</v>
      </c>
      <c r="D8849" s="2889" t="s">
        <v>1559</v>
      </c>
      <c r="E8849" s="2889" t="s">
        <v>217</v>
      </c>
      <c r="F8849" s="2890">
        <v>3.5924657043586176E-4</v>
      </c>
      <c r="G8849" s="2890">
        <v>0.17954472285777612</v>
      </c>
    </row>
    <row r="8850" spans="2:7" ht="15" hidden="1" outlineLevel="2">
      <c r="B8850" s="2889" t="s">
        <v>1642</v>
      </c>
      <c r="C8850" s="2889" t="s">
        <v>1569</v>
      </c>
      <c r="D8850" s="2889" t="s">
        <v>1559</v>
      </c>
      <c r="E8850" s="2889" t="s">
        <v>217</v>
      </c>
      <c r="F8850" s="2890">
        <v>1.0571186783588917E-3</v>
      </c>
      <c r="G8850" s="2890">
        <v>0.52832816136905736</v>
      </c>
    </row>
    <row r="8851" spans="2:7" ht="15" hidden="1" outlineLevel="2">
      <c r="B8851" s="2889" t="s">
        <v>1643</v>
      </c>
      <c r="C8851" s="2889" t="s">
        <v>1569</v>
      </c>
      <c r="D8851" s="2889" t="s">
        <v>1559</v>
      </c>
      <c r="E8851" s="2889" t="s">
        <v>217</v>
      </c>
      <c r="F8851" s="2890">
        <v>1.0289459199036142E-4</v>
      </c>
      <c r="G8851" s="2890">
        <v>5.1426406325813558E-2</v>
      </c>
    </row>
    <row r="8852" spans="2:7" ht="15" hidden="1" outlineLevel="2">
      <c r="B8852" s="2889" t="s">
        <v>1644</v>
      </c>
      <c r="C8852" s="2889" t="s">
        <v>1569</v>
      </c>
      <c r="D8852" s="2889" t="s">
        <v>1559</v>
      </c>
      <c r="E8852" s="2889" t="s">
        <v>217</v>
      </c>
      <c r="F8852" s="2890">
        <v>3.2321343652388021E-3</v>
      </c>
      <c r="G8852" s="2890">
        <v>1.6153601711763252</v>
      </c>
    </row>
    <row r="8853" spans="2:7" ht="15" hidden="1" outlineLevel="2">
      <c r="B8853" s="2889" t="s">
        <v>1645</v>
      </c>
      <c r="C8853" s="2889" t="s">
        <v>1569</v>
      </c>
      <c r="D8853" s="2889" t="s">
        <v>1559</v>
      </c>
      <c r="E8853" s="2889" t="s">
        <v>217</v>
      </c>
      <c r="F8853" s="2890">
        <v>1.5791665061667718E-3</v>
      </c>
      <c r="G8853" s="2890">
        <v>0.78923764756665715</v>
      </c>
    </row>
    <row r="8854" spans="2:7" ht="15" hidden="1" outlineLevel="2">
      <c r="B8854" s="2889" t="s">
        <v>1646</v>
      </c>
      <c r="C8854" s="2889" t="s">
        <v>1569</v>
      </c>
      <c r="D8854" s="2889" t="s">
        <v>1559</v>
      </c>
      <c r="E8854" s="2889" t="s">
        <v>217</v>
      </c>
      <c r="F8854" s="2890">
        <v>1.0310703220993256E-4</v>
      </c>
      <c r="G8854" s="2890">
        <v>5.1531026095210743E-2</v>
      </c>
    </row>
    <row r="8855" spans="2:7" ht="15" hidden="1" outlineLevel="2">
      <c r="B8855" s="2889" t="s">
        <v>1647</v>
      </c>
      <c r="C8855" s="2889" t="s">
        <v>1569</v>
      </c>
      <c r="D8855" s="2889" t="s">
        <v>1559</v>
      </c>
      <c r="E8855" s="2889" t="s">
        <v>217</v>
      </c>
      <c r="F8855" s="2890">
        <v>7.9220169374241632E-5</v>
      </c>
      <c r="G8855" s="2890">
        <v>3.9597458951758445E-2</v>
      </c>
    </row>
    <row r="8856" spans="2:7" ht="15" hidden="1" outlineLevel="2">
      <c r="B8856" s="2889" t="s">
        <v>1648</v>
      </c>
      <c r="C8856" s="2889" t="s">
        <v>1569</v>
      </c>
      <c r="D8856" s="2889" t="s">
        <v>1559</v>
      </c>
      <c r="E8856" s="2889" t="s">
        <v>217</v>
      </c>
      <c r="F8856" s="2890">
        <v>1.7471834919243742E-4</v>
      </c>
      <c r="G8856" s="2890">
        <v>8.7331409108793806E-2</v>
      </c>
    </row>
    <row r="8857" spans="2:7" ht="15" hidden="1" outlineLevel="2">
      <c r="B8857" s="2889" t="s">
        <v>1649</v>
      </c>
      <c r="C8857" s="2889" t="s">
        <v>1569</v>
      </c>
      <c r="D8857" s="2889" t="s">
        <v>1559</v>
      </c>
      <c r="E8857" s="2889" t="s">
        <v>217</v>
      </c>
      <c r="F8857" s="2890">
        <v>1.7146268115446515E-4</v>
      </c>
      <c r="G8857" s="2890">
        <v>8.5704126599405656E-2</v>
      </c>
    </row>
    <row r="8858" spans="2:7" ht="15" hidden="1" outlineLevel="2">
      <c r="B8858" s="2889" t="s">
        <v>1650</v>
      </c>
      <c r="C8858" s="2889" t="s">
        <v>1569</v>
      </c>
      <c r="D8858" s="2889" t="s">
        <v>1559</v>
      </c>
      <c r="E8858" s="2889" t="s">
        <v>217</v>
      </c>
      <c r="F8858" s="3039">
        <v>2.4525688544656656E-4</v>
      </c>
      <c r="G8858" s="2890">
        <v>0.12258946757710555</v>
      </c>
    </row>
    <row r="8859" spans="2:7" ht="15" hidden="1" outlineLevel="2">
      <c r="B8859" s="2889" t="s">
        <v>1651</v>
      </c>
      <c r="C8859" s="2889" t="s">
        <v>1569</v>
      </c>
      <c r="D8859" s="2889" t="s">
        <v>1559</v>
      </c>
      <c r="E8859" s="2889" t="s">
        <v>217</v>
      </c>
      <c r="F8859" s="3039">
        <v>1.1069120048298309E-4</v>
      </c>
      <c r="G8859" s="2890">
        <v>5.5327979205064992E-2</v>
      </c>
    </row>
    <row r="8860" spans="2:7" ht="15" hidden="1" outlineLevel="2">
      <c r="B8860" s="2889" t="s">
        <v>1652</v>
      </c>
      <c r="C8860" s="2889" t="s">
        <v>1569</v>
      </c>
      <c r="D8860" s="2889" t="s">
        <v>1559</v>
      </c>
      <c r="E8860" s="2889" t="s">
        <v>217</v>
      </c>
      <c r="F8860" s="3039">
        <v>1.7471834919576698E-4</v>
      </c>
      <c r="G8860" s="2890">
        <v>8.7331409107599109E-2</v>
      </c>
    </row>
    <row r="8861" spans="2:7" ht="15" hidden="1" outlineLevel="2">
      <c r="B8861" s="2889" t="s">
        <v>1653</v>
      </c>
      <c r="C8861" s="2889" t="s">
        <v>1569</v>
      </c>
      <c r="D8861" s="2889" t="s">
        <v>1559</v>
      </c>
      <c r="E8861" s="2889" t="s">
        <v>217</v>
      </c>
      <c r="F8861" s="3039">
        <v>1.9644607023462223E-4</v>
      </c>
      <c r="G8861" s="2890">
        <v>9.8180029863385046E-2</v>
      </c>
    </row>
    <row r="8862" spans="2:7" ht="15" hidden="1" outlineLevel="2">
      <c r="B8862" s="2889" t="s">
        <v>1407</v>
      </c>
      <c r="C8862" s="2889" t="s">
        <v>1570</v>
      </c>
      <c r="D8862" s="2889" t="s">
        <v>1559</v>
      </c>
      <c r="E8862" s="2889" t="s">
        <v>217</v>
      </c>
      <c r="F8862" s="3039">
        <v>0.90853161191334786</v>
      </c>
      <c r="G8862" s="2890">
        <v>561.68519784646469</v>
      </c>
    </row>
    <row r="8863" spans="2:7" ht="15" hidden="1" outlineLevel="2">
      <c r="B8863" s="2889" t="s">
        <v>1631</v>
      </c>
      <c r="C8863" s="2889" t="s">
        <v>1570</v>
      </c>
      <c r="D8863" s="2889" t="s">
        <v>1559</v>
      </c>
      <c r="E8863" s="2889" t="s">
        <v>217</v>
      </c>
      <c r="F8863" s="3039">
        <v>5.4104964967075615</v>
      </c>
      <c r="G8863" s="2890">
        <v>3309.4882379777764</v>
      </c>
    </row>
    <row r="8864" spans="2:7" ht="15" hidden="1" outlineLevel="2">
      <c r="B8864" s="2889" t="s">
        <v>1632</v>
      </c>
      <c r="C8864" s="2889" t="s">
        <v>1570</v>
      </c>
      <c r="D8864" s="2889" t="s">
        <v>1559</v>
      </c>
      <c r="E8864" s="2889" t="s">
        <v>217</v>
      </c>
      <c r="F8864" s="3039">
        <v>8.8576080613081398</v>
      </c>
      <c r="G8864" s="2890">
        <v>5483.465092252236</v>
      </c>
    </row>
    <row r="8865" spans="2:7" ht="15" hidden="1" outlineLevel="2">
      <c r="B8865" s="2889" t="s">
        <v>1633</v>
      </c>
      <c r="C8865" s="2889" t="s">
        <v>1570</v>
      </c>
      <c r="D8865" s="2889" t="s">
        <v>1559</v>
      </c>
      <c r="E8865" s="2889" t="s">
        <v>217</v>
      </c>
      <c r="F8865" s="2890">
        <v>0.81508317572152045</v>
      </c>
      <c r="G8865" s="2890">
        <v>506.11876351899286</v>
      </c>
    </row>
    <row r="8866" spans="2:7" ht="15" hidden="1" outlineLevel="2">
      <c r="B8866" s="2889" t="s">
        <v>1634</v>
      </c>
      <c r="C8866" s="2889" t="s">
        <v>1570</v>
      </c>
      <c r="D8866" s="2889" t="s">
        <v>1559</v>
      </c>
      <c r="E8866" s="2889" t="s">
        <v>217</v>
      </c>
      <c r="F8866" s="2890">
        <v>0.33892226817567273</v>
      </c>
      <c r="G8866" s="2890">
        <v>210.95006910375324</v>
      </c>
    </row>
    <row r="8867" spans="2:7" ht="15" hidden="1" outlineLevel="2">
      <c r="B8867" s="2889" t="s">
        <v>1635</v>
      </c>
      <c r="C8867" s="2889" t="s">
        <v>1570</v>
      </c>
      <c r="D8867" s="2889" t="s">
        <v>1559</v>
      </c>
      <c r="E8867" s="2889" t="s">
        <v>217</v>
      </c>
      <c r="F8867" s="2890">
        <v>1.5793974358671667</v>
      </c>
      <c r="G8867" s="2890">
        <v>977.75519147137391</v>
      </c>
    </row>
    <row r="8868" spans="2:7" ht="15" hidden="1" outlineLevel="2">
      <c r="B8868" s="2889" t="s">
        <v>1636</v>
      </c>
      <c r="C8868" s="2889" t="s">
        <v>1570</v>
      </c>
      <c r="D8868" s="2889" t="s">
        <v>1559</v>
      </c>
      <c r="E8868" s="2889" t="s">
        <v>217</v>
      </c>
      <c r="F8868" s="3039">
        <v>1.002011592574815</v>
      </c>
      <c r="G8868" s="2890">
        <v>620.38203771528606</v>
      </c>
    </row>
    <row r="8869" spans="2:7" ht="15" hidden="1" outlineLevel="2">
      <c r="B8869" s="2889" t="s">
        <v>1637</v>
      </c>
      <c r="C8869" s="2889" t="s">
        <v>1570</v>
      </c>
      <c r="D8869" s="2889" t="s">
        <v>1559</v>
      </c>
      <c r="E8869" s="2889" t="s">
        <v>217</v>
      </c>
      <c r="F8869" s="2890">
        <v>1.2909933443198975</v>
      </c>
      <c r="G8869" s="2890">
        <v>801.6312234729013</v>
      </c>
    </row>
    <row r="8870" spans="2:7" ht="15" hidden="1" outlineLevel="2">
      <c r="B8870" s="2889" t="s">
        <v>1638</v>
      </c>
      <c r="C8870" s="2889" t="s">
        <v>1570</v>
      </c>
      <c r="D8870" s="2889" t="s">
        <v>1559</v>
      </c>
      <c r="E8870" s="2889" t="s">
        <v>217</v>
      </c>
      <c r="F8870" s="2890">
        <v>0.40728147722490798</v>
      </c>
      <c r="G8870" s="2890">
        <v>253.49785178084431</v>
      </c>
    </row>
    <row r="8871" spans="2:7" ht="15" hidden="1" outlineLevel="2">
      <c r="B8871" s="2889" t="s">
        <v>1639</v>
      </c>
      <c r="C8871" s="2889" t="s">
        <v>1570</v>
      </c>
      <c r="D8871" s="2889" t="s">
        <v>1559</v>
      </c>
      <c r="E8871" s="2889" t="s">
        <v>217</v>
      </c>
      <c r="F8871" s="3039">
        <v>2.1578966875864363</v>
      </c>
      <c r="G8871" s="2890">
        <v>1339.9273685202074</v>
      </c>
    </row>
    <row r="8872" spans="2:7" ht="15" hidden="1" outlineLevel="2">
      <c r="B8872" s="2889" t="s">
        <v>1640</v>
      </c>
      <c r="C8872" s="2889" t="s">
        <v>1570</v>
      </c>
      <c r="D8872" s="2889" t="s">
        <v>1559</v>
      </c>
      <c r="E8872" s="2889" t="s">
        <v>217</v>
      </c>
      <c r="F8872" s="2890">
        <v>0.47626977056805614</v>
      </c>
      <c r="G8872" s="2890">
        <v>294.44627041435342</v>
      </c>
    </row>
    <row r="8873" spans="2:7" ht="15" hidden="1" outlineLevel="2">
      <c r="B8873" s="2889" t="s">
        <v>1641</v>
      </c>
      <c r="C8873" s="2889" t="s">
        <v>1570</v>
      </c>
      <c r="D8873" s="2889" t="s">
        <v>1559</v>
      </c>
      <c r="E8873" s="2889" t="s">
        <v>217</v>
      </c>
      <c r="F8873" s="2890">
        <v>2.4084748319945444</v>
      </c>
      <c r="G8873" s="2890">
        <v>1491.011237677865</v>
      </c>
    </row>
    <row r="8874" spans="2:7" ht="15" hidden="1" outlineLevel="2">
      <c r="B8874" s="2889" t="s">
        <v>1642</v>
      </c>
      <c r="C8874" s="2889" t="s">
        <v>1570</v>
      </c>
      <c r="D8874" s="2889" t="s">
        <v>1559</v>
      </c>
      <c r="E8874" s="2889" t="s">
        <v>217</v>
      </c>
      <c r="F8874" s="2890">
        <v>2.68455564570045</v>
      </c>
      <c r="G8874" s="2890">
        <v>1661.9235739302026</v>
      </c>
    </row>
    <row r="8875" spans="2:7" ht="15" hidden="1" outlineLevel="2">
      <c r="B8875" s="2889" t="s">
        <v>1643</v>
      </c>
      <c r="C8875" s="2889" t="s">
        <v>1570</v>
      </c>
      <c r="D8875" s="2889" t="s">
        <v>1559</v>
      </c>
      <c r="E8875" s="2889" t="s">
        <v>217</v>
      </c>
      <c r="F8875" s="3039">
        <v>0.42754120583649252</v>
      </c>
      <c r="G8875" s="2890">
        <v>264.32309461666063</v>
      </c>
    </row>
    <row r="8876" spans="2:7" ht="15" hidden="1" outlineLevel="2">
      <c r="B8876" s="2889" t="s">
        <v>1644</v>
      </c>
      <c r="C8876" s="2889" t="s">
        <v>1570</v>
      </c>
      <c r="D8876" s="2889" t="s">
        <v>1559</v>
      </c>
      <c r="E8876" s="2889" t="s">
        <v>217</v>
      </c>
      <c r="F8876" s="3039">
        <v>9.5581488770674383</v>
      </c>
      <c r="G8876" s="2890">
        <v>5935.050573343965</v>
      </c>
    </row>
    <row r="8877" spans="2:7" ht="15" hidden="1" outlineLevel="2">
      <c r="B8877" s="2889" t="s">
        <v>1645</v>
      </c>
      <c r="C8877" s="2889" t="s">
        <v>1570</v>
      </c>
      <c r="D8877" s="2889" t="s">
        <v>1559</v>
      </c>
      <c r="E8877" s="2889" t="s">
        <v>217</v>
      </c>
      <c r="F8877" s="3039">
        <v>8.5562796408432629</v>
      </c>
      <c r="G8877" s="2890">
        <v>5312.9472412177165</v>
      </c>
    </row>
    <row r="8878" spans="2:7" ht="15" hidden="1" outlineLevel="2">
      <c r="B8878" s="2889" t="s">
        <v>1646</v>
      </c>
      <c r="C8878" s="2889" t="s">
        <v>1570</v>
      </c>
      <c r="D8878" s="2889" t="s">
        <v>1559</v>
      </c>
      <c r="E8878" s="2889" t="s">
        <v>217</v>
      </c>
      <c r="F8878" s="2890">
        <v>0.48735117625956331</v>
      </c>
      <c r="G8878" s="2890">
        <v>301.70364357940821</v>
      </c>
    </row>
    <row r="8879" spans="2:7" ht="15" hidden="1" outlineLevel="2">
      <c r="B8879" s="2889" t="s">
        <v>1647</v>
      </c>
      <c r="C8879" s="2889" t="s">
        <v>1570</v>
      </c>
      <c r="D8879" s="2889" t="s">
        <v>1559</v>
      </c>
      <c r="E8879" s="2889" t="s">
        <v>217</v>
      </c>
      <c r="F8879" s="2890">
        <v>0.99029643563521075</v>
      </c>
      <c r="G8879" s="2890">
        <v>616.37459912082682</v>
      </c>
    </row>
    <row r="8880" spans="2:7" ht="15" hidden="1" outlineLevel="2">
      <c r="B8880" s="2889" t="s">
        <v>1648</v>
      </c>
      <c r="C8880" s="2889" t="s">
        <v>1570</v>
      </c>
      <c r="D8880" s="2889" t="s">
        <v>1559</v>
      </c>
      <c r="E8880" s="2889" t="s">
        <v>217</v>
      </c>
      <c r="F8880" s="2890">
        <v>0.27783007438909291</v>
      </c>
      <c r="G8880" s="2890">
        <v>172.92535766511733</v>
      </c>
    </row>
    <row r="8881" spans="2:7" ht="15" hidden="1" outlineLevel="2">
      <c r="B8881" s="2889" t="s">
        <v>1649</v>
      </c>
      <c r="C8881" s="2889" t="s">
        <v>1570</v>
      </c>
      <c r="D8881" s="2889" t="s">
        <v>1559</v>
      </c>
      <c r="E8881" s="2889" t="s">
        <v>217</v>
      </c>
      <c r="F8881" s="2890">
        <v>0.47185505745968237</v>
      </c>
      <c r="G8881" s="2890">
        <v>293.68944454126392</v>
      </c>
    </row>
    <row r="8882" spans="2:7" ht="15" hidden="1" outlineLevel="2">
      <c r="B8882" s="2889" t="s">
        <v>1650</v>
      </c>
      <c r="C8882" s="2889" t="s">
        <v>1570</v>
      </c>
      <c r="D8882" s="2889" t="s">
        <v>1559</v>
      </c>
      <c r="E8882" s="2889" t="s">
        <v>217</v>
      </c>
      <c r="F8882" s="2890">
        <v>1.5095083632085156</v>
      </c>
      <c r="G8882" s="2890">
        <v>933.22945498479169</v>
      </c>
    </row>
    <row r="8883" spans="2:7" ht="15" hidden="1" outlineLevel="2">
      <c r="B8883" s="2889" t="s">
        <v>1651</v>
      </c>
      <c r="C8883" s="2889" t="s">
        <v>1570</v>
      </c>
      <c r="D8883" s="2889" t="s">
        <v>1559</v>
      </c>
      <c r="E8883" s="2889" t="s">
        <v>217</v>
      </c>
      <c r="F8883" s="2890">
        <v>0.98399626266990137</v>
      </c>
      <c r="G8883" s="2890">
        <v>612.4535827099777</v>
      </c>
    </row>
    <row r="8884" spans="2:7" ht="15" hidden="1" outlineLevel="2">
      <c r="B8884" s="2889" t="s">
        <v>1652</v>
      </c>
      <c r="C8884" s="2889" t="s">
        <v>1570</v>
      </c>
      <c r="D8884" s="2889" t="s">
        <v>1559</v>
      </c>
      <c r="E8884" s="2889" t="s">
        <v>217</v>
      </c>
      <c r="F8884" s="2890">
        <v>1.3303512427459439</v>
      </c>
      <c r="G8884" s="2890">
        <v>828.03007425536555</v>
      </c>
    </row>
    <row r="8885" spans="2:7" ht="15" hidden="1" outlineLevel="2">
      <c r="B8885" s="2889" t="s">
        <v>1653</v>
      </c>
      <c r="C8885" s="2889" t="s">
        <v>1570</v>
      </c>
      <c r="D8885" s="2889" t="s">
        <v>1559</v>
      </c>
      <c r="E8885" s="2889" t="s">
        <v>217</v>
      </c>
      <c r="F8885" s="2890">
        <v>8.2303804139269889</v>
      </c>
      <c r="G8885" s="2890">
        <v>5095.1686995312657</v>
      </c>
    </row>
    <row r="8886" spans="2:7" ht="15" hidden="1" outlineLevel="2">
      <c r="B8886" s="2889" t="s">
        <v>1407</v>
      </c>
      <c r="C8886" s="2889" t="s">
        <v>1571</v>
      </c>
      <c r="D8886" s="2889" t="s">
        <v>1559</v>
      </c>
      <c r="E8886" s="2889" t="s">
        <v>217</v>
      </c>
      <c r="F8886" s="2890">
        <v>7.7982543407905391E-2</v>
      </c>
      <c r="G8886" s="2890">
        <v>92.616456155292056</v>
      </c>
    </row>
    <row r="8887" spans="2:7" ht="15" hidden="1" outlineLevel="2">
      <c r="B8887" s="2889" t="s">
        <v>1631</v>
      </c>
      <c r="C8887" s="2889" t="s">
        <v>1571</v>
      </c>
      <c r="D8887" s="2889" t="s">
        <v>1559</v>
      </c>
      <c r="E8887" s="2889" t="s">
        <v>217</v>
      </c>
      <c r="F8887" s="2890">
        <v>3.7769372079889179</v>
      </c>
      <c r="G8887" s="2890">
        <v>4438.1776183954744</v>
      </c>
    </row>
    <row r="8888" spans="2:7" ht="15" hidden="1" outlineLevel="2">
      <c r="B8888" s="2889" t="s">
        <v>1632</v>
      </c>
      <c r="C8888" s="2889" t="s">
        <v>1571</v>
      </c>
      <c r="D8888" s="2889" t="s">
        <v>1559</v>
      </c>
      <c r="E8888" s="2889" t="s">
        <v>217</v>
      </c>
      <c r="F8888" s="2890">
        <v>4.4857682309318774</v>
      </c>
      <c r="G8888" s="2890">
        <v>5334.707499995131</v>
      </c>
    </row>
    <row r="8889" spans="2:7" ht="15" hidden="1" outlineLevel="2">
      <c r="B8889" s="2889" t="s">
        <v>1633</v>
      </c>
      <c r="C8889" s="2889" t="s">
        <v>1571</v>
      </c>
      <c r="D8889" s="2889" t="s">
        <v>1559</v>
      </c>
      <c r="E8889" s="2889" t="s">
        <v>217</v>
      </c>
      <c r="F8889" s="3039">
        <v>0.26708465373600138</v>
      </c>
      <c r="G8889" s="2890">
        <v>318.6006315521177</v>
      </c>
    </row>
    <row r="8890" spans="2:7" ht="15" hidden="1" outlineLevel="2">
      <c r="B8890" s="2889" t="s">
        <v>1634</v>
      </c>
      <c r="C8890" s="2889" t="s">
        <v>1571</v>
      </c>
      <c r="D8890" s="2889" t="s">
        <v>1559</v>
      </c>
      <c r="E8890" s="2889" t="s">
        <v>217</v>
      </c>
      <c r="F8890" s="3039">
        <v>8.3654045117393994E-2</v>
      </c>
      <c r="G8890" s="2890">
        <v>100.02583994553802</v>
      </c>
    </row>
    <row r="8891" spans="2:7" ht="15" hidden="1" outlineLevel="2">
      <c r="B8891" s="2889" t="s">
        <v>1635</v>
      </c>
      <c r="C8891" s="2889" t="s">
        <v>1571</v>
      </c>
      <c r="D8891" s="2889" t="s">
        <v>1559</v>
      </c>
      <c r="E8891" s="2889" t="s">
        <v>217</v>
      </c>
      <c r="F8891" s="2890">
        <v>1.4142623480176471</v>
      </c>
      <c r="G8891" s="2890">
        <v>1681.9143720117956</v>
      </c>
    </row>
    <row r="8892" spans="2:7" ht="15" hidden="1" outlineLevel="2">
      <c r="B8892" s="2889" t="s">
        <v>1636</v>
      </c>
      <c r="C8892" s="2889" t="s">
        <v>1571</v>
      </c>
      <c r="D8892" s="2889" t="s">
        <v>1559</v>
      </c>
      <c r="E8892" s="2889" t="s">
        <v>217</v>
      </c>
      <c r="F8892" s="2890">
        <v>0.18377139851382257</v>
      </c>
      <c r="G8892" s="2890">
        <v>218.5747888909969</v>
      </c>
    </row>
    <row r="8893" spans="2:7" ht="15" hidden="1" outlineLevel="2">
      <c r="B8893" s="2889" t="s">
        <v>1637</v>
      </c>
      <c r="C8893" s="2889" t="s">
        <v>1571</v>
      </c>
      <c r="D8893" s="2889" t="s">
        <v>1559</v>
      </c>
      <c r="E8893" s="2889" t="s">
        <v>217</v>
      </c>
      <c r="F8893" s="2890">
        <v>0.3850987219207016</v>
      </c>
      <c r="G8893" s="2890">
        <v>459.37769890089885</v>
      </c>
    </row>
    <row r="8894" spans="2:7" ht="15" hidden="1" outlineLevel="2">
      <c r="B8894" s="2889" t="s">
        <v>1638</v>
      </c>
      <c r="C8894" s="2889" t="s">
        <v>1571</v>
      </c>
      <c r="D8894" s="2889" t="s">
        <v>1559</v>
      </c>
      <c r="E8894" s="2889" t="s">
        <v>217</v>
      </c>
      <c r="F8894" s="2890">
        <v>0.49572748868863015</v>
      </c>
      <c r="G8894" s="2890">
        <v>592.74535199045658</v>
      </c>
    </row>
    <row r="8895" spans="2:7" ht="15" hidden="1" outlineLevel="2">
      <c r="B8895" s="2889" t="s">
        <v>1639</v>
      </c>
      <c r="C8895" s="2889" t="s">
        <v>1571</v>
      </c>
      <c r="D8895" s="2889" t="s">
        <v>1559</v>
      </c>
      <c r="E8895" s="2889" t="s">
        <v>217</v>
      </c>
      <c r="F8895" s="2890">
        <v>2.3416497467892468</v>
      </c>
      <c r="G8895" s="2890">
        <v>2793.3113830240013</v>
      </c>
    </row>
    <row r="8896" spans="2:7" ht="15" hidden="1" outlineLevel="2">
      <c r="B8896" s="2889" t="s">
        <v>1640</v>
      </c>
      <c r="C8896" s="2889" t="s">
        <v>1571</v>
      </c>
      <c r="D8896" s="2889" t="s">
        <v>1559</v>
      </c>
      <c r="E8896" s="2889" t="s">
        <v>217</v>
      </c>
      <c r="F8896" s="2890">
        <v>0.50220790528260972</v>
      </c>
      <c r="G8896" s="2890">
        <v>596.45022914984884</v>
      </c>
    </row>
    <row r="8897" spans="2:7" ht="15" hidden="1" outlineLevel="2">
      <c r="B8897" s="2889" t="s">
        <v>1641</v>
      </c>
      <c r="C8897" s="2889" t="s">
        <v>1571</v>
      </c>
      <c r="D8897" s="2889" t="s">
        <v>1559</v>
      </c>
      <c r="E8897" s="2889" t="s">
        <v>217</v>
      </c>
      <c r="F8897" s="2890">
        <v>1.0311035924969092</v>
      </c>
      <c r="G8897" s="2890">
        <v>1226.241488383562</v>
      </c>
    </row>
    <row r="8898" spans="2:7" ht="15" hidden="1" outlineLevel="2">
      <c r="B8898" s="2889" t="s">
        <v>1642</v>
      </c>
      <c r="C8898" s="2889" t="s">
        <v>1571</v>
      </c>
      <c r="D8898" s="2889" t="s">
        <v>1559</v>
      </c>
      <c r="E8898" s="2889" t="s">
        <v>217</v>
      </c>
      <c r="F8898" s="2890">
        <v>3.0341234073538783</v>
      </c>
      <c r="G8898" s="2890">
        <v>3608.3370312330862</v>
      </c>
    </row>
    <row r="8899" spans="2:7" ht="15" hidden="1" outlineLevel="2">
      <c r="B8899" s="2889" t="s">
        <v>1643</v>
      </c>
      <c r="C8899" s="2889" t="s">
        <v>1571</v>
      </c>
      <c r="D8899" s="2889" t="s">
        <v>1559</v>
      </c>
      <c r="E8899" s="2889" t="s">
        <v>217</v>
      </c>
      <c r="F8899" s="2890">
        <v>0.29580195513298496</v>
      </c>
      <c r="G8899" s="2890">
        <v>351.2284675593898</v>
      </c>
    </row>
    <row r="8900" spans="2:7" ht="15" hidden="1" outlineLevel="2">
      <c r="B8900" s="2889" t="s">
        <v>1644</v>
      </c>
      <c r="C8900" s="2889" t="s">
        <v>1571</v>
      </c>
      <c r="D8900" s="2889" t="s">
        <v>1559</v>
      </c>
      <c r="E8900" s="2889" t="s">
        <v>217</v>
      </c>
      <c r="F8900" s="2890">
        <v>9.2485863957064929</v>
      </c>
      <c r="G8900" s="2890">
        <v>11032.472451265405</v>
      </c>
    </row>
    <row r="8901" spans="2:7" ht="15" hidden="1" outlineLevel="2">
      <c r="B8901" s="2889" t="s">
        <v>1645</v>
      </c>
      <c r="C8901" s="2889" t="s">
        <v>1571</v>
      </c>
      <c r="D8901" s="2889" t="s">
        <v>1559</v>
      </c>
      <c r="E8901" s="2889" t="s">
        <v>217</v>
      </c>
      <c r="F8901" s="2890">
        <v>4.5187012086987339</v>
      </c>
      <c r="G8901" s="2890">
        <v>5390.2768245761563</v>
      </c>
    </row>
    <row r="8902" spans="2:7" ht="15" hidden="1" outlineLevel="2">
      <c r="B8902" s="2889" t="s">
        <v>1646</v>
      </c>
      <c r="C8902" s="2889" t="s">
        <v>1571</v>
      </c>
      <c r="D8902" s="2889" t="s">
        <v>1559</v>
      </c>
      <c r="E8902" s="2889" t="s">
        <v>217</v>
      </c>
      <c r="F8902" s="2890">
        <v>0.29593611438135226</v>
      </c>
      <c r="G8902" s="2890">
        <v>351.94245727383708</v>
      </c>
    </row>
    <row r="8903" spans="2:7" ht="15" hidden="1" outlineLevel="2">
      <c r="B8903" s="2889" t="s">
        <v>1647</v>
      </c>
      <c r="C8903" s="2889" t="s">
        <v>1571</v>
      </c>
      <c r="D8903" s="2889" t="s">
        <v>1559</v>
      </c>
      <c r="E8903" s="2889" t="s">
        <v>217</v>
      </c>
      <c r="F8903" s="2890">
        <v>0.22617577345529424</v>
      </c>
      <c r="G8903" s="2890">
        <v>270.44000628741702</v>
      </c>
    </row>
    <row r="8904" spans="2:7" ht="15" hidden="1" outlineLevel="2">
      <c r="B8904" s="2889" t="s">
        <v>1648</v>
      </c>
      <c r="C8904" s="2889" t="s">
        <v>1571</v>
      </c>
      <c r="D8904" s="2889" t="s">
        <v>1559</v>
      </c>
      <c r="E8904" s="2889" t="s">
        <v>217</v>
      </c>
      <c r="F8904" s="2890">
        <v>0.49882593444337542</v>
      </c>
      <c r="G8904" s="2890">
        <v>596.45022914984884</v>
      </c>
    </row>
    <row r="8905" spans="2:7" ht="15" hidden="1" outlineLevel="2">
      <c r="B8905" s="2889" t="s">
        <v>1649</v>
      </c>
      <c r="C8905" s="2889" t="s">
        <v>1571</v>
      </c>
      <c r="D8905" s="2889" t="s">
        <v>1559</v>
      </c>
      <c r="E8905" s="2889" t="s">
        <v>217</v>
      </c>
      <c r="F8905" s="2890">
        <v>0.48953102411727517</v>
      </c>
      <c r="G8905" s="2890">
        <v>585.3355481759113</v>
      </c>
    </row>
    <row r="8906" spans="2:7" ht="15" hidden="1" outlineLevel="2">
      <c r="B8906" s="2889" t="s">
        <v>1650</v>
      </c>
      <c r="C8906" s="2889" t="s">
        <v>1571</v>
      </c>
      <c r="D8906" s="2889" t="s">
        <v>1559</v>
      </c>
      <c r="E8906" s="2889" t="s">
        <v>217</v>
      </c>
      <c r="F8906" s="3039">
        <v>0.70496220797167486</v>
      </c>
      <c r="G8906" s="2890">
        <v>837.25251789663832</v>
      </c>
    </row>
    <row r="8907" spans="2:7" ht="15" hidden="1" outlineLevel="2">
      <c r="B8907" s="2889" t="s">
        <v>1651</v>
      </c>
      <c r="C8907" s="2889" t="s">
        <v>1571</v>
      </c>
      <c r="D8907" s="2889" t="s">
        <v>1559</v>
      </c>
      <c r="E8907" s="2889" t="s">
        <v>217</v>
      </c>
      <c r="F8907" s="3039">
        <v>0.31602646971731285</v>
      </c>
      <c r="G8907" s="2890">
        <v>377.87507884516469</v>
      </c>
    </row>
    <row r="8908" spans="2:7" ht="15" hidden="1" outlineLevel="2">
      <c r="B8908" s="2889" t="s">
        <v>1652</v>
      </c>
      <c r="C8908" s="2889" t="s">
        <v>1571</v>
      </c>
      <c r="D8908" s="2889" t="s">
        <v>1559</v>
      </c>
      <c r="E8908" s="2889" t="s">
        <v>217</v>
      </c>
      <c r="F8908" s="3039">
        <v>0.49882593440176909</v>
      </c>
      <c r="G8908" s="2890">
        <v>596.45022910061107</v>
      </c>
    </row>
    <row r="8909" spans="2:7" ht="15" hidden="1" outlineLevel="2">
      <c r="B8909" s="2889" t="s">
        <v>1653</v>
      </c>
      <c r="C8909" s="2889" t="s">
        <v>1571</v>
      </c>
      <c r="D8909" s="2889" t="s">
        <v>1559</v>
      </c>
      <c r="E8909" s="2889" t="s">
        <v>217</v>
      </c>
      <c r="F8909" s="3039">
        <v>0.56383620125560252</v>
      </c>
      <c r="G8909" s="2890">
        <v>670.54318202807542</v>
      </c>
    </row>
    <row r="8910" spans="2:7" ht="15" hidden="1" outlineLevel="2">
      <c r="B8910" s="2889" t="s">
        <v>1407</v>
      </c>
      <c r="C8910" s="2889" t="s">
        <v>1572</v>
      </c>
      <c r="D8910" s="2889" t="s">
        <v>1559</v>
      </c>
      <c r="E8910" s="2889" t="s">
        <v>217</v>
      </c>
      <c r="F8910" s="3039">
        <v>7.6802950533157041E-2</v>
      </c>
      <c r="G8910" s="2890">
        <v>47.098069005728441</v>
      </c>
    </row>
    <row r="8911" spans="2:7" ht="15" hidden="1" outlineLevel="2">
      <c r="B8911" s="2889" t="s">
        <v>1631</v>
      </c>
      <c r="C8911" s="2889" t="s">
        <v>1572</v>
      </c>
      <c r="D8911" s="2889" t="s">
        <v>1559</v>
      </c>
      <c r="E8911" s="2889" t="s">
        <v>217</v>
      </c>
      <c r="F8911" s="3039">
        <v>0.45737767016965858</v>
      </c>
      <c r="G8911" s="2890">
        <v>277.50510824223437</v>
      </c>
    </row>
    <row r="8912" spans="2:7" ht="15" hidden="1" outlineLevel="2">
      <c r="B8912" s="2889" t="s">
        <v>1632</v>
      </c>
      <c r="C8912" s="2889" t="s">
        <v>1572</v>
      </c>
      <c r="D8912" s="2889" t="s">
        <v>1559</v>
      </c>
      <c r="E8912" s="2889" t="s">
        <v>217</v>
      </c>
      <c r="F8912" s="3039">
        <v>0.74877999096572545</v>
      </c>
      <c r="G8912" s="2890">
        <v>459.79596029053789</v>
      </c>
    </row>
    <row r="8913" spans="2:7" ht="15" hidden="1" outlineLevel="2">
      <c r="B8913" s="2889" t="s">
        <v>1633</v>
      </c>
      <c r="C8913" s="2889" t="s">
        <v>1572</v>
      </c>
      <c r="D8913" s="2889" t="s">
        <v>1559</v>
      </c>
      <c r="E8913" s="2889" t="s">
        <v>217</v>
      </c>
      <c r="F8913" s="3039">
        <v>6.8903252115819671E-2</v>
      </c>
      <c r="G8913" s="2890">
        <v>42.43873405099454</v>
      </c>
    </row>
    <row r="8914" spans="2:7" ht="15" hidden="1" outlineLevel="2">
      <c r="B8914" s="2889" t="s">
        <v>1634</v>
      </c>
      <c r="C8914" s="2889" t="s">
        <v>1572</v>
      </c>
      <c r="D8914" s="2889" t="s">
        <v>1559</v>
      </c>
      <c r="E8914" s="2889" t="s">
        <v>217</v>
      </c>
      <c r="F8914" s="3039">
        <v>2.86508839148506E-2</v>
      </c>
      <c r="G8914" s="2890">
        <v>17.688451336527876</v>
      </c>
    </row>
    <row r="8915" spans="2:7" ht="15" hidden="1" outlineLevel="2">
      <c r="B8915" s="2889" t="s">
        <v>1635</v>
      </c>
      <c r="C8915" s="2889" t="s">
        <v>1572</v>
      </c>
      <c r="D8915" s="2889" t="s">
        <v>1559</v>
      </c>
      <c r="E8915" s="2889" t="s">
        <v>217</v>
      </c>
      <c r="F8915" s="3039">
        <v>0.13351477576033471</v>
      </c>
      <c r="G8915" s="2890">
        <v>81.986067373831204</v>
      </c>
    </row>
    <row r="8916" spans="2:7" ht="15" hidden="1" outlineLevel="2">
      <c r="B8916" s="2889" t="s">
        <v>1636</v>
      </c>
      <c r="C8916" s="2889" t="s">
        <v>1572</v>
      </c>
      <c r="D8916" s="2889" t="s">
        <v>1559</v>
      </c>
      <c r="E8916" s="2889" t="s">
        <v>217</v>
      </c>
      <c r="F8916" s="2890">
        <v>8.4705299187257527E-2</v>
      </c>
      <c r="G8916" s="2890">
        <v>52.019863971807141</v>
      </c>
    </row>
    <row r="8917" spans="2:7" ht="15" hidden="1" outlineLevel="2">
      <c r="B8917" s="2889" t="s">
        <v>1637</v>
      </c>
      <c r="C8917" s="2889" t="s">
        <v>1572</v>
      </c>
      <c r="D8917" s="2889" t="s">
        <v>1559</v>
      </c>
      <c r="E8917" s="2889" t="s">
        <v>217</v>
      </c>
      <c r="F8917" s="2890">
        <v>0.10913448927354881</v>
      </c>
      <c r="G8917" s="2890">
        <v>67.217842974182858</v>
      </c>
    </row>
    <row r="8918" spans="2:7" ht="15" hidden="1" outlineLevel="2">
      <c r="B8918" s="2889" t="s">
        <v>1638</v>
      </c>
      <c r="C8918" s="2889" t="s">
        <v>1572</v>
      </c>
      <c r="D8918" s="2889" t="s">
        <v>1559</v>
      </c>
      <c r="E8918" s="2889" t="s">
        <v>217</v>
      </c>
      <c r="F8918" s="3039">
        <v>3.4429655133726388E-2</v>
      </c>
      <c r="G8918" s="2890">
        <v>21.256143205017676</v>
      </c>
    </row>
    <row r="8919" spans="2:7" ht="15" hidden="1" outlineLevel="2">
      <c r="B8919" s="2889" t="s">
        <v>1639</v>
      </c>
      <c r="C8919" s="2889" t="s">
        <v>1572</v>
      </c>
      <c r="D8919" s="2889" t="s">
        <v>1559</v>
      </c>
      <c r="E8919" s="2889" t="s">
        <v>217</v>
      </c>
      <c r="F8919" s="2890">
        <v>0.18241840558724184</v>
      </c>
      <c r="G8919" s="2890">
        <v>112.35472646643153</v>
      </c>
    </row>
    <row r="8920" spans="2:7" ht="15" hidden="1" outlineLevel="2">
      <c r="B8920" s="2889" t="s">
        <v>1640</v>
      </c>
      <c r="C8920" s="2889" t="s">
        <v>1572</v>
      </c>
      <c r="D8920" s="2889" t="s">
        <v>1559</v>
      </c>
      <c r="E8920" s="2889" t="s">
        <v>217</v>
      </c>
      <c r="F8920" s="2890">
        <v>4.0261590493761511E-2</v>
      </c>
      <c r="G8920" s="2890">
        <v>24.689717185154581</v>
      </c>
    </row>
    <row r="8921" spans="2:7" ht="15" hidden="1" outlineLevel="2">
      <c r="B8921" s="2889" t="s">
        <v>1641</v>
      </c>
      <c r="C8921" s="2889" t="s">
        <v>1572</v>
      </c>
      <c r="D8921" s="2889" t="s">
        <v>1559</v>
      </c>
      <c r="E8921" s="2889" t="s">
        <v>217</v>
      </c>
      <c r="F8921" s="2890">
        <v>0.20360107491506871</v>
      </c>
      <c r="G8921" s="2890">
        <v>125.02334947688469</v>
      </c>
    </row>
    <row r="8922" spans="2:7" ht="15" hidden="1" outlineLevel="2">
      <c r="B8922" s="2889" t="s">
        <v>1642</v>
      </c>
      <c r="C8922" s="2889" t="s">
        <v>1572</v>
      </c>
      <c r="D8922" s="2889" t="s">
        <v>1559</v>
      </c>
      <c r="E8922" s="2889" t="s">
        <v>217</v>
      </c>
      <c r="F8922" s="2890">
        <v>0.22693972441782626</v>
      </c>
      <c r="G8922" s="2890">
        <v>139.35462353955057</v>
      </c>
    </row>
    <row r="8923" spans="2:7" ht="15" hidden="1" outlineLevel="2">
      <c r="B8923" s="2889" t="s">
        <v>1643</v>
      </c>
      <c r="C8923" s="2889" t="s">
        <v>1572</v>
      </c>
      <c r="D8923" s="2889" t="s">
        <v>1559</v>
      </c>
      <c r="E8923" s="2889" t="s">
        <v>217</v>
      </c>
      <c r="F8923" s="2890">
        <v>3.6142320124081403E-2</v>
      </c>
      <c r="G8923" s="2890">
        <v>22.163861136109212</v>
      </c>
    </row>
    <row r="8924" spans="2:7" ht="15" hidden="1" outlineLevel="2">
      <c r="B8924" s="2889" t="s">
        <v>1644</v>
      </c>
      <c r="C8924" s="2889" t="s">
        <v>1572</v>
      </c>
      <c r="D8924" s="2889" t="s">
        <v>1559</v>
      </c>
      <c r="E8924" s="2889" t="s">
        <v>217</v>
      </c>
      <c r="F8924" s="2890">
        <v>0.80800048946855096</v>
      </c>
      <c r="G8924" s="2890">
        <v>497.66191666199398</v>
      </c>
    </row>
    <row r="8925" spans="2:7" ht="15" hidden="1" outlineLevel="2">
      <c r="B8925" s="2889" t="s">
        <v>1645</v>
      </c>
      <c r="C8925" s="2889" t="s">
        <v>1572</v>
      </c>
      <c r="D8925" s="2889" t="s">
        <v>1559</v>
      </c>
      <c r="E8925" s="2889" t="s">
        <v>217</v>
      </c>
      <c r="F8925" s="2890">
        <v>0.72330730688715095</v>
      </c>
      <c r="G8925" s="2890">
        <v>445.49774777083979</v>
      </c>
    </row>
    <row r="8926" spans="2:7" ht="15" hidden="1" outlineLevel="2">
      <c r="B8926" s="2889" t="s">
        <v>1646</v>
      </c>
      <c r="C8926" s="2889" t="s">
        <v>1572</v>
      </c>
      <c r="D8926" s="2889" t="s">
        <v>1559</v>
      </c>
      <c r="E8926" s="2889" t="s">
        <v>217</v>
      </c>
      <c r="F8926" s="2890">
        <v>4.1198362907856022E-2</v>
      </c>
      <c r="G8926" s="2890">
        <v>25.298262586869807</v>
      </c>
    </row>
    <row r="8927" spans="2:7" ht="15" hidden="1" outlineLevel="2">
      <c r="B8927" s="2889" t="s">
        <v>1647</v>
      </c>
      <c r="C8927" s="2889" t="s">
        <v>1572</v>
      </c>
      <c r="D8927" s="2889" t="s">
        <v>1559</v>
      </c>
      <c r="E8927" s="2889" t="s">
        <v>217</v>
      </c>
      <c r="F8927" s="2890">
        <v>8.3714974231263825E-2</v>
      </c>
      <c r="G8927" s="2890">
        <v>51.683864747733139</v>
      </c>
    </row>
    <row r="8928" spans="2:7" ht="15" hidden="1" outlineLevel="2">
      <c r="B8928" s="2889" t="s">
        <v>1648</v>
      </c>
      <c r="C8928" s="2889" t="s">
        <v>1572</v>
      </c>
      <c r="D8928" s="2889" t="s">
        <v>1559</v>
      </c>
      <c r="E8928" s="2889" t="s">
        <v>217</v>
      </c>
      <c r="F8928" s="2890">
        <v>2.3486437377170696E-2</v>
      </c>
      <c r="G8928" s="2890">
        <v>14.500029428075043</v>
      </c>
    </row>
    <row r="8929" spans="2:7" ht="15" hidden="1" outlineLevel="2">
      <c r="B8929" s="2889" t="s">
        <v>1649</v>
      </c>
      <c r="C8929" s="2889" t="s">
        <v>1572</v>
      </c>
      <c r="D8929" s="2889" t="s">
        <v>1559</v>
      </c>
      <c r="E8929" s="2889" t="s">
        <v>217</v>
      </c>
      <c r="F8929" s="2890">
        <v>3.9888399436051276E-2</v>
      </c>
      <c r="G8929" s="2890">
        <v>24.626265870206044</v>
      </c>
    </row>
    <row r="8930" spans="2:7" ht="15" hidden="1" outlineLevel="2">
      <c r="B8930" s="2889" t="s">
        <v>1650</v>
      </c>
      <c r="C8930" s="2889" t="s">
        <v>1572</v>
      </c>
      <c r="D8930" s="2889" t="s">
        <v>1559</v>
      </c>
      <c r="E8930" s="2889" t="s">
        <v>217</v>
      </c>
      <c r="F8930" s="2890">
        <v>0.12760677902467896</v>
      </c>
      <c r="G8930" s="2890">
        <v>78.252612168423738</v>
      </c>
    </row>
    <row r="8931" spans="2:7" ht="15" hidden="1" outlineLevel="2">
      <c r="B8931" s="2889" t="s">
        <v>1651</v>
      </c>
      <c r="C8931" s="2889" t="s">
        <v>1572</v>
      </c>
      <c r="D8931" s="2889" t="s">
        <v>1559</v>
      </c>
      <c r="E8931" s="2889" t="s">
        <v>217</v>
      </c>
      <c r="F8931" s="2890">
        <v>8.3182412470919911E-2</v>
      </c>
      <c r="G8931" s="2890">
        <v>51.3550665395382</v>
      </c>
    </row>
    <row r="8932" spans="2:7" ht="15" hidden="1" outlineLevel="2">
      <c r="B8932" s="2889" t="s">
        <v>1652</v>
      </c>
      <c r="C8932" s="2889" t="s">
        <v>1572</v>
      </c>
      <c r="D8932" s="2889" t="s">
        <v>1559</v>
      </c>
      <c r="E8932" s="2889" t="s">
        <v>217</v>
      </c>
      <c r="F8932" s="2890">
        <v>0.1124616283727933</v>
      </c>
      <c r="G8932" s="2890">
        <v>69.431438588500754</v>
      </c>
    </row>
    <row r="8933" spans="2:7" ht="15" hidden="1" outlineLevel="2">
      <c r="B8933" s="2889" t="s">
        <v>1653</v>
      </c>
      <c r="C8933" s="2889" t="s">
        <v>1572</v>
      </c>
      <c r="D8933" s="2889" t="s">
        <v>1559</v>
      </c>
      <c r="E8933" s="2889" t="s">
        <v>217</v>
      </c>
      <c r="F8933" s="2890">
        <v>0.69575755416122609</v>
      </c>
      <c r="G8933" s="2890">
        <v>427.2368203019787</v>
      </c>
    </row>
    <row r="8934" spans="2:7" ht="15" hidden="1" outlineLevel="2">
      <c r="B8934" s="2889" t="s">
        <v>1407</v>
      </c>
      <c r="C8934" s="2889" t="s">
        <v>1573</v>
      </c>
      <c r="D8934" s="2889" t="s">
        <v>1559</v>
      </c>
      <c r="E8934" s="2889" t="s">
        <v>217</v>
      </c>
      <c r="F8934" s="2890">
        <v>6.3209981428719544E-2</v>
      </c>
      <c r="G8934" s="2890">
        <v>47.14261590316498</v>
      </c>
    </row>
    <row r="8935" spans="2:7" ht="15" hidden="1" outlineLevel="2">
      <c r="B8935" s="2889" t="s">
        <v>1631</v>
      </c>
      <c r="C8935" s="2889" t="s">
        <v>1573</v>
      </c>
      <c r="D8935" s="2889" t="s">
        <v>1559</v>
      </c>
      <c r="E8935" s="2889" t="s">
        <v>217</v>
      </c>
      <c r="F8935" s="2890">
        <v>3.0614546718316933</v>
      </c>
      <c r="G8935" s="2890">
        <v>2259.0744484784232</v>
      </c>
    </row>
    <row r="8936" spans="2:7" ht="15" hidden="1" outlineLevel="2">
      <c r="B8936" s="2889" t="s">
        <v>1632</v>
      </c>
      <c r="C8936" s="2889" t="s">
        <v>1573</v>
      </c>
      <c r="D8936" s="2889" t="s">
        <v>1559</v>
      </c>
      <c r="E8936" s="2889" t="s">
        <v>217</v>
      </c>
      <c r="F8936" s="2890">
        <v>3.6360090759118697</v>
      </c>
      <c r="G8936" s="2890">
        <v>2715.4145049435756</v>
      </c>
    </row>
    <row r="8937" spans="2:7" ht="15" hidden="1" outlineLevel="2">
      <c r="B8937" s="2889" t="s">
        <v>1633</v>
      </c>
      <c r="C8937" s="2889" t="s">
        <v>1573</v>
      </c>
      <c r="D8937" s="2889" t="s">
        <v>1559</v>
      </c>
      <c r="E8937" s="2889" t="s">
        <v>217</v>
      </c>
      <c r="F8937" s="2890">
        <v>0.2164895827002663</v>
      </c>
      <c r="G8937" s="2890">
        <v>162.17059251034311</v>
      </c>
    </row>
    <row r="8938" spans="2:7" ht="15" hidden="1" outlineLevel="2">
      <c r="B8938" s="2889" t="s">
        <v>1634</v>
      </c>
      <c r="C8938" s="2889" t="s">
        <v>1573</v>
      </c>
      <c r="D8938" s="2889" t="s">
        <v>1559</v>
      </c>
      <c r="E8938" s="2889" t="s">
        <v>217</v>
      </c>
      <c r="F8938" s="2890">
        <v>6.7807067962274287E-2</v>
      </c>
      <c r="G8938" s="2890">
        <v>50.914029350585515</v>
      </c>
    </row>
    <row r="8939" spans="2:7" ht="15" hidden="1" outlineLevel="2">
      <c r="B8939" s="2889" t="s">
        <v>1635</v>
      </c>
      <c r="C8939" s="2889" t="s">
        <v>1573</v>
      </c>
      <c r="D8939" s="2889" t="s">
        <v>1559</v>
      </c>
      <c r="E8939" s="2889" t="s">
        <v>217</v>
      </c>
      <c r="F8939" s="3039">
        <v>1.1463526505487931</v>
      </c>
      <c r="G8939" s="2890">
        <v>856.10999014208221</v>
      </c>
    </row>
    <row r="8940" spans="2:7" ht="15" hidden="1" outlineLevel="2">
      <c r="B8940" s="2889" t="s">
        <v>1636</v>
      </c>
      <c r="C8940" s="2889" t="s">
        <v>1573</v>
      </c>
      <c r="D8940" s="2889" t="s">
        <v>1559</v>
      </c>
      <c r="E8940" s="2889" t="s">
        <v>217</v>
      </c>
      <c r="F8940" s="3039">
        <v>0.14895866854300394</v>
      </c>
      <c r="G8940" s="2890">
        <v>111.25659498579671</v>
      </c>
    </row>
    <row r="8941" spans="2:7" ht="15" hidden="1" outlineLevel="2">
      <c r="B8941" s="2889" t="s">
        <v>1637</v>
      </c>
      <c r="C8941" s="2889" t="s">
        <v>1573</v>
      </c>
      <c r="D8941" s="2889" t="s">
        <v>1559</v>
      </c>
      <c r="E8941" s="2889" t="s">
        <v>217</v>
      </c>
      <c r="F8941" s="3039">
        <v>0.3121478945168803</v>
      </c>
      <c r="G8941" s="2890">
        <v>233.82733557430015</v>
      </c>
    </row>
    <row r="8942" spans="2:7" ht="15" hidden="1" outlineLevel="2">
      <c r="B8942" s="2889" t="s">
        <v>1638</v>
      </c>
      <c r="C8942" s="2889" t="s">
        <v>1573</v>
      </c>
      <c r="D8942" s="2889" t="s">
        <v>1559</v>
      </c>
      <c r="E8942" s="2889" t="s">
        <v>217</v>
      </c>
      <c r="F8942" s="3039">
        <v>0.40181975119570262</v>
      </c>
      <c r="G8942" s="2890">
        <v>301.71281792980062</v>
      </c>
    </row>
    <row r="8943" spans="2:7" ht="15" hidden="1" outlineLevel="2">
      <c r="B8943" s="2889" t="s">
        <v>1639</v>
      </c>
      <c r="C8943" s="2889" t="s">
        <v>1573</v>
      </c>
      <c r="D8943" s="2889" t="s">
        <v>1559</v>
      </c>
      <c r="E8943" s="2889" t="s">
        <v>217</v>
      </c>
      <c r="F8943" s="3039">
        <v>1.8980596209081346</v>
      </c>
      <c r="G8943" s="2890">
        <v>1421.8207519742837</v>
      </c>
    </row>
    <row r="8944" spans="2:7" ht="15" hidden="1" outlineLevel="2">
      <c r="B8944" s="2889" t="s">
        <v>1640</v>
      </c>
      <c r="C8944" s="2889" t="s">
        <v>1573</v>
      </c>
      <c r="D8944" s="2889" t="s">
        <v>1559</v>
      </c>
      <c r="E8944" s="2889" t="s">
        <v>217</v>
      </c>
      <c r="F8944" s="3039">
        <v>0.40707215265289987</v>
      </c>
      <c r="G8944" s="2890">
        <v>303.59851290387462</v>
      </c>
    </row>
    <row r="8945" spans="2:7" ht="15" hidden="1" outlineLevel="2">
      <c r="B8945" s="2889" t="s">
        <v>1641</v>
      </c>
      <c r="C8945" s="2889" t="s">
        <v>1573</v>
      </c>
      <c r="D8945" s="2889" t="s">
        <v>1559</v>
      </c>
      <c r="E8945" s="2889" t="s">
        <v>217</v>
      </c>
      <c r="F8945" s="2890">
        <v>0.83577667961559543</v>
      </c>
      <c r="G8945" s="2890">
        <v>624.1679443607826</v>
      </c>
    </row>
    <row r="8946" spans="2:7" ht="15" hidden="1" outlineLevel="2">
      <c r="B8946" s="2889" t="s">
        <v>1642</v>
      </c>
      <c r="C8946" s="2889" t="s">
        <v>1573</v>
      </c>
      <c r="D8946" s="2889" t="s">
        <v>1559</v>
      </c>
      <c r="E8946" s="2889" t="s">
        <v>217</v>
      </c>
      <c r="F8946" s="2890">
        <v>2.4593553373194403</v>
      </c>
      <c r="G8946" s="2890">
        <v>1836.6770666359594</v>
      </c>
    </row>
    <row r="8947" spans="2:7" ht="15" hidden="1" outlineLevel="2">
      <c r="B8947" s="2889" t="s">
        <v>1643</v>
      </c>
      <c r="C8947" s="2889" t="s">
        <v>1573</v>
      </c>
      <c r="D8947" s="2889" t="s">
        <v>1559</v>
      </c>
      <c r="E8947" s="2889" t="s">
        <v>217</v>
      </c>
      <c r="F8947" s="2890">
        <v>0.23976687280929201</v>
      </c>
      <c r="G8947" s="2890">
        <v>178.77846147235539</v>
      </c>
    </row>
    <row r="8948" spans="2:7" ht="15" hidden="1" outlineLevel="2">
      <c r="B8948" s="2889" t="s">
        <v>1644</v>
      </c>
      <c r="C8948" s="2889" t="s">
        <v>1573</v>
      </c>
      <c r="D8948" s="2889" t="s">
        <v>1559</v>
      </c>
      <c r="E8948" s="2889" t="s">
        <v>217</v>
      </c>
      <c r="F8948" s="2890">
        <v>7.4965801255609588</v>
      </c>
      <c r="G8948" s="2890">
        <v>5615.6269396657945</v>
      </c>
    </row>
    <row r="8949" spans="2:7" ht="15" hidden="1" outlineLevel="2">
      <c r="B8949" s="2889" t="s">
        <v>1645</v>
      </c>
      <c r="C8949" s="2889" t="s">
        <v>1573</v>
      </c>
      <c r="D8949" s="2889" t="s">
        <v>1559</v>
      </c>
      <c r="E8949" s="2889" t="s">
        <v>217</v>
      </c>
      <c r="F8949" s="2890">
        <v>3.6627030226113635</v>
      </c>
      <c r="G8949" s="2890">
        <v>2743.6994991906613</v>
      </c>
    </row>
    <row r="8950" spans="2:7" ht="15" hidden="1" outlineLevel="2">
      <c r="B8950" s="2889" t="s">
        <v>1646</v>
      </c>
      <c r="C8950" s="2889" t="s">
        <v>1573</v>
      </c>
      <c r="D8950" s="2889" t="s">
        <v>1559</v>
      </c>
      <c r="E8950" s="2889" t="s">
        <v>217</v>
      </c>
      <c r="F8950" s="2890">
        <v>0.2398754986845324</v>
      </c>
      <c r="G8950" s="2890">
        <v>179.14193895399345</v>
      </c>
    </row>
    <row r="8951" spans="2:7" ht="15" hidden="1" outlineLevel="2">
      <c r="B8951" s="2889" t="s">
        <v>1647</v>
      </c>
      <c r="C8951" s="2889" t="s">
        <v>1573</v>
      </c>
      <c r="D8951" s="2889" t="s">
        <v>1559</v>
      </c>
      <c r="E8951" s="2889" t="s">
        <v>217</v>
      </c>
      <c r="F8951" s="2890">
        <v>0.18333020615908327</v>
      </c>
      <c r="G8951" s="2890">
        <v>137.65650855658427</v>
      </c>
    </row>
    <row r="8952" spans="2:7" ht="15" hidden="1" outlineLevel="2">
      <c r="B8952" s="2889" t="s">
        <v>1648</v>
      </c>
      <c r="C8952" s="2889" t="s">
        <v>1573</v>
      </c>
      <c r="D8952" s="2889" t="s">
        <v>1559</v>
      </c>
      <c r="E8952" s="2889" t="s">
        <v>217</v>
      </c>
      <c r="F8952" s="2890">
        <v>0.40433112353902301</v>
      </c>
      <c r="G8952" s="2890">
        <v>303.59851290387462</v>
      </c>
    </row>
    <row r="8953" spans="2:7" ht="15" hidden="1" outlineLevel="2">
      <c r="B8953" s="2889" t="s">
        <v>1649</v>
      </c>
      <c r="C8953" s="2889" t="s">
        <v>1573</v>
      </c>
      <c r="D8953" s="2889" t="s">
        <v>1559</v>
      </c>
      <c r="E8953" s="2889" t="s">
        <v>217</v>
      </c>
      <c r="F8953" s="2890">
        <v>0.39679704385768477</v>
      </c>
      <c r="G8953" s="2890">
        <v>297.94141249690188</v>
      </c>
    </row>
    <row r="8954" spans="2:7" ht="15" hidden="1" outlineLevel="2">
      <c r="B8954" s="2889" t="s">
        <v>1650</v>
      </c>
      <c r="C8954" s="2889" t="s">
        <v>1573</v>
      </c>
      <c r="D8954" s="2889" t="s">
        <v>1559</v>
      </c>
      <c r="E8954" s="2889" t="s">
        <v>217</v>
      </c>
      <c r="F8954" s="2890">
        <v>0.57141793280067166</v>
      </c>
      <c r="G8954" s="2890">
        <v>426.16929808940921</v>
      </c>
    </row>
    <row r="8955" spans="2:7" ht="15" hidden="1" outlineLevel="2">
      <c r="B8955" s="2889" t="s">
        <v>1651</v>
      </c>
      <c r="C8955" s="2889" t="s">
        <v>1573</v>
      </c>
      <c r="D8955" s="2889" t="s">
        <v>1559</v>
      </c>
      <c r="E8955" s="2889" t="s">
        <v>217</v>
      </c>
      <c r="F8955" s="2890">
        <v>0.25616015185944291</v>
      </c>
      <c r="G8955" s="2890">
        <v>192.34185849741365</v>
      </c>
    </row>
    <row r="8956" spans="2:7" ht="15" hidden="1" outlineLevel="2">
      <c r="B8956" s="2889" t="s">
        <v>1652</v>
      </c>
      <c r="C8956" s="2889" t="s">
        <v>1573</v>
      </c>
      <c r="D8956" s="2889" t="s">
        <v>1559</v>
      </c>
      <c r="E8956" s="2889" t="s">
        <v>217</v>
      </c>
      <c r="F8956" s="2890">
        <v>0.40433112353010198</v>
      </c>
      <c r="G8956" s="2890">
        <v>303.59851289968123</v>
      </c>
    </row>
    <row r="8957" spans="2:7" ht="15" hidden="1" outlineLevel="2">
      <c r="B8957" s="2889" t="s">
        <v>1653</v>
      </c>
      <c r="C8957" s="2889" t="s">
        <v>1573</v>
      </c>
      <c r="D8957" s="2889" t="s">
        <v>1559</v>
      </c>
      <c r="E8957" s="2889" t="s">
        <v>217</v>
      </c>
      <c r="F8957" s="2890">
        <v>0.45702606837572712</v>
      </c>
      <c r="G8957" s="2890">
        <v>341.31246034135665</v>
      </c>
    </row>
    <row r="8958" spans="2:7" ht="15" hidden="1" outlineLevel="2">
      <c r="B8958" s="2889" t="s">
        <v>1407</v>
      </c>
      <c r="C8958" s="2889" t="s">
        <v>1574</v>
      </c>
      <c r="D8958" s="2889" t="s">
        <v>1559</v>
      </c>
      <c r="E8958" s="2889" t="s">
        <v>217</v>
      </c>
      <c r="F8958" s="2890">
        <v>4.1628208638618616E-3</v>
      </c>
      <c r="G8958" s="2890">
        <v>3.1268944743017131</v>
      </c>
    </row>
    <row r="8959" spans="2:7" ht="15" hidden="1" outlineLevel="2">
      <c r="B8959" s="2889" t="s">
        <v>1631</v>
      </c>
      <c r="C8959" s="2889" t="s">
        <v>1574</v>
      </c>
      <c r="D8959" s="2889" t="s">
        <v>1559</v>
      </c>
      <c r="E8959" s="2889" t="s">
        <v>217</v>
      </c>
      <c r="F8959" s="2890">
        <v>2.4790479153226092E-2</v>
      </c>
      <c r="G8959" s="2890">
        <v>18.423881008037394</v>
      </c>
    </row>
    <row r="8960" spans="2:7" ht="15" hidden="1" outlineLevel="2">
      <c r="B8960" s="2889" t="s">
        <v>1632</v>
      </c>
      <c r="C8960" s="2889" t="s">
        <v>1574</v>
      </c>
      <c r="D8960" s="2889" t="s">
        <v>1559</v>
      </c>
      <c r="E8960" s="2889" t="s">
        <v>217</v>
      </c>
      <c r="F8960" s="2890">
        <v>4.0584866856016373E-2</v>
      </c>
      <c r="G8960" s="2890">
        <v>30.526368127477141</v>
      </c>
    </row>
    <row r="8961" spans="2:7" ht="15" hidden="1" outlineLevel="2">
      <c r="B8961" s="2889" t="s">
        <v>1633</v>
      </c>
      <c r="C8961" s="2889" t="s">
        <v>1574</v>
      </c>
      <c r="D8961" s="2889" t="s">
        <v>1559</v>
      </c>
      <c r="E8961" s="2889" t="s">
        <v>217</v>
      </c>
      <c r="F8961" s="2890">
        <v>3.7346476703223729E-3</v>
      </c>
      <c r="G8961" s="2890">
        <v>2.8175559082497403</v>
      </c>
    </row>
    <row r="8962" spans="2:7" ht="15" hidden="1" outlineLevel="2">
      <c r="B8962" s="2889" t="s">
        <v>1634</v>
      </c>
      <c r="C8962" s="2889" t="s">
        <v>1574</v>
      </c>
      <c r="D8962" s="2889" t="s">
        <v>1559</v>
      </c>
      <c r="E8962" s="2889" t="s">
        <v>217</v>
      </c>
      <c r="F8962" s="2890">
        <v>1.5529157576370622E-3</v>
      </c>
      <c r="G8962" s="2890">
        <v>1.1743563579336862</v>
      </c>
    </row>
    <row r="8963" spans="2:7" ht="15" hidden="1" outlineLevel="2">
      <c r="B8963" s="2889" t="s">
        <v>1635</v>
      </c>
      <c r="C8963" s="2889" t="s">
        <v>1574</v>
      </c>
      <c r="D8963" s="2889" t="s">
        <v>1559</v>
      </c>
      <c r="E8963" s="2889" t="s">
        <v>217</v>
      </c>
      <c r="F8963" s="2890">
        <v>7.2366792895445457E-3</v>
      </c>
      <c r="G8963" s="2890">
        <v>5.4431500655199629</v>
      </c>
    </row>
    <row r="8964" spans="2:7" ht="15" hidden="1" outlineLevel="2">
      <c r="B8964" s="2889" t="s">
        <v>1636</v>
      </c>
      <c r="C8964" s="2889" t="s">
        <v>1574</v>
      </c>
      <c r="D8964" s="2889" t="s">
        <v>1559</v>
      </c>
      <c r="E8964" s="2889" t="s">
        <v>217</v>
      </c>
      <c r="F8964" s="2890">
        <v>4.5911402718409461E-3</v>
      </c>
      <c r="G8964" s="2890">
        <v>3.4536585158607314</v>
      </c>
    </row>
    <row r="8965" spans="2:7" ht="15" hidden="1" outlineLevel="2">
      <c r="B8965" s="2889" t="s">
        <v>1637</v>
      </c>
      <c r="C8965" s="2889" t="s">
        <v>1574</v>
      </c>
      <c r="D8965" s="2889" t="s">
        <v>1559</v>
      </c>
      <c r="E8965" s="2889" t="s">
        <v>217</v>
      </c>
      <c r="F8965" s="2890">
        <v>5.9152307862599353E-3</v>
      </c>
      <c r="G8965" s="2890">
        <v>4.4626683080922778</v>
      </c>
    </row>
    <row r="8966" spans="2:7" ht="15" hidden="1" outlineLevel="2">
      <c r="B8966" s="2889" t="s">
        <v>1638</v>
      </c>
      <c r="C8966" s="2889" t="s">
        <v>1574</v>
      </c>
      <c r="D8966" s="2889" t="s">
        <v>1559</v>
      </c>
      <c r="E8966" s="2889" t="s">
        <v>217</v>
      </c>
      <c r="F8966" s="2890">
        <v>1.866132254513324E-3</v>
      </c>
      <c r="G8966" s="2890">
        <v>1.4112185830425306</v>
      </c>
    </row>
    <row r="8967" spans="2:7" ht="15" hidden="1" outlineLevel="2">
      <c r="B8967" s="2889" t="s">
        <v>1639</v>
      </c>
      <c r="C8967" s="2889" t="s">
        <v>1574</v>
      </c>
      <c r="D8967" s="2889" t="s">
        <v>1559</v>
      </c>
      <c r="E8967" s="2889" t="s">
        <v>217</v>
      </c>
      <c r="F8967" s="2890">
        <v>9.8873205812754043E-3</v>
      </c>
      <c r="G8967" s="2890">
        <v>7.4593548632208346</v>
      </c>
    </row>
    <row r="8968" spans="2:7" ht="15" hidden="1" outlineLevel="2">
      <c r="B8968" s="2889" t="s">
        <v>1640</v>
      </c>
      <c r="C8968" s="2889" t="s">
        <v>1574</v>
      </c>
      <c r="D8968" s="2889" t="s">
        <v>1559</v>
      </c>
      <c r="E8968" s="2889" t="s">
        <v>217</v>
      </c>
      <c r="F8968" s="2890">
        <v>2.1822313280790984E-3</v>
      </c>
      <c r="G8968" s="2890">
        <v>1.6391783187954665</v>
      </c>
    </row>
    <row r="8969" spans="2:7" ht="15" hidden="1" outlineLevel="2">
      <c r="B8969" s="2889" t="s">
        <v>1641</v>
      </c>
      <c r="C8969" s="2889" t="s">
        <v>1574</v>
      </c>
      <c r="D8969" s="2889" t="s">
        <v>1559</v>
      </c>
      <c r="E8969" s="2889" t="s">
        <v>217</v>
      </c>
      <c r="F8969" s="2890">
        <v>1.103544757040619E-2</v>
      </c>
      <c r="G8969" s="2890">
        <v>8.3004362067055588</v>
      </c>
    </row>
    <row r="8970" spans="2:7" ht="15" hidden="1" outlineLevel="2">
      <c r="B8970" s="2889" t="s">
        <v>1642</v>
      </c>
      <c r="C8970" s="2889" t="s">
        <v>1574</v>
      </c>
      <c r="D8970" s="2889" t="s">
        <v>1559</v>
      </c>
      <c r="E8970" s="2889" t="s">
        <v>217</v>
      </c>
      <c r="F8970" s="2890">
        <v>1.230043303911062E-2</v>
      </c>
      <c r="G8970" s="2890">
        <v>9.2519110909485676</v>
      </c>
    </row>
    <row r="8971" spans="2:7" ht="15" hidden="1" outlineLevel="2">
      <c r="B8971" s="2889" t="s">
        <v>1643</v>
      </c>
      <c r="C8971" s="2889" t="s">
        <v>1574</v>
      </c>
      <c r="D8971" s="2889" t="s">
        <v>1559</v>
      </c>
      <c r="E8971" s="2889" t="s">
        <v>217</v>
      </c>
      <c r="F8971" s="2890">
        <v>1.9589605267272582E-3</v>
      </c>
      <c r="G8971" s="2890">
        <v>1.4714840365951214</v>
      </c>
    </row>
    <row r="8972" spans="2:7" ht="15" hidden="1" outlineLevel="2">
      <c r="B8972" s="2889" t="s">
        <v>1644</v>
      </c>
      <c r="C8972" s="2889" t="s">
        <v>1574</v>
      </c>
      <c r="D8972" s="2889" t="s">
        <v>1559</v>
      </c>
      <c r="E8972" s="2889" t="s">
        <v>217</v>
      </c>
      <c r="F8972" s="2890">
        <v>4.3794712554457459E-2</v>
      </c>
      <c r="G8972" s="2890">
        <v>33.040350895167691</v>
      </c>
    </row>
    <row r="8973" spans="2:7" ht="15" hidden="1" outlineLevel="2">
      <c r="B8973" s="2889" t="s">
        <v>1645</v>
      </c>
      <c r="C8973" s="2889" t="s">
        <v>1574</v>
      </c>
      <c r="D8973" s="2889" t="s">
        <v>1559</v>
      </c>
      <c r="E8973" s="2889" t="s">
        <v>217</v>
      </c>
      <c r="F8973" s="2890">
        <v>3.920421132097348E-2</v>
      </c>
      <c r="G8973" s="2890">
        <v>29.577094794905726</v>
      </c>
    </row>
    <row r="8974" spans="2:7" ht="15" hidden="1" outlineLevel="2">
      <c r="B8974" s="2889" t="s">
        <v>1646</v>
      </c>
      <c r="C8974" s="2889" t="s">
        <v>1574</v>
      </c>
      <c r="D8974" s="2889" t="s">
        <v>1559</v>
      </c>
      <c r="E8974" s="2889" t="s">
        <v>217</v>
      </c>
      <c r="F8974" s="2890">
        <v>2.2330049679702567E-3</v>
      </c>
      <c r="G8974" s="2890">
        <v>1.6795803670081322</v>
      </c>
    </row>
    <row r="8975" spans="2:7" ht="15" hidden="1" outlineLevel="2">
      <c r="B8975" s="2889" t="s">
        <v>1647</v>
      </c>
      <c r="C8975" s="2889" t="s">
        <v>1574</v>
      </c>
      <c r="D8975" s="2889" t="s">
        <v>1559</v>
      </c>
      <c r="E8975" s="2889" t="s">
        <v>217</v>
      </c>
      <c r="F8975" s="2890">
        <v>4.5374613580186907E-3</v>
      </c>
      <c r="G8975" s="2890">
        <v>3.431348942167308</v>
      </c>
    </row>
    <row r="8976" spans="2:7" ht="15" hidden="1" outlineLevel="2">
      <c r="B8976" s="2889" t="s">
        <v>1648</v>
      </c>
      <c r="C8976" s="2889" t="s">
        <v>1574</v>
      </c>
      <c r="D8976" s="2889" t="s">
        <v>1559</v>
      </c>
      <c r="E8976" s="2889" t="s">
        <v>217</v>
      </c>
      <c r="F8976" s="2890">
        <v>1.2729959281181904E-3</v>
      </c>
      <c r="G8976" s="2890">
        <v>0.9626730864176799</v>
      </c>
    </row>
    <row r="8977" spans="2:7" ht="15" hidden="1" outlineLevel="2">
      <c r="B8977" s="2889" t="s">
        <v>1649</v>
      </c>
      <c r="C8977" s="2889" t="s">
        <v>1574</v>
      </c>
      <c r="D8977" s="2889" t="s">
        <v>1559</v>
      </c>
      <c r="E8977" s="2889" t="s">
        <v>217</v>
      </c>
      <c r="F8977" s="2890">
        <v>2.1620039144902808E-3</v>
      </c>
      <c r="G8977" s="2890">
        <v>1.6349655810265</v>
      </c>
    </row>
    <row r="8978" spans="2:7" ht="15" hidden="1" outlineLevel="2">
      <c r="B8978" s="2889" t="s">
        <v>1650</v>
      </c>
      <c r="C8978" s="2889" t="s">
        <v>1574</v>
      </c>
      <c r="D8978" s="2889" t="s">
        <v>1559</v>
      </c>
      <c r="E8978" s="2889" t="s">
        <v>217</v>
      </c>
      <c r="F8978" s="2890">
        <v>6.9164528859776385E-3</v>
      </c>
      <c r="G8978" s="2890">
        <v>5.1952783089270529</v>
      </c>
    </row>
    <row r="8979" spans="2:7" ht="15" hidden="1" outlineLevel="2">
      <c r="B8979" s="2889" t="s">
        <v>1651</v>
      </c>
      <c r="C8979" s="2889" t="s">
        <v>1574</v>
      </c>
      <c r="D8979" s="2889" t="s">
        <v>1559</v>
      </c>
      <c r="E8979" s="2889" t="s">
        <v>217</v>
      </c>
      <c r="F8979" s="2890">
        <v>4.5085951610475397E-3</v>
      </c>
      <c r="G8979" s="2890">
        <v>3.4095201763166845</v>
      </c>
    </row>
    <row r="8980" spans="2:7" ht="15" hidden="1" outlineLevel="2">
      <c r="B8980" s="2889" t="s">
        <v>1652</v>
      </c>
      <c r="C8980" s="2889" t="s">
        <v>1574</v>
      </c>
      <c r="D8980" s="2889" t="s">
        <v>1559</v>
      </c>
      <c r="E8980" s="2889" t="s">
        <v>217</v>
      </c>
      <c r="F8980" s="2890">
        <v>6.0955697877047898E-3</v>
      </c>
      <c r="G8980" s="2890">
        <v>4.6096307573425079</v>
      </c>
    </row>
    <row r="8981" spans="2:7" ht="15" hidden="1" outlineLevel="2">
      <c r="B8981" s="2889" t="s">
        <v>1653</v>
      </c>
      <c r="C8981" s="2889" t="s">
        <v>1574</v>
      </c>
      <c r="D8981" s="2889" t="s">
        <v>1559</v>
      </c>
      <c r="E8981" s="2889" t="s">
        <v>217</v>
      </c>
      <c r="F8981" s="2890">
        <v>3.7710981157727905E-2</v>
      </c>
      <c r="G8981" s="2890">
        <v>28.364736816453856</v>
      </c>
    </row>
    <row r="8982" spans="2:7" ht="15" hidden="1" outlineLevel="2">
      <c r="B8982" s="2889" t="s">
        <v>1407</v>
      </c>
      <c r="C8982" s="2889" t="s">
        <v>1575</v>
      </c>
      <c r="D8982" s="2889" t="s">
        <v>1559</v>
      </c>
      <c r="E8982" s="2889" t="s">
        <v>217</v>
      </c>
      <c r="F8982" s="2890">
        <v>1.7329488036997383E-3</v>
      </c>
      <c r="G8982" s="2890">
        <v>2.1454478635684042</v>
      </c>
    </row>
    <row r="8983" spans="2:7" ht="15" hidden="1" outlineLevel="2">
      <c r="B8983" s="2889" t="s">
        <v>1631</v>
      </c>
      <c r="C8983" s="2889" t="s">
        <v>1575</v>
      </c>
      <c r="D8983" s="2889" t="s">
        <v>1559</v>
      </c>
      <c r="E8983" s="2889" t="s">
        <v>217</v>
      </c>
      <c r="F8983" s="2890">
        <v>8.3932076843363068E-2</v>
      </c>
      <c r="G8983" s="2890">
        <v>102.80984131424373</v>
      </c>
    </row>
    <row r="8984" spans="2:7" ht="15" hidden="1" outlineLevel="2">
      <c r="B8984" s="2889" t="s">
        <v>1632</v>
      </c>
      <c r="C8984" s="2889" t="s">
        <v>1575</v>
      </c>
      <c r="D8984" s="2889" t="s">
        <v>1559</v>
      </c>
      <c r="E8984" s="2889" t="s">
        <v>217</v>
      </c>
      <c r="F8984" s="2890">
        <v>9.9683879049597676E-2</v>
      </c>
      <c r="G8984" s="2890">
        <v>123.5778169920234</v>
      </c>
    </row>
    <row r="8985" spans="2:7" ht="15" hidden="1" outlineLevel="2">
      <c r="B8985" s="2889" t="s">
        <v>1633</v>
      </c>
      <c r="C8985" s="2889" t="s">
        <v>1575</v>
      </c>
      <c r="D8985" s="2889" t="s">
        <v>1559</v>
      </c>
      <c r="E8985" s="2889" t="s">
        <v>217</v>
      </c>
      <c r="F8985" s="3039">
        <v>5.9352252969964107E-3</v>
      </c>
      <c r="G8985" s="2890">
        <v>7.3803416010510112</v>
      </c>
    </row>
    <row r="8986" spans="2:7" ht="15" hidden="1" outlineLevel="2">
      <c r="B8986" s="2889" t="s">
        <v>1634</v>
      </c>
      <c r="C8986" s="2889" t="s">
        <v>1575</v>
      </c>
      <c r="D8986" s="2889" t="s">
        <v>1559</v>
      </c>
      <c r="E8986" s="2889" t="s">
        <v>217</v>
      </c>
      <c r="F8986" s="3039">
        <v>1.8589823021649562E-3</v>
      </c>
      <c r="G8986" s="2890">
        <v>2.3170840918514504</v>
      </c>
    </row>
    <row r="8987" spans="2:7" ht="15" hidden="1" outlineLevel="2">
      <c r="B8987" s="2889" t="s">
        <v>1635</v>
      </c>
      <c r="C8987" s="2889" t="s">
        <v>1575</v>
      </c>
      <c r="D8987" s="2889" t="s">
        <v>1559</v>
      </c>
      <c r="E8987" s="2889" t="s">
        <v>217</v>
      </c>
      <c r="F8987" s="3039">
        <v>3.142812215069607E-2</v>
      </c>
      <c r="G8987" s="2890">
        <v>38.961348434442257</v>
      </c>
    </row>
    <row r="8988" spans="2:7" ht="15" hidden="1" outlineLevel="2">
      <c r="B8988" s="2889" t="s">
        <v>1636</v>
      </c>
      <c r="C8988" s="2889" t="s">
        <v>1575</v>
      </c>
      <c r="D8988" s="2889" t="s">
        <v>1559</v>
      </c>
      <c r="E8988" s="2889" t="s">
        <v>217</v>
      </c>
      <c r="F8988" s="3039">
        <v>4.083815621789005E-3</v>
      </c>
      <c r="G8988" s="2890">
        <v>5.0632577985168288</v>
      </c>
    </row>
    <row r="8989" spans="2:7" ht="15" hidden="1" outlineLevel="2">
      <c r="B8989" s="2889" t="s">
        <v>1637</v>
      </c>
      <c r="C8989" s="2889" t="s">
        <v>1575</v>
      </c>
      <c r="D8989" s="2889" t="s">
        <v>1559</v>
      </c>
      <c r="E8989" s="2889" t="s">
        <v>217</v>
      </c>
      <c r="F8989" s="3039">
        <v>8.5577683909762274E-3</v>
      </c>
      <c r="G8989" s="2890">
        <v>10.641424192095986</v>
      </c>
    </row>
    <row r="8990" spans="2:7" ht="15" hidden="1" outlineLevel="2">
      <c r="B8990" s="2889" t="s">
        <v>1638</v>
      </c>
      <c r="C8990" s="2889" t="s">
        <v>1575</v>
      </c>
      <c r="D8990" s="2889" t="s">
        <v>1559</v>
      </c>
      <c r="E8990" s="2889" t="s">
        <v>217</v>
      </c>
      <c r="F8990" s="3039">
        <v>1.1016191768539615E-2</v>
      </c>
      <c r="G8990" s="2890">
        <v>13.730869005468239</v>
      </c>
    </row>
    <row r="8991" spans="2:7" ht="15" hidden="1" outlineLevel="2">
      <c r="B8991" s="2889" t="s">
        <v>1639</v>
      </c>
      <c r="C8991" s="2889" t="s">
        <v>1575</v>
      </c>
      <c r="D8991" s="2889" t="s">
        <v>1559</v>
      </c>
      <c r="E8991" s="2889" t="s">
        <v>217</v>
      </c>
      <c r="F8991" s="3039">
        <v>5.2036749005345335E-2</v>
      </c>
      <c r="G8991" s="2890">
        <v>64.70670103121563</v>
      </c>
    </row>
    <row r="8992" spans="2:7" ht="15" hidden="1" outlineLevel="2">
      <c r="B8992" s="2889" t="s">
        <v>1640</v>
      </c>
      <c r="C8992" s="2889" t="s">
        <v>1575</v>
      </c>
      <c r="D8992" s="2889" t="s">
        <v>1559</v>
      </c>
      <c r="E8992" s="2889" t="s">
        <v>217</v>
      </c>
      <c r="F8992" s="3039">
        <v>1.1160194965785405E-2</v>
      </c>
      <c r="G8992" s="2890">
        <v>13.816686375781579</v>
      </c>
    </row>
    <row r="8993" spans="2:7" ht="15" hidden="1" outlineLevel="2">
      <c r="B8993" s="2889" t="s">
        <v>1641</v>
      </c>
      <c r="C8993" s="2889" t="s">
        <v>1575</v>
      </c>
      <c r="D8993" s="2889" t="s">
        <v>1559</v>
      </c>
      <c r="E8993" s="2889" t="s">
        <v>217</v>
      </c>
      <c r="F8993" s="3039">
        <v>2.2913451305979479E-2</v>
      </c>
      <c r="G8993" s="2890">
        <v>28.40573250943946</v>
      </c>
    </row>
    <row r="8994" spans="2:7" ht="15" hidden="1" outlineLevel="2">
      <c r="B8994" s="2889" t="s">
        <v>1642</v>
      </c>
      <c r="C8994" s="2889" t="s">
        <v>1575</v>
      </c>
      <c r="D8994" s="2889" t="s">
        <v>1559</v>
      </c>
      <c r="E8994" s="2889" t="s">
        <v>217</v>
      </c>
      <c r="F8994" s="3039">
        <v>6.7425078372294278E-2</v>
      </c>
      <c r="G8994" s="2890">
        <v>83.586660635322644</v>
      </c>
    </row>
    <row r="8995" spans="2:7" ht="15" hidden="1" outlineLevel="2">
      <c r="B8995" s="2889" t="s">
        <v>1643</v>
      </c>
      <c r="C8995" s="2889" t="s">
        <v>1575</v>
      </c>
      <c r="D8995" s="2889" t="s">
        <v>1559</v>
      </c>
      <c r="E8995" s="2889" t="s">
        <v>217</v>
      </c>
      <c r="F8995" s="3039">
        <v>6.5733882538863194E-3</v>
      </c>
      <c r="G8995" s="2890">
        <v>8.1361581816652269</v>
      </c>
    </row>
    <row r="8996" spans="2:7" ht="15" hidden="1" outlineLevel="2">
      <c r="B8996" s="2889" t="s">
        <v>1644</v>
      </c>
      <c r="C8996" s="2889" t="s">
        <v>1575</v>
      </c>
      <c r="D8996" s="2889" t="s">
        <v>1559</v>
      </c>
      <c r="E8996" s="2889" t="s">
        <v>217</v>
      </c>
      <c r="F8996" s="3039">
        <v>0.20552443354877667</v>
      </c>
      <c r="G8996" s="2890">
        <v>255.56581943046629</v>
      </c>
    </row>
    <row r="8997" spans="2:7" ht="15" hidden="1" outlineLevel="2">
      <c r="B8997" s="2889" t="s">
        <v>1645</v>
      </c>
      <c r="C8997" s="2889" t="s">
        <v>1575</v>
      </c>
      <c r="D8997" s="2889" t="s">
        <v>1559</v>
      </c>
      <c r="E8997" s="2889" t="s">
        <v>217</v>
      </c>
      <c r="F8997" s="3039">
        <v>0.10041574967168394</v>
      </c>
      <c r="G8997" s="2890">
        <v>124.86514184879769</v>
      </c>
    </row>
    <row r="8998" spans="2:7" ht="15" hidden="1" outlineLevel="2">
      <c r="B8998" s="2889" t="s">
        <v>1646</v>
      </c>
      <c r="C8998" s="2889" t="s">
        <v>1575</v>
      </c>
      <c r="D8998" s="2889" t="s">
        <v>1559</v>
      </c>
      <c r="E8998" s="2889" t="s">
        <v>217</v>
      </c>
      <c r="F8998" s="3039">
        <v>6.5763689810474117E-3</v>
      </c>
      <c r="G8998" s="2890">
        <v>8.1526997287410623</v>
      </c>
    </row>
    <row r="8999" spans="2:7" ht="15" hidden="1" outlineLevel="2">
      <c r="B8999" s="2889" t="s">
        <v>1647</v>
      </c>
      <c r="C8999" s="2889" t="s">
        <v>1575</v>
      </c>
      <c r="D8999" s="2889" t="s">
        <v>1559</v>
      </c>
      <c r="E8999" s="2889" t="s">
        <v>217</v>
      </c>
      <c r="F8999" s="3039">
        <v>5.0261366734313719E-3</v>
      </c>
      <c r="G8999" s="2890">
        <v>6.2647065065134191</v>
      </c>
    </row>
    <row r="9000" spans="2:7" ht="15" hidden="1" outlineLevel="2">
      <c r="B9000" s="2889" t="s">
        <v>1648</v>
      </c>
      <c r="C9000" s="2889" t="s">
        <v>1575</v>
      </c>
      <c r="D9000" s="2889" t="s">
        <v>1559</v>
      </c>
      <c r="E9000" s="2889" t="s">
        <v>217</v>
      </c>
      <c r="F9000" s="3039">
        <v>1.1085039339179677E-2</v>
      </c>
      <c r="G9000" s="2890">
        <v>13.816686375781579</v>
      </c>
    </row>
    <row r="9001" spans="2:7" ht="15" hidden="1" outlineLevel="2">
      <c r="B9001" s="2889" t="s">
        <v>1649</v>
      </c>
      <c r="C9001" s="2889" t="s">
        <v>1575</v>
      </c>
      <c r="D9001" s="2889" t="s">
        <v>1559</v>
      </c>
      <c r="E9001" s="2889" t="s">
        <v>217</v>
      </c>
      <c r="F9001" s="3039">
        <v>1.0878488993128443E-2</v>
      </c>
      <c r="G9001" s="2890">
        <v>13.559234523397317</v>
      </c>
    </row>
    <row r="9002" spans="2:7" ht="15" hidden="1" outlineLevel="2">
      <c r="B9002" s="2889" t="s">
        <v>1650</v>
      </c>
      <c r="C9002" s="2889" t="s">
        <v>1575</v>
      </c>
      <c r="D9002" s="2889" t="s">
        <v>1559</v>
      </c>
      <c r="E9002" s="2889" t="s">
        <v>217</v>
      </c>
      <c r="F9002" s="3039">
        <v>1.5665855611360344E-2</v>
      </c>
      <c r="G9002" s="2890">
        <v>19.394858267559929</v>
      </c>
    </row>
    <row r="9003" spans="2:7" ht="15" hidden="1" outlineLevel="2">
      <c r="B9003" s="2889" t="s">
        <v>1651</v>
      </c>
      <c r="C9003" s="2889" t="s">
        <v>1575</v>
      </c>
      <c r="D9003" s="2889" t="s">
        <v>1559</v>
      </c>
      <c r="E9003" s="2889" t="s">
        <v>217</v>
      </c>
      <c r="F9003" s="3039">
        <v>7.022819659721756E-3</v>
      </c>
      <c r="G9003" s="2890">
        <v>8.7534270043001463</v>
      </c>
    </row>
    <row r="9004" spans="2:7" ht="15" hidden="1" outlineLevel="2">
      <c r="B9004" s="2889" t="s">
        <v>1652</v>
      </c>
      <c r="C9004" s="2889" t="s">
        <v>1575</v>
      </c>
      <c r="D9004" s="2889" t="s">
        <v>1559</v>
      </c>
      <c r="E9004" s="2889" t="s">
        <v>217</v>
      </c>
      <c r="F9004" s="3039">
        <v>1.108503933920937E-2</v>
      </c>
      <c r="G9004" s="2890">
        <v>13.816686375189573</v>
      </c>
    </row>
    <row r="9005" spans="2:7" ht="15" hidden="1" outlineLevel="2">
      <c r="B9005" s="2889" t="s">
        <v>1653</v>
      </c>
      <c r="C9005" s="2889" t="s">
        <v>1575</v>
      </c>
      <c r="D9005" s="2889" t="s">
        <v>1559</v>
      </c>
      <c r="E9005" s="2889" t="s">
        <v>217</v>
      </c>
      <c r="F9005" s="3039">
        <v>1.2529718241078172E-2</v>
      </c>
      <c r="G9005" s="2890">
        <v>15.533041920129079</v>
      </c>
    </row>
    <row r="9006" spans="2:7" ht="15" hidden="1" outlineLevel="2">
      <c r="B9006" s="2889" t="s">
        <v>1407</v>
      </c>
      <c r="C9006" s="2889" t="s">
        <v>1576</v>
      </c>
      <c r="D9006" s="2889" t="s">
        <v>1559</v>
      </c>
      <c r="E9006" s="2889" t="s">
        <v>217</v>
      </c>
      <c r="F9006" s="3039">
        <v>7.9229285568175704E-3</v>
      </c>
      <c r="G9006" s="2890">
        <v>5.9655548726052565</v>
      </c>
    </row>
    <row r="9007" spans="2:7" ht="15" hidden="1" outlineLevel="2">
      <c r="B9007" s="2889" t="s">
        <v>1631</v>
      </c>
      <c r="C9007" s="2889" t="s">
        <v>1576</v>
      </c>
      <c r="D9007" s="2889" t="s">
        <v>1559</v>
      </c>
      <c r="E9007" s="2889" t="s">
        <v>217</v>
      </c>
      <c r="F9007" s="3039">
        <v>4.7182712761836311E-2</v>
      </c>
      <c r="G9007" s="2890">
        <v>35.149479872858116</v>
      </c>
    </row>
    <row r="9008" spans="2:7" ht="15" hidden="1" outlineLevel="2">
      <c r="B9008" s="2889" t="s">
        <v>1632</v>
      </c>
      <c r="C9008" s="2889" t="s">
        <v>1576</v>
      </c>
      <c r="D9008" s="2889" t="s">
        <v>1559</v>
      </c>
      <c r="E9008" s="2889" t="s">
        <v>217</v>
      </c>
      <c r="F9008" s="3039">
        <v>7.7243541170195829E-2</v>
      </c>
      <c r="G9008" s="2890">
        <v>58.238887082100881</v>
      </c>
    </row>
    <row r="9009" spans="2:7" ht="15" hidden="1" outlineLevel="2">
      <c r="B9009" s="2889" t="s">
        <v>1633</v>
      </c>
      <c r="C9009" s="2889" t="s">
        <v>1576</v>
      </c>
      <c r="D9009" s="2889" t="s">
        <v>1559</v>
      </c>
      <c r="E9009" s="2889" t="s">
        <v>217</v>
      </c>
      <c r="F9009" s="3039">
        <v>7.1080053173934524E-3</v>
      </c>
      <c r="G9009" s="2890">
        <v>5.375392913384176</v>
      </c>
    </row>
    <row r="9010" spans="2:7" ht="15" hidden="1" outlineLevel="2">
      <c r="B9010" s="2889" t="s">
        <v>1634</v>
      </c>
      <c r="C9010" s="2889" t="s">
        <v>1576</v>
      </c>
      <c r="D9010" s="2889" t="s">
        <v>1559</v>
      </c>
      <c r="E9010" s="2889" t="s">
        <v>217</v>
      </c>
      <c r="F9010" s="2890">
        <v>2.9556018252010043E-3</v>
      </c>
      <c r="G9010" s="2890">
        <v>2.2404617575464676</v>
      </c>
    </row>
    <row r="9011" spans="2:7" ht="15" hidden="1" outlineLevel="2">
      <c r="B9011" s="2889" t="s">
        <v>1635</v>
      </c>
      <c r="C9011" s="2889" t="s">
        <v>1576</v>
      </c>
      <c r="D9011" s="2889" t="s">
        <v>1559</v>
      </c>
      <c r="E9011" s="2889" t="s">
        <v>217</v>
      </c>
      <c r="F9011" s="2890">
        <v>1.3773282491756002E-2</v>
      </c>
      <c r="G9011" s="2890">
        <v>10.384557325396745</v>
      </c>
    </row>
    <row r="9012" spans="2:7" ht="15" hidden="1" outlineLevel="2">
      <c r="B9012" s="2889" t="s">
        <v>1636</v>
      </c>
      <c r="C9012" s="2889" t="s">
        <v>1576</v>
      </c>
      <c r="D9012" s="2889" t="s">
        <v>1559</v>
      </c>
      <c r="E9012" s="2889" t="s">
        <v>217</v>
      </c>
      <c r="F9012" s="2890">
        <v>8.7381310020513015E-3</v>
      </c>
      <c r="G9012" s="2890">
        <v>6.5889616972277905</v>
      </c>
    </row>
    <row r="9013" spans="2:7" ht="15" hidden="1" outlineLevel="2">
      <c r="B9013" s="2889" t="s">
        <v>1637</v>
      </c>
      <c r="C9013" s="2889" t="s">
        <v>1576</v>
      </c>
      <c r="D9013" s="2889" t="s">
        <v>1559</v>
      </c>
      <c r="E9013" s="2889" t="s">
        <v>217</v>
      </c>
      <c r="F9013" s="2890">
        <v>1.1258222819641422E-2</v>
      </c>
      <c r="G9013" s="2890">
        <v>8.5139774189503612</v>
      </c>
    </row>
    <row r="9014" spans="2:7" ht="15" hidden="1" outlineLevel="2">
      <c r="B9014" s="2889" t="s">
        <v>1638</v>
      </c>
      <c r="C9014" s="2889" t="s">
        <v>1576</v>
      </c>
      <c r="D9014" s="2889" t="s">
        <v>1559</v>
      </c>
      <c r="E9014" s="2889" t="s">
        <v>217</v>
      </c>
      <c r="F9014" s="2890">
        <v>3.5517338888386846E-3</v>
      </c>
      <c r="G9014" s="2890">
        <v>2.6923538218325271</v>
      </c>
    </row>
    <row r="9015" spans="2:7" ht="15" hidden="1" outlineLevel="2">
      <c r="B9015" s="2889" t="s">
        <v>1639</v>
      </c>
      <c r="C9015" s="2889" t="s">
        <v>1576</v>
      </c>
      <c r="D9015" s="2889" t="s">
        <v>1559</v>
      </c>
      <c r="E9015" s="2889" t="s">
        <v>217</v>
      </c>
      <c r="F9015" s="2890">
        <v>1.8818128543833797E-2</v>
      </c>
      <c r="G9015" s="2890">
        <v>14.231125342373938</v>
      </c>
    </row>
    <row r="9016" spans="2:7" ht="15" hidden="1" outlineLevel="2">
      <c r="B9016" s="2889" t="s">
        <v>1640</v>
      </c>
      <c r="C9016" s="2889" t="s">
        <v>1576</v>
      </c>
      <c r="D9016" s="2889" t="s">
        <v>1559</v>
      </c>
      <c r="E9016" s="2889" t="s">
        <v>217</v>
      </c>
      <c r="F9016" s="2890">
        <v>4.1533536899511217E-3</v>
      </c>
      <c r="G9016" s="2890">
        <v>3.127259386108395</v>
      </c>
    </row>
    <row r="9017" spans="2:7" ht="15" hidden="1" outlineLevel="2">
      <c r="B9017" s="2889" t="s">
        <v>1641</v>
      </c>
      <c r="C9017" s="2889" t="s">
        <v>1576</v>
      </c>
      <c r="D9017" s="2889" t="s">
        <v>1559</v>
      </c>
      <c r="E9017" s="2889" t="s">
        <v>217</v>
      </c>
      <c r="F9017" s="2890">
        <v>2.100331964854869E-2</v>
      </c>
      <c r="G9017" s="2890">
        <v>15.835758656513894</v>
      </c>
    </row>
    <row r="9018" spans="2:7" ht="15" hidden="1" outlineLevel="2">
      <c r="B9018" s="2889" t="s">
        <v>1642</v>
      </c>
      <c r="C9018" s="2889" t="s">
        <v>1576</v>
      </c>
      <c r="D9018" s="2889" t="s">
        <v>1559</v>
      </c>
      <c r="E9018" s="2889" t="s">
        <v>217</v>
      </c>
      <c r="F9018" s="2890">
        <v>2.3410914392065461E-2</v>
      </c>
      <c r="G9018" s="2890">
        <v>17.650988512365451</v>
      </c>
    </row>
    <row r="9019" spans="2:7" ht="15" hidden="1" outlineLevel="2">
      <c r="B9019" s="2889" t="s">
        <v>1643</v>
      </c>
      <c r="C9019" s="2889" t="s">
        <v>1576</v>
      </c>
      <c r="D9019" s="2889" t="s">
        <v>1559</v>
      </c>
      <c r="E9019" s="2889" t="s">
        <v>217</v>
      </c>
      <c r="F9019" s="2890">
        <v>3.7284121591413246E-3</v>
      </c>
      <c r="G9019" s="2890">
        <v>2.8073282250379168</v>
      </c>
    </row>
    <row r="9020" spans="2:7" ht="15" hidden="1" outlineLevel="2">
      <c r="B9020" s="2889" t="s">
        <v>1644</v>
      </c>
      <c r="C9020" s="2889" t="s">
        <v>1576</v>
      </c>
      <c r="D9020" s="2889" t="s">
        <v>1559</v>
      </c>
      <c r="E9020" s="2889" t="s">
        <v>217</v>
      </c>
      <c r="F9020" s="2890">
        <v>8.3352681215213081E-2</v>
      </c>
      <c r="G9020" s="2890">
        <v>63.035076563080395</v>
      </c>
    </row>
    <row r="9021" spans="2:7" ht="15" hidden="1" outlineLevel="2">
      <c r="B9021" s="2889" t="s">
        <v>1645</v>
      </c>
      <c r="C9021" s="2889" t="s">
        <v>1576</v>
      </c>
      <c r="D9021" s="2889" t="s">
        <v>1559</v>
      </c>
      <c r="E9021" s="2889" t="s">
        <v>217</v>
      </c>
      <c r="F9021" s="2890">
        <v>7.4615803472281333E-2</v>
      </c>
      <c r="G9021" s="2890">
        <v>56.427838455203428</v>
      </c>
    </row>
    <row r="9022" spans="2:7" ht="15" hidden="1" outlineLevel="2">
      <c r="B9022" s="2889" t="s">
        <v>1646</v>
      </c>
      <c r="C9022" s="2889" t="s">
        <v>1576</v>
      </c>
      <c r="D9022" s="2889" t="s">
        <v>1559</v>
      </c>
      <c r="E9022" s="2889" t="s">
        <v>217</v>
      </c>
      <c r="F9022" s="2890">
        <v>4.2499890304874711E-3</v>
      </c>
      <c r="G9022" s="2890">
        <v>3.2043402270400527</v>
      </c>
    </row>
    <row r="9023" spans="2:7" ht="15" hidden="1" outlineLevel="2">
      <c r="B9023" s="2889" t="s">
        <v>1647</v>
      </c>
      <c r="C9023" s="2889" t="s">
        <v>1576</v>
      </c>
      <c r="D9023" s="2889" t="s">
        <v>1559</v>
      </c>
      <c r="E9023" s="2889" t="s">
        <v>217</v>
      </c>
      <c r="F9023" s="2890">
        <v>8.6359647545529491E-3</v>
      </c>
      <c r="G9023" s="2890">
        <v>6.5464041557885775</v>
      </c>
    </row>
    <row r="9024" spans="2:7" ht="15" hidden="1" outlineLevel="2">
      <c r="B9024" s="2889" t="s">
        <v>1648</v>
      </c>
      <c r="C9024" s="2889" t="s">
        <v>1576</v>
      </c>
      <c r="D9024" s="2889" t="s">
        <v>1559</v>
      </c>
      <c r="E9024" s="2889" t="s">
        <v>217</v>
      </c>
      <c r="F9024" s="2890">
        <v>2.4228416618381093E-3</v>
      </c>
      <c r="G9024" s="2890">
        <v>1.8366092864556509</v>
      </c>
    </row>
    <row r="9025" spans="2:7" ht="15" hidden="1" outlineLevel="2">
      <c r="B9025" s="2889" t="s">
        <v>1649</v>
      </c>
      <c r="C9025" s="2889" t="s">
        <v>1576</v>
      </c>
      <c r="D9025" s="2889" t="s">
        <v>1559</v>
      </c>
      <c r="E9025" s="2889" t="s">
        <v>217</v>
      </c>
      <c r="F9025" s="2890">
        <v>4.1148542636542601E-3</v>
      </c>
      <c r="G9025" s="2890">
        <v>3.1192223101648229</v>
      </c>
    </row>
    <row r="9026" spans="2:7" ht="15" hidden="1" outlineLevel="2">
      <c r="B9026" s="2889" t="s">
        <v>1650</v>
      </c>
      <c r="C9026" s="2889" t="s">
        <v>1576</v>
      </c>
      <c r="D9026" s="2889" t="s">
        <v>1559</v>
      </c>
      <c r="E9026" s="2889" t="s">
        <v>217</v>
      </c>
      <c r="F9026" s="2890">
        <v>1.3163806985250947E-2</v>
      </c>
      <c r="G9026" s="2890">
        <v>9.911665150409501</v>
      </c>
    </row>
    <row r="9027" spans="2:7" ht="15" hidden="1" outlineLevel="2">
      <c r="B9027" s="2889" t="s">
        <v>1651</v>
      </c>
      <c r="C9027" s="2889" t="s">
        <v>1576</v>
      </c>
      <c r="D9027" s="2889" t="s">
        <v>1559</v>
      </c>
      <c r="E9027" s="2889" t="s">
        <v>217</v>
      </c>
      <c r="F9027" s="2890">
        <v>8.5810268020994635E-3</v>
      </c>
      <c r="G9027" s="2890">
        <v>6.5047611182327083</v>
      </c>
    </row>
    <row r="9028" spans="2:7" ht="15" hidden="1" outlineLevel="2">
      <c r="B9028" s="2889" t="s">
        <v>1652</v>
      </c>
      <c r="C9028" s="2889" t="s">
        <v>1576</v>
      </c>
      <c r="D9028" s="2889" t="s">
        <v>1559</v>
      </c>
      <c r="E9028" s="2889" t="s">
        <v>217</v>
      </c>
      <c r="F9028" s="2890">
        <v>1.1601445483541386E-2</v>
      </c>
      <c r="G9028" s="2890">
        <v>8.7943568215763896</v>
      </c>
    </row>
    <row r="9029" spans="2:7" ht="15" hidden="1" outlineLevel="2">
      <c r="B9029" s="2889" t="s">
        <v>1653</v>
      </c>
      <c r="C9029" s="2889" t="s">
        <v>1576</v>
      </c>
      <c r="D9029" s="2889" t="s">
        <v>1559</v>
      </c>
      <c r="E9029" s="2889" t="s">
        <v>217</v>
      </c>
      <c r="F9029" s="2890">
        <v>7.1773741121301415E-2</v>
      </c>
      <c r="G9029" s="2890">
        <v>54.114864116798621</v>
      </c>
    </row>
    <row r="9030" spans="2:7" ht="15" hidden="1" outlineLevel="2">
      <c r="B9030" s="2889" t="s">
        <v>1407</v>
      </c>
      <c r="C9030" s="2889" t="s">
        <v>1577</v>
      </c>
      <c r="D9030" s="2889" t="s">
        <v>1559</v>
      </c>
      <c r="E9030" s="2889" t="s">
        <v>217</v>
      </c>
      <c r="F9030" s="3039">
        <v>5.6889140516091008E-2</v>
      </c>
      <c r="G9030" s="2890">
        <v>88.510750044489853</v>
      </c>
    </row>
    <row r="9031" spans="2:7" ht="15" hidden="1" outlineLevel="2">
      <c r="B9031" s="2889" t="s">
        <v>1631</v>
      </c>
      <c r="C9031" s="2889" t="s">
        <v>1577</v>
      </c>
      <c r="D9031" s="2889" t="s">
        <v>1559</v>
      </c>
      <c r="E9031" s="2889" t="s">
        <v>217</v>
      </c>
      <c r="F9031" s="3039">
        <v>2.7547829782272633</v>
      </c>
      <c r="G9031" s="2890">
        <v>4241.4337711204171</v>
      </c>
    </row>
    <row r="9032" spans="2:7" ht="15" hidden="1" outlineLevel="2">
      <c r="B9032" s="2889" t="s">
        <v>1632</v>
      </c>
      <c r="C9032" s="2889" t="s">
        <v>1577</v>
      </c>
      <c r="D9032" s="2889" t="s">
        <v>1559</v>
      </c>
      <c r="E9032" s="2889" t="s">
        <v>217</v>
      </c>
      <c r="F9032" s="3039">
        <v>3.2724966193503988</v>
      </c>
      <c r="G9032" s="2890">
        <v>5098.2207070683289</v>
      </c>
    </row>
    <row r="9033" spans="2:7" ht="15" hidden="1" outlineLevel="2">
      <c r="B9033" s="2889" t="s">
        <v>1633</v>
      </c>
      <c r="C9033" s="2889" t="s">
        <v>1577</v>
      </c>
      <c r="D9033" s="2889" t="s">
        <v>1559</v>
      </c>
      <c r="E9033" s="2889" t="s">
        <v>217</v>
      </c>
      <c r="F9033" s="3039">
        <v>0.19485688924370431</v>
      </c>
      <c r="G9033" s="2890">
        <v>304.47701044737863</v>
      </c>
    </row>
    <row r="9034" spans="2:7" ht="15" hidden="1" outlineLevel="2">
      <c r="B9034" s="2889" t="s">
        <v>1634</v>
      </c>
      <c r="C9034" s="2889" t="s">
        <v>1577</v>
      </c>
      <c r="D9034" s="2889" t="s">
        <v>1559</v>
      </c>
      <c r="E9034" s="2889" t="s">
        <v>217</v>
      </c>
      <c r="F9034" s="3039">
        <v>6.1034081280975115E-2</v>
      </c>
      <c r="G9034" s="2890">
        <v>95.591674657777318</v>
      </c>
    </row>
    <row r="9035" spans="2:7" ht="15" hidden="1" outlineLevel="2">
      <c r="B9035" s="2889" t="s">
        <v>1635</v>
      </c>
      <c r="C9035" s="2889" t="s">
        <v>1577</v>
      </c>
      <c r="D9035" s="2889" t="s">
        <v>1559</v>
      </c>
      <c r="E9035" s="2889" t="s">
        <v>217</v>
      </c>
      <c r="F9035" s="3039">
        <v>1.0317451046963184</v>
      </c>
      <c r="G9035" s="2890">
        <v>1607.355122150127</v>
      </c>
    </row>
    <row r="9036" spans="2:7" ht="15" hidden="1" outlineLevel="2">
      <c r="B9036" s="2889" t="s">
        <v>1636</v>
      </c>
      <c r="C9036" s="2889" t="s">
        <v>1577</v>
      </c>
      <c r="D9036" s="2889" t="s">
        <v>1559</v>
      </c>
      <c r="E9036" s="2889" t="s">
        <v>217</v>
      </c>
      <c r="F9036" s="3039">
        <v>0.13406674422057993</v>
      </c>
      <c r="G9036" s="2890">
        <v>208.8854248164123</v>
      </c>
    </row>
    <row r="9037" spans="2:7" ht="15" hidden="1" outlineLevel="2">
      <c r="B9037" s="2889" t="s">
        <v>1637</v>
      </c>
      <c r="C9037" s="2889" t="s">
        <v>1577</v>
      </c>
      <c r="D9037" s="2889" t="s">
        <v>1559</v>
      </c>
      <c r="E9037" s="2889" t="s">
        <v>217</v>
      </c>
      <c r="F9037" s="2890">
        <v>0.2809564021833541</v>
      </c>
      <c r="G9037" s="2890">
        <v>439.01355547551594</v>
      </c>
    </row>
    <row r="9038" spans="2:7" ht="15" hidden="1" outlineLevel="2">
      <c r="B9038" s="2889" t="s">
        <v>1638</v>
      </c>
      <c r="C9038" s="2889" t="s">
        <v>1577</v>
      </c>
      <c r="D9038" s="2889" t="s">
        <v>1559</v>
      </c>
      <c r="E9038" s="2889" t="s">
        <v>217</v>
      </c>
      <c r="F9038" s="2890">
        <v>0.36168351279990529</v>
      </c>
      <c r="G9038" s="2890">
        <v>566.46829167564181</v>
      </c>
    </row>
    <row r="9039" spans="2:7" ht="15" hidden="1" outlineLevel="2">
      <c r="B9039" s="2889" t="s">
        <v>1639</v>
      </c>
      <c r="C9039" s="2889" t="s">
        <v>1577</v>
      </c>
      <c r="D9039" s="2889" t="s">
        <v>1559</v>
      </c>
      <c r="E9039" s="2889" t="s">
        <v>217</v>
      </c>
      <c r="F9039" s="2890">
        <v>1.7083959673845046</v>
      </c>
      <c r="G9039" s="2890">
        <v>2669.4845263913116</v>
      </c>
    </row>
    <row r="9040" spans="2:7" ht="15" hidden="1" outlineLevel="2">
      <c r="B9040" s="2889" t="s">
        <v>1640</v>
      </c>
      <c r="C9040" s="2889" t="s">
        <v>1577</v>
      </c>
      <c r="D9040" s="2889" t="s">
        <v>1559</v>
      </c>
      <c r="E9040" s="2889" t="s">
        <v>217</v>
      </c>
      <c r="F9040" s="2890">
        <v>0.36636593179894078</v>
      </c>
      <c r="G9040" s="2890">
        <v>570.00982972123791</v>
      </c>
    </row>
    <row r="9041" spans="2:7" ht="15" hidden="1" outlineLevel="2">
      <c r="B9041" s="2889" t="s">
        <v>1641</v>
      </c>
      <c r="C9041" s="2889" t="s">
        <v>1577</v>
      </c>
      <c r="D9041" s="2889" t="s">
        <v>1559</v>
      </c>
      <c r="E9041" s="2889" t="s">
        <v>217</v>
      </c>
      <c r="F9041" s="2890">
        <v>0.75221986867351565</v>
      </c>
      <c r="G9041" s="2890">
        <v>1171.8829781388706</v>
      </c>
    </row>
    <row r="9042" spans="2:7" ht="15" hidden="1" outlineLevel="2">
      <c r="B9042" s="2889" t="s">
        <v>1642</v>
      </c>
      <c r="C9042" s="2889" t="s">
        <v>1577</v>
      </c>
      <c r="D9042" s="2889" t="s">
        <v>1559</v>
      </c>
      <c r="E9042" s="2889" t="s">
        <v>217</v>
      </c>
      <c r="F9042" s="2890">
        <v>2.2134809258710995</v>
      </c>
      <c r="G9042" s="2890">
        <v>3448.3789072830286</v>
      </c>
    </row>
    <row r="9043" spans="2:7" ht="15" hidden="1" outlineLevel="2">
      <c r="B9043" s="2889" t="s">
        <v>1643</v>
      </c>
      <c r="C9043" s="2889" t="s">
        <v>1577</v>
      </c>
      <c r="D9043" s="2889" t="s">
        <v>1559</v>
      </c>
      <c r="E9043" s="2889" t="s">
        <v>217</v>
      </c>
      <c r="F9043" s="2890">
        <v>0.21578993058831603</v>
      </c>
      <c r="G9043" s="2890">
        <v>335.65840044533843</v>
      </c>
    </row>
    <row r="9044" spans="2:7" ht="15" hidden="1" outlineLevel="2">
      <c r="B9044" s="2889" t="s">
        <v>1644</v>
      </c>
      <c r="C9044" s="2889" t="s">
        <v>1577</v>
      </c>
      <c r="D9044" s="2889" t="s">
        <v>1559</v>
      </c>
      <c r="E9044" s="2889" t="s">
        <v>217</v>
      </c>
      <c r="F9044" s="2890">
        <v>6.7474845280753755</v>
      </c>
      <c r="G9044" s="2890">
        <v>10543.395074097274</v>
      </c>
    </row>
    <row r="9045" spans="2:7" ht="15" hidden="1" outlineLevel="2">
      <c r="B9045" s="2889" t="s">
        <v>1645</v>
      </c>
      <c r="C9045" s="2889" t="s">
        <v>1577</v>
      </c>
      <c r="D9045" s="2889" t="s">
        <v>1559</v>
      </c>
      <c r="E9045" s="2889" t="s">
        <v>217</v>
      </c>
      <c r="F9045" s="2890">
        <v>3.296706948415201</v>
      </c>
      <c r="G9045" s="2890">
        <v>5151.3258413413114</v>
      </c>
    </row>
    <row r="9046" spans="2:7" ht="15" hidden="1" outlineLevel="2">
      <c r="B9046" s="2889" t="s">
        <v>1646</v>
      </c>
      <c r="C9046" s="2889" t="s">
        <v>1577</v>
      </c>
      <c r="D9046" s="2889" t="s">
        <v>1559</v>
      </c>
      <c r="E9046" s="2889" t="s">
        <v>217</v>
      </c>
      <c r="F9046" s="2890">
        <v>0.21589390174296622</v>
      </c>
      <c r="G9046" s="2890">
        <v>336.34085120632568</v>
      </c>
    </row>
    <row r="9047" spans="2:7" ht="15" hidden="1" outlineLevel="2">
      <c r="B9047" s="2889" t="s">
        <v>1647</v>
      </c>
      <c r="C9047" s="2889" t="s">
        <v>1577</v>
      </c>
      <c r="D9047" s="2889" t="s">
        <v>1559</v>
      </c>
      <c r="E9047" s="2889" t="s">
        <v>217</v>
      </c>
      <c r="F9047" s="2890">
        <v>0.16501810774488027</v>
      </c>
      <c r="G9047" s="2890">
        <v>258.45141461140815</v>
      </c>
    </row>
    <row r="9048" spans="2:7" ht="15" hidden="1" outlineLevel="2">
      <c r="B9048" s="2889" t="s">
        <v>1648</v>
      </c>
      <c r="C9048" s="2889" t="s">
        <v>1577</v>
      </c>
      <c r="D9048" s="2889" t="s">
        <v>1559</v>
      </c>
      <c r="E9048" s="2889" t="s">
        <v>217</v>
      </c>
      <c r="F9048" s="2890">
        <v>0.36394416272650404</v>
      </c>
      <c r="G9048" s="2890">
        <v>570.00982972123791</v>
      </c>
    </row>
    <row r="9049" spans="2:7" ht="15" hidden="1" outlineLevel="2">
      <c r="B9049" s="2889" t="s">
        <v>1649</v>
      </c>
      <c r="C9049" s="2889" t="s">
        <v>1577</v>
      </c>
      <c r="D9049" s="2889" t="s">
        <v>1559</v>
      </c>
      <c r="E9049" s="2889" t="s">
        <v>217</v>
      </c>
      <c r="F9049" s="2890">
        <v>0.35716252729878289</v>
      </c>
      <c r="G9049" s="2890">
        <v>559.38769134598488</v>
      </c>
    </row>
    <row r="9050" spans="2:7" ht="15" hidden="1" outlineLevel="2">
      <c r="B9050" s="2889" t="s">
        <v>1650</v>
      </c>
      <c r="C9050" s="2889" t="s">
        <v>1577</v>
      </c>
      <c r="D9050" s="2889" t="s">
        <v>1559</v>
      </c>
      <c r="E9050" s="2889" t="s">
        <v>217</v>
      </c>
      <c r="F9050" s="2890">
        <v>0.51427785867372144</v>
      </c>
      <c r="G9050" s="2890">
        <v>800.13703796315428</v>
      </c>
    </row>
    <row r="9051" spans="2:7" ht="15" hidden="1" outlineLevel="2">
      <c r="B9051" s="2889" t="s">
        <v>1651</v>
      </c>
      <c r="C9051" s="2889" t="s">
        <v>1577</v>
      </c>
      <c r="D9051" s="2889" t="s">
        <v>1559</v>
      </c>
      <c r="E9051" s="2889" t="s">
        <v>217</v>
      </c>
      <c r="F9051" s="2890">
        <v>0.23057324666061338</v>
      </c>
      <c r="G9051" s="2890">
        <v>361.12386969012368</v>
      </c>
    </row>
    <row r="9052" spans="2:7" ht="15" hidden="1" outlineLevel="2">
      <c r="B9052" s="2889" t="s">
        <v>1652</v>
      </c>
      <c r="C9052" s="2889" t="s">
        <v>1577</v>
      </c>
      <c r="D9052" s="2889" t="s">
        <v>1559</v>
      </c>
      <c r="E9052" s="2889" t="s">
        <v>217</v>
      </c>
      <c r="F9052" s="2890">
        <v>0.36394416270588015</v>
      </c>
      <c r="G9052" s="2890">
        <v>570.00982970278562</v>
      </c>
    </row>
    <row r="9053" spans="2:7" ht="15" hidden="1" outlineLevel="2">
      <c r="B9053" s="2889" t="s">
        <v>1653</v>
      </c>
      <c r="C9053" s="2889" t="s">
        <v>1577</v>
      </c>
      <c r="D9053" s="2889" t="s">
        <v>1559</v>
      </c>
      <c r="E9053" s="2889" t="s">
        <v>217</v>
      </c>
      <c r="F9053" s="2890">
        <v>0.41133488746687435</v>
      </c>
      <c r="G9053" s="2890">
        <v>640.81786967908135</v>
      </c>
    </row>
    <row r="9054" spans="2:7" ht="15" hidden="1" outlineLevel="2">
      <c r="B9054" s="2889" t="s">
        <v>1407</v>
      </c>
      <c r="C9054" s="2889" t="s">
        <v>1578</v>
      </c>
      <c r="D9054" s="2889" t="s">
        <v>1559</v>
      </c>
      <c r="E9054" s="2889" t="s">
        <v>217</v>
      </c>
      <c r="F9054" s="2890">
        <v>0.11537054485283946</v>
      </c>
      <c r="G9054" s="2890">
        <v>62.005873852062422</v>
      </c>
    </row>
    <row r="9055" spans="2:7" ht="15" hidden="1" outlineLevel="2">
      <c r="B9055" s="2889" t="s">
        <v>1631</v>
      </c>
      <c r="C9055" s="2889" t="s">
        <v>1578</v>
      </c>
      <c r="D9055" s="2889" t="s">
        <v>1559</v>
      </c>
      <c r="E9055" s="2889" t="s">
        <v>217</v>
      </c>
      <c r="F9055" s="2890">
        <v>0.68608543389834287</v>
      </c>
      <c r="G9055" s="2890">
        <v>365.34283663543698</v>
      </c>
    </row>
    <row r="9056" spans="2:7" ht="15" hidden="1" outlineLevel="2">
      <c r="B9056" s="2889" t="s">
        <v>1632</v>
      </c>
      <c r="C9056" s="2889" t="s">
        <v>1578</v>
      </c>
      <c r="D9056" s="2889" t="s">
        <v>1559</v>
      </c>
      <c r="E9056" s="2889" t="s">
        <v>217</v>
      </c>
      <c r="F9056" s="2890">
        <v>1.1104102870692962</v>
      </c>
      <c r="G9056" s="2890">
        <v>605.33389073765272</v>
      </c>
    </row>
    <row r="9057" spans="2:7" ht="15" hidden="1" outlineLevel="2">
      <c r="B9057" s="2889" t="s">
        <v>1633</v>
      </c>
      <c r="C9057" s="2889" t="s">
        <v>1578</v>
      </c>
      <c r="D9057" s="2889" t="s">
        <v>1559</v>
      </c>
      <c r="E9057" s="2889" t="s">
        <v>217</v>
      </c>
      <c r="F9057" s="2890">
        <v>0.10167822909418223</v>
      </c>
      <c r="G9057" s="2890">
        <v>55.87171953239497</v>
      </c>
    </row>
    <row r="9058" spans="2:7" ht="15" hidden="1" outlineLevel="2">
      <c r="B9058" s="2889" t="s">
        <v>1634</v>
      </c>
      <c r="C9058" s="2889" t="s">
        <v>1578</v>
      </c>
      <c r="D9058" s="2889" t="s">
        <v>1559</v>
      </c>
      <c r="E9058" s="2889" t="s">
        <v>217</v>
      </c>
      <c r="F9058" s="2890">
        <v>3.3393031620181911E-36</v>
      </c>
      <c r="G9058" s="2890">
        <v>1.8280546195799491E-33</v>
      </c>
    </row>
    <row r="9059" spans="2:7" ht="15" hidden="1" outlineLevel="2">
      <c r="B9059" s="2889" t="s">
        <v>1635</v>
      </c>
      <c r="C9059" s="2889" t="s">
        <v>1578</v>
      </c>
      <c r="D9059" s="2889" t="s">
        <v>1559</v>
      </c>
      <c r="E9059" s="2889" t="s">
        <v>217</v>
      </c>
      <c r="F9059" s="2890">
        <v>0.19799731732531417</v>
      </c>
      <c r="G9059" s="2890">
        <v>107.93695448120063</v>
      </c>
    </row>
    <row r="9060" spans="2:7" ht="15" hidden="1" outlineLevel="2">
      <c r="B9060" s="2889" t="s">
        <v>1636</v>
      </c>
      <c r="C9060" s="2889" t="s">
        <v>1578</v>
      </c>
      <c r="D9060" s="2889" t="s">
        <v>1559</v>
      </c>
      <c r="E9060" s="2889" t="s">
        <v>217</v>
      </c>
      <c r="F9060" s="2890">
        <v>0.12568791349838898</v>
      </c>
      <c r="G9060" s="2890">
        <v>68.485562519634001</v>
      </c>
    </row>
    <row r="9061" spans="2:7" ht="15" hidden="1" outlineLevel="2">
      <c r="B9061" s="2889" t="s">
        <v>1637</v>
      </c>
      <c r="C9061" s="2889" t="s">
        <v>1578</v>
      </c>
      <c r="D9061" s="2889" t="s">
        <v>1559</v>
      </c>
      <c r="E9061" s="2889" t="s">
        <v>217</v>
      </c>
      <c r="F9061" s="2890">
        <v>0.16104618287691144</v>
      </c>
      <c r="G9061" s="2890">
        <v>88.494067723472384</v>
      </c>
    </row>
    <row r="9062" spans="2:7" ht="15" hidden="1" outlineLevel="2">
      <c r="B9062" s="2889" t="s">
        <v>1638</v>
      </c>
      <c r="C9062" s="2889" t="s">
        <v>1578</v>
      </c>
      <c r="D9062" s="2889" t="s">
        <v>1559</v>
      </c>
      <c r="E9062" s="2889" t="s">
        <v>217</v>
      </c>
      <c r="F9062" s="2890">
        <v>4.926109764354625E-35</v>
      </c>
      <c r="G9062" s="2890">
        <v>2.6967279111944965E-32</v>
      </c>
    </row>
    <row r="9063" spans="2:7" ht="15" hidden="1" outlineLevel="2">
      <c r="B9063" s="2889" t="s">
        <v>1639</v>
      </c>
      <c r="C9063" s="2889" t="s">
        <v>1578</v>
      </c>
      <c r="D9063" s="2889" t="s">
        <v>1559</v>
      </c>
      <c r="E9063" s="2889" t="s">
        <v>217</v>
      </c>
      <c r="F9063" s="2890">
        <v>0.26918847484459324</v>
      </c>
      <c r="G9063" s="2890">
        <v>147.91797758700082</v>
      </c>
    </row>
    <row r="9064" spans="2:7" ht="15" hidden="1" outlineLevel="2">
      <c r="B9064" s="2889" t="s">
        <v>1640</v>
      </c>
      <c r="C9064" s="2889" t="s">
        <v>1578</v>
      </c>
      <c r="D9064" s="2889" t="s">
        <v>1559</v>
      </c>
      <c r="E9064" s="2889" t="s">
        <v>217</v>
      </c>
      <c r="F9064" s="2890">
        <v>6.0479441619014168E-2</v>
      </c>
      <c r="G9064" s="2890">
        <v>32.504665878505016</v>
      </c>
    </row>
    <row r="9065" spans="2:7" ht="15" hidden="1" outlineLevel="2">
      <c r="B9065" s="2889" t="s">
        <v>1641</v>
      </c>
      <c r="C9065" s="2889" t="s">
        <v>1578</v>
      </c>
      <c r="D9065" s="2889" t="s">
        <v>1559</v>
      </c>
      <c r="E9065" s="2889" t="s">
        <v>217</v>
      </c>
      <c r="F9065" s="2890">
        <v>0.30193257215287922</v>
      </c>
      <c r="G9065" s="2890">
        <v>164.59647704621688</v>
      </c>
    </row>
    <row r="9066" spans="2:7" ht="15" hidden="1" outlineLevel="2">
      <c r="B9066" s="2889" t="s">
        <v>1642</v>
      </c>
      <c r="C9066" s="2889" t="s">
        <v>1578</v>
      </c>
      <c r="D9066" s="2889" t="s">
        <v>1559</v>
      </c>
      <c r="E9066" s="2889" t="s">
        <v>217</v>
      </c>
      <c r="F9066" s="2890">
        <v>0.33654243101702325</v>
      </c>
      <c r="G9066" s="2890">
        <v>183.46401155362759</v>
      </c>
    </row>
    <row r="9067" spans="2:7" ht="15" hidden="1" outlineLevel="2">
      <c r="B9067" s="2889" t="s">
        <v>1643</v>
      </c>
      <c r="C9067" s="2889" t="s">
        <v>1578</v>
      </c>
      <c r="D9067" s="2889" t="s">
        <v>1559</v>
      </c>
      <c r="E9067" s="2889" t="s">
        <v>217</v>
      </c>
      <c r="F9067" s="2890">
        <v>6.0537878097586012E-2</v>
      </c>
      <c r="G9067" s="2890">
        <v>32.976863760951225</v>
      </c>
    </row>
    <row r="9068" spans="2:7" ht="15" hidden="1" outlineLevel="2">
      <c r="B9068" s="2889" t="s">
        <v>1644</v>
      </c>
      <c r="C9068" s="2889" t="s">
        <v>1578</v>
      </c>
      <c r="D9068" s="2889" t="s">
        <v>1559</v>
      </c>
      <c r="E9068" s="2889" t="s">
        <v>217</v>
      </c>
      <c r="F9068" s="2890">
        <v>1.1923395344509016</v>
      </c>
      <c r="G9068" s="2890">
        <v>655.18506109760767</v>
      </c>
    </row>
    <row r="9069" spans="2:7" ht="15" hidden="1" outlineLevel="2">
      <c r="B9069" s="2889" t="s">
        <v>1645</v>
      </c>
      <c r="C9069" s="2889" t="s">
        <v>1578</v>
      </c>
      <c r="D9069" s="2889" t="s">
        <v>1559</v>
      </c>
      <c r="E9069" s="2889" t="s">
        <v>217</v>
      </c>
      <c r="F9069" s="3039">
        <v>1.0673596003268115</v>
      </c>
      <c r="G9069" s="2890">
        <v>586.50965129724523</v>
      </c>
    </row>
    <row r="9070" spans="2:7" ht="15" hidden="1" outlineLevel="2">
      <c r="B9070" s="2889" t="s">
        <v>1646</v>
      </c>
      <c r="C9070" s="2889" t="s">
        <v>1578</v>
      </c>
      <c r="D9070" s="2889" t="s">
        <v>1559</v>
      </c>
      <c r="E9070" s="2889" t="s">
        <v>217</v>
      </c>
      <c r="F9070" s="3039">
        <v>8.3108095202818622E-34</v>
      </c>
      <c r="G9070" s="2890">
        <v>4.5305901526367279E-31</v>
      </c>
    </row>
    <row r="9071" spans="2:7" ht="15" hidden="1" outlineLevel="2">
      <c r="B9071" s="2889" t="s">
        <v>1647</v>
      </c>
      <c r="C9071" s="2889" t="s">
        <v>1578</v>
      </c>
      <c r="D9071" s="2889" t="s">
        <v>1559</v>
      </c>
      <c r="E9071" s="2889" t="s">
        <v>217</v>
      </c>
      <c r="F9071" s="3039">
        <v>0.12429447884932329</v>
      </c>
      <c r="G9071" s="2890">
        <v>68.043151022259863</v>
      </c>
    </row>
    <row r="9072" spans="2:7" ht="15" hidden="1" outlineLevel="2">
      <c r="B9072" s="2889" t="s">
        <v>1648</v>
      </c>
      <c r="C9072" s="2889" t="s">
        <v>1578</v>
      </c>
      <c r="D9072" s="2889" t="s">
        <v>1559</v>
      </c>
      <c r="E9072" s="2889" t="s">
        <v>217</v>
      </c>
      <c r="F9072" s="3039">
        <v>8.1651856097961584E-37</v>
      </c>
      <c r="G9072" s="2890">
        <v>4.4699090569433649E-34</v>
      </c>
    </row>
    <row r="9073" spans="2:7" ht="15" hidden="1" outlineLevel="2">
      <c r="B9073" s="2889" t="s">
        <v>1649</v>
      </c>
      <c r="C9073" s="2889" t="s">
        <v>1578</v>
      </c>
      <c r="D9073" s="2889" t="s">
        <v>1559</v>
      </c>
      <c r="E9073" s="2889" t="s">
        <v>217</v>
      </c>
      <c r="F9073" s="3039">
        <v>2.0510680705289451E-31</v>
      </c>
      <c r="G9073" s="2890">
        <v>1.1228300050502855E-28</v>
      </c>
    </row>
    <row r="9074" spans="2:7" ht="15" hidden="1" outlineLevel="2">
      <c r="B9074" s="2889" t="s">
        <v>1650</v>
      </c>
      <c r="C9074" s="2889" t="s">
        <v>1578</v>
      </c>
      <c r="D9074" s="2889" t="s">
        <v>1559</v>
      </c>
      <c r="E9074" s="2889" t="s">
        <v>217</v>
      </c>
      <c r="F9074" s="3039">
        <v>0.19168623490243339</v>
      </c>
      <c r="G9074" s="2890">
        <v>103.02151092300956</v>
      </c>
    </row>
    <row r="9075" spans="2:7" ht="15" hidden="1" outlineLevel="2">
      <c r="B9075" s="2889" t="s">
        <v>1651</v>
      </c>
      <c r="C9075" s="2889" t="s">
        <v>1578</v>
      </c>
      <c r="D9075" s="2889" t="s">
        <v>1559</v>
      </c>
      <c r="E9075" s="2889" t="s">
        <v>217</v>
      </c>
      <c r="F9075" s="3039">
        <v>1.37655811414E-32</v>
      </c>
      <c r="G9075" s="2890">
        <v>7.5309819200000002E-30</v>
      </c>
    </row>
    <row r="9076" spans="2:7" ht="15" hidden="1" outlineLevel="2">
      <c r="B9076" s="2889" t="s">
        <v>1652</v>
      </c>
      <c r="C9076" s="2889" t="s">
        <v>1578</v>
      </c>
      <c r="D9076" s="2889" t="s">
        <v>1559</v>
      </c>
      <c r="E9076" s="2889" t="s">
        <v>217</v>
      </c>
      <c r="F9076" s="2890">
        <v>8.1607757153999983E-37</v>
      </c>
      <c r="G9076" s="2890">
        <v>4.4696465880000001E-34</v>
      </c>
    </row>
    <row r="9077" spans="2:7" ht="15" hidden="1" outlineLevel="2">
      <c r="B9077" s="2889" t="s">
        <v>1653</v>
      </c>
      <c r="C9077" s="2889" t="s">
        <v>1578</v>
      </c>
      <c r="D9077" s="2889" t="s">
        <v>1559</v>
      </c>
      <c r="E9077" s="2889" t="s">
        <v>217</v>
      </c>
      <c r="F9077" s="2890">
        <v>1.0317800098780574</v>
      </c>
      <c r="G9077" s="2890">
        <v>562.46872865603495</v>
      </c>
    </row>
    <row r="9078" spans="2:7" ht="15" hidden="1" outlineLevel="2">
      <c r="B9078" s="2889" t="s">
        <v>1407</v>
      </c>
      <c r="C9078" s="2889" t="s">
        <v>1579</v>
      </c>
      <c r="D9078" s="2889" t="s">
        <v>1559</v>
      </c>
      <c r="E9078" s="2889" t="s">
        <v>217</v>
      </c>
      <c r="F9078" s="2890">
        <v>5.69852747144367E-2</v>
      </c>
      <c r="G9078" s="2890">
        <v>30.629543562713476</v>
      </c>
    </row>
    <row r="9079" spans="2:7" ht="15" hidden="1" outlineLevel="2">
      <c r="B9079" s="2889" t="s">
        <v>1631</v>
      </c>
      <c r="C9079" s="2889" t="s">
        <v>1579</v>
      </c>
      <c r="D9079" s="2889" t="s">
        <v>1559</v>
      </c>
      <c r="E9079" s="2889" t="s">
        <v>217</v>
      </c>
      <c r="F9079" s="3039">
        <v>2.7561703273802154</v>
      </c>
      <c r="G9079" s="2890">
        <v>1467.76969866736</v>
      </c>
    </row>
    <row r="9080" spans="2:7" ht="15" hidden="1" outlineLevel="2">
      <c r="B9080" s="2889" t="s">
        <v>1632</v>
      </c>
      <c r="C9080" s="2889" t="s">
        <v>1579</v>
      </c>
      <c r="D9080" s="2889" t="s">
        <v>1559</v>
      </c>
      <c r="E9080" s="2889" t="s">
        <v>217</v>
      </c>
      <c r="F9080" s="2890">
        <v>3.2367750719120587</v>
      </c>
      <c r="G9080" s="2890">
        <v>1764.26212877904</v>
      </c>
    </row>
    <row r="9081" spans="2:7" ht="15" hidden="1" outlineLevel="2">
      <c r="B9081" s="2889" t="s">
        <v>1633</v>
      </c>
      <c r="C9081" s="2889" t="s">
        <v>1579</v>
      </c>
      <c r="D9081" s="2889" t="s">
        <v>1559</v>
      </c>
      <c r="E9081" s="2889" t="s">
        <v>217</v>
      </c>
      <c r="F9081" s="2890">
        <v>0.19177843132987421</v>
      </c>
      <c r="G9081" s="2890">
        <v>105.36567143090613</v>
      </c>
    </row>
    <row r="9082" spans="2:7" ht="15" hidden="1" outlineLevel="2">
      <c r="B9082" s="2889" t="s">
        <v>1634</v>
      </c>
      <c r="C9082" s="2889" t="s">
        <v>1579</v>
      </c>
      <c r="D9082" s="2889" t="s">
        <v>1559</v>
      </c>
      <c r="E9082" s="2889" t="s">
        <v>217</v>
      </c>
      <c r="F9082" s="3039">
        <v>1.9387143840960953E-34</v>
      </c>
      <c r="G9082" s="2890">
        <v>1.0613883623866215E-31</v>
      </c>
    </row>
    <row r="9083" spans="2:7" ht="15" hidden="1" outlineLevel="2">
      <c r="B9083" s="2889" t="s">
        <v>1635</v>
      </c>
      <c r="C9083" s="2889" t="s">
        <v>1579</v>
      </c>
      <c r="D9083" s="2889" t="s">
        <v>1559</v>
      </c>
      <c r="E9083" s="2889" t="s">
        <v>217</v>
      </c>
      <c r="F9083" s="2890">
        <v>1.0204839371501615</v>
      </c>
      <c r="G9083" s="2890">
        <v>556.23243276425001</v>
      </c>
    </row>
    <row r="9084" spans="2:7" ht="15" hidden="1" outlineLevel="2">
      <c r="B9084" s="2889" t="s">
        <v>1636</v>
      </c>
      <c r="C9084" s="2889" t="s">
        <v>1579</v>
      </c>
      <c r="D9084" s="2889" t="s">
        <v>1559</v>
      </c>
      <c r="E9084" s="2889" t="s">
        <v>217</v>
      </c>
      <c r="F9084" s="2890">
        <v>0.13267653081254621</v>
      </c>
      <c r="G9084" s="2890">
        <v>72.285757447234374</v>
      </c>
    </row>
    <row r="9085" spans="2:7" ht="15" hidden="1" outlineLevel="2">
      <c r="B9085" s="2889" t="s">
        <v>1637</v>
      </c>
      <c r="C9085" s="2889" t="s">
        <v>1579</v>
      </c>
      <c r="D9085" s="2889" t="s">
        <v>1559</v>
      </c>
      <c r="E9085" s="2889" t="s">
        <v>217</v>
      </c>
      <c r="F9085" s="2890">
        <v>0.27651770406334297</v>
      </c>
      <c r="G9085" s="2890">
        <v>151.9228297789748</v>
      </c>
    </row>
    <row r="9086" spans="2:7" ht="15" hidden="1" outlineLevel="2">
      <c r="B9086" s="2889" t="s">
        <v>1638</v>
      </c>
      <c r="C9086" s="2889" t="s">
        <v>1579</v>
      </c>
      <c r="D9086" s="2889" t="s">
        <v>1559</v>
      </c>
      <c r="E9086" s="2889" t="s">
        <v>217</v>
      </c>
      <c r="F9086" s="3039">
        <v>4.2542909981863441E-32</v>
      </c>
      <c r="G9086" s="2890">
        <v>2.3290931510745778E-29</v>
      </c>
    </row>
    <row r="9087" spans="2:7" ht="15" hidden="1" outlineLevel="2">
      <c r="B9087" s="2889" t="s">
        <v>1639</v>
      </c>
      <c r="C9087" s="2889" t="s">
        <v>1579</v>
      </c>
      <c r="D9087" s="2889" t="s">
        <v>1559</v>
      </c>
      <c r="E9087" s="2889" t="s">
        <v>217</v>
      </c>
      <c r="F9087" s="3039">
        <v>1.6814036878707881</v>
      </c>
      <c r="G9087" s="2890">
        <v>923.78734075693308</v>
      </c>
    </row>
    <row r="9088" spans="2:7" ht="15" hidden="1" outlineLevel="2">
      <c r="B9088" s="2889" t="s">
        <v>1640</v>
      </c>
      <c r="C9088" s="2889" t="s">
        <v>1579</v>
      </c>
      <c r="D9088" s="2889" t="s">
        <v>1559</v>
      </c>
      <c r="E9088" s="2889" t="s">
        <v>217</v>
      </c>
      <c r="F9088" s="3039">
        <v>0.27808848736790559</v>
      </c>
      <c r="G9088" s="2890">
        <v>149.47205772964566</v>
      </c>
    </row>
    <row r="9089" spans="2:7" ht="15" hidden="1" outlineLevel="2">
      <c r="B9089" s="2889" t="s">
        <v>1641</v>
      </c>
      <c r="C9089" s="2889" t="s">
        <v>1579</v>
      </c>
      <c r="D9089" s="2889" t="s">
        <v>1559</v>
      </c>
      <c r="E9089" s="2889" t="s">
        <v>217</v>
      </c>
      <c r="F9089" s="2890">
        <v>0.7440087796508823</v>
      </c>
      <c r="G9089" s="2890">
        <v>405.5352792533298</v>
      </c>
    </row>
    <row r="9090" spans="2:7" ht="15" hidden="1" outlineLevel="2">
      <c r="B9090" s="2889" t="s">
        <v>1642</v>
      </c>
      <c r="C9090" s="2889" t="s">
        <v>1579</v>
      </c>
      <c r="D9090" s="2889" t="s">
        <v>1559</v>
      </c>
      <c r="E9090" s="2889" t="s">
        <v>217</v>
      </c>
      <c r="F9090" s="2890">
        <v>2.1893172602242026</v>
      </c>
      <c r="G9090" s="2890">
        <v>1193.3272516836</v>
      </c>
    </row>
    <row r="9091" spans="2:7" ht="15" hidden="1" outlineLevel="2">
      <c r="B9091" s="2889" t="s">
        <v>1643</v>
      </c>
      <c r="C9091" s="2889" t="s">
        <v>1579</v>
      </c>
      <c r="D9091" s="2889" t="s">
        <v>1559</v>
      </c>
      <c r="E9091" s="2889" t="s">
        <v>217</v>
      </c>
      <c r="F9091" s="2890">
        <v>0.23511595442515848</v>
      </c>
      <c r="G9091" s="2890">
        <v>128.08168428513736</v>
      </c>
    </row>
    <row r="9092" spans="2:7" ht="15" hidden="1" outlineLevel="2">
      <c r="B9092" s="2889" t="s">
        <v>1644</v>
      </c>
      <c r="C9092" s="2889" t="s">
        <v>1579</v>
      </c>
      <c r="D9092" s="2889" t="s">
        <v>1559</v>
      </c>
      <c r="E9092" s="2889" t="s">
        <v>217</v>
      </c>
      <c r="F9092" s="2890">
        <v>6.64087649387365</v>
      </c>
      <c r="G9092" s="2890">
        <v>3648.5907794703398</v>
      </c>
    </row>
    <row r="9093" spans="2:7" ht="15" hidden="1" outlineLevel="2">
      <c r="B9093" s="2889" t="s">
        <v>1645</v>
      </c>
      <c r="C9093" s="2889" t="s">
        <v>1579</v>
      </c>
      <c r="D9093" s="2889" t="s">
        <v>1559</v>
      </c>
      <c r="E9093" s="2889" t="s">
        <v>217</v>
      </c>
      <c r="F9093" s="2890">
        <v>3.2446194431459134</v>
      </c>
      <c r="G9093" s="2890">
        <v>1782.64103600308</v>
      </c>
    </row>
    <row r="9094" spans="2:7" ht="15" hidden="1" outlineLevel="2">
      <c r="B9094" s="2889" t="s">
        <v>1646</v>
      </c>
      <c r="C9094" s="2889" t="s">
        <v>1579</v>
      </c>
      <c r="D9094" s="2889" t="s">
        <v>1559</v>
      </c>
      <c r="E9094" s="2889" t="s">
        <v>217</v>
      </c>
      <c r="F9094" s="2890">
        <v>1.4166399937974588E-33</v>
      </c>
      <c r="G9094" s="2890">
        <v>7.7216496175236661E-31</v>
      </c>
    </row>
    <row r="9095" spans="2:7" ht="15" hidden="1" outlineLevel="2">
      <c r="B9095" s="2889" t="s">
        <v>1647</v>
      </c>
      <c r="C9095" s="2889" t="s">
        <v>1579</v>
      </c>
      <c r="D9095" s="2889" t="s">
        <v>1559</v>
      </c>
      <c r="E9095" s="2889" t="s">
        <v>217</v>
      </c>
      <c r="F9095" s="2890">
        <v>0.16336654200826356</v>
      </c>
      <c r="G9095" s="2890">
        <v>89.43825773316091</v>
      </c>
    </row>
    <row r="9096" spans="2:7" ht="15" hidden="1" outlineLevel="2">
      <c r="B9096" s="2889" t="s">
        <v>1648</v>
      </c>
      <c r="C9096" s="2889" t="s">
        <v>1579</v>
      </c>
      <c r="D9096" s="2889" t="s">
        <v>1559</v>
      </c>
      <c r="E9096" s="2889" t="s">
        <v>217</v>
      </c>
      <c r="F9096" s="2890">
        <v>1.0468794339311338E-32</v>
      </c>
      <c r="G9096" s="2890">
        <v>5.731359529755185E-30</v>
      </c>
    </row>
    <row r="9097" spans="2:7" ht="15" hidden="1" outlineLevel="2">
      <c r="B9097" s="2889" t="s">
        <v>1649</v>
      </c>
      <c r="C9097" s="2889" t="s">
        <v>1579</v>
      </c>
      <c r="D9097" s="2889" t="s">
        <v>1559</v>
      </c>
      <c r="E9097" s="2889" t="s">
        <v>217</v>
      </c>
      <c r="F9097" s="2890">
        <v>6.83532789803876E-31</v>
      </c>
      <c r="G9097" s="2890">
        <v>3.7421352554373352E-28</v>
      </c>
    </row>
    <row r="9098" spans="2:7" ht="15" hidden="1" outlineLevel="2">
      <c r="B9098" s="2889" t="s">
        <v>1650</v>
      </c>
      <c r="C9098" s="2889" t="s">
        <v>1579</v>
      </c>
      <c r="D9098" s="2889" t="s">
        <v>1559</v>
      </c>
      <c r="E9098" s="2889" t="s">
        <v>217</v>
      </c>
      <c r="F9098" s="2890">
        <v>0.51514701888428027</v>
      </c>
      <c r="G9098" s="2890">
        <v>276.8908339959446</v>
      </c>
    </row>
    <row r="9099" spans="2:7" ht="15" hidden="1" outlineLevel="2">
      <c r="B9099" s="2889" t="s">
        <v>1651</v>
      </c>
      <c r="C9099" s="2889" t="s">
        <v>1579</v>
      </c>
      <c r="D9099" s="2889" t="s">
        <v>1559</v>
      </c>
      <c r="E9099" s="2889" t="s">
        <v>217</v>
      </c>
      <c r="F9099" s="3039">
        <v>1.17714141666E-32</v>
      </c>
      <c r="G9099" s="2890">
        <v>6.4383722479999999E-30</v>
      </c>
    </row>
    <row r="9100" spans="2:7" ht="15" hidden="1" outlineLevel="2">
      <c r="B9100" s="2889" t="s">
        <v>1652</v>
      </c>
      <c r="C9100" s="2889" t="s">
        <v>1579</v>
      </c>
      <c r="D9100" s="2889" t="s">
        <v>1559</v>
      </c>
      <c r="E9100" s="2889" t="s">
        <v>217</v>
      </c>
      <c r="F9100" s="3039">
        <v>1.04877300792E-32</v>
      </c>
      <c r="G9100" s="2890">
        <v>5.7291459939999999E-30</v>
      </c>
    </row>
    <row r="9101" spans="2:7" ht="15" hidden="1" outlineLevel="2">
      <c r="B9101" s="2889" t="s">
        <v>1653</v>
      </c>
      <c r="C9101" s="2889" t="s">
        <v>1579</v>
      </c>
      <c r="D9101" s="2889" t="s">
        <v>1559</v>
      </c>
      <c r="E9101" s="2889" t="s">
        <v>217</v>
      </c>
      <c r="F9101" s="2890">
        <v>0.40684459846971199</v>
      </c>
      <c r="G9101" s="2890">
        <v>221.75802689360029</v>
      </c>
    </row>
    <row r="9102" spans="2:7" ht="15" hidden="1" outlineLevel="2">
      <c r="B9102" s="2889" t="s">
        <v>1407</v>
      </c>
      <c r="C9102" s="2889" t="s">
        <v>1580</v>
      </c>
      <c r="D9102" s="2889" t="s">
        <v>1559</v>
      </c>
      <c r="E9102" s="2889" t="s">
        <v>217</v>
      </c>
      <c r="F9102" s="2890">
        <v>8.9366902994803918E-2</v>
      </c>
      <c r="G9102" s="2890">
        <v>112.70001138933979</v>
      </c>
    </row>
    <row r="9103" spans="2:7" ht="15" hidden="1" outlineLevel="2">
      <c r="B9103" s="2889" t="s">
        <v>1631</v>
      </c>
      <c r="C9103" s="2889" t="s">
        <v>1580</v>
      </c>
      <c r="D9103" s="2889" t="s">
        <v>1559</v>
      </c>
      <c r="E9103" s="2889" t="s">
        <v>217</v>
      </c>
      <c r="F9103" s="2890">
        <v>0.53219751372268875</v>
      </c>
      <c r="G9103" s="2890">
        <v>664.03640313747076</v>
      </c>
    </row>
    <row r="9104" spans="2:7" ht="15" hidden="1" outlineLevel="2">
      <c r="B9104" s="2889" t="s">
        <v>1632</v>
      </c>
      <c r="C9104" s="2889" t="s">
        <v>1580</v>
      </c>
      <c r="D9104" s="2889" t="s">
        <v>1559</v>
      </c>
      <c r="E9104" s="2889" t="s">
        <v>217</v>
      </c>
      <c r="F9104" s="2890">
        <v>0.87127052083559386</v>
      </c>
      <c r="G9104" s="2890">
        <v>1100.2367006424929</v>
      </c>
    </row>
    <row r="9105" spans="2:7" ht="15" hidden="1" outlineLevel="2">
      <c r="B9105" s="2889" t="s">
        <v>1633</v>
      </c>
      <c r="C9105" s="2889" t="s">
        <v>1580</v>
      </c>
      <c r="D9105" s="2889" t="s">
        <v>1559</v>
      </c>
      <c r="E9105" s="2889" t="s">
        <v>217</v>
      </c>
      <c r="F9105" s="2890">
        <v>8.0174934272124687E-2</v>
      </c>
      <c r="G9105" s="2890">
        <v>101.55079946089609</v>
      </c>
    </row>
    <row r="9106" spans="2:7" ht="15" hidden="1" outlineLevel="2">
      <c r="B9106" s="2889" t="s">
        <v>1634</v>
      </c>
      <c r="C9106" s="2889" t="s">
        <v>1580</v>
      </c>
      <c r="D9106" s="2889" t="s">
        <v>1559</v>
      </c>
      <c r="E9106" s="2889" t="s">
        <v>217</v>
      </c>
      <c r="F9106" s="2890">
        <v>3.3337824951605012E-2</v>
      </c>
      <c r="G9106" s="2890">
        <v>42.326356548748251</v>
      </c>
    </row>
    <row r="9107" spans="2:7" ht="15" hidden="1" outlineLevel="2">
      <c r="B9107" s="2889" t="s">
        <v>1635</v>
      </c>
      <c r="C9107" s="2889" t="s">
        <v>1580</v>
      </c>
      <c r="D9107" s="2889" t="s">
        <v>1559</v>
      </c>
      <c r="E9107" s="2889" t="s">
        <v>217</v>
      </c>
      <c r="F9107" s="2890">
        <v>0.15535598180266397</v>
      </c>
      <c r="G9107" s="2890">
        <v>196.182905903061</v>
      </c>
    </row>
    <row r="9108" spans="2:7" ht="15" hidden="1" outlineLevel="2">
      <c r="B9108" s="2889" t="s">
        <v>1636</v>
      </c>
      <c r="C9108" s="2889" t="s">
        <v>1580</v>
      </c>
      <c r="D9108" s="2889" t="s">
        <v>1559</v>
      </c>
      <c r="E9108" s="2889" t="s">
        <v>217</v>
      </c>
      <c r="F9108" s="2890">
        <v>9.856198544708232E-2</v>
      </c>
      <c r="G9108" s="2890">
        <v>124.47733764400783</v>
      </c>
    </row>
    <row r="9109" spans="2:7" ht="15" hidden="1" outlineLevel="2">
      <c r="B9109" s="2889" t="s">
        <v>1637</v>
      </c>
      <c r="C9109" s="2889" t="s">
        <v>1580</v>
      </c>
      <c r="D9109" s="2889" t="s">
        <v>1559</v>
      </c>
      <c r="E9109" s="2889" t="s">
        <v>217</v>
      </c>
      <c r="F9109" s="2890">
        <v>0.12698746632131813</v>
      </c>
      <c r="G9109" s="2890">
        <v>160.84433535969191</v>
      </c>
    </row>
    <row r="9110" spans="2:7" ht="15" hidden="1" outlineLevel="2">
      <c r="B9110" s="2889" t="s">
        <v>1638</v>
      </c>
      <c r="C9110" s="2889" t="s">
        <v>1580</v>
      </c>
      <c r="D9110" s="2889" t="s">
        <v>1559</v>
      </c>
      <c r="E9110" s="2889" t="s">
        <v>217</v>
      </c>
      <c r="F9110" s="2890">
        <v>4.006191567012915E-2</v>
      </c>
      <c r="G9110" s="2890">
        <v>50.863388300478491</v>
      </c>
    </row>
    <row r="9111" spans="2:7" ht="15" hidden="1" outlineLevel="2">
      <c r="B9111" s="2889" t="s">
        <v>1639</v>
      </c>
      <c r="C9111" s="2889" t="s">
        <v>1580</v>
      </c>
      <c r="D9111" s="2889" t="s">
        <v>1559</v>
      </c>
      <c r="E9111" s="2889" t="s">
        <v>217</v>
      </c>
      <c r="F9111" s="2890">
        <v>0.21225980786290205</v>
      </c>
      <c r="G9111" s="2890">
        <v>268.85142034310883</v>
      </c>
    </row>
    <row r="9112" spans="2:7" ht="15" hidden="1" outlineLevel="2">
      <c r="B9112" s="2889" t="s">
        <v>1640</v>
      </c>
      <c r="C9112" s="2889" t="s">
        <v>1580</v>
      </c>
      <c r="D9112" s="2889" t="s">
        <v>1559</v>
      </c>
      <c r="E9112" s="2889" t="s">
        <v>217</v>
      </c>
      <c r="F9112" s="2890">
        <v>4.6847838437631295E-2</v>
      </c>
      <c r="G9112" s="2890">
        <v>59.079533733075046</v>
      </c>
    </row>
    <row r="9113" spans="2:7" ht="15" hidden="1" outlineLevel="2">
      <c r="B9113" s="2889" t="s">
        <v>1641</v>
      </c>
      <c r="C9113" s="2889" t="s">
        <v>1580</v>
      </c>
      <c r="D9113" s="2889" t="s">
        <v>1559</v>
      </c>
      <c r="E9113" s="2889" t="s">
        <v>217</v>
      </c>
      <c r="F9113" s="2890">
        <v>0.23690754717201495</v>
      </c>
      <c r="G9113" s="2890">
        <v>299.16579975151268</v>
      </c>
    </row>
    <row r="9114" spans="2:7" ht="15" hidden="1" outlineLevel="2">
      <c r="B9114" s="2889" t="s">
        <v>1642</v>
      </c>
      <c r="C9114" s="2889" t="s">
        <v>1580</v>
      </c>
      <c r="D9114" s="2889" t="s">
        <v>1559</v>
      </c>
      <c r="E9114" s="2889" t="s">
        <v>217</v>
      </c>
      <c r="F9114" s="2890">
        <v>0.26406404199581851</v>
      </c>
      <c r="G9114" s="2890">
        <v>333.45892716844122</v>
      </c>
    </row>
    <row r="9115" spans="2:7" ht="15" hidden="1" outlineLevel="2">
      <c r="B9115" s="2889" t="s">
        <v>1643</v>
      </c>
      <c r="C9115" s="2889" t="s">
        <v>1580</v>
      </c>
      <c r="D9115" s="2889" t="s">
        <v>1559</v>
      </c>
      <c r="E9115" s="2889" t="s">
        <v>217</v>
      </c>
      <c r="F9115" s="2890">
        <v>4.2054708213339613E-2</v>
      </c>
      <c r="G9115" s="2890">
        <v>53.035479412779203</v>
      </c>
    </row>
    <row r="9116" spans="2:7" ht="15" hidden="1" outlineLevel="2">
      <c r="B9116" s="2889" t="s">
        <v>1644</v>
      </c>
      <c r="C9116" s="2889" t="s">
        <v>1580</v>
      </c>
      <c r="D9116" s="2889" t="s">
        <v>1559</v>
      </c>
      <c r="E9116" s="2889" t="s">
        <v>217</v>
      </c>
      <c r="F9116" s="3039">
        <v>0.94017933742189774</v>
      </c>
      <c r="G9116" s="2890">
        <v>1190.8451641301654</v>
      </c>
    </row>
    <row r="9117" spans="2:7" ht="15" hidden="1" outlineLevel="2">
      <c r="B9117" s="2889" t="s">
        <v>1645</v>
      </c>
      <c r="C9117" s="2889" t="s">
        <v>1580</v>
      </c>
      <c r="D9117" s="2889" t="s">
        <v>1559</v>
      </c>
      <c r="E9117" s="2889" t="s">
        <v>217</v>
      </c>
      <c r="F9117" s="3039">
        <v>0.84163135812168632</v>
      </c>
      <c r="G9117" s="2890">
        <v>1066.0232742313394</v>
      </c>
    </row>
    <row r="9118" spans="2:7" ht="15" hidden="1" outlineLevel="2">
      <c r="B9118" s="2889" t="s">
        <v>1646</v>
      </c>
      <c r="C9118" s="2889" t="s">
        <v>1580</v>
      </c>
      <c r="D9118" s="2889" t="s">
        <v>1559</v>
      </c>
      <c r="E9118" s="2889" t="s">
        <v>217</v>
      </c>
      <c r="F9118" s="3039">
        <v>4.7937858050997498E-2</v>
      </c>
      <c r="G9118" s="2890">
        <v>60.53571396103542</v>
      </c>
    </row>
    <row r="9119" spans="2:7" ht="15" hidden="1" outlineLevel="2">
      <c r="B9119" s="2889" t="s">
        <v>1647</v>
      </c>
      <c r="C9119" s="2889" t="s">
        <v>1580</v>
      </c>
      <c r="D9119" s="2889" t="s">
        <v>1559</v>
      </c>
      <c r="E9119" s="2889" t="s">
        <v>217</v>
      </c>
      <c r="F9119" s="3039">
        <v>9.7409732009237068E-2</v>
      </c>
      <c r="G9119" s="2890">
        <v>123.67324183576041</v>
      </c>
    </row>
    <row r="9120" spans="2:7" ht="15" hidden="1" outlineLevel="2">
      <c r="B9120" s="2889" t="s">
        <v>1648</v>
      </c>
      <c r="C9120" s="2889" t="s">
        <v>1580</v>
      </c>
      <c r="D9120" s="2889" t="s">
        <v>1559</v>
      </c>
      <c r="E9120" s="2889" t="s">
        <v>217</v>
      </c>
      <c r="F9120" s="3039">
        <v>2.732853017637182E-2</v>
      </c>
      <c r="G9120" s="2890">
        <v>34.69683652761907</v>
      </c>
    </row>
    <row r="9121" spans="2:7" ht="15" hidden="1" outlineLevel="2">
      <c r="B9121" s="2889" t="s">
        <v>1649</v>
      </c>
      <c r="C9121" s="2889" t="s">
        <v>1580</v>
      </c>
      <c r="D9121" s="2889" t="s">
        <v>1559</v>
      </c>
      <c r="E9121" s="2889" t="s">
        <v>217</v>
      </c>
      <c r="F9121" s="3039">
        <v>4.6413657475332819E-2</v>
      </c>
      <c r="G9121" s="2890">
        <v>58.927713612354559</v>
      </c>
    </row>
    <row r="9122" spans="2:7" ht="15" hidden="1" outlineLevel="2">
      <c r="B9122" s="2889" t="s">
        <v>1650</v>
      </c>
      <c r="C9122" s="2889" t="s">
        <v>1580</v>
      </c>
      <c r="D9122" s="2889" t="s">
        <v>1559</v>
      </c>
      <c r="E9122" s="2889" t="s">
        <v>217</v>
      </c>
      <c r="F9122" s="3039">
        <v>0.14848144090433579</v>
      </c>
      <c r="G9122" s="2890">
        <v>187.24908861449197</v>
      </c>
    </row>
    <row r="9123" spans="2:7" ht="15" hidden="1" outlineLevel="2">
      <c r="B9123" s="2889" t="s">
        <v>1651</v>
      </c>
      <c r="C9123" s="2889" t="s">
        <v>1580</v>
      </c>
      <c r="D9123" s="2889" t="s">
        <v>1559</v>
      </c>
      <c r="E9123" s="2889" t="s">
        <v>217</v>
      </c>
      <c r="F9123" s="3039">
        <v>9.6790038927871386E-2</v>
      </c>
      <c r="G9123" s="2890">
        <v>122.88653608905017</v>
      </c>
    </row>
    <row r="9124" spans="2:7" ht="15" hidden="1" outlineLevel="2">
      <c r="B9124" s="2889" t="s">
        <v>1652</v>
      </c>
      <c r="C9124" s="2889" t="s">
        <v>1580</v>
      </c>
      <c r="D9124" s="2889" t="s">
        <v>1559</v>
      </c>
      <c r="E9124" s="2889" t="s">
        <v>217</v>
      </c>
      <c r="F9124" s="3039">
        <v>0.13085901082179421</v>
      </c>
      <c r="G9124" s="2890">
        <v>166.14108081985549</v>
      </c>
    </row>
    <row r="9125" spans="2:7" ht="15" hidden="1" outlineLevel="2">
      <c r="B9125" s="2889" t="s">
        <v>1653</v>
      </c>
      <c r="C9125" s="2889" t="s">
        <v>1580</v>
      </c>
      <c r="D9125" s="2889" t="s">
        <v>1559</v>
      </c>
      <c r="E9125" s="2889" t="s">
        <v>217</v>
      </c>
      <c r="F9125" s="3039">
        <v>0.8095743227241492</v>
      </c>
      <c r="G9125" s="2890">
        <v>1022.3264008261222</v>
      </c>
    </row>
    <row r="9126" spans="2:7" ht="15" hidden="1" outlineLevel="2">
      <c r="B9126" s="2889" t="s">
        <v>1407</v>
      </c>
      <c r="C9126" s="2889" t="s">
        <v>1581</v>
      </c>
      <c r="D9126" s="2889" t="s">
        <v>1559</v>
      </c>
      <c r="E9126" s="2889" t="s">
        <v>217</v>
      </c>
      <c r="F9126" s="2890">
        <v>7.2663141006427548E-3</v>
      </c>
      <c r="G9126" s="2890">
        <v>10.225895357995777</v>
      </c>
    </row>
    <row r="9127" spans="2:7" ht="15" hidden="1" outlineLevel="2">
      <c r="B9127" s="2889" t="s">
        <v>1631</v>
      </c>
      <c r="C9127" s="2889" t="s">
        <v>1581</v>
      </c>
      <c r="D9127" s="2889" t="s">
        <v>1559</v>
      </c>
      <c r="E9127" s="2889" t="s">
        <v>217</v>
      </c>
      <c r="F9127" s="2890">
        <v>0.35193007134621079</v>
      </c>
      <c r="G9127" s="2890">
        <v>490.02546778289849</v>
      </c>
    </row>
    <row r="9128" spans="2:7" ht="15" hidden="1" outlineLevel="2">
      <c r="B9128" s="2889" t="s">
        <v>1632</v>
      </c>
      <c r="C9128" s="2889" t="s">
        <v>1581</v>
      </c>
      <c r="D9128" s="2889" t="s">
        <v>1559</v>
      </c>
      <c r="E9128" s="2889" t="s">
        <v>217</v>
      </c>
      <c r="F9128" s="3039">
        <v>0.41797817614791316</v>
      </c>
      <c r="G9128" s="2890">
        <v>589.01222461937959</v>
      </c>
    </row>
    <row r="9129" spans="2:7" ht="15" hidden="1" outlineLevel="2">
      <c r="B9129" s="2889" t="s">
        <v>1633</v>
      </c>
      <c r="C9129" s="2889" t="s">
        <v>1581</v>
      </c>
      <c r="D9129" s="2889" t="s">
        <v>1559</v>
      </c>
      <c r="E9129" s="2889" t="s">
        <v>217</v>
      </c>
      <c r="F9129" s="2890">
        <v>2.4886597389646922E-2</v>
      </c>
      <c r="G9129" s="2890">
        <v>35.177119872465511</v>
      </c>
    </row>
    <row r="9130" spans="2:7" ht="15" hidden="1" outlineLevel="2">
      <c r="B9130" s="2889" t="s">
        <v>1634</v>
      </c>
      <c r="C9130" s="2889" t="s">
        <v>1581</v>
      </c>
      <c r="D9130" s="2889" t="s">
        <v>1559</v>
      </c>
      <c r="E9130" s="2889" t="s">
        <v>217</v>
      </c>
      <c r="F9130" s="2890">
        <v>7.7947746836251729E-3</v>
      </c>
      <c r="G9130" s="2890">
        <v>11.043976939005109</v>
      </c>
    </row>
    <row r="9131" spans="2:7" ht="15" hidden="1" outlineLevel="2">
      <c r="B9131" s="2889" t="s">
        <v>1635</v>
      </c>
      <c r="C9131" s="2889" t="s">
        <v>1581</v>
      </c>
      <c r="D9131" s="2889" t="s">
        <v>1559</v>
      </c>
      <c r="E9131" s="2889" t="s">
        <v>217</v>
      </c>
      <c r="F9131" s="2890">
        <v>0.13177913778080647</v>
      </c>
      <c r="G9131" s="2890">
        <v>185.7024035735225</v>
      </c>
    </row>
    <row r="9132" spans="2:7" ht="15" hidden="1" outlineLevel="2">
      <c r="B9132" s="2889" t="s">
        <v>1636</v>
      </c>
      <c r="C9132" s="2889" t="s">
        <v>1581</v>
      </c>
      <c r="D9132" s="2889" t="s">
        <v>1559</v>
      </c>
      <c r="E9132" s="2889" t="s">
        <v>217</v>
      </c>
      <c r="F9132" s="2890">
        <v>1.7123567851558781E-2</v>
      </c>
      <c r="G9132" s="2890">
        <v>24.133145613258186</v>
      </c>
    </row>
    <row r="9133" spans="2:7" ht="15" hidden="1" outlineLevel="2">
      <c r="B9133" s="2889" t="s">
        <v>1637</v>
      </c>
      <c r="C9133" s="2889" t="s">
        <v>1581</v>
      </c>
      <c r="D9133" s="2889" t="s">
        <v>1559</v>
      </c>
      <c r="E9133" s="2889" t="s">
        <v>217</v>
      </c>
      <c r="F9133" s="2890">
        <v>3.588300416262722E-2</v>
      </c>
      <c r="G9133" s="2890">
        <v>50.72049882410824</v>
      </c>
    </row>
    <row r="9134" spans="2:7" ht="15" hidden="1" outlineLevel="2">
      <c r="B9134" s="2889" t="s">
        <v>1638</v>
      </c>
      <c r="C9134" s="2889" t="s">
        <v>1581</v>
      </c>
      <c r="D9134" s="2889" t="s">
        <v>1559</v>
      </c>
      <c r="E9134" s="2889" t="s">
        <v>217</v>
      </c>
      <c r="F9134" s="2890">
        <v>4.6191246574305116E-2</v>
      </c>
      <c r="G9134" s="2890">
        <v>65.445767438112313</v>
      </c>
    </row>
    <row r="9135" spans="2:7" ht="15" hidden="1" outlineLevel="2">
      <c r="B9135" s="2889" t="s">
        <v>1639</v>
      </c>
      <c r="C9135" s="2889" t="s">
        <v>1581</v>
      </c>
      <c r="D9135" s="2889" t="s">
        <v>1559</v>
      </c>
      <c r="E9135" s="2889" t="s">
        <v>217</v>
      </c>
      <c r="F9135" s="2890">
        <v>0.2181918792529248</v>
      </c>
      <c r="G9135" s="2890">
        <v>308.41335729708044</v>
      </c>
    </row>
    <row r="9136" spans="2:7" ht="15" hidden="1" outlineLevel="2">
      <c r="B9136" s="2889" t="s">
        <v>1640</v>
      </c>
      <c r="C9136" s="2889" t="s">
        <v>1581</v>
      </c>
      <c r="D9136" s="2889" t="s">
        <v>1559</v>
      </c>
      <c r="E9136" s="2889" t="s">
        <v>217</v>
      </c>
      <c r="F9136" s="2890">
        <v>4.6795073879666998E-2</v>
      </c>
      <c r="G9136" s="2890">
        <v>65.854844090840189</v>
      </c>
    </row>
    <row r="9137" spans="2:7" ht="15" hidden="1" outlineLevel="2">
      <c r="B9137" s="2889" t="s">
        <v>1641</v>
      </c>
      <c r="C9137" s="2889" t="s">
        <v>1581</v>
      </c>
      <c r="D9137" s="2889" t="s">
        <v>1559</v>
      </c>
      <c r="E9137" s="2889" t="s">
        <v>217</v>
      </c>
      <c r="F9137" s="2890">
        <v>9.6076896025881403E-2</v>
      </c>
      <c r="G9137" s="2890">
        <v>135.39105714105921</v>
      </c>
    </row>
    <row r="9138" spans="2:7" ht="15" hidden="1" outlineLevel="2">
      <c r="B9138" s="2889" t="s">
        <v>1642</v>
      </c>
      <c r="C9138" s="2889" t="s">
        <v>1581</v>
      </c>
      <c r="D9138" s="2889" t="s">
        <v>1559</v>
      </c>
      <c r="E9138" s="2889" t="s">
        <v>217</v>
      </c>
      <c r="F9138" s="2890">
        <v>0.28271563879219197</v>
      </c>
      <c r="G9138" s="2890">
        <v>398.40132594071628</v>
      </c>
    </row>
    <row r="9139" spans="2:7" ht="15" hidden="1" outlineLevel="2">
      <c r="B9139" s="2889" t="s">
        <v>1643</v>
      </c>
      <c r="C9139" s="2889" t="s">
        <v>1581</v>
      </c>
      <c r="D9139" s="2889" t="s">
        <v>1559</v>
      </c>
      <c r="E9139" s="2889" t="s">
        <v>217</v>
      </c>
      <c r="F9139" s="2890">
        <v>2.7562440839536153E-2</v>
      </c>
      <c r="G9139" s="2890">
        <v>38.779601672481157</v>
      </c>
    </row>
    <row r="9140" spans="2:7" ht="15" hidden="1" outlineLevel="2">
      <c r="B9140" s="2889" t="s">
        <v>1644</v>
      </c>
      <c r="C9140" s="2889" t="s">
        <v>1581</v>
      </c>
      <c r="D9140" s="2889" t="s">
        <v>1559</v>
      </c>
      <c r="E9140" s="2889" t="s">
        <v>217</v>
      </c>
      <c r="F9140" s="2890">
        <v>0.86177083214165207</v>
      </c>
      <c r="G9140" s="2890">
        <v>1218.1101139123061</v>
      </c>
    </row>
    <row r="9141" spans="2:7" ht="15" hidden="1" outlineLevel="2">
      <c r="B9141" s="2889" t="s">
        <v>1645</v>
      </c>
      <c r="C9141" s="2889" t="s">
        <v>1581</v>
      </c>
      <c r="D9141" s="2889" t="s">
        <v>1559</v>
      </c>
      <c r="E9141" s="2889" t="s">
        <v>217</v>
      </c>
      <c r="F9141" s="2890">
        <v>0.42104648856707638</v>
      </c>
      <c r="G9141" s="2890">
        <v>595.14775520075432</v>
      </c>
    </row>
    <row r="9142" spans="2:7" ht="15" hidden="1" outlineLevel="2">
      <c r="B9142" s="2889" t="s">
        <v>1646</v>
      </c>
      <c r="C9142" s="2889" t="s">
        <v>1581</v>
      </c>
      <c r="D9142" s="2889" t="s">
        <v>1559</v>
      </c>
      <c r="E9142" s="2889" t="s">
        <v>217</v>
      </c>
      <c r="F9142" s="2890">
        <v>2.7574941243579079E-2</v>
      </c>
      <c r="G9142" s="2890">
        <v>38.858443660890018</v>
      </c>
    </row>
    <row r="9143" spans="2:7" ht="15" hidden="1" outlineLevel="2">
      <c r="B9143" s="2889" t="s">
        <v>1647</v>
      </c>
      <c r="C9143" s="2889" t="s">
        <v>1581</v>
      </c>
      <c r="D9143" s="2889" t="s">
        <v>1559</v>
      </c>
      <c r="E9143" s="2889" t="s">
        <v>217</v>
      </c>
      <c r="F9143" s="2890">
        <v>2.1074758593260023E-2</v>
      </c>
      <c r="G9143" s="2890">
        <v>29.859646392866267</v>
      </c>
    </row>
    <row r="9144" spans="2:7" ht="15" hidden="1" outlineLevel="2">
      <c r="B9144" s="2889" t="s">
        <v>1648</v>
      </c>
      <c r="C9144" s="2889" t="s">
        <v>1581</v>
      </c>
      <c r="D9144" s="2889" t="s">
        <v>1559</v>
      </c>
      <c r="E9144" s="2889" t="s">
        <v>217</v>
      </c>
      <c r="F9144" s="2890">
        <v>4.6479952528606441E-2</v>
      </c>
      <c r="G9144" s="2890">
        <v>65.854844090840189</v>
      </c>
    </row>
    <row r="9145" spans="2:7" ht="15" hidden="1" outlineLevel="2">
      <c r="B9145" s="2889" t="s">
        <v>1649</v>
      </c>
      <c r="C9145" s="2889" t="s">
        <v>1581</v>
      </c>
      <c r="D9145" s="2889" t="s">
        <v>1559</v>
      </c>
      <c r="E9145" s="2889" t="s">
        <v>217</v>
      </c>
      <c r="F9145" s="2890">
        <v>4.5613880665873949E-2</v>
      </c>
      <c r="G9145" s="2890">
        <v>64.627737669444059</v>
      </c>
    </row>
    <row r="9146" spans="2:7" ht="15" hidden="1" outlineLevel="2">
      <c r="B9146" s="2889" t="s">
        <v>1650</v>
      </c>
      <c r="C9146" s="2889" t="s">
        <v>1581</v>
      </c>
      <c r="D9146" s="2889" t="s">
        <v>1559</v>
      </c>
      <c r="E9146" s="2889" t="s">
        <v>217</v>
      </c>
      <c r="F9146" s="2890">
        <v>6.5687482087436064E-2</v>
      </c>
      <c r="G9146" s="2890">
        <v>92.442158167683814</v>
      </c>
    </row>
    <row r="9147" spans="2:7" ht="15" hidden="1" outlineLevel="2">
      <c r="B9147" s="2889" t="s">
        <v>1651</v>
      </c>
      <c r="C9147" s="2889" t="s">
        <v>1581</v>
      </c>
      <c r="D9147" s="2889" t="s">
        <v>1559</v>
      </c>
      <c r="E9147" s="2889" t="s">
        <v>217</v>
      </c>
      <c r="F9147" s="2890">
        <v>2.9446929408748202E-2</v>
      </c>
      <c r="G9147" s="2890">
        <v>41.721690420725636</v>
      </c>
    </row>
    <row r="9148" spans="2:7" ht="15" hidden="1" outlineLevel="2">
      <c r="B9148" s="2889" t="s">
        <v>1652</v>
      </c>
      <c r="C9148" s="2889" t="s">
        <v>1581</v>
      </c>
      <c r="D9148" s="2889" t="s">
        <v>1559</v>
      </c>
      <c r="E9148" s="2889" t="s">
        <v>217</v>
      </c>
      <c r="F9148" s="2890">
        <v>4.6479952528141237E-2</v>
      </c>
      <c r="G9148" s="2890">
        <v>65.854844091248836</v>
      </c>
    </row>
    <row r="9149" spans="2:7" ht="15" hidden="1" outlineLevel="2">
      <c r="B9149" s="2889" t="s">
        <v>1653</v>
      </c>
      <c r="C9149" s="2889" t="s">
        <v>1581</v>
      </c>
      <c r="D9149" s="2889" t="s">
        <v>1559</v>
      </c>
      <c r="E9149" s="2889" t="s">
        <v>217</v>
      </c>
      <c r="F9149" s="3039">
        <v>5.2537513155171835E-2</v>
      </c>
      <c r="G9149" s="2890">
        <v>74.035576611266166</v>
      </c>
    </row>
    <row r="9150" spans="2:7" ht="15" hidden="1" outlineLevel="2">
      <c r="B9150" s="2889" t="s">
        <v>1407</v>
      </c>
      <c r="C9150" s="2889" t="s">
        <v>1582</v>
      </c>
      <c r="D9150" s="2889" t="s">
        <v>1559</v>
      </c>
      <c r="E9150" s="2889" t="s">
        <v>217</v>
      </c>
      <c r="F9150" s="3039">
        <v>1.0241550323163826E-2</v>
      </c>
      <c r="G9150" s="2890">
        <v>11.639181088941882</v>
      </c>
    </row>
    <row r="9151" spans="2:7" ht="15" hidden="1" outlineLevel="2">
      <c r="B9151" s="2889" t="s">
        <v>1631</v>
      </c>
      <c r="C9151" s="2889" t="s">
        <v>1582</v>
      </c>
      <c r="D9151" s="2889" t="s">
        <v>1559</v>
      </c>
      <c r="E9151" s="2889" t="s">
        <v>217</v>
      </c>
      <c r="F9151" s="3039">
        <v>0.49600760853637943</v>
      </c>
      <c r="G9151" s="2890">
        <v>557.74977159147943</v>
      </c>
    </row>
    <row r="9152" spans="2:7" ht="15" hidden="1" outlineLevel="2">
      <c r="B9152" s="2889" t="s">
        <v>1632</v>
      </c>
      <c r="C9152" s="2889" t="s">
        <v>1582</v>
      </c>
      <c r="D9152" s="2889" t="s">
        <v>1559</v>
      </c>
      <c r="E9152" s="2889" t="s">
        <v>217</v>
      </c>
      <c r="F9152" s="3039">
        <v>0.58912510252117078</v>
      </c>
      <c r="G9152" s="2890">
        <v>670.41695459837513</v>
      </c>
    </row>
    <row r="9153" spans="2:7" ht="15" hidden="1" outlineLevel="2">
      <c r="B9153" s="2889" t="s">
        <v>1633</v>
      </c>
      <c r="C9153" s="2889" t="s">
        <v>1582</v>
      </c>
      <c r="D9153" s="2889" t="s">
        <v>1559</v>
      </c>
      <c r="E9153" s="2889" t="s">
        <v>217</v>
      </c>
      <c r="F9153" s="3039">
        <v>3.5077236063405133E-2</v>
      </c>
      <c r="G9153" s="2890">
        <v>40.038808475626283</v>
      </c>
    </row>
    <row r="9154" spans="2:7" ht="15" hidden="1" outlineLevel="2">
      <c r="B9154" s="2889" t="s">
        <v>1634</v>
      </c>
      <c r="C9154" s="2889" t="s">
        <v>1582</v>
      </c>
      <c r="D9154" s="2889" t="s">
        <v>1559</v>
      </c>
      <c r="E9154" s="2889" t="s">
        <v>217</v>
      </c>
      <c r="F9154" s="3039">
        <v>1.0986711397004382E-2</v>
      </c>
      <c r="G9154" s="2890">
        <v>12.570324915851014</v>
      </c>
    </row>
    <row r="9155" spans="2:7" ht="15" hidden="1" outlineLevel="2">
      <c r="B9155" s="2889" t="s">
        <v>1635</v>
      </c>
      <c r="C9155" s="2889" t="s">
        <v>1582</v>
      </c>
      <c r="D9155" s="2889" t="s">
        <v>1559</v>
      </c>
      <c r="E9155" s="2889" t="s">
        <v>217</v>
      </c>
      <c r="F9155" s="2890">
        <v>0.18573804622913404</v>
      </c>
      <c r="G9155" s="2890">
        <v>211.36761257080076</v>
      </c>
    </row>
    <row r="9156" spans="2:7" ht="15" hidden="1" outlineLevel="2">
      <c r="B9156" s="2889" t="s">
        <v>1636</v>
      </c>
      <c r="C9156" s="2889" t="s">
        <v>1582</v>
      </c>
      <c r="D9156" s="2889" t="s">
        <v>1559</v>
      </c>
      <c r="E9156" s="2889" t="s">
        <v>217</v>
      </c>
      <c r="F9156" s="2890">
        <v>2.4135081813704617E-2</v>
      </c>
      <c r="G9156" s="2890">
        <v>27.468490089060108</v>
      </c>
    </row>
    <row r="9157" spans="2:7" ht="15" hidden="1" outlineLevel="2">
      <c r="B9157" s="2889" t="s">
        <v>1637</v>
      </c>
      <c r="C9157" s="2889" t="s">
        <v>1582</v>
      </c>
      <c r="D9157" s="2889" t="s">
        <v>1559</v>
      </c>
      <c r="E9157" s="2889" t="s">
        <v>217</v>
      </c>
      <c r="F9157" s="2890">
        <v>5.0576480465292825E-2</v>
      </c>
      <c r="G9157" s="2890">
        <v>57.73036129345271</v>
      </c>
    </row>
    <row r="9158" spans="2:7" ht="15" hidden="1" outlineLevel="2">
      <c r="B9158" s="2889" t="s">
        <v>1638</v>
      </c>
      <c r="C9158" s="2889" t="s">
        <v>1582</v>
      </c>
      <c r="D9158" s="2889" t="s">
        <v>1559</v>
      </c>
      <c r="E9158" s="2889" t="s">
        <v>217</v>
      </c>
      <c r="F9158" s="2890">
        <v>6.5106435671112461E-2</v>
      </c>
      <c r="G9158" s="2890">
        <v>74.490775807123867</v>
      </c>
    </row>
    <row r="9159" spans="2:7" ht="15" hidden="1" outlineLevel="2">
      <c r="B9159" s="2889" t="s">
        <v>1639</v>
      </c>
      <c r="C9159" s="2889" t="s">
        <v>1582</v>
      </c>
      <c r="D9159" s="2889" t="s">
        <v>1559</v>
      </c>
      <c r="E9159" s="2889" t="s">
        <v>217</v>
      </c>
      <c r="F9159" s="2890">
        <v>0.30753758794839586</v>
      </c>
      <c r="G9159" s="2890">
        <v>351.03778338959728</v>
      </c>
    </row>
    <row r="9160" spans="2:7" ht="15" hidden="1" outlineLevel="2">
      <c r="B9160" s="2889" t="s">
        <v>1640</v>
      </c>
      <c r="C9160" s="2889" t="s">
        <v>1582</v>
      </c>
      <c r="D9160" s="2889" t="s">
        <v>1559</v>
      </c>
      <c r="E9160" s="2889" t="s">
        <v>217</v>
      </c>
      <c r="F9160" s="2890">
        <v>6.5955597108701317E-2</v>
      </c>
      <c r="G9160" s="2890">
        <v>74.956371908910569</v>
      </c>
    </row>
    <row r="9161" spans="2:7" ht="15" hidden="1" outlineLevel="2">
      <c r="B9161" s="2889" t="s">
        <v>1641</v>
      </c>
      <c r="C9161" s="2889" t="s">
        <v>1582</v>
      </c>
      <c r="D9161" s="2889" t="s">
        <v>1559</v>
      </c>
      <c r="E9161" s="2889" t="s">
        <v>217</v>
      </c>
      <c r="F9161" s="2890">
        <v>0.13541697316793816</v>
      </c>
      <c r="G9161" s="2890">
        <v>154.10280049238017</v>
      </c>
    </row>
    <row r="9162" spans="2:7" ht="15" hidden="1" outlineLevel="2">
      <c r="B9162" s="2889" t="s">
        <v>1642</v>
      </c>
      <c r="C9162" s="2889" t="s">
        <v>1582</v>
      </c>
      <c r="D9162" s="2889" t="s">
        <v>1559</v>
      </c>
      <c r="E9162" s="2889" t="s">
        <v>217</v>
      </c>
      <c r="F9162" s="2890">
        <v>0.39847768386321464</v>
      </c>
      <c r="G9162" s="2890">
        <v>453.46279325130172</v>
      </c>
    </row>
    <row r="9163" spans="2:7" ht="15" hidden="1" outlineLevel="2">
      <c r="B9163" s="2889" t="s">
        <v>1643</v>
      </c>
      <c r="C9163" s="2889" t="s">
        <v>1582</v>
      </c>
      <c r="D9163" s="2889" t="s">
        <v>1559</v>
      </c>
      <c r="E9163" s="2889" t="s">
        <v>217</v>
      </c>
      <c r="F9163" s="2890">
        <v>3.8848027799850263E-2</v>
      </c>
      <c r="G9163" s="2890">
        <v>44.139170094018503</v>
      </c>
    </row>
    <row r="9164" spans="2:7" ht="15" hidden="1" outlineLevel="2">
      <c r="B9164" s="2889" t="s">
        <v>1644</v>
      </c>
      <c r="C9164" s="2889" t="s">
        <v>1582</v>
      </c>
      <c r="D9164" s="2889" t="s">
        <v>1559</v>
      </c>
      <c r="E9164" s="2889" t="s">
        <v>217</v>
      </c>
      <c r="F9164" s="2890">
        <v>1.2146515518764025</v>
      </c>
      <c r="G9164" s="2890">
        <v>1386.4592699974771</v>
      </c>
    </row>
    <row r="9165" spans="2:7" ht="15" hidden="1" outlineLevel="2">
      <c r="B9165" s="2889" t="s">
        <v>1645</v>
      </c>
      <c r="C9165" s="2889" t="s">
        <v>1582</v>
      </c>
      <c r="D9165" s="2889" t="s">
        <v>1559</v>
      </c>
      <c r="E9165" s="2889" t="s">
        <v>217</v>
      </c>
      <c r="F9165" s="2890">
        <v>0.59345782994561258</v>
      </c>
      <c r="G9165" s="2890">
        <v>677.40075170310331</v>
      </c>
    </row>
    <row r="9166" spans="2:7" ht="15" hidden="1" outlineLevel="2">
      <c r="B9166" s="2889" t="s">
        <v>1646</v>
      </c>
      <c r="C9166" s="2889" t="s">
        <v>1582</v>
      </c>
      <c r="D9166" s="2889" t="s">
        <v>1559</v>
      </c>
      <c r="E9166" s="2889" t="s">
        <v>217</v>
      </c>
      <c r="F9166" s="2890">
        <v>3.886589186089489E-2</v>
      </c>
      <c r="G9166" s="2890">
        <v>44.228913452733536</v>
      </c>
    </row>
    <row r="9167" spans="2:7" ht="15" hidden="1" outlineLevel="2">
      <c r="B9167" s="2889" t="s">
        <v>1647</v>
      </c>
      <c r="C9167" s="2889" t="s">
        <v>1582</v>
      </c>
      <c r="D9167" s="2889" t="s">
        <v>1559</v>
      </c>
      <c r="E9167" s="2889" t="s">
        <v>217</v>
      </c>
      <c r="F9167" s="2890">
        <v>2.970481958217908E-2</v>
      </c>
      <c r="G9167" s="2890">
        <v>33.986426437634897</v>
      </c>
    </row>
    <row r="9168" spans="2:7" ht="15" hidden="1" outlineLevel="2">
      <c r="B9168" s="2889" t="s">
        <v>1648</v>
      </c>
      <c r="C9168" s="2889" t="s">
        <v>1582</v>
      </c>
      <c r="D9168" s="2889" t="s">
        <v>1559</v>
      </c>
      <c r="E9168" s="2889" t="s">
        <v>217</v>
      </c>
      <c r="F9168" s="2890">
        <v>6.5513370316746214E-2</v>
      </c>
      <c r="G9168" s="2890">
        <v>74.956371908910569</v>
      </c>
    </row>
    <row r="9169" spans="2:7" ht="15" hidden="1" outlineLevel="2">
      <c r="B9169" s="2889" t="s">
        <v>1649</v>
      </c>
      <c r="C9169" s="2889" t="s">
        <v>1582</v>
      </c>
      <c r="D9169" s="2889" t="s">
        <v>1559</v>
      </c>
      <c r="E9169" s="2889" t="s">
        <v>217</v>
      </c>
      <c r="F9169" s="2890">
        <v>6.4292609449705621E-2</v>
      </c>
      <c r="G9169" s="2890">
        <v>73.559655215475701</v>
      </c>
    </row>
    <row r="9170" spans="2:7" ht="15" hidden="1" outlineLevel="2">
      <c r="B9170" s="2889" t="s">
        <v>1650</v>
      </c>
      <c r="C9170" s="2889" t="s">
        <v>1582</v>
      </c>
      <c r="D9170" s="2889" t="s">
        <v>1559</v>
      </c>
      <c r="E9170" s="2889" t="s">
        <v>217</v>
      </c>
      <c r="F9170" s="2890">
        <v>9.258361298386629E-2</v>
      </c>
      <c r="G9170" s="2890">
        <v>105.21827326427098</v>
      </c>
    </row>
    <row r="9171" spans="2:7" ht="15" hidden="1" outlineLevel="2">
      <c r="B9171" s="2889" t="s">
        <v>1651</v>
      </c>
      <c r="C9171" s="2889" t="s">
        <v>1582</v>
      </c>
      <c r="D9171" s="2889" t="s">
        <v>1559</v>
      </c>
      <c r="E9171" s="2889" t="s">
        <v>217</v>
      </c>
      <c r="F9171" s="2890">
        <v>4.150534620988889E-2</v>
      </c>
      <c r="G9171" s="2890">
        <v>47.487878947667582</v>
      </c>
    </row>
    <row r="9172" spans="2:7" ht="15" hidden="1" outlineLevel="2">
      <c r="B9172" s="2889" t="s">
        <v>1652</v>
      </c>
      <c r="C9172" s="2889" t="s">
        <v>1582</v>
      </c>
      <c r="D9172" s="2889" t="s">
        <v>1559</v>
      </c>
      <c r="E9172" s="2889" t="s">
        <v>217</v>
      </c>
      <c r="F9172" s="2890">
        <v>6.5513370320643111E-2</v>
      </c>
      <c r="G9172" s="2890">
        <v>74.956371908397784</v>
      </c>
    </row>
    <row r="9173" spans="2:7" ht="15" hidden="1" outlineLevel="2">
      <c r="B9173" s="2889" t="s">
        <v>1653</v>
      </c>
      <c r="C9173" s="2889" t="s">
        <v>1582</v>
      </c>
      <c r="D9173" s="2889" t="s">
        <v>1559</v>
      </c>
      <c r="E9173" s="2889" t="s">
        <v>217</v>
      </c>
      <c r="F9173" s="2890">
        <v>7.4049786390533556E-2</v>
      </c>
      <c r="G9173" s="2890">
        <v>84.267680280752941</v>
      </c>
    </row>
    <row r="9174" spans="2:7" ht="15" hidden="1" outlineLevel="2">
      <c r="B9174" s="2889" t="s">
        <v>1407</v>
      </c>
      <c r="C9174" s="2889" t="s">
        <v>1583</v>
      </c>
      <c r="D9174" s="2889" t="s">
        <v>1559</v>
      </c>
      <c r="E9174" s="2889" t="s">
        <v>217</v>
      </c>
      <c r="F9174" s="2890">
        <v>7.8928660814043747E-3</v>
      </c>
      <c r="G9174" s="2890">
        <v>5.4199677442692993</v>
      </c>
    </row>
    <row r="9175" spans="2:7" ht="15" hidden="1" outlineLevel="2">
      <c r="B9175" s="2889" t="s">
        <v>1631</v>
      </c>
      <c r="C9175" s="2889" t="s">
        <v>1583</v>
      </c>
      <c r="D9175" s="2889" t="s">
        <v>1559</v>
      </c>
      <c r="E9175" s="2889" t="s">
        <v>217</v>
      </c>
      <c r="F9175" s="2890">
        <v>0.38227593610605715</v>
      </c>
      <c r="G9175" s="2890">
        <v>259.72488130298979</v>
      </c>
    </row>
    <row r="9176" spans="2:7" ht="15" hidden="1" outlineLevel="2">
      <c r="B9176" s="2889" t="s">
        <v>1632</v>
      </c>
      <c r="C9176" s="2889" t="s">
        <v>1583</v>
      </c>
      <c r="D9176" s="2889" t="s">
        <v>1559</v>
      </c>
      <c r="E9176" s="2889" t="s">
        <v>217</v>
      </c>
      <c r="F9176" s="2890">
        <v>0.45401902928756116</v>
      </c>
      <c r="G9176" s="2890">
        <v>312.19012467063055</v>
      </c>
    </row>
    <row r="9177" spans="2:7" ht="15" hidden="1" outlineLevel="2">
      <c r="B9177" s="2889" t="s">
        <v>1633</v>
      </c>
      <c r="C9177" s="2889" t="s">
        <v>1583</v>
      </c>
      <c r="D9177" s="2889" t="s">
        <v>1559</v>
      </c>
      <c r="E9177" s="2889" t="s">
        <v>217</v>
      </c>
      <c r="F9177" s="2890">
        <v>2.7032506416204905E-2</v>
      </c>
      <c r="G9177" s="2890">
        <v>18.644694718609138</v>
      </c>
    </row>
    <row r="9178" spans="2:7" ht="15" hidden="1" outlineLevel="2">
      <c r="B9178" s="2889" t="s">
        <v>1634</v>
      </c>
      <c r="C9178" s="2889" t="s">
        <v>1583</v>
      </c>
      <c r="D9178" s="2889" t="s">
        <v>1559</v>
      </c>
      <c r="E9178" s="2889" t="s">
        <v>217</v>
      </c>
      <c r="F9178" s="2890">
        <v>8.4668921873851249E-3</v>
      </c>
      <c r="G9178" s="2890">
        <v>5.8535659276671765</v>
      </c>
    </row>
    <row r="9179" spans="2:7" ht="15" hidden="1" outlineLevel="2">
      <c r="B9179" s="2889" t="s">
        <v>1635</v>
      </c>
      <c r="C9179" s="2889" t="s">
        <v>1583</v>
      </c>
      <c r="D9179" s="2889" t="s">
        <v>1559</v>
      </c>
      <c r="E9179" s="2889" t="s">
        <v>217</v>
      </c>
      <c r="F9179" s="2890">
        <v>0.14314209881539638</v>
      </c>
      <c r="G9179" s="2890">
        <v>98.426584322437421</v>
      </c>
    </row>
    <row r="9180" spans="2:7" ht="15" hidden="1" outlineLevel="2">
      <c r="B9180" s="2889" t="s">
        <v>1636</v>
      </c>
      <c r="C9180" s="2889" t="s">
        <v>1583</v>
      </c>
      <c r="D9180" s="2889" t="s">
        <v>1559</v>
      </c>
      <c r="E9180" s="2889" t="s">
        <v>217</v>
      </c>
      <c r="F9180" s="2890">
        <v>1.8600090557698519E-2</v>
      </c>
      <c r="G9180" s="2890">
        <v>12.791118413965359</v>
      </c>
    </row>
    <row r="9181" spans="2:7" ht="15" hidden="1" outlineLevel="2">
      <c r="B9181" s="2889" t="s">
        <v>1637</v>
      </c>
      <c r="C9181" s="2889" t="s">
        <v>1583</v>
      </c>
      <c r="D9181" s="2889" t="s">
        <v>1559</v>
      </c>
      <c r="E9181" s="2889" t="s">
        <v>217</v>
      </c>
      <c r="F9181" s="2890">
        <v>3.8977085233674158E-2</v>
      </c>
      <c r="G9181" s="2890">
        <v>26.883034436553753</v>
      </c>
    </row>
    <row r="9182" spans="2:7" ht="15" hidden="1" outlineLevel="2">
      <c r="B9182" s="2889" t="s">
        <v>1638</v>
      </c>
      <c r="C9182" s="2889" t="s">
        <v>1583</v>
      </c>
      <c r="D9182" s="2889" t="s">
        <v>1559</v>
      </c>
      <c r="E9182" s="2889" t="s">
        <v>217</v>
      </c>
      <c r="F9182" s="2890">
        <v>5.0174180879656687E-2</v>
      </c>
      <c r="G9182" s="2890">
        <v>34.68778783790745</v>
      </c>
    </row>
    <row r="9183" spans="2:7" ht="15" hidden="1" outlineLevel="2">
      <c r="B9183" s="2889" t="s">
        <v>1639</v>
      </c>
      <c r="C9183" s="2889" t="s">
        <v>1583</v>
      </c>
      <c r="D9183" s="2889" t="s">
        <v>1559</v>
      </c>
      <c r="E9183" s="2889" t="s">
        <v>217</v>
      </c>
      <c r="F9183" s="2890">
        <v>0.23700582270768891</v>
      </c>
      <c r="G9183" s="2890">
        <v>163.46629571107277</v>
      </c>
    </row>
    <row r="9184" spans="2:7" ht="15" hidden="1" outlineLevel="2">
      <c r="B9184" s="2889" t="s">
        <v>1640</v>
      </c>
      <c r="C9184" s="2889" t="s">
        <v>1583</v>
      </c>
      <c r="D9184" s="2889" t="s">
        <v>1559</v>
      </c>
      <c r="E9184" s="2889" t="s">
        <v>217</v>
      </c>
      <c r="F9184" s="2890">
        <v>5.0830057737976247E-2</v>
      </c>
      <c r="G9184" s="2890">
        <v>34.904591492195131</v>
      </c>
    </row>
    <row r="9185" spans="2:7" ht="15" hidden="1" outlineLevel="2">
      <c r="B9185" s="2889" t="s">
        <v>1641</v>
      </c>
      <c r="C9185" s="2889" t="s">
        <v>1583</v>
      </c>
      <c r="D9185" s="2889" t="s">
        <v>1559</v>
      </c>
      <c r="E9185" s="2889" t="s">
        <v>217</v>
      </c>
      <c r="F9185" s="2890">
        <v>0.10436131972655602</v>
      </c>
      <c r="G9185" s="2890">
        <v>71.760375104417676</v>
      </c>
    </row>
    <row r="9186" spans="2:7" ht="15" hidden="1" outlineLevel="2">
      <c r="B9186" s="2889" t="s">
        <v>1642</v>
      </c>
      <c r="C9186" s="2889" t="s">
        <v>1583</v>
      </c>
      <c r="D9186" s="2889" t="s">
        <v>1559</v>
      </c>
      <c r="E9186" s="2889" t="s">
        <v>217</v>
      </c>
      <c r="F9186" s="2890">
        <v>0.30709334450282311</v>
      </c>
      <c r="G9186" s="2890">
        <v>211.16191218311207</v>
      </c>
    </row>
    <row r="9187" spans="2:7" ht="15" hidden="1" outlineLevel="2">
      <c r="B9187" s="2889" t="s">
        <v>1643</v>
      </c>
      <c r="C9187" s="2889" t="s">
        <v>1583</v>
      </c>
      <c r="D9187" s="2889" t="s">
        <v>1559</v>
      </c>
      <c r="E9187" s="2889" t="s">
        <v>217</v>
      </c>
      <c r="F9187" s="2890">
        <v>2.993907007343851E-2</v>
      </c>
      <c r="G9187" s="2890">
        <v>20.55407944725631</v>
      </c>
    </row>
    <row r="9188" spans="2:7" ht="15" hidden="1" outlineLevel="2">
      <c r="B9188" s="2889" t="s">
        <v>1644</v>
      </c>
      <c r="C9188" s="2889" t="s">
        <v>1583</v>
      </c>
      <c r="D9188" s="2889" t="s">
        <v>1559</v>
      </c>
      <c r="E9188" s="2889" t="s">
        <v>217</v>
      </c>
      <c r="F9188" s="2890">
        <v>0.93607878744153783</v>
      </c>
      <c r="G9188" s="2890">
        <v>645.62651435798011</v>
      </c>
    </row>
    <row r="9189" spans="2:7" ht="15" hidden="1" outlineLevel="2">
      <c r="B9189" s="2889" t="s">
        <v>1645</v>
      </c>
      <c r="C9189" s="2889" t="s">
        <v>1583</v>
      </c>
      <c r="D9189" s="2889" t="s">
        <v>1559</v>
      </c>
      <c r="E9189" s="2889" t="s">
        <v>217</v>
      </c>
      <c r="F9189" s="2890">
        <v>0.45735214180069833</v>
      </c>
      <c r="G9189" s="2890">
        <v>315.44206036977732</v>
      </c>
    </row>
    <row r="9190" spans="2:7" ht="15" hidden="1" outlineLevel="2">
      <c r="B9190" s="2889" t="s">
        <v>1646</v>
      </c>
      <c r="C9190" s="2889" t="s">
        <v>1583</v>
      </c>
      <c r="D9190" s="2889" t="s">
        <v>1559</v>
      </c>
      <c r="E9190" s="2889" t="s">
        <v>217</v>
      </c>
      <c r="F9190" s="2890">
        <v>2.9952639208379993E-2</v>
      </c>
      <c r="G9190" s="2890">
        <v>20.595875227278903</v>
      </c>
    </row>
    <row r="9191" spans="2:7" ht="15" hidden="1" outlineLevel="2">
      <c r="B9191" s="2889" t="s">
        <v>1647</v>
      </c>
      <c r="C9191" s="2889" t="s">
        <v>1583</v>
      </c>
      <c r="D9191" s="2889" t="s">
        <v>1559</v>
      </c>
      <c r="E9191" s="2889" t="s">
        <v>217</v>
      </c>
      <c r="F9191" s="2890">
        <v>2.2891973666352324E-2</v>
      </c>
      <c r="G9191" s="2890">
        <v>15.826310512441923</v>
      </c>
    </row>
    <row r="9192" spans="2:7" ht="15" hidden="1" outlineLevel="2">
      <c r="B9192" s="2889" t="s">
        <v>1648</v>
      </c>
      <c r="C9192" s="2889" t="s">
        <v>1583</v>
      </c>
      <c r="D9192" s="2889" t="s">
        <v>1559</v>
      </c>
      <c r="E9192" s="2889" t="s">
        <v>217</v>
      </c>
      <c r="F9192" s="2890">
        <v>5.048777552852711E-2</v>
      </c>
      <c r="G9192" s="2890">
        <v>34.904591492195131</v>
      </c>
    </row>
    <row r="9193" spans="2:7" ht="15" hidden="1" outlineLevel="2">
      <c r="B9193" s="2889" t="s">
        <v>1649</v>
      </c>
      <c r="C9193" s="2889" t="s">
        <v>1583</v>
      </c>
      <c r="D9193" s="2889" t="s">
        <v>1559</v>
      </c>
      <c r="E9193" s="2889" t="s">
        <v>217</v>
      </c>
      <c r="F9193" s="2890">
        <v>4.9547011095867996E-2</v>
      </c>
      <c r="G9193" s="2890">
        <v>34.254195095921581</v>
      </c>
    </row>
    <row r="9194" spans="2:7" ht="15" hidden="1" outlineLevel="2">
      <c r="B9194" s="2889" t="s">
        <v>1650</v>
      </c>
      <c r="C9194" s="2889" t="s">
        <v>1583</v>
      </c>
      <c r="D9194" s="2889" t="s">
        <v>1559</v>
      </c>
      <c r="E9194" s="2889" t="s">
        <v>217</v>
      </c>
      <c r="F9194" s="2890">
        <v>7.1351491600673764E-2</v>
      </c>
      <c r="G9194" s="2890">
        <v>48.996508013403641</v>
      </c>
    </row>
    <row r="9195" spans="2:7" ht="15" hidden="1" outlineLevel="2">
      <c r="B9195" s="2889" t="s">
        <v>1651</v>
      </c>
      <c r="C9195" s="2889" t="s">
        <v>1583</v>
      </c>
      <c r="D9195" s="2889" t="s">
        <v>1559</v>
      </c>
      <c r="E9195" s="2889" t="s">
        <v>217</v>
      </c>
      <c r="F9195" s="3039">
        <v>3.1986044539158813E-2</v>
      </c>
      <c r="G9195" s="2890">
        <v>22.113474074826183</v>
      </c>
    </row>
    <row r="9196" spans="2:7" ht="15" hidden="1" outlineLevel="2">
      <c r="B9196" s="2889" t="s">
        <v>1652</v>
      </c>
      <c r="C9196" s="2889" t="s">
        <v>1583</v>
      </c>
      <c r="D9196" s="2889" t="s">
        <v>1559</v>
      </c>
      <c r="E9196" s="2889" t="s">
        <v>217</v>
      </c>
      <c r="F9196" s="3039">
        <v>5.0487775528002182E-2</v>
      </c>
      <c r="G9196" s="2890">
        <v>34.904591494681355</v>
      </c>
    </row>
    <row r="9197" spans="2:7" ht="15" hidden="1" outlineLevel="2">
      <c r="B9197" s="2889" t="s">
        <v>1653</v>
      </c>
      <c r="C9197" s="2889" t="s">
        <v>1583</v>
      </c>
      <c r="D9197" s="2889" t="s">
        <v>1559</v>
      </c>
      <c r="E9197" s="2889" t="s">
        <v>217</v>
      </c>
      <c r="F9197" s="3039">
        <v>5.7067665192340918E-2</v>
      </c>
      <c r="G9197" s="2890">
        <v>39.24055564395362</v>
      </c>
    </row>
    <row r="9198" spans="2:7" ht="15" hidden="1" outlineLevel="2">
      <c r="B9198" s="2889" t="s">
        <v>1407</v>
      </c>
      <c r="C9198" s="2889" t="s">
        <v>1584</v>
      </c>
      <c r="D9198" s="2889" t="s">
        <v>1559</v>
      </c>
      <c r="E9198" s="2889" t="s">
        <v>217</v>
      </c>
      <c r="F9198" s="3039">
        <v>1.195011996534691</v>
      </c>
      <c r="G9198" s="2890">
        <v>1510.6664512089719</v>
      </c>
    </row>
    <row r="9199" spans="2:7" ht="15" hidden="1" outlineLevel="2">
      <c r="B9199" s="2889" t="s">
        <v>1631</v>
      </c>
      <c r="C9199" s="2889" t="s">
        <v>1584</v>
      </c>
      <c r="D9199" s="2889" t="s">
        <v>1559</v>
      </c>
      <c r="E9199" s="2889" t="s">
        <v>217</v>
      </c>
      <c r="F9199" s="3039">
        <v>7.1165482978162604</v>
      </c>
      <c r="G9199" s="2890">
        <v>8900.9507003110939</v>
      </c>
    </row>
    <row r="9200" spans="2:7" ht="15" hidden="1" outlineLevel="2">
      <c r="B9200" s="2889" t="s">
        <v>1632</v>
      </c>
      <c r="C9200" s="2889" t="s">
        <v>1584</v>
      </c>
      <c r="D9200" s="2889" t="s">
        <v>1559</v>
      </c>
      <c r="E9200" s="2889" t="s">
        <v>217</v>
      </c>
      <c r="F9200" s="3039">
        <v>11.650608660010258</v>
      </c>
      <c r="G9200" s="2890">
        <v>14747.916079618695</v>
      </c>
    </row>
    <row r="9201" spans="2:7" ht="15" hidden="1" outlineLevel="2">
      <c r="B9201" s="2889" t="s">
        <v>1633</v>
      </c>
      <c r="C9201" s="2889" t="s">
        <v>1584</v>
      </c>
      <c r="D9201" s="2889" t="s">
        <v>1559</v>
      </c>
      <c r="E9201" s="2889" t="s">
        <v>217</v>
      </c>
      <c r="F9201" s="3039">
        <v>1.0720969585110609</v>
      </c>
      <c r="G9201" s="2890">
        <v>1361.2175513152122</v>
      </c>
    </row>
    <row r="9202" spans="2:7" ht="15" hidden="1" outlineLevel="2">
      <c r="B9202" s="2889" t="s">
        <v>1634</v>
      </c>
      <c r="C9202" s="2889" t="s">
        <v>1584</v>
      </c>
      <c r="D9202" s="2889" t="s">
        <v>1559</v>
      </c>
      <c r="E9202" s="2889" t="s">
        <v>217</v>
      </c>
      <c r="F9202" s="3039">
        <v>0.44579207947581401</v>
      </c>
      <c r="G9202" s="2890">
        <v>567.35531194804105</v>
      </c>
    </row>
    <row r="9203" spans="2:7" ht="15" hidden="1" outlineLevel="2">
      <c r="B9203" s="2889" t="s">
        <v>1635</v>
      </c>
      <c r="C9203" s="2889" t="s">
        <v>1584</v>
      </c>
      <c r="D9203" s="2889" t="s">
        <v>1559</v>
      </c>
      <c r="E9203" s="2889" t="s">
        <v>217</v>
      </c>
      <c r="F9203" s="3039">
        <v>2.0774176949441649</v>
      </c>
      <c r="G9203" s="2890">
        <v>2629.6971067638769</v>
      </c>
    </row>
    <row r="9204" spans="2:7" ht="15" hidden="1" outlineLevel="2">
      <c r="B9204" s="2889" t="s">
        <v>1636</v>
      </c>
      <c r="C9204" s="2889" t="s">
        <v>1584</v>
      </c>
      <c r="D9204" s="2889" t="s">
        <v>1559</v>
      </c>
      <c r="E9204" s="2889" t="s">
        <v>217</v>
      </c>
      <c r="F9204" s="3039">
        <v>1.3179682021477612</v>
      </c>
      <c r="G9204" s="2890">
        <v>1668.5312795365742</v>
      </c>
    </row>
    <row r="9205" spans="2:7" ht="15" hidden="1" outlineLevel="2">
      <c r="B9205" s="2889" t="s">
        <v>1637</v>
      </c>
      <c r="C9205" s="2889" t="s">
        <v>1584</v>
      </c>
      <c r="D9205" s="2889" t="s">
        <v>1559</v>
      </c>
      <c r="E9205" s="2889" t="s">
        <v>217</v>
      </c>
      <c r="F9205" s="3039">
        <v>1.6980726188548483</v>
      </c>
      <c r="G9205" s="2890">
        <v>2156.0060527707142</v>
      </c>
    </row>
    <row r="9206" spans="2:7" ht="15" hidden="1" outlineLevel="2">
      <c r="B9206" s="2889" t="s">
        <v>1638</v>
      </c>
      <c r="C9206" s="2889" t="s">
        <v>1584</v>
      </c>
      <c r="D9206" s="2889" t="s">
        <v>1559</v>
      </c>
      <c r="E9206" s="2889" t="s">
        <v>217</v>
      </c>
      <c r="F9206" s="3039">
        <v>0.53570644194286676</v>
      </c>
      <c r="G9206" s="2890">
        <v>681.7885846632546</v>
      </c>
    </row>
    <row r="9207" spans="2:7" ht="15" hidden="1" outlineLevel="2">
      <c r="B9207" s="2889" t="s">
        <v>1639</v>
      </c>
      <c r="C9207" s="2889" t="s">
        <v>1584</v>
      </c>
      <c r="D9207" s="2889" t="s">
        <v>1559</v>
      </c>
      <c r="E9207" s="2889" t="s">
        <v>217</v>
      </c>
      <c r="F9207" s="3039">
        <v>2.8383300247772962</v>
      </c>
      <c r="G9207" s="2890">
        <v>3603.7668443362363</v>
      </c>
    </row>
    <row r="9208" spans="2:7" ht="15" hidden="1" outlineLevel="2">
      <c r="B9208" s="2889" t="s">
        <v>1640</v>
      </c>
      <c r="C9208" s="2889" t="s">
        <v>1584</v>
      </c>
      <c r="D9208" s="2889" t="s">
        <v>1559</v>
      </c>
      <c r="E9208" s="2889" t="s">
        <v>217</v>
      </c>
      <c r="F9208" s="3039">
        <v>0.62644835476493144</v>
      </c>
      <c r="G9208" s="2890">
        <v>791.92024624533917</v>
      </c>
    </row>
    <row r="9209" spans="2:7" ht="15" hidden="1" outlineLevel="2">
      <c r="B9209" s="2889" t="s">
        <v>1641</v>
      </c>
      <c r="C9209" s="2889" t="s">
        <v>1584</v>
      </c>
      <c r="D9209" s="2889" t="s">
        <v>1559</v>
      </c>
      <c r="E9209" s="2889" t="s">
        <v>217</v>
      </c>
      <c r="F9209" s="3039">
        <v>3.1679213214483326</v>
      </c>
      <c r="G9209" s="2890">
        <v>4010.1103225238126</v>
      </c>
    </row>
    <row r="9210" spans="2:7" ht="15" hidden="1" outlineLevel="2">
      <c r="B9210" s="2889" t="s">
        <v>1642</v>
      </c>
      <c r="C9210" s="2889" t="s">
        <v>1584</v>
      </c>
      <c r="D9210" s="2889" t="s">
        <v>1559</v>
      </c>
      <c r="E9210" s="2889" t="s">
        <v>217</v>
      </c>
      <c r="F9210" s="3039">
        <v>3.5310578554213126</v>
      </c>
      <c r="G9210" s="2890">
        <v>4469.7861974756388</v>
      </c>
    </row>
    <row r="9211" spans="2:7" ht="15" hidden="1" outlineLevel="2">
      <c r="B9211" s="2889" t="s">
        <v>1643</v>
      </c>
      <c r="C9211" s="2889" t="s">
        <v>1584</v>
      </c>
      <c r="D9211" s="2889" t="s">
        <v>1559</v>
      </c>
      <c r="E9211" s="2889" t="s">
        <v>217</v>
      </c>
      <c r="F9211" s="3039">
        <v>0.56235470343002703</v>
      </c>
      <c r="G9211" s="2890">
        <v>710.90330222529269</v>
      </c>
    </row>
    <row r="9212" spans="2:7" ht="15" hidden="1" outlineLevel="2">
      <c r="B9212" s="2889" t="s">
        <v>1644</v>
      </c>
      <c r="C9212" s="2889" t="s">
        <v>1584</v>
      </c>
      <c r="D9212" s="2889" t="s">
        <v>1559</v>
      </c>
      <c r="E9212" s="2889" t="s">
        <v>217</v>
      </c>
      <c r="F9212" s="3039">
        <v>12.572048433629616</v>
      </c>
      <c r="G9212" s="2890">
        <v>15962.454425927719</v>
      </c>
    </row>
    <row r="9213" spans="2:7" ht="15" hidden="1" outlineLevel="2">
      <c r="B9213" s="2889" t="s">
        <v>1645</v>
      </c>
      <c r="C9213" s="2889" t="s">
        <v>1584</v>
      </c>
      <c r="D9213" s="2889" t="s">
        <v>1559</v>
      </c>
      <c r="E9213" s="2889" t="s">
        <v>217</v>
      </c>
      <c r="F9213" s="3039">
        <v>11.25426698434277</v>
      </c>
      <c r="G9213" s="2890">
        <v>14289.30448952854</v>
      </c>
    </row>
    <row r="9214" spans="2:7" ht="15" hidden="1" outlineLevel="2">
      <c r="B9214" s="2889" t="s">
        <v>1646</v>
      </c>
      <c r="C9214" s="2889" t="s">
        <v>1584</v>
      </c>
      <c r="D9214" s="2889" t="s">
        <v>1559</v>
      </c>
      <c r="E9214" s="2889" t="s">
        <v>217</v>
      </c>
      <c r="F9214" s="3039">
        <v>0.64102394752360337</v>
      </c>
      <c r="G9214" s="2890">
        <v>811.4392655361936</v>
      </c>
    </row>
    <row r="9215" spans="2:7" ht="15" hidden="1" outlineLevel="2">
      <c r="B9215" s="2889" t="s">
        <v>1647</v>
      </c>
      <c r="C9215" s="2889" t="s">
        <v>1584</v>
      </c>
      <c r="D9215" s="2889" t="s">
        <v>1559</v>
      </c>
      <c r="E9215" s="2889" t="s">
        <v>217</v>
      </c>
      <c r="F9215" s="3039">
        <v>1.3025591158974654</v>
      </c>
      <c r="G9215" s="2890">
        <v>1657.7539391282301</v>
      </c>
    </row>
    <row r="9216" spans="2:7" ht="15" hidden="1" outlineLevel="2">
      <c r="B9216" s="2889" t="s">
        <v>1648</v>
      </c>
      <c r="C9216" s="2889" t="s">
        <v>1584</v>
      </c>
      <c r="D9216" s="2889" t="s">
        <v>1559</v>
      </c>
      <c r="E9216" s="2889" t="s">
        <v>217</v>
      </c>
      <c r="F9216" s="3039">
        <v>0.36543610316616648</v>
      </c>
      <c r="G9216" s="2890">
        <v>465.08712440586658</v>
      </c>
    </row>
    <row r="9217" spans="2:7" ht="15" hidden="1" outlineLevel="2">
      <c r="B9217" s="2889" t="s">
        <v>1649</v>
      </c>
      <c r="C9217" s="2889" t="s">
        <v>1584</v>
      </c>
      <c r="D9217" s="2889" t="s">
        <v>1559</v>
      </c>
      <c r="E9217" s="2889" t="s">
        <v>217</v>
      </c>
      <c r="F9217" s="3039">
        <v>0.62064177112519137</v>
      </c>
      <c r="G9217" s="2890">
        <v>789.88464638789674</v>
      </c>
    </row>
    <row r="9218" spans="2:7" ht="15" hidden="1" outlineLevel="2">
      <c r="B9218" s="2889" t="s">
        <v>1650</v>
      </c>
      <c r="C9218" s="2889" t="s">
        <v>1584</v>
      </c>
      <c r="D9218" s="2889" t="s">
        <v>1559</v>
      </c>
      <c r="E9218" s="2889" t="s">
        <v>217</v>
      </c>
      <c r="F9218" s="3039">
        <v>1.9854911789044694</v>
      </c>
      <c r="G9218" s="2890">
        <v>2509.9437120859293</v>
      </c>
    </row>
    <row r="9219" spans="2:7" ht="15" hidden="1" outlineLevel="2">
      <c r="B9219" s="2889" t="s">
        <v>1651</v>
      </c>
      <c r="C9219" s="2889" t="s">
        <v>1584</v>
      </c>
      <c r="D9219" s="2889" t="s">
        <v>1559</v>
      </c>
      <c r="E9219" s="2889" t="s">
        <v>217</v>
      </c>
      <c r="F9219" s="3039">
        <v>1.2942724285890759</v>
      </c>
      <c r="G9219" s="2890">
        <v>1647.208429746001</v>
      </c>
    </row>
    <row r="9220" spans="2:7" ht="15" hidden="1" outlineLevel="2">
      <c r="B9220" s="2889" t="s">
        <v>1652</v>
      </c>
      <c r="C9220" s="2889" t="s">
        <v>1584</v>
      </c>
      <c r="D9220" s="2889" t="s">
        <v>1559</v>
      </c>
      <c r="E9220" s="2889" t="s">
        <v>217</v>
      </c>
      <c r="F9220" s="2890">
        <v>1.7498407621255379</v>
      </c>
      <c r="G9220" s="2890">
        <v>2227.0066210709383</v>
      </c>
    </row>
    <row r="9221" spans="2:7" ht="15" hidden="1" outlineLevel="2">
      <c r="B9221" s="2889" t="s">
        <v>1653</v>
      </c>
      <c r="C9221" s="2889" t="s">
        <v>1584</v>
      </c>
      <c r="D9221" s="2889" t="s">
        <v>1559</v>
      </c>
      <c r="E9221" s="2889" t="s">
        <v>217</v>
      </c>
      <c r="F9221" s="2890">
        <v>10.825603944712267</v>
      </c>
      <c r="G9221" s="2890">
        <v>13703.578493284267</v>
      </c>
    </row>
    <row r="9222" spans="2:7" ht="15" hidden="1" outlineLevel="2">
      <c r="B9222" s="2889" t="s">
        <v>1407</v>
      </c>
      <c r="C9222" s="2889" t="s">
        <v>1585</v>
      </c>
      <c r="D9222" s="2889" t="s">
        <v>1559</v>
      </c>
      <c r="E9222" s="2889" t="s">
        <v>217</v>
      </c>
      <c r="F9222" s="2890">
        <v>9.8731820371513124E-2</v>
      </c>
      <c r="G9222" s="2890">
        <v>138.97454405505468</v>
      </c>
    </row>
    <row r="9223" spans="2:7" ht="15" hidden="1" outlineLevel="2">
      <c r="B9223" s="2889" t="s">
        <v>1631</v>
      </c>
      <c r="C9223" s="2889" t="s">
        <v>1585</v>
      </c>
      <c r="D9223" s="2889" t="s">
        <v>1559</v>
      </c>
      <c r="E9223" s="2889" t="s">
        <v>217</v>
      </c>
      <c r="F9223" s="2890">
        <v>4.7818887861999624</v>
      </c>
      <c r="G9223" s="2890">
        <v>6659.6603572267222</v>
      </c>
    </row>
    <row r="9224" spans="2:7" ht="15" hidden="1" outlineLevel="2">
      <c r="B9224" s="2889" t="s">
        <v>1632</v>
      </c>
      <c r="C9224" s="2889" t="s">
        <v>1585</v>
      </c>
      <c r="D9224" s="2889" t="s">
        <v>1559</v>
      </c>
      <c r="E9224" s="2889" t="s">
        <v>217</v>
      </c>
      <c r="F9224" s="2890">
        <v>5.6793234798267376</v>
      </c>
      <c r="G9224" s="2890">
        <v>8004.9319206476112</v>
      </c>
    </row>
    <row r="9225" spans="2:7" ht="15" hidden="1" outlineLevel="2">
      <c r="B9225" s="2889" t="s">
        <v>1633</v>
      </c>
      <c r="C9225" s="2889" t="s">
        <v>1585</v>
      </c>
      <c r="D9225" s="2889" t="s">
        <v>1559</v>
      </c>
      <c r="E9225" s="2889" t="s">
        <v>217</v>
      </c>
      <c r="F9225" s="2890">
        <v>0.3381494511895532</v>
      </c>
      <c r="G9225" s="2890">
        <v>478.0724568013826</v>
      </c>
    </row>
    <row r="9226" spans="2:7" ht="15" hidden="1" outlineLevel="2">
      <c r="B9226" s="2889" t="s">
        <v>1634</v>
      </c>
      <c r="C9226" s="2889" t="s">
        <v>1585</v>
      </c>
      <c r="D9226" s="2889" t="s">
        <v>1559</v>
      </c>
      <c r="E9226" s="2889" t="s">
        <v>217</v>
      </c>
      <c r="F9226" s="2890">
        <v>0.10591237308504443</v>
      </c>
      <c r="G9226" s="2890">
        <v>150.09252137617935</v>
      </c>
    </row>
    <row r="9227" spans="2:7" ht="15" hidden="1" outlineLevel="2">
      <c r="B9227" s="2889" t="s">
        <v>1635</v>
      </c>
      <c r="C9227" s="2889" t="s">
        <v>1585</v>
      </c>
      <c r="D9227" s="2889" t="s">
        <v>1559</v>
      </c>
      <c r="E9227" s="2889" t="s">
        <v>217</v>
      </c>
      <c r="F9227" s="2890">
        <v>1.7905649039918408</v>
      </c>
      <c r="G9227" s="2890">
        <v>2523.7771811154616</v>
      </c>
    </row>
    <row r="9228" spans="2:7" ht="15" hidden="1" outlineLevel="2">
      <c r="B9228" s="2889" t="s">
        <v>1636</v>
      </c>
      <c r="C9228" s="2889" t="s">
        <v>1585</v>
      </c>
      <c r="D9228" s="2889" t="s">
        <v>1559</v>
      </c>
      <c r="E9228" s="2889" t="s">
        <v>217</v>
      </c>
      <c r="F9228" s="2890">
        <v>0.23266843635139792</v>
      </c>
      <c r="G9228" s="2890">
        <v>327.97978264446658</v>
      </c>
    </row>
    <row r="9229" spans="2:7" ht="15" hidden="1" outlineLevel="2">
      <c r="B9229" s="2889" t="s">
        <v>1637</v>
      </c>
      <c r="C9229" s="2889" t="s">
        <v>1585</v>
      </c>
      <c r="D9229" s="2889" t="s">
        <v>1559</v>
      </c>
      <c r="E9229" s="2889" t="s">
        <v>217</v>
      </c>
      <c r="F9229" s="2890">
        <v>0.48756441859875083</v>
      </c>
      <c r="G9229" s="2890">
        <v>689.31295254540021</v>
      </c>
    </row>
    <row r="9230" spans="2:7" ht="15" hidden="1" outlineLevel="2">
      <c r="B9230" s="2889" t="s">
        <v>1638</v>
      </c>
      <c r="C9230" s="2889" t="s">
        <v>1585</v>
      </c>
      <c r="D9230" s="2889" t="s">
        <v>1559</v>
      </c>
      <c r="E9230" s="2889" t="s">
        <v>217</v>
      </c>
      <c r="F9230" s="2890">
        <v>0.62762888049849674</v>
      </c>
      <c r="G9230" s="2890">
        <v>889.43679942306335</v>
      </c>
    </row>
    <row r="9231" spans="2:7" ht="15" hidden="1" outlineLevel="2">
      <c r="B9231" s="2889" t="s">
        <v>1639</v>
      </c>
      <c r="C9231" s="2889" t="s">
        <v>1585</v>
      </c>
      <c r="D9231" s="2889" t="s">
        <v>1559</v>
      </c>
      <c r="E9231" s="2889" t="s">
        <v>217</v>
      </c>
      <c r="F9231" s="2890">
        <v>2.9647062438839535</v>
      </c>
      <c r="G9231" s="2890">
        <v>4191.4732417448495</v>
      </c>
    </row>
    <row r="9232" spans="2:7" ht="15" hidden="1" outlineLevel="2">
      <c r="B9232" s="2889" t="s">
        <v>1640</v>
      </c>
      <c r="C9232" s="2889" t="s">
        <v>1585</v>
      </c>
      <c r="D9232" s="2889" t="s">
        <v>1559</v>
      </c>
      <c r="E9232" s="2889" t="s">
        <v>217</v>
      </c>
      <c r="F9232" s="2890">
        <v>0.63583311339246396</v>
      </c>
      <c r="G9232" s="2890">
        <v>894.99592647328836</v>
      </c>
    </row>
    <row r="9233" spans="2:7" ht="15" hidden="1" outlineLevel="2">
      <c r="B9233" s="2889" t="s">
        <v>1641</v>
      </c>
      <c r="C9233" s="2889" t="s">
        <v>1585</v>
      </c>
      <c r="D9233" s="2889" t="s">
        <v>1559</v>
      </c>
      <c r="E9233" s="2889" t="s">
        <v>217</v>
      </c>
      <c r="F9233" s="2890">
        <v>1.3054550236245357</v>
      </c>
      <c r="G9233" s="2890">
        <v>1840.0212644375199</v>
      </c>
    </row>
    <row r="9234" spans="2:7" ht="15" hidden="1" outlineLevel="2">
      <c r="B9234" s="2889" t="s">
        <v>1642</v>
      </c>
      <c r="C9234" s="2889" t="s">
        <v>1585</v>
      </c>
      <c r="D9234" s="2889" t="s">
        <v>1559</v>
      </c>
      <c r="E9234" s="2889" t="s">
        <v>217</v>
      </c>
      <c r="F9234" s="2890">
        <v>3.8414314512493908</v>
      </c>
      <c r="G9234" s="2890">
        <v>5414.442191126418</v>
      </c>
    </row>
    <row r="9235" spans="2:7" ht="15" hidden="1" outlineLevel="2">
      <c r="B9235" s="2889" t="s">
        <v>1643</v>
      </c>
      <c r="C9235" s="2889" t="s">
        <v>1585</v>
      </c>
      <c r="D9235" s="2889" t="s">
        <v>1559</v>
      </c>
      <c r="E9235" s="2889" t="s">
        <v>217</v>
      </c>
      <c r="F9235" s="2890">
        <v>0.37450784594457687</v>
      </c>
      <c r="G9235" s="2890">
        <v>527.03121638476853</v>
      </c>
    </row>
    <row r="9236" spans="2:7" ht="15" hidden="1" outlineLevel="2">
      <c r="B9236" s="2889" t="s">
        <v>1644</v>
      </c>
      <c r="C9236" s="2889" t="s">
        <v>1585</v>
      </c>
      <c r="D9236" s="2889" t="s">
        <v>1559</v>
      </c>
      <c r="E9236" s="2889" t="s">
        <v>217</v>
      </c>
      <c r="F9236" s="2890">
        <v>11.709415169861535</v>
      </c>
      <c r="G9236" s="2890">
        <v>16554.635813954741</v>
      </c>
    </row>
    <row r="9237" spans="2:7" ht="15" hidden="1" outlineLevel="2">
      <c r="B9237" s="2889" t="s">
        <v>1645</v>
      </c>
      <c r="C9237" s="2889" t="s">
        <v>1585</v>
      </c>
      <c r="D9237" s="2889" t="s">
        <v>1559</v>
      </c>
      <c r="E9237" s="2889" t="s">
        <v>217</v>
      </c>
      <c r="F9237" s="2890">
        <v>5.7210165253943561</v>
      </c>
      <c r="G9237" s="2890">
        <v>8088.3208295379363</v>
      </c>
    </row>
    <row r="9238" spans="2:7" ht="15" hidden="1" outlineLevel="2">
      <c r="B9238" s="2889" t="s">
        <v>1646</v>
      </c>
      <c r="C9238" s="2889" t="s">
        <v>1585</v>
      </c>
      <c r="D9238" s="2889" t="s">
        <v>1559</v>
      </c>
      <c r="E9238" s="2889" t="s">
        <v>217</v>
      </c>
      <c r="F9238" s="2890">
        <v>0.37467760248391674</v>
      </c>
      <c r="G9238" s="2890">
        <v>528.10327636359659</v>
      </c>
    </row>
    <row r="9239" spans="2:7" ht="15" hidden="1" outlineLevel="2">
      <c r="B9239" s="2889" t="s">
        <v>1647</v>
      </c>
      <c r="C9239" s="2889" t="s">
        <v>1585</v>
      </c>
      <c r="D9239" s="2889" t="s">
        <v>1559</v>
      </c>
      <c r="E9239" s="2889" t="s">
        <v>217</v>
      </c>
      <c r="F9239" s="2890">
        <v>0.28635563477625053</v>
      </c>
      <c r="G9239" s="2890">
        <v>405.80544999664579</v>
      </c>
    </row>
    <row r="9240" spans="2:7" ht="15" hidden="1" outlineLevel="2">
      <c r="B9240" s="2889" t="s">
        <v>1648</v>
      </c>
      <c r="C9240" s="2889" t="s">
        <v>1585</v>
      </c>
      <c r="D9240" s="2889" t="s">
        <v>1559</v>
      </c>
      <c r="E9240" s="2889" t="s">
        <v>217</v>
      </c>
      <c r="F9240" s="3039">
        <v>0.63155137017914453</v>
      </c>
      <c r="G9240" s="2890">
        <v>894.99592647328836</v>
      </c>
    </row>
    <row r="9241" spans="2:7" ht="15" hidden="1" outlineLevel="2">
      <c r="B9241" s="2889" t="s">
        <v>1649</v>
      </c>
      <c r="C9241" s="2889" t="s">
        <v>1585</v>
      </c>
      <c r="D9241" s="2889" t="s">
        <v>1559</v>
      </c>
      <c r="E9241" s="2889" t="s">
        <v>217</v>
      </c>
      <c r="F9241" s="3039">
        <v>0.61978330191632403</v>
      </c>
      <c r="G9241" s="2890">
        <v>878.31897624463556</v>
      </c>
    </row>
    <row r="9242" spans="2:7" ht="15" hidden="1" outlineLevel="2">
      <c r="B9242" s="2889" t="s">
        <v>1650</v>
      </c>
      <c r="C9242" s="2889" t="s">
        <v>1585</v>
      </c>
      <c r="D9242" s="2889" t="s">
        <v>1559</v>
      </c>
      <c r="E9242" s="2889" t="s">
        <v>217</v>
      </c>
      <c r="F9242" s="3039">
        <v>0.89253630052877686</v>
      </c>
      <c r="G9242" s="2890">
        <v>1256.3293519711069</v>
      </c>
    </row>
    <row r="9243" spans="2:7" ht="15" hidden="1" outlineLevel="2">
      <c r="B9243" s="2889" t="s">
        <v>1651</v>
      </c>
      <c r="C9243" s="2889" t="s">
        <v>1585</v>
      </c>
      <c r="D9243" s="2889" t="s">
        <v>1559</v>
      </c>
      <c r="E9243" s="2889" t="s">
        <v>217</v>
      </c>
      <c r="F9243" s="3039">
        <v>0.40011343927687959</v>
      </c>
      <c r="G9243" s="2890">
        <v>567.01566853723773</v>
      </c>
    </row>
    <row r="9244" spans="2:7" ht="15" hidden="1" outlineLevel="2">
      <c r="B9244" s="2889" t="s">
        <v>1652</v>
      </c>
      <c r="C9244" s="2889" t="s">
        <v>1585</v>
      </c>
      <c r="D9244" s="2889" t="s">
        <v>1559</v>
      </c>
      <c r="E9244" s="2889" t="s">
        <v>217</v>
      </c>
      <c r="F9244" s="3039">
        <v>0.63155137013676532</v>
      </c>
      <c r="G9244" s="2890">
        <v>894.99592640877063</v>
      </c>
    </row>
    <row r="9245" spans="2:7" ht="15" hidden="1" outlineLevel="2">
      <c r="B9245" s="2889" t="s">
        <v>1653</v>
      </c>
      <c r="C9245" s="2889" t="s">
        <v>1585</v>
      </c>
      <c r="D9245" s="2889" t="s">
        <v>1559</v>
      </c>
      <c r="E9245" s="2889" t="s">
        <v>217</v>
      </c>
      <c r="F9245" s="3039">
        <v>0.71385943869658741</v>
      </c>
      <c r="G9245" s="2890">
        <v>1006.1756249925194</v>
      </c>
    </row>
    <row r="9246" spans="2:7" ht="15" hidden="1" outlineLevel="2">
      <c r="B9246" s="2889" t="s">
        <v>1407</v>
      </c>
      <c r="C9246" s="2889" t="s">
        <v>1586</v>
      </c>
      <c r="D9246" s="2889" t="s">
        <v>1559</v>
      </c>
      <c r="E9246" s="2889" t="s">
        <v>217</v>
      </c>
      <c r="F9246" s="3039">
        <v>1.111495915818419E-2</v>
      </c>
      <c r="G9246" s="2890">
        <v>23.267234694447765</v>
      </c>
    </row>
    <row r="9247" spans="2:7" ht="15" hidden="1" outlineLevel="2">
      <c r="B9247" s="2889" t="s">
        <v>1631</v>
      </c>
      <c r="C9247" s="2889" t="s">
        <v>1586</v>
      </c>
      <c r="D9247" s="2889" t="s">
        <v>1559</v>
      </c>
      <c r="E9247" s="2889" t="s">
        <v>217</v>
      </c>
      <c r="F9247" s="2890">
        <v>0.53825425033547436</v>
      </c>
      <c r="G9247" s="2890">
        <v>1114.9658312192089</v>
      </c>
    </row>
    <row r="9248" spans="2:7" ht="15" hidden="1" outlineLevel="2">
      <c r="B9248" s="2889" t="s">
        <v>1632</v>
      </c>
      <c r="C9248" s="2889" t="s">
        <v>1586</v>
      </c>
      <c r="D9248" s="2889" t="s">
        <v>1559</v>
      </c>
      <c r="E9248" s="2889" t="s">
        <v>217</v>
      </c>
      <c r="F9248" s="2890">
        <v>0.63937430061916989</v>
      </c>
      <c r="G9248" s="2890">
        <v>1340.1929573946832</v>
      </c>
    </row>
    <row r="9249" spans="2:7" ht="15" hidden="1" outlineLevel="2">
      <c r="B9249" s="2889" t="s">
        <v>1633</v>
      </c>
      <c r="C9249" s="2889" t="s">
        <v>1586</v>
      </c>
      <c r="D9249" s="2889" t="s">
        <v>1559</v>
      </c>
      <c r="E9249" s="2889" t="s">
        <v>217</v>
      </c>
      <c r="F9249" s="2890">
        <v>3.80702306582461E-2</v>
      </c>
      <c r="G9249" s="2890">
        <v>80.039269146183671</v>
      </c>
    </row>
    <row r="9250" spans="2:7" ht="15" hidden="1" outlineLevel="2">
      <c r="B9250" s="2889" t="s">
        <v>1634</v>
      </c>
      <c r="C9250" s="2889" t="s">
        <v>1586</v>
      </c>
      <c r="D9250" s="2889" t="s">
        <v>1559</v>
      </c>
      <c r="E9250" s="2889" t="s">
        <v>217</v>
      </c>
      <c r="F9250" s="2890">
        <v>1.192442424000179E-2</v>
      </c>
      <c r="G9250" s="2890">
        <v>25.128615121888387</v>
      </c>
    </row>
    <row r="9251" spans="2:7" ht="15" hidden="1" outlineLevel="2">
      <c r="B9251" s="2889" t="s">
        <v>1635</v>
      </c>
      <c r="C9251" s="2889" t="s">
        <v>1586</v>
      </c>
      <c r="D9251" s="2889" t="s">
        <v>1559</v>
      </c>
      <c r="E9251" s="2889" t="s">
        <v>217</v>
      </c>
      <c r="F9251" s="2890">
        <v>0.20158049864185737</v>
      </c>
      <c r="G9251" s="2890">
        <v>422.53287225050303</v>
      </c>
    </row>
    <row r="9252" spans="2:7" ht="15" hidden="1" outlineLevel="2">
      <c r="B9252" s="2889" t="s">
        <v>1636</v>
      </c>
      <c r="C9252" s="2889" t="s">
        <v>1586</v>
      </c>
      <c r="D9252" s="2889" t="s">
        <v>1559</v>
      </c>
      <c r="E9252" s="2889" t="s">
        <v>217</v>
      </c>
      <c r="F9252" s="2890">
        <v>2.6193693668600432E-2</v>
      </c>
      <c r="G9252" s="2890">
        <v>54.910670559544528</v>
      </c>
    </row>
    <row r="9253" spans="2:7" ht="15" hidden="1" outlineLevel="2">
      <c r="B9253" s="2889" t="s">
        <v>1637</v>
      </c>
      <c r="C9253" s="2889" t="s">
        <v>1586</v>
      </c>
      <c r="D9253" s="2889" t="s">
        <v>1559</v>
      </c>
      <c r="E9253" s="2889" t="s">
        <v>217</v>
      </c>
      <c r="F9253" s="2890">
        <v>5.4891951156968939E-2</v>
      </c>
      <c r="G9253" s="2890">
        <v>115.40551068013789</v>
      </c>
    </row>
    <row r="9254" spans="2:7" ht="15" hidden="1" outlineLevel="2">
      <c r="B9254" s="2889" t="s">
        <v>1638</v>
      </c>
      <c r="C9254" s="2889" t="s">
        <v>1586</v>
      </c>
      <c r="D9254" s="2889" t="s">
        <v>1559</v>
      </c>
      <c r="E9254" s="2889" t="s">
        <v>217</v>
      </c>
      <c r="F9254" s="2890">
        <v>7.0663275943811707E-2</v>
      </c>
      <c r="G9254" s="2890">
        <v>148.91035375745594</v>
      </c>
    </row>
    <row r="9255" spans="2:7" ht="15" hidden="1" outlineLevel="2">
      <c r="B9255" s="2889" t="s">
        <v>1639</v>
      </c>
      <c r="C9255" s="2889" t="s">
        <v>1586</v>
      </c>
      <c r="D9255" s="2889" t="s">
        <v>1559</v>
      </c>
      <c r="E9255" s="2889" t="s">
        <v>217</v>
      </c>
      <c r="F9255" s="2890">
        <v>0.33377839603271947</v>
      </c>
      <c r="G9255" s="2890">
        <v>701.73982459826391</v>
      </c>
    </row>
    <row r="9256" spans="2:7" ht="15" hidden="1" outlineLevel="2">
      <c r="B9256" s="2889" t="s">
        <v>1640</v>
      </c>
      <c r="C9256" s="2889" t="s">
        <v>1586</v>
      </c>
      <c r="D9256" s="2889" t="s">
        <v>1559</v>
      </c>
      <c r="E9256" s="2889" t="s">
        <v>217</v>
      </c>
      <c r="F9256" s="2890">
        <v>7.1580345296223938E-2</v>
      </c>
      <c r="G9256" s="2890">
        <v>149.84093283548589</v>
      </c>
    </row>
    <row r="9257" spans="2:7" ht="15" hidden="1" outlineLevel="2">
      <c r="B9257" s="2889" t="s">
        <v>1641</v>
      </c>
      <c r="C9257" s="2889" t="s">
        <v>1586</v>
      </c>
      <c r="D9257" s="2889" t="s">
        <v>1559</v>
      </c>
      <c r="E9257" s="2889" t="s">
        <v>217</v>
      </c>
      <c r="F9257" s="2890">
        <v>0.14696726950226877</v>
      </c>
      <c r="G9257" s="2890">
        <v>308.0581255130312</v>
      </c>
    </row>
    <row r="9258" spans="2:7" ht="15" hidden="1" outlineLevel="2">
      <c r="B9258" s="2889" t="s">
        <v>1642</v>
      </c>
      <c r="C9258" s="2889" t="s">
        <v>1586</v>
      </c>
      <c r="D9258" s="2889" t="s">
        <v>1559</v>
      </c>
      <c r="E9258" s="2889" t="s">
        <v>217</v>
      </c>
      <c r="F9258" s="2890">
        <v>0.43246570465736656</v>
      </c>
      <c r="G9258" s="2890">
        <v>906.49145017311707</v>
      </c>
    </row>
    <row r="9259" spans="2:7" ht="15" hidden="1" outlineLevel="2">
      <c r="B9259" s="2889" t="s">
        <v>1643</v>
      </c>
      <c r="C9259" s="2889" t="s">
        <v>1586</v>
      </c>
      <c r="D9259" s="2889" t="s">
        <v>1559</v>
      </c>
      <c r="E9259" s="2889" t="s">
        <v>217</v>
      </c>
      <c r="F9259" s="2890">
        <v>4.2160929082751916E-2</v>
      </c>
      <c r="G9259" s="2890">
        <v>88.236110226455764</v>
      </c>
    </row>
    <row r="9260" spans="2:7" ht="15" hidden="1" outlineLevel="2">
      <c r="B9260" s="2889" t="s">
        <v>1644</v>
      </c>
      <c r="C9260" s="2889" t="s">
        <v>1586</v>
      </c>
      <c r="D9260" s="2889" t="s">
        <v>1559</v>
      </c>
      <c r="E9260" s="2889" t="s">
        <v>217</v>
      </c>
      <c r="F9260" s="2890">
        <v>1.3182924372319673</v>
      </c>
      <c r="G9260" s="2890">
        <v>2771.5935124536718</v>
      </c>
    </row>
    <row r="9261" spans="2:7" ht="15" hidden="1" outlineLevel="2">
      <c r="B9261" s="2889" t="s">
        <v>1645</v>
      </c>
      <c r="C9261" s="2889" t="s">
        <v>1586</v>
      </c>
      <c r="D9261" s="2889" t="s">
        <v>1559</v>
      </c>
      <c r="E9261" s="2889" t="s">
        <v>217</v>
      </c>
      <c r="F9261" s="2890">
        <v>0.64409537570168574</v>
      </c>
      <c r="G9261" s="2890">
        <v>1354.1535765046028</v>
      </c>
    </row>
    <row r="9262" spans="2:7" ht="15" hidden="1" outlineLevel="2">
      <c r="B9262" s="2889" t="s">
        <v>1646</v>
      </c>
      <c r="C9262" s="2889" t="s">
        <v>1586</v>
      </c>
      <c r="D9262" s="2889" t="s">
        <v>1559</v>
      </c>
      <c r="E9262" s="2889" t="s">
        <v>217</v>
      </c>
      <c r="F9262" s="2890">
        <v>4.2180962039840342E-2</v>
      </c>
      <c r="G9262" s="2890">
        <v>88.41547822238465</v>
      </c>
    </row>
    <row r="9263" spans="2:7" ht="15" hidden="1" outlineLevel="2">
      <c r="B9263" s="2889" t="s">
        <v>1647</v>
      </c>
      <c r="C9263" s="2889" t="s">
        <v>1586</v>
      </c>
      <c r="D9263" s="2889" t="s">
        <v>1559</v>
      </c>
      <c r="E9263" s="2889" t="s">
        <v>217</v>
      </c>
      <c r="F9263" s="2890">
        <v>3.2240112843075611E-2</v>
      </c>
      <c r="G9263" s="2890">
        <v>67.940305769943521</v>
      </c>
    </row>
    <row r="9264" spans="2:7" ht="15" hidden="1" outlineLevel="2">
      <c r="B9264" s="2889" t="s">
        <v>1648</v>
      </c>
      <c r="C9264" s="2889" t="s">
        <v>1586</v>
      </c>
      <c r="D9264" s="2889" t="s">
        <v>1559</v>
      </c>
      <c r="E9264" s="2889" t="s">
        <v>217</v>
      </c>
      <c r="F9264" s="2890">
        <v>7.1104884639453053E-2</v>
      </c>
      <c r="G9264" s="2890">
        <v>149.84093283548589</v>
      </c>
    </row>
    <row r="9265" spans="2:7" ht="15" hidden="1" outlineLevel="2">
      <c r="B9265" s="2889" t="s">
        <v>1649</v>
      </c>
      <c r="C9265" s="2889" t="s">
        <v>1586</v>
      </c>
      <c r="D9265" s="2889" t="s">
        <v>1559</v>
      </c>
      <c r="E9265" s="2889" t="s">
        <v>217</v>
      </c>
      <c r="F9265" s="2890">
        <v>6.9779990908282477E-2</v>
      </c>
      <c r="G9265" s="2890">
        <v>147.04889192223163</v>
      </c>
    </row>
    <row r="9266" spans="2:7" ht="15" hidden="1" outlineLevel="2">
      <c r="B9266" s="2889" t="s">
        <v>1650</v>
      </c>
      <c r="C9266" s="2889" t="s">
        <v>1586</v>
      </c>
      <c r="D9266" s="2889" t="s">
        <v>1559</v>
      </c>
      <c r="E9266" s="2889" t="s">
        <v>217</v>
      </c>
      <c r="F9266" s="2890">
        <v>0.10047925675920505</v>
      </c>
      <c r="G9266" s="2890">
        <v>210.33576996412668</v>
      </c>
    </row>
    <row r="9267" spans="2:7" ht="15" hidden="1" outlineLevel="2">
      <c r="B9267" s="2889" t="s">
        <v>1651</v>
      </c>
      <c r="C9267" s="2889" t="s">
        <v>1586</v>
      </c>
      <c r="D9267" s="2889" t="s">
        <v>1559</v>
      </c>
      <c r="E9267" s="2889" t="s">
        <v>217</v>
      </c>
      <c r="F9267" s="2890">
        <v>4.5047840762684574E-2</v>
      </c>
      <c r="G9267" s="2890">
        <v>94.930315318806251</v>
      </c>
    </row>
    <row r="9268" spans="2:7" ht="15" hidden="1" outlineLevel="2">
      <c r="B9268" s="2889" t="s">
        <v>1652</v>
      </c>
      <c r="C9268" s="2889" t="s">
        <v>1586</v>
      </c>
      <c r="D9268" s="2889" t="s">
        <v>1559</v>
      </c>
      <c r="E9268" s="2889" t="s">
        <v>217</v>
      </c>
      <c r="F9268" s="2890">
        <v>7.1104884639037413E-2</v>
      </c>
      <c r="G9268" s="2890">
        <v>149.84093284011928</v>
      </c>
    </row>
    <row r="9269" spans="2:7" ht="15" hidden="1" outlineLevel="2">
      <c r="B9269" s="2889" t="s">
        <v>1653</v>
      </c>
      <c r="C9269" s="2889" t="s">
        <v>1586</v>
      </c>
      <c r="D9269" s="2889" t="s">
        <v>1559</v>
      </c>
      <c r="E9269" s="2889" t="s">
        <v>217</v>
      </c>
      <c r="F9269" s="2890">
        <v>8.0365826016787531E-2</v>
      </c>
      <c r="G9269" s="2890">
        <v>168.45476863086748</v>
      </c>
    </row>
    <row r="9270" spans="2:7" ht="15" hidden="1" outlineLevel="2">
      <c r="B9270" s="2889" t="s">
        <v>1407</v>
      </c>
      <c r="C9270" s="2889" t="s">
        <v>1587</v>
      </c>
      <c r="D9270" s="2889" t="s">
        <v>1559</v>
      </c>
      <c r="E9270" s="2889" t="s">
        <v>217</v>
      </c>
      <c r="F9270" s="2890">
        <v>0.30920262396960679</v>
      </c>
      <c r="G9270" s="2890">
        <v>448.34078988604381</v>
      </c>
    </row>
    <row r="9271" spans="2:7" ht="15" hidden="1" outlineLevel="2">
      <c r="B9271" s="2889" t="s">
        <v>1631</v>
      </c>
      <c r="C9271" s="2889" t="s">
        <v>1587</v>
      </c>
      <c r="D9271" s="2889" t="s">
        <v>1559</v>
      </c>
      <c r="E9271" s="2889" t="s">
        <v>217</v>
      </c>
      <c r="F9271" s="2890">
        <v>14.975636663005217</v>
      </c>
      <c r="G9271" s="2890">
        <v>21484.486960780298</v>
      </c>
    </row>
    <row r="9272" spans="2:7" ht="15" hidden="1" outlineLevel="2">
      <c r="B9272" s="2889" t="s">
        <v>1632</v>
      </c>
      <c r="C9272" s="2889" t="s">
        <v>1587</v>
      </c>
      <c r="D9272" s="2889" t="s">
        <v>1559</v>
      </c>
      <c r="E9272" s="2889" t="s">
        <v>217</v>
      </c>
      <c r="F9272" s="2890">
        <v>17.786171173856982</v>
      </c>
      <c r="G9272" s="2890">
        <v>25824.417351631822</v>
      </c>
    </row>
    <row r="9273" spans="2:7" ht="15" hidden="1" outlineLevel="2">
      <c r="B9273" s="2889" t="s">
        <v>1633</v>
      </c>
      <c r="C9273" s="2889" t="s">
        <v>1587</v>
      </c>
      <c r="D9273" s="2889" t="s">
        <v>1559</v>
      </c>
      <c r="E9273" s="2889" t="s">
        <v>217</v>
      </c>
      <c r="F9273" s="2890">
        <v>1.0589968067637747</v>
      </c>
      <c r="G9273" s="2890">
        <v>1542.2927073022538</v>
      </c>
    </row>
    <row r="9274" spans="2:7" ht="15" hidden="1" outlineLevel="2">
      <c r="B9274" s="2889" t="s">
        <v>1634</v>
      </c>
      <c r="C9274" s="2889" t="s">
        <v>1587</v>
      </c>
      <c r="D9274" s="2889" t="s">
        <v>1559</v>
      </c>
      <c r="E9274" s="2889" t="s">
        <v>217</v>
      </c>
      <c r="F9274" s="2890">
        <v>0.331690181808383</v>
      </c>
      <c r="G9274" s="2890">
        <v>484.20787475579505</v>
      </c>
    </row>
    <row r="9275" spans="2:7" ht="15" hidden="1" outlineLevel="2">
      <c r="B9275" s="2889" t="s">
        <v>1635</v>
      </c>
      <c r="C9275" s="2889" t="s">
        <v>1587</v>
      </c>
      <c r="D9275" s="2889" t="s">
        <v>1559</v>
      </c>
      <c r="E9275" s="2889" t="s">
        <v>217</v>
      </c>
      <c r="F9275" s="2890">
        <v>5.6075855770558851</v>
      </c>
      <c r="G9275" s="2890">
        <v>8141.8683241916942</v>
      </c>
    </row>
    <row r="9276" spans="2:7" ht="15" hidden="1" outlineLevel="2">
      <c r="B9276" s="2889" t="s">
        <v>1636</v>
      </c>
      <c r="C9276" s="2889" t="s">
        <v>1587</v>
      </c>
      <c r="D9276" s="2889" t="s">
        <v>1559</v>
      </c>
      <c r="E9276" s="2889" t="s">
        <v>217</v>
      </c>
      <c r="F9276" s="2890">
        <v>0.72865778340282439</v>
      </c>
      <c r="G9276" s="2890">
        <v>1058.084438920474</v>
      </c>
    </row>
    <row r="9277" spans="2:7" ht="15" hidden="1" outlineLevel="2">
      <c r="B9277" s="2889" t="s">
        <v>1637</v>
      </c>
      <c r="C9277" s="2889" t="s">
        <v>1587</v>
      </c>
      <c r="D9277" s="2889" t="s">
        <v>1559</v>
      </c>
      <c r="E9277" s="2889" t="s">
        <v>217</v>
      </c>
      <c r="F9277" s="2890">
        <v>1.526925745334281</v>
      </c>
      <c r="G9277" s="2890">
        <v>2223.7698673974814</v>
      </c>
    </row>
    <row r="9278" spans="2:7" ht="15" hidden="1" outlineLevel="2">
      <c r="B9278" s="2889" t="s">
        <v>1638</v>
      </c>
      <c r="C9278" s="2889" t="s">
        <v>1587</v>
      </c>
      <c r="D9278" s="2889" t="s">
        <v>1559</v>
      </c>
      <c r="E9278" s="2889" t="s">
        <v>217</v>
      </c>
      <c r="F9278" s="2890">
        <v>1.9655724865476574</v>
      </c>
      <c r="G9278" s="2890">
        <v>2869.3802728110709</v>
      </c>
    </row>
    <row r="9279" spans="2:7" ht="15" hidden="1" outlineLevel="2">
      <c r="B9279" s="2889" t="s">
        <v>1639</v>
      </c>
      <c r="C9279" s="2889" t="s">
        <v>1587</v>
      </c>
      <c r="D9279" s="2889" t="s">
        <v>1559</v>
      </c>
      <c r="E9279" s="2889" t="s">
        <v>217</v>
      </c>
      <c r="F9279" s="3039">
        <v>9.2846954933479999</v>
      </c>
      <c r="G9279" s="2890">
        <v>13521.951504251236</v>
      </c>
    </row>
    <row r="9280" spans="2:7" ht="15" hidden="1" outlineLevel="2">
      <c r="B9280" s="2889" t="s">
        <v>1640</v>
      </c>
      <c r="C9280" s="2889" t="s">
        <v>1587</v>
      </c>
      <c r="D9280" s="2889" t="s">
        <v>1559</v>
      </c>
      <c r="E9280" s="2889" t="s">
        <v>217</v>
      </c>
      <c r="F9280" s="3039">
        <v>1.9912658343330922</v>
      </c>
      <c r="G9280" s="2890">
        <v>2887.3139194418413</v>
      </c>
    </row>
    <row r="9281" spans="2:7" ht="15" hidden="1" outlineLevel="2">
      <c r="B9281" s="2889" t="s">
        <v>1641</v>
      </c>
      <c r="C9281" s="2889" t="s">
        <v>1587</v>
      </c>
      <c r="D9281" s="2889" t="s">
        <v>1559</v>
      </c>
      <c r="E9281" s="2889" t="s">
        <v>217</v>
      </c>
      <c r="F9281" s="3039">
        <v>4.0883491321572016</v>
      </c>
      <c r="G9281" s="2890">
        <v>5936.0305185143961</v>
      </c>
    </row>
    <row r="9282" spans="2:7" ht="15" hidden="1" outlineLevel="2">
      <c r="B9282" s="2889" t="s">
        <v>1642</v>
      </c>
      <c r="C9282" s="2889" t="s">
        <v>1587</v>
      </c>
      <c r="D9282" s="2889" t="s">
        <v>1559</v>
      </c>
      <c r="E9282" s="2889" t="s">
        <v>217</v>
      </c>
      <c r="F9282" s="3039">
        <v>12.030372964353038</v>
      </c>
      <c r="G9282" s="2890">
        <v>17467.351723492488</v>
      </c>
    </row>
    <row r="9283" spans="2:7" ht="15" hidden="1" outlineLevel="2">
      <c r="B9283" s="2889" t="s">
        <v>1643</v>
      </c>
      <c r="C9283" s="2889" t="s">
        <v>1587</v>
      </c>
      <c r="D9283" s="2889" t="s">
        <v>1559</v>
      </c>
      <c r="E9283" s="2889" t="s">
        <v>217</v>
      </c>
      <c r="F9283" s="3039">
        <v>1.1728622427297686</v>
      </c>
      <c r="G9283" s="2890">
        <v>1700.2374982243437</v>
      </c>
    </row>
    <row r="9284" spans="2:7" ht="15" hidden="1" outlineLevel="2">
      <c r="B9284" s="2889" t="s">
        <v>1644</v>
      </c>
      <c r="C9284" s="2889" t="s">
        <v>1587</v>
      </c>
      <c r="D9284" s="2889" t="s">
        <v>1559</v>
      </c>
      <c r="E9284" s="2889" t="s">
        <v>217</v>
      </c>
      <c r="F9284" s="3039">
        <v>36.670852629048511</v>
      </c>
      <c r="G9284" s="2890">
        <v>53406.353060423637</v>
      </c>
    </row>
    <row r="9285" spans="2:7" ht="15" hidden="1" outlineLevel="2">
      <c r="B9285" s="2889" t="s">
        <v>1645</v>
      </c>
      <c r="C9285" s="2889" t="s">
        <v>1587</v>
      </c>
      <c r="D9285" s="2889" t="s">
        <v>1559</v>
      </c>
      <c r="E9285" s="2889" t="s">
        <v>217</v>
      </c>
      <c r="F9285" s="3039">
        <v>17.916751636228618</v>
      </c>
      <c r="G9285" s="2890">
        <v>26093.420432488885</v>
      </c>
    </row>
    <row r="9286" spans="2:7" ht="15" hidden="1" outlineLevel="2">
      <c r="B9286" s="2889" t="s">
        <v>1646</v>
      </c>
      <c r="C9286" s="2889" t="s">
        <v>1587</v>
      </c>
      <c r="D9286" s="2889" t="s">
        <v>1559</v>
      </c>
      <c r="E9286" s="2889" t="s">
        <v>217</v>
      </c>
      <c r="F9286" s="2890">
        <v>1.1733934741531256</v>
      </c>
      <c r="G9286" s="2890">
        <v>1703.694372615621</v>
      </c>
    </row>
    <row r="9287" spans="2:7" ht="15" hidden="1" outlineLevel="2">
      <c r="B9287" s="2889" t="s">
        <v>1647</v>
      </c>
      <c r="C9287" s="2889" t="s">
        <v>1587</v>
      </c>
      <c r="D9287" s="2889" t="s">
        <v>1559</v>
      </c>
      <c r="E9287" s="2889" t="s">
        <v>217</v>
      </c>
      <c r="F9287" s="2890">
        <v>0.89679238519223126</v>
      </c>
      <c r="G9287" s="2890">
        <v>1309.1541839779509</v>
      </c>
    </row>
    <row r="9288" spans="2:7" ht="15" hidden="1" outlineLevel="2">
      <c r="B9288" s="2889" t="s">
        <v>1648</v>
      </c>
      <c r="C9288" s="2889" t="s">
        <v>1587</v>
      </c>
      <c r="D9288" s="2889" t="s">
        <v>1559</v>
      </c>
      <c r="E9288" s="2889" t="s">
        <v>217</v>
      </c>
      <c r="F9288" s="2890">
        <v>1.9778568648749124</v>
      </c>
      <c r="G9288" s="2890">
        <v>2887.3139194418413</v>
      </c>
    </row>
    <row r="9289" spans="2:7" ht="15" hidden="1" outlineLevel="2">
      <c r="B9289" s="2889" t="s">
        <v>1649</v>
      </c>
      <c r="C9289" s="2889" t="s">
        <v>1587</v>
      </c>
      <c r="D9289" s="2889" t="s">
        <v>1559</v>
      </c>
      <c r="E9289" s="2889" t="s">
        <v>217</v>
      </c>
      <c r="F9289" s="3039">
        <v>1.9410021448928103</v>
      </c>
      <c r="G9289" s="2890">
        <v>2833.513502546462</v>
      </c>
    </row>
    <row r="9290" spans="2:7" ht="15" hidden="1" outlineLevel="2">
      <c r="B9290" s="2889" t="s">
        <v>1650</v>
      </c>
      <c r="C9290" s="2889" t="s">
        <v>1587</v>
      </c>
      <c r="D9290" s="2889" t="s">
        <v>1559</v>
      </c>
      <c r="E9290" s="2889" t="s">
        <v>217</v>
      </c>
      <c r="F9290" s="2890">
        <v>2.7951918343631981</v>
      </c>
      <c r="G9290" s="2890">
        <v>4053.0020365206396</v>
      </c>
    </row>
    <row r="9291" spans="2:7" ht="15" hidden="1" outlineLevel="2">
      <c r="B9291" s="2889" t="s">
        <v>1651</v>
      </c>
      <c r="C9291" s="2889" t="s">
        <v>1587</v>
      </c>
      <c r="D9291" s="2889" t="s">
        <v>1559</v>
      </c>
      <c r="E9291" s="2889" t="s">
        <v>217</v>
      </c>
      <c r="F9291" s="2890">
        <v>1.2530520612754668</v>
      </c>
      <c r="G9291" s="2890">
        <v>1829.2295106599977</v>
      </c>
    </row>
    <row r="9292" spans="2:7" ht="15" hidden="1" outlineLevel="2">
      <c r="B9292" s="2889" t="s">
        <v>1652</v>
      </c>
      <c r="C9292" s="2889" t="s">
        <v>1587</v>
      </c>
      <c r="D9292" s="2889" t="s">
        <v>1559</v>
      </c>
      <c r="E9292" s="2889" t="s">
        <v>217</v>
      </c>
      <c r="F9292" s="3039">
        <v>1.9778568648833503</v>
      </c>
      <c r="G9292" s="2890">
        <v>2887.3139192750727</v>
      </c>
    </row>
    <row r="9293" spans="2:7" ht="15" hidden="1" outlineLevel="2">
      <c r="B9293" s="2889" t="s">
        <v>1653</v>
      </c>
      <c r="C9293" s="2889" t="s">
        <v>1587</v>
      </c>
      <c r="D9293" s="2889" t="s">
        <v>1559</v>
      </c>
      <c r="E9293" s="2889" t="s">
        <v>217</v>
      </c>
      <c r="F9293" s="2890">
        <v>2.2356230708927924</v>
      </c>
      <c r="G9293" s="2890">
        <v>3245.9874816045703</v>
      </c>
    </row>
    <row r="9294" spans="2:7" ht="15" hidden="1" outlineLevel="2">
      <c r="B9294" s="2889" t="s">
        <v>1407</v>
      </c>
      <c r="C9294" s="2889" t="s">
        <v>1588</v>
      </c>
      <c r="D9294" s="2889" t="s">
        <v>1559</v>
      </c>
      <c r="E9294" s="2889" t="s">
        <v>217</v>
      </c>
      <c r="F9294" s="2890">
        <v>6.8726367289984144E-2</v>
      </c>
      <c r="G9294" s="2890">
        <v>53.509703080186192</v>
      </c>
    </row>
    <row r="9295" spans="2:7" ht="15" hidden="1" outlineLevel="2">
      <c r="B9295" s="2889" t="s">
        <v>1631</v>
      </c>
      <c r="C9295" s="2889" t="s">
        <v>1588</v>
      </c>
      <c r="D9295" s="2889" t="s">
        <v>1559</v>
      </c>
      <c r="E9295" s="2889" t="s">
        <v>217</v>
      </c>
      <c r="F9295" s="2890">
        <v>0.40927422503684496</v>
      </c>
      <c r="G9295" s="2890">
        <v>315.28292510666802</v>
      </c>
    </row>
    <row r="9296" spans="2:7" ht="15" hidden="1" outlineLevel="2">
      <c r="B9296" s="2889" t="s">
        <v>1632</v>
      </c>
      <c r="C9296" s="2889" t="s">
        <v>1588</v>
      </c>
      <c r="D9296" s="2889" t="s">
        <v>1559</v>
      </c>
      <c r="E9296" s="2889" t="s">
        <v>217</v>
      </c>
      <c r="F9296" s="3039">
        <v>0.67003945368074913</v>
      </c>
      <c r="G9296" s="2890">
        <v>522.38982669108407</v>
      </c>
    </row>
    <row r="9297" spans="2:7" ht="15" hidden="1" outlineLevel="2">
      <c r="B9297" s="2889" t="s">
        <v>1633</v>
      </c>
      <c r="C9297" s="2889" t="s">
        <v>1588</v>
      </c>
      <c r="D9297" s="2889" t="s">
        <v>1559</v>
      </c>
      <c r="E9297" s="2889" t="s">
        <v>217</v>
      </c>
      <c r="F9297" s="3039">
        <v>6.1657740164469857E-2</v>
      </c>
      <c r="G9297" s="2890">
        <v>48.216078114368003</v>
      </c>
    </row>
    <row r="9298" spans="2:7" ht="15" hidden="1" outlineLevel="2">
      <c r="B9298" s="2889" t="s">
        <v>1634</v>
      </c>
      <c r="C9298" s="2889" t="s">
        <v>1588</v>
      </c>
      <c r="D9298" s="2889" t="s">
        <v>1559</v>
      </c>
      <c r="E9298" s="2889" t="s">
        <v>217</v>
      </c>
      <c r="F9298" s="3039">
        <v>2.5638186013993522E-2</v>
      </c>
      <c r="G9298" s="2890">
        <v>20.096449541203462</v>
      </c>
    </row>
    <row r="9299" spans="2:7" ht="15" hidden="1" outlineLevel="2">
      <c r="B9299" s="2889" t="s">
        <v>1635</v>
      </c>
      <c r="C9299" s="2889" t="s">
        <v>1588</v>
      </c>
      <c r="D9299" s="2889" t="s">
        <v>1559</v>
      </c>
      <c r="E9299" s="2889" t="s">
        <v>217</v>
      </c>
      <c r="F9299" s="2890">
        <v>0.11947457234266137</v>
      </c>
      <c r="G9299" s="2890">
        <v>93.147185913611963</v>
      </c>
    </row>
    <row r="9300" spans="2:7" ht="15" hidden="1" outlineLevel="2">
      <c r="B9300" s="2889" t="s">
        <v>1636</v>
      </c>
      <c r="C9300" s="2889" t="s">
        <v>1588</v>
      </c>
      <c r="D9300" s="2889" t="s">
        <v>1559</v>
      </c>
      <c r="E9300" s="2889" t="s">
        <v>217</v>
      </c>
      <c r="F9300" s="2890">
        <v>7.5797849030905862E-2</v>
      </c>
      <c r="G9300" s="2890">
        <v>59.101526911879311</v>
      </c>
    </row>
    <row r="9301" spans="2:7" ht="15" hidden="1" outlineLevel="2">
      <c r="B9301" s="2889" t="s">
        <v>1637</v>
      </c>
      <c r="C9301" s="2889" t="s">
        <v>1588</v>
      </c>
      <c r="D9301" s="2889" t="s">
        <v>1559</v>
      </c>
      <c r="E9301" s="2889" t="s">
        <v>217</v>
      </c>
      <c r="F9301" s="2890">
        <v>9.7658435921202283E-2</v>
      </c>
      <c r="G9301" s="2890">
        <v>76.368464145855214</v>
      </c>
    </row>
    <row r="9302" spans="2:7" ht="15" hidden="1" outlineLevel="2">
      <c r="B9302" s="2889" t="s">
        <v>1638</v>
      </c>
      <c r="C9302" s="2889" t="s">
        <v>1588</v>
      </c>
      <c r="D9302" s="2889" t="s">
        <v>1559</v>
      </c>
      <c r="E9302" s="2889" t="s">
        <v>217</v>
      </c>
      <c r="F9302" s="2890">
        <v>3.0809297293550322E-2</v>
      </c>
      <c r="G9302" s="2890">
        <v>24.149826207886115</v>
      </c>
    </row>
    <row r="9303" spans="2:7" ht="15" hidden="1" outlineLevel="2">
      <c r="B9303" s="2889" t="s">
        <v>1639</v>
      </c>
      <c r="C9303" s="2889" t="s">
        <v>1588</v>
      </c>
      <c r="D9303" s="2889" t="s">
        <v>1559</v>
      </c>
      <c r="E9303" s="2889" t="s">
        <v>217</v>
      </c>
      <c r="F9303" s="2890">
        <v>0.16323620283234916</v>
      </c>
      <c r="G9303" s="2890">
        <v>127.64991021435769</v>
      </c>
    </row>
    <row r="9304" spans="2:7" ht="15" hidden="1" outlineLevel="2">
      <c r="B9304" s="2889" t="s">
        <v>1640</v>
      </c>
      <c r="C9304" s="2889" t="s">
        <v>1588</v>
      </c>
      <c r="D9304" s="2889" t="s">
        <v>1559</v>
      </c>
      <c r="E9304" s="2889" t="s">
        <v>217</v>
      </c>
      <c r="F9304" s="2890">
        <v>3.6027682897020401E-2</v>
      </c>
      <c r="G9304" s="2890">
        <v>28.050810472310857</v>
      </c>
    </row>
    <row r="9305" spans="2:7" ht="15" hidden="1" outlineLevel="2">
      <c r="B9305" s="2889" t="s">
        <v>1641</v>
      </c>
      <c r="C9305" s="2889" t="s">
        <v>1588</v>
      </c>
      <c r="D9305" s="2889" t="s">
        <v>1559</v>
      </c>
      <c r="E9305" s="2889" t="s">
        <v>217</v>
      </c>
      <c r="F9305" s="2890">
        <v>0.18219070078210148</v>
      </c>
      <c r="G9305" s="2890">
        <v>142.04320846524183</v>
      </c>
    </row>
    <row r="9306" spans="2:7" ht="15" hidden="1" outlineLevel="2">
      <c r="B9306" s="2889" t="s">
        <v>1642</v>
      </c>
      <c r="C9306" s="2889" t="s">
        <v>1588</v>
      </c>
      <c r="D9306" s="2889" t="s">
        <v>1559</v>
      </c>
      <c r="E9306" s="2889" t="s">
        <v>217</v>
      </c>
      <c r="F9306" s="2890">
        <v>0.20307506337871153</v>
      </c>
      <c r="G9306" s="2890">
        <v>158.32549718093739</v>
      </c>
    </row>
    <row r="9307" spans="2:7" ht="15" hidden="1" outlineLevel="2">
      <c r="B9307" s="2889" t="s">
        <v>1643</v>
      </c>
      <c r="C9307" s="2889" t="s">
        <v>1588</v>
      </c>
      <c r="D9307" s="2889" t="s">
        <v>1559</v>
      </c>
      <c r="E9307" s="2889" t="s">
        <v>217</v>
      </c>
      <c r="F9307" s="2890">
        <v>3.2341587406442822E-2</v>
      </c>
      <c r="G9307" s="2890">
        <v>25.181111575125147</v>
      </c>
    </row>
    <row r="9308" spans="2:7" ht="15" hidden="1" outlineLevel="2">
      <c r="B9308" s="2889" t="s">
        <v>1644</v>
      </c>
      <c r="C9308" s="2889" t="s">
        <v>1588</v>
      </c>
      <c r="D9308" s="2889" t="s">
        <v>1559</v>
      </c>
      <c r="E9308" s="2889" t="s">
        <v>217</v>
      </c>
      <c r="F9308" s="2890">
        <v>0.72303531398203813</v>
      </c>
      <c r="G9308" s="2890">
        <v>565.41043309778502</v>
      </c>
    </row>
    <row r="9309" spans="2:7" ht="15" hidden="1" outlineLevel="2">
      <c r="B9309" s="2889" t="s">
        <v>1645</v>
      </c>
      <c r="C9309" s="2889" t="s">
        <v>1588</v>
      </c>
      <c r="D9309" s="2889" t="s">
        <v>1559</v>
      </c>
      <c r="E9309" s="2889" t="s">
        <v>217</v>
      </c>
      <c r="F9309" s="3039">
        <v>0.64724806274674718</v>
      </c>
      <c r="G9309" s="2890">
        <v>506.1451253619644</v>
      </c>
    </row>
    <row r="9310" spans="2:7" ht="15" hidden="1" outlineLevel="2">
      <c r="B9310" s="2889" t="s">
        <v>1646</v>
      </c>
      <c r="C9310" s="2889" t="s">
        <v>1588</v>
      </c>
      <c r="D9310" s="2889" t="s">
        <v>1559</v>
      </c>
      <c r="E9310" s="2889" t="s">
        <v>217</v>
      </c>
      <c r="F9310" s="3039">
        <v>3.6865999516488356E-2</v>
      </c>
      <c r="G9310" s="2890">
        <v>28.742216603192382</v>
      </c>
    </row>
    <row r="9311" spans="2:7" ht="15" hidden="1" outlineLevel="2">
      <c r="B9311" s="2889" t="s">
        <v>1647</v>
      </c>
      <c r="C9311" s="2889" t="s">
        <v>1588</v>
      </c>
      <c r="D9311" s="2889" t="s">
        <v>1559</v>
      </c>
      <c r="E9311" s="2889" t="s">
        <v>217</v>
      </c>
      <c r="F9311" s="2890">
        <v>7.4912145577684802E-2</v>
      </c>
      <c r="G9311" s="2890">
        <v>58.719765669655892</v>
      </c>
    </row>
    <row r="9312" spans="2:7" ht="15" hidden="1" outlineLevel="2">
      <c r="B9312" s="2889" t="s">
        <v>1648</v>
      </c>
      <c r="C9312" s="2889" t="s">
        <v>1588</v>
      </c>
      <c r="D9312" s="2889" t="s">
        <v>1559</v>
      </c>
      <c r="E9312" s="2889" t="s">
        <v>217</v>
      </c>
      <c r="F9312" s="2890">
        <v>2.101678535888642E-2</v>
      </c>
      <c r="G9312" s="2890">
        <v>16.473977918572302</v>
      </c>
    </row>
    <row r="9313" spans="2:7" ht="15" hidden="1" outlineLevel="2">
      <c r="B9313" s="2889" t="s">
        <v>1649</v>
      </c>
      <c r="C9313" s="2889" t="s">
        <v>1588</v>
      </c>
      <c r="D9313" s="2889" t="s">
        <v>1559</v>
      </c>
      <c r="E9313" s="2889" t="s">
        <v>217</v>
      </c>
      <c r="F9313" s="2890">
        <v>3.5694050067831766E-2</v>
      </c>
      <c r="G9313" s="2890">
        <v>27.97872876918802</v>
      </c>
    </row>
    <row r="9314" spans="2:7" ht="15" hidden="1" outlineLevel="2">
      <c r="B9314" s="2889" t="s">
        <v>1650</v>
      </c>
      <c r="C9314" s="2889" t="s">
        <v>1588</v>
      </c>
      <c r="D9314" s="2889" t="s">
        <v>1559</v>
      </c>
      <c r="E9314" s="2889" t="s">
        <v>217</v>
      </c>
      <c r="F9314" s="2890">
        <v>0.11418760942865759</v>
      </c>
      <c r="G9314" s="2890">
        <v>88.905371127196673</v>
      </c>
    </row>
    <row r="9315" spans="2:7" ht="15" hidden="1" outlineLevel="2">
      <c r="B9315" s="2889" t="s">
        <v>1651</v>
      </c>
      <c r="C9315" s="2889" t="s">
        <v>1588</v>
      </c>
      <c r="D9315" s="2889" t="s">
        <v>1559</v>
      </c>
      <c r="E9315" s="2889" t="s">
        <v>217</v>
      </c>
      <c r="F9315" s="2890">
        <v>7.4435594770321675E-2</v>
      </c>
      <c r="G9315" s="2890">
        <v>58.346234703400228</v>
      </c>
    </row>
    <row r="9316" spans="2:7" ht="15" hidden="1" outlineLevel="2">
      <c r="B9316" s="2889" t="s">
        <v>1652</v>
      </c>
      <c r="C9316" s="2889" t="s">
        <v>1588</v>
      </c>
      <c r="D9316" s="2889" t="s">
        <v>1559</v>
      </c>
      <c r="E9316" s="2889" t="s">
        <v>217</v>
      </c>
      <c r="F9316" s="2890">
        <v>0.1006360263666731</v>
      </c>
      <c r="G9316" s="2890">
        <v>78.883410923042575</v>
      </c>
    </row>
    <row r="9317" spans="2:7" ht="15" hidden="1" outlineLevel="2">
      <c r="B9317" s="2889" t="s">
        <v>1653</v>
      </c>
      <c r="C9317" s="2889" t="s">
        <v>1588</v>
      </c>
      <c r="D9317" s="2889" t="s">
        <v>1559</v>
      </c>
      <c r="E9317" s="2889" t="s">
        <v>217</v>
      </c>
      <c r="F9317" s="2890">
        <v>0.62259253158101036</v>
      </c>
      <c r="G9317" s="2890">
        <v>485.3982662338783</v>
      </c>
    </row>
    <row r="9318" spans="2:7" ht="15" hidden="1" outlineLevel="2">
      <c r="B9318" s="2889" t="s">
        <v>1407</v>
      </c>
      <c r="C9318" s="2889" t="s">
        <v>1589</v>
      </c>
      <c r="D9318" s="2889" t="s">
        <v>1559</v>
      </c>
      <c r="E9318" s="2889" t="s">
        <v>217</v>
      </c>
      <c r="F9318" s="2890">
        <v>1.7608283042233976E-2</v>
      </c>
      <c r="G9318" s="2890">
        <v>13.736981342543363</v>
      </c>
    </row>
    <row r="9319" spans="2:7" ht="15" hidden="1" outlineLevel="2">
      <c r="B9319" s="2889" t="s">
        <v>1631</v>
      </c>
      <c r="C9319" s="2889" t="s">
        <v>1589</v>
      </c>
      <c r="D9319" s="2889" t="s">
        <v>1559</v>
      </c>
      <c r="E9319" s="2889" t="s">
        <v>217</v>
      </c>
      <c r="F9319" s="2890">
        <v>0.85280623707817682</v>
      </c>
      <c r="G9319" s="2890">
        <v>658.27617020195044</v>
      </c>
    </row>
    <row r="9320" spans="2:7" ht="15" hidden="1" outlineLevel="2">
      <c r="B9320" s="2889" t="s">
        <v>1632</v>
      </c>
      <c r="C9320" s="2889" t="s">
        <v>1589</v>
      </c>
      <c r="D9320" s="2889" t="s">
        <v>1559</v>
      </c>
      <c r="E9320" s="2889" t="s">
        <v>217</v>
      </c>
      <c r="F9320" s="2890">
        <v>1.0128787465639524</v>
      </c>
      <c r="G9320" s="2890">
        <v>791.25005252487585</v>
      </c>
    </row>
    <row r="9321" spans="2:7" ht="15" hidden="1" outlineLevel="2">
      <c r="B9321" s="2889" t="s">
        <v>1633</v>
      </c>
      <c r="C9321" s="2889" t="s">
        <v>1589</v>
      </c>
      <c r="D9321" s="2889" t="s">
        <v>1559</v>
      </c>
      <c r="E9321" s="2889" t="s">
        <v>217</v>
      </c>
      <c r="F9321" s="2890">
        <v>6.0307625773725143E-2</v>
      </c>
      <c r="G9321" s="2890">
        <v>47.255200490427917</v>
      </c>
    </row>
    <row r="9322" spans="2:7" ht="15" hidden="1" outlineLevel="2">
      <c r="B9322" s="2889" t="s">
        <v>1634</v>
      </c>
      <c r="C9322" s="2889" t="s">
        <v>1589</v>
      </c>
      <c r="D9322" s="2889" t="s">
        <v>1559</v>
      </c>
      <c r="E9322" s="2889" t="s">
        <v>217</v>
      </c>
      <c r="F9322" s="2890">
        <v>1.8889142262268396E-2</v>
      </c>
      <c r="G9322" s="2890">
        <v>14.835935436598495</v>
      </c>
    </row>
    <row r="9323" spans="2:7" ht="15" hidden="1" outlineLevel="2">
      <c r="B9323" s="2889" t="s">
        <v>1635</v>
      </c>
      <c r="C9323" s="2889" t="s">
        <v>1589</v>
      </c>
      <c r="D9323" s="2889" t="s">
        <v>1559</v>
      </c>
      <c r="E9323" s="2889" t="s">
        <v>217</v>
      </c>
      <c r="F9323" s="2890">
        <v>0.31933814047043846</v>
      </c>
      <c r="G9323" s="2890">
        <v>249.46357296227399</v>
      </c>
    </row>
    <row r="9324" spans="2:7" ht="15" hidden="1" outlineLevel="2">
      <c r="B9324" s="2889" t="s">
        <v>1636</v>
      </c>
      <c r="C9324" s="2889" t="s">
        <v>1589</v>
      </c>
      <c r="D9324" s="2889" t="s">
        <v>1559</v>
      </c>
      <c r="E9324" s="2889" t="s">
        <v>217</v>
      </c>
      <c r="F9324" s="2890">
        <v>4.1495258994724761E-2</v>
      </c>
      <c r="G9324" s="2890">
        <v>32.419269805368188</v>
      </c>
    </row>
    <row r="9325" spans="2:7" ht="15" hidden="1" outlineLevel="2">
      <c r="B9325" s="2889" t="s">
        <v>1637</v>
      </c>
      <c r="C9325" s="2889" t="s">
        <v>1589</v>
      </c>
      <c r="D9325" s="2889" t="s">
        <v>1559</v>
      </c>
      <c r="E9325" s="2889" t="s">
        <v>217</v>
      </c>
      <c r="F9325" s="2890">
        <v>8.695519286900566E-2</v>
      </c>
      <c r="G9325" s="2890">
        <v>68.135432184299148</v>
      </c>
    </row>
    <row r="9326" spans="2:7" ht="15" hidden="1" outlineLevel="2">
      <c r="B9326" s="2889" t="s">
        <v>1638</v>
      </c>
      <c r="C9326" s="2889" t="s">
        <v>1589</v>
      </c>
      <c r="D9326" s="2889" t="s">
        <v>1559</v>
      </c>
      <c r="E9326" s="2889" t="s">
        <v>217</v>
      </c>
      <c r="F9326" s="3039">
        <v>0.1119356299376375</v>
      </c>
      <c r="G9326" s="2890">
        <v>87.916678724866927</v>
      </c>
    </row>
    <row r="9327" spans="2:7" ht="15" hidden="1" outlineLevel="2">
      <c r="B9327" s="2889" t="s">
        <v>1639</v>
      </c>
      <c r="C9327" s="2889" t="s">
        <v>1589</v>
      </c>
      <c r="D9327" s="2889" t="s">
        <v>1559</v>
      </c>
      <c r="E9327" s="2889" t="s">
        <v>217</v>
      </c>
      <c r="F9327" s="3039">
        <v>0.52874358683701306</v>
      </c>
      <c r="G9327" s="2890">
        <v>414.30732598064066</v>
      </c>
    </row>
    <row r="9328" spans="2:7" ht="15" hidden="1" outlineLevel="2">
      <c r="B9328" s="2889" t="s">
        <v>1640</v>
      </c>
      <c r="C9328" s="2889" t="s">
        <v>1589</v>
      </c>
      <c r="D9328" s="2889" t="s">
        <v>1559</v>
      </c>
      <c r="E9328" s="2889" t="s">
        <v>217</v>
      </c>
      <c r="F9328" s="3039">
        <v>0.11339734447697494</v>
      </c>
      <c r="G9328" s="2890">
        <v>88.466132832786045</v>
      </c>
    </row>
    <row r="9329" spans="2:7" ht="15" hidden="1" outlineLevel="2">
      <c r="B9329" s="2889" t="s">
        <v>1641</v>
      </c>
      <c r="C9329" s="2889" t="s">
        <v>1589</v>
      </c>
      <c r="D9329" s="2889" t="s">
        <v>1559</v>
      </c>
      <c r="E9329" s="2889" t="s">
        <v>217</v>
      </c>
      <c r="F9329" s="3039">
        <v>0.23282140248356795</v>
      </c>
      <c r="G9329" s="2890">
        <v>181.87756906277161</v>
      </c>
    </row>
    <row r="9330" spans="2:7" ht="15" hidden="1" outlineLevel="2">
      <c r="B9330" s="2889" t="s">
        <v>1642</v>
      </c>
      <c r="C9330" s="2889" t="s">
        <v>1589</v>
      </c>
      <c r="D9330" s="2889" t="s">
        <v>1559</v>
      </c>
      <c r="E9330" s="2889" t="s">
        <v>217</v>
      </c>
      <c r="F9330" s="3039">
        <v>0.68509993718676898</v>
      </c>
      <c r="G9330" s="2890">
        <v>535.19271554667137</v>
      </c>
    </row>
    <row r="9331" spans="2:7" ht="15" hidden="1" outlineLevel="2">
      <c r="B9331" s="2889" t="s">
        <v>1643</v>
      </c>
      <c r="C9331" s="2889" t="s">
        <v>1589</v>
      </c>
      <c r="D9331" s="2889" t="s">
        <v>1559</v>
      </c>
      <c r="E9331" s="2889" t="s">
        <v>217</v>
      </c>
      <c r="F9331" s="3039">
        <v>6.6791379319733876E-2</v>
      </c>
      <c r="G9331" s="2890">
        <v>52.094603800775246</v>
      </c>
    </row>
    <row r="9332" spans="2:7" ht="15" hidden="1" outlineLevel="2">
      <c r="B9332" s="2889" t="s">
        <v>1644</v>
      </c>
      <c r="C9332" s="2889" t="s">
        <v>1589</v>
      </c>
      <c r="D9332" s="2889" t="s">
        <v>1559</v>
      </c>
      <c r="E9332" s="2889" t="s">
        <v>217</v>
      </c>
      <c r="F9332" s="3039">
        <v>2.0883268067926104</v>
      </c>
      <c r="G9332" s="2890">
        <v>1636.3486047262375</v>
      </c>
    </row>
    <row r="9333" spans="2:7" ht="15" hidden="1" outlineLevel="2">
      <c r="B9333" s="2889" t="s">
        <v>1645</v>
      </c>
      <c r="C9333" s="2889" t="s">
        <v>1589</v>
      </c>
      <c r="D9333" s="2889" t="s">
        <v>1559</v>
      </c>
      <c r="E9333" s="2889" t="s">
        <v>217</v>
      </c>
      <c r="F9333" s="3039">
        <v>1.0203209726209621</v>
      </c>
      <c r="G9333" s="2890">
        <v>799.49231157691975</v>
      </c>
    </row>
    <row r="9334" spans="2:7" ht="15" hidden="1" outlineLevel="2">
      <c r="B9334" s="2889" t="s">
        <v>1646</v>
      </c>
      <c r="C9334" s="2889" t="s">
        <v>1589</v>
      </c>
      <c r="D9334" s="2889" t="s">
        <v>1559</v>
      </c>
      <c r="E9334" s="2889" t="s">
        <v>217</v>
      </c>
      <c r="F9334" s="3039">
        <v>6.6821869605947298E-2</v>
      </c>
      <c r="G9334" s="2890">
        <v>52.200511820278557</v>
      </c>
    </row>
    <row r="9335" spans="2:7" ht="15" hidden="1" outlineLevel="2">
      <c r="B9335" s="2889" t="s">
        <v>1647</v>
      </c>
      <c r="C9335" s="2889" t="s">
        <v>1589</v>
      </c>
      <c r="D9335" s="2889" t="s">
        <v>1559</v>
      </c>
      <c r="E9335" s="2889" t="s">
        <v>217</v>
      </c>
      <c r="F9335" s="3039">
        <v>5.1070636124202276E-2</v>
      </c>
      <c r="G9335" s="2890">
        <v>40.111993416865026</v>
      </c>
    </row>
    <row r="9336" spans="2:7" ht="15" hidden="1" outlineLevel="2">
      <c r="B9336" s="2889" t="s">
        <v>1648</v>
      </c>
      <c r="C9336" s="2889" t="s">
        <v>1589</v>
      </c>
      <c r="D9336" s="2889" t="s">
        <v>1559</v>
      </c>
      <c r="E9336" s="2889" t="s">
        <v>217</v>
      </c>
      <c r="F9336" s="2890">
        <v>0.11263522195926629</v>
      </c>
      <c r="G9336" s="2890">
        <v>88.466132832786045</v>
      </c>
    </row>
    <row r="9337" spans="2:7" ht="15" hidden="1" outlineLevel="2">
      <c r="B9337" s="2889" t="s">
        <v>1649</v>
      </c>
      <c r="C9337" s="2889" t="s">
        <v>1589</v>
      </c>
      <c r="D9337" s="2889" t="s">
        <v>1559</v>
      </c>
      <c r="E9337" s="2889" t="s">
        <v>217</v>
      </c>
      <c r="F9337" s="2890">
        <v>0.11053646429152569</v>
      </c>
      <c r="G9337" s="2890">
        <v>86.817712064334856</v>
      </c>
    </row>
    <row r="9338" spans="2:7" ht="15" hidden="1" outlineLevel="2">
      <c r="B9338" s="2889" t="s">
        <v>1650</v>
      </c>
      <c r="C9338" s="2889" t="s">
        <v>1589</v>
      </c>
      <c r="D9338" s="2889" t="s">
        <v>1559</v>
      </c>
      <c r="E9338" s="2889" t="s">
        <v>217</v>
      </c>
      <c r="F9338" s="3039">
        <v>0.15917885665927953</v>
      </c>
      <c r="G9338" s="2890">
        <v>124.1822842736166</v>
      </c>
    </row>
    <row r="9339" spans="2:7" ht="15" hidden="1" outlineLevel="2">
      <c r="B9339" s="2889" t="s">
        <v>1651</v>
      </c>
      <c r="C9339" s="2889" t="s">
        <v>1589</v>
      </c>
      <c r="D9339" s="2889" t="s">
        <v>1559</v>
      </c>
      <c r="E9339" s="2889" t="s">
        <v>217</v>
      </c>
      <c r="F9339" s="2890">
        <v>7.135896842742355E-2</v>
      </c>
      <c r="G9339" s="2890">
        <v>56.04687553950221</v>
      </c>
    </row>
    <row r="9340" spans="2:7" ht="15" hidden="1" outlineLevel="2">
      <c r="B9340" s="2889" t="s">
        <v>1652</v>
      </c>
      <c r="C9340" s="2889" t="s">
        <v>1589</v>
      </c>
      <c r="D9340" s="2889" t="s">
        <v>1559</v>
      </c>
      <c r="E9340" s="2889" t="s">
        <v>217</v>
      </c>
      <c r="F9340" s="2890">
        <v>0.11263522195858032</v>
      </c>
      <c r="G9340" s="2890">
        <v>88.466132829560266</v>
      </c>
    </row>
    <row r="9341" spans="2:7" ht="15" hidden="1" outlineLevel="2">
      <c r="B9341" s="2889" t="s">
        <v>1653</v>
      </c>
      <c r="C9341" s="2889" t="s">
        <v>1589</v>
      </c>
      <c r="D9341" s="2889" t="s">
        <v>1559</v>
      </c>
      <c r="E9341" s="2889" t="s">
        <v>217</v>
      </c>
      <c r="F9341" s="2890">
        <v>0.12731322867892916</v>
      </c>
      <c r="G9341" s="2890">
        <v>99.455725420276153</v>
      </c>
    </row>
    <row r="9342" spans="2:7" ht="15" hidden="1" outlineLevel="2">
      <c r="B9342" s="2889" t="s">
        <v>1407</v>
      </c>
      <c r="C9342" s="2889" t="s">
        <v>1590</v>
      </c>
      <c r="D9342" s="2889" t="s">
        <v>1559</v>
      </c>
      <c r="E9342" s="2889" t="s">
        <v>1420</v>
      </c>
      <c r="F9342" s="2890">
        <v>8.6526136381401774E-4</v>
      </c>
      <c r="G9342" s="2890">
        <v>7.7184874589368766</v>
      </c>
    </row>
    <row r="9343" spans="2:7" ht="15" hidden="1" outlineLevel="2">
      <c r="B9343" s="2889" t="s">
        <v>1631</v>
      </c>
      <c r="C9343" s="2889" t="s">
        <v>1590</v>
      </c>
      <c r="D9343" s="2889" t="s">
        <v>1559</v>
      </c>
      <c r="E9343" s="2889" t="s">
        <v>1420</v>
      </c>
      <c r="F9343" s="2890">
        <v>4.1463315534896593E-2</v>
      </c>
      <c r="G9343" s="2890">
        <v>369.87012422605295</v>
      </c>
    </row>
    <row r="9344" spans="2:7" ht="15" hidden="1" outlineLevel="2">
      <c r="B9344" s="2889" t="s">
        <v>1632</v>
      </c>
      <c r="C9344" s="2889" t="s">
        <v>1590</v>
      </c>
      <c r="D9344" s="2889" t="s">
        <v>1559</v>
      </c>
      <c r="E9344" s="2889" t="s">
        <v>1420</v>
      </c>
      <c r="F9344" s="2890">
        <v>4.9839041146873563E-2</v>
      </c>
      <c r="G9344" s="2890">
        <v>444.58523967530004</v>
      </c>
    </row>
    <row r="9345" spans="2:7" ht="15" hidden="1" outlineLevel="2">
      <c r="B9345" s="2889" t="s">
        <v>1633</v>
      </c>
      <c r="C9345" s="2889" t="s">
        <v>1590</v>
      </c>
      <c r="D9345" s="2889" t="s">
        <v>1559</v>
      </c>
      <c r="E9345" s="2889" t="s">
        <v>1420</v>
      </c>
      <c r="F9345" s="2890">
        <v>2.9764980927591265E-3</v>
      </c>
      <c r="G9345" s="2890">
        <v>26.551612620636263</v>
      </c>
    </row>
    <row r="9346" spans="2:7" ht="15" hidden="1" outlineLevel="2">
      <c r="B9346" s="2889" t="s">
        <v>1634</v>
      </c>
      <c r="C9346" s="2889" t="s">
        <v>1590</v>
      </c>
      <c r="D9346" s="2889" t="s">
        <v>1559</v>
      </c>
      <c r="E9346" s="2889" t="s">
        <v>1420</v>
      </c>
      <c r="F9346" s="2890">
        <v>9.3448200465380722E-4</v>
      </c>
      <c r="G9346" s="2890">
        <v>8.3359664074292024</v>
      </c>
    </row>
    <row r="9347" spans="2:7" ht="15" hidden="1" outlineLevel="2">
      <c r="B9347" s="2889" t="s">
        <v>1635</v>
      </c>
      <c r="C9347" s="2889" t="s">
        <v>1590</v>
      </c>
      <c r="D9347" s="2889" t="s">
        <v>1559</v>
      </c>
      <c r="E9347" s="2889" t="s">
        <v>1420</v>
      </c>
      <c r="F9347" s="2890">
        <v>1.5713145969454233E-2</v>
      </c>
      <c r="G9347" s="2890">
        <v>140.16785539119991</v>
      </c>
    </row>
    <row r="9348" spans="2:7" ht="15" hidden="1" outlineLevel="2">
      <c r="B9348" s="2889" t="s">
        <v>1636</v>
      </c>
      <c r="C9348" s="2889" t="s">
        <v>1590</v>
      </c>
      <c r="D9348" s="2889" t="s">
        <v>1559</v>
      </c>
      <c r="E9348" s="2889" t="s">
        <v>1420</v>
      </c>
      <c r="F9348" s="2890">
        <v>2.0420170342443163E-3</v>
      </c>
      <c r="G9348" s="2890">
        <v>18.215633151079398</v>
      </c>
    </row>
    <row r="9349" spans="2:7" ht="15" hidden="1" outlineLevel="2">
      <c r="B9349" s="2889" t="s">
        <v>1637</v>
      </c>
      <c r="C9349" s="2889" t="s">
        <v>1590</v>
      </c>
      <c r="D9349" s="2889" t="s">
        <v>1559</v>
      </c>
      <c r="E9349" s="2889" t="s">
        <v>1420</v>
      </c>
      <c r="F9349" s="2890">
        <v>4.2916945898793203E-3</v>
      </c>
      <c r="G9349" s="2890">
        <v>38.28371170919128</v>
      </c>
    </row>
    <row r="9350" spans="2:7" ht="15" hidden="1" outlineLevel="2">
      <c r="B9350" s="2889" t="s">
        <v>1638</v>
      </c>
      <c r="C9350" s="2889" t="s">
        <v>1590</v>
      </c>
      <c r="D9350" s="2889" t="s">
        <v>1559</v>
      </c>
      <c r="E9350" s="2889" t="s">
        <v>1420</v>
      </c>
      <c r="F9350" s="2890">
        <v>5.5376705961839787E-3</v>
      </c>
      <c r="G9350" s="2890">
        <v>49.398333068900506</v>
      </c>
    </row>
    <row r="9351" spans="2:7" ht="15" hidden="1" outlineLevel="2">
      <c r="B9351" s="2889" t="s">
        <v>1639</v>
      </c>
      <c r="C9351" s="2889" t="s">
        <v>1590</v>
      </c>
      <c r="D9351" s="2889" t="s">
        <v>1559</v>
      </c>
      <c r="E9351" s="2889" t="s">
        <v>1420</v>
      </c>
      <c r="F9351" s="2890">
        <v>2.6096272259928648E-2</v>
      </c>
      <c r="G9351" s="2890">
        <v>232.78971354233801</v>
      </c>
    </row>
    <row r="9352" spans="2:7" ht="15" hidden="1" outlineLevel="2">
      <c r="B9352" s="2889" t="s">
        <v>1640</v>
      </c>
      <c r="C9352" s="2889" t="s">
        <v>1590</v>
      </c>
      <c r="D9352" s="2889" t="s">
        <v>1559</v>
      </c>
      <c r="E9352" s="2889" t="s">
        <v>1420</v>
      </c>
      <c r="F9352" s="2890">
        <v>5.5722816769299107E-3</v>
      </c>
      <c r="G9352" s="2890">
        <v>49.707055612193848</v>
      </c>
    </row>
    <row r="9353" spans="2:7" ht="15" hidden="1" outlineLevel="2">
      <c r="B9353" s="2889" t="s">
        <v>1641</v>
      </c>
      <c r="C9353" s="2889" t="s">
        <v>1590</v>
      </c>
      <c r="D9353" s="2889" t="s">
        <v>1559</v>
      </c>
      <c r="E9353" s="2889" t="s">
        <v>1420</v>
      </c>
      <c r="F9353" s="2890">
        <v>1.1456055584795809E-2</v>
      </c>
      <c r="G9353" s="2890">
        <v>102.19286779150525</v>
      </c>
    </row>
    <row r="9354" spans="2:7" ht="15" hidden="1" outlineLevel="2">
      <c r="B9354" s="2889" t="s">
        <v>1642</v>
      </c>
      <c r="C9354" s="2889" t="s">
        <v>1590</v>
      </c>
      <c r="D9354" s="2889" t="s">
        <v>1559</v>
      </c>
      <c r="E9354" s="2889" t="s">
        <v>1420</v>
      </c>
      <c r="F9354" s="2890">
        <v>3.371058099467561E-2</v>
      </c>
      <c r="G9354" s="2890">
        <v>300.71238130741926</v>
      </c>
    </row>
    <row r="9355" spans="2:7" ht="15" hidden="1" outlineLevel="2">
      <c r="B9355" s="2889" t="s">
        <v>1643</v>
      </c>
      <c r="C9355" s="2889" t="s">
        <v>1590</v>
      </c>
      <c r="D9355" s="2889" t="s">
        <v>1559</v>
      </c>
      <c r="E9355" s="2889" t="s">
        <v>1420</v>
      </c>
      <c r="F9355" s="2890">
        <v>3.2813211253798135E-3</v>
      </c>
      <c r="G9355" s="2890">
        <v>29.270757806807662</v>
      </c>
    </row>
    <row r="9356" spans="2:7" ht="15" hidden="1" outlineLevel="2">
      <c r="B9356" s="2889" t="s">
        <v>1644</v>
      </c>
      <c r="C9356" s="2889" t="s">
        <v>1590</v>
      </c>
      <c r="D9356" s="2889" t="s">
        <v>1559</v>
      </c>
      <c r="E9356" s="2889" t="s">
        <v>1420</v>
      </c>
      <c r="F9356" s="2890">
        <v>0.1030699066162611</v>
      </c>
      <c r="G9356" s="2890">
        <v>919.42611444259853</v>
      </c>
    </row>
    <row r="9357" spans="2:7" ht="15" hidden="1" outlineLevel="2">
      <c r="B9357" s="2889" t="s">
        <v>1645</v>
      </c>
      <c r="C9357" s="2889" t="s">
        <v>1590</v>
      </c>
      <c r="D9357" s="2889" t="s">
        <v>1559</v>
      </c>
      <c r="E9357" s="2889" t="s">
        <v>1420</v>
      </c>
      <c r="F9357" s="2890">
        <v>5.0358208299942739E-2</v>
      </c>
      <c r="G9357" s="2890">
        <v>449.21642301512151</v>
      </c>
    </row>
    <row r="9358" spans="2:7" ht="15" hidden="1" outlineLevel="2">
      <c r="B9358" s="2889" t="s">
        <v>1646</v>
      </c>
      <c r="C9358" s="2889" t="s">
        <v>1590</v>
      </c>
      <c r="D9358" s="2889" t="s">
        <v>1559</v>
      </c>
      <c r="E9358" s="2889" t="s">
        <v>1420</v>
      </c>
      <c r="F9358" s="2890">
        <v>3.287993114765281E-3</v>
      </c>
      <c r="G9358" s="2890">
        <v>29.330259726344813</v>
      </c>
    </row>
    <row r="9359" spans="2:7" ht="15" hidden="1" outlineLevel="2">
      <c r="B9359" s="2889" t="s">
        <v>1647</v>
      </c>
      <c r="C9359" s="2889" t="s">
        <v>1590</v>
      </c>
      <c r="D9359" s="2889" t="s">
        <v>1559</v>
      </c>
      <c r="E9359" s="2889" t="s">
        <v>1420</v>
      </c>
      <c r="F9359" s="3039">
        <v>2.5265622469998025E-3</v>
      </c>
      <c r="G9359" s="2890">
        <v>22.537989176750798</v>
      </c>
    </row>
    <row r="9360" spans="2:7" ht="15" hidden="1" outlineLevel="2">
      <c r="B9360" s="2889" t="s">
        <v>1648</v>
      </c>
      <c r="C9360" s="2889" t="s">
        <v>1590</v>
      </c>
      <c r="D9360" s="2889" t="s">
        <v>1559</v>
      </c>
      <c r="E9360" s="2889" t="s">
        <v>1420</v>
      </c>
      <c r="F9360" s="3039">
        <v>5.5722816769299107E-3</v>
      </c>
      <c r="G9360" s="2890">
        <v>49.707055612193848</v>
      </c>
    </row>
    <row r="9361" spans="2:7" ht="15" hidden="1" outlineLevel="2">
      <c r="B9361" s="2889" t="s">
        <v>1649</v>
      </c>
      <c r="C9361" s="2889" t="s">
        <v>1590</v>
      </c>
      <c r="D9361" s="2889" t="s">
        <v>1559</v>
      </c>
      <c r="E9361" s="2889" t="s">
        <v>1420</v>
      </c>
      <c r="F9361" s="3039">
        <v>5.4684516624579748E-3</v>
      </c>
      <c r="G9361" s="2890">
        <v>48.780843279390872</v>
      </c>
    </row>
    <row r="9362" spans="2:7" ht="15" hidden="1" outlineLevel="2">
      <c r="B9362" s="2889" t="s">
        <v>1650</v>
      </c>
      <c r="C9362" s="2889" t="s">
        <v>1590</v>
      </c>
      <c r="D9362" s="2889" t="s">
        <v>1559</v>
      </c>
      <c r="E9362" s="2889" t="s">
        <v>1420</v>
      </c>
      <c r="F9362" s="3039">
        <v>7.8219610733166467E-3</v>
      </c>
      <c r="G9362" s="2890">
        <v>69.775162967066436</v>
      </c>
    </row>
    <row r="9363" spans="2:7" ht="15" hidden="1" outlineLevel="2">
      <c r="B9363" s="2889" t="s">
        <v>1651</v>
      </c>
      <c r="C9363" s="2889" t="s">
        <v>1590</v>
      </c>
      <c r="D9363" s="2889" t="s">
        <v>1559</v>
      </c>
      <c r="E9363" s="2889" t="s">
        <v>1420</v>
      </c>
      <c r="F9363" s="3039">
        <v>3.5302662366687829E-3</v>
      </c>
      <c r="G9363" s="2890">
        <v>31.491437030172097</v>
      </c>
    </row>
    <row r="9364" spans="2:7" ht="15" hidden="1" outlineLevel="2">
      <c r="B9364" s="2889" t="s">
        <v>1652</v>
      </c>
      <c r="C9364" s="2889" t="s">
        <v>1590</v>
      </c>
      <c r="D9364" s="2889" t="s">
        <v>1559</v>
      </c>
      <c r="E9364" s="2889" t="s">
        <v>1420</v>
      </c>
      <c r="F9364" s="3039">
        <v>5.5722816767997405E-3</v>
      </c>
      <c r="G9364" s="2890">
        <v>49.707055611986291</v>
      </c>
    </row>
    <row r="9365" spans="2:7" ht="15" hidden="1" outlineLevel="2">
      <c r="B9365" s="2889" t="s">
        <v>1653</v>
      </c>
      <c r="C9365" s="2889" t="s">
        <v>1590</v>
      </c>
      <c r="D9365" s="2889" t="s">
        <v>1559</v>
      </c>
      <c r="E9365" s="2889" t="s">
        <v>1420</v>
      </c>
      <c r="F9365" s="2890">
        <v>6.2644926523129814E-3</v>
      </c>
      <c r="G9365" s="2890">
        <v>55.881843944831445</v>
      </c>
    </row>
    <row r="9366" spans="2:7" ht="15" hidden="1" outlineLevel="2">
      <c r="B9366" s="2889" t="s">
        <v>1407</v>
      </c>
      <c r="C9366" s="2889" t="s">
        <v>1591</v>
      </c>
      <c r="D9366" s="2889" t="s">
        <v>1559</v>
      </c>
      <c r="E9366" s="2889" t="s">
        <v>1426</v>
      </c>
      <c r="F9366" s="3040"/>
      <c r="G9366" s="2890">
        <v>1.1998162028731316E-2</v>
      </c>
    </row>
    <row r="9367" spans="2:7" ht="15" hidden="1" outlineLevel="2">
      <c r="B9367" s="2889" t="s">
        <v>1631</v>
      </c>
      <c r="C9367" s="2889" t="s">
        <v>1591</v>
      </c>
      <c r="D9367" s="2889" t="s">
        <v>1559</v>
      </c>
      <c r="E9367" s="2889" t="s">
        <v>1426</v>
      </c>
      <c r="F9367" s="2890">
        <v>2.345460143416961E-5</v>
      </c>
      <c r="G9367" s="2890">
        <v>0.57495193200366446</v>
      </c>
    </row>
    <row r="9368" spans="2:7" ht="15" hidden="1" outlineLevel="2">
      <c r="B9368" s="2889" t="s">
        <v>1632</v>
      </c>
      <c r="C9368" s="2889" t="s">
        <v>1591</v>
      </c>
      <c r="D9368" s="2889" t="s">
        <v>1559</v>
      </c>
      <c r="E9368" s="2889" t="s">
        <v>1426</v>
      </c>
      <c r="F9368" s="3040"/>
      <c r="G9368" s="2890">
        <v>0.6910940108453576</v>
      </c>
    </row>
    <row r="9369" spans="2:7" ht="15" hidden="1" outlineLevel="2">
      <c r="B9369" s="2889" t="s">
        <v>1633</v>
      </c>
      <c r="C9369" s="2889" t="s">
        <v>1591</v>
      </c>
      <c r="D9369" s="2889" t="s">
        <v>1559</v>
      </c>
      <c r="E9369" s="2889" t="s">
        <v>1426</v>
      </c>
      <c r="F9369" s="3040"/>
      <c r="G9369" s="2890">
        <v>4.1273656989865237E-2</v>
      </c>
    </row>
    <row r="9370" spans="2:7" ht="15" hidden="1" outlineLevel="2">
      <c r="B9370" s="2889" t="s">
        <v>1634</v>
      </c>
      <c r="C9370" s="2889" t="s">
        <v>1591</v>
      </c>
      <c r="D9370" s="2889" t="s">
        <v>1559</v>
      </c>
      <c r="E9370" s="2889" t="s">
        <v>1426</v>
      </c>
      <c r="F9370" s="3040"/>
      <c r="G9370" s="2890">
        <v>1.2958012484047661E-2</v>
      </c>
    </row>
    <row r="9371" spans="2:7" ht="15" hidden="1" outlineLevel="2">
      <c r="B9371" s="2889" t="s">
        <v>1635</v>
      </c>
      <c r="C9371" s="2889" t="s">
        <v>1591</v>
      </c>
      <c r="D9371" s="2889" t="s">
        <v>1559</v>
      </c>
      <c r="E9371" s="2889" t="s">
        <v>1426</v>
      </c>
      <c r="F9371" s="3040"/>
      <c r="G9371" s="2890">
        <v>0.21788658108718578</v>
      </c>
    </row>
    <row r="9372" spans="2:7" ht="15" hidden="1" outlineLevel="2">
      <c r="B9372" s="2889" t="s">
        <v>1636</v>
      </c>
      <c r="C9372" s="2889" t="s">
        <v>1591</v>
      </c>
      <c r="D9372" s="2889" t="s">
        <v>1559</v>
      </c>
      <c r="E9372" s="2889" t="s">
        <v>1426</v>
      </c>
      <c r="F9372" s="3040"/>
      <c r="G9372" s="2890">
        <v>2.8315657555904029E-2</v>
      </c>
    </row>
    <row r="9373" spans="2:7" ht="15" hidden="1" outlineLevel="2">
      <c r="B9373" s="2889" t="s">
        <v>1637</v>
      </c>
      <c r="C9373" s="2889" t="s">
        <v>1591</v>
      </c>
      <c r="D9373" s="2889" t="s">
        <v>1559</v>
      </c>
      <c r="E9373" s="2889" t="s">
        <v>1426</v>
      </c>
      <c r="F9373" s="3040"/>
      <c r="G9373" s="2890">
        <v>5.951085950432513E-2</v>
      </c>
    </row>
    <row r="9374" spans="2:7" ht="15" hidden="1" outlineLevel="2">
      <c r="B9374" s="2889" t="s">
        <v>1638</v>
      </c>
      <c r="C9374" s="2889" t="s">
        <v>1591</v>
      </c>
      <c r="D9374" s="2889" t="s">
        <v>1559</v>
      </c>
      <c r="E9374" s="2889" t="s">
        <v>1426</v>
      </c>
      <c r="F9374" s="3040"/>
      <c r="G9374" s="2890">
        <v>7.6788212773714171E-2</v>
      </c>
    </row>
    <row r="9375" spans="2:7" ht="15" hidden="1" outlineLevel="2">
      <c r="B9375" s="2889" t="s">
        <v>1639</v>
      </c>
      <c r="C9375" s="2889" t="s">
        <v>1591</v>
      </c>
      <c r="D9375" s="2889" t="s">
        <v>1559</v>
      </c>
      <c r="E9375" s="2889" t="s">
        <v>1426</v>
      </c>
      <c r="F9375" s="3040"/>
      <c r="G9375" s="2890">
        <v>0.36186459385038555</v>
      </c>
    </row>
    <row r="9376" spans="2:7" ht="15" hidden="1" outlineLevel="2">
      <c r="B9376" s="2889" t="s">
        <v>1640</v>
      </c>
      <c r="C9376" s="2889" t="s">
        <v>1591</v>
      </c>
      <c r="D9376" s="2889" t="s">
        <v>1559</v>
      </c>
      <c r="E9376" s="2889" t="s">
        <v>1426</v>
      </c>
      <c r="F9376" s="3040"/>
      <c r="G9376" s="2890">
        <v>7.7268149244829012E-2</v>
      </c>
    </row>
    <row r="9377" spans="2:7" ht="15" hidden="1" outlineLevel="2">
      <c r="B9377" s="2889" t="s">
        <v>1641</v>
      </c>
      <c r="C9377" s="2889" t="s">
        <v>1591</v>
      </c>
      <c r="D9377" s="2889" t="s">
        <v>1559</v>
      </c>
      <c r="E9377" s="2889" t="s">
        <v>1426</v>
      </c>
      <c r="F9377" s="3040"/>
      <c r="G9377" s="2890">
        <v>0.15885563780174566</v>
      </c>
    </row>
    <row r="9378" spans="2:7" ht="15" hidden="1" outlineLevel="2">
      <c r="B9378" s="2889" t="s">
        <v>1642</v>
      </c>
      <c r="C9378" s="2889" t="s">
        <v>1591</v>
      </c>
      <c r="D9378" s="2889" t="s">
        <v>1559</v>
      </c>
      <c r="E9378" s="2889" t="s">
        <v>1426</v>
      </c>
      <c r="F9378" s="3040"/>
      <c r="G9378" s="2890">
        <v>0.46744820860197744</v>
      </c>
    </row>
    <row r="9379" spans="2:7" ht="15" hidden="1" outlineLevel="2">
      <c r="B9379" s="2889" t="s">
        <v>1643</v>
      </c>
      <c r="C9379" s="2889" t="s">
        <v>1591</v>
      </c>
      <c r="D9379" s="2889" t="s">
        <v>1559</v>
      </c>
      <c r="E9379" s="2889" t="s">
        <v>1426</v>
      </c>
      <c r="F9379" s="3040"/>
      <c r="G9379" s="2890">
        <v>4.5500497691978871E-2</v>
      </c>
    </row>
    <row r="9380" spans="2:7" ht="15" hidden="1" outlineLevel="2">
      <c r="B9380" s="2889" t="s">
        <v>1644</v>
      </c>
      <c r="C9380" s="2889" t="s">
        <v>1591</v>
      </c>
      <c r="D9380" s="2889" t="s">
        <v>1559</v>
      </c>
      <c r="E9380" s="2889" t="s">
        <v>1426</v>
      </c>
      <c r="F9380" s="3040"/>
      <c r="G9380" s="2890">
        <v>1.4292205341455246</v>
      </c>
    </row>
    <row r="9381" spans="2:7" ht="15" hidden="1" outlineLevel="2">
      <c r="B9381" s="2889" t="s">
        <v>1645</v>
      </c>
      <c r="C9381" s="2889" t="s">
        <v>1591</v>
      </c>
      <c r="D9381" s="2889" t="s">
        <v>1559</v>
      </c>
      <c r="E9381" s="2889" t="s">
        <v>1426</v>
      </c>
      <c r="F9381" s="3040"/>
      <c r="G9381" s="2890">
        <v>0.69829299392000821</v>
      </c>
    </row>
    <row r="9382" spans="2:7" ht="15" hidden="1" outlineLevel="2">
      <c r="B9382" s="2889" t="s">
        <v>1646</v>
      </c>
      <c r="C9382" s="2889" t="s">
        <v>1591</v>
      </c>
      <c r="D9382" s="2889" t="s">
        <v>1559</v>
      </c>
      <c r="E9382" s="2889" t="s">
        <v>1426</v>
      </c>
      <c r="F9382" s="3040"/>
      <c r="G9382" s="2890">
        <v>4.5593004670123588E-2</v>
      </c>
    </row>
    <row r="9383" spans="2:7" ht="15" hidden="1" outlineLevel="2">
      <c r="B9383" s="2889" t="s">
        <v>1647</v>
      </c>
      <c r="C9383" s="2889" t="s">
        <v>1591</v>
      </c>
      <c r="D9383" s="2889" t="s">
        <v>1559</v>
      </c>
      <c r="E9383" s="2889" t="s">
        <v>1426</v>
      </c>
      <c r="F9383" s="3040"/>
      <c r="G9383" s="2890">
        <v>3.5034629610201914E-2</v>
      </c>
    </row>
    <row r="9384" spans="2:7" ht="15" hidden="1" outlineLevel="2">
      <c r="B9384" s="2889" t="s">
        <v>1648</v>
      </c>
      <c r="C9384" s="2889" t="s">
        <v>1591</v>
      </c>
      <c r="D9384" s="2889" t="s">
        <v>1559</v>
      </c>
      <c r="E9384" s="2889" t="s">
        <v>1426</v>
      </c>
      <c r="F9384" s="3040"/>
      <c r="G9384" s="2890">
        <v>7.7268149244829012E-2</v>
      </c>
    </row>
    <row r="9385" spans="2:7" ht="15" hidden="1" outlineLevel="2">
      <c r="B9385" s="2889" t="s">
        <v>1649</v>
      </c>
      <c r="C9385" s="2889" t="s">
        <v>1591</v>
      </c>
      <c r="D9385" s="2889" t="s">
        <v>1559</v>
      </c>
      <c r="E9385" s="2889" t="s">
        <v>1426</v>
      </c>
      <c r="F9385" s="3040"/>
      <c r="G9385" s="2890">
        <v>7.5828384851565955E-2</v>
      </c>
    </row>
    <row r="9386" spans="2:7" ht="15" hidden="1" outlineLevel="2">
      <c r="B9386" s="2889" t="s">
        <v>1650</v>
      </c>
      <c r="C9386" s="2889" t="s">
        <v>1591</v>
      </c>
      <c r="D9386" s="2889" t="s">
        <v>1559</v>
      </c>
      <c r="E9386" s="2889" t="s">
        <v>1426</v>
      </c>
      <c r="F9386" s="3040"/>
      <c r="G9386" s="2890">
        <v>0.10846338127553809</v>
      </c>
    </row>
    <row r="9387" spans="2:7" ht="15" hidden="1" outlineLevel="2">
      <c r="B9387" s="2889" t="s">
        <v>1651</v>
      </c>
      <c r="C9387" s="2889" t="s">
        <v>1591</v>
      </c>
      <c r="D9387" s="2889" t="s">
        <v>1559</v>
      </c>
      <c r="E9387" s="2889" t="s">
        <v>1426</v>
      </c>
      <c r="F9387" s="3040"/>
      <c r="G9387" s="2890">
        <v>4.895248033170721E-2</v>
      </c>
    </row>
    <row r="9388" spans="2:7" ht="15" hidden="1" outlineLevel="2">
      <c r="B9388" s="2889" t="s">
        <v>1652</v>
      </c>
      <c r="C9388" s="2889" t="s">
        <v>1591</v>
      </c>
      <c r="D9388" s="2889" t="s">
        <v>1559</v>
      </c>
      <c r="E9388" s="2889" t="s">
        <v>1426</v>
      </c>
      <c r="F9388" s="3040"/>
      <c r="G9388" s="2890">
        <v>7.7268149243838666E-2</v>
      </c>
    </row>
    <row r="9389" spans="2:7" ht="15" hidden="1" outlineLevel="2">
      <c r="B9389" s="2889" t="s">
        <v>1653</v>
      </c>
      <c r="C9389" s="2889" t="s">
        <v>1591</v>
      </c>
      <c r="D9389" s="2889" t="s">
        <v>1559</v>
      </c>
      <c r="E9389" s="2889" t="s">
        <v>1426</v>
      </c>
      <c r="F9389" s="3040"/>
      <c r="G9389" s="2890">
        <v>8.6866669800039792E-2</v>
      </c>
    </row>
    <row r="9390" spans="2:7" ht="15" hidden="1" outlineLevel="2">
      <c r="B9390" s="2889" t="s">
        <v>1407</v>
      </c>
      <c r="C9390" s="2889" t="s">
        <v>1592</v>
      </c>
      <c r="D9390" s="2889" t="s">
        <v>1559</v>
      </c>
      <c r="E9390" s="2889" t="s">
        <v>1426</v>
      </c>
      <c r="F9390" s="3040"/>
      <c r="G9390" s="2890">
        <v>3.2064114795481493</v>
      </c>
    </row>
    <row r="9391" spans="2:7" ht="15" hidden="1" outlineLevel="2">
      <c r="B9391" s="2889" t="s">
        <v>1631</v>
      </c>
      <c r="C9391" s="2889" t="s">
        <v>1592</v>
      </c>
      <c r="D9391" s="2889" t="s">
        <v>1559</v>
      </c>
      <c r="E9391" s="2889" t="s">
        <v>1426</v>
      </c>
      <c r="F9391" s="2890">
        <v>3.4254043259993143E-3</v>
      </c>
      <c r="G9391" s="2890">
        <v>153.65123158384466</v>
      </c>
    </row>
    <row r="9392" spans="2:7" ht="15" hidden="1" outlineLevel="2">
      <c r="B9392" s="2889" t="s">
        <v>1632</v>
      </c>
      <c r="C9392" s="2889" t="s">
        <v>1592</v>
      </c>
      <c r="D9392" s="2889" t="s">
        <v>1559</v>
      </c>
      <c r="E9392" s="2889" t="s">
        <v>1426</v>
      </c>
      <c r="F9392" s="3040"/>
      <c r="G9392" s="2890">
        <v>184.68934547638278</v>
      </c>
    </row>
    <row r="9393" spans="2:7" ht="15" hidden="1" outlineLevel="2">
      <c r="B9393" s="2889" t="s">
        <v>1633</v>
      </c>
      <c r="C9393" s="2889" t="s">
        <v>1592</v>
      </c>
      <c r="D9393" s="2889" t="s">
        <v>1559</v>
      </c>
      <c r="E9393" s="2889" t="s">
        <v>1426</v>
      </c>
      <c r="F9393" s="3040"/>
      <c r="G9393" s="2890">
        <v>11.030056844473028</v>
      </c>
    </row>
    <row r="9394" spans="2:7" ht="15" hidden="1" outlineLevel="2">
      <c r="B9394" s="2889" t="s">
        <v>1634</v>
      </c>
      <c r="C9394" s="2889" t="s">
        <v>1592</v>
      </c>
      <c r="D9394" s="2889" t="s">
        <v>1559</v>
      </c>
      <c r="E9394" s="2889" t="s">
        <v>1426</v>
      </c>
      <c r="F9394" s="3040"/>
      <c r="G9394" s="2890">
        <v>2.6021645822646068E-29</v>
      </c>
    </row>
    <row r="9395" spans="2:7" ht="15" hidden="1" outlineLevel="2">
      <c r="B9395" s="2889" t="s">
        <v>1635</v>
      </c>
      <c r="C9395" s="2889" t="s">
        <v>1592</v>
      </c>
      <c r="D9395" s="2889" t="s">
        <v>1559</v>
      </c>
      <c r="E9395" s="2889" t="s">
        <v>1426</v>
      </c>
      <c r="F9395" s="3040"/>
      <c r="G9395" s="2890">
        <v>58.228450080055396</v>
      </c>
    </row>
    <row r="9396" spans="2:7" ht="15" hidden="1" outlineLevel="2">
      <c r="B9396" s="2889" t="s">
        <v>1636</v>
      </c>
      <c r="C9396" s="2889" t="s">
        <v>1592</v>
      </c>
      <c r="D9396" s="2889" t="s">
        <v>1559</v>
      </c>
      <c r="E9396" s="2889" t="s">
        <v>1426</v>
      </c>
      <c r="F9396" s="3040"/>
      <c r="G9396" s="2890">
        <v>7.5671357898725056</v>
      </c>
    </row>
    <row r="9397" spans="2:7" ht="15" hidden="1" outlineLevel="2">
      <c r="B9397" s="2889" t="s">
        <v>1637</v>
      </c>
      <c r="C9397" s="2889" t="s">
        <v>1592</v>
      </c>
      <c r="D9397" s="2889" t="s">
        <v>1559</v>
      </c>
      <c r="E9397" s="2889" t="s">
        <v>1426</v>
      </c>
      <c r="F9397" s="3040"/>
      <c r="G9397" s="2890">
        <v>15.903800947910694</v>
      </c>
    </row>
    <row r="9398" spans="2:7" ht="15" hidden="1" outlineLevel="2">
      <c r="B9398" s="2889" t="s">
        <v>1638</v>
      </c>
      <c r="C9398" s="2889" t="s">
        <v>1592</v>
      </c>
      <c r="D9398" s="2889" t="s">
        <v>1559</v>
      </c>
      <c r="E9398" s="2889" t="s">
        <v>1426</v>
      </c>
      <c r="F9398" s="3040"/>
      <c r="G9398" s="2890">
        <v>2.6021645822646068E-29</v>
      </c>
    </row>
    <row r="9399" spans="2:7" ht="15" hidden="1" outlineLevel="2">
      <c r="B9399" s="2889" t="s">
        <v>1639</v>
      </c>
      <c r="C9399" s="2889" t="s">
        <v>1592</v>
      </c>
      <c r="D9399" s="2889" t="s">
        <v>1559</v>
      </c>
      <c r="E9399" s="2889" t="s">
        <v>1426</v>
      </c>
      <c r="F9399" s="3040"/>
      <c r="G9399" s="2890">
        <v>96.705362551070351</v>
      </c>
    </row>
    <row r="9400" spans="2:7" ht="15" hidden="1" outlineLevel="2">
      <c r="B9400" s="2889" t="s">
        <v>1640</v>
      </c>
      <c r="C9400" s="2889" t="s">
        <v>1592</v>
      </c>
      <c r="D9400" s="2889" t="s">
        <v>1559</v>
      </c>
      <c r="E9400" s="2889" t="s">
        <v>1426</v>
      </c>
      <c r="F9400" s="3040"/>
      <c r="G9400" s="2890">
        <v>15.647293957154277</v>
      </c>
    </row>
    <row r="9401" spans="2:7" ht="15" hidden="1" outlineLevel="2">
      <c r="B9401" s="2889" t="s">
        <v>1641</v>
      </c>
      <c r="C9401" s="2889" t="s">
        <v>1592</v>
      </c>
      <c r="D9401" s="2889" t="s">
        <v>1559</v>
      </c>
      <c r="E9401" s="2889" t="s">
        <v>1426</v>
      </c>
      <c r="F9401" s="3040"/>
      <c r="G9401" s="2890">
        <v>42.452909528431597</v>
      </c>
    </row>
    <row r="9402" spans="2:7" ht="15" hidden="1" outlineLevel="2">
      <c r="B9402" s="2889" t="s">
        <v>1642</v>
      </c>
      <c r="C9402" s="2889" t="s">
        <v>1592</v>
      </c>
      <c r="D9402" s="2889" t="s">
        <v>1559</v>
      </c>
      <c r="E9402" s="2889" t="s">
        <v>1426</v>
      </c>
      <c r="F9402" s="3040"/>
      <c r="G9402" s="2890">
        <v>124.92191856571966</v>
      </c>
    </row>
    <row r="9403" spans="2:7" ht="15" hidden="1" outlineLevel="2">
      <c r="B9403" s="2889" t="s">
        <v>1643</v>
      </c>
      <c r="C9403" s="2889" t="s">
        <v>1592</v>
      </c>
      <c r="D9403" s="2889" t="s">
        <v>1559</v>
      </c>
      <c r="E9403" s="2889" t="s">
        <v>1426</v>
      </c>
      <c r="F9403" s="3040"/>
      <c r="G9403" s="2890">
        <v>13.408056245664625</v>
      </c>
    </row>
    <row r="9404" spans="2:7" ht="15" hidden="1" outlineLevel="2">
      <c r="B9404" s="2889" t="s">
        <v>1644</v>
      </c>
      <c r="C9404" s="2889" t="s">
        <v>1592</v>
      </c>
      <c r="D9404" s="2889" t="s">
        <v>1559</v>
      </c>
      <c r="E9404" s="2889" t="s">
        <v>1426</v>
      </c>
      <c r="F9404" s="3040"/>
      <c r="G9404" s="2890">
        <v>381.94785105815777</v>
      </c>
    </row>
    <row r="9405" spans="2:7" ht="15" hidden="1" outlineLevel="2">
      <c r="B9405" s="2889" t="s">
        <v>1645</v>
      </c>
      <c r="C9405" s="2889" t="s">
        <v>1592</v>
      </c>
      <c r="D9405" s="2889" t="s">
        <v>1559</v>
      </c>
      <c r="E9405" s="2889" t="s">
        <v>1426</v>
      </c>
      <c r="F9405" s="2891"/>
      <c r="G9405" s="2890">
        <v>186.61316161515191</v>
      </c>
    </row>
    <row r="9406" spans="2:7" ht="15" hidden="1" outlineLevel="2">
      <c r="B9406" s="2889" t="s">
        <v>1646</v>
      </c>
      <c r="C9406" s="2889" t="s">
        <v>1592</v>
      </c>
      <c r="D9406" s="2889" t="s">
        <v>1559</v>
      </c>
      <c r="E9406" s="2889" t="s">
        <v>1426</v>
      </c>
      <c r="F9406" s="2891"/>
      <c r="G9406" s="2890">
        <v>2.6021645822646023E-29</v>
      </c>
    </row>
    <row r="9407" spans="2:7" ht="15" hidden="1" outlineLevel="2">
      <c r="B9407" s="2889" t="s">
        <v>1647</v>
      </c>
      <c r="C9407" s="2889" t="s">
        <v>1592</v>
      </c>
      <c r="D9407" s="2889" t="s">
        <v>1559</v>
      </c>
      <c r="E9407" s="2889" t="s">
        <v>1426</v>
      </c>
      <c r="F9407" s="2891"/>
      <c r="G9407" s="2890">
        <v>9.3627251683353077</v>
      </c>
    </row>
    <row r="9408" spans="2:7" ht="15" hidden="1" outlineLevel="2">
      <c r="B9408" s="2889" t="s">
        <v>1648</v>
      </c>
      <c r="C9408" s="2889" t="s">
        <v>1592</v>
      </c>
      <c r="D9408" s="2889" t="s">
        <v>1559</v>
      </c>
      <c r="E9408" s="2889" t="s">
        <v>1426</v>
      </c>
      <c r="F9408" s="2891"/>
      <c r="G9408" s="2890">
        <v>2.6021645822646068E-29</v>
      </c>
    </row>
    <row r="9409" spans="2:7" ht="15" hidden="1" outlineLevel="2">
      <c r="B9409" s="2889" t="s">
        <v>1649</v>
      </c>
      <c r="C9409" s="2889" t="s">
        <v>1592</v>
      </c>
      <c r="D9409" s="2889" t="s">
        <v>1559</v>
      </c>
      <c r="E9409" s="2889" t="s">
        <v>1426</v>
      </c>
      <c r="F9409" s="2891"/>
      <c r="G9409" s="2890">
        <v>2.6021645822646068E-29</v>
      </c>
    </row>
    <row r="9410" spans="2:7" ht="15" hidden="1" outlineLevel="2">
      <c r="B9410" s="2889" t="s">
        <v>1650</v>
      </c>
      <c r="C9410" s="2889" t="s">
        <v>1592</v>
      </c>
      <c r="D9410" s="2889" t="s">
        <v>1559</v>
      </c>
      <c r="E9410" s="2889" t="s">
        <v>1426</v>
      </c>
      <c r="F9410" s="2891"/>
      <c r="G9410" s="2890">
        <v>28.985977098955715</v>
      </c>
    </row>
    <row r="9411" spans="2:7" ht="15" hidden="1" outlineLevel="2">
      <c r="B9411" s="2889" t="s">
        <v>1651</v>
      </c>
      <c r="C9411" s="2889" t="s">
        <v>1592</v>
      </c>
      <c r="D9411" s="2889" t="s">
        <v>1559</v>
      </c>
      <c r="E9411" s="2889" t="s">
        <v>1426</v>
      </c>
      <c r="F9411" s="2891"/>
      <c r="G9411" s="2890">
        <v>2.6001288280000003E-29</v>
      </c>
    </row>
    <row r="9412" spans="2:7" ht="15" hidden="1" outlineLevel="2">
      <c r="B9412" s="2889" t="s">
        <v>1652</v>
      </c>
      <c r="C9412" s="2889" t="s">
        <v>1592</v>
      </c>
      <c r="D9412" s="2889" t="s">
        <v>1559</v>
      </c>
      <c r="E9412" s="2889" t="s">
        <v>1426</v>
      </c>
      <c r="F9412" s="2891"/>
      <c r="G9412" s="2890">
        <v>2.6001288280000003E-29</v>
      </c>
    </row>
    <row r="9413" spans="2:7" ht="15" hidden="1" outlineLevel="2">
      <c r="B9413" s="2889" t="s">
        <v>1653</v>
      </c>
      <c r="C9413" s="2889" t="s">
        <v>1592</v>
      </c>
      <c r="D9413" s="2889" t="s">
        <v>1559</v>
      </c>
      <c r="E9413" s="2889" t="s">
        <v>1426</v>
      </c>
      <c r="F9413" s="2891"/>
      <c r="G9413" s="2890">
        <v>23.214422429791544</v>
      </c>
    </row>
    <row r="9414" spans="2:7" ht="15" hidden="1" outlineLevel="2">
      <c r="B9414" s="2889" t="s">
        <v>1407</v>
      </c>
      <c r="C9414" s="2889" t="s">
        <v>1593</v>
      </c>
      <c r="D9414" s="2889" t="s">
        <v>1559</v>
      </c>
      <c r="E9414" s="2889" t="s">
        <v>1426</v>
      </c>
      <c r="F9414" s="2891"/>
      <c r="G9414" s="2890">
        <v>83.900870991751745</v>
      </c>
    </row>
    <row r="9415" spans="2:7" ht="15" hidden="1" outlineLevel="2">
      <c r="B9415" s="2889" t="s">
        <v>1631</v>
      </c>
      <c r="C9415" s="2889" t="s">
        <v>1593</v>
      </c>
      <c r="D9415" s="2889" t="s">
        <v>1559</v>
      </c>
      <c r="E9415" s="2889" t="s">
        <v>1426</v>
      </c>
      <c r="F9415" s="3039">
        <v>0.1783965451353498</v>
      </c>
      <c r="G9415" s="2890">
        <v>4020.5302942067983</v>
      </c>
    </row>
    <row r="9416" spans="2:7" ht="15" hidden="1" outlineLevel="2">
      <c r="B9416" s="2889" t="s">
        <v>1632</v>
      </c>
      <c r="C9416" s="2889" t="s">
        <v>1593</v>
      </c>
      <c r="D9416" s="2889" t="s">
        <v>1559</v>
      </c>
      <c r="E9416" s="2889" t="s">
        <v>1426</v>
      </c>
      <c r="F9416" s="2891"/>
      <c r="G9416" s="2890">
        <v>4832.6898281569183</v>
      </c>
    </row>
    <row r="9417" spans="2:7" ht="15" hidden="1" outlineLevel="2">
      <c r="B9417" s="2889" t="s">
        <v>1633</v>
      </c>
      <c r="C9417" s="2889" t="s">
        <v>1593</v>
      </c>
      <c r="D9417" s="2889" t="s">
        <v>1559</v>
      </c>
      <c r="E9417" s="2889" t="s">
        <v>1426</v>
      </c>
      <c r="F9417" s="2891"/>
      <c r="G9417" s="2890">
        <v>288.61897974000595</v>
      </c>
    </row>
    <row r="9418" spans="2:7" ht="15" hidden="1" outlineLevel="2">
      <c r="B9418" s="2889" t="s">
        <v>1634</v>
      </c>
      <c r="C9418" s="2889" t="s">
        <v>1593</v>
      </c>
      <c r="D9418" s="2889" t="s">
        <v>1559</v>
      </c>
      <c r="E9418" s="2889" t="s">
        <v>1426</v>
      </c>
      <c r="F9418" s="2891"/>
      <c r="G9418" s="2890">
        <v>90.612929842838838</v>
      </c>
    </row>
    <row r="9419" spans="2:7" ht="15" hidden="1" outlineLevel="2">
      <c r="B9419" s="2889" t="s">
        <v>1635</v>
      </c>
      <c r="C9419" s="2889" t="s">
        <v>1593</v>
      </c>
      <c r="D9419" s="2889" t="s">
        <v>1559</v>
      </c>
      <c r="E9419" s="2889" t="s">
        <v>1426</v>
      </c>
      <c r="F9419" s="2891"/>
      <c r="G9419" s="2890">
        <v>1523.6395843298974</v>
      </c>
    </row>
    <row r="9420" spans="2:7" ht="15" hidden="1" outlineLevel="2">
      <c r="B9420" s="2889" t="s">
        <v>1636</v>
      </c>
      <c r="C9420" s="2889" t="s">
        <v>1593</v>
      </c>
      <c r="D9420" s="2889" t="s">
        <v>1559</v>
      </c>
      <c r="E9420" s="2889" t="s">
        <v>1426</v>
      </c>
      <c r="F9420" s="2891"/>
      <c r="G9420" s="2890">
        <v>198.00599656117365</v>
      </c>
    </row>
    <row r="9421" spans="2:7" ht="15" hidden="1" outlineLevel="2">
      <c r="B9421" s="2889" t="s">
        <v>1637</v>
      </c>
      <c r="C9421" s="2889" t="s">
        <v>1593</v>
      </c>
      <c r="D9421" s="2889" t="s">
        <v>1559</v>
      </c>
      <c r="E9421" s="2889" t="s">
        <v>1426</v>
      </c>
      <c r="F9421" s="2891"/>
      <c r="G9421" s="2890">
        <v>416.14820896023201</v>
      </c>
    </row>
    <row r="9422" spans="2:7" ht="15" hidden="1" outlineLevel="2">
      <c r="B9422" s="2889" t="s">
        <v>1638</v>
      </c>
      <c r="C9422" s="2889" t="s">
        <v>1593</v>
      </c>
      <c r="D9422" s="2889" t="s">
        <v>1559</v>
      </c>
      <c r="E9422" s="2889" t="s">
        <v>1426</v>
      </c>
      <c r="F9422" s="2891"/>
      <c r="G9422" s="2890">
        <v>536.96546391625645</v>
      </c>
    </row>
    <row r="9423" spans="2:7" ht="15" hidden="1" outlineLevel="2">
      <c r="B9423" s="2889" t="s">
        <v>1639</v>
      </c>
      <c r="C9423" s="2889" t="s">
        <v>1593</v>
      </c>
      <c r="D9423" s="2889" t="s">
        <v>1559</v>
      </c>
      <c r="E9423" s="2889" t="s">
        <v>1426</v>
      </c>
      <c r="F9423" s="2891"/>
      <c r="G9423" s="2890">
        <v>2530.4496440769017</v>
      </c>
    </row>
    <row r="9424" spans="2:7" ht="15" hidden="1" outlineLevel="2">
      <c r="B9424" s="2889" t="s">
        <v>1640</v>
      </c>
      <c r="C9424" s="2889" t="s">
        <v>1593</v>
      </c>
      <c r="D9424" s="2889" t="s">
        <v>1559</v>
      </c>
      <c r="E9424" s="2889" t="s">
        <v>1426</v>
      </c>
      <c r="F9424" s="2891"/>
      <c r="G9424" s="2890">
        <v>540.32149599598881</v>
      </c>
    </row>
    <row r="9425" spans="2:7" ht="15" hidden="1" outlineLevel="2">
      <c r="B9425" s="2889" t="s">
        <v>1641</v>
      </c>
      <c r="C9425" s="2889" t="s">
        <v>1593</v>
      </c>
      <c r="D9425" s="2889" t="s">
        <v>1559</v>
      </c>
      <c r="E9425" s="2889" t="s">
        <v>1426</v>
      </c>
      <c r="F9425" s="2891"/>
      <c r="G9425" s="2890">
        <v>1110.8472381772367</v>
      </c>
    </row>
    <row r="9426" spans="2:7" ht="15" hidden="1" outlineLevel="2">
      <c r="B9426" s="2889" t="s">
        <v>1642</v>
      </c>
      <c r="C9426" s="2889" t="s">
        <v>1593</v>
      </c>
      <c r="D9426" s="2889" t="s">
        <v>1559</v>
      </c>
      <c r="E9426" s="2889" t="s">
        <v>1426</v>
      </c>
      <c r="F9426" s="2891"/>
      <c r="G9426" s="2890">
        <v>3268.777193384949</v>
      </c>
    </row>
    <row r="9427" spans="2:7" ht="15" hidden="1" outlineLevel="2">
      <c r="B9427" s="2889" t="s">
        <v>1643</v>
      </c>
      <c r="C9427" s="2889" t="s">
        <v>1593</v>
      </c>
      <c r="D9427" s="2889" t="s">
        <v>1559</v>
      </c>
      <c r="E9427" s="2889" t="s">
        <v>1426</v>
      </c>
      <c r="F9427" s="2891"/>
      <c r="G9427" s="2890">
        <v>318.17627797599408</v>
      </c>
    </row>
    <row r="9428" spans="2:7" ht="15" hidden="1" outlineLevel="2">
      <c r="B9428" s="2889" t="s">
        <v>1644</v>
      </c>
      <c r="C9428" s="2889" t="s">
        <v>1593</v>
      </c>
      <c r="D9428" s="2889" t="s">
        <v>1559</v>
      </c>
      <c r="E9428" s="2889" t="s">
        <v>1426</v>
      </c>
      <c r="F9428" s="2891"/>
      <c r="G9428" s="2890">
        <v>9994.2693129035761</v>
      </c>
    </row>
    <row r="9429" spans="2:7" ht="15" hidden="1" outlineLevel="2">
      <c r="B9429" s="2889" t="s">
        <v>1645</v>
      </c>
      <c r="C9429" s="2889" t="s">
        <v>1593</v>
      </c>
      <c r="D9429" s="2889" t="s">
        <v>1559</v>
      </c>
      <c r="E9429" s="2889" t="s">
        <v>1426</v>
      </c>
      <c r="F9429" s="2891"/>
      <c r="G9429" s="2890">
        <v>4883.0292888303475</v>
      </c>
    </row>
    <row r="9430" spans="2:7" ht="15" hidden="1" outlineLevel="2">
      <c r="B9430" s="2889" t="s">
        <v>1646</v>
      </c>
      <c r="C9430" s="2889" t="s">
        <v>1593</v>
      </c>
      <c r="D9430" s="2889" t="s">
        <v>1559</v>
      </c>
      <c r="E9430" s="2889" t="s">
        <v>1426</v>
      </c>
      <c r="F9430" s="3040"/>
      <c r="G9430" s="2890">
        <v>318.82329993485723</v>
      </c>
    </row>
    <row r="9431" spans="2:7" ht="15" hidden="1" outlineLevel="2">
      <c r="B9431" s="2889" t="s">
        <v>1647</v>
      </c>
      <c r="C9431" s="2889" t="s">
        <v>1593</v>
      </c>
      <c r="D9431" s="2889" t="s">
        <v>1559</v>
      </c>
      <c r="E9431" s="2889" t="s">
        <v>1426</v>
      </c>
      <c r="F9431" s="3040"/>
      <c r="G9431" s="2890">
        <v>244.99043918104124</v>
      </c>
    </row>
    <row r="9432" spans="2:7" ht="15" hidden="1" outlineLevel="2">
      <c r="B9432" s="2889" t="s">
        <v>1648</v>
      </c>
      <c r="C9432" s="2889" t="s">
        <v>1593</v>
      </c>
      <c r="D9432" s="2889" t="s">
        <v>1559</v>
      </c>
      <c r="E9432" s="2889" t="s">
        <v>1426</v>
      </c>
      <c r="F9432" s="3040"/>
      <c r="G9432" s="2890">
        <v>540.32149599598881</v>
      </c>
    </row>
    <row r="9433" spans="2:7" ht="15" hidden="1" outlineLevel="2">
      <c r="B9433" s="2889" t="s">
        <v>1649</v>
      </c>
      <c r="C9433" s="2889" t="s">
        <v>1593</v>
      </c>
      <c r="D9433" s="2889" t="s">
        <v>1559</v>
      </c>
      <c r="E9433" s="2889" t="s">
        <v>1426</v>
      </c>
      <c r="F9433" s="3040"/>
      <c r="G9433" s="2890">
        <v>530.25332747577033</v>
      </c>
    </row>
    <row r="9434" spans="2:7" ht="15" hidden="1" outlineLevel="2">
      <c r="B9434" s="2889" t="s">
        <v>1650</v>
      </c>
      <c r="C9434" s="2889" t="s">
        <v>1593</v>
      </c>
      <c r="D9434" s="2889" t="s">
        <v>1559</v>
      </c>
      <c r="E9434" s="2889" t="s">
        <v>1426</v>
      </c>
      <c r="F9434" s="3040"/>
      <c r="G9434" s="2890">
        <v>758.46383147360336</v>
      </c>
    </row>
    <row r="9435" spans="2:7" ht="15" hidden="1" outlineLevel="2">
      <c r="B9435" s="2889" t="s">
        <v>1651</v>
      </c>
      <c r="C9435" s="2889" t="s">
        <v>1593</v>
      </c>
      <c r="D9435" s="2889" t="s">
        <v>1559</v>
      </c>
      <c r="E9435" s="2889" t="s">
        <v>1426</v>
      </c>
      <c r="F9435" s="3040"/>
      <c r="G9435" s="2890">
        <v>342.31549447706152</v>
      </c>
    </row>
    <row r="9436" spans="2:7" ht="15" hidden="1" outlineLevel="2">
      <c r="B9436" s="2889" t="s">
        <v>1652</v>
      </c>
      <c r="C9436" s="2889" t="s">
        <v>1593</v>
      </c>
      <c r="D9436" s="2889" t="s">
        <v>1559</v>
      </c>
      <c r="E9436" s="2889" t="s">
        <v>1426</v>
      </c>
      <c r="F9436" s="3040"/>
      <c r="G9436" s="2890">
        <v>540.3214960693191</v>
      </c>
    </row>
    <row r="9437" spans="2:7" ht="15" hidden="1" outlineLevel="2">
      <c r="B9437" s="2889" t="s">
        <v>1653</v>
      </c>
      <c r="C9437" s="2889" t="s">
        <v>1593</v>
      </c>
      <c r="D9437" s="2889" t="s">
        <v>1559</v>
      </c>
      <c r="E9437" s="2889" t="s">
        <v>1426</v>
      </c>
      <c r="F9437" s="3040"/>
      <c r="G9437" s="2890">
        <v>607.44220954041339</v>
      </c>
    </row>
    <row r="9438" spans="2:7" ht="15" hidden="1" outlineLevel="2">
      <c r="B9438" s="2889" t="s">
        <v>1407</v>
      </c>
      <c r="C9438" s="2889" t="s">
        <v>1594</v>
      </c>
      <c r="D9438" s="2889" t="s">
        <v>1559</v>
      </c>
      <c r="E9438" s="2889" t="s">
        <v>1426</v>
      </c>
      <c r="F9438" s="3040"/>
      <c r="G9438" s="2890">
        <v>17.314300642795118</v>
      </c>
    </row>
    <row r="9439" spans="2:7" ht="15" hidden="1" outlineLevel="2">
      <c r="B9439" s="2889" t="s">
        <v>1631</v>
      </c>
      <c r="C9439" s="2889" t="s">
        <v>1594</v>
      </c>
      <c r="D9439" s="2889" t="s">
        <v>1559</v>
      </c>
      <c r="E9439" s="2889" t="s">
        <v>1426</v>
      </c>
      <c r="F9439" s="2890">
        <v>5.1808914362204771E-2</v>
      </c>
      <c r="G9439" s="2890">
        <v>829.7012505210962</v>
      </c>
    </row>
    <row r="9440" spans="2:7" ht="15" hidden="1" outlineLevel="2">
      <c r="B9440" s="2889" t="s">
        <v>1632</v>
      </c>
      <c r="C9440" s="2889" t="s">
        <v>1594</v>
      </c>
      <c r="D9440" s="2889" t="s">
        <v>1559</v>
      </c>
      <c r="E9440" s="2889" t="s">
        <v>1426</v>
      </c>
      <c r="F9440" s="3040"/>
      <c r="G9440" s="2890">
        <v>997.30405529258462</v>
      </c>
    </row>
    <row r="9441" spans="2:7" ht="15" hidden="1" outlineLevel="2">
      <c r="B9441" s="2889" t="s">
        <v>1633</v>
      </c>
      <c r="C9441" s="2889" t="s">
        <v>1594</v>
      </c>
      <c r="D9441" s="2889" t="s">
        <v>1559</v>
      </c>
      <c r="E9441" s="2889" t="s">
        <v>1426</v>
      </c>
      <c r="F9441" s="3040"/>
      <c r="G9441" s="2890">
        <v>59.561188151646171</v>
      </c>
    </row>
    <row r="9442" spans="2:7" ht="15" hidden="1" outlineLevel="2">
      <c r="B9442" s="2889" t="s">
        <v>1634</v>
      </c>
      <c r="C9442" s="2889" t="s">
        <v>1594</v>
      </c>
      <c r="D9442" s="2889" t="s">
        <v>1559</v>
      </c>
      <c r="E9442" s="2889" t="s">
        <v>1426</v>
      </c>
      <c r="F9442" s="3040"/>
      <c r="G9442" s="2890">
        <v>18.699446512503656</v>
      </c>
    </row>
    <row r="9443" spans="2:7" ht="15" hidden="1" outlineLevel="2">
      <c r="B9443" s="2889" t="s">
        <v>1635</v>
      </c>
      <c r="C9443" s="2889" t="s">
        <v>1594</v>
      </c>
      <c r="D9443" s="2889" t="s">
        <v>1559</v>
      </c>
      <c r="E9443" s="2889" t="s">
        <v>1426</v>
      </c>
      <c r="F9443" s="3040"/>
      <c r="G9443" s="2890">
        <v>314.42756326910262</v>
      </c>
    </row>
    <row r="9444" spans="2:7" ht="15" hidden="1" outlineLevel="2">
      <c r="B9444" s="2889" t="s">
        <v>1636</v>
      </c>
      <c r="C9444" s="2889" t="s">
        <v>1594</v>
      </c>
      <c r="D9444" s="2889" t="s">
        <v>1559</v>
      </c>
      <c r="E9444" s="2889" t="s">
        <v>1426</v>
      </c>
      <c r="F9444" s="3040"/>
      <c r="G9444" s="2890">
        <v>40.861745300020679</v>
      </c>
    </row>
    <row r="9445" spans="2:7" ht="15" hidden="1" outlineLevel="2">
      <c r="B9445" s="2889" t="s">
        <v>1637</v>
      </c>
      <c r="C9445" s="2889" t="s">
        <v>1594</v>
      </c>
      <c r="D9445" s="2889" t="s">
        <v>1559</v>
      </c>
      <c r="E9445" s="2889" t="s">
        <v>1426</v>
      </c>
      <c r="F9445" s="3040"/>
      <c r="G9445" s="2890">
        <v>85.878869282056371</v>
      </c>
    </row>
    <row r="9446" spans="2:7" ht="15" hidden="1" outlineLevel="2">
      <c r="B9446" s="2889" t="s">
        <v>1638</v>
      </c>
      <c r="C9446" s="2889" t="s">
        <v>1594</v>
      </c>
      <c r="D9446" s="2889" t="s">
        <v>1559</v>
      </c>
      <c r="E9446" s="2889" t="s">
        <v>1426</v>
      </c>
      <c r="F9446" s="3040"/>
      <c r="G9446" s="2890">
        <v>110.8115112461734</v>
      </c>
    </row>
    <row r="9447" spans="2:7" ht="15" hidden="1" outlineLevel="2">
      <c r="B9447" s="2889" t="s">
        <v>1639</v>
      </c>
      <c r="C9447" s="2889" t="s">
        <v>1594</v>
      </c>
      <c r="D9447" s="2889" t="s">
        <v>1559</v>
      </c>
      <c r="E9447" s="2889" t="s">
        <v>1426</v>
      </c>
      <c r="F9447" s="3040"/>
      <c r="G9447" s="2890">
        <v>522.19909663467911</v>
      </c>
    </row>
    <row r="9448" spans="2:7" ht="15" hidden="1" outlineLevel="2">
      <c r="B9448" s="2889" t="s">
        <v>1640</v>
      </c>
      <c r="C9448" s="2889" t="s">
        <v>1594</v>
      </c>
      <c r="D9448" s="2889" t="s">
        <v>1559</v>
      </c>
      <c r="E9448" s="2889" t="s">
        <v>1426</v>
      </c>
      <c r="F9448" s="3040"/>
      <c r="G9448" s="2890">
        <v>111.50406737889084</v>
      </c>
    </row>
    <row r="9449" spans="2:7" ht="15" hidden="1" outlineLevel="2">
      <c r="B9449" s="2889" t="s">
        <v>1641</v>
      </c>
      <c r="C9449" s="2889" t="s">
        <v>1594</v>
      </c>
      <c r="D9449" s="2889" t="s">
        <v>1559</v>
      </c>
      <c r="E9449" s="2889" t="s">
        <v>1426</v>
      </c>
      <c r="F9449" s="3040"/>
      <c r="G9449" s="2890">
        <v>229.24122842607429</v>
      </c>
    </row>
    <row r="9450" spans="2:7" ht="15" hidden="1" outlineLevel="2">
      <c r="B9450" s="2889" t="s">
        <v>1642</v>
      </c>
      <c r="C9450" s="2889" t="s">
        <v>1594</v>
      </c>
      <c r="D9450" s="2889" t="s">
        <v>1559</v>
      </c>
      <c r="E9450" s="2889" t="s">
        <v>1426</v>
      </c>
      <c r="F9450" s="2891"/>
      <c r="G9450" s="2890">
        <v>674.5651197116722</v>
      </c>
    </row>
    <row r="9451" spans="2:7" ht="15" hidden="1" outlineLevel="2">
      <c r="B9451" s="2889" t="s">
        <v>1643</v>
      </c>
      <c r="C9451" s="2889" t="s">
        <v>1594</v>
      </c>
      <c r="D9451" s="2889" t="s">
        <v>1559</v>
      </c>
      <c r="E9451" s="2889" t="s">
        <v>1426</v>
      </c>
      <c r="F9451" s="2891"/>
      <c r="G9451" s="2890">
        <v>65.660823548959257</v>
      </c>
    </row>
    <row r="9452" spans="2:7" ht="15" hidden="1" outlineLevel="2">
      <c r="B9452" s="2889" t="s">
        <v>1644</v>
      </c>
      <c r="C9452" s="2889" t="s">
        <v>1594</v>
      </c>
      <c r="D9452" s="2889" t="s">
        <v>1559</v>
      </c>
      <c r="E9452" s="2889" t="s">
        <v>1426</v>
      </c>
      <c r="F9452" s="2891"/>
      <c r="G9452" s="2890">
        <v>2062.4786077436861</v>
      </c>
    </row>
    <row r="9453" spans="2:7" ht="15" hidden="1" outlineLevel="2">
      <c r="B9453" s="2889" t="s">
        <v>1645</v>
      </c>
      <c r="C9453" s="2889" t="s">
        <v>1594</v>
      </c>
      <c r="D9453" s="2889" t="s">
        <v>1559</v>
      </c>
      <c r="E9453" s="2889" t="s">
        <v>1426</v>
      </c>
      <c r="F9453" s="2891"/>
      <c r="G9453" s="2890">
        <v>1007.6922529913478</v>
      </c>
    </row>
    <row r="9454" spans="2:7" ht="15" hidden="1" outlineLevel="2">
      <c r="B9454" s="2889" t="s">
        <v>1646</v>
      </c>
      <c r="C9454" s="2889" t="s">
        <v>1594</v>
      </c>
      <c r="D9454" s="2889" t="s">
        <v>1559</v>
      </c>
      <c r="E9454" s="2889" t="s">
        <v>1426</v>
      </c>
      <c r="F9454" s="2891"/>
      <c r="G9454" s="2890">
        <v>65.79431006561272</v>
      </c>
    </row>
    <row r="9455" spans="2:7" ht="15" hidden="1" outlineLevel="2">
      <c r="B9455" s="2889" t="s">
        <v>1647</v>
      </c>
      <c r="C9455" s="2889" t="s">
        <v>1594</v>
      </c>
      <c r="D9455" s="2889" t="s">
        <v>1559</v>
      </c>
      <c r="E9455" s="2889" t="s">
        <v>1426</v>
      </c>
      <c r="F9455" s="2891"/>
      <c r="G9455" s="2890">
        <v>50.55776296018324</v>
      </c>
    </row>
    <row r="9456" spans="2:7" ht="15" hidden="1" outlineLevel="2">
      <c r="B9456" s="2889" t="s">
        <v>1648</v>
      </c>
      <c r="C9456" s="2889" t="s">
        <v>1594</v>
      </c>
      <c r="D9456" s="2889" t="s">
        <v>1559</v>
      </c>
      <c r="E9456" s="2889" t="s">
        <v>1426</v>
      </c>
      <c r="F9456" s="2891"/>
      <c r="G9456" s="2890">
        <v>111.50406737889084</v>
      </c>
    </row>
    <row r="9457" spans="2:7" ht="15" hidden="1" outlineLevel="2">
      <c r="B9457" s="2889" t="s">
        <v>1649</v>
      </c>
      <c r="C9457" s="2889" t="s">
        <v>1594</v>
      </c>
      <c r="D9457" s="2889" t="s">
        <v>1559</v>
      </c>
      <c r="E9457" s="2889" t="s">
        <v>1426</v>
      </c>
      <c r="F9457" s="3040"/>
      <c r="G9457" s="2890">
        <v>109.42632205002275</v>
      </c>
    </row>
    <row r="9458" spans="2:7" ht="15" hidden="1" outlineLevel="2">
      <c r="B9458" s="2889" t="s">
        <v>1650</v>
      </c>
      <c r="C9458" s="2889" t="s">
        <v>1594</v>
      </c>
      <c r="D9458" s="2889" t="s">
        <v>1559</v>
      </c>
      <c r="E9458" s="2889" t="s">
        <v>1426</v>
      </c>
      <c r="F9458" s="3040"/>
      <c r="G9458" s="2890">
        <v>156.52129293443102</v>
      </c>
    </row>
    <row r="9459" spans="2:7" ht="15" hidden="1" outlineLevel="2">
      <c r="B9459" s="2889" t="s">
        <v>1651</v>
      </c>
      <c r="C9459" s="2889" t="s">
        <v>1594</v>
      </c>
      <c r="D9459" s="2889" t="s">
        <v>1559</v>
      </c>
      <c r="E9459" s="2889" t="s">
        <v>1426</v>
      </c>
      <c r="F9459" s="3040"/>
      <c r="G9459" s="2890">
        <v>70.642363894968597</v>
      </c>
    </row>
    <row r="9460" spans="2:7" ht="15" hidden="1" outlineLevel="2">
      <c r="B9460" s="2889" t="s">
        <v>1652</v>
      </c>
      <c r="C9460" s="2889" t="s">
        <v>1594</v>
      </c>
      <c r="D9460" s="2889" t="s">
        <v>1559</v>
      </c>
      <c r="E9460" s="2889" t="s">
        <v>1426</v>
      </c>
      <c r="F9460" s="3040"/>
      <c r="G9460" s="2890">
        <v>111.50406738292817</v>
      </c>
    </row>
    <row r="9461" spans="2:7" ht="15" hidden="1" outlineLevel="2">
      <c r="B9461" s="2889" t="s">
        <v>1653</v>
      </c>
      <c r="C9461" s="2889" t="s">
        <v>1594</v>
      </c>
      <c r="D9461" s="2889" t="s">
        <v>1559</v>
      </c>
      <c r="E9461" s="2889" t="s">
        <v>1426</v>
      </c>
      <c r="F9461" s="3040"/>
      <c r="G9461" s="2890">
        <v>125.35549931894866</v>
      </c>
    </row>
    <row r="9462" spans="2:7" ht="15" hidden="1" outlineLevel="2">
      <c r="B9462" s="2889" t="s">
        <v>1407</v>
      </c>
      <c r="C9462" s="2889" t="s">
        <v>1595</v>
      </c>
      <c r="D9462" s="2889" t="s">
        <v>1559</v>
      </c>
      <c r="E9462" s="2889" t="s">
        <v>1426</v>
      </c>
      <c r="F9462" s="3040"/>
      <c r="G9462" s="2890">
        <v>114.22880460026066</v>
      </c>
    </row>
    <row r="9463" spans="2:7" ht="15" hidden="1" outlineLevel="2">
      <c r="B9463" s="2889" t="s">
        <v>1631</v>
      </c>
      <c r="C9463" s="2889" t="s">
        <v>1595</v>
      </c>
      <c r="D9463" s="2889" t="s">
        <v>1559</v>
      </c>
      <c r="E9463" s="2889" t="s">
        <v>1426</v>
      </c>
      <c r="F9463" s="2890">
        <v>0.13483777688399134</v>
      </c>
      <c r="G9463" s="2890">
        <v>5473.8443261483071</v>
      </c>
    </row>
    <row r="9464" spans="2:7" ht="15" hidden="1" outlineLevel="2">
      <c r="B9464" s="2889" t="s">
        <v>1632</v>
      </c>
      <c r="C9464" s="2889" t="s">
        <v>1595</v>
      </c>
      <c r="D9464" s="2889" t="s">
        <v>1559</v>
      </c>
      <c r="E9464" s="2889" t="s">
        <v>1426</v>
      </c>
      <c r="F9464" s="3040"/>
      <c r="G9464" s="2890">
        <v>6579.5789531181044</v>
      </c>
    </row>
    <row r="9465" spans="2:7" ht="15" hidden="1" outlineLevel="2">
      <c r="B9465" s="2889" t="s">
        <v>1633</v>
      </c>
      <c r="C9465" s="2889" t="s">
        <v>1595</v>
      </c>
      <c r="D9465" s="2889" t="s">
        <v>1559</v>
      </c>
      <c r="E9465" s="2889" t="s">
        <v>1426</v>
      </c>
      <c r="F9465" s="3040"/>
      <c r="G9465" s="2890">
        <v>392.94709168039361</v>
      </c>
    </row>
    <row r="9466" spans="2:7" ht="15" hidden="1" outlineLevel="2">
      <c r="B9466" s="2889" t="s">
        <v>1634</v>
      </c>
      <c r="C9466" s="2889" t="s">
        <v>1595</v>
      </c>
      <c r="D9466" s="2889" t="s">
        <v>1559</v>
      </c>
      <c r="E9466" s="2889" t="s">
        <v>1426</v>
      </c>
      <c r="F9466" s="3040"/>
      <c r="G9466" s="2890">
        <v>123.36713488400383</v>
      </c>
    </row>
    <row r="9467" spans="2:7" ht="15" hidden="1" outlineLevel="2">
      <c r="B9467" s="2889" t="s">
        <v>1635</v>
      </c>
      <c r="C9467" s="2889" t="s">
        <v>1595</v>
      </c>
      <c r="D9467" s="2889" t="s">
        <v>1559</v>
      </c>
      <c r="E9467" s="2889" t="s">
        <v>1426</v>
      </c>
      <c r="F9467" s="3040"/>
      <c r="G9467" s="2890">
        <v>2074.3947911072255</v>
      </c>
    </row>
    <row r="9468" spans="2:7" ht="15" hidden="1" outlineLevel="2">
      <c r="B9468" s="2889" t="s">
        <v>1636</v>
      </c>
      <c r="C9468" s="2889" t="s">
        <v>1595</v>
      </c>
      <c r="D9468" s="2889" t="s">
        <v>1559</v>
      </c>
      <c r="E9468" s="2889" t="s">
        <v>1426</v>
      </c>
      <c r="F9468" s="3040"/>
      <c r="G9468" s="2890">
        <v>269.57999294508249</v>
      </c>
    </row>
    <row r="9469" spans="2:7" ht="15" hidden="1" outlineLevel="2">
      <c r="B9469" s="2889" t="s">
        <v>1637</v>
      </c>
      <c r="C9469" s="2889" t="s">
        <v>1595</v>
      </c>
      <c r="D9469" s="2889" t="s">
        <v>1559</v>
      </c>
      <c r="E9469" s="2889" t="s">
        <v>1426</v>
      </c>
      <c r="F9469" s="3040"/>
      <c r="G9469" s="2890">
        <v>566.5747892983818</v>
      </c>
    </row>
    <row r="9470" spans="2:7" ht="15" hidden="1" outlineLevel="2">
      <c r="B9470" s="2889" t="s">
        <v>1638</v>
      </c>
      <c r="C9470" s="2889" t="s">
        <v>1595</v>
      </c>
      <c r="D9470" s="2889" t="s">
        <v>1559</v>
      </c>
      <c r="E9470" s="2889" t="s">
        <v>1426</v>
      </c>
      <c r="F9470" s="3040"/>
      <c r="G9470" s="2890">
        <v>731.06431952941193</v>
      </c>
    </row>
    <row r="9471" spans="2:7" ht="15" hidden="1" outlineLevel="2">
      <c r="B9471" s="2889" t="s">
        <v>1639</v>
      </c>
      <c r="C9471" s="2889" t="s">
        <v>1595</v>
      </c>
      <c r="D9471" s="2889" t="s">
        <v>1559</v>
      </c>
      <c r="E9471" s="2889" t="s">
        <v>1426</v>
      </c>
      <c r="F9471" s="3040"/>
      <c r="G9471" s="2890">
        <v>3445.1403425478238</v>
      </c>
    </row>
    <row r="9472" spans="2:7" ht="15" hidden="1" outlineLevel="2">
      <c r="B9472" s="2889" t="s">
        <v>1640</v>
      </c>
      <c r="C9472" s="2889" t="s">
        <v>1595</v>
      </c>
      <c r="D9472" s="2889" t="s">
        <v>1559</v>
      </c>
      <c r="E9472" s="2889" t="s">
        <v>1426</v>
      </c>
      <c r="F9472" s="3040"/>
      <c r="G9472" s="2890">
        <v>735.63337552939686</v>
      </c>
    </row>
    <row r="9473" spans="2:7" ht="15" hidden="1" outlineLevel="2">
      <c r="B9473" s="2889" t="s">
        <v>1641</v>
      </c>
      <c r="C9473" s="2889" t="s">
        <v>1595</v>
      </c>
      <c r="D9473" s="2889" t="s">
        <v>1559</v>
      </c>
      <c r="E9473" s="2889" t="s">
        <v>1426</v>
      </c>
      <c r="F9473" s="3040"/>
      <c r="G9473" s="2890">
        <v>1512.3893477226566</v>
      </c>
    </row>
    <row r="9474" spans="2:7" ht="15" hidden="1" outlineLevel="2">
      <c r="B9474" s="2889" t="s">
        <v>1642</v>
      </c>
      <c r="C9474" s="2889" t="s">
        <v>1595</v>
      </c>
      <c r="D9474" s="2889" t="s">
        <v>1559</v>
      </c>
      <c r="E9474" s="2889" t="s">
        <v>1426</v>
      </c>
      <c r="F9474" s="3040"/>
      <c r="G9474" s="2890">
        <v>4450.3529954877522</v>
      </c>
    </row>
    <row r="9475" spans="2:7" ht="15" hidden="1" outlineLevel="2">
      <c r="B9475" s="2889" t="s">
        <v>1643</v>
      </c>
      <c r="C9475" s="2889" t="s">
        <v>1595</v>
      </c>
      <c r="D9475" s="2889" t="s">
        <v>1559</v>
      </c>
      <c r="E9475" s="2889" t="s">
        <v>1426</v>
      </c>
      <c r="F9475" s="3040"/>
      <c r="G9475" s="2890">
        <v>433.18870314840188</v>
      </c>
    </row>
    <row r="9476" spans="2:7" ht="15" hidden="1" outlineLevel="2">
      <c r="B9476" s="2889" t="s">
        <v>1644</v>
      </c>
      <c r="C9476" s="2889" t="s">
        <v>1595</v>
      </c>
      <c r="D9476" s="2889" t="s">
        <v>1559</v>
      </c>
      <c r="E9476" s="2889" t="s">
        <v>1426</v>
      </c>
      <c r="F9476" s="3040"/>
      <c r="G9476" s="2890">
        <v>13606.934012804872</v>
      </c>
    </row>
    <row r="9477" spans="2:7" ht="15" hidden="1" outlineLevel="2">
      <c r="B9477" s="2889" t="s">
        <v>1645</v>
      </c>
      <c r="C9477" s="2889" t="s">
        <v>1595</v>
      </c>
      <c r="D9477" s="2889" t="s">
        <v>1559</v>
      </c>
      <c r="E9477" s="2889" t="s">
        <v>1426</v>
      </c>
      <c r="F9477" s="3040"/>
      <c r="G9477" s="2890">
        <v>6648.1161081175915</v>
      </c>
    </row>
    <row r="9478" spans="2:7" ht="15" hidden="1" outlineLevel="2">
      <c r="B9478" s="2889" t="s">
        <v>1646</v>
      </c>
      <c r="C9478" s="2889" t="s">
        <v>1595</v>
      </c>
      <c r="D9478" s="2889" t="s">
        <v>1559</v>
      </c>
      <c r="E9478" s="2889" t="s">
        <v>1426</v>
      </c>
      <c r="F9478" s="3040"/>
      <c r="G9478" s="2890">
        <v>434.06943155049373</v>
      </c>
    </row>
    <row r="9479" spans="2:7" ht="15" hidden="1" outlineLevel="2">
      <c r="B9479" s="2889" t="s">
        <v>1647</v>
      </c>
      <c r="C9479" s="2889" t="s">
        <v>1595</v>
      </c>
      <c r="D9479" s="2889" t="s">
        <v>1559</v>
      </c>
      <c r="E9479" s="2889" t="s">
        <v>1426</v>
      </c>
      <c r="F9479" s="3040"/>
      <c r="G9479" s="2890">
        <v>333.54806928777475</v>
      </c>
    </row>
    <row r="9480" spans="2:7" ht="15" hidden="1" outlineLevel="2">
      <c r="B9480" s="2889" t="s">
        <v>1648</v>
      </c>
      <c r="C9480" s="2889" t="s">
        <v>1595</v>
      </c>
      <c r="D9480" s="2889" t="s">
        <v>1559</v>
      </c>
      <c r="E9480" s="2889" t="s">
        <v>1426</v>
      </c>
      <c r="F9480" s="3040"/>
      <c r="G9480" s="2890">
        <v>735.63337552939686</v>
      </c>
    </row>
    <row r="9481" spans="2:7" ht="15" hidden="1" outlineLevel="2">
      <c r="B9481" s="2889" t="s">
        <v>1649</v>
      </c>
      <c r="C9481" s="2889" t="s">
        <v>1595</v>
      </c>
      <c r="D9481" s="2889" t="s">
        <v>1559</v>
      </c>
      <c r="E9481" s="2889" t="s">
        <v>1426</v>
      </c>
      <c r="F9481" s="3040"/>
      <c r="G9481" s="2890">
        <v>721.92610783959299</v>
      </c>
    </row>
    <row r="9482" spans="2:7" ht="15" hidden="1" outlineLevel="2">
      <c r="B9482" s="2889" t="s">
        <v>1650</v>
      </c>
      <c r="C9482" s="2889" t="s">
        <v>1595</v>
      </c>
      <c r="D9482" s="2889" t="s">
        <v>1559</v>
      </c>
      <c r="E9482" s="2889" t="s">
        <v>1426</v>
      </c>
      <c r="F9482" s="3040"/>
      <c r="G9482" s="2890">
        <v>1032.6284039372747</v>
      </c>
    </row>
    <row r="9483" spans="2:7" ht="15" hidden="1" outlineLevel="2">
      <c r="B9483" s="2889" t="s">
        <v>1651</v>
      </c>
      <c r="C9483" s="2889" t="s">
        <v>1595</v>
      </c>
      <c r="D9483" s="2889" t="s">
        <v>1559</v>
      </c>
      <c r="E9483" s="2889" t="s">
        <v>1426</v>
      </c>
      <c r="F9483" s="3040"/>
      <c r="G9483" s="2890">
        <v>466.05351416785169</v>
      </c>
    </row>
    <row r="9484" spans="2:7" ht="15" hidden="1" outlineLevel="2">
      <c r="B9484" s="2889" t="s">
        <v>1652</v>
      </c>
      <c r="C9484" s="2889" t="s">
        <v>1595</v>
      </c>
      <c r="D9484" s="2889" t="s">
        <v>1559</v>
      </c>
      <c r="E9484" s="2889" t="s">
        <v>1426</v>
      </c>
      <c r="F9484" s="3040"/>
      <c r="G9484" s="2890">
        <v>735.63337552004998</v>
      </c>
    </row>
    <row r="9485" spans="2:7" ht="15" hidden="1" outlineLevel="2">
      <c r="B9485" s="2889" t="s">
        <v>1653</v>
      </c>
      <c r="C9485" s="2889" t="s">
        <v>1595</v>
      </c>
      <c r="D9485" s="2889" t="s">
        <v>1559</v>
      </c>
      <c r="E9485" s="2889" t="s">
        <v>1426</v>
      </c>
      <c r="F9485" s="3040"/>
      <c r="G9485" s="2890">
        <v>827.01638951450514</v>
      </c>
    </row>
    <row r="9486" spans="2:7" ht="15" hidden="1" outlineLevel="2">
      <c r="B9486" s="2889" t="s">
        <v>1407</v>
      </c>
      <c r="C9486" s="2889" t="s">
        <v>1596</v>
      </c>
      <c r="D9486" s="2889" t="s">
        <v>1559</v>
      </c>
      <c r="E9486" s="2889" t="s">
        <v>1426</v>
      </c>
      <c r="F9486" s="3040"/>
      <c r="G9486" s="2890">
        <v>13.468560388639375</v>
      </c>
    </row>
    <row r="9487" spans="2:7" ht="15" hidden="1" outlineLevel="2">
      <c r="B9487" s="2889" t="s">
        <v>1631</v>
      </c>
      <c r="C9487" s="2889" t="s">
        <v>1596</v>
      </c>
      <c r="D9487" s="2889" t="s">
        <v>1559</v>
      </c>
      <c r="E9487" s="2889" t="s">
        <v>1426</v>
      </c>
      <c r="F9487" s="2890">
        <v>2.5860788763594836E-2</v>
      </c>
      <c r="G9487" s="2890">
        <v>645.41337422681465</v>
      </c>
    </row>
    <row r="9488" spans="2:7" ht="15" hidden="1" outlineLevel="2">
      <c r="B9488" s="2889" t="s">
        <v>1632</v>
      </c>
      <c r="C9488" s="2889" t="s">
        <v>1596</v>
      </c>
      <c r="D9488" s="2889" t="s">
        <v>1559</v>
      </c>
      <c r="E9488" s="2889" t="s">
        <v>1426</v>
      </c>
      <c r="F9488" s="3040"/>
      <c r="G9488" s="2890">
        <v>775.78913900107375</v>
      </c>
    </row>
    <row r="9489" spans="2:7" ht="15" hidden="1" outlineLevel="2">
      <c r="B9489" s="2889" t="s">
        <v>1633</v>
      </c>
      <c r="C9489" s="2889" t="s">
        <v>1596</v>
      </c>
      <c r="D9489" s="2889" t="s">
        <v>1559</v>
      </c>
      <c r="E9489" s="2889" t="s">
        <v>1426</v>
      </c>
      <c r="F9489" s="2891"/>
      <c r="G9489" s="2890">
        <v>46.331843866946443</v>
      </c>
    </row>
    <row r="9490" spans="2:7" ht="15" hidden="1" outlineLevel="2">
      <c r="B9490" s="2889" t="s">
        <v>1634</v>
      </c>
      <c r="C9490" s="2889" t="s">
        <v>1596</v>
      </c>
      <c r="D9490" s="2889" t="s">
        <v>1559</v>
      </c>
      <c r="E9490" s="2889" t="s">
        <v>1426</v>
      </c>
      <c r="F9490" s="2891"/>
      <c r="G9490" s="2890">
        <v>14.546045469014084</v>
      </c>
    </row>
    <row r="9491" spans="2:7" ht="15" hidden="1" outlineLevel="2">
      <c r="B9491" s="2889" t="s">
        <v>1635</v>
      </c>
      <c r="C9491" s="2889" t="s">
        <v>1596</v>
      </c>
      <c r="D9491" s="2889" t="s">
        <v>1559</v>
      </c>
      <c r="E9491" s="2889" t="s">
        <v>1426</v>
      </c>
      <c r="F9491" s="2891"/>
      <c r="G9491" s="2890">
        <v>244.58907132588095</v>
      </c>
    </row>
    <row r="9492" spans="2:7" ht="15" hidden="1" outlineLevel="2">
      <c r="B9492" s="2889" t="s">
        <v>1636</v>
      </c>
      <c r="C9492" s="2889" t="s">
        <v>1596</v>
      </c>
      <c r="D9492" s="2889" t="s">
        <v>1559</v>
      </c>
      <c r="E9492" s="2889" t="s">
        <v>1426</v>
      </c>
      <c r="F9492" s="2891"/>
      <c r="G9492" s="2890">
        <v>31.785793891183808</v>
      </c>
    </row>
    <row r="9493" spans="2:7" ht="15" hidden="1" outlineLevel="2">
      <c r="B9493" s="2889" t="s">
        <v>1637</v>
      </c>
      <c r="C9493" s="2889" t="s">
        <v>1596</v>
      </c>
      <c r="D9493" s="2889" t="s">
        <v>1559</v>
      </c>
      <c r="E9493" s="2889" t="s">
        <v>1426</v>
      </c>
      <c r="F9493" s="2891"/>
      <c r="G9493" s="2890">
        <v>66.804051326556987</v>
      </c>
    </row>
    <row r="9494" spans="2:7" ht="15" hidden="1" outlineLevel="2">
      <c r="B9494" s="2889" t="s">
        <v>1638</v>
      </c>
      <c r="C9494" s="2889" t="s">
        <v>1596</v>
      </c>
      <c r="D9494" s="2889" t="s">
        <v>1559</v>
      </c>
      <c r="E9494" s="2889" t="s">
        <v>1426</v>
      </c>
      <c r="F9494" s="2891"/>
      <c r="G9494" s="2890">
        <v>86.198779994437501</v>
      </c>
    </row>
    <row r="9495" spans="2:7" ht="15" hidden="1" outlineLevel="2">
      <c r="B9495" s="2889" t="s">
        <v>1639</v>
      </c>
      <c r="C9495" s="2889" t="s">
        <v>1596</v>
      </c>
      <c r="D9495" s="2889" t="s">
        <v>1559</v>
      </c>
      <c r="E9495" s="2889" t="s">
        <v>1426</v>
      </c>
      <c r="F9495" s="2891"/>
      <c r="G9495" s="2890">
        <v>406.2117401866999</v>
      </c>
    </row>
    <row r="9496" spans="2:7" ht="15" hidden="1" outlineLevel="2">
      <c r="B9496" s="2889" t="s">
        <v>1640</v>
      </c>
      <c r="C9496" s="2889" t="s">
        <v>1596</v>
      </c>
      <c r="D9496" s="2889" t="s">
        <v>1559</v>
      </c>
      <c r="E9496" s="2889" t="s">
        <v>1426</v>
      </c>
      <c r="F9496" s="3040"/>
      <c r="G9496" s="2890">
        <v>86.737528034707111</v>
      </c>
    </row>
    <row r="9497" spans="2:7" ht="15" hidden="1" outlineLevel="2">
      <c r="B9497" s="2889" t="s">
        <v>1641</v>
      </c>
      <c r="C9497" s="2889" t="s">
        <v>1596</v>
      </c>
      <c r="D9497" s="2889" t="s">
        <v>1559</v>
      </c>
      <c r="E9497" s="2889" t="s">
        <v>1426</v>
      </c>
      <c r="F9497" s="3040"/>
      <c r="G9497" s="2890">
        <v>178.32370929753625</v>
      </c>
    </row>
    <row r="9498" spans="2:7" ht="15" hidden="1" outlineLevel="2">
      <c r="B9498" s="2889" t="s">
        <v>1642</v>
      </c>
      <c r="C9498" s="2889" t="s">
        <v>1596</v>
      </c>
      <c r="D9498" s="2889" t="s">
        <v>1559</v>
      </c>
      <c r="E9498" s="2889" t="s">
        <v>1426</v>
      </c>
      <c r="F9498" s="3040"/>
      <c r="G9498" s="2890">
        <v>524.73516862056374</v>
      </c>
    </row>
    <row r="9499" spans="2:7" ht="15" hidden="1" outlineLevel="2">
      <c r="B9499" s="2889" t="s">
        <v>1643</v>
      </c>
      <c r="C9499" s="2889" t="s">
        <v>1596</v>
      </c>
      <c r="D9499" s="2889" t="s">
        <v>1559</v>
      </c>
      <c r="E9499" s="2889" t="s">
        <v>1426</v>
      </c>
      <c r="F9499" s="2891"/>
      <c r="G9499" s="2890">
        <v>51.076684723236369</v>
      </c>
    </row>
    <row r="9500" spans="2:7" ht="15" hidden="1" outlineLevel="2">
      <c r="B9500" s="2889" t="s">
        <v>1644</v>
      </c>
      <c r="C9500" s="2889" t="s">
        <v>1596</v>
      </c>
      <c r="D9500" s="2889" t="s">
        <v>1559</v>
      </c>
      <c r="E9500" s="2889" t="s">
        <v>1426</v>
      </c>
      <c r="F9500" s="3040"/>
      <c r="G9500" s="2890">
        <v>1604.3747800744782</v>
      </c>
    </row>
    <row r="9501" spans="2:7" ht="15" hidden="1" outlineLevel="2">
      <c r="B9501" s="2889" t="s">
        <v>1645</v>
      </c>
      <c r="C9501" s="2889" t="s">
        <v>1596</v>
      </c>
      <c r="D9501" s="2889" t="s">
        <v>1559</v>
      </c>
      <c r="E9501" s="2889" t="s">
        <v>1426</v>
      </c>
      <c r="F9501" s="3040"/>
      <c r="G9501" s="2890">
        <v>783.87033198002428</v>
      </c>
    </row>
    <row r="9502" spans="2:7" ht="15" hidden="1" outlineLevel="2">
      <c r="B9502" s="2889" t="s">
        <v>1646</v>
      </c>
      <c r="C9502" s="2889" t="s">
        <v>1596</v>
      </c>
      <c r="D9502" s="2889" t="s">
        <v>1559</v>
      </c>
      <c r="E9502" s="2889" t="s">
        <v>1426</v>
      </c>
      <c r="F9502" s="2891"/>
      <c r="G9502" s="2890">
        <v>51.180529217185828</v>
      </c>
    </row>
    <row r="9503" spans="2:7" ht="15" hidden="1" outlineLevel="2">
      <c r="B9503" s="2889" t="s">
        <v>1647</v>
      </c>
      <c r="C9503" s="2889" t="s">
        <v>1596</v>
      </c>
      <c r="D9503" s="2889" t="s">
        <v>1559</v>
      </c>
      <c r="E9503" s="2889" t="s">
        <v>1426</v>
      </c>
      <c r="F9503" s="3040"/>
      <c r="G9503" s="2890">
        <v>39.328203565459624</v>
      </c>
    </row>
    <row r="9504" spans="2:7" ht="15" hidden="1" outlineLevel="2">
      <c r="B9504" s="2889" t="s">
        <v>1648</v>
      </c>
      <c r="C9504" s="2889" t="s">
        <v>1596</v>
      </c>
      <c r="D9504" s="2889" t="s">
        <v>1559</v>
      </c>
      <c r="E9504" s="2889" t="s">
        <v>1426</v>
      </c>
      <c r="F9504" s="3040"/>
      <c r="G9504" s="2890">
        <v>86.737528034707111</v>
      </c>
    </row>
    <row r="9505" spans="2:7" ht="15" hidden="1" outlineLevel="2">
      <c r="B9505" s="2889" t="s">
        <v>1649</v>
      </c>
      <c r="C9505" s="2889" t="s">
        <v>1596</v>
      </c>
      <c r="D9505" s="2889" t="s">
        <v>1559</v>
      </c>
      <c r="E9505" s="2889" t="s">
        <v>1426</v>
      </c>
      <c r="F9505" s="3040"/>
      <c r="G9505" s="2890">
        <v>85.121290335723501</v>
      </c>
    </row>
    <row r="9506" spans="2:7" ht="15" hidden="1" outlineLevel="2">
      <c r="B9506" s="2889" t="s">
        <v>1650</v>
      </c>
      <c r="C9506" s="2889" t="s">
        <v>1596</v>
      </c>
      <c r="D9506" s="2889" t="s">
        <v>1559</v>
      </c>
      <c r="E9506" s="2889" t="s">
        <v>1426</v>
      </c>
      <c r="F9506" s="2891"/>
      <c r="G9506" s="2890">
        <v>121.75574246050925</v>
      </c>
    </row>
    <row r="9507" spans="2:7" ht="15" hidden="1" outlineLevel="2">
      <c r="B9507" s="2889" t="s">
        <v>1651</v>
      </c>
      <c r="C9507" s="2889" t="s">
        <v>1596</v>
      </c>
      <c r="D9507" s="2889" t="s">
        <v>1559</v>
      </c>
      <c r="E9507" s="2889" t="s">
        <v>1426</v>
      </c>
      <c r="F9507" s="2891"/>
      <c r="G9507" s="2890">
        <v>54.951728350653831</v>
      </c>
    </row>
    <row r="9508" spans="2:7" ht="15" hidden="1" outlineLevel="2">
      <c r="B9508" s="2889" t="s">
        <v>1652</v>
      </c>
      <c r="C9508" s="2889" t="s">
        <v>1596</v>
      </c>
      <c r="D9508" s="2889" t="s">
        <v>1559</v>
      </c>
      <c r="E9508" s="2889" t="s">
        <v>1426</v>
      </c>
      <c r="F9508" s="2891"/>
      <c r="G9508" s="2890">
        <v>86.737528034865477</v>
      </c>
    </row>
    <row r="9509" spans="2:7" ht="15" hidden="1" outlineLevel="2">
      <c r="B9509" s="2889" t="s">
        <v>1653</v>
      </c>
      <c r="C9509" s="2889" t="s">
        <v>1596</v>
      </c>
      <c r="D9509" s="2889" t="s">
        <v>1559</v>
      </c>
      <c r="E9509" s="2889" t="s">
        <v>1426</v>
      </c>
      <c r="F9509" s="3040"/>
      <c r="G9509" s="2890">
        <v>97.512386264789228</v>
      </c>
    </row>
    <row r="9510" spans="2:7" ht="15" hidden="1" outlineLevel="2">
      <c r="B9510" s="2889" t="s">
        <v>1407</v>
      </c>
      <c r="C9510" s="2889" t="s">
        <v>1597</v>
      </c>
      <c r="D9510" s="2889" t="s">
        <v>1559</v>
      </c>
      <c r="E9510" s="2889" t="s">
        <v>1426</v>
      </c>
      <c r="F9510" s="3040"/>
      <c r="G9510" s="2890">
        <v>0.32082952351062732</v>
      </c>
    </row>
    <row r="9511" spans="2:7" ht="15" hidden="1" outlineLevel="2">
      <c r="B9511" s="2889" t="s">
        <v>1631</v>
      </c>
      <c r="C9511" s="2889" t="s">
        <v>1597</v>
      </c>
      <c r="D9511" s="2889" t="s">
        <v>1559</v>
      </c>
      <c r="E9511" s="2889" t="s">
        <v>1426</v>
      </c>
      <c r="F9511" s="2890">
        <v>5.400954619712426E-4</v>
      </c>
      <c r="G9511" s="2890">
        <v>15.374149160054172</v>
      </c>
    </row>
    <row r="9512" spans="2:7" ht="15" hidden="1" outlineLevel="2">
      <c r="B9512" s="2889" t="s">
        <v>1632</v>
      </c>
      <c r="C9512" s="2889" t="s">
        <v>1597</v>
      </c>
      <c r="D9512" s="2889" t="s">
        <v>1559</v>
      </c>
      <c r="E9512" s="2889" t="s">
        <v>1426</v>
      </c>
      <c r="F9512" s="3040"/>
      <c r="G9512" s="2890">
        <v>18.47977974369487</v>
      </c>
    </row>
    <row r="9513" spans="2:7" ht="15" hidden="1" outlineLevel="2">
      <c r="B9513" s="2889" t="s">
        <v>1633</v>
      </c>
      <c r="C9513" s="2889" t="s">
        <v>1597</v>
      </c>
      <c r="D9513" s="2889" t="s">
        <v>1559</v>
      </c>
      <c r="E9513" s="2889" t="s">
        <v>1426</v>
      </c>
      <c r="F9513" s="3040"/>
      <c r="G9513" s="2890">
        <v>1.1036533018772345</v>
      </c>
    </row>
    <row r="9514" spans="2:7" ht="15" hidden="1" outlineLevel="2">
      <c r="B9514" s="2889" t="s">
        <v>1634</v>
      </c>
      <c r="C9514" s="2889" t="s">
        <v>1597</v>
      </c>
      <c r="D9514" s="2889" t="s">
        <v>1559</v>
      </c>
      <c r="E9514" s="2889" t="s">
        <v>1426</v>
      </c>
      <c r="F9514" s="3040"/>
      <c r="G9514" s="2890">
        <v>0.34649578994111901</v>
      </c>
    </row>
    <row r="9515" spans="2:7" ht="15" hidden="1" outlineLevel="2">
      <c r="B9515" s="2889" t="s">
        <v>1635</v>
      </c>
      <c r="C9515" s="2889" t="s">
        <v>1597</v>
      </c>
      <c r="D9515" s="2889" t="s">
        <v>1559</v>
      </c>
      <c r="E9515" s="2889" t="s">
        <v>1426</v>
      </c>
      <c r="F9515" s="3040"/>
      <c r="G9515" s="2890">
        <v>5.8262645405521658</v>
      </c>
    </row>
    <row r="9516" spans="2:7" ht="15" hidden="1" outlineLevel="2">
      <c r="B9516" s="2889" t="s">
        <v>1636</v>
      </c>
      <c r="C9516" s="2889" t="s">
        <v>1597</v>
      </c>
      <c r="D9516" s="2889" t="s">
        <v>1559</v>
      </c>
      <c r="E9516" s="2889" t="s">
        <v>1426</v>
      </c>
      <c r="F9516" s="3040"/>
      <c r="G9516" s="2890">
        <v>0.75715760812675015</v>
      </c>
    </row>
    <row r="9517" spans="2:7" ht="15" hidden="1" outlineLevel="2">
      <c r="B9517" s="2889" t="s">
        <v>1637</v>
      </c>
      <c r="C9517" s="2889" t="s">
        <v>1597</v>
      </c>
      <c r="D9517" s="2889" t="s">
        <v>1559</v>
      </c>
      <c r="E9517" s="2889" t="s">
        <v>1426</v>
      </c>
      <c r="F9517" s="3040"/>
      <c r="G9517" s="2890">
        <v>1.5913142809533578</v>
      </c>
    </row>
    <row r="9518" spans="2:7" ht="15" hidden="1" outlineLevel="2">
      <c r="B9518" s="2889" t="s">
        <v>1638</v>
      </c>
      <c r="C9518" s="2889" t="s">
        <v>1597</v>
      </c>
      <c r="D9518" s="2889" t="s">
        <v>1559</v>
      </c>
      <c r="E9518" s="2889" t="s">
        <v>1426</v>
      </c>
      <c r="F9518" s="3040"/>
      <c r="G9518" s="2890">
        <v>2.0533084642688482</v>
      </c>
    </row>
    <row r="9519" spans="2:7" ht="15" hidden="1" outlineLevel="2">
      <c r="B9519" s="2889" t="s">
        <v>1639</v>
      </c>
      <c r="C9519" s="2889" t="s">
        <v>1597</v>
      </c>
      <c r="D9519" s="2889" t="s">
        <v>1559</v>
      </c>
      <c r="E9519" s="2889" t="s">
        <v>1426</v>
      </c>
      <c r="F9519" s="3040"/>
      <c r="G9519" s="2890">
        <v>9.67621731830301</v>
      </c>
    </row>
    <row r="9520" spans="2:7" ht="15" hidden="1" outlineLevel="2">
      <c r="B9520" s="2889" t="s">
        <v>1640</v>
      </c>
      <c r="C9520" s="2889" t="s">
        <v>1597</v>
      </c>
      <c r="D9520" s="2889" t="s">
        <v>1559</v>
      </c>
      <c r="E9520" s="2889" t="s">
        <v>1426</v>
      </c>
      <c r="F9520" s="2891"/>
      <c r="G9520" s="2890">
        <v>2.0661424734008036</v>
      </c>
    </row>
    <row r="9521" spans="2:7" ht="15" hidden="1" outlineLevel="2">
      <c r="B9521" s="2889" t="s">
        <v>1641</v>
      </c>
      <c r="C9521" s="2889" t="s">
        <v>1597</v>
      </c>
      <c r="D9521" s="2889" t="s">
        <v>1559</v>
      </c>
      <c r="E9521" s="2889" t="s">
        <v>1426</v>
      </c>
      <c r="F9521" s="2891"/>
      <c r="G9521" s="2890">
        <v>4.2477832515043072</v>
      </c>
    </row>
    <row r="9522" spans="2:7" ht="15" hidden="1" outlineLevel="2">
      <c r="B9522" s="2889" t="s">
        <v>1642</v>
      </c>
      <c r="C9522" s="2889" t="s">
        <v>1597</v>
      </c>
      <c r="D9522" s="2889" t="s">
        <v>1559</v>
      </c>
      <c r="E9522" s="2889" t="s">
        <v>1426</v>
      </c>
      <c r="F9522" s="3040"/>
      <c r="G9522" s="2890">
        <v>12.499518230443339</v>
      </c>
    </row>
    <row r="9523" spans="2:7" ht="15" hidden="1" outlineLevel="2">
      <c r="B9523" s="2889" t="s">
        <v>1643</v>
      </c>
      <c r="C9523" s="2889" t="s">
        <v>1597</v>
      </c>
      <c r="D9523" s="2889" t="s">
        <v>1559</v>
      </c>
      <c r="E9523" s="2889" t="s">
        <v>1426</v>
      </c>
      <c r="F9523" s="3040"/>
      <c r="G9523" s="2890">
        <v>1.216678789128556</v>
      </c>
    </row>
    <row r="9524" spans="2:7" ht="15" hidden="1" outlineLevel="2">
      <c r="B9524" s="2889" t="s">
        <v>1644</v>
      </c>
      <c r="C9524" s="2889" t="s">
        <v>1597</v>
      </c>
      <c r="D9524" s="2889" t="s">
        <v>1559</v>
      </c>
      <c r="E9524" s="2889" t="s">
        <v>1426</v>
      </c>
      <c r="F9524" s="3040"/>
      <c r="G9524" s="2890">
        <v>38.217216136923085</v>
      </c>
    </row>
    <row r="9525" spans="2:7" ht="15" hidden="1" outlineLevel="2">
      <c r="B9525" s="2889" t="s">
        <v>1645</v>
      </c>
      <c r="C9525" s="2889" t="s">
        <v>1597</v>
      </c>
      <c r="D9525" s="2889" t="s">
        <v>1559</v>
      </c>
      <c r="E9525" s="2889" t="s">
        <v>1426</v>
      </c>
      <c r="F9525" s="3040"/>
      <c r="G9525" s="2890">
        <v>18.672277556558132</v>
      </c>
    </row>
    <row r="9526" spans="2:7" ht="15" hidden="1" outlineLevel="2">
      <c r="B9526" s="2889" t="s">
        <v>1646</v>
      </c>
      <c r="C9526" s="2889" t="s">
        <v>1597</v>
      </c>
      <c r="D9526" s="2889" t="s">
        <v>1559</v>
      </c>
      <c r="E9526" s="2889" t="s">
        <v>1426</v>
      </c>
      <c r="F9526" s="3040"/>
      <c r="G9526" s="2890">
        <v>1.2191520005109011</v>
      </c>
    </row>
    <row r="9527" spans="2:7" ht="15" hidden="1" outlineLevel="2">
      <c r="B9527" s="2889" t="s">
        <v>1647</v>
      </c>
      <c r="C9527" s="2889" t="s">
        <v>1597</v>
      </c>
      <c r="D9527" s="2889" t="s">
        <v>1559</v>
      </c>
      <c r="E9527" s="2889" t="s">
        <v>1426</v>
      </c>
      <c r="F9527" s="3040"/>
      <c r="G9527" s="2890">
        <v>0.93682220675024708</v>
      </c>
    </row>
    <row r="9528" spans="2:7" ht="15" hidden="1" outlineLevel="2">
      <c r="B9528" s="2889" t="s">
        <v>1648</v>
      </c>
      <c r="C9528" s="2889" t="s">
        <v>1597</v>
      </c>
      <c r="D9528" s="2889" t="s">
        <v>1559</v>
      </c>
      <c r="E9528" s="2889" t="s">
        <v>1426</v>
      </c>
      <c r="F9528" s="3040"/>
      <c r="G9528" s="2890">
        <v>2.0661424734008036</v>
      </c>
    </row>
    <row r="9529" spans="2:7" ht="15" hidden="1" outlineLevel="2">
      <c r="B9529" s="2889" t="s">
        <v>1649</v>
      </c>
      <c r="C9529" s="2889" t="s">
        <v>1597</v>
      </c>
      <c r="D9529" s="2889" t="s">
        <v>1559</v>
      </c>
      <c r="E9529" s="2889" t="s">
        <v>1426</v>
      </c>
      <c r="F9529" s="3040"/>
      <c r="G9529" s="2890">
        <v>2.0276423949913895</v>
      </c>
    </row>
    <row r="9530" spans="2:7" ht="15" hidden="1" outlineLevel="2">
      <c r="B9530" s="2889" t="s">
        <v>1650</v>
      </c>
      <c r="C9530" s="2889" t="s">
        <v>1597</v>
      </c>
      <c r="D9530" s="2889" t="s">
        <v>1559</v>
      </c>
      <c r="E9530" s="2889" t="s">
        <v>1426</v>
      </c>
      <c r="F9530" s="3040"/>
      <c r="G9530" s="2890">
        <v>2.9002983460274092</v>
      </c>
    </row>
    <row r="9531" spans="2:7" ht="15" hidden="1" outlineLevel="2">
      <c r="B9531" s="2889" t="s">
        <v>1651</v>
      </c>
      <c r="C9531" s="2889" t="s">
        <v>1597</v>
      </c>
      <c r="D9531" s="2889" t="s">
        <v>1559</v>
      </c>
      <c r="E9531" s="2889" t="s">
        <v>1426</v>
      </c>
      <c r="F9531" s="3040"/>
      <c r="G9531" s="2890">
        <v>1.3089845243992875</v>
      </c>
    </row>
    <row r="9532" spans="2:7" ht="15" hidden="1" outlineLevel="2">
      <c r="B9532" s="2889" t="s">
        <v>1652</v>
      </c>
      <c r="C9532" s="2889" t="s">
        <v>1597</v>
      </c>
      <c r="D9532" s="2889" t="s">
        <v>1559</v>
      </c>
      <c r="E9532" s="2889" t="s">
        <v>1426</v>
      </c>
      <c r="F9532" s="3040"/>
      <c r="G9532" s="2890">
        <v>2.0661424734243501</v>
      </c>
    </row>
    <row r="9533" spans="2:7" ht="15" hidden="1" outlineLevel="2">
      <c r="B9533" s="2889" t="s">
        <v>1653</v>
      </c>
      <c r="C9533" s="2889" t="s">
        <v>1597</v>
      </c>
      <c r="D9533" s="2889" t="s">
        <v>1559</v>
      </c>
      <c r="E9533" s="2889" t="s">
        <v>1426</v>
      </c>
      <c r="F9533" s="3040"/>
      <c r="G9533" s="2890">
        <v>2.322804858196895</v>
      </c>
    </row>
    <row r="9534" spans="2:7" ht="15" outlineLevel="1" collapsed="1">
      <c r="B9534" s="2889"/>
      <c r="C9534" s="2889"/>
      <c r="D9534" s="3042" t="s">
        <v>1692</v>
      </c>
      <c r="E9534" s="2889"/>
      <c r="F9534" s="3040">
        <f>SUBTOTAL(9,F8598:F9533)</f>
        <v>634.71928437634836</v>
      </c>
      <c r="G9534" s="2890">
        <f>SUBTOTAL(9,G8598:G9533)</f>
        <v>748573.37742902408</v>
      </c>
    </row>
    <row r="9535" spans="2:7" ht="15" hidden="1" outlineLevel="2">
      <c r="B9535" s="2889" t="s">
        <v>1407</v>
      </c>
      <c r="C9535" s="2889" t="s">
        <v>1598</v>
      </c>
      <c r="D9535" s="2889" t="s">
        <v>1599</v>
      </c>
      <c r="E9535" s="2889" t="s">
        <v>217</v>
      </c>
      <c r="F9535" s="2890">
        <v>3.7180765131007001E-2</v>
      </c>
      <c r="G9535" s="2890">
        <v>21.499766962332874</v>
      </c>
    </row>
    <row r="9536" spans="2:7" ht="15" hidden="1" outlineLevel="2">
      <c r="B9536" s="2889" t="s">
        <v>1631</v>
      </c>
      <c r="C9536" s="2889" t="s">
        <v>1598</v>
      </c>
      <c r="D9536" s="2889" t="s">
        <v>1599</v>
      </c>
      <c r="E9536" s="2889" t="s">
        <v>217</v>
      </c>
      <c r="F9536" s="2890">
        <v>3.4073256181683047E-2</v>
      </c>
      <c r="G9536" s="2890">
        <v>19.671464850963325</v>
      </c>
    </row>
    <row r="9537" spans="2:7" ht="15" hidden="1" outlineLevel="2">
      <c r="B9537" s="2889" t="s">
        <v>1632</v>
      </c>
      <c r="C9537" s="2889" t="s">
        <v>1598</v>
      </c>
      <c r="D9537" s="2889" t="s">
        <v>1599</v>
      </c>
      <c r="E9537" s="2889" t="s">
        <v>217</v>
      </c>
      <c r="F9537" s="2890">
        <v>1.8938713406446588E-2</v>
      </c>
      <c r="G9537" s="2890">
        <v>10.952231094988903</v>
      </c>
    </row>
    <row r="9538" spans="2:7" ht="15" hidden="1" outlineLevel="2">
      <c r="B9538" s="2889" t="s">
        <v>1633</v>
      </c>
      <c r="C9538" s="2889" t="s">
        <v>1598</v>
      </c>
      <c r="D9538" s="2889" t="s">
        <v>1599</v>
      </c>
      <c r="E9538" s="2889" t="s">
        <v>217</v>
      </c>
      <c r="F9538" s="3039">
        <v>2.2159690556707228E-2</v>
      </c>
      <c r="G9538" s="2890">
        <v>12.814909802959473</v>
      </c>
    </row>
    <row r="9539" spans="2:7" ht="15" hidden="1" outlineLevel="2">
      <c r="B9539" s="2889" t="s">
        <v>1634</v>
      </c>
      <c r="C9539" s="2889" t="s">
        <v>1598</v>
      </c>
      <c r="D9539" s="2889" t="s">
        <v>1599</v>
      </c>
      <c r="E9539" s="2889" t="s">
        <v>217</v>
      </c>
      <c r="F9539" s="3039">
        <v>1.5289058309134313E-2</v>
      </c>
      <c r="G9539" s="2890">
        <v>8.8408898611113855</v>
      </c>
    </row>
    <row r="9540" spans="2:7" ht="15" hidden="1" outlineLevel="2">
      <c r="B9540" s="2889" t="s">
        <v>1635</v>
      </c>
      <c r="C9540" s="2889" t="s">
        <v>1598</v>
      </c>
      <c r="D9540" s="2889" t="s">
        <v>1599</v>
      </c>
      <c r="E9540" s="2889" t="s">
        <v>217</v>
      </c>
      <c r="F9540" s="3039">
        <v>1.4263420852343845E-2</v>
      </c>
      <c r="G9540" s="2890">
        <v>8.2485120948308204</v>
      </c>
    </row>
    <row r="9541" spans="2:7" ht="15" hidden="1" outlineLevel="2">
      <c r="B9541" s="2889" t="s">
        <v>1636</v>
      </c>
      <c r="C9541" s="2889" t="s">
        <v>1598</v>
      </c>
      <c r="D9541" s="2889" t="s">
        <v>1599</v>
      </c>
      <c r="E9541" s="2889" t="s">
        <v>217</v>
      </c>
      <c r="F9541" s="3039">
        <v>1.4494954078327848E-3</v>
      </c>
      <c r="G9541" s="2890">
        <v>0.83824120321322126</v>
      </c>
    </row>
    <row r="9542" spans="2:7" ht="15" hidden="1" outlineLevel="2">
      <c r="B9542" s="2889" t="s">
        <v>1637</v>
      </c>
      <c r="C9542" s="2889" t="s">
        <v>1598</v>
      </c>
      <c r="D9542" s="2889" t="s">
        <v>1599</v>
      </c>
      <c r="E9542" s="2889" t="s">
        <v>217</v>
      </c>
      <c r="F9542" s="3039">
        <v>5.7043612846435388E-2</v>
      </c>
      <c r="G9542" s="2890">
        <v>32.988225349242114</v>
      </c>
    </row>
    <row r="9543" spans="2:7" ht="15" hidden="1" outlineLevel="2">
      <c r="B9543" s="2889" t="s">
        <v>1638</v>
      </c>
      <c r="C9543" s="2889" t="s">
        <v>1598</v>
      </c>
      <c r="D9543" s="2889" t="s">
        <v>1599</v>
      </c>
      <c r="E9543" s="2889" t="s">
        <v>217</v>
      </c>
      <c r="F9543" s="3039">
        <v>4.7019428847847981E-2</v>
      </c>
      <c r="G9543" s="2890">
        <v>27.189001094996215</v>
      </c>
    </row>
    <row r="9544" spans="2:7" ht="15" hidden="1" outlineLevel="2">
      <c r="B9544" s="2889" t="s">
        <v>1639</v>
      </c>
      <c r="C9544" s="2889" t="s">
        <v>1598</v>
      </c>
      <c r="D9544" s="2889" t="s">
        <v>1599</v>
      </c>
      <c r="E9544" s="2889" t="s">
        <v>217</v>
      </c>
      <c r="F9544" s="3039">
        <v>8.0103692061474704E-3</v>
      </c>
      <c r="G9544" s="2890">
        <v>4.6323745468273385</v>
      </c>
    </row>
    <row r="9545" spans="2:7" ht="15" hidden="1" outlineLevel="2">
      <c r="B9545" s="2889" t="s">
        <v>1640</v>
      </c>
      <c r="C9545" s="2889" t="s">
        <v>1598</v>
      </c>
      <c r="D9545" s="2889" t="s">
        <v>1599</v>
      </c>
      <c r="E9545" s="2889" t="s">
        <v>217</v>
      </c>
      <c r="F9545" s="3039">
        <v>8.1448494848124386E-2</v>
      </c>
      <c r="G9545" s="2890">
        <v>47.0974543975289</v>
      </c>
    </row>
    <row r="9546" spans="2:7" ht="15" hidden="1" outlineLevel="2">
      <c r="B9546" s="2889" t="s">
        <v>1641</v>
      </c>
      <c r="C9546" s="2889" t="s">
        <v>1598</v>
      </c>
      <c r="D9546" s="2889" t="s">
        <v>1599</v>
      </c>
      <c r="E9546" s="2889" t="s">
        <v>217</v>
      </c>
      <c r="F9546" s="3039">
        <v>2.1545831379566286E-2</v>
      </c>
      <c r="G9546" s="2890">
        <v>12.459912357300331</v>
      </c>
    </row>
    <row r="9547" spans="2:7" ht="15" hidden="1" outlineLevel="2">
      <c r="B9547" s="2889" t="s">
        <v>1642</v>
      </c>
      <c r="C9547" s="2889" t="s">
        <v>1598</v>
      </c>
      <c r="D9547" s="2889" t="s">
        <v>1599</v>
      </c>
      <c r="E9547" s="2889" t="s">
        <v>217</v>
      </c>
      <c r="F9547" s="3039">
        <v>9.718198525555383E-3</v>
      </c>
      <c r="G9547" s="2890">
        <v>5.6200305704730882</v>
      </c>
    </row>
    <row r="9548" spans="2:7" ht="15" hidden="1" outlineLevel="2">
      <c r="B9548" s="2889" t="s">
        <v>1643</v>
      </c>
      <c r="C9548" s="2889" t="s">
        <v>1598</v>
      </c>
      <c r="D9548" s="2889" t="s">
        <v>1599</v>
      </c>
      <c r="E9548" s="2889" t="s">
        <v>217</v>
      </c>
      <c r="F9548" s="2890">
        <v>1.1653907528738013E-2</v>
      </c>
      <c r="G9548" s="2890">
        <v>6.7396840555062303</v>
      </c>
    </row>
    <row r="9549" spans="2:7" ht="15" hidden="1" outlineLevel="2">
      <c r="B9549" s="2889" t="s">
        <v>1644</v>
      </c>
      <c r="C9549" s="2889" t="s">
        <v>1598</v>
      </c>
      <c r="D9549" s="2889" t="s">
        <v>1599</v>
      </c>
      <c r="E9549" s="2889" t="s">
        <v>217</v>
      </c>
      <c r="F9549" s="2890">
        <v>6.1009399200485509E-3</v>
      </c>
      <c r="G9549" s="2890">
        <v>3.5281699332147705</v>
      </c>
    </row>
    <row r="9550" spans="2:7" ht="15" hidden="1" outlineLevel="2">
      <c r="B9550" s="2889" t="s">
        <v>1645</v>
      </c>
      <c r="C9550" s="2889" t="s">
        <v>1598</v>
      </c>
      <c r="D9550" s="2889" t="s">
        <v>1599</v>
      </c>
      <c r="E9550" s="2889" t="s">
        <v>217</v>
      </c>
      <c r="F9550" s="3039">
        <v>2.3196895746819345E-2</v>
      </c>
      <c r="G9550" s="2890">
        <v>13.414724784136812</v>
      </c>
    </row>
    <row r="9551" spans="2:7" ht="15" hidden="1" outlineLevel="2">
      <c r="B9551" s="2889" t="s">
        <v>1646</v>
      </c>
      <c r="C9551" s="2889" t="s">
        <v>1598</v>
      </c>
      <c r="D9551" s="2889" t="s">
        <v>1599</v>
      </c>
      <c r="E9551" s="2889" t="s">
        <v>217</v>
      </c>
      <c r="F9551" s="2890">
        <v>1.5881696837176152E-2</v>
      </c>
      <c r="G9551" s="2890">
        <v>9.1843647376224222</v>
      </c>
    </row>
    <row r="9552" spans="2:7" ht="15" hidden="1" outlineLevel="2">
      <c r="B9552" s="2889" t="s">
        <v>1647</v>
      </c>
      <c r="C9552" s="2889" t="s">
        <v>1598</v>
      </c>
      <c r="D9552" s="2889" t="s">
        <v>1599</v>
      </c>
      <c r="E9552" s="2889" t="s">
        <v>217</v>
      </c>
      <c r="F9552" s="2890">
        <v>3.2667064699299926E-2</v>
      </c>
      <c r="G9552" s="2890">
        <v>18.889719353034494</v>
      </c>
    </row>
    <row r="9553" spans="2:7" ht="15" hidden="1" outlineLevel="2">
      <c r="B9553" s="2889" t="s">
        <v>1648</v>
      </c>
      <c r="C9553" s="2889" t="s">
        <v>1598</v>
      </c>
      <c r="D9553" s="2889" t="s">
        <v>1599</v>
      </c>
      <c r="E9553" s="2889" t="s">
        <v>217</v>
      </c>
      <c r="F9553" s="2890">
        <v>2.8849432160197527E-2</v>
      </c>
      <c r="G9553" s="2890">
        <v>16.682181275804691</v>
      </c>
    </row>
    <row r="9554" spans="2:7" ht="15" hidden="1" outlineLevel="2">
      <c r="B9554" s="2889" t="s">
        <v>1649</v>
      </c>
      <c r="C9554" s="2889" t="s">
        <v>1598</v>
      </c>
      <c r="D9554" s="2889" t="s">
        <v>1599</v>
      </c>
      <c r="E9554" s="2889" t="s">
        <v>217</v>
      </c>
      <c r="F9554" s="2890">
        <v>1.7556974704997119E-2</v>
      </c>
      <c r="G9554" s="2890">
        <v>10.152315159926115</v>
      </c>
    </row>
    <row r="9555" spans="2:7" ht="15" hidden="1" outlineLevel="2">
      <c r="B9555" s="2889" t="s">
        <v>1650</v>
      </c>
      <c r="C9555" s="2889" t="s">
        <v>1598</v>
      </c>
      <c r="D9555" s="2889" t="s">
        <v>1599</v>
      </c>
      <c r="E9555" s="2889" t="s">
        <v>217</v>
      </c>
      <c r="F9555" s="2890">
        <v>7.3859261569282726E-3</v>
      </c>
      <c r="G9555" s="2890">
        <v>4.2709018109005275</v>
      </c>
    </row>
    <row r="9556" spans="2:7" ht="15" hidden="1" outlineLevel="2">
      <c r="B9556" s="2889" t="s">
        <v>1651</v>
      </c>
      <c r="C9556" s="2889" t="s">
        <v>1598</v>
      </c>
      <c r="D9556" s="2889" t="s">
        <v>1599</v>
      </c>
      <c r="E9556" s="2889" t="s">
        <v>217</v>
      </c>
      <c r="F9556" s="2890">
        <v>6.8167051634671225E-2</v>
      </c>
      <c r="G9556" s="2890">
        <v>39.417599668865485</v>
      </c>
    </row>
    <row r="9557" spans="2:7" ht="15" hidden="1" outlineLevel="2">
      <c r="B9557" s="2889" t="s">
        <v>1652</v>
      </c>
      <c r="C9557" s="2889" t="s">
        <v>1598</v>
      </c>
      <c r="D9557" s="2889" t="s">
        <v>1599</v>
      </c>
      <c r="E9557" s="2889" t="s">
        <v>217</v>
      </c>
      <c r="F9557" s="2890">
        <v>5.7404941087289191E-2</v>
      </c>
      <c r="G9557" s="2890">
        <v>33.194375606716576</v>
      </c>
    </row>
    <row r="9558" spans="2:7" ht="15" hidden="1" outlineLevel="2">
      <c r="B9558" s="2889" t="s">
        <v>1653</v>
      </c>
      <c r="C9558" s="2889" t="s">
        <v>1598</v>
      </c>
      <c r="D9558" s="2889" t="s">
        <v>1599</v>
      </c>
      <c r="E9558" s="2889" t="s">
        <v>217</v>
      </c>
      <c r="F9558" s="2890">
        <v>2.9467734227582675E-37</v>
      </c>
      <c r="G9558" s="2890">
        <v>1.7041150163426568E-34</v>
      </c>
    </row>
    <row r="9559" spans="2:7" ht="15" hidden="1" outlineLevel="2">
      <c r="B9559" s="2889" t="s">
        <v>1407</v>
      </c>
      <c r="C9559" s="2889" t="s">
        <v>1600</v>
      </c>
      <c r="D9559" s="2889" t="s">
        <v>1599</v>
      </c>
      <c r="E9559" s="2889" t="s">
        <v>217</v>
      </c>
      <c r="F9559" s="2890">
        <v>4.3932917690746628E-2</v>
      </c>
      <c r="G9559" s="2890">
        <v>48.410055519617352</v>
      </c>
    </row>
    <row r="9560" spans="2:7" ht="15" hidden="1" outlineLevel="2">
      <c r="B9560" s="2889" t="s">
        <v>1631</v>
      </c>
      <c r="C9560" s="2889" t="s">
        <v>1600</v>
      </c>
      <c r="D9560" s="2889" t="s">
        <v>1599</v>
      </c>
      <c r="E9560" s="2889" t="s">
        <v>217</v>
      </c>
      <c r="F9560" s="2890">
        <v>4.0610596693594618E-2</v>
      </c>
      <c r="G9560" s="2890">
        <v>44.293366034735534</v>
      </c>
    </row>
    <row r="9561" spans="2:7" ht="15" hidden="1" outlineLevel="2">
      <c r="B9561" s="2889" t="s">
        <v>1632</v>
      </c>
      <c r="C9561" s="2889" t="s">
        <v>1600</v>
      </c>
      <c r="D9561" s="2889" t="s">
        <v>1599</v>
      </c>
      <c r="E9561" s="2889" t="s">
        <v>217</v>
      </c>
      <c r="F9561" s="2890">
        <v>2.2274529922454607E-2</v>
      </c>
      <c r="G9561" s="2890">
        <v>24.660648562510556</v>
      </c>
    </row>
    <row r="9562" spans="2:7" ht="15" hidden="1" outlineLevel="2">
      <c r="B9562" s="2889" t="s">
        <v>1633</v>
      </c>
      <c r="C9562" s="2889" t="s">
        <v>1600</v>
      </c>
      <c r="D9562" s="2889" t="s">
        <v>1599</v>
      </c>
      <c r="E9562" s="2889" t="s">
        <v>217</v>
      </c>
      <c r="F9562" s="2890">
        <v>2.5934898142718384E-2</v>
      </c>
      <c r="G9562" s="2890">
        <v>28.85477464646366</v>
      </c>
    </row>
    <row r="9563" spans="2:7" ht="15" hidden="1" outlineLevel="2">
      <c r="B9563" s="2889" t="s">
        <v>1634</v>
      </c>
      <c r="C9563" s="2889" t="s">
        <v>1600</v>
      </c>
      <c r="D9563" s="2889" t="s">
        <v>1599</v>
      </c>
      <c r="E9563" s="2889" t="s">
        <v>217</v>
      </c>
      <c r="F9563" s="2890">
        <v>1.7873230677792975E-2</v>
      </c>
      <c r="G9563" s="2890">
        <v>19.906658788828786</v>
      </c>
    </row>
    <row r="9564" spans="2:7" ht="15" hidden="1" outlineLevel="2">
      <c r="B9564" s="2889" t="s">
        <v>1635</v>
      </c>
      <c r="C9564" s="2889" t="s">
        <v>1600</v>
      </c>
      <c r="D9564" s="2889" t="s">
        <v>1599</v>
      </c>
      <c r="E9564" s="2889" t="s">
        <v>217</v>
      </c>
      <c r="F9564" s="2890">
        <v>1.6775728059978678E-2</v>
      </c>
      <c r="G9564" s="2890">
        <v>18.572803174133043</v>
      </c>
    </row>
    <row r="9565" spans="2:7" ht="15" hidden="1" outlineLevel="2">
      <c r="B9565" s="2889" t="s">
        <v>1636</v>
      </c>
      <c r="C9565" s="2889" t="s">
        <v>1600</v>
      </c>
      <c r="D9565" s="2889" t="s">
        <v>1599</v>
      </c>
      <c r="E9565" s="2889" t="s">
        <v>217</v>
      </c>
      <c r="F9565" s="2890">
        <v>1.7046453660849914E-3</v>
      </c>
      <c r="G9565" s="2890">
        <v>1.8874282448024666</v>
      </c>
    </row>
    <row r="9566" spans="2:7" ht="15" hidden="1" outlineLevel="2">
      <c r="B9566" s="2889" t="s">
        <v>1637</v>
      </c>
      <c r="C9566" s="2889" t="s">
        <v>1600</v>
      </c>
      <c r="D9566" s="2889" t="s">
        <v>1599</v>
      </c>
      <c r="E9566" s="2889" t="s">
        <v>217</v>
      </c>
      <c r="F9566" s="2890">
        <v>6.6761790859171874E-2</v>
      </c>
      <c r="G9566" s="2890">
        <v>74.278167198310612</v>
      </c>
    </row>
    <row r="9567" spans="2:7" ht="15" hidden="1" outlineLevel="2">
      <c r="B9567" s="2889" t="s">
        <v>1638</v>
      </c>
      <c r="C9567" s="2889" t="s">
        <v>1600</v>
      </c>
      <c r="D9567" s="2889" t="s">
        <v>1599</v>
      </c>
      <c r="E9567" s="2889" t="s">
        <v>217</v>
      </c>
      <c r="F9567" s="2890">
        <v>5.4966730400959472E-2</v>
      </c>
      <c r="G9567" s="2890">
        <v>61.220242182149455</v>
      </c>
    </row>
    <row r="9568" spans="2:7" ht="15" hidden="1" outlineLevel="2">
      <c r="B9568" s="2889" t="s">
        <v>1639</v>
      </c>
      <c r="C9568" s="2889" t="s">
        <v>1600</v>
      </c>
      <c r="D9568" s="2889" t="s">
        <v>1599</v>
      </c>
      <c r="E9568" s="2889" t="s">
        <v>217</v>
      </c>
      <c r="F9568" s="2890">
        <v>9.3750397099323906E-3</v>
      </c>
      <c r="G9568" s="2890">
        <v>10.430526808111262</v>
      </c>
    </row>
    <row r="9569" spans="2:7" ht="15" hidden="1" outlineLevel="2">
      <c r="B9569" s="2889" t="s">
        <v>1640</v>
      </c>
      <c r="C9569" s="2889" t="s">
        <v>1600</v>
      </c>
      <c r="D9569" s="2889" t="s">
        <v>1599</v>
      </c>
      <c r="E9569" s="2889" t="s">
        <v>217</v>
      </c>
      <c r="F9569" s="2890">
        <v>9.6239845148255843E-2</v>
      </c>
      <c r="G9569" s="2890">
        <v>106.04759075359736</v>
      </c>
    </row>
    <row r="9570" spans="2:7" ht="15" hidden="1" outlineLevel="2">
      <c r="B9570" s="2889" t="s">
        <v>1641</v>
      </c>
      <c r="C9570" s="2889" t="s">
        <v>1600</v>
      </c>
      <c r="D9570" s="2889" t="s">
        <v>1599</v>
      </c>
      <c r="E9570" s="2889" t="s">
        <v>217</v>
      </c>
      <c r="F9570" s="2890">
        <v>2.5340829349000948E-2</v>
      </c>
      <c r="G9570" s="2890">
        <v>28.055431404671388</v>
      </c>
    </row>
    <row r="9571" spans="2:7" ht="15" hidden="1" outlineLevel="2">
      <c r="B9571" s="2889" t="s">
        <v>1642</v>
      </c>
      <c r="C9571" s="2889" t="s">
        <v>1600</v>
      </c>
      <c r="D9571" s="2889" t="s">
        <v>1599</v>
      </c>
      <c r="E9571" s="2889" t="s">
        <v>217</v>
      </c>
      <c r="F9571" s="3039">
        <v>1.1429937194822184E-2</v>
      </c>
      <c r="G9571" s="2890">
        <v>12.654360139635537</v>
      </c>
    </row>
    <row r="9572" spans="2:7" ht="15" hidden="1" outlineLevel="2">
      <c r="B9572" s="2889" t="s">
        <v>1643</v>
      </c>
      <c r="C9572" s="2889" t="s">
        <v>1600</v>
      </c>
      <c r="D9572" s="2889" t="s">
        <v>1599</v>
      </c>
      <c r="E9572" s="2889" t="s">
        <v>217</v>
      </c>
      <c r="F9572" s="3039">
        <v>1.3729674779309871E-2</v>
      </c>
      <c r="G9572" s="2890">
        <v>15.175440506680722</v>
      </c>
    </row>
    <row r="9573" spans="2:7" ht="15" hidden="1" outlineLevel="2">
      <c r="B9573" s="2889" t="s">
        <v>1644</v>
      </c>
      <c r="C9573" s="2889" t="s">
        <v>1600</v>
      </c>
      <c r="D9573" s="2889" t="s">
        <v>1599</v>
      </c>
      <c r="E9573" s="2889" t="s">
        <v>217</v>
      </c>
      <c r="F9573" s="3039">
        <v>7.1403258042166641E-3</v>
      </c>
      <c r="G9573" s="2890">
        <v>7.9442156402234207</v>
      </c>
    </row>
    <row r="9574" spans="2:7" ht="15" hidden="1" outlineLevel="2">
      <c r="B9574" s="2889" t="s">
        <v>1645</v>
      </c>
      <c r="C9574" s="2889" t="s">
        <v>1600</v>
      </c>
      <c r="D9574" s="2889" t="s">
        <v>1599</v>
      </c>
      <c r="E9574" s="2889" t="s">
        <v>217</v>
      </c>
      <c r="F9574" s="3039">
        <v>2.714881356159362E-2</v>
      </c>
      <c r="G9574" s="2890">
        <v>30.205350399230664</v>
      </c>
    </row>
    <row r="9575" spans="2:7" ht="15" hidden="1" outlineLevel="2">
      <c r="B9575" s="2889" t="s">
        <v>1646</v>
      </c>
      <c r="C9575" s="2889" t="s">
        <v>1600</v>
      </c>
      <c r="D9575" s="2889" t="s">
        <v>1599</v>
      </c>
      <c r="E9575" s="2889" t="s">
        <v>217</v>
      </c>
      <c r="F9575" s="3039">
        <v>1.8679037591598099E-2</v>
      </c>
      <c r="G9575" s="2890">
        <v>20.680005077299526</v>
      </c>
    </row>
    <row r="9576" spans="2:7" ht="15" hidden="1" outlineLevel="2">
      <c r="B9576" s="2889" t="s">
        <v>1647</v>
      </c>
      <c r="C9576" s="2889" t="s">
        <v>1600</v>
      </c>
      <c r="D9576" s="2889" t="s">
        <v>1599</v>
      </c>
      <c r="E9576" s="2889" t="s">
        <v>217</v>
      </c>
      <c r="F9576" s="3039">
        <v>3.8188481784736023E-2</v>
      </c>
      <c r="G9576" s="2890">
        <v>42.533151416600106</v>
      </c>
    </row>
    <row r="9577" spans="2:7" ht="15" hidden="1" outlineLevel="2">
      <c r="B9577" s="2889" t="s">
        <v>1648</v>
      </c>
      <c r="C9577" s="2889" t="s">
        <v>1600</v>
      </c>
      <c r="D9577" s="2889" t="s">
        <v>1599</v>
      </c>
      <c r="E9577" s="2889" t="s">
        <v>217</v>
      </c>
      <c r="F9577" s="2890">
        <v>3.372557576535281E-2</v>
      </c>
      <c r="G9577" s="2890">
        <v>37.562514977707025</v>
      </c>
    </row>
    <row r="9578" spans="2:7" ht="15" hidden="1" outlineLevel="2">
      <c r="B9578" s="2889" t="s">
        <v>1649</v>
      </c>
      <c r="C9578" s="2889" t="s">
        <v>1600</v>
      </c>
      <c r="D9578" s="2889" t="s">
        <v>1599</v>
      </c>
      <c r="E9578" s="2889" t="s">
        <v>217</v>
      </c>
      <c r="F9578" s="2890">
        <v>2.0524469044164627E-2</v>
      </c>
      <c r="G9578" s="2890">
        <v>22.859516119742452</v>
      </c>
    </row>
    <row r="9579" spans="2:7" ht="15" hidden="1" outlineLevel="2">
      <c r="B9579" s="2889" t="s">
        <v>1650</v>
      </c>
      <c r="C9579" s="2889" t="s">
        <v>1600</v>
      </c>
      <c r="D9579" s="2889" t="s">
        <v>1599</v>
      </c>
      <c r="E9579" s="2889" t="s">
        <v>217</v>
      </c>
      <c r="F9579" s="2890">
        <v>8.7272366448715982E-3</v>
      </c>
      <c r="G9579" s="2890">
        <v>9.6166205374446019</v>
      </c>
    </row>
    <row r="9580" spans="2:7" ht="15" hidden="1" outlineLevel="2">
      <c r="B9580" s="2889" t="s">
        <v>1651</v>
      </c>
      <c r="C9580" s="2889" t="s">
        <v>1600</v>
      </c>
      <c r="D9580" s="2889" t="s">
        <v>1599</v>
      </c>
      <c r="E9580" s="2889" t="s">
        <v>217</v>
      </c>
      <c r="F9580" s="2890">
        <v>7.9688703159370697E-2</v>
      </c>
      <c r="G9580" s="2890">
        <v>88.754870885745817</v>
      </c>
    </row>
    <row r="9581" spans="2:7" ht="15" hidden="1" outlineLevel="2">
      <c r="B9581" s="2889" t="s">
        <v>1652</v>
      </c>
      <c r="C9581" s="2889" t="s">
        <v>1600</v>
      </c>
      <c r="D9581" s="2889" t="s">
        <v>1599</v>
      </c>
      <c r="E9581" s="2889" t="s">
        <v>217</v>
      </c>
      <c r="F9581" s="2890">
        <v>6.7107547458934796E-2</v>
      </c>
      <c r="G9581" s="2890">
        <v>74.742326799445806</v>
      </c>
    </row>
    <row r="9582" spans="2:7" ht="15" hidden="1" outlineLevel="2">
      <c r="B9582" s="2889" t="s">
        <v>1653</v>
      </c>
      <c r="C9582" s="2889" t="s">
        <v>1600</v>
      </c>
      <c r="D9582" s="2889" t="s">
        <v>1599</v>
      </c>
      <c r="E9582" s="2889" t="s">
        <v>217</v>
      </c>
      <c r="F9582" s="2890">
        <v>2.7422756183907537E-35</v>
      </c>
      <c r="G9582" s="2890">
        <v>3.0433135541203165E-32</v>
      </c>
    </row>
    <row r="9583" spans="2:7" ht="15" hidden="1" outlineLevel="2">
      <c r="B9583" s="2889" t="s">
        <v>1407</v>
      </c>
      <c r="C9583" s="2889" t="s">
        <v>1601</v>
      </c>
      <c r="D9583" s="2889" t="s">
        <v>1599</v>
      </c>
      <c r="E9583" s="2889" t="s">
        <v>217</v>
      </c>
      <c r="F9583" s="2890">
        <v>4.506754532866608E-4</v>
      </c>
      <c r="G9583" s="2890">
        <v>0.56870855026738631</v>
      </c>
    </row>
    <row r="9584" spans="2:7" ht="15" hidden="1" outlineLevel="2">
      <c r="B9584" s="2889" t="s">
        <v>1631</v>
      </c>
      <c r="C9584" s="2889" t="s">
        <v>1601</v>
      </c>
      <c r="D9584" s="2889" t="s">
        <v>1599</v>
      </c>
      <c r="E9584" s="2889" t="s">
        <v>217</v>
      </c>
      <c r="F9584" s="2890">
        <v>4.1662536772323777E-4</v>
      </c>
      <c r="G9584" s="2890">
        <v>0.52034692557121331</v>
      </c>
    </row>
    <row r="9585" spans="2:7" ht="15" hidden="1" outlineLevel="2">
      <c r="B9585" s="2889" t="s">
        <v>1632</v>
      </c>
      <c r="C9585" s="2889" t="s">
        <v>1601</v>
      </c>
      <c r="D9585" s="2889" t="s">
        <v>1599</v>
      </c>
      <c r="E9585" s="2889" t="s">
        <v>217</v>
      </c>
      <c r="F9585" s="2890">
        <v>2.2848997185984319E-4</v>
      </c>
      <c r="G9585" s="2890">
        <v>0.2897068269145161</v>
      </c>
    </row>
    <row r="9586" spans="2:7" ht="15" hidden="1" outlineLevel="2">
      <c r="B9586" s="2889" t="s">
        <v>1633</v>
      </c>
      <c r="C9586" s="2889" t="s">
        <v>1601</v>
      </c>
      <c r="D9586" s="2889" t="s">
        <v>1599</v>
      </c>
      <c r="E9586" s="2889" t="s">
        <v>217</v>
      </c>
      <c r="F9586" s="2890">
        <v>2.6602808760549244E-4</v>
      </c>
      <c r="G9586" s="2890">
        <v>0.33897815073037474</v>
      </c>
    </row>
    <row r="9587" spans="2:7" ht="15" hidden="1" outlineLevel="2">
      <c r="B9587" s="2889" t="s">
        <v>1634</v>
      </c>
      <c r="C9587" s="2889" t="s">
        <v>1601</v>
      </c>
      <c r="D9587" s="2889" t="s">
        <v>1599</v>
      </c>
      <c r="E9587" s="2889" t="s">
        <v>217</v>
      </c>
      <c r="F9587" s="2890">
        <v>1.8333373851871893E-4</v>
      </c>
      <c r="G9587" s="2890">
        <v>0.23385788500093374</v>
      </c>
    </row>
    <row r="9588" spans="2:7" ht="15" hidden="1" outlineLevel="2">
      <c r="B9588" s="2889" t="s">
        <v>1635</v>
      </c>
      <c r="C9588" s="2889" t="s">
        <v>1601</v>
      </c>
      <c r="D9588" s="2889" t="s">
        <v>1599</v>
      </c>
      <c r="E9588" s="2889" t="s">
        <v>217</v>
      </c>
      <c r="F9588" s="2890">
        <v>1.7208390357525036E-4</v>
      </c>
      <c r="G9588" s="2890">
        <v>0.21818829305700377</v>
      </c>
    </row>
    <row r="9589" spans="2:7" ht="15" hidden="1" outlineLevel="2">
      <c r="B9589" s="2889" t="s">
        <v>1636</v>
      </c>
      <c r="C9589" s="2889" t="s">
        <v>1601</v>
      </c>
      <c r="D9589" s="2889" t="s">
        <v>1599</v>
      </c>
      <c r="E9589" s="2889" t="s">
        <v>217</v>
      </c>
      <c r="F9589" s="2890">
        <v>1.7486093662297707E-5</v>
      </c>
      <c r="G9589" s="2890">
        <v>2.217300846743216E-2</v>
      </c>
    </row>
    <row r="9590" spans="2:7" ht="15" hidden="1" outlineLevel="2">
      <c r="B9590" s="2889" t="s">
        <v>1637</v>
      </c>
      <c r="C9590" s="2889" t="s">
        <v>1601</v>
      </c>
      <c r="D9590" s="2889" t="s">
        <v>1599</v>
      </c>
      <c r="E9590" s="2889" t="s">
        <v>217</v>
      </c>
      <c r="F9590" s="2890">
        <v>6.8481112773233124E-4</v>
      </c>
      <c r="G9590" s="2890">
        <v>0.87260008312126625</v>
      </c>
    </row>
    <row r="9591" spans="2:7" ht="15" hidden="1" outlineLevel="2">
      <c r="B9591" s="2889" t="s">
        <v>1638</v>
      </c>
      <c r="C9591" s="2889" t="s">
        <v>1601</v>
      </c>
      <c r="D9591" s="2889" t="s">
        <v>1599</v>
      </c>
      <c r="E9591" s="2889" t="s">
        <v>217</v>
      </c>
      <c r="F9591" s="2890">
        <v>5.6381861580635643E-4</v>
      </c>
      <c r="G9591" s="2890">
        <v>0.71919917025353108</v>
      </c>
    </row>
    <row r="9592" spans="2:7" ht="15" hidden="1" outlineLevel="2">
      <c r="B9592" s="2889" t="s">
        <v>1639</v>
      </c>
      <c r="C9592" s="2889" t="s">
        <v>1601</v>
      </c>
      <c r="D9592" s="2889" t="s">
        <v>1599</v>
      </c>
      <c r="E9592" s="2889" t="s">
        <v>217</v>
      </c>
      <c r="F9592" s="2890">
        <v>9.6164850911426304E-5</v>
      </c>
      <c r="G9592" s="2890">
        <v>0.12253502307584513</v>
      </c>
    </row>
    <row r="9593" spans="2:7" ht="15" hidden="1" outlineLevel="2">
      <c r="B9593" s="2889" t="s">
        <v>1640</v>
      </c>
      <c r="C9593" s="2889" t="s">
        <v>1601</v>
      </c>
      <c r="D9593" s="2889" t="s">
        <v>1599</v>
      </c>
      <c r="E9593" s="2889" t="s">
        <v>217</v>
      </c>
      <c r="F9593" s="2890">
        <v>9.8725345452104906E-4</v>
      </c>
      <c r="G9593" s="2890">
        <v>1.2458187384261799</v>
      </c>
    </row>
    <row r="9594" spans="2:7" ht="15" hidden="1" outlineLevel="2">
      <c r="B9594" s="2889" t="s">
        <v>1641</v>
      </c>
      <c r="C9594" s="2889" t="s">
        <v>1601</v>
      </c>
      <c r="D9594" s="2889" t="s">
        <v>1599</v>
      </c>
      <c r="E9594" s="2889" t="s">
        <v>217</v>
      </c>
      <c r="F9594" s="2890">
        <v>2.5994387737406229E-4</v>
      </c>
      <c r="G9594" s="2890">
        <v>0.32958794679184233</v>
      </c>
    </row>
    <row r="9595" spans="2:7" ht="15" hidden="1" outlineLevel="2">
      <c r="B9595" s="2889" t="s">
        <v>1642</v>
      </c>
      <c r="C9595" s="2889" t="s">
        <v>1601</v>
      </c>
      <c r="D9595" s="2889" t="s">
        <v>1599</v>
      </c>
      <c r="E9595" s="2889" t="s">
        <v>217</v>
      </c>
      <c r="F9595" s="2890">
        <v>1.1724719176993185E-4</v>
      </c>
      <c r="G9595" s="2890">
        <v>0.14865998504741065</v>
      </c>
    </row>
    <row r="9596" spans="2:7" ht="15" hidden="1" outlineLevel="2">
      <c r="B9596" s="2889" t="s">
        <v>1643</v>
      </c>
      <c r="C9596" s="2889" t="s">
        <v>1601</v>
      </c>
      <c r="D9596" s="2889" t="s">
        <v>1599</v>
      </c>
      <c r="E9596" s="2889" t="s">
        <v>217</v>
      </c>
      <c r="F9596" s="2890">
        <v>1.408394347768649E-4</v>
      </c>
      <c r="G9596" s="2890">
        <v>0.17827706609388086</v>
      </c>
    </row>
    <row r="9597" spans="2:7" ht="15" hidden="1" outlineLevel="2">
      <c r="B9597" s="2889" t="s">
        <v>1644</v>
      </c>
      <c r="C9597" s="2889" t="s">
        <v>1601</v>
      </c>
      <c r="D9597" s="2889" t="s">
        <v>1599</v>
      </c>
      <c r="E9597" s="2889" t="s">
        <v>217</v>
      </c>
      <c r="F9597" s="2890">
        <v>7.3242126924426645E-5</v>
      </c>
      <c r="G9597" s="2890">
        <v>9.3326475797485542E-2</v>
      </c>
    </row>
    <row r="9598" spans="2:7" ht="15" hidden="1" outlineLevel="2">
      <c r="B9598" s="2889" t="s">
        <v>1645</v>
      </c>
      <c r="C9598" s="2889" t="s">
        <v>1601</v>
      </c>
      <c r="D9598" s="2889" t="s">
        <v>1599</v>
      </c>
      <c r="E9598" s="2889" t="s">
        <v>217</v>
      </c>
      <c r="F9598" s="2890">
        <v>2.7847994546511547E-4</v>
      </c>
      <c r="G9598" s="2890">
        <v>0.35484456008728227</v>
      </c>
    </row>
    <row r="9599" spans="2:7" ht="15" hidden="1" outlineLevel="2">
      <c r="B9599" s="2889" t="s">
        <v>1646</v>
      </c>
      <c r="C9599" s="2889" t="s">
        <v>1601</v>
      </c>
      <c r="D9599" s="2889" t="s">
        <v>1599</v>
      </c>
      <c r="E9599" s="2889" t="s">
        <v>217</v>
      </c>
      <c r="F9599" s="2890">
        <v>1.9160783910620856E-4</v>
      </c>
      <c r="G9599" s="2890">
        <v>0.24294332202182825</v>
      </c>
    </row>
    <row r="9600" spans="2:7" ht="15" hidden="1" outlineLevel="2">
      <c r="B9600" s="2889" t="s">
        <v>1647</v>
      </c>
      <c r="C9600" s="2889" t="s">
        <v>1601</v>
      </c>
      <c r="D9600" s="2889" t="s">
        <v>1599</v>
      </c>
      <c r="E9600" s="2889" t="s">
        <v>217</v>
      </c>
      <c r="F9600" s="2890">
        <v>3.9171671382828008E-4</v>
      </c>
      <c r="G9600" s="2890">
        <v>0.49966810797494776</v>
      </c>
    </row>
    <row r="9601" spans="2:7" ht="15" hidden="1" outlineLevel="2">
      <c r="B9601" s="2889" t="s">
        <v>1648</v>
      </c>
      <c r="C9601" s="2889" t="s">
        <v>1601</v>
      </c>
      <c r="D9601" s="2889" t="s">
        <v>1599</v>
      </c>
      <c r="E9601" s="2889" t="s">
        <v>217</v>
      </c>
      <c r="F9601" s="2890">
        <v>3.4593869688454595E-4</v>
      </c>
      <c r="G9601" s="2890">
        <v>0.44127437750524556</v>
      </c>
    </row>
    <row r="9602" spans="2:7" ht="15" hidden="1" outlineLevel="2">
      <c r="B9602" s="2889" t="s">
        <v>1649</v>
      </c>
      <c r="C9602" s="2889" t="s">
        <v>1601</v>
      </c>
      <c r="D9602" s="2889" t="s">
        <v>1599</v>
      </c>
      <c r="E9602" s="2889" t="s">
        <v>217</v>
      </c>
      <c r="F9602" s="2890">
        <v>2.1052892333692542E-4</v>
      </c>
      <c r="G9602" s="2890">
        <v>0.26854744744134029</v>
      </c>
    </row>
    <row r="9603" spans="2:7" ht="15" hidden="1" outlineLevel="2">
      <c r="B9603" s="2889" t="s">
        <v>1650</v>
      </c>
      <c r="C9603" s="2889" t="s">
        <v>1601</v>
      </c>
      <c r="D9603" s="2889" t="s">
        <v>1599</v>
      </c>
      <c r="E9603" s="2889" t="s">
        <v>217</v>
      </c>
      <c r="F9603" s="2890">
        <v>8.9526281437277952E-5</v>
      </c>
      <c r="G9603" s="2890">
        <v>0.1048150160741104</v>
      </c>
    </row>
    <row r="9604" spans="2:7" ht="15" hidden="1" outlineLevel="2">
      <c r="B9604" s="2889" t="s">
        <v>1651</v>
      </c>
      <c r="C9604" s="2889" t="s">
        <v>1601</v>
      </c>
      <c r="D9604" s="2889" t="s">
        <v>1599</v>
      </c>
      <c r="E9604" s="2889" t="s">
        <v>217</v>
      </c>
      <c r="F9604" s="2890">
        <v>8.1740297001954879E-4</v>
      </c>
      <c r="G9604" s="2890">
        <v>1.0426679063467732</v>
      </c>
    </row>
    <row r="9605" spans="2:7" ht="15" hidden="1" outlineLevel="2">
      <c r="B9605" s="2889" t="s">
        <v>1652</v>
      </c>
      <c r="C9605" s="2889" t="s">
        <v>1601</v>
      </c>
      <c r="D9605" s="2889" t="s">
        <v>1599</v>
      </c>
      <c r="E9605" s="2889" t="s">
        <v>217</v>
      </c>
      <c r="F9605" s="2890">
        <v>6.8835252685713023E-4</v>
      </c>
      <c r="G9605" s="2890">
        <v>0.8780533944369604</v>
      </c>
    </row>
    <row r="9606" spans="2:7" ht="15" hidden="1" outlineLevel="2">
      <c r="B9606" s="2889" t="s">
        <v>1653</v>
      </c>
      <c r="C9606" s="2889" t="s">
        <v>1601</v>
      </c>
      <c r="D9606" s="2889" t="s">
        <v>1599</v>
      </c>
      <c r="E9606" s="2889" t="s">
        <v>217</v>
      </c>
      <c r="F9606" s="2890">
        <v>3.1357877272552823E-37</v>
      </c>
      <c r="G9606" s="2890">
        <v>4.3186769967087623E-34</v>
      </c>
    </row>
    <row r="9607" spans="2:7" ht="15" hidden="1" outlineLevel="2">
      <c r="B9607" s="2889" t="s">
        <v>1407</v>
      </c>
      <c r="C9607" s="2889" t="s">
        <v>1602</v>
      </c>
      <c r="D9607" s="2889" t="s">
        <v>1599</v>
      </c>
      <c r="E9607" s="2889" t="s">
        <v>1426</v>
      </c>
      <c r="F9607" s="3040"/>
      <c r="G9607" s="2890">
        <v>644.23711407806172</v>
      </c>
    </row>
    <row r="9608" spans="2:7" ht="15" hidden="1" outlineLevel="2">
      <c r="B9608" s="2889" t="s">
        <v>1631</v>
      </c>
      <c r="C9608" s="2889" t="s">
        <v>1602</v>
      </c>
      <c r="D9608" s="2889" t="s">
        <v>1599</v>
      </c>
      <c r="E9608" s="2889" t="s">
        <v>1426</v>
      </c>
      <c r="F9608" s="2890">
        <v>1.7736484479236297E-2</v>
      </c>
      <c r="G9608" s="2890">
        <v>589.45238494461307</v>
      </c>
    </row>
    <row r="9609" spans="2:7" ht="15" hidden="1" outlineLevel="2">
      <c r="B9609" s="2889" t="s">
        <v>1632</v>
      </c>
      <c r="C9609" s="2889" t="s">
        <v>1602</v>
      </c>
      <c r="D9609" s="2889" t="s">
        <v>1599</v>
      </c>
      <c r="E9609" s="2889" t="s">
        <v>1426</v>
      </c>
      <c r="F9609" s="3040"/>
      <c r="G9609" s="2890">
        <v>328.18196273844922</v>
      </c>
    </row>
    <row r="9610" spans="2:7" ht="15" hidden="1" outlineLevel="2">
      <c r="B9610" s="2889" t="s">
        <v>1633</v>
      </c>
      <c r="C9610" s="2889" t="s">
        <v>1602</v>
      </c>
      <c r="D9610" s="2889" t="s">
        <v>1599</v>
      </c>
      <c r="E9610" s="2889" t="s">
        <v>1426</v>
      </c>
      <c r="F9610" s="3040"/>
      <c r="G9610" s="2890">
        <v>383.9966136891872</v>
      </c>
    </row>
    <row r="9611" spans="2:7" ht="15" hidden="1" outlineLevel="2">
      <c r="B9611" s="2889" t="s">
        <v>1634</v>
      </c>
      <c r="C9611" s="2889" t="s">
        <v>1602</v>
      </c>
      <c r="D9611" s="2889" t="s">
        <v>1599</v>
      </c>
      <c r="E9611" s="2889" t="s">
        <v>1426</v>
      </c>
      <c r="F9611" s="3040"/>
      <c r="G9611" s="2890">
        <v>264.91603424066614</v>
      </c>
    </row>
    <row r="9612" spans="2:7" ht="15" hidden="1" outlineLevel="2">
      <c r="B9612" s="2889" t="s">
        <v>1635</v>
      </c>
      <c r="C9612" s="2889" t="s">
        <v>1602</v>
      </c>
      <c r="D9612" s="2889" t="s">
        <v>1599</v>
      </c>
      <c r="E9612" s="2889" t="s">
        <v>1426</v>
      </c>
      <c r="F9612" s="3040"/>
      <c r="G9612" s="2890">
        <v>247.16547225372301</v>
      </c>
    </row>
    <row r="9613" spans="2:7" ht="15" hidden="1" outlineLevel="2">
      <c r="B9613" s="2889" t="s">
        <v>1636</v>
      </c>
      <c r="C9613" s="2889" t="s">
        <v>1602</v>
      </c>
      <c r="D9613" s="2889" t="s">
        <v>1599</v>
      </c>
      <c r="E9613" s="2889" t="s">
        <v>1426</v>
      </c>
      <c r="F9613" s="3040"/>
      <c r="G9613" s="2890">
        <v>25.117736361345759</v>
      </c>
    </row>
    <row r="9614" spans="2:7" ht="15" hidden="1" outlineLevel="2">
      <c r="B9614" s="2889" t="s">
        <v>1637</v>
      </c>
      <c r="C9614" s="2889" t="s">
        <v>1602</v>
      </c>
      <c r="D9614" s="2889" t="s">
        <v>1599</v>
      </c>
      <c r="E9614" s="2889" t="s">
        <v>1426</v>
      </c>
      <c r="F9614" s="3040"/>
      <c r="G9614" s="2890">
        <v>988.48691428226732</v>
      </c>
    </row>
    <row r="9615" spans="2:7" ht="15" hidden="1" outlineLevel="2">
      <c r="B9615" s="2889" t="s">
        <v>1638</v>
      </c>
      <c r="C9615" s="2889" t="s">
        <v>1602</v>
      </c>
      <c r="D9615" s="2889" t="s">
        <v>1599</v>
      </c>
      <c r="E9615" s="2889" t="s">
        <v>1426</v>
      </c>
      <c r="F9615" s="3040"/>
      <c r="G9615" s="2890">
        <v>814.71378933249014</v>
      </c>
    </row>
    <row r="9616" spans="2:7" ht="15" hidden="1" outlineLevel="2">
      <c r="B9616" s="2889" t="s">
        <v>1639</v>
      </c>
      <c r="C9616" s="2889" t="s">
        <v>1602</v>
      </c>
      <c r="D9616" s="2889" t="s">
        <v>1599</v>
      </c>
      <c r="E9616" s="2889" t="s">
        <v>1426</v>
      </c>
      <c r="F9616" s="3040"/>
      <c r="G9616" s="2890">
        <v>138.8085835261833</v>
      </c>
    </row>
    <row r="9617" spans="2:7" ht="15" hidden="1" outlineLevel="2">
      <c r="B9617" s="2889" t="s">
        <v>1640</v>
      </c>
      <c r="C9617" s="2889" t="s">
        <v>1602</v>
      </c>
      <c r="D9617" s="2889" t="s">
        <v>1599</v>
      </c>
      <c r="E9617" s="2889" t="s">
        <v>1426</v>
      </c>
      <c r="F9617" s="2891"/>
      <c r="G9617" s="2890">
        <v>1411.2711801671114</v>
      </c>
    </row>
    <row r="9618" spans="2:7" ht="15" hidden="1" outlineLevel="2">
      <c r="B9618" s="2889" t="s">
        <v>1641</v>
      </c>
      <c r="C9618" s="2889" t="s">
        <v>1602</v>
      </c>
      <c r="D9618" s="2889" t="s">
        <v>1599</v>
      </c>
      <c r="E9618" s="2889" t="s">
        <v>1426</v>
      </c>
      <c r="F9618" s="2891"/>
      <c r="G9618" s="2890">
        <v>373.35943868605199</v>
      </c>
    </row>
    <row r="9619" spans="2:7" ht="15" hidden="1" outlineLevel="2">
      <c r="B9619" s="2889" t="s">
        <v>1642</v>
      </c>
      <c r="C9619" s="2889" t="s">
        <v>1602</v>
      </c>
      <c r="D9619" s="2889" t="s">
        <v>1599</v>
      </c>
      <c r="E9619" s="2889" t="s">
        <v>1426</v>
      </c>
      <c r="F9619" s="2891"/>
      <c r="G9619" s="2890">
        <v>168.40297060030616</v>
      </c>
    </row>
    <row r="9620" spans="2:7" ht="15" hidden="1" outlineLevel="2">
      <c r="B9620" s="2889" t="s">
        <v>1643</v>
      </c>
      <c r="C9620" s="2889" t="s">
        <v>1602</v>
      </c>
      <c r="D9620" s="2889" t="s">
        <v>1599</v>
      </c>
      <c r="E9620" s="2889" t="s">
        <v>1426</v>
      </c>
      <c r="F9620" s="2891"/>
      <c r="G9620" s="2890">
        <v>201.95335889543961</v>
      </c>
    </row>
    <row r="9621" spans="2:7" ht="15" hidden="1" outlineLevel="2">
      <c r="B9621" s="2889" t="s">
        <v>1644</v>
      </c>
      <c r="C9621" s="2889" t="s">
        <v>1602</v>
      </c>
      <c r="D9621" s="2889" t="s">
        <v>1599</v>
      </c>
      <c r="E9621" s="2889" t="s">
        <v>1426</v>
      </c>
      <c r="F9621" s="2891"/>
      <c r="G9621" s="2890">
        <v>105.72095573337965</v>
      </c>
    </row>
    <row r="9622" spans="2:7" ht="15" hidden="1" outlineLevel="2">
      <c r="B9622" s="2889" t="s">
        <v>1645</v>
      </c>
      <c r="C9622" s="2889" t="s">
        <v>1602</v>
      </c>
      <c r="D9622" s="2889" t="s">
        <v>1599</v>
      </c>
      <c r="E9622" s="2889" t="s">
        <v>1426</v>
      </c>
      <c r="F9622" s="2891"/>
      <c r="G9622" s="2890">
        <v>401.97059524972798</v>
      </c>
    </row>
    <row r="9623" spans="2:7" ht="15" hidden="1" outlineLevel="2">
      <c r="B9623" s="2889" t="s">
        <v>1646</v>
      </c>
      <c r="C9623" s="2889" t="s">
        <v>1602</v>
      </c>
      <c r="D9623" s="2889" t="s">
        <v>1599</v>
      </c>
      <c r="E9623" s="2889" t="s">
        <v>1426</v>
      </c>
      <c r="F9623" s="2891"/>
      <c r="G9623" s="2890">
        <v>275.20789235953862</v>
      </c>
    </row>
    <row r="9624" spans="2:7" ht="15" hidden="1" outlineLevel="2">
      <c r="B9624" s="2889" t="s">
        <v>1647</v>
      </c>
      <c r="C9624" s="2889" t="s">
        <v>1602</v>
      </c>
      <c r="D9624" s="2889" t="s">
        <v>1599</v>
      </c>
      <c r="E9624" s="2889" t="s">
        <v>1426</v>
      </c>
      <c r="F9624" s="2891"/>
      <c r="G9624" s="2890">
        <v>566.02769447817309</v>
      </c>
    </row>
    <row r="9625" spans="2:7" ht="15" hidden="1" outlineLevel="2">
      <c r="B9625" s="2889" t="s">
        <v>1648</v>
      </c>
      <c r="C9625" s="2889" t="s">
        <v>1602</v>
      </c>
      <c r="D9625" s="2889" t="s">
        <v>1599</v>
      </c>
      <c r="E9625" s="2889" t="s">
        <v>1426</v>
      </c>
      <c r="F9625" s="2891"/>
      <c r="G9625" s="2890">
        <v>499.87870960659404</v>
      </c>
    </row>
    <row r="9626" spans="2:7" ht="15" hidden="1" outlineLevel="2">
      <c r="B9626" s="2889" t="s">
        <v>1649</v>
      </c>
      <c r="C9626" s="2889" t="s">
        <v>1602</v>
      </c>
      <c r="D9626" s="2889" t="s">
        <v>1599</v>
      </c>
      <c r="E9626" s="2889" t="s">
        <v>1426</v>
      </c>
      <c r="F9626" s="2891"/>
      <c r="G9626" s="2890">
        <v>304.21260182194868</v>
      </c>
    </row>
    <row r="9627" spans="2:7" ht="15" hidden="1" outlineLevel="2">
      <c r="B9627" s="2889" t="s">
        <v>1650</v>
      </c>
      <c r="C9627" s="2889" t="s">
        <v>1602</v>
      </c>
      <c r="D9627" s="2889" t="s">
        <v>1599</v>
      </c>
      <c r="E9627" s="2889" t="s">
        <v>1426</v>
      </c>
      <c r="F9627" s="2891"/>
      <c r="G9627" s="2890">
        <v>118.73512888054715</v>
      </c>
    </row>
    <row r="9628" spans="2:7" ht="15" hidden="1" outlineLevel="2">
      <c r="B9628" s="2889" t="s">
        <v>1651</v>
      </c>
      <c r="C9628" s="2889" t="s">
        <v>1602</v>
      </c>
      <c r="D9628" s="2889" t="s">
        <v>1599</v>
      </c>
      <c r="E9628" s="2889" t="s">
        <v>1426</v>
      </c>
      <c r="F9628" s="2891"/>
      <c r="G9628" s="2890">
        <v>1181.141502274781</v>
      </c>
    </row>
    <row r="9629" spans="2:7" ht="15" hidden="1" outlineLevel="2">
      <c r="B9629" s="2889" t="s">
        <v>1652</v>
      </c>
      <c r="C9629" s="2889" t="s">
        <v>1602</v>
      </c>
      <c r="D9629" s="2889" t="s">
        <v>1599</v>
      </c>
      <c r="E9629" s="2889" t="s">
        <v>1426</v>
      </c>
      <c r="F9629" s="2891"/>
      <c r="G9629" s="2890">
        <v>994.66451391479893</v>
      </c>
    </row>
    <row r="9630" spans="2:7" ht="15" hidden="1" outlineLevel="2">
      <c r="B9630" s="2889" t="s">
        <v>1653</v>
      </c>
      <c r="C9630" s="2889" t="s">
        <v>1602</v>
      </c>
      <c r="D9630" s="2889" t="s">
        <v>1599</v>
      </c>
      <c r="E9630" s="2889" t="s">
        <v>1426</v>
      </c>
      <c r="F9630" s="2891"/>
      <c r="G9630" s="2890">
        <v>1.4161849396318106E-29</v>
      </c>
    </row>
    <row r="9631" spans="2:7" ht="15" outlineLevel="1" collapsed="1">
      <c r="B9631" s="2889"/>
      <c r="C9631" s="2889"/>
      <c r="D9631" s="3042" t="s">
        <v>1693</v>
      </c>
      <c r="E9631" s="2889"/>
      <c r="F9631" s="2891">
        <f>SUBTOTAL(9,F9535:F9630)</f>
        <v>1.4102938324568783</v>
      </c>
      <c r="G9631" s="2890">
        <f>SUBTOTAL(9,G9535:G9630)</f>
        <v>12235.031042766072</v>
      </c>
    </row>
    <row r="9632" spans="2:7" ht="15" hidden="1" outlineLevel="2">
      <c r="B9632" s="2889" t="s">
        <v>1407</v>
      </c>
      <c r="C9632" s="2889" t="s">
        <v>1603</v>
      </c>
      <c r="D9632" s="2889" t="s">
        <v>1604</v>
      </c>
      <c r="E9632" s="2889" t="s">
        <v>217</v>
      </c>
      <c r="F9632" s="3039">
        <v>6.3625560135058758E-36</v>
      </c>
      <c r="G9632" s="2890">
        <v>7.370579327563089E-33</v>
      </c>
    </row>
    <row r="9633" spans="2:7" ht="15" hidden="1" outlineLevel="2">
      <c r="B9633" s="2889" t="s">
        <v>1631</v>
      </c>
      <c r="C9633" s="2889" t="s">
        <v>1603</v>
      </c>
      <c r="D9633" s="2889" t="s">
        <v>1604</v>
      </c>
      <c r="E9633" s="2889" t="s">
        <v>217</v>
      </c>
      <c r="F9633" s="3039">
        <v>1.083038714440662E-33</v>
      </c>
      <c r="G9633" s="2890">
        <v>1.3540678341841603E-30</v>
      </c>
    </row>
    <row r="9634" spans="2:7" ht="15" hidden="1" outlineLevel="2">
      <c r="B9634" s="2889" t="s">
        <v>1632</v>
      </c>
      <c r="C9634" s="2889" t="s">
        <v>1603</v>
      </c>
      <c r="D9634" s="2889" t="s">
        <v>1604</v>
      </c>
      <c r="E9634" s="2889" t="s">
        <v>217</v>
      </c>
      <c r="F9634" s="3039">
        <v>1.6685691472936203E-2</v>
      </c>
      <c r="G9634" s="2890">
        <v>20.088329130503634</v>
      </c>
    </row>
    <row r="9635" spans="2:7" ht="15" hidden="1" outlineLevel="2">
      <c r="B9635" s="2889" t="s">
        <v>1633</v>
      </c>
      <c r="C9635" s="2889" t="s">
        <v>1603</v>
      </c>
      <c r="D9635" s="2889" t="s">
        <v>1604</v>
      </c>
      <c r="E9635" s="2889" t="s">
        <v>217</v>
      </c>
      <c r="F9635" s="3039">
        <v>4.3350506462682783E-36</v>
      </c>
      <c r="G9635" s="2890">
        <v>5.5241704489547512E-33</v>
      </c>
    </row>
    <row r="9636" spans="2:7" ht="15" hidden="1" outlineLevel="2">
      <c r="B9636" s="2889" t="s">
        <v>1634</v>
      </c>
      <c r="C9636" s="2889" t="s">
        <v>1603</v>
      </c>
      <c r="D9636" s="2889" t="s">
        <v>1604</v>
      </c>
      <c r="E9636" s="2889" t="s">
        <v>217</v>
      </c>
      <c r="F9636" s="3039">
        <v>8.5898610198684103E-35</v>
      </c>
      <c r="G9636" s="2890">
        <v>1.0190821470877713E-31</v>
      </c>
    </row>
    <row r="9637" spans="2:7" ht="15" hidden="1" outlineLevel="2">
      <c r="B9637" s="2889" t="s">
        <v>1635</v>
      </c>
      <c r="C9637" s="2889" t="s">
        <v>1603</v>
      </c>
      <c r="D9637" s="2889" t="s">
        <v>1604</v>
      </c>
      <c r="E9637" s="2889" t="s">
        <v>217</v>
      </c>
      <c r="F9637" s="3039">
        <v>1.6685691472936203E-2</v>
      </c>
      <c r="G9637" s="2890">
        <v>20.088329130503634</v>
      </c>
    </row>
    <row r="9638" spans="2:7" ht="15" hidden="1" outlineLevel="2">
      <c r="B9638" s="2889" t="s">
        <v>1636</v>
      </c>
      <c r="C9638" s="2889" t="s">
        <v>1603</v>
      </c>
      <c r="D9638" s="2889" t="s">
        <v>1604</v>
      </c>
      <c r="E9638" s="2889" t="s">
        <v>217</v>
      </c>
      <c r="F9638" s="3039">
        <v>2.8661987182845824E-34</v>
      </c>
      <c r="G9638" s="2890">
        <v>3.3224387853505758E-31</v>
      </c>
    </row>
    <row r="9639" spans="2:7" ht="15" hidden="1" outlineLevel="2">
      <c r="B9639" s="2889" t="s">
        <v>1637</v>
      </c>
      <c r="C9639" s="2889" t="s">
        <v>1603</v>
      </c>
      <c r="D9639" s="2889" t="s">
        <v>1604</v>
      </c>
      <c r="E9639" s="2889" t="s">
        <v>217</v>
      </c>
      <c r="F9639" s="3039">
        <v>8.8078438118890436E-35</v>
      </c>
      <c r="G9639" s="2890">
        <v>1.0440683611184075E-31</v>
      </c>
    </row>
    <row r="9640" spans="2:7" ht="15" hidden="1" outlineLevel="2">
      <c r="B9640" s="2889" t="s">
        <v>1638</v>
      </c>
      <c r="C9640" s="2889" t="s">
        <v>1603</v>
      </c>
      <c r="D9640" s="2889" t="s">
        <v>1604</v>
      </c>
      <c r="E9640" s="2889" t="s">
        <v>217</v>
      </c>
      <c r="F9640" s="3039">
        <v>1.3847646596244949E-33</v>
      </c>
      <c r="G9640" s="2890">
        <v>1.6437961088360134E-30</v>
      </c>
    </row>
    <row r="9641" spans="2:7" ht="15" hidden="1" outlineLevel="2">
      <c r="B9641" s="2889" t="s">
        <v>1639</v>
      </c>
      <c r="C9641" s="2889" t="s">
        <v>1603</v>
      </c>
      <c r="D9641" s="2889" t="s">
        <v>1604</v>
      </c>
      <c r="E9641" s="2889" t="s">
        <v>217</v>
      </c>
      <c r="F9641" s="3039">
        <v>8.5993545433003732E-35</v>
      </c>
      <c r="G9641" s="2890">
        <v>1.0190821488480301E-31</v>
      </c>
    </row>
    <row r="9642" spans="2:7" ht="15" hidden="1" outlineLevel="2">
      <c r="B9642" s="2889" t="s">
        <v>1640</v>
      </c>
      <c r="C9642" s="2889" t="s">
        <v>1603</v>
      </c>
      <c r="D9642" s="2889" t="s">
        <v>1604</v>
      </c>
      <c r="E9642" s="2889" t="s">
        <v>217</v>
      </c>
      <c r="F9642" s="3039">
        <v>6.406622441749647E-37</v>
      </c>
      <c r="G9642" s="2890">
        <v>7.6822854802757556E-34</v>
      </c>
    </row>
    <row r="9643" spans="2:7" ht="15" hidden="1" outlineLevel="2">
      <c r="B9643" s="2889" t="s">
        <v>1641</v>
      </c>
      <c r="C9643" s="2889" t="s">
        <v>1603</v>
      </c>
      <c r="D9643" s="2889" t="s">
        <v>1604</v>
      </c>
      <c r="E9643" s="2889" t="s">
        <v>217</v>
      </c>
      <c r="F9643" s="2890">
        <v>7.5844068785508633E-3</v>
      </c>
      <c r="G9643" s="2890">
        <v>9.1310573255514811</v>
      </c>
    </row>
    <row r="9644" spans="2:7" ht="15" hidden="1" outlineLevel="2">
      <c r="B9644" s="2889" t="s">
        <v>1642</v>
      </c>
      <c r="C9644" s="2889" t="s">
        <v>1603</v>
      </c>
      <c r="D9644" s="2889" t="s">
        <v>1604</v>
      </c>
      <c r="E9644" s="2889" t="s">
        <v>217</v>
      </c>
      <c r="F9644" s="2890">
        <v>6.0675241775003143E-3</v>
      </c>
      <c r="G9644" s="2890">
        <v>7.3048477072746651</v>
      </c>
    </row>
    <row r="9645" spans="2:7" ht="15" hidden="1" outlineLevel="2">
      <c r="B9645" s="2889" t="s">
        <v>1643</v>
      </c>
      <c r="C9645" s="2889" t="s">
        <v>1603</v>
      </c>
      <c r="D9645" s="2889" t="s">
        <v>1604</v>
      </c>
      <c r="E9645" s="2889" t="s">
        <v>217</v>
      </c>
      <c r="F9645" s="2890">
        <v>2.2566889688663539E-2</v>
      </c>
      <c r="G9645" s="2890">
        <v>27.11119230094592</v>
      </c>
    </row>
    <row r="9646" spans="2:7" ht="15" hidden="1" outlineLevel="2">
      <c r="B9646" s="2889" t="s">
        <v>1644</v>
      </c>
      <c r="C9646" s="2889" t="s">
        <v>1603</v>
      </c>
      <c r="D9646" s="2889" t="s">
        <v>1604</v>
      </c>
      <c r="E9646" s="2889" t="s">
        <v>217</v>
      </c>
      <c r="F9646" s="2890">
        <v>1.1887021458895242E-33</v>
      </c>
      <c r="G9646" s="2890">
        <v>1.390752821155065E-30</v>
      </c>
    </row>
    <row r="9647" spans="2:7" ht="15" hidden="1" outlineLevel="2">
      <c r="B9647" s="2889" t="s">
        <v>1645</v>
      </c>
      <c r="C9647" s="2889" t="s">
        <v>1603</v>
      </c>
      <c r="D9647" s="2889" t="s">
        <v>1604</v>
      </c>
      <c r="E9647" s="2889" t="s">
        <v>217</v>
      </c>
      <c r="F9647" s="2890">
        <v>2.1844146577000001E-33</v>
      </c>
      <c r="G9647" s="2890">
        <v>2.6641730390000002E-30</v>
      </c>
    </row>
    <row r="9648" spans="2:7" ht="15" hidden="1" outlineLevel="2">
      <c r="B9648" s="2889" t="s">
        <v>1646</v>
      </c>
      <c r="C9648" s="2889" t="s">
        <v>1603</v>
      </c>
      <c r="D9648" s="2889" t="s">
        <v>1604</v>
      </c>
      <c r="E9648" s="2889" t="s">
        <v>217</v>
      </c>
      <c r="F9648" s="2890">
        <v>3.5159328099357565E-38</v>
      </c>
      <c r="G9648" s="2890">
        <v>4.2522794678666422E-35</v>
      </c>
    </row>
    <row r="9649" spans="2:7" ht="15" hidden="1" outlineLevel="2">
      <c r="B9649" s="2889" t="s">
        <v>1647</v>
      </c>
      <c r="C9649" s="2889" t="s">
        <v>1603</v>
      </c>
      <c r="D9649" s="2889" t="s">
        <v>1604</v>
      </c>
      <c r="E9649" s="2889" t="s">
        <v>217</v>
      </c>
      <c r="F9649" s="2890">
        <v>1.1308463101756586E-35</v>
      </c>
      <c r="G9649" s="2890">
        <v>1.3633235801716551E-32</v>
      </c>
    </row>
    <row r="9650" spans="2:7" ht="15" hidden="1" outlineLevel="2">
      <c r="B9650" s="2889" t="s">
        <v>1648</v>
      </c>
      <c r="C9650" s="2889" t="s">
        <v>1603</v>
      </c>
      <c r="D9650" s="2889" t="s">
        <v>1604</v>
      </c>
      <c r="E9650" s="2889" t="s">
        <v>217</v>
      </c>
      <c r="F9650" s="2890">
        <v>1.2846700037536762E-33</v>
      </c>
      <c r="G9650" s="2890">
        <v>1.5042958365886881E-30</v>
      </c>
    </row>
    <row r="9651" spans="2:7" ht="15" hidden="1" outlineLevel="2">
      <c r="B9651" s="2889" t="s">
        <v>1649</v>
      </c>
      <c r="C9651" s="2889" t="s">
        <v>1603</v>
      </c>
      <c r="D9651" s="2889" t="s">
        <v>1604</v>
      </c>
      <c r="E9651" s="2889" t="s">
        <v>217</v>
      </c>
      <c r="F9651" s="2890">
        <v>1.0379941144339633E-33</v>
      </c>
      <c r="G9651" s="2890">
        <v>1.3260307253321559E-30</v>
      </c>
    </row>
    <row r="9652" spans="2:7" ht="15" hidden="1" outlineLevel="2">
      <c r="B9652" s="2889" t="s">
        <v>1650</v>
      </c>
      <c r="C9652" s="2889" t="s">
        <v>1603</v>
      </c>
      <c r="D9652" s="2889" t="s">
        <v>1604</v>
      </c>
      <c r="E9652" s="2889" t="s">
        <v>217</v>
      </c>
      <c r="F9652" s="2890">
        <v>6.0932519104968698E-3</v>
      </c>
      <c r="G9652" s="2890">
        <v>7.3048477072746651</v>
      </c>
    </row>
    <row r="9653" spans="2:7" ht="15" hidden="1" outlineLevel="2">
      <c r="B9653" s="2889" t="s">
        <v>1651</v>
      </c>
      <c r="C9653" s="2889" t="s">
        <v>1603</v>
      </c>
      <c r="D9653" s="2889" t="s">
        <v>1604</v>
      </c>
      <c r="E9653" s="2889" t="s">
        <v>217</v>
      </c>
      <c r="F9653" s="2890">
        <v>7.598663754000002E-36</v>
      </c>
      <c r="G9653" s="2890">
        <v>8.85375392E-33</v>
      </c>
    </row>
    <row r="9654" spans="2:7" ht="15" hidden="1" outlineLevel="2">
      <c r="B9654" s="2889" t="s">
        <v>1652</v>
      </c>
      <c r="C9654" s="2889" t="s">
        <v>1603</v>
      </c>
      <c r="D9654" s="2889" t="s">
        <v>1604</v>
      </c>
      <c r="E9654" s="2889" t="s">
        <v>217</v>
      </c>
      <c r="F9654" s="2890">
        <v>1.7136401028999999E-35</v>
      </c>
      <c r="G9654" s="2890">
        <v>1.9967684263999999E-32</v>
      </c>
    </row>
    <row r="9655" spans="2:7" ht="15" hidden="1" outlineLevel="2">
      <c r="B9655" s="2889" t="s">
        <v>1653</v>
      </c>
      <c r="C9655" s="2889" t="s">
        <v>1603</v>
      </c>
      <c r="D9655" s="2889" t="s">
        <v>1604</v>
      </c>
      <c r="E9655" s="2889" t="s">
        <v>217</v>
      </c>
      <c r="F9655" s="2890">
        <v>1.6685691472936203E-2</v>
      </c>
      <c r="G9655" s="2890">
        <v>20.088329130503634</v>
      </c>
    </row>
    <row r="9656" spans="2:7" ht="15" hidden="1" outlineLevel="2">
      <c r="B9656" s="2889" t="s">
        <v>1407</v>
      </c>
      <c r="C9656" s="2889" t="s">
        <v>1605</v>
      </c>
      <c r="D9656" s="2889" t="s">
        <v>1604</v>
      </c>
      <c r="E9656" s="2889" t="s">
        <v>1423</v>
      </c>
      <c r="F9656" s="2890">
        <v>3.136151520901011E-33</v>
      </c>
      <c r="G9656" s="2890">
        <v>7.3601632656396319E-31</v>
      </c>
    </row>
    <row r="9657" spans="2:7" ht="15" hidden="1" outlineLevel="2">
      <c r="B9657" s="2889" t="s">
        <v>1631</v>
      </c>
      <c r="C9657" s="2889" t="s">
        <v>1605</v>
      </c>
      <c r="D9657" s="2889" t="s">
        <v>1604</v>
      </c>
      <c r="E9657" s="2889" t="s">
        <v>1423</v>
      </c>
      <c r="F9657" s="2890">
        <v>3.136151520901011E-33</v>
      </c>
      <c r="G9657" s="2890">
        <v>7.3601632656396319E-31</v>
      </c>
    </row>
    <row r="9658" spans="2:7" ht="15" hidden="1" outlineLevel="2">
      <c r="B9658" s="2889" t="s">
        <v>1632</v>
      </c>
      <c r="C9658" s="2889" t="s">
        <v>1605</v>
      </c>
      <c r="D9658" s="2889" t="s">
        <v>1604</v>
      </c>
      <c r="E9658" s="2889" t="s">
        <v>1423</v>
      </c>
      <c r="F9658" s="2890">
        <v>5.968856006320887E-2</v>
      </c>
      <c r="G9658" s="2890">
        <v>13.648946798389323</v>
      </c>
    </row>
    <row r="9659" spans="2:7" ht="15" hidden="1" outlineLevel="2">
      <c r="B9659" s="2889" t="s">
        <v>1633</v>
      </c>
      <c r="C9659" s="2889" t="s">
        <v>1605</v>
      </c>
      <c r="D9659" s="2889" t="s">
        <v>1604</v>
      </c>
      <c r="E9659" s="2889" t="s">
        <v>1423</v>
      </c>
      <c r="F9659" s="2890">
        <v>3.136151520901011E-33</v>
      </c>
      <c r="G9659" s="2890">
        <v>7.3601632656396319E-31</v>
      </c>
    </row>
    <row r="9660" spans="2:7" ht="15" hidden="1" outlineLevel="2">
      <c r="B9660" s="2889" t="s">
        <v>1634</v>
      </c>
      <c r="C9660" s="2889" t="s">
        <v>1605</v>
      </c>
      <c r="D9660" s="2889" t="s">
        <v>1604</v>
      </c>
      <c r="E9660" s="2889" t="s">
        <v>1423</v>
      </c>
      <c r="F9660" s="2890">
        <v>3.136151520901011E-33</v>
      </c>
      <c r="G9660" s="2890">
        <v>7.3601632656396319E-31</v>
      </c>
    </row>
    <row r="9661" spans="2:7" ht="15" hidden="1" outlineLevel="2">
      <c r="B9661" s="2889" t="s">
        <v>1635</v>
      </c>
      <c r="C9661" s="2889" t="s">
        <v>1605</v>
      </c>
      <c r="D9661" s="2889" t="s">
        <v>1604</v>
      </c>
      <c r="E9661" s="2889" t="s">
        <v>1423</v>
      </c>
      <c r="F9661" s="2890">
        <v>5.968856006320887E-2</v>
      </c>
      <c r="G9661" s="2890">
        <v>13.648946798389323</v>
      </c>
    </row>
    <row r="9662" spans="2:7" ht="15" hidden="1" outlineLevel="2">
      <c r="B9662" s="2889" t="s">
        <v>1636</v>
      </c>
      <c r="C9662" s="2889" t="s">
        <v>1605</v>
      </c>
      <c r="D9662" s="2889" t="s">
        <v>1604</v>
      </c>
      <c r="E9662" s="2889" t="s">
        <v>1423</v>
      </c>
      <c r="F9662" s="2890">
        <v>3.136151520901011E-33</v>
      </c>
      <c r="G9662" s="2890">
        <v>7.3601632656396319E-31</v>
      </c>
    </row>
    <row r="9663" spans="2:7" ht="15" hidden="1" outlineLevel="2">
      <c r="B9663" s="2889" t="s">
        <v>1637</v>
      </c>
      <c r="C9663" s="2889" t="s">
        <v>1605</v>
      </c>
      <c r="D9663" s="2889" t="s">
        <v>1604</v>
      </c>
      <c r="E9663" s="2889" t="s">
        <v>1423</v>
      </c>
      <c r="F9663" s="3039">
        <v>3.136151520901011E-33</v>
      </c>
      <c r="G9663" s="2890">
        <v>7.3601632656396319E-31</v>
      </c>
    </row>
    <row r="9664" spans="2:7" ht="15" hidden="1" outlineLevel="2">
      <c r="B9664" s="2889" t="s">
        <v>1638</v>
      </c>
      <c r="C9664" s="2889" t="s">
        <v>1605</v>
      </c>
      <c r="D9664" s="2889" t="s">
        <v>1604</v>
      </c>
      <c r="E9664" s="2889" t="s">
        <v>1423</v>
      </c>
      <c r="F9664" s="3039">
        <v>3.136151520901011E-33</v>
      </c>
      <c r="G9664" s="2890">
        <v>7.3601632656396319E-31</v>
      </c>
    </row>
    <row r="9665" spans="2:7" ht="15" hidden="1" outlineLevel="2">
      <c r="B9665" s="2889" t="s">
        <v>1639</v>
      </c>
      <c r="C9665" s="2889" t="s">
        <v>1605</v>
      </c>
      <c r="D9665" s="2889" t="s">
        <v>1604</v>
      </c>
      <c r="E9665" s="2889" t="s">
        <v>1423</v>
      </c>
      <c r="F9665" s="3039">
        <v>3.136151520901011E-33</v>
      </c>
      <c r="G9665" s="2890">
        <v>7.3601632656396319E-31</v>
      </c>
    </row>
    <row r="9666" spans="2:7" ht="15" hidden="1" outlineLevel="2">
      <c r="B9666" s="2889" t="s">
        <v>1640</v>
      </c>
      <c r="C9666" s="2889" t="s">
        <v>1605</v>
      </c>
      <c r="D9666" s="2889" t="s">
        <v>1604</v>
      </c>
      <c r="E9666" s="2889" t="s">
        <v>1423</v>
      </c>
      <c r="F9666" s="3039">
        <v>3.136151520901011E-33</v>
      </c>
      <c r="G9666" s="2890">
        <v>7.3601632656396319E-31</v>
      </c>
    </row>
    <row r="9667" spans="2:7" ht="15" hidden="1" outlineLevel="2">
      <c r="B9667" s="2889" t="s">
        <v>1641</v>
      </c>
      <c r="C9667" s="2889" t="s">
        <v>1605</v>
      </c>
      <c r="D9667" s="2889" t="s">
        <v>1604</v>
      </c>
      <c r="E9667" s="2889" t="s">
        <v>1423</v>
      </c>
      <c r="F9667" s="3039">
        <v>2.7131161235763937E-2</v>
      </c>
      <c r="G9667" s="2890">
        <v>6.204061191161367</v>
      </c>
    </row>
    <row r="9668" spans="2:7" ht="15" hidden="1" outlineLevel="2">
      <c r="B9668" s="2889" t="s">
        <v>1642</v>
      </c>
      <c r="C9668" s="2889" t="s">
        <v>1605</v>
      </c>
      <c r="D9668" s="2889" t="s">
        <v>1604</v>
      </c>
      <c r="E9668" s="2889" t="s">
        <v>1423</v>
      </c>
      <c r="F9668" s="3039">
        <v>2.1704919503229895E-2</v>
      </c>
      <c r="G9668" s="2890">
        <v>4.963250424254591</v>
      </c>
    </row>
    <row r="9669" spans="2:7" ht="15" hidden="1" outlineLevel="2">
      <c r="B9669" s="2889" t="s">
        <v>1643</v>
      </c>
      <c r="C9669" s="2889" t="s">
        <v>1605</v>
      </c>
      <c r="D9669" s="2889" t="s">
        <v>1604</v>
      </c>
      <c r="E9669" s="2889" t="s">
        <v>1423</v>
      </c>
      <c r="F9669" s="3039">
        <v>8.0555630568600212E-2</v>
      </c>
      <c r="G9669" s="2890">
        <v>18.420607807258381</v>
      </c>
    </row>
    <row r="9670" spans="2:7" ht="15" hidden="1" outlineLevel="2">
      <c r="B9670" s="2889" t="s">
        <v>1644</v>
      </c>
      <c r="C9670" s="2889" t="s">
        <v>1605</v>
      </c>
      <c r="D9670" s="2889" t="s">
        <v>1604</v>
      </c>
      <c r="E9670" s="2889" t="s">
        <v>1423</v>
      </c>
      <c r="F9670" s="2890">
        <v>3.136151520901011E-33</v>
      </c>
      <c r="G9670" s="2890">
        <v>7.3601632656396319E-31</v>
      </c>
    </row>
    <row r="9671" spans="2:7" ht="15" hidden="1" outlineLevel="2">
      <c r="B9671" s="2889" t="s">
        <v>1645</v>
      </c>
      <c r="C9671" s="2889" t="s">
        <v>1605</v>
      </c>
      <c r="D9671" s="2889" t="s">
        <v>1604</v>
      </c>
      <c r="E9671" s="2889" t="s">
        <v>1423</v>
      </c>
      <c r="F9671" s="2890">
        <v>3.1359396728E-33</v>
      </c>
      <c r="G9671" s="2890">
        <v>7.3524077000000003E-31</v>
      </c>
    </row>
    <row r="9672" spans="2:7" ht="15" hidden="1" outlineLevel="2">
      <c r="B9672" s="2889" t="s">
        <v>1646</v>
      </c>
      <c r="C9672" s="2889" t="s">
        <v>1605</v>
      </c>
      <c r="D9672" s="2889" t="s">
        <v>1604</v>
      </c>
      <c r="E9672" s="2889" t="s">
        <v>1423</v>
      </c>
      <c r="F9672" s="2890">
        <v>3.1361515209010083E-33</v>
      </c>
      <c r="G9672" s="2890">
        <v>7.3601632656396091E-31</v>
      </c>
    </row>
    <row r="9673" spans="2:7" ht="15" hidden="1" outlineLevel="2">
      <c r="B9673" s="2889" t="s">
        <v>1647</v>
      </c>
      <c r="C9673" s="2889" t="s">
        <v>1605</v>
      </c>
      <c r="D9673" s="2889" t="s">
        <v>1604</v>
      </c>
      <c r="E9673" s="2889" t="s">
        <v>1423</v>
      </c>
      <c r="F9673" s="2890">
        <v>3.136151520901011E-33</v>
      </c>
      <c r="G9673" s="2890">
        <v>7.3601632656396319E-31</v>
      </c>
    </row>
    <row r="9674" spans="2:7" ht="15" hidden="1" outlineLevel="2">
      <c r="B9674" s="2889" t="s">
        <v>1648</v>
      </c>
      <c r="C9674" s="2889" t="s">
        <v>1605</v>
      </c>
      <c r="D9674" s="2889" t="s">
        <v>1604</v>
      </c>
      <c r="E9674" s="2889" t="s">
        <v>1423</v>
      </c>
      <c r="F9674" s="2890">
        <v>3.136151520901011E-33</v>
      </c>
      <c r="G9674" s="2890">
        <v>7.3601632656396319E-31</v>
      </c>
    </row>
    <row r="9675" spans="2:7" ht="15" hidden="1" outlineLevel="2">
      <c r="B9675" s="2889" t="s">
        <v>1649</v>
      </c>
      <c r="C9675" s="2889" t="s">
        <v>1605</v>
      </c>
      <c r="D9675" s="2889" t="s">
        <v>1604</v>
      </c>
      <c r="E9675" s="2889" t="s">
        <v>1423</v>
      </c>
      <c r="F9675" s="2890">
        <v>3.136151520901011E-33</v>
      </c>
      <c r="G9675" s="2890">
        <v>7.3601632656396319E-31</v>
      </c>
    </row>
    <row r="9676" spans="2:7" ht="15" hidden="1" outlineLevel="2">
      <c r="B9676" s="2889" t="s">
        <v>1650</v>
      </c>
      <c r="C9676" s="2889" t="s">
        <v>1605</v>
      </c>
      <c r="D9676" s="2889" t="s">
        <v>1604</v>
      </c>
      <c r="E9676" s="2889" t="s">
        <v>1423</v>
      </c>
      <c r="F9676" s="2890">
        <v>2.1704919503229895E-2</v>
      </c>
      <c r="G9676" s="2890">
        <v>4.963250424254591</v>
      </c>
    </row>
    <row r="9677" spans="2:7" ht="15" hidden="1" outlineLevel="2">
      <c r="B9677" s="2889" t="s">
        <v>1651</v>
      </c>
      <c r="C9677" s="2889" t="s">
        <v>1605</v>
      </c>
      <c r="D9677" s="2889" t="s">
        <v>1604</v>
      </c>
      <c r="E9677" s="2889" t="s">
        <v>1423</v>
      </c>
      <c r="F9677" s="2890">
        <v>3.1359396728E-33</v>
      </c>
      <c r="G9677" s="2890">
        <v>7.3524077000000003E-31</v>
      </c>
    </row>
    <row r="9678" spans="2:7" ht="15" hidden="1" outlineLevel="2">
      <c r="B9678" s="2889" t="s">
        <v>1652</v>
      </c>
      <c r="C9678" s="2889" t="s">
        <v>1605</v>
      </c>
      <c r="D9678" s="2889" t="s">
        <v>1604</v>
      </c>
      <c r="E9678" s="2889" t="s">
        <v>1423</v>
      </c>
      <c r="F9678" s="2890">
        <v>3.1359396728E-33</v>
      </c>
      <c r="G9678" s="2890">
        <v>7.3524077000000003E-31</v>
      </c>
    </row>
    <row r="9679" spans="2:7" ht="15" hidden="1" outlineLevel="2">
      <c r="B9679" s="2889" t="s">
        <v>1653</v>
      </c>
      <c r="C9679" s="2889" t="s">
        <v>1605</v>
      </c>
      <c r="D9679" s="2889" t="s">
        <v>1604</v>
      </c>
      <c r="E9679" s="2889" t="s">
        <v>1423</v>
      </c>
      <c r="F9679" s="2890">
        <v>5.968856006320887E-2</v>
      </c>
      <c r="G9679" s="2890">
        <v>13.648946798389323</v>
      </c>
    </row>
    <row r="9680" spans="2:7" ht="15" hidden="1" outlineLevel="2">
      <c r="B9680" s="2889" t="s">
        <v>1407</v>
      </c>
      <c r="C9680" s="2889" t="s">
        <v>1606</v>
      </c>
      <c r="D9680" s="2889" t="s">
        <v>1604</v>
      </c>
      <c r="E9680" s="2889" t="s">
        <v>1426</v>
      </c>
      <c r="F9680" s="3040"/>
      <c r="G9680" s="2890">
        <v>7.9720101268876722E-32</v>
      </c>
    </row>
    <row r="9681" spans="2:7" ht="15" hidden="1" outlineLevel="2">
      <c r="B9681" s="2889" t="s">
        <v>1631</v>
      </c>
      <c r="C9681" s="2889" t="s">
        <v>1606</v>
      </c>
      <c r="D9681" s="2889" t="s">
        <v>1604</v>
      </c>
      <c r="E9681" s="2889" t="s">
        <v>1426</v>
      </c>
      <c r="F9681" s="2890">
        <v>2.3468378065165502E-36</v>
      </c>
      <c r="G9681" s="2890">
        <v>7.9720101268876722E-32</v>
      </c>
    </row>
    <row r="9682" spans="2:7" ht="15" hidden="1" outlineLevel="2">
      <c r="B9682" s="2889" t="s">
        <v>1632</v>
      </c>
      <c r="C9682" s="2889" t="s">
        <v>1606</v>
      </c>
      <c r="D9682" s="2889" t="s">
        <v>1604</v>
      </c>
      <c r="E9682" s="2889" t="s">
        <v>1426</v>
      </c>
      <c r="F9682" s="3040"/>
      <c r="G9682" s="2890">
        <v>72.367194478489935</v>
      </c>
    </row>
    <row r="9683" spans="2:7" ht="15" hidden="1" outlineLevel="2">
      <c r="B9683" s="2889" t="s">
        <v>1633</v>
      </c>
      <c r="C9683" s="2889" t="s">
        <v>1606</v>
      </c>
      <c r="D9683" s="2889" t="s">
        <v>1604</v>
      </c>
      <c r="E9683" s="2889" t="s">
        <v>1426</v>
      </c>
      <c r="F9683" s="3040"/>
      <c r="G9683" s="2890">
        <v>7.9720101268876722E-32</v>
      </c>
    </row>
    <row r="9684" spans="2:7" ht="15" hidden="1" outlineLevel="2">
      <c r="B9684" s="2889" t="s">
        <v>1634</v>
      </c>
      <c r="C9684" s="2889" t="s">
        <v>1606</v>
      </c>
      <c r="D9684" s="2889" t="s">
        <v>1604</v>
      </c>
      <c r="E9684" s="2889" t="s">
        <v>1426</v>
      </c>
      <c r="F9684" s="3040"/>
      <c r="G9684" s="2890">
        <v>7.9720101268876722E-32</v>
      </c>
    </row>
    <row r="9685" spans="2:7" ht="15" hidden="1" outlineLevel="2">
      <c r="B9685" s="2889" t="s">
        <v>1635</v>
      </c>
      <c r="C9685" s="2889" t="s">
        <v>1606</v>
      </c>
      <c r="D9685" s="2889" t="s">
        <v>1604</v>
      </c>
      <c r="E9685" s="2889" t="s">
        <v>1426</v>
      </c>
      <c r="F9685" s="3040"/>
      <c r="G9685" s="2890">
        <v>72.367194478489935</v>
      </c>
    </row>
    <row r="9686" spans="2:7" ht="15" hidden="1" outlineLevel="2">
      <c r="B9686" s="2889" t="s">
        <v>1636</v>
      </c>
      <c r="C9686" s="2889" t="s">
        <v>1606</v>
      </c>
      <c r="D9686" s="2889" t="s">
        <v>1604</v>
      </c>
      <c r="E9686" s="2889" t="s">
        <v>1426</v>
      </c>
      <c r="F9686" s="3040"/>
      <c r="G9686" s="2890">
        <v>7.9720101268876722E-32</v>
      </c>
    </row>
    <row r="9687" spans="2:7" ht="15" hidden="1" outlineLevel="2">
      <c r="B9687" s="2889" t="s">
        <v>1637</v>
      </c>
      <c r="C9687" s="2889" t="s">
        <v>1606</v>
      </c>
      <c r="D9687" s="2889" t="s">
        <v>1604</v>
      </c>
      <c r="E9687" s="2889" t="s">
        <v>1426</v>
      </c>
      <c r="F9687" s="3040"/>
      <c r="G9687" s="2890">
        <v>7.9720101268876722E-32</v>
      </c>
    </row>
    <row r="9688" spans="2:7" ht="15" hidden="1" outlineLevel="2">
      <c r="B9688" s="2889" t="s">
        <v>1638</v>
      </c>
      <c r="C9688" s="2889" t="s">
        <v>1606</v>
      </c>
      <c r="D9688" s="2889" t="s">
        <v>1604</v>
      </c>
      <c r="E9688" s="2889" t="s">
        <v>1426</v>
      </c>
      <c r="F9688" s="3040"/>
      <c r="G9688" s="2890">
        <v>7.9720101268876722E-32</v>
      </c>
    </row>
    <row r="9689" spans="2:7" ht="15" hidden="1" outlineLevel="2">
      <c r="B9689" s="2889" t="s">
        <v>1639</v>
      </c>
      <c r="C9689" s="2889" t="s">
        <v>1606</v>
      </c>
      <c r="D9689" s="2889" t="s">
        <v>1604</v>
      </c>
      <c r="E9689" s="2889" t="s">
        <v>1426</v>
      </c>
      <c r="F9689" s="3040"/>
      <c r="G9689" s="2890">
        <v>7.9720101268876722E-32</v>
      </c>
    </row>
    <row r="9690" spans="2:7" ht="15" hidden="1" outlineLevel="2">
      <c r="B9690" s="2889" t="s">
        <v>1640</v>
      </c>
      <c r="C9690" s="2889" t="s">
        <v>1606</v>
      </c>
      <c r="D9690" s="2889" t="s">
        <v>1604</v>
      </c>
      <c r="E9690" s="2889" t="s">
        <v>1426</v>
      </c>
      <c r="F9690" s="3040"/>
      <c r="G9690" s="2890">
        <v>7.9720101268876722E-32</v>
      </c>
    </row>
    <row r="9691" spans="2:7" ht="15" hidden="1" outlineLevel="2">
      <c r="B9691" s="2889" t="s">
        <v>1641</v>
      </c>
      <c r="C9691" s="2889" t="s">
        <v>1606</v>
      </c>
      <c r="D9691" s="2889" t="s">
        <v>1604</v>
      </c>
      <c r="E9691" s="2889" t="s">
        <v>1426</v>
      </c>
      <c r="F9691" s="3040"/>
      <c r="G9691" s="2890">
        <v>32.894184444489994</v>
      </c>
    </row>
    <row r="9692" spans="2:7" ht="15" hidden="1" outlineLevel="2">
      <c r="B9692" s="2889" t="s">
        <v>1642</v>
      </c>
      <c r="C9692" s="2889" t="s">
        <v>1606</v>
      </c>
      <c r="D9692" s="2889" t="s">
        <v>1604</v>
      </c>
      <c r="E9692" s="2889" t="s">
        <v>1426</v>
      </c>
      <c r="F9692" s="3040"/>
      <c r="G9692" s="2890">
        <v>26.315340949307451</v>
      </c>
    </row>
    <row r="9693" spans="2:7" ht="15" hidden="1" outlineLevel="2">
      <c r="B9693" s="2889" t="s">
        <v>1643</v>
      </c>
      <c r="C9693" s="2889" t="s">
        <v>1606</v>
      </c>
      <c r="D9693" s="2889" t="s">
        <v>1604</v>
      </c>
      <c r="E9693" s="2889" t="s">
        <v>1426</v>
      </c>
      <c r="F9693" s="3040"/>
      <c r="G9693" s="2890">
        <v>97.666706199576709</v>
      </c>
    </row>
    <row r="9694" spans="2:7" ht="15" hidden="1" outlineLevel="2">
      <c r="B9694" s="2889" t="s">
        <v>1644</v>
      </c>
      <c r="C9694" s="2889" t="s">
        <v>1606</v>
      </c>
      <c r="D9694" s="2889" t="s">
        <v>1604</v>
      </c>
      <c r="E9694" s="2889" t="s">
        <v>1426</v>
      </c>
      <c r="F9694" s="3040"/>
      <c r="G9694" s="2890">
        <v>7.9720101268876722E-32</v>
      </c>
    </row>
    <row r="9695" spans="2:7" ht="15" hidden="1" outlineLevel="2">
      <c r="B9695" s="2889" t="s">
        <v>1645</v>
      </c>
      <c r="C9695" s="2889" t="s">
        <v>1606</v>
      </c>
      <c r="D9695" s="2889" t="s">
        <v>1604</v>
      </c>
      <c r="E9695" s="2889" t="s">
        <v>1426</v>
      </c>
      <c r="F9695" s="3040"/>
      <c r="G9695" s="2890">
        <v>7.9710240719999993E-32</v>
      </c>
    </row>
    <row r="9696" spans="2:7" ht="15" hidden="1" outlineLevel="2">
      <c r="B9696" s="2889" t="s">
        <v>1646</v>
      </c>
      <c r="C9696" s="2889" t="s">
        <v>1606</v>
      </c>
      <c r="D9696" s="2889" t="s">
        <v>1604</v>
      </c>
      <c r="E9696" s="2889" t="s">
        <v>1426</v>
      </c>
      <c r="F9696" s="3040"/>
      <c r="G9696" s="2890">
        <v>7.9720101268876426E-32</v>
      </c>
    </row>
    <row r="9697" spans="2:7" ht="15" hidden="1" outlineLevel="2">
      <c r="B9697" s="2889" t="s">
        <v>1647</v>
      </c>
      <c r="C9697" s="2889" t="s">
        <v>1606</v>
      </c>
      <c r="D9697" s="2889" t="s">
        <v>1604</v>
      </c>
      <c r="E9697" s="2889" t="s">
        <v>1426</v>
      </c>
      <c r="F9697" s="3040"/>
      <c r="G9697" s="2890">
        <v>7.9720101268876722E-32</v>
      </c>
    </row>
    <row r="9698" spans="2:7" ht="15" hidden="1" outlineLevel="2">
      <c r="B9698" s="2889" t="s">
        <v>1648</v>
      </c>
      <c r="C9698" s="2889" t="s">
        <v>1606</v>
      </c>
      <c r="D9698" s="2889" t="s">
        <v>1604</v>
      </c>
      <c r="E9698" s="2889" t="s">
        <v>1426</v>
      </c>
      <c r="F9698" s="3040"/>
      <c r="G9698" s="2890">
        <v>7.9720101268876722E-32</v>
      </c>
    </row>
    <row r="9699" spans="2:7" ht="15" hidden="1" outlineLevel="2">
      <c r="B9699" s="2889" t="s">
        <v>1649</v>
      </c>
      <c r="C9699" s="2889" t="s">
        <v>1606</v>
      </c>
      <c r="D9699" s="2889" t="s">
        <v>1604</v>
      </c>
      <c r="E9699" s="2889" t="s">
        <v>1426</v>
      </c>
      <c r="F9699" s="3040"/>
      <c r="G9699" s="2890">
        <v>7.9720101268876722E-32</v>
      </c>
    </row>
    <row r="9700" spans="2:7" ht="15" hidden="1" outlineLevel="2">
      <c r="B9700" s="2889" t="s">
        <v>1650</v>
      </c>
      <c r="C9700" s="2889" t="s">
        <v>1606</v>
      </c>
      <c r="D9700" s="2889" t="s">
        <v>1604</v>
      </c>
      <c r="E9700" s="2889" t="s">
        <v>1426</v>
      </c>
      <c r="F9700" s="3040"/>
      <c r="G9700" s="2890">
        <v>26.315340949307451</v>
      </c>
    </row>
    <row r="9701" spans="2:7" ht="15" hidden="1" outlineLevel="2">
      <c r="B9701" s="2889" t="s">
        <v>1651</v>
      </c>
      <c r="C9701" s="2889" t="s">
        <v>1606</v>
      </c>
      <c r="D9701" s="2889" t="s">
        <v>1604</v>
      </c>
      <c r="E9701" s="2889" t="s">
        <v>1426</v>
      </c>
      <c r="F9701" s="3040"/>
      <c r="G9701" s="2890">
        <v>7.9710240719999993E-32</v>
      </c>
    </row>
    <row r="9702" spans="2:7" ht="15" hidden="1" outlineLevel="2">
      <c r="B9702" s="2889" t="s">
        <v>1652</v>
      </c>
      <c r="C9702" s="2889" t="s">
        <v>1606</v>
      </c>
      <c r="D9702" s="2889" t="s">
        <v>1604</v>
      </c>
      <c r="E9702" s="2889" t="s">
        <v>1426</v>
      </c>
      <c r="F9702" s="2891"/>
      <c r="G9702" s="2890">
        <v>7.9710240719999993E-32</v>
      </c>
    </row>
    <row r="9703" spans="2:7" ht="15" hidden="1" outlineLevel="2">
      <c r="B9703" s="2889" t="s">
        <v>1653</v>
      </c>
      <c r="C9703" s="2889" t="s">
        <v>1606</v>
      </c>
      <c r="D9703" s="2889" t="s">
        <v>1604</v>
      </c>
      <c r="E9703" s="2889" t="s">
        <v>1426</v>
      </c>
      <c r="F9703" s="2891"/>
      <c r="G9703" s="2890">
        <v>72.367194478489935</v>
      </c>
    </row>
    <row r="9704" spans="2:7" ht="15" outlineLevel="1" collapsed="1">
      <c r="B9704" s="2889"/>
      <c r="C9704" s="2889"/>
      <c r="D9704" s="3042" t="s">
        <v>1694</v>
      </c>
      <c r="E9704" s="2889"/>
      <c r="F9704" s="2891">
        <f>SUBTOTAL(9,F9632:F9703)</f>
        <v>0.42253145807447073</v>
      </c>
      <c r="G9704" s="2890">
        <f>SUBTOTAL(9,G9632:G9703)</f>
        <v>586.90809865280596</v>
      </c>
    </row>
    <row r="9705" spans="2:7" ht="15" hidden="1" outlineLevel="2">
      <c r="B9705" s="2889" t="s">
        <v>1407</v>
      </c>
      <c r="C9705" s="2889" t="s">
        <v>1607</v>
      </c>
      <c r="D9705" s="2889" t="s">
        <v>1608</v>
      </c>
      <c r="E9705" s="2889" t="s">
        <v>217</v>
      </c>
      <c r="F9705" s="3039">
        <v>0.80587668172606619</v>
      </c>
      <c r="G9705" s="2890">
        <v>662.21116533065538</v>
      </c>
    </row>
    <row r="9706" spans="2:7" ht="15" hidden="1" outlineLevel="2">
      <c r="B9706" s="2889" t="s">
        <v>1631</v>
      </c>
      <c r="C9706" s="2889" t="s">
        <v>1607</v>
      </c>
      <c r="D9706" s="2889" t="s">
        <v>1608</v>
      </c>
      <c r="E9706" s="2889" t="s">
        <v>217</v>
      </c>
      <c r="F9706" s="3039">
        <v>9.2437073020179188</v>
      </c>
      <c r="G9706" s="2890">
        <v>7585.3273372182566</v>
      </c>
    </row>
    <row r="9707" spans="2:7" ht="15" hidden="1" outlineLevel="2">
      <c r="B9707" s="2889" t="s">
        <v>1632</v>
      </c>
      <c r="C9707" s="2889" t="s">
        <v>1607</v>
      </c>
      <c r="D9707" s="2889" t="s">
        <v>1608</v>
      </c>
      <c r="E9707" s="2889" t="s">
        <v>217</v>
      </c>
      <c r="F9707" s="3039">
        <v>7.1076087153032175</v>
      </c>
      <c r="G9707" s="2890">
        <v>5839.4975347680975</v>
      </c>
    </row>
    <row r="9708" spans="2:7" ht="15" hidden="1" outlineLevel="2">
      <c r="B9708" s="2889" t="s">
        <v>1633</v>
      </c>
      <c r="C9708" s="2889" t="s">
        <v>1607</v>
      </c>
      <c r="D9708" s="2889" t="s">
        <v>1608</v>
      </c>
      <c r="E9708" s="2889" t="s">
        <v>217</v>
      </c>
      <c r="F9708" s="3039">
        <v>6.2283171292572517</v>
      </c>
      <c r="G9708" s="2890">
        <v>5117.0857672819175</v>
      </c>
    </row>
    <row r="9709" spans="2:7" ht="15" hidden="1" outlineLevel="2">
      <c r="B9709" s="2889" t="s">
        <v>1634</v>
      </c>
      <c r="C9709" s="2889" t="s">
        <v>1607</v>
      </c>
      <c r="D9709" s="2889" t="s">
        <v>1608</v>
      </c>
      <c r="E9709" s="2889" t="s">
        <v>217</v>
      </c>
      <c r="F9709" s="3039">
        <v>1.0989225367991728</v>
      </c>
      <c r="G9709" s="2890">
        <v>903.01526456314411</v>
      </c>
    </row>
    <row r="9710" spans="2:7" ht="15" hidden="1" outlineLevel="2">
      <c r="B9710" s="2889" t="s">
        <v>1635</v>
      </c>
      <c r="C9710" s="2889" t="s">
        <v>1607</v>
      </c>
      <c r="D9710" s="2889" t="s">
        <v>1608</v>
      </c>
      <c r="E9710" s="2889" t="s">
        <v>217</v>
      </c>
      <c r="F9710" s="2890">
        <v>0.58619466546712795</v>
      </c>
      <c r="G9710" s="2890">
        <v>481.60821273105205</v>
      </c>
    </row>
    <row r="9711" spans="2:7" ht="15" hidden="1" outlineLevel="2">
      <c r="B9711" s="2889" t="s">
        <v>1636</v>
      </c>
      <c r="C9711" s="2889" t="s">
        <v>1607</v>
      </c>
      <c r="D9711" s="2889" t="s">
        <v>1608</v>
      </c>
      <c r="E9711" s="2889" t="s">
        <v>217</v>
      </c>
      <c r="F9711" s="2890">
        <v>7.0343344674886792</v>
      </c>
      <c r="G9711" s="2890">
        <v>5779.2967433866179</v>
      </c>
    </row>
    <row r="9712" spans="2:7" ht="15" hidden="1" outlineLevel="2">
      <c r="B9712" s="2889" t="s">
        <v>1637</v>
      </c>
      <c r="C9712" s="2889" t="s">
        <v>1607</v>
      </c>
      <c r="D9712" s="2889" t="s">
        <v>1608</v>
      </c>
      <c r="E9712" s="2889" t="s">
        <v>217</v>
      </c>
      <c r="F9712" s="2890">
        <v>7.3274306966454112</v>
      </c>
      <c r="G9712" s="2890">
        <v>6020.1000629458349</v>
      </c>
    </row>
    <row r="9713" spans="2:7" ht="15" hidden="1" outlineLevel="2">
      <c r="B9713" s="2889" t="s">
        <v>1638</v>
      </c>
      <c r="C9713" s="2889" t="s">
        <v>1607</v>
      </c>
      <c r="D9713" s="2889" t="s">
        <v>1608</v>
      </c>
      <c r="E9713" s="2889" t="s">
        <v>217</v>
      </c>
      <c r="F9713" s="3039">
        <v>23.004115641085797</v>
      </c>
      <c r="G9713" s="2890">
        <v>18903.113341444572</v>
      </c>
    </row>
    <row r="9714" spans="2:7" ht="15" hidden="1" outlineLevel="2">
      <c r="B9714" s="2889" t="s">
        <v>1639</v>
      </c>
      <c r="C9714" s="2889" t="s">
        <v>1607</v>
      </c>
      <c r="D9714" s="2889" t="s">
        <v>1608</v>
      </c>
      <c r="E9714" s="2889" t="s">
        <v>217</v>
      </c>
      <c r="F9714" s="2890">
        <v>0.87929188289685734</v>
      </c>
      <c r="G9714" s="2890">
        <v>722.41218389483186</v>
      </c>
    </row>
    <row r="9715" spans="2:7" ht="15" hidden="1" outlineLevel="2">
      <c r="B9715" s="2889" t="s">
        <v>1640</v>
      </c>
      <c r="C9715" s="2889" t="s">
        <v>1607</v>
      </c>
      <c r="D9715" s="2889" t="s">
        <v>1608</v>
      </c>
      <c r="E9715" s="2889" t="s">
        <v>217</v>
      </c>
      <c r="F9715" s="2890">
        <v>1.5384917242285603</v>
      </c>
      <c r="G9715" s="2890">
        <v>1264.221425508676</v>
      </c>
    </row>
    <row r="9716" spans="2:7" ht="15" hidden="1" outlineLevel="2">
      <c r="B9716" s="2889" t="s">
        <v>1641</v>
      </c>
      <c r="C9716" s="2889" t="s">
        <v>1607</v>
      </c>
      <c r="D9716" s="2889" t="s">
        <v>1608</v>
      </c>
      <c r="E9716" s="2889" t="s">
        <v>217</v>
      </c>
      <c r="F9716" s="3039">
        <v>5.4222999331956645</v>
      </c>
      <c r="G9716" s="2890">
        <v>4454.8750399629271</v>
      </c>
    </row>
    <row r="9717" spans="2:7" ht="15" hidden="1" outlineLevel="2">
      <c r="B9717" s="2889" t="s">
        <v>1642</v>
      </c>
      <c r="C9717" s="2889" t="s">
        <v>1607</v>
      </c>
      <c r="D9717" s="2889" t="s">
        <v>1608</v>
      </c>
      <c r="E9717" s="2889" t="s">
        <v>217</v>
      </c>
      <c r="F9717" s="2890">
        <v>0.29309728493696025</v>
      </c>
      <c r="G9717" s="2890">
        <v>240.80410474911892</v>
      </c>
    </row>
    <row r="9718" spans="2:7" ht="15" hidden="1" outlineLevel="2">
      <c r="B9718" s="2889" t="s">
        <v>1643</v>
      </c>
      <c r="C9718" s="2889" t="s">
        <v>1607</v>
      </c>
      <c r="D9718" s="2889" t="s">
        <v>1608</v>
      </c>
      <c r="E9718" s="2889" t="s">
        <v>217</v>
      </c>
      <c r="F9718" s="2890">
        <v>10.840889353403078</v>
      </c>
      <c r="G9718" s="2890">
        <v>8906.9758584332849</v>
      </c>
    </row>
    <row r="9719" spans="2:7" ht="15" hidden="1" outlineLevel="2">
      <c r="B9719" s="2889" t="s">
        <v>1644</v>
      </c>
      <c r="C9719" s="2889" t="s">
        <v>1607</v>
      </c>
      <c r="D9719" s="2889" t="s">
        <v>1608</v>
      </c>
      <c r="E9719" s="2889" t="s">
        <v>217</v>
      </c>
      <c r="F9719" s="2890">
        <v>2.1982293795386298</v>
      </c>
      <c r="G9719" s="2890">
        <v>1806.0306274049431</v>
      </c>
    </row>
    <row r="9720" spans="2:7" ht="15" hidden="1" outlineLevel="2">
      <c r="B9720" s="2889" t="s">
        <v>1645</v>
      </c>
      <c r="C9720" s="2889" t="s">
        <v>1607</v>
      </c>
      <c r="D9720" s="2889" t="s">
        <v>1608</v>
      </c>
      <c r="E9720" s="2889" t="s">
        <v>217</v>
      </c>
      <c r="F9720" s="3039">
        <v>2.4913268220116276</v>
      </c>
      <c r="G9720" s="2890">
        <v>2046.8345687168089</v>
      </c>
    </row>
    <row r="9721" spans="2:7" ht="15" hidden="1" outlineLevel="2">
      <c r="B9721" s="2889" t="s">
        <v>1646</v>
      </c>
      <c r="C9721" s="2889" t="s">
        <v>1607</v>
      </c>
      <c r="D9721" s="2889" t="s">
        <v>1608</v>
      </c>
      <c r="E9721" s="2889" t="s">
        <v>217</v>
      </c>
      <c r="F9721" s="3039">
        <v>6.8877848610785088</v>
      </c>
      <c r="G9721" s="2890">
        <v>5658.8955671568156</v>
      </c>
    </row>
    <row r="9722" spans="2:7" ht="15" hidden="1" outlineLevel="2">
      <c r="B9722" s="2889" t="s">
        <v>1647</v>
      </c>
      <c r="C9722" s="2889" t="s">
        <v>1607</v>
      </c>
      <c r="D9722" s="2889" t="s">
        <v>1608</v>
      </c>
      <c r="E9722" s="2889" t="s">
        <v>217</v>
      </c>
      <c r="F9722" s="3039">
        <v>14.579042235892407</v>
      </c>
      <c r="G9722" s="2890">
        <v>11980.001689264287</v>
      </c>
    </row>
    <row r="9723" spans="2:7" ht="15" hidden="1" outlineLevel="2">
      <c r="B9723" s="2889" t="s">
        <v>1648</v>
      </c>
      <c r="C9723" s="2889" t="s">
        <v>1607</v>
      </c>
      <c r="D9723" s="2889" t="s">
        <v>1608</v>
      </c>
      <c r="E9723" s="2889" t="s">
        <v>217</v>
      </c>
      <c r="F9723" s="2890">
        <v>11.795102989506848</v>
      </c>
      <c r="G9723" s="2890">
        <v>9692.3628318309929</v>
      </c>
    </row>
    <row r="9724" spans="2:7" ht="15" hidden="1" outlineLevel="2">
      <c r="B9724" s="2889" t="s">
        <v>1649</v>
      </c>
      <c r="C9724" s="2889" t="s">
        <v>1607</v>
      </c>
      <c r="D9724" s="2889" t="s">
        <v>1608</v>
      </c>
      <c r="E9724" s="2889" t="s">
        <v>217</v>
      </c>
      <c r="F9724" s="2890">
        <v>13.333593116487345</v>
      </c>
      <c r="G9724" s="2890">
        <v>10956.584922687398</v>
      </c>
    </row>
    <row r="9725" spans="2:7" ht="15" hidden="1" outlineLevel="2">
      <c r="B9725" s="2889" t="s">
        <v>1650</v>
      </c>
      <c r="C9725" s="2889" t="s">
        <v>1607</v>
      </c>
      <c r="D9725" s="2889" t="s">
        <v>1608</v>
      </c>
      <c r="E9725" s="2889" t="s">
        <v>217</v>
      </c>
      <c r="F9725" s="2890">
        <v>1.7582760929188515</v>
      </c>
      <c r="G9725" s="2890">
        <v>1444.8244916845877</v>
      </c>
    </row>
    <row r="9726" spans="2:7" ht="15" hidden="1" outlineLevel="2">
      <c r="B9726" s="2889" t="s">
        <v>1651</v>
      </c>
      <c r="C9726" s="2889" t="s">
        <v>1607</v>
      </c>
      <c r="D9726" s="2889" t="s">
        <v>1608</v>
      </c>
      <c r="E9726" s="2889" t="s">
        <v>217</v>
      </c>
      <c r="F9726" s="2890">
        <v>3.2235064731661458</v>
      </c>
      <c r="G9726" s="2890">
        <v>2648.8446339886632</v>
      </c>
    </row>
    <row r="9727" spans="2:7" ht="15" hidden="1" outlineLevel="2">
      <c r="B9727" s="2889" t="s">
        <v>1652</v>
      </c>
      <c r="C9727" s="2889" t="s">
        <v>1607</v>
      </c>
      <c r="D9727" s="2889" t="s">
        <v>1608</v>
      </c>
      <c r="E9727" s="2889" t="s">
        <v>217</v>
      </c>
      <c r="F9727" s="2890">
        <v>23.736735306350074</v>
      </c>
      <c r="G9727" s="2890">
        <v>19505.127604044599</v>
      </c>
    </row>
    <row r="9728" spans="2:7" ht="15" hidden="1" outlineLevel="2">
      <c r="B9728" s="2889" t="s">
        <v>1653</v>
      </c>
      <c r="C9728" s="2889" t="s">
        <v>1607</v>
      </c>
      <c r="D9728" s="2889" t="s">
        <v>1608</v>
      </c>
      <c r="E9728" s="2889" t="s">
        <v>217</v>
      </c>
      <c r="F9728" s="2890">
        <v>2.271504020724989</v>
      </c>
      <c r="G9728" s="2890">
        <v>1866.2316841987492</v>
      </c>
    </row>
    <row r="9729" spans="2:7" ht="15" hidden="1" outlineLevel="2">
      <c r="B9729" s="2889" t="s">
        <v>1407</v>
      </c>
      <c r="C9729" s="2889" t="s">
        <v>1609</v>
      </c>
      <c r="D9729" s="2889" t="s">
        <v>1608</v>
      </c>
      <c r="E9729" s="2889" t="s">
        <v>217</v>
      </c>
      <c r="F9729" s="2890">
        <v>0.3509163969734993</v>
      </c>
      <c r="G9729" s="2890">
        <v>279.45138027706378</v>
      </c>
    </row>
    <row r="9730" spans="2:7" ht="15" hidden="1" outlineLevel="2">
      <c r="B9730" s="2889" t="s">
        <v>1631</v>
      </c>
      <c r="C9730" s="2889" t="s">
        <v>1609</v>
      </c>
      <c r="D9730" s="2889" t="s">
        <v>1608</v>
      </c>
      <c r="E9730" s="2889" t="s">
        <v>217</v>
      </c>
      <c r="F9730" s="2890">
        <v>4.0251407272833433</v>
      </c>
      <c r="G9730" s="2890">
        <v>3200.9890977144969</v>
      </c>
    </row>
    <row r="9731" spans="2:7" ht="15" hidden="1" outlineLevel="2">
      <c r="B9731" s="2889" t="s">
        <v>1632</v>
      </c>
      <c r="C9731" s="2889" t="s">
        <v>1609</v>
      </c>
      <c r="D9731" s="2889" t="s">
        <v>1608</v>
      </c>
      <c r="E9731" s="2889" t="s">
        <v>217</v>
      </c>
      <c r="F9731" s="2890">
        <v>3.0949859989511554</v>
      </c>
      <c r="G9731" s="2890">
        <v>2464.2524142530174</v>
      </c>
    </row>
    <row r="9732" spans="2:7" ht="15" hidden="1" outlineLevel="2">
      <c r="B9732" s="2889" t="s">
        <v>1633</v>
      </c>
      <c r="C9732" s="2889" t="s">
        <v>1609</v>
      </c>
      <c r="D9732" s="2889" t="s">
        <v>1608</v>
      </c>
      <c r="E9732" s="2889" t="s">
        <v>217</v>
      </c>
      <c r="F9732" s="2890">
        <v>2.7121005455023885</v>
      </c>
      <c r="G9732" s="2890">
        <v>2159.3961232926822</v>
      </c>
    </row>
    <row r="9733" spans="2:7" ht="15" hidden="1" outlineLevel="2">
      <c r="B9733" s="2889" t="s">
        <v>1634</v>
      </c>
      <c r="C9733" s="2889" t="s">
        <v>1609</v>
      </c>
      <c r="D9733" s="2889" t="s">
        <v>1608</v>
      </c>
      <c r="E9733" s="2889" t="s">
        <v>217</v>
      </c>
      <c r="F9733" s="2890">
        <v>0.4785223989994386</v>
      </c>
      <c r="G9733" s="2890">
        <v>381.06987319204728</v>
      </c>
    </row>
    <row r="9734" spans="2:7" ht="15" hidden="1" outlineLevel="2">
      <c r="B9734" s="2889" t="s">
        <v>1635</v>
      </c>
      <c r="C9734" s="2889" t="s">
        <v>1609</v>
      </c>
      <c r="D9734" s="2889" t="s">
        <v>1608</v>
      </c>
      <c r="E9734" s="2889" t="s">
        <v>217</v>
      </c>
      <c r="F9734" s="3039">
        <v>0.25525656317273515</v>
      </c>
      <c r="G9734" s="2890">
        <v>203.23733091254712</v>
      </c>
    </row>
    <row r="9735" spans="2:7" ht="15" hidden="1" outlineLevel="2">
      <c r="B9735" s="2889" t="s">
        <v>1636</v>
      </c>
      <c r="C9735" s="2889" t="s">
        <v>1609</v>
      </c>
      <c r="D9735" s="2889" t="s">
        <v>1608</v>
      </c>
      <c r="E9735" s="2889" t="s">
        <v>217</v>
      </c>
      <c r="F9735" s="3039">
        <v>3.0630789223590771</v>
      </c>
      <c r="G9735" s="2890">
        <v>2438.8475198854912</v>
      </c>
    </row>
    <row r="9736" spans="2:7" ht="15" hidden="1" outlineLevel="2">
      <c r="B9736" s="2889" t="s">
        <v>1637</v>
      </c>
      <c r="C9736" s="2889" t="s">
        <v>1609</v>
      </c>
      <c r="D9736" s="2889" t="s">
        <v>1608</v>
      </c>
      <c r="E9736" s="2889" t="s">
        <v>217</v>
      </c>
      <c r="F9736" s="2890">
        <v>3.1907073927139171</v>
      </c>
      <c r="G9736" s="2890">
        <v>2540.4676175299824</v>
      </c>
    </row>
    <row r="9737" spans="2:7" ht="15" hidden="1" outlineLevel="2">
      <c r="B9737" s="2889" t="s">
        <v>1638</v>
      </c>
      <c r="C9737" s="2889" t="s">
        <v>1609</v>
      </c>
      <c r="D9737" s="2889" t="s">
        <v>1608</v>
      </c>
      <c r="E9737" s="2889" t="s">
        <v>217</v>
      </c>
      <c r="F9737" s="2890">
        <v>10.017068120120912</v>
      </c>
      <c r="G9737" s="2890">
        <v>7977.066758033774</v>
      </c>
    </row>
    <row r="9738" spans="2:7" ht="15" hidden="1" outlineLevel="2">
      <c r="B9738" s="2889" t="s">
        <v>1639</v>
      </c>
      <c r="C9738" s="2889" t="s">
        <v>1609</v>
      </c>
      <c r="D9738" s="2889" t="s">
        <v>1608</v>
      </c>
      <c r="E9738" s="2889" t="s">
        <v>217</v>
      </c>
      <c r="F9738" s="2890">
        <v>0.38288492219890946</v>
      </c>
      <c r="G9738" s="2890">
        <v>304.85604972604676</v>
      </c>
    </row>
    <row r="9739" spans="2:7" ht="15" hidden="1" outlineLevel="2">
      <c r="B9739" s="2889" t="s">
        <v>1640</v>
      </c>
      <c r="C9739" s="2889" t="s">
        <v>1609</v>
      </c>
      <c r="D9739" s="2889" t="s">
        <v>1608</v>
      </c>
      <c r="E9739" s="2889" t="s">
        <v>217</v>
      </c>
      <c r="F9739" s="2890">
        <v>0.66993133104476443</v>
      </c>
      <c r="G9739" s="2890">
        <v>533.49793345347916</v>
      </c>
    </row>
    <row r="9740" spans="2:7" ht="15" hidden="1" outlineLevel="2">
      <c r="B9740" s="2889" t="s">
        <v>1641</v>
      </c>
      <c r="C9740" s="2889" t="s">
        <v>1609</v>
      </c>
      <c r="D9740" s="2889" t="s">
        <v>1608</v>
      </c>
      <c r="E9740" s="2889" t="s">
        <v>217</v>
      </c>
      <c r="F9740" s="2890">
        <v>2.3611231345648216</v>
      </c>
      <c r="G9740" s="2890">
        <v>1879.9455050463882</v>
      </c>
    </row>
    <row r="9741" spans="2:7" ht="15" hidden="1" outlineLevel="2">
      <c r="B9741" s="2889" t="s">
        <v>1642</v>
      </c>
      <c r="C9741" s="2889" t="s">
        <v>1609</v>
      </c>
      <c r="D9741" s="2889" t="s">
        <v>1608</v>
      </c>
      <c r="E9741" s="2889" t="s">
        <v>217</v>
      </c>
      <c r="F9741" s="2890">
        <v>0.12762822120313036</v>
      </c>
      <c r="G9741" s="2890">
        <v>101.61869835598395</v>
      </c>
    </row>
    <row r="9742" spans="2:7" ht="15" hidden="1" outlineLevel="2">
      <c r="B9742" s="2889" t="s">
        <v>1643</v>
      </c>
      <c r="C9742" s="2889" t="s">
        <v>1609</v>
      </c>
      <c r="D9742" s="2889" t="s">
        <v>1608</v>
      </c>
      <c r="E9742" s="2889" t="s">
        <v>217</v>
      </c>
      <c r="F9742" s="2890">
        <v>4.7206308137515229</v>
      </c>
      <c r="G9742" s="2890">
        <v>3758.7205178569257</v>
      </c>
    </row>
    <row r="9743" spans="2:7" ht="15" hidden="1" outlineLevel="2">
      <c r="B9743" s="2889" t="s">
        <v>1644</v>
      </c>
      <c r="C9743" s="2889" t="s">
        <v>1609</v>
      </c>
      <c r="D9743" s="2889" t="s">
        <v>1608</v>
      </c>
      <c r="E9743" s="2889" t="s">
        <v>217</v>
      </c>
      <c r="F9743" s="2890">
        <v>0.95721208843369088</v>
      </c>
      <c r="G9743" s="2890">
        <v>762.14015301691666</v>
      </c>
    </row>
    <row r="9744" spans="2:7" ht="15" hidden="1" outlineLevel="2">
      <c r="B9744" s="2889" t="s">
        <v>1645</v>
      </c>
      <c r="C9744" s="2889" t="s">
        <v>1609</v>
      </c>
      <c r="D9744" s="2889" t="s">
        <v>1608</v>
      </c>
      <c r="E9744" s="2889" t="s">
        <v>217</v>
      </c>
      <c r="F9744" s="2890">
        <v>1.0848401219767652</v>
      </c>
      <c r="G9744" s="2890">
        <v>863.75867379838689</v>
      </c>
    </row>
    <row r="9745" spans="2:7" ht="15" hidden="1" outlineLevel="2">
      <c r="B9745" s="2889" t="s">
        <v>1646</v>
      </c>
      <c r="C9745" s="2889" t="s">
        <v>1609</v>
      </c>
      <c r="D9745" s="2889" t="s">
        <v>1608</v>
      </c>
      <c r="E9745" s="2889" t="s">
        <v>217</v>
      </c>
      <c r="F9745" s="2890">
        <v>2.9992643496934219</v>
      </c>
      <c r="G9745" s="2890">
        <v>2388.0395303941291</v>
      </c>
    </row>
    <row r="9746" spans="2:7" ht="15" hidden="1" outlineLevel="2">
      <c r="B9746" s="2889" t="s">
        <v>1647</v>
      </c>
      <c r="C9746" s="2889" t="s">
        <v>1609</v>
      </c>
      <c r="D9746" s="2889" t="s">
        <v>1608</v>
      </c>
      <c r="E9746" s="2889" t="s">
        <v>217</v>
      </c>
      <c r="F9746" s="2890">
        <v>6.3483957103297444</v>
      </c>
      <c r="G9746" s="2890">
        <v>5055.5280300105369</v>
      </c>
    </row>
    <row r="9747" spans="2:7" ht="15" hidden="1" outlineLevel="2">
      <c r="B9747" s="2889" t="s">
        <v>1648</v>
      </c>
      <c r="C9747" s="2889" t="s">
        <v>1609</v>
      </c>
      <c r="D9747" s="2889" t="s">
        <v>1608</v>
      </c>
      <c r="E9747" s="2889" t="s">
        <v>217</v>
      </c>
      <c r="F9747" s="2890">
        <v>5.1361397253253971</v>
      </c>
      <c r="G9747" s="2890">
        <v>4090.1511692792328</v>
      </c>
    </row>
    <row r="9748" spans="2:7" ht="15" hidden="1" outlineLevel="2">
      <c r="B9748" s="2889" t="s">
        <v>1649</v>
      </c>
      <c r="C9748" s="2889" t="s">
        <v>1609</v>
      </c>
      <c r="D9748" s="2889" t="s">
        <v>1608</v>
      </c>
      <c r="E9748" s="2889" t="s">
        <v>217</v>
      </c>
      <c r="F9748" s="2890">
        <v>5.8060704263270972</v>
      </c>
      <c r="G9748" s="2890">
        <v>4623.6503748659443</v>
      </c>
    </row>
    <row r="9749" spans="2:7" ht="15" hidden="1" outlineLevel="2">
      <c r="B9749" s="2889" t="s">
        <v>1650</v>
      </c>
      <c r="C9749" s="2889" t="s">
        <v>1609</v>
      </c>
      <c r="D9749" s="2889" t="s">
        <v>1608</v>
      </c>
      <c r="E9749" s="2889" t="s">
        <v>217</v>
      </c>
      <c r="F9749" s="2890">
        <v>0.76563549214764848</v>
      </c>
      <c r="G9749" s="2890">
        <v>609.71196406233901</v>
      </c>
    </row>
    <row r="9750" spans="2:7" ht="15" hidden="1" outlineLevel="2">
      <c r="B9750" s="2889" t="s">
        <v>1651</v>
      </c>
      <c r="C9750" s="2889" t="s">
        <v>1609</v>
      </c>
      <c r="D9750" s="2889" t="s">
        <v>1608</v>
      </c>
      <c r="E9750" s="2889" t="s">
        <v>217</v>
      </c>
      <c r="F9750" s="2890">
        <v>1.403665457647967</v>
      </c>
      <c r="G9750" s="2890">
        <v>1117.8052808221689</v>
      </c>
    </row>
    <row r="9751" spans="2:7" ht="15" hidden="1" outlineLevel="2">
      <c r="B9751" s="2889" t="s">
        <v>1652</v>
      </c>
      <c r="C9751" s="2889" t="s">
        <v>1609</v>
      </c>
      <c r="D9751" s="2889" t="s">
        <v>1608</v>
      </c>
      <c r="E9751" s="2889" t="s">
        <v>217</v>
      </c>
      <c r="F9751" s="3039">
        <v>10.336082574179949</v>
      </c>
      <c r="G9751" s="2890">
        <v>8231.1171777936634</v>
      </c>
    </row>
    <row r="9752" spans="2:7" ht="15" hidden="1" outlineLevel="2">
      <c r="B9752" s="2889" t="s">
        <v>1653</v>
      </c>
      <c r="C9752" s="2889" t="s">
        <v>1609</v>
      </c>
      <c r="D9752" s="2889" t="s">
        <v>1608</v>
      </c>
      <c r="E9752" s="2889" t="s">
        <v>217</v>
      </c>
      <c r="F9752" s="3039">
        <v>0.98911918285216072</v>
      </c>
      <c r="G9752" s="2890">
        <v>787.54455160586838</v>
      </c>
    </row>
    <row r="9753" spans="2:7" ht="15" hidden="1" outlineLevel="2">
      <c r="B9753" s="2889" t="s">
        <v>1407</v>
      </c>
      <c r="C9753" s="2889" t="s">
        <v>1610</v>
      </c>
      <c r="D9753" s="2889" t="s">
        <v>1608</v>
      </c>
      <c r="E9753" s="2889" t="s">
        <v>217</v>
      </c>
      <c r="F9753" s="3039">
        <v>0.13415825553750715</v>
      </c>
      <c r="G9753" s="2890">
        <v>208.58859402845923</v>
      </c>
    </row>
    <row r="9754" spans="2:7" ht="15" hidden="1" outlineLevel="2">
      <c r="B9754" s="2889" t="s">
        <v>1631</v>
      </c>
      <c r="C9754" s="2889" t="s">
        <v>1610</v>
      </c>
      <c r="D9754" s="2889" t="s">
        <v>1608</v>
      </c>
      <c r="E9754" s="2889" t="s">
        <v>217</v>
      </c>
      <c r="F9754" s="3039">
        <v>3.9833981758278356</v>
      </c>
      <c r="G9754" s="2890">
        <v>6124.9216596624119</v>
      </c>
    </row>
    <row r="9755" spans="2:7" ht="15" hidden="1" outlineLevel="2">
      <c r="B9755" s="2889" t="s">
        <v>1632</v>
      </c>
      <c r="C9755" s="2889" t="s">
        <v>1610</v>
      </c>
      <c r="D9755" s="2889" t="s">
        <v>1608</v>
      </c>
      <c r="E9755" s="2889" t="s">
        <v>217</v>
      </c>
      <c r="F9755" s="3039">
        <v>2.2571553120952896</v>
      </c>
      <c r="G9755" s="2890">
        <v>3508.0833305223769</v>
      </c>
    </row>
    <row r="9756" spans="2:7" ht="15" hidden="1" outlineLevel="2">
      <c r="B9756" s="2889" t="s">
        <v>1633</v>
      </c>
      <c r="C9756" s="2889" t="s">
        <v>1610</v>
      </c>
      <c r="D9756" s="2889" t="s">
        <v>1608</v>
      </c>
      <c r="E9756" s="2889" t="s">
        <v>217</v>
      </c>
      <c r="F9756" s="3039">
        <v>2.7544996421134371</v>
      </c>
      <c r="G9756" s="2890">
        <v>4285.5479385561366</v>
      </c>
    </row>
    <row r="9757" spans="2:7" ht="15" hidden="1" outlineLevel="2">
      <c r="B9757" s="2889" t="s">
        <v>1634</v>
      </c>
      <c r="C9757" s="2889" t="s">
        <v>1610</v>
      </c>
      <c r="D9757" s="2889" t="s">
        <v>1608</v>
      </c>
      <c r="E9757" s="2889" t="s">
        <v>217</v>
      </c>
      <c r="F9757" s="3039">
        <v>0.18233972419148145</v>
      </c>
      <c r="G9757" s="2890">
        <v>284.43911204410654</v>
      </c>
    </row>
    <row r="9758" spans="2:7" ht="15" hidden="1" outlineLevel="2">
      <c r="B9758" s="2889" t="s">
        <v>1635</v>
      </c>
      <c r="C9758" s="2889" t="s">
        <v>1610</v>
      </c>
      <c r="D9758" s="2889" t="s">
        <v>1608</v>
      </c>
      <c r="E9758" s="2889" t="s">
        <v>217</v>
      </c>
      <c r="F9758" s="3039">
        <v>9.7606730679074077E-2</v>
      </c>
      <c r="G9758" s="2890">
        <v>151.70079478872543</v>
      </c>
    </row>
    <row r="9759" spans="2:7" ht="15" hidden="1" outlineLevel="2">
      <c r="B9759" s="2889" t="s">
        <v>1636</v>
      </c>
      <c r="C9759" s="2889" t="s">
        <v>1610</v>
      </c>
      <c r="D9759" s="2889" t="s">
        <v>1608</v>
      </c>
      <c r="E9759" s="2889" t="s">
        <v>217</v>
      </c>
      <c r="F9759" s="3039">
        <v>2.1231589967119904</v>
      </c>
      <c r="G9759" s="2890">
        <v>3299.493271157954</v>
      </c>
    </row>
    <row r="9760" spans="2:7" ht="15" hidden="1" outlineLevel="2">
      <c r="B9760" s="2889" t="s">
        <v>1637</v>
      </c>
      <c r="C9760" s="2889" t="s">
        <v>1610</v>
      </c>
      <c r="D9760" s="2889" t="s">
        <v>1608</v>
      </c>
      <c r="E9760" s="2889" t="s">
        <v>217</v>
      </c>
      <c r="F9760" s="3039">
        <v>3.6442280134271723</v>
      </c>
      <c r="G9760" s="2890">
        <v>5669.8183289864992</v>
      </c>
    </row>
    <row r="9761" spans="2:7" ht="15" hidden="1" outlineLevel="2">
      <c r="B9761" s="2889" t="s">
        <v>1638</v>
      </c>
      <c r="C9761" s="2889" t="s">
        <v>1610</v>
      </c>
      <c r="D9761" s="2889" t="s">
        <v>1608</v>
      </c>
      <c r="E9761" s="2889" t="s">
        <v>217</v>
      </c>
      <c r="F9761" s="2890">
        <v>9.3601044426790345</v>
      </c>
      <c r="G9761" s="2890">
        <v>14601.202317451567</v>
      </c>
    </row>
    <row r="9762" spans="2:7" ht="15" hidden="1" outlineLevel="2">
      <c r="B9762" s="2889" t="s">
        <v>1639</v>
      </c>
      <c r="C9762" s="2889" t="s">
        <v>1610</v>
      </c>
      <c r="D9762" s="2889" t="s">
        <v>1608</v>
      </c>
      <c r="E9762" s="2889" t="s">
        <v>217</v>
      </c>
      <c r="F9762" s="2890">
        <v>0.14625669141683662</v>
      </c>
      <c r="G9762" s="2890">
        <v>227.55128585916324</v>
      </c>
    </row>
    <row r="9763" spans="2:7" ht="15" hidden="1" outlineLevel="2">
      <c r="B9763" s="2889" t="s">
        <v>1640</v>
      </c>
      <c r="C9763" s="2889" t="s">
        <v>1610</v>
      </c>
      <c r="D9763" s="2889" t="s">
        <v>1608</v>
      </c>
      <c r="E9763" s="2889" t="s">
        <v>217</v>
      </c>
      <c r="F9763" s="3039">
        <v>0.25612021791110795</v>
      </c>
      <c r="G9763" s="2890">
        <v>398.21466700189478</v>
      </c>
    </row>
    <row r="9764" spans="2:7" ht="15" hidden="1" outlineLevel="2">
      <c r="B9764" s="2889" t="s">
        <v>1641</v>
      </c>
      <c r="C9764" s="2889" t="s">
        <v>1610</v>
      </c>
      <c r="D9764" s="2889" t="s">
        <v>1608</v>
      </c>
      <c r="E9764" s="2889" t="s">
        <v>217</v>
      </c>
      <c r="F9764" s="2890">
        <v>2.0375406560530274</v>
      </c>
      <c r="G9764" s="2890">
        <v>3166.7553217182731</v>
      </c>
    </row>
    <row r="9765" spans="2:7" ht="15" hidden="1" outlineLevel="2">
      <c r="B9765" s="2889" t="s">
        <v>1642</v>
      </c>
      <c r="C9765" s="2889" t="s">
        <v>1610</v>
      </c>
      <c r="D9765" s="2889" t="s">
        <v>1608</v>
      </c>
      <c r="E9765" s="2889" t="s">
        <v>217</v>
      </c>
      <c r="F9765" s="2890">
        <v>4.8803357747145955E-2</v>
      </c>
      <c r="G9765" s="2890">
        <v>75.850442801661288</v>
      </c>
    </row>
    <row r="9766" spans="2:7" ht="15" hidden="1" outlineLevel="2">
      <c r="B9766" s="2889" t="s">
        <v>1643</v>
      </c>
      <c r="C9766" s="2889" t="s">
        <v>1610</v>
      </c>
      <c r="D9766" s="2889" t="s">
        <v>1608</v>
      </c>
      <c r="E9766" s="2889" t="s">
        <v>217</v>
      </c>
      <c r="F9766" s="2890">
        <v>5.0930171915541598</v>
      </c>
      <c r="G9766" s="2890">
        <v>7903.5576067553338</v>
      </c>
    </row>
    <row r="9767" spans="2:7" ht="15" hidden="1" outlineLevel="2">
      <c r="B9767" s="2889" t="s">
        <v>1644</v>
      </c>
      <c r="C9767" s="2889" t="s">
        <v>1610</v>
      </c>
      <c r="D9767" s="2889" t="s">
        <v>1608</v>
      </c>
      <c r="E9767" s="2889" t="s">
        <v>217</v>
      </c>
      <c r="F9767" s="2890">
        <v>0.36564167633053946</v>
      </c>
      <c r="G9767" s="2890">
        <v>568.87827791595441</v>
      </c>
    </row>
    <row r="9768" spans="2:7" ht="15" hidden="1" outlineLevel="2">
      <c r="B9768" s="2889" t="s">
        <v>1645</v>
      </c>
      <c r="C9768" s="2889" t="s">
        <v>1610</v>
      </c>
      <c r="D9768" s="2889" t="s">
        <v>1608</v>
      </c>
      <c r="E9768" s="2889" t="s">
        <v>217</v>
      </c>
      <c r="F9768" s="2890">
        <v>0.41439380982024698</v>
      </c>
      <c r="G9768" s="2890">
        <v>644.72865848592994</v>
      </c>
    </row>
    <row r="9769" spans="2:7" ht="15" hidden="1" outlineLevel="2">
      <c r="B9769" s="2889" t="s">
        <v>1646</v>
      </c>
      <c r="C9769" s="2889" t="s">
        <v>1610</v>
      </c>
      <c r="D9769" s="2889" t="s">
        <v>1608</v>
      </c>
      <c r="E9769" s="2889" t="s">
        <v>217</v>
      </c>
      <c r="F9769" s="2890">
        <v>3.0624103999620766</v>
      </c>
      <c r="G9769" s="2890">
        <v>4759.6141277090555</v>
      </c>
    </row>
    <row r="9770" spans="2:7" ht="15" hidden="1" outlineLevel="2">
      <c r="B9770" s="2889" t="s">
        <v>1647</v>
      </c>
      <c r="C9770" s="2889" t="s">
        <v>1610</v>
      </c>
      <c r="D9770" s="2889" t="s">
        <v>1608</v>
      </c>
      <c r="E9770" s="2889" t="s">
        <v>217</v>
      </c>
      <c r="F9770" s="2890">
        <v>7.9378572573603519</v>
      </c>
      <c r="G9770" s="2890">
        <v>12382.58433968568</v>
      </c>
    </row>
    <row r="9771" spans="2:7" ht="15" hidden="1" outlineLevel="2">
      <c r="B9771" s="2889" t="s">
        <v>1648</v>
      </c>
      <c r="C9771" s="2889" t="s">
        <v>1610</v>
      </c>
      <c r="D9771" s="2889" t="s">
        <v>1608</v>
      </c>
      <c r="E9771" s="2889" t="s">
        <v>217</v>
      </c>
      <c r="F9771" s="2890">
        <v>5.944273433474863</v>
      </c>
      <c r="G9771" s="2890">
        <v>9272.7171184878116</v>
      </c>
    </row>
    <row r="9772" spans="2:7" ht="15" hidden="1" outlineLevel="2">
      <c r="B9772" s="2889" t="s">
        <v>1649</v>
      </c>
      <c r="C9772" s="2889" t="s">
        <v>1610</v>
      </c>
      <c r="D9772" s="2889" t="s">
        <v>1608</v>
      </c>
      <c r="E9772" s="2889" t="s">
        <v>217</v>
      </c>
      <c r="F9772" s="2890">
        <v>5.1176676937540151</v>
      </c>
      <c r="G9772" s="2890">
        <v>7983.2554946947093</v>
      </c>
    </row>
    <row r="9773" spans="2:7" ht="15" hidden="1" outlineLevel="2">
      <c r="B9773" s="2889" t="s">
        <v>1650</v>
      </c>
      <c r="C9773" s="2889" t="s">
        <v>1610</v>
      </c>
      <c r="D9773" s="2889" t="s">
        <v>1608</v>
      </c>
      <c r="E9773" s="2889" t="s">
        <v>217</v>
      </c>
      <c r="F9773" s="2890">
        <v>0.29270895092112043</v>
      </c>
      <c r="G9773" s="2890">
        <v>455.1025108856644</v>
      </c>
    </row>
    <row r="9774" spans="2:7" ht="15" hidden="1" outlineLevel="2">
      <c r="B9774" s="2889" t="s">
        <v>1651</v>
      </c>
      <c r="C9774" s="2889" t="s">
        <v>1610</v>
      </c>
      <c r="D9774" s="2889" t="s">
        <v>1608</v>
      </c>
      <c r="E9774" s="2889" t="s">
        <v>217</v>
      </c>
      <c r="F9774" s="2890">
        <v>0.75367087697340085</v>
      </c>
      <c r="G9774" s="2890">
        <v>1175.6815847397349</v>
      </c>
    </row>
    <row r="9775" spans="2:7" ht="15" hidden="1" outlineLevel="2">
      <c r="B9775" s="2889" t="s">
        <v>1652</v>
      </c>
      <c r="C9775" s="2889" t="s">
        <v>1610</v>
      </c>
      <c r="D9775" s="2889" t="s">
        <v>1608</v>
      </c>
      <c r="E9775" s="2889" t="s">
        <v>217</v>
      </c>
      <c r="F9775" s="2890">
        <v>6.9653800587568364</v>
      </c>
      <c r="G9775" s="2890">
        <v>10865.572704358185</v>
      </c>
    </row>
    <row r="9776" spans="2:7" ht="15" hidden="1" outlineLevel="2">
      <c r="B9776" s="2889" t="s">
        <v>1653</v>
      </c>
      <c r="C9776" s="2889" t="s">
        <v>1610</v>
      </c>
      <c r="D9776" s="2889" t="s">
        <v>1608</v>
      </c>
      <c r="E9776" s="2889" t="s">
        <v>217</v>
      </c>
      <c r="F9776" s="2890">
        <v>0.56123871673317005</v>
      </c>
      <c r="G9776" s="2890">
        <v>872.27995492148671</v>
      </c>
    </row>
    <row r="9777" spans="2:7" ht="15" hidden="1" outlineLevel="2">
      <c r="B9777" s="2889" t="s">
        <v>1407</v>
      </c>
      <c r="C9777" s="2889" t="s">
        <v>1611</v>
      </c>
      <c r="D9777" s="2889" t="s">
        <v>1608</v>
      </c>
      <c r="E9777" s="2889" t="s">
        <v>1612</v>
      </c>
      <c r="F9777" s="3040"/>
      <c r="G9777" s="2890">
        <v>185.72005232980598</v>
      </c>
    </row>
    <row r="9778" spans="2:7" ht="15" hidden="1" outlineLevel="2">
      <c r="B9778" s="2889" t="s">
        <v>1631</v>
      </c>
      <c r="C9778" s="2889" t="s">
        <v>1611</v>
      </c>
      <c r="D9778" s="2889" t="s">
        <v>1608</v>
      </c>
      <c r="E9778" s="2889" t="s">
        <v>1612</v>
      </c>
      <c r="F9778" s="2890">
        <v>0.14117151128875055</v>
      </c>
      <c r="G9778" s="2890">
        <v>5453.4156672570853</v>
      </c>
    </row>
    <row r="9779" spans="2:7" ht="15" hidden="1" outlineLevel="2">
      <c r="B9779" s="2889" t="s">
        <v>1632</v>
      </c>
      <c r="C9779" s="2889" t="s">
        <v>1611</v>
      </c>
      <c r="D9779" s="2889" t="s">
        <v>1608</v>
      </c>
      <c r="E9779" s="2889" t="s">
        <v>1612</v>
      </c>
      <c r="F9779" s="3040"/>
      <c r="G9779" s="2890">
        <v>3123.4728403055401</v>
      </c>
    </row>
    <row r="9780" spans="2:7" ht="15" hidden="1" outlineLevel="2">
      <c r="B9780" s="2889" t="s">
        <v>1633</v>
      </c>
      <c r="C9780" s="2889" t="s">
        <v>1611</v>
      </c>
      <c r="D9780" s="2889" t="s">
        <v>1608</v>
      </c>
      <c r="E9780" s="2889" t="s">
        <v>1612</v>
      </c>
      <c r="F9780" s="3040"/>
      <c r="G9780" s="2890">
        <v>3815.703905995189</v>
      </c>
    </row>
    <row r="9781" spans="2:7" ht="15" hidden="1" outlineLevel="2">
      <c r="B9781" s="2889" t="s">
        <v>1634</v>
      </c>
      <c r="C9781" s="2889" t="s">
        <v>1611</v>
      </c>
      <c r="D9781" s="2889" t="s">
        <v>1608</v>
      </c>
      <c r="E9781" s="2889" t="s">
        <v>1612</v>
      </c>
      <c r="F9781" s="3040"/>
      <c r="G9781" s="2890">
        <v>253.25465115089568</v>
      </c>
    </row>
    <row r="9782" spans="2:7" ht="15" hidden="1" outlineLevel="2">
      <c r="B9782" s="2889" t="s">
        <v>1635</v>
      </c>
      <c r="C9782" s="2889" t="s">
        <v>1611</v>
      </c>
      <c r="D9782" s="2889" t="s">
        <v>1608</v>
      </c>
      <c r="E9782" s="2889" t="s">
        <v>1612</v>
      </c>
      <c r="F9782" s="3040"/>
      <c r="G9782" s="2890">
        <v>135.06915569845131</v>
      </c>
    </row>
    <row r="9783" spans="2:7" ht="15" hidden="1" outlineLevel="2">
      <c r="B9783" s="2889" t="s">
        <v>1636</v>
      </c>
      <c r="C9783" s="2889" t="s">
        <v>1611</v>
      </c>
      <c r="D9783" s="2889" t="s">
        <v>1608</v>
      </c>
      <c r="E9783" s="2889" t="s">
        <v>1612</v>
      </c>
      <c r="F9783" s="3040"/>
      <c r="G9783" s="2890">
        <v>2937.753932042579</v>
      </c>
    </row>
    <row r="9784" spans="2:7" ht="15" hidden="1" outlineLevel="2">
      <c r="B9784" s="2889" t="s">
        <v>1637</v>
      </c>
      <c r="C9784" s="2889" t="s">
        <v>1611</v>
      </c>
      <c r="D9784" s="2889" t="s">
        <v>1608</v>
      </c>
      <c r="E9784" s="2889" t="s">
        <v>1612</v>
      </c>
      <c r="F9784" s="2891"/>
      <c r="G9784" s="2890">
        <v>5048.2065171874438</v>
      </c>
    </row>
    <row r="9785" spans="2:7" ht="15" hidden="1" outlineLevel="2">
      <c r="B9785" s="2889" t="s">
        <v>1638</v>
      </c>
      <c r="C9785" s="2889" t="s">
        <v>1611</v>
      </c>
      <c r="D9785" s="2889" t="s">
        <v>1608</v>
      </c>
      <c r="E9785" s="2889" t="s">
        <v>1612</v>
      </c>
      <c r="F9785" s="2891"/>
      <c r="G9785" s="2890">
        <v>13000.404044962432</v>
      </c>
    </row>
    <row r="9786" spans="2:7" ht="15" hidden="1" outlineLevel="2">
      <c r="B9786" s="2889" t="s">
        <v>1639</v>
      </c>
      <c r="C9786" s="2889" t="s">
        <v>1611</v>
      </c>
      <c r="D9786" s="2889" t="s">
        <v>1608</v>
      </c>
      <c r="E9786" s="2889" t="s">
        <v>1612</v>
      </c>
      <c r="F9786" s="2891"/>
      <c r="G9786" s="2890">
        <v>202.60371446705682</v>
      </c>
    </row>
    <row r="9787" spans="2:7" ht="15" hidden="1" outlineLevel="2">
      <c r="B9787" s="2889" t="s">
        <v>1640</v>
      </c>
      <c r="C9787" s="2889" t="s">
        <v>1611</v>
      </c>
      <c r="D9787" s="2889" t="s">
        <v>1608</v>
      </c>
      <c r="E9787" s="2889" t="s">
        <v>1612</v>
      </c>
      <c r="F9787" s="2891"/>
      <c r="G9787" s="2890">
        <v>354.55638444842185</v>
      </c>
    </row>
    <row r="9788" spans="2:7" ht="15" hidden="1" outlineLevel="2">
      <c r="B9788" s="2889" t="s">
        <v>1641</v>
      </c>
      <c r="C9788" s="2889" t="s">
        <v>1611</v>
      </c>
      <c r="D9788" s="2889" t="s">
        <v>1608</v>
      </c>
      <c r="E9788" s="2889" t="s">
        <v>1612</v>
      </c>
      <c r="F9788" s="2891"/>
      <c r="G9788" s="2890">
        <v>2819.5677720888239</v>
      </c>
    </row>
    <row r="9789" spans="2:7" ht="15" hidden="1" outlineLevel="2">
      <c r="B9789" s="2889" t="s">
        <v>1642</v>
      </c>
      <c r="C9789" s="2889" t="s">
        <v>1611</v>
      </c>
      <c r="D9789" s="2889" t="s">
        <v>1608</v>
      </c>
      <c r="E9789" s="2889" t="s">
        <v>1612</v>
      </c>
      <c r="F9789" s="2891"/>
      <c r="G9789" s="2890">
        <v>67.534550959000569</v>
      </c>
    </row>
    <row r="9790" spans="2:7" ht="15" hidden="1" outlineLevel="2">
      <c r="B9790" s="2889" t="s">
        <v>1643</v>
      </c>
      <c r="C9790" s="2889" t="s">
        <v>1611</v>
      </c>
      <c r="D9790" s="2889" t="s">
        <v>1608</v>
      </c>
      <c r="E9790" s="2889" t="s">
        <v>1612</v>
      </c>
      <c r="F9790" s="3040"/>
      <c r="G9790" s="2890">
        <v>7037.0479932610751</v>
      </c>
    </row>
    <row r="9791" spans="2:7" ht="15" hidden="1" outlineLevel="2">
      <c r="B9791" s="2889" t="s">
        <v>1644</v>
      </c>
      <c r="C9791" s="2889" t="s">
        <v>1611</v>
      </c>
      <c r="D9791" s="2889" t="s">
        <v>1608</v>
      </c>
      <c r="E9791" s="2889" t="s">
        <v>1612</v>
      </c>
      <c r="F9791" s="3040"/>
      <c r="G9791" s="2890">
        <v>506.50924310003296</v>
      </c>
    </row>
    <row r="9792" spans="2:7" ht="15" hidden="1" outlineLevel="2">
      <c r="B9792" s="2889" t="s">
        <v>1645</v>
      </c>
      <c r="C9792" s="2889" t="s">
        <v>1611</v>
      </c>
      <c r="D9792" s="2889" t="s">
        <v>1608</v>
      </c>
      <c r="E9792" s="2889" t="s">
        <v>1612</v>
      </c>
      <c r="F9792" s="3040"/>
      <c r="G9792" s="2890">
        <v>574.04376572272133</v>
      </c>
    </row>
    <row r="9793" spans="2:7" ht="15" hidden="1" outlineLevel="2">
      <c r="B9793" s="2889" t="s">
        <v>1646</v>
      </c>
      <c r="C9793" s="2889" t="s">
        <v>1611</v>
      </c>
      <c r="D9793" s="2889" t="s">
        <v>1608</v>
      </c>
      <c r="E9793" s="2889" t="s">
        <v>1612</v>
      </c>
      <c r="F9793" s="3040"/>
      <c r="G9793" s="2890">
        <v>4237.7929754077741</v>
      </c>
    </row>
    <row r="9794" spans="2:7" ht="15" hidden="1" outlineLevel="2">
      <c r="B9794" s="2889" t="s">
        <v>1647</v>
      </c>
      <c r="C9794" s="2889" t="s">
        <v>1611</v>
      </c>
      <c r="D9794" s="2889" t="s">
        <v>1608</v>
      </c>
      <c r="E9794" s="2889" t="s">
        <v>1612</v>
      </c>
      <c r="F9794" s="3040"/>
      <c r="G9794" s="2890">
        <v>11025.016065112439</v>
      </c>
    </row>
    <row r="9795" spans="2:7" ht="15" hidden="1" outlineLevel="2">
      <c r="B9795" s="2889" t="s">
        <v>1648</v>
      </c>
      <c r="C9795" s="2889" t="s">
        <v>1611</v>
      </c>
      <c r="D9795" s="2889" t="s">
        <v>1608</v>
      </c>
      <c r="E9795" s="2889" t="s">
        <v>1612</v>
      </c>
      <c r="F9795" s="3040"/>
      <c r="G9795" s="2890">
        <v>8256.0997184940643</v>
      </c>
    </row>
    <row r="9796" spans="2:7" ht="15" hidden="1" outlineLevel="2">
      <c r="B9796" s="2889" t="s">
        <v>1649</v>
      </c>
      <c r="C9796" s="2889" t="s">
        <v>1611</v>
      </c>
      <c r="D9796" s="2889" t="s">
        <v>1608</v>
      </c>
      <c r="E9796" s="2889" t="s">
        <v>1612</v>
      </c>
      <c r="F9796" s="3040"/>
      <c r="G9796" s="2890">
        <v>7108.0143685411367</v>
      </c>
    </row>
    <row r="9797" spans="2:7" ht="15" hidden="1" outlineLevel="2">
      <c r="B9797" s="2889" t="s">
        <v>1650</v>
      </c>
      <c r="C9797" s="2889" t="s">
        <v>1611</v>
      </c>
      <c r="D9797" s="2889" t="s">
        <v>1608</v>
      </c>
      <c r="E9797" s="2889" t="s">
        <v>1612</v>
      </c>
      <c r="F9797" s="3040"/>
      <c r="G9797" s="2890">
        <v>405.20748273856896</v>
      </c>
    </row>
    <row r="9798" spans="2:7" ht="15" hidden="1" outlineLevel="2">
      <c r="B9798" s="2889" t="s">
        <v>1651</v>
      </c>
      <c r="C9798" s="2889" t="s">
        <v>1611</v>
      </c>
      <c r="D9798" s="2889" t="s">
        <v>1608</v>
      </c>
      <c r="E9798" s="2889" t="s">
        <v>1612</v>
      </c>
      <c r="F9798" s="3040"/>
      <c r="G9798" s="2890">
        <v>1046.7858984729598</v>
      </c>
    </row>
    <row r="9799" spans="2:7" ht="15" hidden="1" outlineLevel="2">
      <c r="B9799" s="2889" t="s">
        <v>1652</v>
      </c>
      <c r="C9799" s="2889" t="s">
        <v>1611</v>
      </c>
      <c r="D9799" s="2889" t="s">
        <v>1608</v>
      </c>
      <c r="E9799" s="2889" t="s">
        <v>1612</v>
      </c>
      <c r="F9799" s="3040"/>
      <c r="G9799" s="2890">
        <v>9674.3279153801304</v>
      </c>
    </row>
    <row r="9800" spans="2:7" ht="15" hidden="1" outlineLevel="2">
      <c r="B9800" s="2889" t="s">
        <v>1653</v>
      </c>
      <c r="C9800" s="2889" t="s">
        <v>1611</v>
      </c>
      <c r="D9800" s="2889" t="s">
        <v>1608</v>
      </c>
      <c r="E9800" s="2889" t="s">
        <v>1612</v>
      </c>
      <c r="F9800" s="3040"/>
      <c r="G9800" s="2890">
        <v>776.64753516773828</v>
      </c>
    </row>
    <row r="9801" spans="2:7" ht="15" hidden="1" outlineLevel="2">
      <c r="B9801" s="2889" t="s">
        <v>1407</v>
      </c>
      <c r="C9801" s="2889" t="s">
        <v>1613</v>
      </c>
      <c r="D9801" s="2889" t="s">
        <v>1608</v>
      </c>
      <c r="E9801" s="2889" t="s">
        <v>1612</v>
      </c>
      <c r="F9801" s="3040"/>
      <c r="G9801" s="2890">
        <v>1.5508319177792766</v>
      </c>
    </row>
    <row r="9802" spans="2:7" ht="15" hidden="1" outlineLevel="2">
      <c r="B9802" s="2889" t="s">
        <v>1631</v>
      </c>
      <c r="C9802" s="2889" t="s">
        <v>1613</v>
      </c>
      <c r="D9802" s="2889" t="s">
        <v>1608</v>
      </c>
      <c r="E9802" s="2889" t="s">
        <v>1612</v>
      </c>
      <c r="F9802" s="2890">
        <v>9.0249721766475876E-4</v>
      </c>
      <c r="G9802" s="2890">
        <v>17.76407549991692</v>
      </c>
    </row>
    <row r="9803" spans="2:7" ht="15" hidden="1" outlineLevel="2">
      <c r="B9803" s="2889" t="s">
        <v>1632</v>
      </c>
      <c r="C9803" s="2889" t="s">
        <v>1613</v>
      </c>
      <c r="D9803" s="2889" t="s">
        <v>1608</v>
      </c>
      <c r="E9803" s="2889" t="s">
        <v>1612</v>
      </c>
      <c r="F9803" s="3040"/>
      <c r="G9803" s="2890">
        <v>13.675519738258888</v>
      </c>
    </row>
    <row r="9804" spans="2:7" ht="15" hidden="1" outlineLevel="2">
      <c r="B9804" s="2889" t="s">
        <v>1633</v>
      </c>
      <c r="C9804" s="2889" t="s">
        <v>1613</v>
      </c>
      <c r="D9804" s="2889" t="s">
        <v>1608</v>
      </c>
      <c r="E9804" s="2889" t="s">
        <v>1612</v>
      </c>
      <c r="F9804" s="3040"/>
      <c r="G9804" s="2890">
        <v>11.983703832650402</v>
      </c>
    </row>
    <row r="9805" spans="2:7" ht="15" hidden="1" outlineLevel="2">
      <c r="B9805" s="2889" t="s">
        <v>1634</v>
      </c>
      <c r="C9805" s="2889" t="s">
        <v>1613</v>
      </c>
      <c r="D9805" s="2889" t="s">
        <v>1608</v>
      </c>
      <c r="E9805" s="2889" t="s">
        <v>1612</v>
      </c>
      <c r="F9805" s="3040"/>
      <c r="G9805" s="2890">
        <v>2.1147708257498046</v>
      </c>
    </row>
    <row r="9806" spans="2:7" ht="15" hidden="1" outlineLevel="2">
      <c r="B9806" s="2889" t="s">
        <v>1635</v>
      </c>
      <c r="C9806" s="2889" t="s">
        <v>1613</v>
      </c>
      <c r="D9806" s="2889" t="s">
        <v>1608</v>
      </c>
      <c r="E9806" s="2889" t="s">
        <v>1612</v>
      </c>
      <c r="F9806" s="3040"/>
      <c r="G9806" s="2890">
        <v>1.1278778647508745</v>
      </c>
    </row>
    <row r="9807" spans="2:7" ht="15" hidden="1" outlineLevel="2">
      <c r="B9807" s="2889" t="s">
        <v>1636</v>
      </c>
      <c r="C9807" s="2889" t="s">
        <v>1613</v>
      </c>
      <c r="D9807" s="2889" t="s">
        <v>1608</v>
      </c>
      <c r="E9807" s="2889" t="s">
        <v>1612</v>
      </c>
      <c r="F9807" s="3040"/>
      <c r="G9807" s="2890">
        <v>13.534536794501248</v>
      </c>
    </row>
    <row r="9808" spans="2:7" ht="15" hidden="1" outlineLevel="2">
      <c r="B9808" s="2889" t="s">
        <v>1637</v>
      </c>
      <c r="C9808" s="2889" t="s">
        <v>1613</v>
      </c>
      <c r="D9808" s="2889" t="s">
        <v>1608</v>
      </c>
      <c r="E9808" s="2889" t="s">
        <v>1612</v>
      </c>
      <c r="F9808" s="3040"/>
      <c r="G9808" s="2890">
        <v>14.098472474098665</v>
      </c>
    </row>
    <row r="9809" spans="2:7" ht="15" hidden="1" outlineLevel="2">
      <c r="B9809" s="2889" t="s">
        <v>1638</v>
      </c>
      <c r="C9809" s="2889" t="s">
        <v>1613</v>
      </c>
      <c r="D9809" s="2889" t="s">
        <v>1608</v>
      </c>
      <c r="E9809" s="2889" t="s">
        <v>1612</v>
      </c>
      <c r="F9809" s="3040"/>
      <c r="G9809" s="2890">
        <v>44.269196335862809</v>
      </c>
    </row>
    <row r="9810" spans="2:7" ht="15" hidden="1" outlineLevel="2">
      <c r="B9810" s="2889" t="s">
        <v>1639</v>
      </c>
      <c r="C9810" s="2889" t="s">
        <v>1613</v>
      </c>
      <c r="D9810" s="2889" t="s">
        <v>1608</v>
      </c>
      <c r="E9810" s="2889" t="s">
        <v>1612</v>
      </c>
      <c r="F9810" s="3040"/>
      <c r="G9810" s="2890">
        <v>1.6918163883910575</v>
      </c>
    </row>
    <row r="9811" spans="2:7" ht="15" hidden="1" outlineLevel="2">
      <c r="B9811" s="2889" t="s">
        <v>1640</v>
      </c>
      <c r="C9811" s="2889" t="s">
        <v>1613</v>
      </c>
      <c r="D9811" s="2889" t="s">
        <v>1608</v>
      </c>
      <c r="E9811" s="2889" t="s">
        <v>1612</v>
      </c>
      <c r="F9811" s="3040"/>
      <c r="G9811" s="2890">
        <v>2.9606800407310416</v>
      </c>
    </row>
    <row r="9812" spans="2:7" ht="15" hidden="1" outlineLevel="2">
      <c r="B9812" s="2889" t="s">
        <v>1641</v>
      </c>
      <c r="C9812" s="2889" t="s">
        <v>1613</v>
      </c>
      <c r="D9812" s="2889" t="s">
        <v>1608</v>
      </c>
      <c r="E9812" s="2889" t="s">
        <v>1612</v>
      </c>
      <c r="F9812" s="3040"/>
      <c r="G9812" s="2890">
        <v>10.432872683380964</v>
      </c>
    </row>
    <row r="9813" spans="2:7" ht="15" hidden="1" outlineLevel="2">
      <c r="B9813" s="2889" t="s">
        <v>1642</v>
      </c>
      <c r="C9813" s="2889" t="s">
        <v>1613</v>
      </c>
      <c r="D9813" s="2889" t="s">
        <v>1608</v>
      </c>
      <c r="E9813" s="2889" t="s">
        <v>1612</v>
      </c>
      <c r="F9813" s="3040"/>
      <c r="G9813" s="2890">
        <v>0.56393903865207484</v>
      </c>
    </row>
    <row r="9814" spans="2:7" ht="15" hidden="1" outlineLevel="2">
      <c r="B9814" s="2889" t="s">
        <v>1643</v>
      </c>
      <c r="C9814" s="2889" t="s">
        <v>1613</v>
      </c>
      <c r="D9814" s="2889" t="s">
        <v>1608</v>
      </c>
      <c r="E9814" s="2889" t="s">
        <v>1612</v>
      </c>
      <c r="F9814" s="3040"/>
      <c r="G9814" s="2890">
        <v>20.859242342606091</v>
      </c>
    </row>
    <row r="9815" spans="2:7" ht="15" hidden="1" outlineLevel="2">
      <c r="B9815" s="2889" t="s">
        <v>1644</v>
      </c>
      <c r="C9815" s="2889" t="s">
        <v>1613</v>
      </c>
      <c r="D9815" s="2889" t="s">
        <v>1608</v>
      </c>
      <c r="E9815" s="2889" t="s">
        <v>1612</v>
      </c>
      <c r="F9815" s="3040"/>
      <c r="G9815" s="2890">
        <v>4.2295396937791532</v>
      </c>
    </row>
    <row r="9816" spans="2:7" ht="15" hidden="1" outlineLevel="2">
      <c r="B9816" s="2889" t="s">
        <v>1645</v>
      </c>
      <c r="C9816" s="2889" t="s">
        <v>1613</v>
      </c>
      <c r="D9816" s="2889" t="s">
        <v>1608</v>
      </c>
      <c r="E9816" s="2889" t="s">
        <v>1612</v>
      </c>
      <c r="F9816" s="3040"/>
      <c r="G9816" s="2890">
        <v>4.7934830138798947</v>
      </c>
    </row>
    <row r="9817" spans="2:7" ht="15" hidden="1" outlineLevel="2">
      <c r="B9817" s="2889" t="s">
        <v>1646</v>
      </c>
      <c r="C9817" s="2889" t="s">
        <v>1613</v>
      </c>
      <c r="D9817" s="2889" t="s">
        <v>1608</v>
      </c>
      <c r="E9817" s="2889" t="s">
        <v>1612</v>
      </c>
      <c r="F9817" s="3040"/>
      <c r="G9817" s="2890">
        <v>13.252565271885237</v>
      </c>
    </row>
    <row r="9818" spans="2:7" ht="15" hidden="1" outlineLevel="2">
      <c r="B9818" s="2889" t="s">
        <v>1647</v>
      </c>
      <c r="C9818" s="2889" t="s">
        <v>1613</v>
      </c>
      <c r="D9818" s="2889" t="s">
        <v>1608</v>
      </c>
      <c r="E9818" s="2889" t="s">
        <v>1612</v>
      </c>
      <c r="F9818" s="3040"/>
      <c r="G9818" s="2890">
        <v>28.055968688724672</v>
      </c>
    </row>
    <row r="9819" spans="2:7" ht="15" hidden="1" outlineLevel="2">
      <c r="B9819" s="2889" t="s">
        <v>1648</v>
      </c>
      <c r="C9819" s="2889" t="s">
        <v>1613</v>
      </c>
      <c r="D9819" s="2889" t="s">
        <v>1608</v>
      </c>
      <c r="E9819" s="2889" t="s">
        <v>1612</v>
      </c>
      <c r="F9819" s="3040"/>
      <c r="G9819" s="2890">
        <v>22.698542669726024</v>
      </c>
    </row>
    <row r="9820" spans="2:7" ht="15" hidden="1" outlineLevel="2">
      <c r="B9820" s="2889" t="s">
        <v>1649</v>
      </c>
      <c r="C9820" s="2889" t="s">
        <v>1613</v>
      </c>
      <c r="D9820" s="2889" t="s">
        <v>1608</v>
      </c>
      <c r="E9820" s="2889" t="s">
        <v>1612</v>
      </c>
      <c r="F9820" s="3040"/>
      <c r="G9820" s="2890">
        <v>25.659218919550813</v>
      </c>
    </row>
    <row r="9821" spans="2:7" ht="15" hidden="1" outlineLevel="2">
      <c r="B9821" s="2889" t="s">
        <v>1650</v>
      </c>
      <c r="C9821" s="2889" t="s">
        <v>1613</v>
      </c>
      <c r="D9821" s="2889" t="s">
        <v>1608</v>
      </c>
      <c r="E9821" s="2889" t="s">
        <v>1612</v>
      </c>
      <c r="F9821" s="3040"/>
      <c r="G9821" s="2890">
        <v>3.3836346703051579</v>
      </c>
    </row>
    <row r="9822" spans="2:7" ht="15" hidden="1" outlineLevel="2">
      <c r="B9822" s="2889" t="s">
        <v>1651</v>
      </c>
      <c r="C9822" s="2889" t="s">
        <v>1613</v>
      </c>
      <c r="D9822" s="2889" t="s">
        <v>1608</v>
      </c>
      <c r="E9822" s="2889" t="s">
        <v>1612</v>
      </c>
      <c r="F9822" s="3040"/>
      <c r="G9822" s="2890">
        <v>6.2033293173438553</v>
      </c>
    </row>
    <row r="9823" spans="2:7" ht="15" hidden="1" outlineLevel="2">
      <c r="B9823" s="2889" t="s">
        <v>1652</v>
      </c>
      <c r="C9823" s="2889" t="s">
        <v>1613</v>
      </c>
      <c r="D9823" s="2889" t="s">
        <v>1608</v>
      </c>
      <c r="E9823" s="2889" t="s">
        <v>1612</v>
      </c>
      <c r="F9823" s="3040"/>
      <c r="G9823" s="2890">
        <v>45.679042856475512</v>
      </c>
    </row>
    <row r="9824" spans="2:7" ht="15" hidden="1" outlineLevel="2">
      <c r="B9824" s="2889" t="s">
        <v>1653</v>
      </c>
      <c r="C9824" s="2889" t="s">
        <v>1613</v>
      </c>
      <c r="D9824" s="2889" t="s">
        <v>1608</v>
      </c>
      <c r="E9824" s="2889" t="s">
        <v>1612</v>
      </c>
      <c r="F9824" s="3040"/>
      <c r="G9824" s="2890">
        <v>4.3705261112404701</v>
      </c>
    </row>
    <row r="9825" spans="2:7" ht="15" outlineLevel="1" collapsed="1">
      <c r="B9825" s="2889"/>
      <c r="C9825" s="2889"/>
      <c r="D9825" s="3042" t="s">
        <v>1695</v>
      </c>
      <c r="E9825" s="2889"/>
      <c r="F9825" s="3040">
        <f>SUBTOTAL(9,F9705:F9824)</f>
        <v>298.63778422041878</v>
      </c>
      <c r="G9825" s="2890">
        <f>SUBTOTAL(9,G9705:G9824)</f>
        <v>378484.99536887644</v>
      </c>
    </row>
    <row r="9826" spans="2:7" ht="15" hidden="1" outlineLevel="2">
      <c r="B9826" s="2889" t="s">
        <v>1407</v>
      </c>
      <c r="C9826" s="2889" t="s">
        <v>1614</v>
      </c>
      <c r="D9826" s="2889" t="s">
        <v>1615</v>
      </c>
      <c r="E9826" s="2889" t="s">
        <v>1426</v>
      </c>
      <c r="F9826" s="3040"/>
      <c r="G9826" s="2890">
        <v>125.76542773134474</v>
      </c>
    </row>
    <row r="9827" spans="2:7" ht="15" hidden="1" outlineLevel="2">
      <c r="B9827" s="2889" t="s">
        <v>1631</v>
      </c>
      <c r="C9827" s="2889" t="s">
        <v>1614</v>
      </c>
      <c r="D9827" s="2889" t="s">
        <v>1615</v>
      </c>
      <c r="E9827" s="2889" t="s">
        <v>1426</v>
      </c>
      <c r="F9827" s="2890">
        <v>6.6885691685737853E-3</v>
      </c>
      <c r="G9827" s="2890">
        <v>155.96218990722787</v>
      </c>
    </row>
    <row r="9828" spans="2:7" ht="15" hidden="1" outlineLevel="2">
      <c r="B9828" s="2889" t="s">
        <v>1632</v>
      </c>
      <c r="C9828" s="2889" t="s">
        <v>1614</v>
      </c>
      <c r="D9828" s="2889" t="s">
        <v>1615</v>
      </c>
      <c r="E9828" s="2889" t="s">
        <v>1426</v>
      </c>
      <c r="F9828" s="3040"/>
      <c r="G9828" s="2890">
        <v>301.15392868910487</v>
      </c>
    </row>
    <row r="9829" spans="2:7" ht="15" hidden="1" outlineLevel="2">
      <c r="B9829" s="2889" t="s">
        <v>1633</v>
      </c>
      <c r="C9829" s="2889" t="s">
        <v>1614</v>
      </c>
      <c r="D9829" s="2889" t="s">
        <v>1615</v>
      </c>
      <c r="E9829" s="2889" t="s">
        <v>1426</v>
      </c>
      <c r="F9829" s="3040"/>
      <c r="G9829" s="2890">
        <v>6.3939927866126531E-30</v>
      </c>
    </row>
    <row r="9830" spans="2:7" ht="15" hidden="1" outlineLevel="2">
      <c r="B9830" s="2889" t="s">
        <v>1634</v>
      </c>
      <c r="C9830" s="2889" t="s">
        <v>1614</v>
      </c>
      <c r="D9830" s="2889" t="s">
        <v>1615</v>
      </c>
      <c r="E9830" s="2889" t="s">
        <v>1426</v>
      </c>
      <c r="F9830" s="3040"/>
      <c r="G9830" s="2890">
        <v>6.7959081952121128E-30</v>
      </c>
    </row>
    <row r="9831" spans="2:7" ht="15" hidden="1" outlineLevel="2">
      <c r="B9831" s="2889" t="s">
        <v>1635</v>
      </c>
      <c r="C9831" s="2889" t="s">
        <v>1614</v>
      </c>
      <c r="D9831" s="2889" t="s">
        <v>1615</v>
      </c>
      <c r="E9831" s="2889" t="s">
        <v>1426</v>
      </c>
      <c r="F9831" s="2891"/>
      <c r="G9831" s="2890">
        <v>86.34797149467262</v>
      </c>
    </row>
    <row r="9832" spans="2:7" ht="15" hidden="1" outlineLevel="2">
      <c r="B9832" s="2889" t="s">
        <v>1636</v>
      </c>
      <c r="C9832" s="2889" t="s">
        <v>1614</v>
      </c>
      <c r="D9832" s="2889" t="s">
        <v>1615</v>
      </c>
      <c r="E9832" s="2889" t="s">
        <v>1426</v>
      </c>
      <c r="F9832" s="2891"/>
      <c r="G9832" s="2890">
        <v>156.34202811417143</v>
      </c>
    </row>
    <row r="9833" spans="2:7" ht="15" hidden="1" outlineLevel="2">
      <c r="B9833" s="2889" t="s">
        <v>1637</v>
      </c>
      <c r="C9833" s="2889" t="s">
        <v>1614</v>
      </c>
      <c r="D9833" s="2889" t="s">
        <v>1615</v>
      </c>
      <c r="E9833" s="2889" t="s">
        <v>1426</v>
      </c>
      <c r="F9833" s="2891"/>
      <c r="G9833" s="2890">
        <v>3.5733218701167044</v>
      </c>
    </row>
    <row r="9834" spans="2:7" ht="15" hidden="1" outlineLevel="2">
      <c r="B9834" s="2889" t="s">
        <v>1638</v>
      </c>
      <c r="C9834" s="2889" t="s">
        <v>1614</v>
      </c>
      <c r="D9834" s="2889" t="s">
        <v>1615</v>
      </c>
      <c r="E9834" s="2889" t="s">
        <v>1426</v>
      </c>
      <c r="F9834" s="2891"/>
      <c r="G9834" s="2890">
        <v>1.2436048323365563E-30</v>
      </c>
    </row>
    <row r="9835" spans="2:7" ht="15" hidden="1" outlineLevel="2">
      <c r="B9835" s="2889" t="s">
        <v>1639</v>
      </c>
      <c r="C9835" s="2889" t="s">
        <v>1614</v>
      </c>
      <c r="D9835" s="2889" t="s">
        <v>1615</v>
      </c>
      <c r="E9835" s="2889" t="s">
        <v>1426</v>
      </c>
      <c r="F9835" s="2891"/>
      <c r="G9835" s="2890">
        <v>363.24167628879417</v>
      </c>
    </row>
    <row r="9836" spans="2:7" ht="15" hidden="1" outlineLevel="2">
      <c r="B9836" s="2889" t="s">
        <v>1640</v>
      </c>
      <c r="C9836" s="2889" t="s">
        <v>1614</v>
      </c>
      <c r="D9836" s="2889" t="s">
        <v>1615</v>
      </c>
      <c r="E9836" s="2889" t="s">
        <v>1426</v>
      </c>
      <c r="F9836" s="2891"/>
      <c r="G9836" s="2890">
        <v>19.584352636609502</v>
      </c>
    </row>
    <row r="9837" spans="2:7" ht="15" hidden="1" outlineLevel="2">
      <c r="B9837" s="2889" t="s">
        <v>1641</v>
      </c>
      <c r="C9837" s="2889" t="s">
        <v>1614</v>
      </c>
      <c r="D9837" s="2889" t="s">
        <v>1615</v>
      </c>
      <c r="E9837" s="2889" t="s">
        <v>1426</v>
      </c>
      <c r="F9837" s="2891"/>
      <c r="G9837" s="2890">
        <v>157.62616095091926</v>
      </c>
    </row>
    <row r="9838" spans="2:7" ht="15" hidden="1" outlineLevel="2">
      <c r="B9838" s="2889" t="s">
        <v>1642</v>
      </c>
      <c r="C9838" s="2889" t="s">
        <v>1614</v>
      </c>
      <c r="D9838" s="2889" t="s">
        <v>1615</v>
      </c>
      <c r="E9838" s="2889" t="s">
        <v>1426</v>
      </c>
      <c r="F9838" s="2891"/>
      <c r="G9838" s="2890">
        <v>197.93776471432295</v>
      </c>
    </row>
    <row r="9839" spans="2:7" ht="15" hidden="1" outlineLevel="2">
      <c r="B9839" s="2889" t="s">
        <v>1643</v>
      </c>
      <c r="C9839" s="2889" t="s">
        <v>1614</v>
      </c>
      <c r="D9839" s="2889" t="s">
        <v>1615</v>
      </c>
      <c r="E9839" s="2889" t="s">
        <v>1426</v>
      </c>
      <c r="F9839" s="2891"/>
      <c r="G9839" s="2890">
        <v>8.0791428019865141E-30</v>
      </c>
    </row>
    <row r="9840" spans="2:7" ht="15" hidden="1" outlineLevel="2">
      <c r="B9840" s="2889" t="s">
        <v>1644</v>
      </c>
      <c r="C9840" s="2889" t="s">
        <v>1614</v>
      </c>
      <c r="D9840" s="2889" t="s">
        <v>1615</v>
      </c>
      <c r="E9840" s="2889" t="s">
        <v>1426</v>
      </c>
      <c r="F9840" s="2891"/>
      <c r="G9840" s="2890">
        <v>236.50807771485592</v>
      </c>
    </row>
    <row r="9841" spans="2:7" ht="15" hidden="1" outlineLevel="2">
      <c r="B9841" s="2889" t="s">
        <v>1645</v>
      </c>
      <c r="C9841" s="2889" t="s">
        <v>1614</v>
      </c>
      <c r="D9841" s="2889" t="s">
        <v>1615</v>
      </c>
      <c r="E9841" s="2889" t="s">
        <v>1426</v>
      </c>
      <c r="F9841" s="2891"/>
      <c r="G9841" s="2890">
        <v>154.76207798803901</v>
      </c>
    </row>
    <row r="9842" spans="2:7" ht="15" hidden="1" outlineLevel="2">
      <c r="B9842" s="2889" t="s">
        <v>1646</v>
      </c>
      <c r="C9842" s="2889" t="s">
        <v>1614</v>
      </c>
      <c r="D9842" s="2889" t="s">
        <v>1615</v>
      </c>
      <c r="E9842" s="2889" t="s">
        <v>1426</v>
      </c>
      <c r="F9842" s="2891"/>
      <c r="G9842" s="2890">
        <v>1.0428807545197997E-29</v>
      </c>
    </row>
    <row r="9843" spans="2:7" ht="15" hidden="1" outlineLevel="2">
      <c r="B9843" s="2889" t="s">
        <v>1647</v>
      </c>
      <c r="C9843" s="2889" t="s">
        <v>1614</v>
      </c>
      <c r="D9843" s="2889" t="s">
        <v>1615</v>
      </c>
      <c r="E9843" s="2889" t="s">
        <v>1426</v>
      </c>
      <c r="F9843" s="2891"/>
      <c r="G9843" s="2890">
        <v>3.173088276097573E-29</v>
      </c>
    </row>
    <row r="9844" spans="2:7" ht="15" hidden="1" outlineLevel="2">
      <c r="B9844" s="2889" t="s">
        <v>1648</v>
      </c>
      <c r="C9844" s="2889" t="s">
        <v>1614</v>
      </c>
      <c r="D9844" s="2889" t="s">
        <v>1615</v>
      </c>
      <c r="E9844" s="2889" t="s">
        <v>1426</v>
      </c>
      <c r="F9844" s="2891"/>
      <c r="G9844" s="2890">
        <v>1.8185952543475339</v>
      </c>
    </row>
    <row r="9845" spans="2:7" ht="15" hidden="1" outlineLevel="2">
      <c r="B9845" s="2889" t="s">
        <v>1649</v>
      </c>
      <c r="C9845" s="2889" t="s">
        <v>1614</v>
      </c>
      <c r="D9845" s="2889" t="s">
        <v>1615</v>
      </c>
      <c r="E9845" s="2889" t="s">
        <v>1426</v>
      </c>
      <c r="F9845" s="2891"/>
      <c r="G9845" s="2890">
        <v>1.3653770425009171E-30</v>
      </c>
    </row>
    <row r="9846" spans="2:7" ht="15" hidden="1" outlineLevel="2">
      <c r="B9846" s="2889" t="s">
        <v>1650</v>
      </c>
      <c r="C9846" s="2889" t="s">
        <v>1614</v>
      </c>
      <c r="D9846" s="2889" t="s">
        <v>1615</v>
      </c>
      <c r="E9846" s="2889" t="s">
        <v>1426</v>
      </c>
      <c r="F9846" s="2891"/>
      <c r="G9846" s="2890">
        <v>182.81411312857585</v>
      </c>
    </row>
    <row r="9847" spans="2:7" ht="15" hidden="1" outlineLevel="2">
      <c r="B9847" s="2889" t="s">
        <v>1651</v>
      </c>
      <c r="C9847" s="2889" t="s">
        <v>1614</v>
      </c>
      <c r="D9847" s="2889" t="s">
        <v>1615</v>
      </c>
      <c r="E9847" s="2889" t="s">
        <v>1426</v>
      </c>
      <c r="F9847" s="2891"/>
      <c r="G9847" s="2890">
        <v>3.9397285844655876</v>
      </c>
    </row>
    <row r="9848" spans="2:7" ht="15" hidden="1" outlineLevel="2">
      <c r="B9848" s="2889" t="s">
        <v>1652</v>
      </c>
      <c r="C9848" s="2889" t="s">
        <v>1614</v>
      </c>
      <c r="D9848" s="2889" t="s">
        <v>1615</v>
      </c>
      <c r="E9848" s="2889" t="s">
        <v>1426</v>
      </c>
      <c r="F9848" s="2891"/>
      <c r="G9848" s="2890">
        <v>1.8185952544074</v>
      </c>
    </row>
    <row r="9849" spans="2:7" ht="15" hidden="1" outlineLevel="2">
      <c r="B9849" s="2889" t="s">
        <v>1653</v>
      </c>
      <c r="C9849" s="2889" t="s">
        <v>1614</v>
      </c>
      <c r="D9849" s="2889" t="s">
        <v>1615</v>
      </c>
      <c r="E9849" s="2889" t="s">
        <v>1426</v>
      </c>
      <c r="F9849" s="2891"/>
      <c r="G9849" s="2890">
        <v>153.41750339997955</v>
      </c>
    </row>
    <row r="9850" spans="2:7" ht="15" hidden="1" outlineLevel="2">
      <c r="B9850" s="2889" t="s">
        <v>1407</v>
      </c>
      <c r="C9850" s="2889" t="s">
        <v>1616</v>
      </c>
      <c r="D9850" s="2889" t="s">
        <v>1615</v>
      </c>
      <c r="E9850" s="2889" t="s">
        <v>217</v>
      </c>
      <c r="F9850" s="3039">
        <v>4.006977402499631E-3</v>
      </c>
      <c r="G9850" s="2890">
        <v>5.3863819128015242</v>
      </c>
    </row>
    <row r="9851" spans="2:7" ht="15" hidden="1" outlineLevel="2">
      <c r="B9851" s="2889" t="s">
        <v>1631</v>
      </c>
      <c r="C9851" s="2889" t="s">
        <v>1616</v>
      </c>
      <c r="D9851" s="2889" t="s">
        <v>1615</v>
      </c>
      <c r="E9851" s="2889" t="s">
        <v>217</v>
      </c>
      <c r="F9851" s="3039">
        <v>5.0202942664993883E-3</v>
      </c>
      <c r="G9851" s="2890">
        <v>6.6796687042765832</v>
      </c>
    </row>
    <row r="9852" spans="2:7" ht="15" hidden="1" outlineLevel="2">
      <c r="B9852" s="2889" t="s">
        <v>1632</v>
      </c>
      <c r="C9852" s="2889" t="s">
        <v>1616</v>
      </c>
      <c r="D9852" s="2889" t="s">
        <v>1615</v>
      </c>
      <c r="E9852" s="2889" t="s">
        <v>217</v>
      </c>
      <c r="F9852" s="3039">
        <v>9.5496988495790414E-3</v>
      </c>
      <c r="G9852" s="2890">
        <v>12.898062595711068</v>
      </c>
    </row>
    <row r="9853" spans="2:7" ht="15" hidden="1" outlineLevel="2">
      <c r="B9853" s="2889" t="s">
        <v>1633</v>
      </c>
      <c r="C9853" s="2889" t="s">
        <v>1616</v>
      </c>
      <c r="D9853" s="2889" t="s">
        <v>1615</v>
      </c>
      <c r="E9853" s="2889" t="s">
        <v>217</v>
      </c>
      <c r="F9853" s="3039">
        <v>1.004667680530274E-34</v>
      </c>
      <c r="G9853" s="2890">
        <v>1.3798314681467387E-31</v>
      </c>
    </row>
    <row r="9854" spans="2:7" ht="15" hidden="1" outlineLevel="2">
      <c r="B9854" s="2889" t="s">
        <v>1634</v>
      </c>
      <c r="C9854" s="2889" t="s">
        <v>1616</v>
      </c>
      <c r="D9854" s="2889" t="s">
        <v>1615</v>
      </c>
      <c r="E9854" s="2889" t="s">
        <v>217</v>
      </c>
      <c r="F9854" s="3039">
        <v>2.7324095556541653E-34</v>
      </c>
      <c r="G9854" s="2890">
        <v>3.5099562988835953E-31</v>
      </c>
    </row>
    <row r="9855" spans="2:7" ht="15" hidden="1" outlineLevel="2">
      <c r="B9855" s="2889" t="s">
        <v>1635</v>
      </c>
      <c r="C9855" s="2889" t="s">
        <v>1616</v>
      </c>
      <c r="D9855" s="2889" t="s">
        <v>1615</v>
      </c>
      <c r="E9855" s="2889" t="s">
        <v>217</v>
      </c>
      <c r="F9855" s="3039">
        <v>2.7381262544486753E-3</v>
      </c>
      <c r="G9855" s="2890">
        <v>3.6981801216152719</v>
      </c>
    </row>
    <row r="9856" spans="2:7" ht="15" hidden="1" outlineLevel="2">
      <c r="B9856" s="2889" t="s">
        <v>1636</v>
      </c>
      <c r="C9856" s="2889" t="s">
        <v>1616</v>
      </c>
      <c r="D9856" s="2889" t="s">
        <v>1615</v>
      </c>
      <c r="E9856" s="2889" t="s">
        <v>217</v>
      </c>
      <c r="F9856" s="2890">
        <v>4.9571956221965497E-3</v>
      </c>
      <c r="G9856" s="2890">
        <v>6.6959496749326117</v>
      </c>
    </row>
    <row r="9857" spans="2:7" ht="15" hidden="1" outlineLevel="2">
      <c r="B9857" s="2889" t="s">
        <v>1637</v>
      </c>
      <c r="C9857" s="2889" t="s">
        <v>1616</v>
      </c>
      <c r="D9857" s="2889" t="s">
        <v>1615</v>
      </c>
      <c r="E9857" s="2889" t="s">
        <v>217</v>
      </c>
      <c r="F9857" s="2890">
        <v>1.1275301803991817E-4</v>
      </c>
      <c r="G9857" s="2890">
        <v>0.15304114882938344</v>
      </c>
    </row>
    <row r="9858" spans="2:7" ht="15" hidden="1" outlineLevel="2">
      <c r="B9858" s="2889" t="s">
        <v>1638</v>
      </c>
      <c r="C9858" s="2889" t="s">
        <v>1616</v>
      </c>
      <c r="D9858" s="2889" t="s">
        <v>1615</v>
      </c>
      <c r="E9858" s="2889" t="s">
        <v>217</v>
      </c>
      <c r="F9858" s="2890">
        <v>1.4296641266448002E-35</v>
      </c>
      <c r="G9858" s="2890">
        <v>1.9649166645629601E-32</v>
      </c>
    </row>
    <row r="9859" spans="2:7" ht="15" hidden="1" outlineLevel="2">
      <c r="B9859" s="2889" t="s">
        <v>1639</v>
      </c>
      <c r="C9859" s="2889" t="s">
        <v>1616</v>
      </c>
      <c r="D9859" s="2889" t="s">
        <v>1615</v>
      </c>
      <c r="E9859" s="2889" t="s">
        <v>217</v>
      </c>
      <c r="F9859" s="2890">
        <v>1.1461768754320322E-2</v>
      </c>
      <c r="G9859" s="2890">
        <v>15.557212689125251</v>
      </c>
    </row>
    <row r="9860" spans="2:7" ht="15" hidden="1" outlineLevel="2">
      <c r="B9860" s="2889" t="s">
        <v>1640</v>
      </c>
      <c r="C9860" s="2889" t="s">
        <v>1616</v>
      </c>
      <c r="D9860" s="2889" t="s">
        <v>1615</v>
      </c>
      <c r="E9860" s="2889" t="s">
        <v>217</v>
      </c>
      <c r="F9860" s="2890">
        <v>6.2397171240423572E-4</v>
      </c>
      <c r="G9860" s="2890">
        <v>0.83877504476520182</v>
      </c>
    </row>
    <row r="9861" spans="2:7" ht="15" hidden="1" outlineLevel="2">
      <c r="B9861" s="2889" t="s">
        <v>1641</v>
      </c>
      <c r="C9861" s="2889" t="s">
        <v>1616</v>
      </c>
      <c r="D9861" s="2889" t="s">
        <v>1615</v>
      </c>
      <c r="E9861" s="2889" t="s">
        <v>217</v>
      </c>
      <c r="F9861" s="2890">
        <v>4.998382277272298E-3</v>
      </c>
      <c r="G9861" s="2890">
        <v>6.750932011967139</v>
      </c>
    </row>
    <row r="9862" spans="2:7" ht="15" hidden="1" outlineLevel="2">
      <c r="B9862" s="2889" t="s">
        <v>1642</v>
      </c>
      <c r="C9862" s="2889" t="s">
        <v>1616</v>
      </c>
      <c r="D9862" s="2889" t="s">
        <v>1615</v>
      </c>
      <c r="E9862" s="2889" t="s">
        <v>217</v>
      </c>
      <c r="F9862" s="2890">
        <v>6.2766772549652473E-3</v>
      </c>
      <c r="G9862" s="2890">
        <v>8.4774355555770704</v>
      </c>
    </row>
    <row r="9863" spans="2:7" ht="15" hidden="1" outlineLevel="2">
      <c r="B9863" s="2889" t="s">
        <v>1643</v>
      </c>
      <c r="C9863" s="2889" t="s">
        <v>1616</v>
      </c>
      <c r="D9863" s="2889" t="s">
        <v>1615</v>
      </c>
      <c r="E9863" s="2889" t="s">
        <v>217</v>
      </c>
      <c r="F9863" s="2890">
        <v>1.8024355299800121E-33</v>
      </c>
      <c r="G9863" s="2890">
        <v>2.5055075951912425E-30</v>
      </c>
    </row>
    <row r="9864" spans="2:7" ht="15" hidden="1" outlineLevel="2">
      <c r="B9864" s="2889" t="s">
        <v>1644</v>
      </c>
      <c r="C9864" s="2889" t="s">
        <v>1616</v>
      </c>
      <c r="D9864" s="2889" t="s">
        <v>1615</v>
      </c>
      <c r="E9864" s="2889" t="s">
        <v>217</v>
      </c>
      <c r="F9864" s="2890">
        <v>7.4628050578419269E-3</v>
      </c>
      <c r="G9864" s="2890">
        <v>10.129353351378866</v>
      </c>
    </row>
    <row r="9865" spans="2:7" ht="15" hidden="1" outlineLevel="2">
      <c r="B9865" s="2889" t="s">
        <v>1645</v>
      </c>
      <c r="C9865" s="2889" t="s">
        <v>1616</v>
      </c>
      <c r="D9865" s="2889" t="s">
        <v>1615</v>
      </c>
      <c r="E9865" s="2889" t="s">
        <v>217</v>
      </c>
      <c r="F9865" s="2890">
        <v>4.8833825772056014E-3</v>
      </c>
      <c r="G9865" s="2890">
        <v>6.628275164213294</v>
      </c>
    </row>
    <row r="9866" spans="2:7" ht="15" hidden="1" outlineLevel="2">
      <c r="B9866" s="2889" t="s">
        <v>1646</v>
      </c>
      <c r="C9866" s="2889" t="s">
        <v>1616</v>
      </c>
      <c r="D9866" s="2889" t="s">
        <v>1615</v>
      </c>
      <c r="E9866" s="2889" t="s">
        <v>217</v>
      </c>
      <c r="F9866" s="2890">
        <v>1.009667838308136E-34</v>
      </c>
      <c r="G9866" s="2890">
        <v>1.3798314681467367E-31</v>
      </c>
    </row>
    <row r="9867" spans="2:7" ht="15" hidden="1" outlineLevel="2">
      <c r="B9867" s="2889" t="s">
        <v>1647</v>
      </c>
      <c r="C9867" s="2889" t="s">
        <v>1616</v>
      </c>
      <c r="D9867" s="2889" t="s">
        <v>1615</v>
      </c>
      <c r="E9867" s="2889" t="s">
        <v>217</v>
      </c>
      <c r="F9867" s="2890">
        <v>3.5648020414616141E-36</v>
      </c>
      <c r="G9867" s="2890">
        <v>4.8941940554863511E-33</v>
      </c>
    </row>
    <row r="9868" spans="2:7" ht="15" hidden="1" outlineLevel="2">
      <c r="B9868" s="2889" t="s">
        <v>1648</v>
      </c>
      <c r="C9868" s="2889" t="s">
        <v>1616</v>
      </c>
      <c r="D9868" s="2889" t="s">
        <v>1615</v>
      </c>
      <c r="E9868" s="2889" t="s">
        <v>217</v>
      </c>
      <c r="F9868" s="2890">
        <v>5.7322654762894346E-5</v>
      </c>
      <c r="G9868" s="2890">
        <v>7.7888305189482809E-2</v>
      </c>
    </row>
    <row r="9869" spans="2:7" ht="15" hidden="1" outlineLevel="2">
      <c r="B9869" s="2889" t="s">
        <v>1649</v>
      </c>
      <c r="C9869" s="2889" t="s">
        <v>1616</v>
      </c>
      <c r="D9869" s="2889" t="s">
        <v>1615</v>
      </c>
      <c r="E9869" s="2889" t="s">
        <v>217</v>
      </c>
      <c r="F9869" s="2890">
        <v>1.4296641266448002E-35</v>
      </c>
      <c r="G9869" s="2890">
        <v>1.9649166645629601E-32</v>
      </c>
    </row>
    <row r="9870" spans="2:7" ht="15" hidden="1" outlineLevel="2">
      <c r="B9870" s="2889" t="s">
        <v>1650</v>
      </c>
      <c r="C9870" s="2889" t="s">
        <v>1616</v>
      </c>
      <c r="D9870" s="2889" t="s">
        <v>1615</v>
      </c>
      <c r="E9870" s="2889" t="s">
        <v>217</v>
      </c>
      <c r="F9870" s="2890">
        <v>5.8245920189223307E-3</v>
      </c>
      <c r="G9870" s="2890">
        <v>7.8296999392866011</v>
      </c>
    </row>
    <row r="9871" spans="2:7" ht="15" hidden="1" outlineLevel="2">
      <c r="B9871" s="2889" t="s">
        <v>1651</v>
      </c>
      <c r="C9871" s="2889" t="s">
        <v>1616</v>
      </c>
      <c r="D9871" s="2889" t="s">
        <v>1615</v>
      </c>
      <c r="E9871" s="2889" t="s">
        <v>217</v>
      </c>
      <c r="F9871" s="2890">
        <v>1.2418145592836338E-4</v>
      </c>
      <c r="G9871" s="2890">
        <v>0.16873380542616212</v>
      </c>
    </row>
    <row r="9872" spans="2:7" ht="15" hidden="1" outlineLevel="2">
      <c r="B9872" s="2889" t="s">
        <v>1652</v>
      </c>
      <c r="C9872" s="2889" t="s">
        <v>1616</v>
      </c>
      <c r="D9872" s="2889" t="s">
        <v>1615</v>
      </c>
      <c r="E9872" s="2889" t="s">
        <v>217</v>
      </c>
      <c r="F9872" s="2890">
        <v>5.7322654772868091E-5</v>
      </c>
      <c r="G9872" s="2890">
        <v>7.7888305185286236E-2</v>
      </c>
    </row>
    <row r="9873" spans="2:7" ht="15" hidden="1" outlineLevel="2">
      <c r="B9873" s="2889" t="s">
        <v>1653</v>
      </c>
      <c r="C9873" s="2889" t="s">
        <v>1616</v>
      </c>
      <c r="D9873" s="2889" t="s">
        <v>1615</v>
      </c>
      <c r="E9873" s="2889" t="s">
        <v>217</v>
      </c>
      <c r="F9873" s="2890">
        <v>4.8649242329520974E-3</v>
      </c>
      <c r="G9873" s="2890">
        <v>6.5706869497414058</v>
      </c>
    </row>
    <row r="9874" spans="2:7" ht="15" hidden="1" outlineLevel="2">
      <c r="B9874" s="2889" t="s">
        <v>1407</v>
      </c>
      <c r="C9874" s="2889" t="s">
        <v>1617</v>
      </c>
      <c r="D9874" s="2889" t="s">
        <v>1615</v>
      </c>
      <c r="E9874" s="2889" t="s">
        <v>1420</v>
      </c>
      <c r="F9874" s="2890">
        <v>6.3325962534209286E-5</v>
      </c>
      <c r="G9874" s="2890">
        <v>0.18330393030722936</v>
      </c>
    </row>
    <row r="9875" spans="2:7" ht="15" hidden="1" outlineLevel="2">
      <c r="B9875" s="2889" t="s">
        <v>1631</v>
      </c>
      <c r="C9875" s="2889" t="s">
        <v>1617</v>
      </c>
      <c r="D9875" s="2889" t="s">
        <v>1615</v>
      </c>
      <c r="E9875" s="2889" t="s">
        <v>1420</v>
      </c>
      <c r="F9875" s="2890">
        <v>7.8530826325251803E-5</v>
      </c>
      <c r="G9875" s="2890">
        <v>0.22731608768854003</v>
      </c>
    </row>
    <row r="9876" spans="2:7" ht="15" hidden="1" outlineLevel="2">
      <c r="B9876" s="2889" t="s">
        <v>1632</v>
      </c>
      <c r="C9876" s="2889" t="s">
        <v>1617</v>
      </c>
      <c r="D9876" s="2889" t="s">
        <v>1615</v>
      </c>
      <c r="E9876" s="2889" t="s">
        <v>1420</v>
      </c>
      <c r="F9876" s="3039">
        <v>1.5163850278431337E-4</v>
      </c>
      <c r="G9876" s="2890">
        <v>0.43893398205908468</v>
      </c>
    </row>
    <row r="9877" spans="2:7" ht="15" hidden="1" outlineLevel="2">
      <c r="B9877" s="2889" t="s">
        <v>1633</v>
      </c>
      <c r="C9877" s="2889" t="s">
        <v>1617</v>
      </c>
      <c r="D9877" s="2889" t="s">
        <v>1615</v>
      </c>
      <c r="E9877" s="2889" t="s">
        <v>1420</v>
      </c>
      <c r="F9877" s="3039">
        <v>1.3212207888560816E-40</v>
      </c>
      <c r="G9877" s="2890">
        <v>3.8274928299855921E-37</v>
      </c>
    </row>
    <row r="9878" spans="2:7" ht="15" hidden="1" outlineLevel="2">
      <c r="B9878" s="2889" t="s">
        <v>1634</v>
      </c>
      <c r="C9878" s="2889" t="s">
        <v>1617</v>
      </c>
      <c r="D9878" s="2889" t="s">
        <v>1615</v>
      </c>
      <c r="E9878" s="2889" t="s">
        <v>1420</v>
      </c>
      <c r="F9878" s="3039">
        <v>1.3212207888560816E-40</v>
      </c>
      <c r="G9878" s="2890">
        <v>3.8274928299855921E-37</v>
      </c>
    </row>
    <row r="9879" spans="2:7" ht="15" hidden="1" outlineLevel="2">
      <c r="B9879" s="2889" t="s">
        <v>1635</v>
      </c>
      <c r="C9879" s="2889" t="s">
        <v>1617</v>
      </c>
      <c r="D9879" s="2889" t="s">
        <v>1615</v>
      </c>
      <c r="E9879" s="2889" t="s">
        <v>1420</v>
      </c>
      <c r="F9879" s="3039">
        <v>4.3478347593036507E-5</v>
      </c>
      <c r="G9879" s="2890">
        <v>0.12585274377322919</v>
      </c>
    </row>
    <row r="9880" spans="2:7" ht="15" hidden="1" outlineLevel="2">
      <c r="B9880" s="2889" t="s">
        <v>1636</v>
      </c>
      <c r="C9880" s="2889" t="s">
        <v>1617</v>
      </c>
      <c r="D9880" s="2889" t="s">
        <v>1615</v>
      </c>
      <c r="E9880" s="2889" t="s">
        <v>1420</v>
      </c>
      <c r="F9880" s="3039">
        <v>7.8722026819418156E-5</v>
      </c>
      <c r="G9880" s="2890">
        <v>0.22786960514242463</v>
      </c>
    </row>
    <row r="9881" spans="2:7" ht="15" hidden="1" outlineLevel="2">
      <c r="B9881" s="2889" t="s">
        <v>1637</v>
      </c>
      <c r="C9881" s="2889" t="s">
        <v>1617</v>
      </c>
      <c r="D9881" s="2889" t="s">
        <v>1615</v>
      </c>
      <c r="E9881" s="2889" t="s">
        <v>1420</v>
      </c>
      <c r="F9881" s="3039">
        <v>1.7992556344046129E-6</v>
      </c>
      <c r="G9881" s="2890">
        <v>5.2081411352396245E-3</v>
      </c>
    </row>
    <row r="9882" spans="2:7" ht="15" hidden="1" outlineLevel="2">
      <c r="B9882" s="2889" t="s">
        <v>1638</v>
      </c>
      <c r="C9882" s="2889" t="s">
        <v>1617</v>
      </c>
      <c r="D9882" s="2889" t="s">
        <v>1615</v>
      </c>
      <c r="E9882" s="2889" t="s">
        <v>1420</v>
      </c>
      <c r="F9882" s="3039">
        <v>1.3212207888560816E-40</v>
      </c>
      <c r="G9882" s="2890">
        <v>3.8274928299855921E-37</v>
      </c>
    </row>
    <row r="9883" spans="2:7" ht="15" hidden="1" outlineLevel="2">
      <c r="B9883" s="2889" t="s">
        <v>1639</v>
      </c>
      <c r="C9883" s="2889" t="s">
        <v>1617</v>
      </c>
      <c r="D9883" s="2889" t="s">
        <v>1615</v>
      </c>
      <c r="E9883" s="2889" t="s">
        <v>1420</v>
      </c>
      <c r="F9883" s="2890">
        <v>1.8290120817266112E-4</v>
      </c>
      <c r="G9883" s="2890">
        <v>0.52942731005747823</v>
      </c>
    </row>
    <row r="9884" spans="2:7" ht="15" hidden="1" outlineLevel="2">
      <c r="B9884" s="2889" t="s">
        <v>1640</v>
      </c>
      <c r="C9884" s="2889" t="s">
        <v>1617</v>
      </c>
      <c r="D9884" s="2889" t="s">
        <v>1615</v>
      </c>
      <c r="E9884" s="2889" t="s">
        <v>1420</v>
      </c>
      <c r="F9884" s="2890">
        <v>9.8612117992862046E-6</v>
      </c>
      <c r="G9884" s="2890">
        <v>2.8544329065728707E-2</v>
      </c>
    </row>
    <row r="9885" spans="2:7" ht="15" hidden="1" outlineLevel="2">
      <c r="B9885" s="2889" t="s">
        <v>1641</v>
      </c>
      <c r="C9885" s="2889" t="s">
        <v>1617</v>
      </c>
      <c r="D9885" s="2889" t="s">
        <v>1615</v>
      </c>
      <c r="E9885" s="2889" t="s">
        <v>1420</v>
      </c>
      <c r="F9885" s="2890">
        <v>7.9368761745345176E-5</v>
      </c>
      <c r="G9885" s="2890">
        <v>0.22974137420610094</v>
      </c>
    </row>
    <row r="9886" spans="2:7" ht="15" hidden="1" outlineLevel="2">
      <c r="B9886" s="2889" t="s">
        <v>1642</v>
      </c>
      <c r="C9886" s="2889" t="s">
        <v>1617</v>
      </c>
      <c r="D9886" s="2889" t="s">
        <v>1615</v>
      </c>
      <c r="E9886" s="2889" t="s">
        <v>1420</v>
      </c>
      <c r="F9886" s="2890">
        <v>9.9666658217980884E-5</v>
      </c>
      <c r="G9886" s="2890">
        <v>0.28849559203544334</v>
      </c>
    </row>
    <row r="9887" spans="2:7" ht="15" hidden="1" outlineLevel="2">
      <c r="B9887" s="2889" t="s">
        <v>1643</v>
      </c>
      <c r="C9887" s="2889" t="s">
        <v>1617</v>
      </c>
      <c r="D9887" s="2889" t="s">
        <v>1615</v>
      </c>
      <c r="E9887" s="2889" t="s">
        <v>1420</v>
      </c>
      <c r="F9887" s="2890">
        <v>1.4499303466871991E-40</v>
      </c>
      <c r="G9887" s="2890">
        <v>4.201807518678484E-37</v>
      </c>
    </row>
    <row r="9888" spans="2:7" ht="15" hidden="1" outlineLevel="2">
      <c r="B9888" s="2889" t="s">
        <v>1644</v>
      </c>
      <c r="C9888" s="2889" t="s">
        <v>1617</v>
      </c>
      <c r="D9888" s="2889" t="s">
        <v>1615</v>
      </c>
      <c r="E9888" s="2889" t="s">
        <v>1420</v>
      </c>
      <c r="F9888" s="2890">
        <v>1.1908781446108619E-4</v>
      </c>
      <c r="G9888" s="2890">
        <v>0.34471234949977914</v>
      </c>
    </row>
    <row r="9889" spans="2:7" ht="15" hidden="1" outlineLevel="2">
      <c r="B9889" s="2889" t="s">
        <v>1645</v>
      </c>
      <c r="C9889" s="2889" t="s">
        <v>1617</v>
      </c>
      <c r="D9889" s="2889" t="s">
        <v>1615</v>
      </c>
      <c r="E9889" s="2889" t="s">
        <v>1420</v>
      </c>
      <c r="F9889" s="2890">
        <v>7.7926602703024382E-5</v>
      </c>
      <c r="G9889" s="2890">
        <v>0.22556683544568845</v>
      </c>
    </row>
    <row r="9890" spans="2:7" ht="15" hidden="1" outlineLevel="2">
      <c r="B9890" s="2889" t="s">
        <v>1646</v>
      </c>
      <c r="C9890" s="2889" t="s">
        <v>1617</v>
      </c>
      <c r="D9890" s="2889" t="s">
        <v>1615</v>
      </c>
      <c r="E9890" s="2889" t="s">
        <v>1420</v>
      </c>
      <c r="F9890" s="2890">
        <v>1.32122078885608E-40</v>
      </c>
      <c r="G9890" s="2890">
        <v>3.8274928299855871E-37</v>
      </c>
    </row>
    <row r="9891" spans="2:7" ht="15" hidden="1" outlineLevel="2">
      <c r="B9891" s="2889" t="s">
        <v>1647</v>
      </c>
      <c r="C9891" s="2889" t="s">
        <v>1617</v>
      </c>
      <c r="D9891" s="2889" t="s">
        <v>1615</v>
      </c>
      <c r="E9891" s="2889" t="s">
        <v>1420</v>
      </c>
      <c r="F9891" s="2890">
        <v>1.3212207888560816E-40</v>
      </c>
      <c r="G9891" s="2890">
        <v>3.8274928299855921E-37</v>
      </c>
    </row>
    <row r="9892" spans="2:7" ht="15" hidden="1" outlineLevel="2">
      <c r="B9892" s="2889" t="s">
        <v>1648</v>
      </c>
      <c r="C9892" s="2889" t="s">
        <v>1617</v>
      </c>
      <c r="D9892" s="2889" t="s">
        <v>1615</v>
      </c>
      <c r="E9892" s="2889" t="s">
        <v>1420</v>
      </c>
      <c r="F9892" s="2890">
        <v>9.1570708988094493E-7</v>
      </c>
      <c r="G9892" s="2890">
        <v>2.6506157893599865E-3</v>
      </c>
    </row>
    <row r="9893" spans="2:7" ht="15" hidden="1" outlineLevel="2">
      <c r="B9893" s="2889" t="s">
        <v>1649</v>
      </c>
      <c r="C9893" s="2889" t="s">
        <v>1617</v>
      </c>
      <c r="D9893" s="2889" t="s">
        <v>1615</v>
      </c>
      <c r="E9893" s="2889" t="s">
        <v>1420</v>
      </c>
      <c r="F9893" s="2890">
        <v>1.3212207888560816E-40</v>
      </c>
      <c r="G9893" s="2890">
        <v>3.8274928299855921E-37</v>
      </c>
    </row>
    <row r="9894" spans="2:7" ht="15" hidden="1" outlineLevel="2">
      <c r="B9894" s="2889" t="s">
        <v>1650</v>
      </c>
      <c r="C9894" s="2889" t="s">
        <v>1617</v>
      </c>
      <c r="D9894" s="2889" t="s">
        <v>1615</v>
      </c>
      <c r="E9894" s="2889" t="s">
        <v>1420</v>
      </c>
      <c r="F9894" s="2890">
        <v>9.2051486309579456E-5</v>
      </c>
      <c r="G9894" s="2890">
        <v>0.26645300607187544</v>
      </c>
    </row>
    <row r="9895" spans="2:7" ht="15" hidden="1" outlineLevel="2">
      <c r="B9895" s="2889" t="s">
        <v>1651</v>
      </c>
      <c r="C9895" s="2889" t="s">
        <v>1617</v>
      </c>
      <c r="D9895" s="2889" t="s">
        <v>1615</v>
      </c>
      <c r="E9895" s="2889" t="s">
        <v>1420</v>
      </c>
      <c r="F9895" s="2890">
        <v>1.9837532846788799E-6</v>
      </c>
      <c r="G9895" s="2890">
        <v>5.7421875522407576E-3</v>
      </c>
    </row>
    <row r="9896" spans="2:7" ht="15" hidden="1" outlineLevel="2">
      <c r="B9896" s="2889" t="s">
        <v>1652</v>
      </c>
      <c r="C9896" s="2889" t="s">
        <v>1617</v>
      </c>
      <c r="D9896" s="2889" t="s">
        <v>1615</v>
      </c>
      <c r="E9896" s="2889" t="s">
        <v>1420</v>
      </c>
      <c r="F9896" s="2890">
        <v>9.1570708747803962E-7</v>
      </c>
      <c r="G9896" s="2890">
        <v>2.650615789343802E-3</v>
      </c>
    </row>
    <row r="9897" spans="2:7" ht="15" hidden="1" outlineLevel="2">
      <c r="B9897" s="2889" t="s">
        <v>1653</v>
      </c>
      <c r="C9897" s="2889" t="s">
        <v>1617</v>
      </c>
      <c r="D9897" s="2889" t="s">
        <v>1615</v>
      </c>
      <c r="E9897" s="2889" t="s">
        <v>1420</v>
      </c>
      <c r="F9897" s="2890">
        <v>7.7249555640880236E-5</v>
      </c>
      <c r="G9897" s="2890">
        <v>0.22360691391480741</v>
      </c>
    </row>
    <row r="9898" spans="2:7" ht="15" outlineLevel="1" collapsed="1">
      <c r="B9898" s="2889"/>
      <c r="C9898" s="2889"/>
      <c r="D9898" s="3042" t="s">
        <v>1696</v>
      </c>
      <c r="E9898" s="2889"/>
      <c r="F9898" s="2890">
        <f>SUBTOTAL(9,F9826:F9897)</f>
        <v>8.0868368621387673E-2</v>
      </c>
      <c r="G9898" s="2890">
        <f>SUBTOTAL(9,G9826:G9897)</f>
        <v>2404.5877546215102</v>
      </c>
    </row>
    <row r="9899" spans="2:7" ht="15" hidden="1" outlineLevel="2">
      <c r="B9899" s="2889" t="s">
        <v>1407</v>
      </c>
      <c r="C9899" s="2889" t="s">
        <v>1618</v>
      </c>
      <c r="D9899" s="2889" t="s">
        <v>1619</v>
      </c>
      <c r="E9899" s="2889" t="s">
        <v>217</v>
      </c>
      <c r="F9899" s="2890">
        <v>1.3477423744660915</v>
      </c>
      <c r="G9899" s="2890">
        <v>341.6860885079401</v>
      </c>
    </row>
    <row r="9900" spans="2:7" ht="15" hidden="1" outlineLevel="2">
      <c r="B9900" s="2889" t="s">
        <v>1631</v>
      </c>
      <c r="C9900" s="2889" t="s">
        <v>1618</v>
      </c>
      <c r="D9900" s="2889" t="s">
        <v>1619</v>
      </c>
      <c r="E9900" s="2889" t="s">
        <v>217</v>
      </c>
      <c r="F9900" s="2890">
        <v>2.8270450232675479</v>
      </c>
      <c r="G9900" s="2890">
        <v>715.67271940801993</v>
      </c>
    </row>
    <row r="9901" spans="2:7" ht="15" hidden="1" outlineLevel="2">
      <c r="B9901" s="2889" t="s">
        <v>1632</v>
      </c>
      <c r="C9901" s="2889" t="s">
        <v>1618</v>
      </c>
      <c r="D9901" s="2889" t="s">
        <v>1619</v>
      </c>
      <c r="E9901" s="2889" t="s">
        <v>217</v>
      </c>
      <c r="F9901" s="2890">
        <v>1.4115162662922598</v>
      </c>
      <c r="G9901" s="2890">
        <v>357.83638726176002</v>
      </c>
    </row>
    <row r="9902" spans="2:7" ht="15" hidden="1" outlineLevel="2">
      <c r="B9902" s="2889" t="s">
        <v>1634</v>
      </c>
      <c r="C9902" s="2889" t="s">
        <v>1618</v>
      </c>
      <c r="D9902" s="2889" t="s">
        <v>1619</v>
      </c>
      <c r="E9902" s="2889" t="s">
        <v>217</v>
      </c>
      <c r="F9902" s="2890">
        <v>1.411431061829955</v>
      </c>
      <c r="G9902" s="2890">
        <v>357.83638726176002</v>
      </c>
    </row>
    <row r="9903" spans="2:7" ht="15" hidden="1" outlineLevel="2">
      <c r="B9903" s="2889" t="s">
        <v>1635</v>
      </c>
      <c r="C9903" s="2889" t="s">
        <v>1618</v>
      </c>
      <c r="D9903" s="2889" t="s">
        <v>1619</v>
      </c>
      <c r="E9903" s="2889" t="s">
        <v>217</v>
      </c>
      <c r="F9903" s="2890">
        <v>1.4115162662922598</v>
      </c>
      <c r="G9903" s="2890">
        <v>357.83638726176002</v>
      </c>
    </row>
    <row r="9904" spans="2:7" ht="15" hidden="1" outlineLevel="2">
      <c r="B9904" s="2889" t="s">
        <v>1636</v>
      </c>
      <c r="C9904" s="2889" t="s">
        <v>1618</v>
      </c>
      <c r="D9904" s="2889" t="s">
        <v>1619</v>
      </c>
      <c r="E9904" s="2889" t="s">
        <v>217</v>
      </c>
      <c r="F9904" s="2890">
        <v>3.7640427742339102</v>
      </c>
      <c r="G9904" s="2890">
        <v>954.23028225580015</v>
      </c>
    </row>
    <row r="9905" spans="2:7" ht="15" hidden="1" outlineLevel="2">
      <c r="B9905" s="2889" t="s">
        <v>1637</v>
      </c>
      <c r="C9905" s="2889" t="s">
        <v>1618</v>
      </c>
      <c r="D9905" s="2889" t="s">
        <v>1619</v>
      </c>
      <c r="E9905" s="2889" t="s">
        <v>217</v>
      </c>
      <c r="F9905" s="2890">
        <v>1.4115162662922598</v>
      </c>
      <c r="G9905" s="2890">
        <v>357.83638726176002</v>
      </c>
    </row>
    <row r="9906" spans="2:7" ht="15" hidden="1" outlineLevel="2">
      <c r="B9906" s="2889" t="s">
        <v>1638</v>
      </c>
      <c r="C9906" s="2889" t="s">
        <v>1618</v>
      </c>
      <c r="D9906" s="2889" t="s">
        <v>1619</v>
      </c>
      <c r="E9906" s="2889" t="s">
        <v>217</v>
      </c>
      <c r="F9906" s="2890">
        <v>0.47047698372110658</v>
      </c>
      <c r="G9906" s="2890">
        <v>119.27879467744539</v>
      </c>
    </row>
    <row r="9907" spans="2:7" ht="15" hidden="1" outlineLevel="2">
      <c r="B9907" s="2889" t="s">
        <v>1639</v>
      </c>
      <c r="C9907" s="2889" t="s">
        <v>1618</v>
      </c>
      <c r="D9907" s="2889" t="s">
        <v>1619</v>
      </c>
      <c r="E9907" s="2889" t="s">
        <v>217</v>
      </c>
      <c r="F9907" s="2890">
        <v>1.4115162662922598</v>
      </c>
      <c r="G9907" s="2890">
        <v>357.83638726176002</v>
      </c>
    </row>
    <row r="9908" spans="2:7" ht="15" hidden="1" outlineLevel="2">
      <c r="B9908" s="2889" t="s">
        <v>1640</v>
      </c>
      <c r="C9908" s="2889" t="s">
        <v>1618</v>
      </c>
      <c r="D9908" s="2889" t="s">
        <v>1619</v>
      </c>
      <c r="E9908" s="2889" t="s">
        <v>217</v>
      </c>
      <c r="F9908" s="2890">
        <v>1.411431061829955</v>
      </c>
      <c r="G9908" s="2890">
        <v>357.83638726176002</v>
      </c>
    </row>
    <row r="9909" spans="2:7" ht="15" hidden="1" outlineLevel="2">
      <c r="B9909" s="2889" t="s">
        <v>1641</v>
      </c>
      <c r="C9909" s="2889" t="s">
        <v>1618</v>
      </c>
      <c r="D9909" s="2889" t="s">
        <v>1619</v>
      </c>
      <c r="E9909" s="2889" t="s">
        <v>217</v>
      </c>
      <c r="F9909" s="2890">
        <v>2.3525272841134837</v>
      </c>
      <c r="G9909" s="2890">
        <v>596.39401624814002</v>
      </c>
    </row>
    <row r="9910" spans="2:7" ht="15" hidden="1" outlineLevel="2">
      <c r="B9910" s="2889" t="s">
        <v>1642</v>
      </c>
      <c r="C9910" s="2889" t="s">
        <v>1618</v>
      </c>
      <c r="D9910" s="2889" t="s">
        <v>1619</v>
      </c>
      <c r="E9910" s="2889" t="s">
        <v>217</v>
      </c>
      <c r="F9910" s="2890">
        <v>0.47050534946622041</v>
      </c>
      <c r="G9910" s="2890">
        <v>119.27879467744539</v>
      </c>
    </row>
    <row r="9911" spans="2:7" ht="15" hidden="1" outlineLevel="2">
      <c r="B9911" s="2889" t="s">
        <v>1643</v>
      </c>
      <c r="C9911" s="2889" t="s">
        <v>1618</v>
      </c>
      <c r="D9911" s="2889" t="s">
        <v>1619</v>
      </c>
      <c r="E9911" s="2889" t="s">
        <v>217</v>
      </c>
      <c r="F9911" s="2890">
        <v>2.1661625763248415</v>
      </c>
      <c r="G9911" s="2890">
        <v>549.17044737302001</v>
      </c>
    </row>
    <row r="9912" spans="2:7" ht="15" hidden="1" outlineLevel="2">
      <c r="B9912" s="2889" t="s">
        <v>1644</v>
      </c>
      <c r="C9912" s="2889" t="s">
        <v>1618</v>
      </c>
      <c r="D9912" s="2889" t="s">
        <v>1619</v>
      </c>
      <c r="E9912" s="2889" t="s">
        <v>217</v>
      </c>
      <c r="F9912" s="2890">
        <v>2.8230314851747247</v>
      </c>
      <c r="G9912" s="2890">
        <v>715.67271940801993</v>
      </c>
    </row>
    <row r="9913" spans="2:7" ht="15" hidden="1" outlineLevel="2">
      <c r="B9913" s="2889" t="s">
        <v>1645</v>
      </c>
      <c r="C9913" s="2889" t="s">
        <v>1618</v>
      </c>
      <c r="D9913" s="2889" t="s">
        <v>1619</v>
      </c>
      <c r="E9913" s="2889" t="s">
        <v>217</v>
      </c>
      <c r="F9913" s="2890">
        <v>1.4115162663082719</v>
      </c>
      <c r="G9913" s="2890">
        <v>357.83638726176002</v>
      </c>
    </row>
    <row r="9914" spans="2:7" ht="15" hidden="1" outlineLevel="2">
      <c r="B9914" s="2889" t="s">
        <v>1646</v>
      </c>
      <c r="C9914" s="2889" t="s">
        <v>1618</v>
      </c>
      <c r="D9914" s="2889" t="s">
        <v>1619</v>
      </c>
      <c r="E9914" s="2889" t="s">
        <v>217</v>
      </c>
      <c r="F9914" s="2890">
        <v>0.94101062915501865</v>
      </c>
      <c r="G9914" s="2890">
        <v>238.55749708809904</v>
      </c>
    </row>
    <row r="9915" spans="2:7" ht="15" hidden="1" outlineLevel="2">
      <c r="B9915" s="2889" t="s">
        <v>1647</v>
      </c>
      <c r="C9915" s="2889" t="s">
        <v>1618</v>
      </c>
      <c r="D9915" s="2889" t="s">
        <v>1619</v>
      </c>
      <c r="E9915" s="2889" t="s">
        <v>217</v>
      </c>
      <c r="F9915" s="2890">
        <v>0.94095400949200236</v>
      </c>
      <c r="G9915" s="2890">
        <v>238.55749708809904</v>
      </c>
    </row>
    <row r="9916" spans="2:7" ht="15" hidden="1" outlineLevel="2">
      <c r="B9916" s="2889" t="s">
        <v>1650</v>
      </c>
      <c r="C9916" s="2889" t="s">
        <v>1618</v>
      </c>
      <c r="D9916" s="2889" t="s">
        <v>1619</v>
      </c>
      <c r="E9916" s="2889" t="s">
        <v>217</v>
      </c>
      <c r="F9916" s="3039">
        <v>1.411431061829955</v>
      </c>
      <c r="G9916" s="2890">
        <v>357.83638726176002</v>
      </c>
    </row>
    <row r="9917" spans="2:7" ht="15" hidden="1" outlineLevel="2">
      <c r="B9917" s="2889" t="s">
        <v>1651</v>
      </c>
      <c r="C9917" s="2889" t="s">
        <v>1618</v>
      </c>
      <c r="D9917" s="2889" t="s">
        <v>1619</v>
      </c>
      <c r="E9917" s="2889" t="s">
        <v>217</v>
      </c>
      <c r="F9917" s="3039">
        <v>1.4114310618249204</v>
      </c>
      <c r="G9917" s="2890">
        <v>357.83638726176002</v>
      </c>
    </row>
    <row r="9918" spans="2:7" ht="15" hidden="1" outlineLevel="2">
      <c r="B9918" s="2889" t="s">
        <v>1652</v>
      </c>
      <c r="C9918" s="2889" t="s">
        <v>1618</v>
      </c>
      <c r="D9918" s="2889" t="s">
        <v>1619</v>
      </c>
      <c r="E9918" s="2889" t="s">
        <v>217</v>
      </c>
      <c r="F9918" s="3039">
        <v>1.8819082221943775</v>
      </c>
      <c r="G9918" s="2890">
        <v>477.11495593981999</v>
      </c>
    </row>
    <row r="9919" spans="2:7" ht="15" hidden="1" outlineLevel="2">
      <c r="B9919" s="2889" t="s">
        <v>1407</v>
      </c>
      <c r="C9919" s="2889" t="s">
        <v>1620</v>
      </c>
      <c r="D9919" s="2889" t="s">
        <v>1619</v>
      </c>
      <c r="E9919" s="2889" t="s">
        <v>217</v>
      </c>
      <c r="F9919" s="3039">
        <v>1.2217467237388766E-33</v>
      </c>
      <c r="G9919" s="2890">
        <v>1.4883506685854614E-30</v>
      </c>
    </row>
    <row r="9920" spans="2:7" ht="15" hidden="1" outlineLevel="2">
      <c r="B9920" s="2889" t="s">
        <v>1631</v>
      </c>
      <c r="C9920" s="2889" t="s">
        <v>1620</v>
      </c>
      <c r="D9920" s="2889" t="s">
        <v>1619</v>
      </c>
      <c r="E9920" s="2889" t="s">
        <v>217</v>
      </c>
      <c r="F9920" s="3039">
        <v>4.2915814961880154E-35</v>
      </c>
      <c r="G9920" s="2890">
        <v>5.2178122498499936E-32</v>
      </c>
    </row>
    <row r="9921" spans="2:7" ht="15" hidden="1" outlineLevel="2">
      <c r="B9921" s="2889" t="s">
        <v>1632</v>
      </c>
      <c r="C9921" s="2889" t="s">
        <v>1620</v>
      </c>
      <c r="D9921" s="2889" t="s">
        <v>1619</v>
      </c>
      <c r="E9921" s="2889" t="s">
        <v>217</v>
      </c>
      <c r="F9921" s="3039">
        <v>1.220677049326443E-33</v>
      </c>
      <c r="G9921" s="2890">
        <v>1.4883506685854614E-30</v>
      </c>
    </row>
    <row r="9922" spans="2:7" ht="15" hidden="1" outlineLevel="2">
      <c r="B9922" s="2889" t="s">
        <v>1633</v>
      </c>
      <c r="C9922" s="2889" t="s">
        <v>1620</v>
      </c>
      <c r="D9922" s="2889" t="s">
        <v>1619</v>
      </c>
      <c r="E9922" s="2889" t="s">
        <v>217</v>
      </c>
      <c r="F9922" s="3039">
        <v>3.4382141394124677E-35</v>
      </c>
      <c r="G9922" s="2890">
        <v>4.1921589853032535E-32</v>
      </c>
    </row>
    <row r="9923" spans="2:7" ht="15" hidden="1" outlineLevel="2">
      <c r="B9923" s="2889" t="s">
        <v>1634</v>
      </c>
      <c r="C9923" s="2889" t="s">
        <v>1620</v>
      </c>
      <c r="D9923" s="2889" t="s">
        <v>1619</v>
      </c>
      <c r="E9923" s="2889" t="s">
        <v>217</v>
      </c>
      <c r="F9923" s="2890">
        <v>1.2217467237388766E-33</v>
      </c>
      <c r="G9923" s="2890">
        <v>1.4883506685854614E-30</v>
      </c>
    </row>
    <row r="9924" spans="2:7" ht="15" hidden="1" outlineLevel="2">
      <c r="B9924" s="2889" t="s">
        <v>1635</v>
      </c>
      <c r="C9924" s="2889" t="s">
        <v>1620</v>
      </c>
      <c r="D9924" s="2889" t="s">
        <v>1619</v>
      </c>
      <c r="E9924" s="2889" t="s">
        <v>217</v>
      </c>
      <c r="F9924" s="2890">
        <v>1.220677049326443E-33</v>
      </c>
      <c r="G9924" s="2890">
        <v>1.4883506685854614E-30</v>
      </c>
    </row>
    <row r="9925" spans="2:7" ht="15" hidden="1" outlineLevel="2">
      <c r="B9925" s="2889" t="s">
        <v>1636</v>
      </c>
      <c r="C9925" s="2889" t="s">
        <v>1620</v>
      </c>
      <c r="D9925" s="2889" t="s">
        <v>1619</v>
      </c>
      <c r="E9925" s="2889" t="s">
        <v>217</v>
      </c>
      <c r="F9925" s="2890">
        <v>2.2012928122670537E-34</v>
      </c>
      <c r="G9925" s="2890">
        <v>2.6839964376933469E-31</v>
      </c>
    </row>
    <row r="9926" spans="2:7" ht="15" hidden="1" outlineLevel="2">
      <c r="B9926" s="2889" t="s">
        <v>1637</v>
      </c>
      <c r="C9926" s="2889" t="s">
        <v>1620</v>
      </c>
      <c r="D9926" s="2889" t="s">
        <v>1619</v>
      </c>
      <c r="E9926" s="2889" t="s">
        <v>217</v>
      </c>
      <c r="F9926" s="3039">
        <v>1.220677049326443E-33</v>
      </c>
      <c r="G9926" s="2890">
        <v>1.4883506685854614E-30</v>
      </c>
    </row>
    <row r="9927" spans="2:7" ht="15" hidden="1" outlineLevel="2">
      <c r="B9927" s="2889" t="s">
        <v>1638</v>
      </c>
      <c r="C9927" s="2889" t="s">
        <v>1620</v>
      </c>
      <c r="D9927" s="2889" t="s">
        <v>1619</v>
      </c>
      <c r="E9927" s="2889" t="s">
        <v>217</v>
      </c>
      <c r="F9927" s="2890">
        <v>1.3055530020460593E-33</v>
      </c>
      <c r="G9927" s="2890">
        <v>1.5904447834644856E-30</v>
      </c>
    </row>
    <row r="9928" spans="2:7" ht="15" hidden="1" outlineLevel="2">
      <c r="B9928" s="2889" t="s">
        <v>1639</v>
      </c>
      <c r="C9928" s="2889" t="s">
        <v>1620</v>
      </c>
      <c r="D9928" s="2889" t="s">
        <v>1619</v>
      </c>
      <c r="E9928" s="2889" t="s">
        <v>217</v>
      </c>
      <c r="F9928" s="2890">
        <v>1.220677049326443E-33</v>
      </c>
      <c r="G9928" s="2890">
        <v>1.4883506685854614E-30</v>
      </c>
    </row>
    <row r="9929" spans="2:7" ht="15" hidden="1" outlineLevel="2">
      <c r="B9929" s="2889" t="s">
        <v>1640</v>
      </c>
      <c r="C9929" s="2889" t="s">
        <v>1620</v>
      </c>
      <c r="D9929" s="2889" t="s">
        <v>1619</v>
      </c>
      <c r="E9929" s="2889" t="s">
        <v>217</v>
      </c>
      <c r="F9929" s="3039">
        <v>0.71736616966103828</v>
      </c>
      <c r="G9929" s="2890">
        <v>873.90651490484379</v>
      </c>
    </row>
    <row r="9930" spans="2:7" ht="15" hidden="1" outlineLevel="2">
      <c r="B9930" s="2889" t="s">
        <v>1641</v>
      </c>
      <c r="C9930" s="2889" t="s">
        <v>1620</v>
      </c>
      <c r="D9930" s="2889" t="s">
        <v>1619</v>
      </c>
      <c r="E9930" s="2889" t="s">
        <v>217</v>
      </c>
      <c r="F9930" s="2890">
        <v>1.1430547029828198E-33</v>
      </c>
      <c r="G9930" s="2890">
        <v>1.3937069903059726E-30</v>
      </c>
    </row>
    <row r="9931" spans="2:7" ht="15" hidden="1" outlineLevel="2">
      <c r="B9931" s="2889" t="s">
        <v>1642</v>
      </c>
      <c r="C9931" s="2889" t="s">
        <v>1620</v>
      </c>
      <c r="D9931" s="2889" t="s">
        <v>1619</v>
      </c>
      <c r="E9931" s="2889" t="s">
        <v>217</v>
      </c>
      <c r="F9931" s="2890">
        <v>1.3044101874851183E-33</v>
      </c>
      <c r="G9931" s="2890">
        <v>1.5904447834644856E-30</v>
      </c>
    </row>
    <row r="9932" spans="2:7" ht="15" hidden="1" outlineLevel="2">
      <c r="B9932" s="2889" t="s">
        <v>1643</v>
      </c>
      <c r="C9932" s="2889" t="s">
        <v>1620</v>
      </c>
      <c r="D9932" s="2889" t="s">
        <v>1619</v>
      </c>
      <c r="E9932" s="2889" t="s">
        <v>217</v>
      </c>
      <c r="F9932" s="2890">
        <v>2.1174128959979998E-33</v>
      </c>
      <c r="G9932" s="2890">
        <v>2.5816114851933079E-30</v>
      </c>
    </row>
    <row r="9933" spans="2:7" ht="15" hidden="1" outlineLevel="2">
      <c r="B9933" s="2889" t="s">
        <v>1644</v>
      </c>
      <c r="C9933" s="2889" t="s">
        <v>1620</v>
      </c>
      <c r="D9933" s="2889" t="s">
        <v>1619</v>
      </c>
      <c r="E9933" s="2889" t="s">
        <v>217</v>
      </c>
      <c r="F9933" s="3039">
        <v>4.2794073780183934E-35</v>
      </c>
      <c r="G9933" s="2890">
        <v>5.2178122498499936E-32</v>
      </c>
    </row>
    <row r="9934" spans="2:7" ht="15" hidden="1" outlineLevel="2">
      <c r="B9934" s="2889" t="s">
        <v>1645</v>
      </c>
      <c r="C9934" s="2889" t="s">
        <v>1620</v>
      </c>
      <c r="D9934" s="2889" t="s">
        <v>1619</v>
      </c>
      <c r="E9934" s="2889" t="s">
        <v>217</v>
      </c>
      <c r="F9934" s="3039">
        <v>1.2211720872999998E-33</v>
      </c>
      <c r="G9934" s="2890">
        <v>1.4909845060000002E-30</v>
      </c>
    </row>
    <row r="9935" spans="2:7" ht="15" hidden="1" outlineLevel="2">
      <c r="B9935" s="2889" t="s">
        <v>1646</v>
      </c>
      <c r="C9935" s="2889" t="s">
        <v>1620</v>
      </c>
      <c r="D9935" s="2889" t="s">
        <v>1619</v>
      </c>
      <c r="E9935" s="2889" t="s">
        <v>217</v>
      </c>
      <c r="F9935" s="3039">
        <v>1.6991312156860277E-33</v>
      </c>
      <c r="G9935" s="2890">
        <v>2.0717209505030632E-30</v>
      </c>
    </row>
    <row r="9936" spans="2:7" ht="15" hidden="1" outlineLevel="2">
      <c r="B9936" s="2889" t="s">
        <v>1647</v>
      </c>
      <c r="C9936" s="2889" t="s">
        <v>1620</v>
      </c>
      <c r="D9936" s="2889" t="s">
        <v>1619</v>
      </c>
      <c r="E9936" s="2889" t="s">
        <v>217</v>
      </c>
      <c r="F9936" s="2890">
        <v>1.7006194569637756E-33</v>
      </c>
      <c r="G9936" s="2890">
        <v>2.0717209505030705E-30</v>
      </c>
    </row>
    <row r="9937" spans="2:7" ht="15" hidden="1" outlineLevel="2">
      <c r="B9937" s="2889" t="s">
        <v>1648</v>
      </c>
      <c r="C9937" s="2889" t="s">
        <v>1620</v>
      </c>
      <c r="D9937" s="2889" t="s">
        <v>1619</v>
      </c>
      <c r="E9937" s="2889" t="s">
        <v>217</v>
      </c>
      <c r="F9937" s="2890">
        <v>3.4412263012536057E-35</v>
      </c>
      <c r="G9937" s="2890">
        <v>4.1921589853032535E-32</v>
      </c>
    </row>
    <row r="9938" spans="2:7" ht="15" hidden="1" outlineLevel="2">
      <c r="B9938" s="2889" t="s">
        <v>1649</v>
      </c>
      <c r="C9938" s="2889" t="s">
        <v>1620</v>
      </c>
      <c r="D9938" s="2889" t="s">
        <v>1619</v>
      </c>
      <c r="E9938" s="2889" t="s">
        <v>217</v>
      </c>
      <c r="F9938" s="2890">
        <v>3.4412263012536057E-35</v>
      </c>
      <c r="G9938" s="2890">
        <v>4.1921589853032535E-32</v>
      </c>
    </row>
    <row r="9939" spans="2:7" ht="15" hidden="1" outlineLevel="2">
      <c r="B9939" s="2889" t="s">
        <v>1650</v>
      </c>
      <c r="C9939" s="2889" t="s">
        <v>1620</v>
      </c>
      <c r="D9939" s="2889" t="s">
        <v>1619</v>
      </c>
      <c r="E9939" s="2889" t="s">
        <v>217</v>
      </c>
      <c r="F9939" s="2890">
        <v>1.2217467237388766E-33</v>
      </c>
      <c r="G9939" s="2890">
        <v>1.4883506685854614E-30</v>
      </c>
    </row>
    <row r="9940" spans="2:7" ht="15" hidden="1" outlineLevel="2">
      <c r="B9940" s="2889" t="s">
        <v>1651</v>
      </c>
      <c r="C9940" s="2889" t="s">
        <v>1620</v>
      </c>
      <c r="D9940" s="2889" t="s">
        <v>1619</v>
      </c>
      <c r="E9940" s="2889" t="s">
        <v>217</v>
      </c>
      <c r="F9940" s="2890">
        <v>1.2209185559999999E-33</v>
      </c>
      <c r="G9940" s="2890">
        <v>1.4909845060000002E-30</v>
      </c>
    </row>
    <row r="9941" spans="2:7" ht="15" hidden="1" outlineLevel="2">
      <c r="B9941" s="2889" t="s">
        <v>1652</v>
      </c>
      <c r="C9941" s="2889" t="s">
        <v>1620</v>
      </c>
      <c r="D9941" s="2889" t="s">
        <v>1619</v>
      </c>
      <c r="E9941" s="2889" t="s">
        <v>217</v>
      </c>
      <c r="F9941" s="2890">
        <v>2.0888774499999998E-33</v>
      </c>
      <c r="G9941" s="2890">
        <v>2.5436905559999998E-30</v>
      </c>
    </row>
    <row r="9942" spans="2:7" ht="15" hidden="1" outlineLevel="2">
      <c r="B9942" s="2889" t="s">
        <v>1653</v>
      </c>
      <c r="C9942" s="2889" t="s">
        <v>1620</v>
      </c>
      <c r="D9942" s="2889" t="s">
        <v>1619</v>
      </c>
      <c r="E9942" s="2889" t="s">
        <v>217</v>
      </c>
      <c r="F9942" s="2890">
        <v>3.4382141394124677E-35</v>
      </c>
      <c r="G9942" s="2890">
        <v>4.1921589853032535E-32</v>
      </c>
    </row>
    <row r="9943" spans="2:7" ht="15" hidden="1" outlineLevel="2">
      <c r="B9943" s="2889" t="s">
        <v>1407</v>
      </c>
      <c r="C9943" s="2889" t="s">
        <v>1621</v>
      </c>
      <c r="D9943" s="2889" t="s">
        <v>1619</v>
      </c>
      <c r="E9943" s="2889" t="s">
        <v>217</v>
      </c>
      <c r="F9943" s="2890">
        <v>1.5118312018812359</v>
      </c>
      <c r="G9943" s="2890">
        <v>413.18481786908904</v>
      </c>
    </row>
    <row r="9944" spans="2:7" ht="15" hidden="1" outlineLevel="2">
      <c r="B9944" s="2889" t="s">
        <v>1631</v>
      </c>
      <c r="C9944" s="2889" t="s">
        <v>1621</v>
      </c>
      <c r="D9944" s="2889" t="s">
        <v>1619</v>
      </c>
      <c r="E9944" s="2889" t="s">
        <v>217</v>
      </c>
      <c r="F9944" s="2890">
        <v>3.0281428506067716</v>
      </c>
      <c r="G9944" s="2890">
        <v>826.36984331692997</v>
      </c>
    </row>
    <row r="9945" spans="2:7" ht="15" hidden="1" outlineLevel="2">
      <c r="B9945" s="2889" t="s">
        <v>1632</v>
      </c>
      <c r="C9945" s="2889" t="s">
        <v>1621</v>
      </c>
      <c r="D9945" s="2889" t="s">
        <v>1619</v>
      </c>
      <c r="E9945" s="2889" t="s">
        <v>217</v>
      </c>
      <c r="F9945" s="2890">
        <v>1.5119219198278302</v>
      </c>
      <c r="G9945" s="2890">
        <v>413.18481786908904</v>
      </c>
    </row>
    <row r="9946" spans="2:7" ht="15" hidden="1" outlineLevel="2">
      <c r="B9946" s="2889" t="s">
        <v>1633</v>
      </c>
      <c r="C9946" s="2889" t="s">
        <v>1621</v>
      </c>
      <c r="D9946" s="2889" t="s">
        <v>1619</v>
      </c>
      <c r="E9946" s="2889" t="s">
        <v>217</v>
      </c>
      <c r="F9946" s="2890">
        <v>2.5727498841494662E-34</v>
      </c>
      <c r="G9946" s="2890">
        <v>7.0309237561352104E-32</v>
      </c>
    </row>
    <row r="9947" spans="2:7" ht="15" hidden="1" outlineLevel="2">
      <c r="B9947" s="2889" t="s">
        <v>1634</v>
      </c>
      <c r="C9947" s="2889" t="s">
        <v>1621</v>
      </c>
      <c r="D9947" s="2889" t="s">
        <v>1619</v>
      </c>
      <c r="E9947" s="2889" t="s">
        <v>217</v>
      </c>
      <c r="F9947" s="3039">
        <v>1.5118312018812359</v>
      </c>
      <c r="G9947" s="2890">
        <v>413.18481786908904</v>
      </c>
    </row>
    <row r="9948" spans="2:7" ht="15" hidden="1" outlineLevel="2">
      <c r="B9948" s="2889" t="s">
        <v>1635</v>
      </c>
      <c r="C9948" s="2889" t="s">
        <v>1621</v>
      </c>
      <c r="D9948" s="2889" t="s">
        <v>1619</v>
      </c>
      <c r="E9948" s="2889" t="s">
        <v>217</v>
      </c>
      <c r="F9948" s="3039">
        <v>1.5119219198278302</v>
      </c>
      <c r="G9948" s="2890">
        <v>413.18481786908904</v>
      </c>
    </row>
    <row r="9949" spans="2:7" ht="15" hidden="1" outlineLevel="2">
      <c r="B9949" s="2889" t="s">
        <v>1636</v>
      </c>
      <c r="C9949" s="2889" t="s">
        <v>1621</v>
      </c>
      <c r="D9949" s="2889" t="s">
        <v>1619</v>
      </c>
      <c r="E9949" s="2889" t="s">
        <v>217</v>
      </c>
      <c r="F9949" s="2890">
        <v>4.0317920525453079</v>
      </c>
      <c r="G9949" s="2890">
        <v>1101.8254873556698</v>
      </c>
    </row>
    <row r="9950" spans="2:7" ht="15" hidden="1" outlineLevel="2">
      <c r="B9950" s="2889" t="s">
        <v>1637</v>
      </c>
      <c r="C9950" s="2889" t="s">
        <v>1621</v>
      </c>
      <c r="D9950" s="2889" t="s">
        <v>1619</v>
      </c>
      <c r="E9950" s="2889" t="s">
        <v>217</v>
      </c>
      <c r="F9950" s="2890">
        <v>1.5119219198278302</v>
      </c>
      <c r="G9950" s="2890">
        <v>413.18481786908904</v>
      </c>
    </row>
    <row r="9951" spans="2:7" ht="15" hidden="1" outlineLevel="2">
      <c r="B9951" s="2889" t="s">
        <v>1638</v>
      </c>
      <c r="C9951" s="2889" t="s">
        <v>1621</v>
      </c>
      <c r="D9951" s="2889" t="s">
        <v>1619</v>
      </c>
      <c r="E9951" s="2889" t="s">
        <v>217</v>
      </c>
      <c r="F9951" s="2890">
        <v>0.50394366596309903</v>
      </c>
      <c r="G9951" s="2890">
        <v>137.72835295817683</v>
      </c>
    </row>
    <row r="9952" spans="2:7" ht="15" hidden="1" outlineLevel="2">
      <c r="B9952" s="2889" t="s">
        <v>1639</v>
      </c>
      <c r="C9952" s="2889" t="s">
        <v>1621</v>
      </c>
      <c r="D9952" s="2889" t="s">
        <v>1619</v>
      </c>
      <c r="E9952" s="2889" t="s">
        <v>217</v>
      </c>
      <c r="F9952" s="2890">
        <v>1.5119219198278302</v>
      </c>
      <c r="G9952" s="2890">
        <v>413.18481786908904</v>
      </c>
    </row>
    <row r="9953" spans="2:7" ht="15" hidden="1" outlineLevel="2">
      <c r="B9953" s="2889" t="s">
        <v>1640</v>
      </c>
      <c r="C9953" s="2889" t="s">
        <v>1621</v>
      </c>
      <c r="D9953" s="2889" t="s">
        <v>1619</v>
      </c>
      <c r="E9953" s="2889" t="s">
        <v>217</v>
      </c>
      <c r="F9953" s="2890">
        <v>1.5118312018812359</v>
      </c>
      <c r="G9953" s="2890">
        <v>413.18481786908904</v>
      </c>
    </row>
    <row r="9954" spans="2:7" ht="15" hidden="1" outlineLevel="2">
      <c r="B9954" s="2889" t="s">
        <v>1641</v>
      </c>
      <c r="C9954" s="2889" t="s">
        <v>1621</v>
      </c>
      <c r="D9954" s="2889" t="s">
        <v>1619</v>
      </c>
      <c r="E9954" s="2889" t="s">
        <v>217</v>
      </c>
      <c r="F9954" s="2890">
        <v>2.51986940727451</v>
      </c>
      <c r="G9954" s="2890">
        <v>688.64149439337996</v>
      </c>
    </row>
    <row r="9955" spans="2:7" ht="15" hidden="1" outlineLevel="2">
      <c r="B9955" s="2889" t="s">
        <v>1642</v>
      </c>
      <c r="C9955" s="2889" t="s">
        <v>1621</v>
      </c>
      <c r="D9955" s="2889" t="s">
        <v>1619</v>
      </c>
      <c r="E9955" s="2889" t="s">
        <v>217</v>
      </c>
      <c r="F9955" s="2890">
        <v>0.5039738901659363</v>
      </c>
      <c r="G9955" s="2890">
        <v>137.72835295817683</v>
      </c>
    </row>
    <row r="9956" spans="2:7" ht="15" hidden="1" outlineLevel="2">
      <c r="B9956" s="2889" t="s">
        <v>1643</v>
      </c>
      <c r="C9956" s="2889" t="s">
        <v>1621</v>
      </c>
      <c r="D9956" s="2889" t="s">
        <v>1619</v>
      </c>
      <c r="E9956" s="2889" t="s">
        <v>217</v>
      </c>
      <c r="F9956" s="2890">
        <v>2.320248947582443</v>
      </c>
      <c r="G9956" s="2890">
        <v>634.11361969864902</v>
      </c>
    </row>
    <row r="9957" spans="2:7" ht="15" hidden="1" outlineLevel="2">
      <c r="B9957" s="2889" t="s">
        <v>1644</v>
      </c>
      <c r="C9957" s="2889" t="s">
        <v>1621</v>
      </c>
      <c r="D9957" s="2889" t="s">
        <v>1619</v>
      </c>
      <c r="E9957" s="2889" t="s">
        <v>217</v>
      </c>
      <c r="F9957" s="2890">
        <v>3.0238444471910184</v>
      </c>
      <c r="G9957" s="2890">
        <v>826.36984331692997</v>
      </c>
    </row>
    <row r="9958" spans="2:7" ht="15" hidden="1" outlineLevel="2">
      <c r="B9958" s="2889" t="s">
        <v>1645</v>
      </c>
      <c r="C9958" s="2889" t="s">
        <v>1621</v>
      </c>
      <c r="D9958" s="2889" t="s">
        <v>1619</v>
      </c>
      <c r="E9958" s="2889" t="s">
        <v>217</v>
      </c>
      <c r="F9958" s="2890">
        <v>1.5119219198637137</v>
      </c>
      <c r="G9958" s="2890">
        <v>413.18481786782138</v>
      </c>
    </row>
    <row r="9959" spans="2:7" ht="15" hidden="1" outlineLevel="2">
      <c r="B9959" s="2889" t="s">
        <v>1646</v>
      </c>
      <c r="C9959" s="2889" t="s">
        <v>1621</v>
      </c>
      <c r="D9959" s="2889" t="s">
        <v>1619</v>
      </c>
      <c r="E9959" s="2889" t="s">
        <v>217</v>
      </c>
      <c r="F9959" s="2890">
        <v>1.0079476137810657</v>
      </c>
      <c r="G9959" s="2890">
        <v>275.45650629490206</v>
      </c>
    </row>
    <row r="9960" spans="2:7" ht="15" hidden="1" outlineLevel="2">
      <c r="B9960" s="2889" t="s">
        <v>1647</v>
      </c>
      <c r="C9960" s="2889" t="s">
        <v>1621</v>
      </c>
      <c r="D9960" s="2889" t="s">
        <v>1619</v>
      </c>
      <c r="E9960" s="2889" t="s">
        <v>217</v>
      </c>
      <c r="F9960" s="2890">
        <v>1.0078872714417808</v>
      </c>
      <c r="G9960" s="2890">
        <v>275.45650629490206</v>
      </c>
    </row>
    <row r="9961" spans="2:7" ht="15" hidden="1" outlineLevel="2">
      <c r="B9961" s="2889" t="s">
        <v>1648</v>
      </c>
      <c r="C9961" s="2889" t="s">
        <v>1621</v>
      </c>
      <c r="D9961" s="2889" t="s">
        <v>1619</v>
      </c>
      <c r="E9961" s="2889" t="s">
        <v>217</v>
      </c>
      <c r="F9961" s="2890">
        <v>2.5725958477969523E-34</v>
      </c>
      <c r="G9961" s="2890">
        <v>7.0309237561352104E-32</v>
      </c>
    </row>
    <row r="9962" spans="2:7" ht="15" hidden="1" outlineLevel="2">
      <c r="B9962" s="2889" t="s">
        <v>1649</v>
      </c>
      <c r="C9962" s="2889" t="s">
        <v>1621</v>
      </c>
      <c r="D9962" s="2889" t="s">
        <v>1619</v>
      </c>
      <c r="E9962" s="2889" t="s">
        <v>217</v>
      </c>
      <c r="F9962" s="2890">
        <v>2.5725958477969523E-34</v>
      </c>
      <c r="G9962" s="2890">
        <v>7.0309237561352104E-32</v>
      </c>
    </row>
    <row r="9963" spans="2:7" ht="15" hidden="1" outlineLevel="2">
      <c r="B9963" s="2889" t="s">
        <v>1650</v>
      </c>
      <c r="C9963" s="2889" t="s">
        <v>1621</v>
      </c>
      <c r="D9963" s="2889" t="s">
        <v>1619</v>
      </c>
      <c r="E9963" s="2889" t="s">
        <v>217</v>
      </c>
      <c r="F9963" s="2890">
        <v>1.5118312018812359</v>
      </c>
      <c r="G9963" s="2890">
        <v>413.18481786908904</v>
      </c>
    </row>
    <row r="9964" spans="2:7" ht="15" hidden="1" outlineLevel="2">
      <c r="B9964" s="2889" t="s">
        <v>1651</v>
      </c>
      <c r="C9964" s="2889" t="s">
        <v>1621</v>
      </c>
      <c r="D9964" s="2889" t="s">
        <v>1619</v>
      </c>
      <c r="E9964" s="2889" t="s">
        <v>217</v>
      </c>
      <c r="F9964" s="3039">
        <v>1.5118312018958091</v>
      </c>
      <c r="G9964" s="2890">
        <v>413.18481786782138</v>
      </c>
    </row>
    <row r="9965" spans="2:7" ht="15" hidden="1" outlineLevel="2">
      <c r="B9965" s="2889" t="s">
        <v>1652</v>
      </c>
      <c r="C9965" s="2889" t="s">
        <v>1621</v>
      </c>
      <c r="D9965" s="2889" t="s">
        <v>1619</v>
      </c>
      <c r="E9965" s="2889" t="s">
        <v>217</v>
      </c>
      <c r="F9965" s="3039">
        <v>2.0157752595077456</v>
      </c>
      <c r="G9965" s="2890">
        <v>550.91278721908009</v>
      </c>
    </row>
    <row r="9966" spans="2:7" ht="15" hidden="1" outlineLevel="2">
      <c r="B9966" s="2889" t="s">
        <v>1653</v>
      </c>
      <c r="C9966" s="2889" t="s">
        <v>1621</v>
      </c>
      <c r="D9966" s="2889" t="s">
        <v>1619</v>
      </c>
      <c r="E9966" s="2889" t="s">
        <v>217</v>
      </c>
      <c r="F9966" s="3039">
        <v>2.5727498841494662E-34</v>
      </c>
      <c r="G9966" s="2890">
        <v>7.0309237561352104E-32</v>
      </c>
    </row>
    <row r="9967" spans="2:7" ht="15" hidden="1" outlineLevel="2">
      <c r="B9967" s="2889" t="s">
        <v>1407</v>
      </c>
      <c r="C9967" s="2889" t="s">
        <v>1622</v>
      </c>
      <c r="D9967" s="2889" t="s">
        <v>1619</v>
      </c>
      <c r="E9967" s="2889" t="s">
        <v>217</v>
      </c>
      <c r="F9967" s="3039">
        <v>9.6810498399260481E-2</v>
      </c>
      <c r="G9967" s="2890">
        <v>106.22956157076491</v>
      </c>
    </row>
    <row r="9968" spans="2:7" ht="15" hidden="1" outlineLevel="2">
      <c r="B9968" s="2889" t="s">
        <v>1631</v>
      </c>
      <c r="C9968" s="2889" t="s">
        <v>1622</v>
      </c>
      <c r="D9968" s="2889" t="s">
        <v>1619</v>
      </c>
      <c r="E9968" s="2889" t="s">
        <v>217</v>
      </c>
      <c r="F9968" s="3039">
        <v>0.19390782594176903</v>
      </c>
      <c r="G9968" s="2890">
        <v>212.45914634475341</v>
      </c>
    </row>
    <row r="9969" spans="2:7" ht="15" hidden="1" outlineLevel="2">
      <c r="B9969" s="2889" t="s">
        <v>1632</v>
      </c>
      <c r="C9969" s="2889" t="s">
        <v>1622</v>
      </c>
      <c r="D9969" s="2889" t="s">
        <v>1619</v>
      </c>
      <c r="E9969" s="2889" t="s">
        <v>217</v>
      </c>
      <c r="F9969" s="3039">
        <v>9.6816320427786207E-2</v>
      </c>
      <c r="G9969" s="2890">
        <v>106.22956157076491</v>
      </c>
    </row>
    <row r="9970" spans="2:7" ht="15" hidden="1" outlineLevel="2">
      <c r="B9970" s="2889" t="s">
        <v>1633</v>
      </c>
      <c r="C9970" s="2889" t="s">
        <v>1622</v>
      </c>
      <c r="D9970" s="2889" t="s">
        <v>1619</v>
      </c>
      <c r="E9970" s="2889" t="s">
        <v>217</v>
      </c>
      <c r="F9970" s="3039">
        <v>1.0335191748071537E-33</v>
      </c>
      <c r="G9970" s="2890">
        <v>1.1418625961266794E-30</v>
      </c>
    </row>
    <row r="9971" spans="2:7" ht="15" hidden="1" outlineLevel="2">
      <c r="B9971" s="2889" t="s">
        <v>1634</v>
      </c>
      <c r="C9971" s="2889" t="s">
        <v>1622</v>
      </c>
      <c r="D9971" s="2889" t="s">
        <v>1619</v>
      </c>
      <c r="E9971" s="2889" t="s">
        <v>217</v>
      </c>
      <c r="F9971" s="3039">
        <v>9.6810498399260481E-2</v>
      </c>
      <c r="G9971" s="2890">
        <v>106.22956157076491</v>
      </c>
    </row>
    <row r="9972" spans="2:7" ht="15" hidden="1" outlineLevel="2">
      <c r="B9972" s="2889" t="s">
        <v>1635</v>
      </c>
      <c r="C9972" s="2889" t="s">
        <v>1622</v>
      </c>
      <c r="D9972" s="2889" t="s">
        <v>1619</v>
      </c>
      <c r="E9972" s="2889" t="s">
        <v>217</v>
      </c>
      <c r="F9972" s="3039">
        <v>9.6816320427786207E-2</v>
      </c>
      <c r="G9972" s="2890">
        <v>106.22956157076491</v>
      </c>
    </row>
    <row r="9973" spans="2:7" ht="15" hidden="1" outlineLevel="2">
      <c r="B9973" s="2889" t="s">
        <v>1636</v>
      </c>
      <c r="C9973" s="2889" t="s">
        <v>1622</v>
      </c>
      <c r="D9973" s="2889" t="s">
        <v>1619</v>
      </c>
      <c r="E9973" s="2889" t="s">
        <v>217</v>
      </c>
      <c r="F9973" s="3039">
        <v>0.25817679020102169</v>
      </c>
      <c r="G9973" s="2890">
        <v>283.27889607704628</v>
      </c>
    </row>
    <row r="9974" spans="2:7" ht="15" hidden="1" outlineLevel="2">
      <c r="B9974" s="2889" t="s">
        <v>1637</v>
      </c>
      <c r="C9974" s="2889" t="s">
        <v>1622</v>
      </c>
      <c r="D9974" s="2889" t="s">
        <v>1619</v>
      </c>
      <c r="E9974" s="2889" t="s">
        <v>217</v>
      </c>
      <c r="F9974" s="2890">
        <v>9.6816320427786207E-2</v>
      </c>
      <c r="G9974" s="2890">
        <v>106.22956157076491</v>
      </c>
    </row>
    <row r="9975" spans="2:7" ht="15" hidden="1" outlineLevel="2">
      <c r="B9975" s="2889" t="s">
        <v>1638</v>
      </c>
      <c r="C9975" s="2889" t="s">
        <v>1622</v>
      </c>
      <c r="D9975" s="2889" t="s">
        <v>1619</v>
      </c>
      <c r="E9975" s="2889" t="s">
        <v>217</v>
      </c>
      <c r="F9975" s="2890">
        <v>3.2270168844169445E-2</v>
      </c>
      <c r="G9975" s="2890">
        <v>35.409863596027456</v>
      </c>
    </row>
    <row r="9976" spans="2:7" ht="15" hidden="1" outlineLevel="2">
      <c r="B9976" s="2889" t="s">
        <v>1639</v>
      </c>
      <c r="C9976" s="2889" t="s">
        <v>1622</v>
      </c>
      <c r="D9976" s="2889" t="s">
        <v>1619</v>
      </c>
      <c r="E9976" s="2889" t="s">
        <v>217</v>
      </c>
      <c r="F9976" s="3039">
        <v>9.6816320427786207E-2</v>
      </c>
      <c r="G9976" s="2890">
        <v>106.22956157076491</v>
      </c>
    </row>
    <row r="9977" spans="2:7" ht="15" hidden="1" outlineLevel="2">
      <c r="B9977" s="2889" t="s">
        <v>1640</v>
      </c>
      <c r="C9977" s="2889" t="s">
        <v>1622</v>
      </c>
      <c r="D9977" s="2889" t="s">
        <v>1619</v>
      </c>
      <c r="E9977" s="2889" t="s">
        <v>217</v>
      </c>
      <c r="F9977" s="2890">
        <v>9.6810498399260481E-2</v>
      </c>
      <c r="G9977" s="2890">
        <v>106.22956157076491</v>
      </c>
    </row>
    <row r="9978" spans="2:7" ht="15" hidden="1" outlineLevel="2">
      <c r="B9978" s="2889" t="s">
        <v>1641</v>
      </c>
      <c r="C9978" s="2889" t="s">
        <v>1622</v>
      </c>
      <c r="D9978" s="2889" t="s">
        <v>1619</v>
      </c>
      <c r="E9978" s="2889" t="s">
        <v>217</v>
      </c>
      <c r="F9978" s="2890">
        <v>0.16136052086180849</v>
      </c>
      <c r="G9978" s="2890">
        <v>177.049330128191</v>
      </c>
    </row>
    <row r="9979" spans="2:7" ht="15" hidden="1" outlineLevel="2">
      <c r="B9979" s="2889" t="s">
        <v>1642</v>
      </c>
      <c r="C9979" s="2889" t="s">
        <v>1622</v>
      </c>
      <c r="D9979" s="2889" t="s">
        <v>1619</v>
      </c>
      <c r="E9979" s="2889" t="s">
        <v>217</v>
      </c>
      <c r="F9979" s="2890">
        <v>3.2272107233087044E-2</v>
      </c>
      <c r="G9979" s="2890">
        <v>35.409863596027456</v>
      </c>
    </row>
    <row r="9980" spans="2:7" ht="15" hidden="1" outlineLevel="2">
      <c r="B9980" s="2889" t="s">
        <v>1643</v>
      </c>
      <c r="C9980" s="2889" t="s">
        <v>1622</v>
      </c>
      <c r="D9980" s="2889" t="s">
        <v>1619</v>
      </c>
      <c r="E9980" s="2889" t="s">
        <v>217</v>
      </c>
      <c r="F9980" s="2890">
        <v>0.1485777577174219</v>
      </c>
      <c r="G9980" s="2890">
        <v>163.03018305966535</v>
      </c>
    </row>
    <row r="9981" spans="2:7" ht="15" hidden="1" outlineLevel="2">
      <c r="B9981" s="2889" t="s">
        <v>1644</v>
      </c>
      <c r="C9981" s="2889" t="s">
        <v>1622</v>
      </c>
      <c r="D9981" s="2889" t="s">
        <v>1619</v>
      </c>
      <c r="E9981" s="2889" t="s">
        <v>217</v>
      </c>
      <c r="F9981" s="2890">
        <v>0.19363265633184704</v>
      </c>
      <c r="G9981" s="2890">
        <v>212.45914634475341</v>
      </c>
    </row>
    <row r="9982" spans="2:7" ht="15" hidden="1" outlineLevel="2">
      <c r="B9982" s="2889" t="s">
        <v>1645</v>
      </c>
      <c r="C9982" s="2889" t="s">
        <v>1622</v>
      </c>
      <c r="D9982" s="2889" t="s">
        <v>1619</v>
      </c>
      <c r="E9982" s="2889" t="s">
        <v>217</v>
      </c>
      <c r="F9982" s="2890">
        <v>9.681632042604961E-2</v>
      </c>
      <c r="G9982" s="2890">
        <v>106.22956157090668</v>
      </c>
    </row>
    <row r="9983" spans="2:7" ht="15" hidden="1" outlineLevel="2">
      <c r="B9983" s="2889" t="s">
        <v>1646</v>
      </c>
      <c r="C9983" s="2889" t="s">
        <v>1622</v>
      </c>
      <c r="D9983" s="2889" t="s">
        <v>1619</v>
      </c>
      <c r="E9983" s="2889" t="s">
        <v>217</v>
      </c>
      <c r="F9983" s="2890">
        <v>6.4544225624817819E-2</v>
      </c>
      <c r="G9983" s="2890">
        <v>70.81972060486072</v>
      </c>
    </row>
    <row r="9984" spans="2:7" ht="15" hidden="1" outlineLevel="2">
      <c r="B9984" s="2889" t="s">
        <v>1647</v>
      </c>
      <c r="C9984" s="2889" t="s">
        <v>1622</v>
      </c>
      <c r="D9984" s="2889" t="s">
        <v>1619</v>
      </c>
      <c r="E9984" s="2889" t="s">
        <v>217</v>
      </c>
      <c r="F9984" s="2890">
        <v>6.4540336974387241E-2</v>
      </c>
      <c r="G9984" s="2890">
        <v>70.819720604860905</v>
      </c>
    </row>
    <row r="9985" spans="2:7" ht="15" hidden="1" outlineLevel="2">
      <c r="B9985" s="2889" t="s">
        <v>1648</v>
      </c>
      <c r="C9985" s="2889" t="s">
        <v>1622</v>
      </c>
      <c r="D9985" s="2889" t="s">
        <v>1619</v>
      </c>
      <c r="E9985" s="2889" t="s">
        <v>217</v>
      </c>
      <c r="F9985" s="2890">
        <v>1.0334569929962253E-33</v>
      </c>
      <c r="G9985" s="2890">
        <v>1.1418625961266794E-30</v>
      </c>
    </row>
    <row r="9986" spans="2:7" ht="15" hidden="1" outlineLevel="2">
      <c r="B9986" s="2889" t="s">
        <v>1649</v>
      </c>
      <c r="C9986" s="2889" t="s">
        <v>1622</v>
      </c>
      <c r="D9986" s="2889" t="s">
        <v>1619</v>
      </c>
      <c r="E9986" s="2889" t="s">
        <v>217</v>
      </c>
      <c r="F9986" s="2890">
        <v>1.0334569929962253E-33</v>
      </c>
      <c r="G9986" s="2890">
        <v>1.1418625961266794E-30</v>
      </c>
    </row>
    <row r="9987" spans="2:7" ht="15" hidden="1" outlineLevel="2">
      <c r="B9987" s="2889" t="s">
        <v>1650</v>
      </c>
      <c r="C9987" s="2889" t="s">
        <v>1622</v>
      </c>
      <c r="D9987" s="2889" t="s">
        <v>1619</v>
      </c>
      <c r="E9987" s="2889" t="s">
        <v>217</v>
      </c>
      <c r="F9987" s="2890">
        <v>9.6810498399260481E-2</v>
      </c>
      <c r="G9987" s="2890">
        <v>106.22956157076491</v>
      </c>
    </row>
    <row r="9988" spans="2:7" ht="15" hidden="1" outlineLevel="2">
      <c r="B9988" s="2889" t="s">
        <v>1651</v>
      </c>
      <c r="C9988" s="2889" t="s">
        <v>1622</v>
      </c>
      <c r="D9988" s="2889" t="s">
        <v>1619</v>
      </c>
      <c r="E9988" s="2889" t="s">
        <v>217</v>
      </c>
      <c r="F9988" s="2890">
        <v>9.6810498400065392E-2</v>
      </c>
      <c r="G9988" s="2890">
        <v>106.22956157090668</v>
      </c>
    </row>
    <row r="9989" spans="2:7" ht="15" hidden="1" outlineLevel="2">
      <c r="B9989" s="2889" t="s">
        <v>1652</v>
      </c>
      <c r="C9989" s="2889" t="s">
        <v>1622</v>
      </c>
      <c r="D9989" s="2889" t="s">
        <v>1619</v>
      </c>
      <c r="E9989" s="2889" t="s">
        <v>217</v>
      </c>
      <c r="F9989" s="2890">
        <v>0.12908065053309148</v>
      </c>
      <c r="G9989" s="2890">
        <v>141.6394103892313</v>
      </c>
    </row>
    <row r="9990" spans="2:7" ht="15" hidden="1" outlineLevel="2">
      <c r="B9990" s="2889" t="s">
        <v>1653</v>
      </c>
      <c r="C9990" s="2889" t="s">
        <v>1622</v>
      </c>
      <c r="D9990" s="2889" t="s">
        <v>1619</v>
      </c>
      <c r="E9990" s="2889" t="s">
        <v>217</v>
      </c>
      <c r="F9990" s="2890">
        <v>1.0335191748071537E-33</v>
      </c>
      <c r="G9990" s="2890">
        <v>1.1418625961266794E-30</v>
      </c>
    </row>
    <row r="9991" spans="2:7" ht="15" hidden="1" outlineLevel="2">
      <c r="B9991" s="2889" t="s">
        <v>1407</v>
      </c>
      <c r="C9991" s="2889" t="s">
        <v>1623</v>
      </c>
      <c r="D9991" s="2889" t="s">
        <v>1619</v>
      </c>
      <c r="E9991" s="2889" t="s">
        <v>217</v>
      </c>
      <c r="F9991" s="2890">
        <v>0.24980878770086723</v>
      </c>
      <c r="G9991" s="2890">
        <v>172.91043026300696</v>
      </c>
    </row>
    <row r="9992" spans="2:7" ht="15" hidden="1" outlineLevel="2">
      <c r="B9992" s="2889" t="s">
        <v>1631</v>
      </c>
      <c r="C9992" s="2889" t="s">
        <v>1623</v>
      </c>
      <c r="D9992" s="2889" t="s">
        <v>1619</v>
      </c>
      <c r="E9992" s="2889" t="s">
        <v>217</v>
      </c>
      <c r="F9992" s="2890">
        <v>0.50486545390013815</v>
      </c>
      <c r="G9992" s="2890">
        <v>345.82096709269433</v>
      </c>
    </row>
    <row r="9993" spans="2:7" ht="15" hidden="1" outlineLevel="2">
      <c r="B9993" s="2889" t="s">
        <v>1632</v>
      </c>
      <c r="C9993" s="2889" t="s">
        <v>1623</v>
      </c>
      <c r="D9993" s="2889" t="s">
        <v>1619</v>
      </c>
      <c r="E9993" s="2889" t="s">
        <v>217</v>
      </c>
      <c r="F9993" s="2890">
        <v>0.24932029311468987</v>
      </c>
      <c r="G9993" s="2890">
        <v>172.91043026300696</v>
      </c>
    </row>
    <row r="9994" spans="2:7" ht="15" hidden="1" outlineLevel="2">
      <c r="B9994" s="2889" t="s">
        <v>1633</v>
      </c>
      <c r="C9994" s="2889" t="s">
        <v>1623</v>
      </c>
      <c r="D9994" s="2889" t="s">
        <v>1619</v>
      </c>
      <c r="E9994" s="2889" t="s">
        <v>217</v>
      </c>
      <c r="F9994" s="2890">
        <v>1.7105528958338112E-34</v>
      </c>
      <c r="G9994" s="2890">
        <v>1.1897629630715844E-31</v>
      </c>
    </row>
    <row r="9995" spans="2:7" ht="15" hidden="1" outlineLevel="2">
      <c r="B9995" s="2889" t="s">
        <v>1634</v>
      </c>
      <c r="C9995" s="2889" t="s">
        <v>1623</v>
      </c>
      <c r="D9995" s="2889" t="s">
        <v>1619</v>
      </c>
      <c r="E9995" s="2889" t="s">
        <v>217</v>
      </c>
      <c r="F9995" s="2890">
        <v>0.24812817860831204</v>
      </c>
      <c r="G9995" s="2890">
        <v>172.91043026300696</v>
      </c>
    </row>
    <row r="9996" spans="2:7" ht="15" hidden="1" outlineLevel="2">
      <c r="B9996" s="2889" t="s">
        <v>1635</v>
      </c>
      <c r="C9996" s="2889" t="s">
        <v>1623</v>
      </c>
      <c r="D9996" s="2889" t="s">
        <v>1619</v>
      </c>
      <c r="E9996" s="2889" t="s">
        <v>217</v>
      </c>
      <c r="F9996" s="2890">
        <v>0.24932029311468987</v>
      </c>
      <c r="G9996" s="2890">
        <v>172.91043026300696</v>
      </c>
    </row>
    <row r="9997" spans="2:7" ht="15" hidden="1" outlineLevel="2">
      <c r="B9997" s="2889" t="s">
        <v>1636</v>
      </c>
      <c r="C9997" s="2889" t="s">
        <v>1623</v>
      </c>
      <c r="D9997" s="2889" t="s">
        <v>1619</v>
      </c>
      <c r="E9997" s="2889" t="s">
        <v>217</v>
      </c>
      <c r="F9997" s="3039">
        <v>0.66484700248470152</v>
      </c>
      <c r="G9997" s="2890">
        <v>461.09466113859071</v>
      </c>
    </row>
    <row r="9998" spans="2:7" ht="15" hidden="1" outlineLevel="2">
      <c r="B9998" s="2889" t="s">
        <v>1637</v>
      </c>
      <c r="C9998" s="2889" t="s">
        <v>1623</v>
      </c>
      <c r="D9998" s="2889" t="s">
        <v>1619</v>
      </c>
      <c r="E9998" s="2889" t="s">
        <v>217</v>
      </c>
      <c r="F9998" s="3039">
        <v>0.24859778283539105</v>
      </c>
      <c r="G9998" s="2890">
        <v>172.91043026300696</v>
      </c>
    </row>
    <row r="9999" spans="2:7" ht="15" hidden="1" outlineLevel="2">
      <c r="B9999" s="2889" t="s">
        <v>1638</v>
      </c>
      <c r="C9999" s="2889" t="s">
        <v>1623</v>
      </c>
      <c r="D9999" s="2889" t="s">
        <v>1619</v>
      </c>
      <c r="E9999" s="2889" t="s">
        <v>217</v>
      </c>
      <c r="F9999" s="3039">
        <v>8.2709384545418693E-2</v>
      </c>
      <c r="G9999" s="2890">
        <v>57.636762957816472</v>
      </c>
    </row>
    <row r="10000" spans="2:7" ht="15" hidden="1" outlineLevel="2">
      <c r="B10000" s="2889" t="s">
        <v>1639</v>
      </c>
      <c r="C10000" s="2889" t="s">
        <v>1623</v>
      </c>
      <c r="D10000" s="2889" t="s">
        <v>1619</v>
      </c>
      <c r="E10000" s="2889" t="s">
        <v>217</v>
      </c>
      <c r="F10000" s="3039">
        <v>0.24859778283539105</v>
      </c>
      <c r="G10000" s="2890">
        <v>172.91043026300696</v>
      </c>
    </row>
    <row r="10001" spans="2:7" ht="15" hidden="1" outlineLevel="2">
      <c r="B10001" s="2889" t="s">
        <v>1640</v>
      </c>
      <c r="C10001" s="2889" t="s">
        <v>1623</v>
      </c>
      <c r="D10001" s="2889" t="s">
        <v>1619</v>
      </c>
      <c r="E10001" s="2889" t="s">
        <v>217</v>
      </c>
      <c r="F10001" s="3039">
        <v>0.24980878770086723</v>
      </c>
      <c r="G10001" s="2890">
        <v>172.91043026300696</v>
      </c>
    </row>
    <row r="10002" spans="2:7" ht="15" hidden="1" outlineLevel="2">
      <c r="B10002" s="2889" t="s">
        <v>1641</v>
      </c>
      <c r="C10002" s="2889" t="s">
        <v>1623</v>
      </c>
      <c r="D10002" s="2889" t="s">
        <v>1619</v>
      </c>
      <c r="E10002" s="2889" t="s">
        <v>217</v>
      </c>
      <c r="F10002" s="3039">
        <v>0.41553378424287818</v>
      </c>
      <c r="G10002" s="2890">
        <v>288.18382816427936</v>
      </c>
    </row>
    <row r="10003" spans="2:7" ht="15" hidden="1" outlineLevel="2">
      <c r="B10003" s="2889" t="s">
        <v>1642</v>
      </c>
      <c r="C10003" s="2889" t="s">
        <v>1623</v>
      </c>
      <c r="D10003" s="2889" t="s">
        <v>1619</v>
      </c>
      <c r="E10003" s="2889" t="s">
        <v>217</v>
      </c>
      <c r="F10003" s="2890">
        <v>8.3106761473369151E-2</v>
      </c>
      <c r="G10003" s="2890">
        <v>61.33170564076778</v>
      </c>
    </row>
    <row r="10004" spans="2:7" ht="15" hidden="1" outlineLevel="2">
      <c r="B10004" s="2889" t="s">
        <v>1643</v>
      </c>
      <c r="C10004" s="2889" t="s">
        <v>1623</v>
      </c>
      <c r="D10004" s="2889" t="s">
        <v>1619</v>
      </c>
      <c r="E10004" s="2889" t="s">
        <v>217</v>
      </c>
      <c r="F10004" s="2890">
        <v>0.38336123207065215</v>
      </c>
      <c r="G10004" s="2890">
        <v>265.36510731959726</v>
      </c>
    </row>
    <row r="10005" spans="2:7" ht="15" hidden="1" outlineLevel="2">
      <c r="B10005" s="2889" t="s">
        <v>1644</v>
      </c>
      <c r="C10005" s="2889" t="s">
        <v>1623</v>
      </c>
      <c r="D10005" s="2889" t="s">
        <v>1619</v>
      </c>
      <c r="E10005" s="2889" t="s">
        <v>217</v>
      </c>
      <c r="F10005" s="2890">
        <v>0.49719541933541239</v>
      </c>
      <c r="G10005" s="2890">
        <v>345.82096709269433</v>
      </c>
    </row>
    <row r="10006" spans="2:7" ht="15" hidden="1" outlineLevel="2">
      <c r="B10006" s="2889" t="s">
        <v>1645</v>
      </c>
      <c r="C10006" s="2889" t="s">
        <v>1623</v>
      </c>
      <c r="D10006" s="2889" t="s">
        <v>1619</v>
      </c>
      <c r="E10006" s="2889" t="s">
        <v>217</v>
      </c>
      <c r="F10006" s="2890">
        <v>0.24859778284179687</v>
      </c>
      <c r="G10006" s="2890">
        <v>172.91043027123987</v>
      </c>
    </row>
    <row r="10007" spans="2:7" ht="15" hidden="1" outlineLevel="2">
      <c r="B10007" s="2889" t="s">
        <v>1646</v>
      </c>
      <c r="C10007" s="2889" t="s">
        <v>1623</v>
      </c>
      <c r="D10007" s="2889" t="s">
        <v>1619</v>
      </c>
      <c r="E10007" s="2889" t="s">
        <v>217</v>
      </c>
      <c r="F10007" s="2890">
        <v>0.16621355563624429</v>
      </c>
      <c r="G10007" s="2890">
        <v>115.27355122570387</v>
      </c>
    </row>
    <row r="10008" spans="2:7" ht="15" hidden="1" outlineLevel="2">
      <c r="B10008" s="2889" t="s">
        <v>1647</v>
      </c>
      <c r="C10008" s="2889" t="s">
        <v>1623</v>
      </c>
      <c r="D10008" s="2889" t="s">
        <v>1619</v>
      </c>
      <c r="E10008" s="2889" t="s">
        <v>217</v>
      </c>
      <c r="F10008" s="2890">
        <v>0.165418760382326</v>
      </c>
      <c r="G10008" s="2890">
        <v>115.27355122570397</v>
      </c>
    </row>
    <row r="10009" spans="2:7" ht="15" hidden="1" outlineLevel="2">
      <c r="B10009" s="2889" t="s">
        <v>1648</v>
      </c>
      <c r="C10009" s="2889" t="s">
        <v>1623</v>
      </c>
      <c r="D10009" s="2889" t="s">
        <v>1619</v>
      </c>
      <c r="E10009" s="2889" t="s">
        <v>217</v>
      </c>
      <c r="F10009" s="2890">
        <v>1.7007293296187203E-31</v>
      </c>
      <c r="G10009" s="2890">
        <v>1.1851687439838577E-28</v>
      </c>
    </row>
    <row r="10010" spans="2:7" ht="15" hidden="1" outlineLevel="2">
      <c r="B10010" s="2889" t="s">
        <v>1649</v>
      </c>
      <c r="C10010" s="2889" t="s">
        <v>1623</v>
      </c>
      <c r="D10010" s="2889" t="s">
        <v>1619</v>
      </c>
      <c r="E10010" s="2889" t="s">
        <v>217</v>
      </c>
      <c r="F10010" s="2890">
        <v>6.5686298980488706E-34</v>
      </c>
      <c r="G10010" s="2890">
        <v>4.5774112357123968E-31</v>
      </c>
    </row>
    <row r="10011" spans="2:7" ht="15" hidden="1" outlineLevel="2">
      <c r="B10011" s="2889" t="s">
        <v>1650</v>
      </c>
      <c r="C10011" s="2889" t="s">
        <v>1623</v>
      </c>
      <c r="D10011" s="2889" t="s">
        <v>1619</v>
      </c>
      <c r="E10011" s="2889" t="s">
        <v>217</v>
      </c>
      <c r="F10011" s="2890">
        <v>0.24980878770086723</v>
      </c>
      <c r="G10011" s="2890">
        <v>172.91043026300696</v>
      </c>
    </row>
    <row r="10012" spans="2:7" ht="15" hidden="1" outlineLevel="2">
      <c r="B10012" s="2889" t="s">
        <v>1651</v>
      </c>
      <c r="C10012" s="2889" t="s">
        <v>1623</v>
      </c>
      <c r="D10012" s="2889" t="s">
        <v>1619</v>
      </c>
      <c r="E10012" s="2889" t="s">
        <v>217</v>
      </c>
      <c r="F10012" s="2890">
        <v>0.24812817860500444</v>
      </c>
      <c r="G10012" s="2890">
        <v>172.91043027123987</v>
      </c>
    </row>
    <row r="10013" spans="2:7" ht="15" hidden="1" outlineLevel="2">
      <c r="B10013" s="2889" t="s">
        <v>1652</v>
      </c>
      <c r="C10013" s="2889" t="s">
        <v>1623</v>
      </c>
      <c r="D10013" s="2889" t="s">
        <v>1619</v>
      </c>
      <c r="E10013" s="2889" t="s">
        <v>217</v>
      </c>
      <c r="F10013" s="2890">
        <v>0.3308374751944041</v>
      </c>
      <c r="G10013" s="2890">
        <v>230.54722731669617</v>
      </c>
    </row>
    <row r="10014" spans="2:7" ht="15" hidden="1" outlineLevel="2">
      <c r="B10014" s="2889" t="s">
        <v>1653</v>
      </c>
      <c r="C10014" s="2889" t="s">
        <v>1623</v>
      </c>
      <c r="D10014" s="2889" t="s">
        <v>1619</v>
      </c>
      <c r="E10014" s="2889" t="s">
        <v>217</v>
      </c>
      <c r="F10014" s="2890">
        <v>1.0664417689639099E-35</v>
      </c>
      <c r="G10014" s="2890">
        <v>7.3960601576518358E-33</v>
      </c>
    </row>
    <row r="10015" spans="2:7" ht="15" hidden="1" outlineLevel="2">
      <c r="B10015" s="2889" t="s">
        <v>1407</v>
      </c>
      <c r="C10015" s="2889" t="s">
        <v>1624</v>
      </c>
      <c r="D10015" s="2889" t="s">
        <v>1619</v>
      </c>
      <c r="E10015" s="2889" t="s">
        <v>217</v>
      </c>
      <c r="F10015" s="2890">
        <v>2.1628506190706775</v>
      </c>
      <c r="G10015" s="2890">
        <v>1843.0009775508097</v>
      </c>
    </row>
    <row r="10016" spans="2:7" ht="15" hidden="1" outlineLevel="2">
      <c r="B10016" s="2889" t="s">
        <v>1631</v>
      </c>
      <c r="C10016" s="2889" t="s">
        <v>1624</v>
      </c>
      <c r="D10016" s="2889" t="s">
        <v>1619</v>
      </c>
      <c r="E10016" s="2889" t="s">
        <v>217</v>
      </c>
      <c r="F10016" s="2890">
        <v>4.3707746150550291</v>
      </c>
      <c r="G10016" s="2890">
        <v>3686.0027520717504</v>
      </c>
    </row>
    <row r="10017" spans="2:7" ht="15" hidden="1" outlineLevel="2">
      <c r="B10017" s="2889" t="s">
        <v>1632</v>
      </c>
      <c r="C10017" s="2889" t="s">
        <v>1624</v>
      </c>
      <c r="D10017" s="2889" t="s">
        <v>1619</v>
      </c>
      <c r="E10017" s="2889" t="s">
        <v>217</v>
      </c>
      <c r="F10017" s="2890">
        <v>2.1586542945295277</v>
      </c>
      <c r="G10017" s="2890">
        <v>1843.0009775508097</v>
      </c>
    </row>
    <row r="10018" spans="2:7" ht="15" hidden="1" outlineLevel="2">
      <c r="B10018" s="2889" t="s">
        <v>1633</v>
      </c>
      <c r="C10018" s="2889" t="s">
        <v>1624</v>
      </c>
      <c r="D10018" s="2889" t="s">
        <v>1619</v>
      </c>
      <c r="E10018" s="2889" t="s">
        <v>217</v>
      </c>
      <c r="F10018" s="2890">
        <v>5.7536827340914279E-36</v>
      </c>
      <c r="G10018" s="2890">
        <v>4.9265022343375754E-33</v>
      </c>
    </row>
    <row r="10019" spans="2:7" ht="15" hidden="1" outlineLevel="2">
      <c r="B10019" s="2889" t="s">
        <v>1634</v>
      </c>
      <c r="C10019" s="2889" t="s">
        <v>1624</v>
      </c>
      <c r="D10019" s="2889" t="s">
        <v>1619</v>
      </c>
      <c r="E10019" s="2889" t="s">
        <v>217</v>
      </c>
      <c r="F10019" s="2890">
        <v>2.1484163262982103</v>
      </c>
      <c r="G10019" s="2890">
        <v>1843.0009775508097</v>
      </c>
    </row>
    <row r="10020" spans="2:7" ht="15" hidden="1" outlineLevel="2">
      <c r="B10020" s="2889" t="s">
        <v>1635</v>
      </c>
      <c r="C10020" s="2889" t="s">
        <v>1624</v>
      </c>
      <c r="D10020" s="2889" t="s">
        <v>1619</v>
      </c>
      <c r="E10020" s="2889" t="s">
        <v>217</v>
      </c>
      <c r="F10020" s="2890">
        <v>2.1586542945295277</v>
      </c>
      <c r="G10020" s="2890">
        <v>1843.0009775508097</v>
      </c>
    </row>
    <row r="10021" spans="2:7" ht="15" hidden="1" outlineLevel="2">
      <c r="B10021" s="2889" t="s">
        <v>1636</v>
      </c>
      <c r="C10021" s="2889" t="s">
        <v>1624</v>
      </c>
      <c r="D10021" s="2889" t="s">
        <v>1619</v>
      </c>
      <c r="E10021" s="2889" t="s">
        <v>217</v>
      </c>
      <c r="F10021" s="2890">
        <v>5.7563501889331663</v>
      </c>
      <c r="G10021" s="2890">
        <v>4914.6737782423588</v>
      </c>
    </row>
    <row r="10022" spans="2:7" ht="15" hidden="1" outlineLevel="2">
      <c r="B10022" s="2889" t="s">
        <v>1637</v>
      </c>
      <c r="C10022" s="2889" t="s">
        <v>1624</v>
      </c>
      <c r="D10022" s="2889" t="s">
        <v>1619</v>
      </c>
      <c r="E10022" s="2889" t="s">
        <v>217</v>
      </c>
      <c r="F10022" s="2890">
        <v>2.1524488958734298</v>
      </c>
      <c r="G10022" s="2890">
        <v>1843.0009775508097</v>
      </c>
    </row>
    <row r="10023" spans="2:7" ht="15" hidden="1" outlineLevel="2">
      <c r="B10023" s="2889" t="s">
        <v>1638</v>
      </c>
      <c r="C10023" s="2889" t="s">
        <v>1624</v>
      </c>
      <c r="D10023" s="2889" t="s">
        <v>1619</v>
      </c>
      <c r="E10023" s="2889" t="s">
        <v>217</v>
      </c>
      <c r="F10023" s="2890">
        <v>0.71613904397250361</v>
      </c>
      <c r="G10023" s="2890">
        <v>614.33370561554136</v>
      </c>
    </row>
    <row r="10024" spans="2:7" ht="15" hidden="1" outlineLevel="2">
      <c r="B10024" s="2889" t="s">
        <v>1639</v>
      </c>
      <c r="C10024" s="2889" t="s">
        <v>1624</v>
      </c>
      <c r="D10024" s="2889" t="s">
        <v>1619</v>
      </c>
      <c r="E10024" s="2889" t="s">
        <v>217</v>
      </c>
      <c r="F10024" s="2890">
        <v>2.1524488958734298</v>
      </c>
      <c r="G10024" s="2890">
        <v>1843.0009775508097</v>
      </c>
    </row>
    <row r="10025" spans="2:7" ht="15" hidden="1" outlineLevel="2">
      <c r="B10025" s="2889" t="s">
        <v>1640</v>
      </c>
      <c r="C10025" s="2889" t="s">
        <v>1624</v>
      </c>
      <c r="D10025" s="2889" t="s">
        <v>1619</v>
      </c>
      <c r="E10025" s="2889" t="s">
        <v>217</v>
      </c>
      <c r="F10025" s="2890">
        <v>2.1628506190706775</v>
      </c>
      <c r="G10025" s="2890">
        <v>1843.0009775508097</v>
      </c>
    </row>
    <row r="10026" spans="2:7" ht="15" hidden="1" outlineLevel="2">
      <c r="B10026" s="2889" t="s">
        <v>1641</v>
      </c>
      <c r="C10026" s="2889" t="s">
        <v>1624</v>
      </c>
      <c r="D10026" s="2889" t="s">
        <v>1619</v>
      </c>
      <c r="E10026" s="2889" t="s">
        <v>217</v>
      </c>
      <c r="F10026" s="2890">
        <v>3.5977583247504477</v>
      </c>
      <c r="G10026" s="2890">
        <v>3071.6686967914197</v>
      </c>
    </row>
    <row r="10027" spans="2:7" ht="15" hidden="1" outlineLevel="2">
      <c r="B10027" s="2889" t="s">
        <v>1642</v>
      </c>
      <c r="C10027" s="2889" t="s">
        <v>1624</v>
      </c>
      <c r="D10027" s="2889" t="s">
        <v>1619</v>
      </c>
      <c r="E10027" s="2889" t="s">
        <v>217</v>
      </c>
      <c r="F10027" s="2890">
        <v>0.76454160392909321</v>
      </c>
      <c r="G10027" s="2890">
        <v>653.71695021305152</v>
      </c>
    </row>
    <row r="10028" spans="2:7" ht="15" hidden="1" outlineLevel="2">
      <c r="B10028" s="2889" t="s">
        <v>1643</v>
      </c>
      <c r="C10028" s="2889" t="s">
        <v>1624</v>
      </c>
      <c r="D10028" s="2889" t="s">
        <v>1619</v>
      </c>
      <c r="E10028" s="2889" t="s">
        <v>217</v>
      </c>
      <c r="F10028" s="2890">
        <v>3.3191531294215526</v>
      </c>
      <c r="G10028" s="2890">
        <v>2828.4474201685898</v>
      </c>
    </row>
    <row r="10029" spans="2:7" ht="15" hidden="1" outlineLevel="2">
      <c r="B10029" s="2889" t="s">
        <v>1644</v>
      </c>
      <c r="C10029" s="2889" t="s">
        <v>1624</v>
      </c>
      <c r="D10029" s="2889" t="s">
        <v>1619</v>
      </c>
      <c r="E10029" s="2889" t="s">
        <v>217</v>
      </c>
      <c r="F10029" s="2890">
        <v>4.3048996387418095</v>
      </c>
      <c r="G10029" s="2890">
        <v>3686.0027520717504</v>
      </c>
    </row>
    <row r="10030" spans="2:7" ht="15" hidden="1" outlineLevel="2">
      <c r="B10030" s="2889" t="s">
        <v>1645</v>
      </c>
      <c r="C10030" s="2889" t="s">
        <v>1624</v>
      </c>
      <c r="D10030" s="2889" t="s">
        <v>1619</v>
      </c>
      <c r="E10030" s="2889" t="s">
        <v>217</v>
      </c>
      <c r="F10030" s="2890">
        <v>2.15244889587568</v>
      </c>
      <c r="G10030" s="2890">
        <v>1843.0009775508097</v>
      </c>
    </row>
    <row r="10031" spans="2:7" ht="15" hidden="1" outlineLevel="2">
      <c r="B10031" s="2889" t="s">
        <v>1646</v>
      </c>
      <c r="C10031" s="2889" t="s">
        <v>1624</v>
      </c>
      <c r="D10031" s="2889" t="s">
        <v>1619</v>
      </c>
      <c r="E10031" s="2889" t="s">
        <v>217</v>
      </c>
      <c r="F10031" s="2890">
        <v>1.4391035310394586</v>
      </c>
      <c r="G10031" s="2890">
        <v>1228.6675850515908</v>
      </c>
    </row>
    <row r="10032" spans="2:7" ht="15" hidden="1" outlineLevel="2">
      <c r="B10032" s="2889" t="s">
        <v>1647</v>
      </c>
      <c r="C10032" s="2889" t="s">
        <v>1624</v>
      </c>
      <c r="D10032" s="2889" t="s">
        <v>1619</v>
      </c>
      <c r="E10032" s="2889" t="s">
        <v>217</v>
      </c>
      <c r="F10032" s="2890">
        <v>1.4322774119862323</v>
      </c>
      <c r="G10032" s="2890">
        <v>1228.6675850515908</v>
      </c>
    </row>
    <row r="10033" spans="2:7" ht="15" hidden="1" outlineLevel="2">
      <c r="B10033" s="2889" t="s">
        <v>1648</v>
      </c>
      <c r="C10033" s="2889" t="s">
        <v>1624</v>
      </c>
      <c r="D10033" s="2889" t="s">
        <v>1619</v>
      </c>
      <c r="E10033" s="2889" t="s">
        <v>217</v>
      </c>
      <c r="F10033" s="2890">
        <v>3.7223526161049563E-31</v>
      </c>
      <c r="G10033" s="2890">
        <v>3.1931912408776148E-28</v>
      </c>
    </row>
    <row r="10034" spans="2:7" ht="15" hidden="1" outlineLevel="2">
      <c r="B10034" s="2889" t="s">
        <v>1649</v>
      </c>
      <c r="C10034" s="2889" t="s">
        <v>1624</v>
      </c>
      <c r="D10034" s="2889" t="s">
        <v>1619</v>
      </c>
      <c r="E10034" s="2889" t="s">
        <v>217</v>
      </c>
      <c r="F10034" s="2890">
        <v>9.4610194307558104E-32</v>
      </c>
      <c r="G10034" s="2890">
        <v>8.1160552133930694E-29</v>
      </c>
    </row>
    <row r="10035" spans="2:7" ht="15" hidden="1" outlineLevel="2">
      <c r="B10035" s="2889" t="s">
        <v>1650</v>
      </c>
      <c r="C10035" s="2889" t="s">
        <v>1624</v>
      </c>
      <c r="D10035" s="2889" t="s">
        <v>1619</v>
      </c>
      <c r="E10035" s="2889" t="s">
        <v>217</v>
      </c>
      <c r="F10035" s="2890">
        <v>2.1628506190706775</v>
      </c>
      <c r="G10035" s="2890">
        <v>1843.0009775508097</v>
      </c>
    </row>
    <row r="10036" spans="2:7" ht="15" hidden="1" outlineLevel="2">
      <c r="B10036" s="2889" t="s">
        <v>1651</v>
      </c>
      <c r="C10036" s="2889" t="s">
        <v>1624</v>
      </c>
      <c r="D10036" s="2889" t="s">
        <v>1619</v>
      </c>
      <c r="E10036" s="2889" t="s">
        <v>217</v>
      </c>
      <c r="F10036" s="2890">
        <v>2.1484163264528555</v>
      </c>
      <c r="G10036" s="2890">
        <v>1843.0009775508097</v>
      </c>
    </row>
    <row r="10037" spans="2:7" ht="15" hidden="1" outlineLevel="2">
      <c r="B10037" s="2889" t="s">
        <v>1652</v>
      </c>
      <c r="C10037" s="2889" t="s">
        <v>1624</v>
      </c>
      <c r="D10037" s="2889" t="s">
        <v>1619</v>
      </c>
      <c r="E10037" s="2889" t="s">
        <v>217</v>
      </c>
      <c r="F10037" s="2890">
        <v>2.8645550247846936</v>
      </c>
      <c r="G10037" s="2890">
        <v>2457.33575153726</v>
      </c>
    </row>
    <row r="10038" spans="2:7" ht="15" hidden="1" outlineLevel="2">
      <c r="B10038" s="2889" t="s">
        <v>1653</v>
      </c>
      <c r="C10038" s="2889" t="s">
        <v>1624</v>
      </c>
      <c r="D10038" s="2889" t="s">
        <v>1619</v>
      </c>
      <c r="E10038" s="2889" t="s">
        <v>217</v>
      </c>
      <c r="F10038" s="2890">
        <v>8.9301601592572123E-35</v>
      </c>
      <c r="G10038" s="2890">
        <v>7.6243334221304502E-32</v>
      </c>
    </row>
    <row r="10039" spans="2:7" ht="15" hidden="1" outlineLevel="2">
      <c r="B10039" s="2889" t="s">
        <v>1407</v>
      </c>
      <c r="C10039" s="2889" t="s">
        <v>1625</v>
      </c>
      <c r="D10039" s="2889" t="s">
        <v>1619</v>
      </c>
      <c r="E10039" s="2889" t="s">
        <v>217</v>
      </c>
      <c r="F10039" s="2890">
        <v>0.20034036704840155</v>
      </c>
      <c r="G10039" s="2890">
        <v>258.99291158072703</v>
      </c>
    </row>
    <row r="10040" spans="2:7" ht="15" hidden="1" outlineLevel="2">
      <c r="B10040" s="2889" t="s">
        <v>1631</v>
      </c>
      <c r="C10040" s="2889" t="s">
        <v>1625</v>
      </c>
      <c r="D10040" s="2889" t="s">
        <v>1619</v>
      </c>
      <c r="E10040" s="2889" t="s">
        <v>217</v>
      </c>
      <c r="F10040" s="2890">
        <v>0.60749525696422157</v>
      </c>
      <c r="G10040" s="2890">
        <v>776.97910231520143</v>
      </c>
    </row>
    <row r="10041" spans="2:7" ht="15" hidden="1" outlineLevel="2">
      <c r="B10041" s="2889" t="s">
        <v>1632</v>
      </c>
      <c r="C10041" s="2889" t="s">
        <v>1625</v>
      </c>
      <c r="D10041" s="2889" t="s">
        <v>1619</v>
      </c>
      <c r="E10041" s="2889" t="s">
        <v>217</v>
      </c>
      <c r="F10041" s="2890">
        <v>1.2662779654294303</v>
      </c>
      <c r="G10041" s="2890">
        <v>1640.2881725503898</v>
      </c>
    </row>
    <row r="10042" spans="2:7" ht="15" hidden="1" outlineLevel="2">
      <c r="B10042" s="2889" t="s">
        <v>1633</v>
      </c>
      <c r="C10042" s="2889" t="s">
        <v>1625</v>
      </c>
      <c r="D10042" s="2889" t="s">
        <v>1619</v>
      </c>
      <c r="E10042" s="2889" t="s">
        <v>217</v>
      </c>
      <c r="F10042" s="2890">
        <v>0.13289620265377039</v>
      </c>
      <c r="G10042" s="2890">
        <v>172.66211907688304</v>
      </c>
    </row>
    <row r="10043" spans="2:7" ht="15" hidden="1" outlineLevel="2">
      <c r="B10043" s="2889" t="s">
        <v>1634</v>
      </c>
      <c r="C10043" s="2889" t="s">
        <v>1625</v>
      </c>
      <c r="D10043" s="2889" t="s">
        <v>1619</v>
      </c>
      <c r="E10043" s="2889" t="s">
        <v>217</v>
      </c>
      <c r="F10043" s="3039">
        <v>0.1326387723974263</v>
      </c>
      <c r="G10043" s="2890">
        <v>172.66211907688304</v>
      </c>
    </row>
    <row r="10044" spans="2:7" ht="15" hidden="1" outlineLevel="2">
      <c r="B10044" s="2889" t="s">
        <v>1635</v>
      </c>
      <c r="C10044" s="2889" t="s">
        <v>1625</v>
      </c>
      <c r="D10044" s="2889" t="s">
        <v>1619</v>
      </c>
      <c r="E10044" s="2889" t="s">
        <v>217</v>
      </c>
      <c r="F10044" s="3039">
        <v>0.46652358436248897</v>
      </c>
      <c r="G10044" s="2890">
        <v>604.31721383640297</v>
      </c>
    </row>
    <row r="10045" spans="2:7" ht="15" hidden="1" outlineLevel="2">
      <c r="B10045" s="2889" t="s">
        <v>1636</v>
      </c>
      <c r="C10045" s="2889" t="s">
        <v>1625</v>
      </c>
      <c r="D10045" s="2889" t="s">
        <v>1619</v>
      </c>
      <c r="E10045" s="2889" t="s">
        <v>217</v>
      </c>
      <c r="F10045" s="3039">
        <v>0.26658176554838353</v>
      </c>
      <c r="G10045" s="2890">
        <v>345.32406459591778</v>
      </c>
    </row>
    <row r="10046" spans="2:7" ht="15" hidden="1" outlineLevel="2">
      <c r="B10046" s="2889" t="s">
        <v>1637</v>
      </c>
      <c r="C10046" s="2889" t="s">
        <v>1625</v>
      </c>
      <c r="D10046" s="2889" t="s">
        <v>1619</v>
      </c>
      <c r="E10046" s="2889" t="s">
        <v>217</v>
      </c>
      <c r="F10046" s="3039">
        <v>0.1993442843807231</v>
      </c>
      <c r="G10046" s="2890">
        <v>258.99291158072703</v>
      </c>
    </row>
    <row r="10047" spans="2:7" ht="15" hidden="1" outlineLevel="2">
      <c r="B10047" s="2889" t="s">
        <v>1638</v>
      </c>
      <c r="C10047" s="2889" t="s">
        <v>1625</v>
      </c>
      <c r="D10047" s="2889" t="s">
        <v>1619</v>
      </c>
      <c r="E10047" s="2889" t="s">
        <v>217</v>
      </c>
      <c r="F10047" s="3039">
        <v>0.1326387723974263</v>
      </c>
      <c r="G10047" s="2890">
        <v>172.66211907688304</v>
      </c>
    </row>
    <row r="10048" spans="2:7" ht="15" hidden="1" outlineLevel="2">
      <c r="B10048" s="2889" t="s">
        <v>1639</v>
      </c>
      <c r="C10048" s="2889" t="s">
        <v>1625</v>
      </c>
      <c r="D10048" s="2889" t="s">
        <v>1619</v>
      </c>
      <c r="E10048" s="2889" t="s">
        <v>217</v>
      </c>
      <c r="F10048" s="3039">
        <v>0.86382521715261185</v>
      </c>
      <c r="G10048" s="2890">
        <v>1122.3022796764401</v>
      </c>
    </row>
    <row r="10049" spans="2:7" ht="15" hidden="1" outlineLevel="2">
      <c r="B10049" s="2889" t="s">
        <v>1640</v>
      </c>
      <c r="C10049" s="2889" t="s">
        <v>1625</v>
      </c>
      <c r="D10049" s="2889" t="s">
        <v>1619</v>
      </c>
      <c r="E10049" s="2889" t="s">
        <v>217</v>
      </c>
      <c r="F10049" s="3039">
        <v>6.678011246689064E-2</v>
      </c>
      <c r="G10049" s="2890">
        <v>86.330920114526606</v>
      </c>
    </row>
    <row r="10050" spans="2:7" ht="15" hidden="1" outlineLevel="2">
      <c r="B10050" s="2889" t="s">
        <v>1641</v>
      </c>
      <c r="C10050" s="2889" t="s">
        <v>1625</v>
      </c>
      <c r="D10050" s="2889" t="s">
        <v>1619</v>
      </c>
      <c r="E10050" s="2889" t="s">
        <v>217</v>
      </c>
      <c r="F10050" s="3039">
        <v>0.5998158455319319</v>
      </c>
      <c r="G10050" s="2890">
        <v>776.97910231520143</v>
      </c>
    </row>
    <row r="10051" spans="2:7" ht="15" hidden="1" outlineLevel="2">
      <c r="B10051" s="2889" t="s">
        <v>1642</v>
      </c>
      <c r="C10051" s="2889" t="s">
        <v>1625</v>
      </c>
      <c r="D10051" s="2889" t="s">
        <v>1619</v>
      </c>
      <c r="E10051" s="2889" t="s">
        <v>217</v>
      </c>
      <c r="F10051" s="3039">
        <v>0.49566809847270477</v>
      </c>
      <c r="G10051" s="2890">
        <v>643.05833530116308</v>
      </c>
    </row>
    <row r="10052" spans="2:7" ht="15" hidden="1" outlineLevel="2">
      <c r="B10052" s="2889" t="s">
        <v>1643</v>
      </c>
      <c r="C10052" s="2889" t="s">
        <v>1625</v>
      </c>
      <c r="D10052" s="2889" t="s">
        <v>1619</v>
      </c>
      <c r="E10052" s="2889" t="s">
        <v>217</v>
      </c>
      <c r="F10052" s="3039">
        <v>0.10248191457437132</v>
      </c>
      <c r="G10052" s="2890">
        <v>132.49184721679083</v>
      </c>
    </row>
    <row r="10053" spans="2:7" ht="15" hidden="1" outlineLevel="2">
      <c r="B10053" s="2889" t="s">
        <v>1644</v>
      </c>
      <c r="C10053" s="2889" t="s">
        <v>1625</v>
      </c>
      <c r="D10053" s="2889" t="s">
        <v>1619</v>
      </c>
      <c r="E10053" s="2889" t="s">
        <v>217</v>
      </c>
      <c r="F10053" s="3039">
        <v>1.5283074236315448</v>
      </c>
      <c r="G10053" s="2890">
        <v>1985.6121574312101</v>
      </c>
    </row>
    <row r="10054" spans="2:7" ht="15" hidden="1" outlineLevel="2">
      <c r="B10054" s="2889" t="s">
        <v>1645</v>
      </c>
      <c r="C10054" s="2889" t="s">
        <v>1625</v>
      </c>
      <c r="D10054" s="2889" t="s">
        <v>1619</v>
      </c>
      <c r="E10054" s="2889" t="s">
        <v>217</v>
      </c>
      <c r="F10054" s="3039">
        <v>0.6644813452097541</v>
      </c>
      <c r="G10054" s="2890">
        <v>863.30920182332113</v>
      </c>
    </row>
    <row r="10055" spans="2:7" ht="15" hidden="1" outlineLevel="2">
      <c r="B10055" s="2889" t="s">
        <v>1646</v>
      </c>
      <c r="C10055" s="2889" t="s">
        <v>1625</v>
      </c>
      <c r="D10055" s="2889" t="s">
        <v>1619</v>
      </c>
      <c r="E10055" s="2889" t="s">
        <v>217</v>
      </c>
      <c r="F10055" s="3039">
        <v>0.13329244432360812</v>
      </c>
      <c r="G10055" s="2890">
        <v>172.66211907688304</v>
      </c>
    </row>
    <row r="10056" spans="2:7" ht="15" hidden="1" outlineLevel="2">
      <c r="B10056" s="2889" t="s">
        <v>1647</v>
      </c>
      <c r="C10056" s="2889" t="s">
        <v>1625</v>
      </c>
      <c r="D10056" s="2889" t="s">
        <v>1619</v>
      </c>
      <c r="E10056" s="2889" t="s">
        <v>217</v>
      </c>
      <c r="F10056" s="3039">
        <v>6.6319380563515731E-2</v>
      </c>
      <c r="G10056" s="2890">
        <v>86.330920114526606</v>
      </c>
    </row>
    <row r="10057" spans="2:7" ht="15" hidden="1" outlineLevel="2">
      <c r="B10057" s="2889" t="s">
        <v>1648</v>
      </c>
      <c r="C10057" s="2889" t="s">
        <v>1625</v>
      </c>
      <c r="D10057" s="2889" t="s">
        <v>1619</v>
      </c>
      <c r="E10057" s="2889" t="s">
        <v>217</v>
      </c>
      <c r="F10057" s="3039">
        <v>6.6319380563515731E-2</v>
      </c>
      <c r="G10057" s="2890">
        <v>86.330920114526606</v>
      </c>
    </row>
    <row r="10058" spans="2:7" ht="15" hidden="1" outlineLevel="2">
      <c r="B10058" s="2889" t="s">
        <v>1649</v>
      </c>
      <c r="C10058" s="2889" t="s">
        <v>1625</v>
      </c>
      <c r="D10058" s="2889" t="s">
        <v>1619</v>
      </c>
      <c r="E10058" s="2889" t="s">
        <v>217</v>
      </c>
      <c r="F10058" s="3039">
        <v>6.6319380563515731E-2</v>
      </c>
      <c r="G10058" s="2890">
        <v>86.330920114526606</v>
      </c>
    </row>
    <row r="10059" spans="2:7" ht="15" hidden="1" outlineLevel="2">
      <c r="B10059" s="2889" t="s">
        <v>1650</v>
      </c>
      <c r="C10059" s="2889" t="s">
        <v>1625</v>
      </c>
      <c r="D10059" s="2889" t="s">
        <v>1619</v>
      </c>
      <c r="E10059" s="2889" t="s">
        <v>217</v>
      </c>
      <c r="F10059" s="3039">
        <v>0.20034036704840155</v>
      </c>
      <c r="G10059" s="2890">
        <v>258.99291158072703</v>
      </c>
    </row>
    <row r="10060" spans="2:7" ht="15" hidden="1" outlineLevel="2">
      <c r="B10060" s="2889" t="s">
        <v>1651</v>
      </c>
      <c r="C10060" s="2889" t="s">
        <v>1625</v>
      </c>
      <c r="D10060" s="2889" t="s">
        <v>1619</v>
      </c>
      <c r="E10060" s="2889" t="s">
        <v>217</v>
      </c>
      <c r="F10060" s="3039">
        <v>0.26527748897687153</v>
      </c>
      <c r="G10060" s="2890">
        <v>345.32406464860134</v>
      </c>
    </row>
    <row r="10061" spans="2:7" ht="15" hidden="1" outlineLevel="2">
      <c r="B10061" s="2889" t="s">
        <v>1652</v>
      </c>
      <c r="C10061" s="2889" t="s">
        <v>1625</v>
      </c>
      <c r="D10061" s="2889" t="s">
        <v>1619</v>
      </c>
      <c r="E10061" s="2889" t="s">
        <v>217</v>
      </c>
      <c r="F10061" s="3039">
        <v>0.66319356519115358</v>
      </c>
      <c r="G10061" s="2890">
        <v>863.30920182332113</v>
      </c>
    </row>
    <row r="10062" spans="2:7" ht="15" hidden="1" outlineLevel="2">
      <c r="B10062" s="2889" t="s">
        <v>1653</v>
      </c>
      <c r="C10062" s="2889" t="s">
        <v>1625</v>
      </c>
      <c r="D10062" s="2889" t="s">
        <v>1619</v>
      </c>
      <c r="E10062" s="2889" t="s">
        <v>217</v>
      </c>
      <c r="F10062" s="3039">
        <v>0.33323099182388533</v>
      </c>
      <c r="G10062" s="2890">
        <v>431.65440620760694</v>
      </c>
    </row>
    <row r="10063" spans="2:7" ht="15" hidden="1" outlineLevel="2">
      <c r="B10063" s="2889" t="s">
        <v>1407</v>
      </c>
      <c r="C10063" s="2889" t="s">
        <v>1626</v>
      </c>
      <c r="D10063" s="2889" t="s">
        <v>1619</v>
      </c>
      <c r="E10063" s="2889" t="s">
        <v>217</v>
      </c>
      <c r="F10063" s="3039">
        <v>0.1320244259675516</v>
      </c>
      <c r="G10063" s="2890">
        <v>103.65559872668655</v>
      </c>
    </row>
    <row r="10064" spans="2:7" ht="15" hidden="1" outlineLevel="2">
      <c r="B10064" s="2889" t="s">
        <v>1631</v>
      </c>
      <c r="C10064" s="2889" t="s">
        <v>1626</v>
      </c>
      <c r="D10064" s="2889" t="s">
        <v>1619</v>
      </c>
      <c r="E10064" s="2889" t="s">
        <v>217</v>
      </c>
      <c r="F10064" s="3039">
        <v>0.26657027709718789</v>
      </c>
      <c r="G10064" s="2890">
        <v>207.31125697019095</v>
      </c>
    </row>
    <row r="10065" spans="2:7" ht="15" hidden="1" outlineLevel="2">
      <c r="B10065" s="2889" t="s">
        <v>1632</v>
      </c>
      <c r="C10065" s="2889" t="s">
        <v>1626</v>
      </c>
      <c r="D10065" s="2889" t="s">
        <v>1619</v>
      </c>
      <c r="E10065" s="2889" t="s">
        <v>217</v>
      </c>
      <c r="F10065" s="3039">
        <v>0.13178971866720832</v>
      </c>
      <c r="G10065" s="2890">
        <v>103.65559872668655</v>
      </c>
    </row>
    <row r="10066" spans="2:7" ht="15" hidden="1" outlineLevel="2">
      <c r="B10066" s="2889" t="s">
        <v>1633</v>
      </c>
      <c r="C10066" s="2889" t="s">
        <v>1626</v>
      </c>
      <c r="D10066" s="2889" t="s">
        <v>1619</v>
      </c>
      <c r="E10066" s="2889" t="s">
        <v>217</v>
      </c>
      <c r="F10066" s="3039">
        <v>5.13782769293274E-33</v>
      </c>
      <c r="G10066" s="2890">
        <v>3.8866786495174292E-30</v>
      </c>
    </row>
    <row r="10067" spans="2:7" ht="15" hidden="1" outlineLevel="2">
      <c r="B10067" s="2889" t="s">
        <v>1634</v>
      </c>
      <c r="C10067" s="2889" t="s">
        <v>1626</v>
      </c>
      <c r="D10067" s="2889" t="s">
        <v>1619</v>
      </c>
      <c r="E10067" s="2889" t="s">
        <v>217</v>
      </c>
      <c r="F10067" s="3039">
        <v>0.13121693630236717</v>
      </c>
      <c r="G10067" s="2890">
        <v>103.65559872668655</v>
      </c>
    </row>
    <row r="10068" spans="2:7" ht="15" hidden="1" outlineLevel="2">
      <c r="B10068" s="2889" t="s">
        <v>1635</v>
      </c>
      <c r="C10068" s="2889" t="s">
        <v>1626</v>
      </c>
      <c r="D10068" s="2889" t="s">
        <v>1619</v>
      </c>
      <c r="E10068" s="2889" t="s">
        <v>217</v>
      </c>
      <c r="F10068" s="2890">
        <v>0.13178971866720832</v>
      </c>
      <c r="G10068" s="2890">
        <v>103.65559872668655</v>
      </c>
    </row>
    <row r="10069" spans="2:7" ht="15" hidden="1" outlineLevel="2">
      <c r="B10069" s="2889" t="s">
        <v>1636</v>
      </c>
      <c r="C10069" s="2889" t="s">
        <v>1626</v>
      </c>
      <c r="D10069" s="2889" t="s">
        <v>1619</v>
      </c>
      <c r="E10069" s="2889" t="s">
        <v>217</v>
      </c>
      <c r="F10069" s="2890">
        <v>0.35143578834822214</v>
      </c>
      <c r="G10069" s="2890">
        <v>276.41502108592425</v>
      </c>
    </row>
    <row r="10070" spans="2:7" ht="15" hidden="1" outlineLevel="2">
      <c r="B10070" s="2889" t="s">
        <v>1637</v>
      </c>
      <c r="C10070" s="2889" t="s">
        <v>1626</v>
      </c>
      <c r="D10070" s="2889" t="s">
        <v>1619</v>
      </c>
      <c r="E10070" s="2889" t="s">
        <v>217</v>
      </c>
      <c r="F10070" s="2890">
        <v>0.1314425563978556</v>
      </c>
      <c r="G10070" s="2890">
        <v>103.65559872668655</v>
      </c>
    </row>
    <row r="10071" spans="2:7" ht="15" hidden="1" outlineLevel="2">
      <c r="B10071" s="2889" t="s">
        <v>1638</v>
      </c>
      <c r="C10071" s="2889" t="s">
        <v>1626</v>
      </c>
      <c r="D10071" s="2889" t="s">
        <v>1619</v>
      </c>
      <c r="E10071" s="2889" t="s">
        <v>217</v>
      </c>
      <c r="F10071" s="2890">
        <v>4.3738992516351945E-2</v>
      </c>
      <c r="G10071" s="2890">
        <v>34.551876961557582</v>
      </c>
    </row>
    <row r="10072" spans="2:7" ht="15" hidden="1" outlineLevel="2">
      <c r="B10072" s="2889" t="s">
        <v>1639</v>
      </c>
      <c r="C10072" s="2889" t="s">
        <v>1626</v>
      </c>
      <c r="D10072" s="2889" t="s">
        <v>1619</v>
      </c>
      <c r="E10072" s="2889" t="s">
        <v>217</v>
      </c>
      <c r="F10072" s="2890">
        <v>0.1314425563978556</v>
      </c>
      <c r="G10072" s="2890">
        <v>103.65559872668655</v>
      </c>
    </row>
    <row r="10073" spans="2:7" ht="15" hidden="1" outlineLevel="2">
      <c r="B10073" s="2889" t="s">
        <v>1640</v>
      </c>
      <c r="C10073" s="2889" t="s">
        <v>1626</v>
      </c>
      <c r="D10073" s="2889" t="s">
        <v>1619</v>
      </c>
      <c r="E10073" s="2889" t="s">
        <v>217</v>
      </c>
      <c r="F10073" s="2890">
        <v>0.1320244259675516</v>
      </c>
      <c r="G10073" s="2890">
        <v>103.65559872668655</v>
      </c>
    </row>
    <row r="10074" spans="2:7" ht="15" hidden="1" outlineLevel="2">
      <c r="B10074" s="2889" t="s">
        <v>1641</v>
      </c>
      <c r="C10074" s="2889" t="s">
        <v>1626</v>
      </c>
      <c r="D10074" s="2889" t="s">
        <v>1619</v>
      </c>
      <c r="E10074" s="2889" t="s">
        <v>217</v>
      </c>
      <c r="F10074" s="2890">
        <v>0.21964949668623643</v>
      </c>
      <c r="G10074" s="2890">
        <v>172.75935659987795</v>
      </c>
    </row>
    <row r="10075" spans="2:7" ht="15" hidden="1" outlineLevel="2">
      <c r="B10075" s="2889" t="s">
        <v>1642</v>
      </c>
      <c r="C10075" s="2889" t="s">
        <v>1626</v>
      </c>
      <c r="D10075" s="2889" t="s">
        <v>1619</v>
      </c>
      <c r="E10075" s="2889" t="s">
        <v>217</v>
      </c>
      <c r="F10075" s="2890">
        <v>4.6682428785114201E-2</v>
      </c>
      <c r="G10075" s="2890">
        <v>36.766904978416434</v>
      </c>
    </row>
    <row r="10076" spans="2:7" ht="15" hidden="1" outlineLevel="2">
      <c r="B10076" s="2889" t="s">
        <v>1643</v>
      </c>
      <c r="C10076" s="2889" t="s">
        <v>1626</v>
      </c>
      <c r="D10076" s="2889" t="s">
        <v>1619</v>
      </c>
      <c r="E10076" s="2889" t="s">
        <v>217</v>
      </c>
      <c r="F10076" s="2890">
        <v>0.20260811585239022</v>
      </c>
      <c r="G10076" s="2890">
        <v>159.07990325549704</v>
      </c>
    </row>
    <row r="10077" spans="2:7" ht="15" hidden="1" outlineLevel="2">
      <c r="B10077" s="2889" t="s">
        <v>1644</v>
      </c>
      <c r="C10077" s="2889" t="s">
        <v>1626</v>
      </c>
      <c r="D10077" s="2889" t="s">
        <v>1619</v>
      </c>
      <c r="E10077" s="2889" t="s">
        <v>217</v>
      </c>
      <c r="F10077" s="2890">
        <v>0.26288508667706811</v>
      </c>
      <c r="G10077" s="2890">
        <v>207.31125697019095</v>
      </c>
    </row>
    <row r="10078" spans="2:7" ht="15" hidden="1" outlineLevel="2">
      <c r="B10078" s="2889" t="s">
        <v>1645</v>
      </c>
      <c r="C10078" s="2889" t="s">
        <v>1626</v>
      </c>
      <c r="D10078" s="2889" t="s">
        <v>1619</v>
      </c>
      <c r="E10078" s="2889" t="s">
        <v>217</v>
      </c>
      <c r="F10078" s="2890">
        <v>0.13144255639584618</v>
      </c>
      <c r="G10078" s="2890">
        <v>103.65559872787497</v>
      </c>
    </row>
    <row r="10079" spans="2:7" ht="15" hidden="1" outlineLevel="2">
      <c r="B10079" s="2889" t="s">
        <v>1646</v>
      </c>
      <c r="C10079" s="2889" t="s">
        <v>1626</v>
      </c>
      <c r="D10079" s="2889" t="s">
        <v>1619</v>
      </c>
      <c r="E10079" s="2889" t="s">
        <v>217</v>
      </c>
      <c r="F10079" s="2890">
        <v>8.7859788630252747E-2</v>
      </c>
      <c r="G10079" s="2890">
        <v>69.103759182832647</v>
      </c>
    </row>
    <row r="10080" spans="2:7" ht="15" hidden="1" outlineLevel="2">
      <c r="B10080" s="2889" t="s">
        <v>1647</v>
      </c>
      <c r="C10080" s="2889" t="s">
        <v>1626</v>
      </c>
      <c r="D10080" s="2889" t="s">
        <v>1619</v>
      </c>
      <c r="E10080" s="2889" t="s">
        <v>217</v>
      </c>
      <c r="F10080" s="2890">
        <v>8.747796445169749E-2</v>
      </c>
      <c r="G10080" s="2890">
        <v>69.103759182832817</v>
      </c>
    </row>
    <row r="10081" spans="2:7" ht="15" hidden="1" outlineLevel="2">
      <c r="B10081" s="2889" t="s">
        <v>1648</v>
      </c>
      <c r="C10081" s="2889" t="s">
        <v>1626</v>
      </c>
      <c r="D10081" s="2889" t="s">
        <v>1619</v>
      </c>
      <c r="E10081" s="2889" t="s">
        <v>217</v>
      </c>
      <c r="F10081" s="2890">
        <v>1.6173722528088712E-35</v>
      </c>
      <c r="G10081" s="2890">
        <v>1.5768694812717283E-32</v>
      </c>
    </row>
    <row r="10082" spans="2:7" ht="15" hidden="1" outlineLevel="2">
      <c r="B10082" s="2889" t="s">
        <v>1649</v>
      </c>
      <c r="C10082" s="2889" t="s">
        <v>1626</v>
      </c>
      <c r="D10082" s="2889" t="s">
        <v>1619</v>
      </c>
      <c r="E10082" s="2889" t="s">
        <v>217</v>
      </c>
      <c r="F10082" s="2890">
        <v>1.6173722528088712E-35</v>
      </c>
      <c r="G10082" s="2890">
        <v>1.5768694812717283E-32</v>
      </c>
    </row>
    <row r="10083" spans="2:7" ht="15" hidden="1" outlineLevel="2">
      <c r="B10083" s="2889" t="s">
        <v>1650</v>
      </c>
      <c r="C10083" s="2889" t="s">
        <v>1626</v>
      </c>
      <c r="D10083" s="2889" t="s">
        <v>1619</v>
      </c>
      <c r="E10083" s="2889" t="s">
        <v>217</v>
      </c>
      <c r="F10083" s="2890">
        <v>0.1320244259675516</v>
      </c>
      <c r="G10083" s="2890">
        <v>103.65559872668655</v>
      </c>
    </row>
    <row r="10084" spans="2:7" ht="15" hidden="1" outlineLevel="2">
      <c r="B10084" s="2889" t="s">
        <v>1651</v>
      </c>
      <c r="C10084" s="2889" t="s">
        <v>1626</v>
      </c>
      <c r="D10084" s="2889" t="s">
        <v>1619</v>
      </c>
      <c r="E10084" s="2889" t="s">
        <v>217</v>
      </c>
      <c r="F10084" s="2890">
        <v>0.13121693630474432</v>
      </c>
      <c r="G10084" s="2890">
        <v>103.65559872787497</v>
      </c>
    </row>
    <row r="10085" spans="2:7" ht="15" hidden="1" outlineLevel="2">
      <c r="B10085" s="2889" t="s">
        <v>1652</v>
      </c>
      <c r="C10085" s="2889" t="s">
        <v>1626</v>
      </c>
      <c r="D10085" s="2889" t="s">
        <v>1619</v>
      </c>
      <c r="E10085" s="2889" t="s">
        <v>217</v>
      </c>
      <c r="F10085" s="2890">
        <v>0.17495593324540323</v>
      </c>
      <c r="G10085" s="2890">
        <v>138.20751017470454</v>
      </c>
    </row>
    <row r="10086" spans="2:7" ht="15" hidden="1" outlineLevel="2">
      <c r="B10086" s="2889" t="s">
        <v>1653</v>
      </c>
      <c r="C10086" s="2889" t="s">
        <v>1626</v>
      </c>
      <c r="D10086" s="2889" t="s">
        <v>1619</v>
      </c>
      <c r="E10086" s="2889" t="s">
        <v>217</v>
      </c>
      <c r="F10086" s="2890">
        <v>7.3664304802545026E-35</v>
      </c>
      <c r="G10086" s="2890">
        <v>9.0352181707436596E-32</v>
      </c>
    </row>
    <row r="10087" spans="2:7" ht="15" hidden="1" outlineLevel="2">
      <c r="B10087" s="2889" t="s">
        <v>1407</v>
      </c>
      <c r="C10087" s="2889" t="s">
        <v>1627</v>
      </c>
      <c r="D10087" s="2889" t="s">
        <v>1619</v>
      </c>
      <c r="E10087" s="2889" t="s">
        <v>1420</v>
      </c>
      <c r="F10087" s="2890">
        <v>4.2912131950305875E-3</v>
      </c>
      <c r="G10087" s="2890">
        <v>7.1692385698538557</v>
      </c>
    </row>
    <row r="10088" spans="2:7" ht="15" hidden="1" outlineLevel="2">
      <c r="B10088" s="2889" t="s">
        <v>1631</v>
      </c>
      <c r="C10088" s="2889" t="s">
        <v>1627</v>
      </c>
      <c r="D10088" s="2889" t="s">
        <v>1619</v>
      </c>
      <c r="E10088" s="2889" t="s">
        <v>1420</v>
      </c>
      <c r="F10088" s="3039">
        <v>8.5824269271227577E-3</v>
      </c>
      <c r="G10088" s="2890">
        <v>14.338478267024716</v>
      </c>
    </row>
    <row r="10089" spans="2:7" ht="15" hidden="1" outlineLevel="2">
      <c r="B10089" s="2889" t="s">
        <v>1632</v>
      </c>
      <c r="C10089" s="2889" t="s">
        <v>1627</v>
      </c>
      <c r="D10089" s="2889" t="s">
        <v>1619</v>
      </c>
      <c r="E10089" s="2889" t="s">
        <v>1420</v>
      </c>
      <c r="F10089" s="3039">
        <v>4.2912131950305875E-3</v>
      </c>
      <c r="G10089" s="2890">
        <v>7.1692385698538557</v>
      </c>
    </row>
    <row r="10090" spans="2:7" ht="15" hidden="1" outlineLevel="2">
      <c r="B10090" s="2889" t="s">
        <v>1633</v>
      </c>
      <c r="C10090" s="2889" t="s">
        <v>1627</v>
      </c>
      <c r="D10090" s="2889" t="s">
        <v>1619</v>
      </c>
      <c r="E10090" s="2889" t="s">
        <v>1420</v>
      </c>
      <c r="F10090" s="3039">
        <v>1.9010908880696712E-35</v>
      </c>
      <c r="G10090" s="2890">
        <v>3.1761120668295189E-32</v>
      </c>
    </row>
    <row r="10091" spans="2:7" ht="15" hidden="1" outlineLevel="2">
      <c r="B10091" s="2889" t="s">
        <v>1634</v>
      </c>
      <c r="C10091" s="2889" t="s">
        <v>1627</v>
      </c>
      <c r="D10091" s="2889" t="s">
        <v>1619</v>
      </c>
      <c r="E10091" s="2889" t="s">
        <v>1420</v>
      </c>
      <c r="F10091" s="3039">
        <v>4.2912131950305875E-3</v>
      </c>
      <c r="G10091" s="2890">
        <v>7.1692385698538557</v>
      </c>
    </row>
    <row r="10092" spans="2:7" ht="15" hidden="1" outlineLevel="2">
      <c r="B10092" s="2889" t="s">
        <v>1635</v>
      </c>
      <c r="C10092" s="2889" t="s">
        <v>1627</v>
      </c>
      <c r="D10092" s="2889" t="s">
        <v>1619</v>
      </c>
      <c r="E10092" s="2889" t="s">
        <v>1420</v>
      </c>
      <c r="F10092" s="3039">
        <v>4.2912131950305875E-3</v>
      </c>
      <c r="G10092" s="2890">
        <v>7.1692385698538557</v>
      </c>
    </row>
    <row r="10093" spans="2:7" ht="15" hidden="1" outlineLevel="2">
      <c r="B10093" s="2889" t="s">
        <v>1636</v>
      </c>
      <c r="C10093" s="2889" t="s">
        <v>1627</v>
      </c>
      <c r="D10093" s="2889" t="s">
        <v>1619</v>
      </c>
      <c r="E10093" s="2889" t="s">
        <v>1420</v>
      </c>
      <c r="F10093" s="3039">
        <v>1.1443235182431401E-2</v>
      </c>
      <c r="G10093" s="2890">
        <v>19.117966778259756</v>
      </c>
    </row>
    <row r="10094" spans="2:7" ht="15" hidden="1" outlineLevel="2">
      <c r="B10094" s="2889" t="s">
        <v>1637</v>
      </c>
      <c r="C10094" s="2889" t="s">
        <v>1627</v>
      </c>
      <c r="D10094" s="2889" t="s">
        <v>1619</v>
      </c>
      <c r="E10094" s="2889" t="s">
        <v>1420</v>
      </c>
      <c r="F10094" s="3039">
        <v>4.2912131950305875E-3</v>
      </c>
      <c r="G10094" s="2890">
        <v>7.1692385698538557</v>
      </c>
    </row>
    <row r="10095" spans="2:7" ht="15" hidden="1" outlineLevel="2">
      <c r="B10095" s="2889" t="s">
        <v>1638</v>
      </c>
      <c r="C10095" s="2889" t="s">
        <v>1627</v>
      </c>
      <c r="D10095" s="2889" t="s">
        <v>1619</v>
      </c>
      <c r="E10095" s="2889" t="s">
        <v>1420</v>
      </c>
      <c r="F10095" s="2890">
        <v>1.4304042678230688E-3</v>
      </c>
      <c r="G10095" s="2890">
        <v>2.389745619463544</v>
      </c>
    </row>
    <row r="10096" spans="2:7" ht="15" hidden="1" outlineLevel="2">
      <c r="B10096" s="2889" t="s">
        <v>1639</v>
      </c>
      <c r="C10096" s="2889" t="s">
        <v>1627</v>
      </c>
      <c r="D10096" s="2889" t="s">
        <v>1619</v>
      </c>
      <c r="E10096" s="2889" t="s">
        <v>1420</v>
      </c>
      <c r="F10096" s="2890">
        <v>4.2912131950305875E-3</v>
      </c>
      <c r="G10096" s="2890">
        <v>7.1692385698538557</v>
      </c>
    </row>
    <row r="10097" spans="2:7" ht="15" hidden="1" outlineLevel="2">
      <c r="B10097" s="2889" t="s">
        <v>1640</v>
      </c>
      <c r="C10097" s="2889" t="s">
        <v>1627</v>
      </c>
      <c r="D10097" s="2889" t="s">
        <v>1619</v>
      </c>
      <c r="E10097" s="2889" t="s">
        <v>1420</v>
      </c>
      <c r="F10097" s="2890">
        <v>4.2912131950305875E-3</v>
      </c>
      <c r="G10097" s="2890">
        <v>7.1692385698538557</v>
      </c>
    </row>
    <row r="10098" spans="2:7" ht="15" hidden="1" outlineLevel="2">
      <c r="B10098" s="2889" t="s">
        <v>1641</v>
      </c>
      <c r="C10098" s="2889" t="s">
        <v>1627</v>
      </c>
      <c r="D10098" s="2889" t="s">
        <v>1619</v>
      </c>
      <c r="E10098" s="2889" t="s">
        <v>1420</v>
      </c>
      <c r="F10098" s="2890">
        <v>7.1520215805905268E-3</v>
      </c>
      <c r="G10098" s="2890">
        <v>11.948725799974781</v>
      </c>
    </row>
    <row r="10099" spans="2:7" ht="15" hidden="1" outlineLevel="2">
      <c r="B10099" s="2889" t="s">
        <v>1642</v>
      </c>
      <c r="C10099" s="2889" t="s">
        <v>1627</v>
      </c>
      <c r="D10099" s="2889" t="s">
        <v>1619</v>
      </c>
      <c r="E10099" s="2889" t="s">
        <v>1420</v>
      </c>
      <c r="F10099" s="2890">
        <v>1.5221035770581089E-3</v>
      </c>
      <c r="G10099" s="2890">
        <v>2.542945650020723</v>
      </c>
    </row>
    <row r="10100" spans="2:7" ht="15" hidden="1" outlineLevel="2">
      <c r="B10100" s="2889" t="s">
        <v>1643</v>
      </c>
      <c r="C10100" s="2889" t="s">
        <v>1627</v>
      </c>
      <c r="D10100" s="2889" t="s">
        <v>1619</v>
      </c>
      <c r="E10100" s="2889" t="s">
        <v>1420</v>
      </c>
      <c r="F10100" s="2890">
        <v>6.5857109872361061E-3</v>
      </c>
      <c r="G10100" s="2890">
        <v>11.002608735574404</v>
      </c>
    </row>
    <row r="10101" spans="2:7" ht="15" hidden="1" outlineLevel="2">
      <c r="B10101" s="2889" t="s">
        <v>1644</v>
      </c>
      <c r="C10101" s="2889" t="s">
        <v>1627</v>
      </c>
      <c r="D10101" s="2889" t="s">
        <v>1619</v>
      </c>
      <c r="E10101" s="2889" t="s">
        <v>1420</v>
      </c>
      <c r="F10101" s="2890">
        <v>8.5824269271227577E-3</v>
      </c>
      <c r="G10101" s="2890">
        <v>14.338478267024716</v>
      </c>
    </row>
    <row r="10102" spans="2:7" ht="15" hidden="1" outlineLevel="2">
      <c r="B10102" s="2889" t="s">
        <v>1645</v>
      </c>
      <c r="C10102" s="2889" t="s">
        <v>1627</v>
      </c>
      <c r="D10102" s="2889" t="s">
        <v>1619</v>
      </c>
      <c r="E10102" s="2889" t="s">
        <v>1420</v>
      </c>
      <c r="F10102" s="2890">
        <v>4.2912131951980698E-3</v>
      </c>
      <c r="G10102" s="2890">
        <v>7.169238569826927</v>
      </c>
    </row>
    <row r="10103" spans="2:7" ht="15" hidden="1" outlineLevel="2">
      <c r="B10103" s="2889" t="s">
        <v>1646</v>
      </c>
      <c r="C10103" s="2889" t="s">
        <v>1627</v>
      </c>
      <c r="D10103" s="2889" t="s">
        <v>1619</v>
      </c>
      <c r="E10103" s="2889" t="s">
        <v>1420</v>
      </c>
      <c r="F10103" s="2890">
        <v>2.8608091219981288E-3</v>
      </c>
      <c r="G10103" s="2890">
        <v>4.7794929595290334</v>
      </c>
    </row>
    <row r="10104" spans="2:7" ht="15" hidden="1" outlineLevel="2">
      <c r="B10104" s="2889" t="s">
        <v>1647</v>
      </c>
      <c r="C10104" s="2889" t="s">
        <v>1627</v>
      </c>
      <c r="D10104" s="2889" t="s">
        <v>1619</v>
      </c>
      <c r="E10104" s="2889" t="s">
        <v>1420</v>
      </c>
      <c r="F10104" s="2890">
        <v>2.8608091219981336E-3</v>
      </c>
      <c r="G10104" s="2890">
        <v>4.7794929595290441</v>
      </c>
    </row>
    <row r="10105" spans="2:7" ht="15" hidden="1" outlineLevel="2">
      <c r="B10105" s="2889" t="s">
        <v>1648</v>
      </c>
      <c r="C10105" s="2889" t="s">
        <v>1627</v>
      </c>
      <c r="D10105" s="2889" t="s">
        <v>1619</v>
      </c>
      <c r="E10105" s="2889" t="s">
        <v>1420</v>
      </c>
      <c r="F10105" s="2890">
        <v>1.9010908880696712E-35</v>
      </c>
      <c r="G10105" s="2890">
        <v>3.1761120668295189E-32</v>
      </c>
    </row>
    <row r="10106" spans="2:7" ht="15" hidden="1" outlineLevel="2">
      <c r="B10106" s="2889" t="s">
        <v>1649</v>
      </c>
      <c r="C10106" s="2889" t="s">
        <v>1627</v>
      </c>
      <c r="D10106" s="2889" t="s">
        <v>1619</v>
      </c>
      <c r="E10106" s="2889" t="s">
        <v>1420</v>
      </c>
      <c r="F10106" s="2890">
        <v>1.9010908880696712E-35</v>
      </c>
      <c r="G10106" s="2890">
        <v>3.1761120668295189E-32</v>
      </c>
    </row>
    <row r="10107" spans="2:7" ht="15" hidden="1" outlineLevel="2">
      <c r="B10107" s="2889" t="s">
        <v>1650</v>
      </c>
      <c r="C10107" s="2889" t="s">
        <v>1627</v>
      </c>
      <c r="D10107" s="2889" t="s">
        <v>1619</v>
      </c>
      <c r="E10107" s="2889" t="s">
        <v>1420</v>
      </c>
      <c r="F10107" s="2890">
        <v>4.2912131950305875E-3</v>
      </c>
      <c r="G10107" s="2890">
        <v>7.1692385698538557</v>
      </c>
    </row>
    <row r="10108" spans="2:7" ht="15" hidden="1" outlineLevel="2">
      <c r="B10108" s="2889" t="s">
        <v>1651</v>
      </c>
      <c r="C10108" s="2889" t="s">
        <v>1627</v>
      </c>
      <c r="D10108" s="2889" t="s">
        <v>1619</v>
      </c>
      <c r="E10108" s="2889" t="s">
        <v>1420</v>
      </c>
      <c r="F10108" s="2890">
        <v>4.2912131951980698E-3</v>
      </c>
      <c r="G10108" s="2890">
        <v>7.169238569826927</v>
      </c>
    </row>
    <row r="10109" spans="2:7" ht="15" hidden="1" outlineLevel="2">
      <c r="B10109" s="2889" t="s">
        <v>1652</v>
      </c>
      <c r="C10109" s="2889" t="s">
        <v>1627</v>
      </c>
      <c r="D10109" s="2889" t="s">
        <v>1619</v>
      </c>
      <c r="E10109" s="2889" t="s">
        <v>1420</v>
      </c>
      <c r="F10109" s="2890">
        <v>5.7216187382967583E-3</v>
      </c>
      <c r="G10109" s="2890">
        <v>9.5589829727909787</v>
      </c>
    </row>
    <row r="10110" spans="2:7" ht="15" hidden="1" outlineLevel="2">
      <c r="B10110" s="2889" t="s">
        <v>1653</v>
      </c>
      <c r="C10110" s="2889" t="s">
        <v>1627</v>
      </c>
      <c r="D10110" s="2889" t="s">
        <v>1619</v>
      </c>
      <c r="E10110" s="2889" t="s">
        <v>1420</v>
      </c>
      <c r="F10110" s="2890">
        <v>1.9010908880696712E-35</v>
      </c>
      <c r="G10110" s="2890">
        <v>3.1761120668295189E-32</v>
      </c>
    </row>
    <row r="10111" spans="2:7" ht="15" hidden="1" outlineLevel="2">
      <c r="B10111" s="2889" t="s">
        <v>1407</v>
      </c>
      <c r="C10111" s="2889" t="s">
        <v>1628</v>
      </c>
      <c r="D10111" s="2889" t="s">
        <v>1619</v>
      </c>
      <c r="E10111" s="2889" t="s">
        <v>1426</v>
      </c>
      <c r="F10111" s="3040"/>
      <c r="G10111" s="2890">
        <v>142.09373670000505</v>
      </c>
    </row>
    <row r="10112" spans="2:7" ht="15" hidden="1" outlineLevel="2">
      <c r="B10112" s="2889" t="s">
        <v>1631</v>
      </c>
      <c r="C10112" s="2889" t="s">
        <v>1628</v>
      </c>
      <c r="D10112" s="2889" t="s">
        <v>1619</v>
      </c>
      <c r="E10112" s="2889" t="s">
        <v>1426</v>
      </c>
      <c r="F10112" s="2890">
        <v>1.2237064805864962E-2</v>
      </c>
      <c r="G10112" s="2890">
        <v>284.18749510955115</v>
      </c>
    </row>
    <row r="10113" spans="2:7" ht="15" hidden="1" outlineLevel="2">
      <c r="B10113" s="2889" t="s">
        <v>1632</v>
      </c>
      <c r="C10113" s="2889" t="s">
        <v>1628</v>
      </c>
      <c r="D10113" s="2889" t="s">
        <v>1619</v>
      </c>
      <c r="E10113" s="2889" t="s">
        <v>1426</v>
      </c>
      <c r="F10113" s="3040"/>
      <c r="G10113" s="2890">
        <v>142.09373670000505</v>
      </c>
    </row>
    <row r="10114" spans="2:7" ht="15" hidden="1" outlineLevel="2">
      <c r="B10114" s="2889" t="s">
        <v>1633</v>
      </c>
      <c r="C10114" s="2889" t="s">
        <v>1628</v>
      </c>
      <c r="D10114" s="2889" t="s">
        <v>1619</v>
      </c>
      <c r="E10114" s="2889" t="s">
        <v>1426</v>
      </c>
      <c r="F10114" s="3040"/>
      <c r="G10114" s="2890">
        <v>3.9412429149442822E-29</v>
      </c>
    </row>
    <row r="10115" spans="2:7" ht="15" hidden="1" outlineLevel="2">
      <c r="B10115" s="2889" t="s">
        <v>1634</v>
      </c>
      <c r="C10115" s="2889" t="s">
        <v>1628</v>
      </c>
      <c r="D10115" s="2889" t="s">
        <v>1619</v>
      </c>
      <c r="E10115" s="2889" t="s">
        <v>1426</v>
      </c>
      <c r="F10115" s="3040"/>
      <c r="G10115" s="2890">
        <v>142.09373670000505</v>
      </c>
    </row>
    <row r="10116" spans="2:7" ht="15" hidden="1" outlineLevel="2">
      <c r="B10116" s="2889" t="s">
        <v>1635</v>
      </c>
      <c r="C10116" s="2889" t="s">
        <v>1628</v>
      </c>
      <c r="D10116" s="2889" t="s">
        <v>1619</v>
      </c>
      <c r="E10116" s="2889" t="s">
        <v>1426</v>
      </c>
      <c r="F10116" s="3040"/>
      <c r="G10116" s="2890">
        <v>142.09373670000505</v>
      </c>
    </row>
    <row r="10117" spans="2:7" ht="15" hidden="1" outlineLevel="2">
      <c r="B10117" s="2889" t="s">
        <v>1636</v>
      </c>
      <c r="C10117" s="2889" t="s">
        <v>1628</v>
      </c>
      <c r="D10117" s="2889" t="s">
        <v>1619</v>
      </c>
      <c r="E10117" s="2889" t="s">
        <v>1426</v>
      </c>
      <c r="F10117" s="3040"/>
      <c r="G10117" s="2890">
        <v>378.91666585936753</v>
      </c>
    </row>
    <row r="10118" spans="2:7" ht="15" hidden="1" outlineLevel="2">
      <c r="B10118" s="2889" t="s">
        <v>1637</v>
      </c>
      <c r="C10118" s="2889" t="s">
        <v>1628</v>
      </c>
      <c r="D10118" s="2889" t="s">
        <v>1619</v>
      </c>
      <c r="E10118" s="2889" t="s">
        <v>1426</v>
      </c>
      <c r="F10118" s="3040"/>
      <c r="G10118" s="2890">
        <v>142.09373670000505</v>
      </c>
    </row>
    <row r="10119" spans="2:7" ht="15" hidden="1" outlineLevel="2">
      <c r="B10119" s="2889" t="s">
        <v>1638</v>
      </c>
      <c r="C10119" s="2889" t="s">
        <v>1628</v>
      </c>
      <c r="D10119" s="2889" t="s">
        <v>1619</v>
      </c>
      <c r="E10119" s="2889" t="s">
        <v>1426</v>
      </c>
      <c r="F10119" s="3040"/>
      <c r="G10119" s="2890">
        <v>47.364569184419921</v>
      </c>
    </row>
    <row r="10120" spans="2:7" ht="15" hidden="1" outlineLevel="2">
      <c r="B10120" s="2889" t="s">
        <v>1639</v>
      </c>
      <c r="C10120" s="2889" t="s">
        <v>1628</v>
      </c>
      <c r="D10120" s="2889" t="s">
        <v>1619</v>
      </c>
      <c r="E10120" s="2889" t="s">
        <v>1426</v>
      </c>
      <c r="F10120" s="3040"/>
      <c r="G10120" s="2890">
        <v>142.09373670000505</v>
      </c>
    </row>
    <row r="10121" spans="2:7" ht="15" hidden="1" outlineLevel="2">
      <c r="B10121" s="2889" t="s">
        <v>1640</v>
      </c>
      <c r="C10121" s="2889" t="s">
        <v>1628</v>
      </c>
      <c r="D10121" s="2889" t="s">
        <v>1619</v>
      </c>
      <c r="E10121" s="2889" t="s">
        <v>1426</v>
      </c>
      <c r="F10121" s="3040"/>
      <c r="G10121" s="2890">
        <v>142.09373670000505</v>
      </c>
    </row>
    <row r="10122" spans="2:7" ht="15" hidden="1" outlineLevel="2">
      <c r="B10122" s="2889" t="s">
        <v>1641</v>
      </c>
      <c r="C10122" s="2889" t="s">
        <v>1628</v>
      </c>
      <c r="D10122" s="2889" t="s">
        <v>1619</v>
      </c>
      <c r="E10122" s="2889" t="s">
        <v>1426</v>
      </c>
      <c r="F10122" s="3040"/>
      <c r="G10122" s="2890">
        <v>236.8229042114578</v>
      </c>
    </row>
    <row r="10123" spans="2:7" ht="15" hidden="1" outlineLevel="2">
      <c r="B10123" s="2889" t="s">
        <v>1642</v>
      </c>
      <c r="C10123" s="2889" t="s">
        <v>1628</v>
      </c>
      <c r="D10123" s="2889" t="s">
        <v>1619</v>
      </c>
      <c r="E10123" s="2889" t="s">
        <v>1426</v>
      </c>
      <c r="F10123" s="3040"/>
      <c r="G10123" s="2890">
        <v>50.400983409862945</v>
      </c>
    </row>
    <row r="10124" spans="2:7" ht="15" hidden="1" outlineLevel="2">
      <c r="B10124" s="2889" t="s">
        <v>1643</v>
      </c>
      <c r="C10124" s="2889" t="s">
        <v>1628</v>
      </c>
      <c r="D10124" s="2889" t="s">
        <v>1619</v>
      </c>
      <c r="E10124" s="2889" t="s">
        <v>1426</v>
      </c>
      <c r="F10124" s="3040"/>
      <c r="G10124" s="2890">
        <v>218.07082168546077</v>
      </c>
    </row>
    <row r="10125" spans="2:7" ht="15" hidden="1" outlineLevel="2">
      <c r="B10125" s="2889" t="s">
        <v>1644</v>
      </c>
      <c r="C10125" s="2889" t="s">
        <v>1628</v>
      </c>
      <c r="D10125" s="2889" t="s">
        <v>1619</v>
      </c>
      <c r="E10125" s="2889" t="s">
        <v>1426</v>
      </c>
      <c r="F10125" s="3040"/>
      <c r="G10125" s="2890">
        <v>284.18749510955115</v>
      </c>
    </row>
    <row r="10126" spans="2:7" ht="15" hidden="1" outlineLevel="2">
      <c r="B10126" s="2889" t="s">
        <v>1645</v>
      </c>
      <c r="C10126" s="2889" t="s">
        <v>1628</v>
      </c>
      <c r="D10126" s="2889" t="s">
        <v>1619</v>
      </c>
      <c r="E10126" s="2889" t="s">
        <v>1426</v>
      </c>
      <c r="F10126" s="3040"/>
      <c r="G10126" s="2890">
        <v>142.09373670146664</v>
      </c>
    </row>
    <row r="10127" spans="2:7" ht="15" hidden="1" outlineLevel="2">
      <c r="B10127" s="2889" t="s">
        <v>1646</v>
      </c>
      <c r="C10127" s="2889" t="s">
        <v>1628</v>
      </c>
      <c r="D10127" s="2889" t="s">
        <v>1619</v>
      </c>
      <c r="E10127" s="2889" t="s">
        <v>1426</v>
      </c>
      <c r="F10127" s="2891"/>
      <c r="G10127" s="2890">
        <v>94.729131698517364</v>
      </c>
    </row>
    <row r="10128" spans="2:7" ht="15" hidden="1" outlineLevel="2">
      <c r="B10128" s="2889" t="s">
        <v>1647</v>
      </c>
      <c r="C10128" s="2889" t="s">
        <v>1628</v>
      </c>
      <c r="D10128" s="2889" t="s">
        <v>1619</v>
      </c>
      <c r="E10128" s="2889" t="s">
        <v>1426</v>
      </c>
      <c r="F10128" s="2891"/>
      <c r="G10128" s="2890">
        <v>94.729131698517477</v>
      </c>
    </row>
    <row r="10129" spans="2:7" ht="15" hidden="1" outlineLevel="2">
      <c r="B10129" s="2889" t="s">
        <v>1648</v>
      </c>
      <c r="C10129" s="2889" t="s">
        <v>1628</v>
      </c>
      <c r="D10129" s="2889" t="s">
        <v>1619</v>
      </c>
      <c r="E10129" s="2889" t="s">
        <v>1426</v>
      </c>
      <c r="F10129" s="2891"/>
      <c r="G10129" s="2890">
        <v>3.9412429149442822E-29</v>
      </c>
    </row>
    <row r="10130" spans="2:7" ht="15" hidden="1" outlineLevel="2">
      <c r="B10130" s="2889" t="s">
        <v>1649</v>
      </c>
      <c r="C10130" s="2889" t="s">
        <v>1628</v>
      </c>
      <c r="D10130" s="2889" t="s">
        <v>1619</v>
      </c>
      <c r="E10130" s="2889" t="s">
        <v>1426</v>
      </c>
      <c r="F10130" s="2891"/>
      <c r="G10130" s="2890">
        <v>3.9412429149442822E-29</v>
      </c>
    </row>
    <row r="10131" spans="2:7" ht="15" hidden="1" outlineLevel="2">
      <c r="B10131" s="2889" t="s">
        <v>1650</v>
      </c>
      <c r="C10131" s="2889" t="s">
        <v>1628</v>
      </c>
      <c r="D10131" s="2889" t="s">
        <v>1619</v>
      </c>
      <c r="E10131" s="2889" t="s">
        <v>1426</v>
      </c>
      <c r="F10131" s="2891"/>
      <c r="G10131" s="2890">
        <v>142.09373670000505</v>
      </c>
    </row>
    <row r="10132" spans="2:7" ht="15" hidden="1" outlineLevel="2">
      <c r="B10132" s="2889" t="s">
        <v>1651</v>
      </c>
      <c r="C10132" s="2889" t="s">
        <v>1628</v>
      </c>
      <c r="D10132" s="2889" t="s">
        <v>1619</v>
      </c>
      <c r="E10132" s="2889" t="s">
        <v>1426</v>
      </c>
      <c r="F10132" s="2891"/>
      <c r="G10132" s="2890">
        <v>142.09373670146664</v>
      </c>
    </row>
    <row r="10133" spans="2:7" ht="15" hidden="1" outlineLevel="2">
      <c r="B10133" s="2889" t="s">
        <v>1652</v>
      </c>
      <c r="C10133" s="2889" t="s">
        <v>1628</v>
      </c>
      <c r="D10133" s="2889" t="s">
        <v>1619</v>
      </c>
      <c r="E10133" s="2889" t="s">
        <v>1426</v>
      </c>
      <c r="F10133" s="2891"/>
      <c r="G10133" s="2890">
        <v>189.45830064831205</v>
      </c>
    </row>
    <row r="10134" spans="2:7" ht="15" hidden="1" outlineLevel="2">
      <c r="B10134" s="2889" t="s">
        <v>1653</v>
      </c>
      <c r="C10134" s="2889" t="s">
        <v>1628</v>
      </c>
      <c r="D10134" s="2889" t="s">
        <v>1619</v>
      </c>
      <c r="E10134" s="2889" t="s">
        <v>1426</v>
      </c>
      <c r="F10134" s="3040"/>
      <c r="G10134" s="2890">
        <v>3.9412429149442822E-29</v>
      </c>
    </row>
    <row r="10135" spans="2:7" ht="15" outlineLevel="1" collapsed="1">
      <c r="B10135" s="2889"/>
      <c r="C10135" s="2889"/>
      <c r="D10135" s="3042" t="s">
        <v>1697</v>
      </c>
      <c r="E10135" s="2889"/>
      <c r="F10135" s="3040">
        <f>SUBTOTAL(9,F9899:F10134)</f>
        <v>139.33712321248819</v>
      </c>
      <c r="G10135" s="2890">
        <f>SUBTOTAL(9,G9899:G10134)</f>
        <v>86243.509869231464</v>
      </c>
    </row>
    <row r="10136" spans="2:7" ht="15" hidden="1" outlineLevel="2">
      <c r="B10136" s="2889" t="s">
        <v>1407</v>
      </c>
      <c r="C10136" s="2889" t="s">
        <v>1629</v>
      </c>
      <c r="D10136" s="2889" t="s">
        <v>1630</v>
      </c>
      <c r="E10136" s="2889" t="s">
        <v>1426</v>
      </c>
      <c r="F10136" s="3040"/>
      <c r="G10136" s="2890">
        <v>6.5972143187212042</v>
      </c>
    </row>
    <row r="10137" spans="2:7" ht="15" hidden="1" outlineLevel="2">
      <c r="B10137" s="2889" t="s">
        <v>1631</v>
      </c>
      <c r="C10137" s="2889" t="s">
        <v>1629</v>
      </c>
      <c r="D10137" s="2889" t="s">
        <v>1630</v>
      </c>
      <c r="E10137" s="2889" t="s">
        <v>1426</v>
      </c>
      <c r="F10137" s="2890">
        <v>1.5052875154613956E-33</v>
      </c>
      <c r="G10137" s="2890">
        <v>1.6409897687458338E-29</v>
      </c>
    </row>
    <row r="10138" spans="2:7" ht="15" hidden="1" outlineLevel="2">
      <c r="B10138" s="2889" t="s">
        <v>1632</v>
      </c>
      <c r="C10138" s="2889" t="s">
        <v>1629</v>
      </c>
      <c r="D10138" s="2889" t="s">
        <v>1630</v>
      </c>
      <c r="E10138" s="2889" t="s">
        <v>1426</v>
      </c>
      <c r="F10138" s="2891"/>
      <c r="G10138" s="2890">
        <v>1.1859124293233922E-30</v>
      </c>
    </row>
    <row r="10139" spans="2:7" ht="15" hidden="1" outlineLevel="2">
      <c r="B10139" s="2889" t="s">
        <v>1633</v>
      </c>
      <c r="C10139" s="2889" t="s">
        <v>1629</v>
      </c>
      <c r="D10139" s="2889" t="s">
        <v>1630</v>
      </c>
      <c r="E10139" s="2889" t="s">
        <v>1426</v>
      </c>
      <c r="F10139" s="3040"/>
      <c r="G10139" s="2890">
        <v>2.0277223627944984E-29</v>
      </c>
    </row>
    <row r="10140" spans="2:7" ht="15" hidden="1" outlineLevel="2">
      <c r="B10140" s="2889" t="s">
        <v>1634</v>
      </c>
      <c r="C10140" s="2889" t="s">
        <v>1629</v>
      </c>
      <c r="D10140" s="2889" t="s">
        <v>1630</v>
      </c>
      <c r="E10140" s="2889" t="s">
        <v>1426</v>
      </c>
      <c r="F10140" s="3040"/>
      <c r="G10140" s="2890">
        <v>8.295574892227551E-30</v>
      </c>
    </row>
    <row r="10141" spans="2:7" ht="15" hidden="1" outlineLevel="2">
      <c r="B10141" s="2889" t="s">
        <v>1635</v>
      </c>
      <c r="C10141" s="2889" t="s">
        <v>1629</v>
      </c>
      <c r="D10141" s="2889" t="s">
        <v>1630</v>
      </c>
      <c r="E10141" s="2889" t="s">
        <v>1426</v>
      </c>
      <c r="F10141" s="2891"/>
      <c r="G10141" s="2890">
        <v>1.3456627778411454E-31</v>
      </c>
    </row>
    <row r="10142" spans="2:7" ht="15" hidden="1" outlineLevel="2">
      <c r="B10142" s="2889" t="s">
        <v>1636</v>
      </c>
      <c r="C10142" s="2889" t="s">
        <v>1629</v>
      </c>
      <c r="D10142" s="2889" t="s">
        <v>1630</v>
      </c>
      <c r="E10142" s="2889" t="s">
        <v>1426</v>
      </c>
      <c r="F10142" s="3040"/>
      <c r="G10142" s="2890">
        <v>3.0023057417662033E-30</v>
      </c>
    </row>
    <row r="10143" spans="2:7" ht="15" hidden="1" outlineLevel="2">
      <c r="B10143" s="2889" t="s">
        <v>1637</v>
      </c>
      <c r="C10143" s="2889" t="s">
        <v>1629</v>
      </c>
      <c r="D10143" s="2889" t="s">
        <v>1630</v>
      </c>
      <c r="E10143" s="2889" t="s">
        <v>1426</v>
      </c>
      <c r="F10143" s="3040"/>
      <c r="G10143" s="2890">
        <v>2.6063399786129779E-29</v>
      </c>
    </row>
    <row r="10144" spans="2:7" ht="15" hidden="1" outlineLevel="2">
      <c r="B10144" s="2889" t="s">
        <v>1638</v>
      </c>
      <c r="C10144" s="2889" t="s">
        <v>1629</v>
      </c>
      <c r="D10144" s="2889" t="s">
        <v>1630</v>
      </c>
      <c r="E10144" s="2889" t="s">
        <v>1426</v>
      </c>
      <c r="F10144" s="3040"/>
      <c r="G10144" s="2890">
        <v>3.0680674812669762E-29</v>
      </c>
    </row>
    <row r="10145" spans="2:7" ht="15" hidden="1" outlineLevel="2">
      <c r="B10145" s="2889" t="s">
        <v>1639</v>
      </c>
      <c r="C10145" s="2889" t="s">
        <v>1629</v>
      </c>
      <c r="D10145" s="2889" t="s">
        <v>1630</v>
      </c>
      <c r="E10145" s="2889" t="s">
        <v>1426</v>
      </c>
      <c r="F10145" s="2891"/>
      <c r="G10145" s="2890">
        <v>1.3149400217429464E-31</v>
      </c>
    </row>
    <row r="10146" spans="2:7" ht="15" hidden="1" outlineLevel="2">
      <c r="B10146" s="2889" t="s">
        <v>1640</v>
      </c>
      <c r="C10146" s="2889" t="s">
        <v>1629</v>
      </c>
      <c r="D10146" s="2889" t="s">
        <v>1630</v>
      </c>
      <c r="E10146" s="2889" t="s">
        <v>1426</v>
      </c>
      <c r="F10146" s="2891"/>
      <c r="G10146" s="2890">
        <v>3129.9053258562585</v>
      </c>
    </row>
    <row r="10147" spans="2:7" ht="15" hidden="1" outlineLevel="2">
      <c r="B10147" s="2889" t="s">
        <v>1641</v>
      </c>
      <c r="C10147" s="2889" t="s">
        <v>1629</v>
      </c>
      <c r="D10147" s="2889" t="s">
        <v>1630</v>
      </c>
      <c r="E10147" s="2889" t="s">
        <v>1426</v>
      </c>
      <c r="F10147" s="2891"/>
      <c r="G10147" s="2890">
        <v>3.0023057417662033E-30</v>
      </c>
    </row>
    <row r="10148" spans="2:7" ht="15" hidden="1" outlineLevel="2">
      <c r="B10148" s="2889" t="s">
        <v>1642</v>
      </c>
      <c r="C10148" s="2889" t="s">
        <v>1629</v>
      </c>
      <c r="D10148" s="2889" t="s">
        <v>1630</v>
      </c>
      <c r="E10148" s="2889" t="s">
        <v>1426</v>
      </c>
      <c r="F10148" s="3040"/>
      <c r="G10148" s="2890">
        <v>1.8151226406706658E-29</v>
      </c>
    </row>
    <row r="10149" spans="2:7" ht="15" hidden="1" outlineLevel="2">
      <c r="B10149" s="2889" t="s">
        <v>1643</v>
      </c>
      <c r="C10149" s="2889" t="s">
        <v>1629</v>
      </c>
      <c r="D10149" s="2889" t="s">
        <v>1630</v>
      </c>
      <c r="E10149" s="2889" t="s">
        <v>1426</v>
      </c>
      <c r="F10149" s="3040"/>
      <c r="G10149" s="2890">
        <v>3.5411677514379905E-30</v>
      </c>
    </row>
    <row r="10150" spans="2:7" ht="15" hidden="1" outlineLevel="2">
      <c r="B10150" s="2889" t="s">
        <v>1644</v>
      </c>
      <c r="C10150" s="2889" t="s">
        <v>1629</v>
      </c>
      <c r="D10150" s="2889" t="s">
        <v>1630</v>
      </c>
      <c r="E10150" s="2889" t="s">
        <v>1426</v>
      </c>
      <c r="F10150" s="3040"/>
      <c r="G10150" s="2890">
        <v>1.6409817621205942E-29</v>
      </c>
    </row>
    <row r="10151" spans="2:7" ht="15" hidden="1" outlineLevel="2">
      <c r="B10151" s="2889" t="s">
        <v>1645</v>
      </c>
      <c r="C10151" s="2889" t="s">
        <v>1629</v>
      </c>
      <c r="D10151" s="2889" t="s">
        <v>1630</v>
      </c>
      <c r="E10151" s="2889" t="s">
        <v>1426</v>
      </c>
      <c r="F10151" s="3040"/>
      <c r="G10151" s="2890">
        <v>1.6411632203999995E-29</v>
      </c>
    </row>
    <row r="10152" spans="2:7" ht="15" hidden="1" outlineLevel="2">
      <c r="B10152" s="2889" t="s">
        <v>1646</v>
      </c>
      <c r="C10152" s="2889" t="s">
        <v>1629</v>
      </c>
      <c r="D10152" s="2889" t="s">
        <v>1630</v>
      </c>
      <c r="E10152" s="2889" t="s">
        <v>1426</v>
      </c>
      <c r="F10152" s="3040"/>
      <c r="G10152" s="2890">
        <v>1.0497217153884028E-29</v>
      </c>
    </row>
    <row r="10153" spans="2:7" ht="15" hidden="1" outlineLevel="2">
      <c r="B10153" s="2889" t="s">
        <v>1647</v>
      </c>
      <c r="C10153" s="2889" t="s">
        <v>1629</v>
      </c>
      <c r="D10153" s="2889" t="s">
        <v>1630</v>
      </c>
      <c r="E10153" s="2889" t="s">
        <v>1426</v>
      </c>
      <c r="F10153" s="3040"/>
      <c r="G10153" s="2890">
        <v>1.2556964165000301E-30</v>
      </c>
    </row>
    <row r="10154" spans="2:7" ht="15" hidden="1" outlineLevel="2">
      <c r="B10154" s="2889" t="s">
        <v>1648</v>
      </c>
      <c r="C10154" s="2889" t="s">
        <v>1629</v>
      </c>
      <c r="D10154" s="2889" t="s">
        <v>1630</v>
      </c>
      <c r="E10154" s="2889" t="s">
        <v>1426</v>
      </c>
      <c r="F10154" s="3040"/>
      <c r="G10154" s="2890">
        <v>2.0277223627944984E-29</v>
      </c>
    </row>
    <row r="10155" spans="2:7" ht="15" hidden="1" outlineLevel="2">
      <c r="B10155" s="2889" t="s">
        <v>1649</v>
      </c>
      <c r="C10155" s="2889" t="s">
        <v>1629</v>
      </c>
      <c r="D10155" s="2889" t="s">
        <v>1630</v>
      </c>
      <c r="E10155" s="2889" t="s">
        <v>1426</v>
      </c>
      <c r="F10155" s="3040"/>
      <c r="G10155" s="2890">
        <v>7.3562761348962141E-30</v>
      </c>
    </row>
    <row r="10156" spans="2:7" ht="15" hidden="1" outlineLevel="2">
      <c r="B10156" s="2889" t="s">
        <v>1650</v>
      </c>
      <c r="C10156" s="2889" t="s">
        <v>1629</v>
      </c>
      <c r="D10156" s="2889" t="s">
        <v>1630</v>
      </c>
      <c r="E10156" s="2889" t="s">
        <v>1426</v>
      </c>
      <c r="F10156" s="3040"/>
      <c r="G10156" s="2890">
        <v>1.8944843593013732E-29</v>
      </c>
    </row>
    <row r="10157" spans="2:7" ht="15" hidden="1" outlineLevel="2">
      <c r="B10157" s="2889" t="s">
        <v>1651</v>
      </c>
      <c r="C10157" s="2889" t="s">
        <v>1629</v>
      </c>
      <c r="D10157" s="2889" t="s">
        <v>1630</v>
      </c>
      <c r="E10157" s="2889" t="s">
        <v>1426</v>
      </c>
      <c r="F10157" s="3040"/>
      <c r="G10157" s="2890">
        <v>3.0018436612999997E-30</v>
      </c>
    </row>
    <row r="10158" spans="2:7" ht="15" hidden="1" outlineLevel="2">
      <c r="B10158" s="2889" t="s">
        <v>1652</v>
      </c>
      <c r="C10158" s="2889" t="s">
        <v>1629</v>
      </c>
      <c r="D10158" s="2889" t="s">
        <v>1630</v>
      </c>
      <c r="E10158" s="2889" t="s">
        <v>1426</v>
      </c>
      <c r="F10158" s="2891"/>
      <c r="G10158" s="2890">
        <v>3.3823720964000013E-29</v>
      </c>
    </row>
    <row r="10159" spans="2:7" ht="15" hidden="1" outlineLevel="2">
      <c r="B10159" s="2889" t="s">
        <v>1653</v>
      </c>
      <c r="C10159" s="2889" t="s">
        <v>1629</v>
      </c>
      <c r="D10159" s="2889" t="s">
        <v>1630</v>
      </c>
      <c r="E10159" s="2889" t="s">
        <v>1426</v>
      </c>
      <c r="F10159" s="2891"/>
      <c r="G10159" s="2890">
        <v>3.0023057417662033E-30</v>
      </c>
    </row>
    <row r="10160" spans="2:7" ht="15" outlineLevel="1" collapsed="1">
      <c r="B10160" s="2892"/>
      <c r="C10160" s="2892"/>
      <c r="D10160" s="3044" t="s">
        <v>1698</v>
      </c>
      <c r="E10160" s="2892"/>
      <c r="F10160" s="2891">
        <f>SUBTOTAL(9,F10136:F10159)</f>
        <v>1.5052875154613956E-33</v>
      </c>
      <c r="G10160" s="3043">
        <f>SUBTOTAL(9,G10136:G10159)</f>
        <v>3136.5025401749799</v>
      </c>
    </row>
    <row r="10161" spans="2:7" ht="15">
      <c r="B10161" s="2892"/>
      <c r="C10161" s="2892"/>
      <c r="D10161" s="3044" t="s">
        <v>1382</v>
      </c>
      <c r="E10161" s="2892"/>
      <c r="F10161" s="2891">
        <f>SUBTOTAL(9,F5089:F10159)</f>
        <v>1466.2725802679993</v>
      </c>
      <c r="G10161" s="3043">
        <f>SUBTOTAL(9,G5089:G10159)</f>
        <v>3591419.5664793653</v>
      </c>
    </row>
    <row r="10164" spans="2:7" ht="15">
      <c r="B10164" s="3046" t="s">
        <v>1699</v>
      </c>
    </row>
    <row r="10165" spans="2:7" ht="18">
      <c r="B10165" s="2888" t="s">
        <v>1403</v>
      </c>
      <c r="C10165" s="2888" t="s">
        <v>1404</v>
      </c>
      <c r="D10165" s="2888" t="s">
        <v>1405</v>
      </c>
      <c r="E10165" s="2888" t="s">
        <v>1406</v>
      </c>
      <c r="F10165" s="2888" t="s">
        <v>1655</v>
      </c>
      <c r="G10165" s="2888" t="s">
        <v>1656</v>
      </c>
    </row>
    <row r="10166" spans="2:7" ht="15" hidden="1" outlineLevel="2">
      <c r="B10166" s="2889" t="s">
        <v>1407</v>
      </c>
      <c r="C10166" s="2889" t="s">
        <v>1408</v>
      </c>
      <c r="D10166" s="2889" t="s">
        <v>197</v>
      </c>
      <c r="E10166" s="2889" t="s">
        <v>217</v>
      </c>
      <c r="F10166" s="2890">
        <v>3.1361120053399928E-4</v>
      </c>
      <c r="G10166" s="2890">
        <v>0.19128313565227872</v>
      </c>
    </row>
    <row r="10167" spans="2:7" ht="15" hidden="1" outlineLevel="2">
      <c r="B10167" s="2889" t="s">
        <v>1407</v>
      </c>
      <c r="C10167" s="2889" t="s">
        <v>1409</v>
      </c>
      <c r="D10167" s="2889" t="s">
        <v>197</v>
      </c>
      <c r="E10167" s="2889" t="s">
        <v>217</v>
      </c>
      <c r="F10167" s="2890">
        <v>3.307231916091914E-4</v>
      </c>
      <c r="G10167" s="2890">
        <v>0.46402565820661557</v>
      </c>
    </row>
    <row r="10168" spans="2:7" ht="15" hidden="1" outlineLevel="2">
      <c r="B10168" s="2889" t="s">
        <v>1407</v>
      </c>
      <c r="C10168" s="2889" t="s">
        <v>1410</v>
      </c>
      <c r="D10168" s="2889" t="s">
        <v>197</v>
      </c>
      <c r="E10168" s="2889" t="s">
        <v>217</v>
      </c>
      <c r="F10168" s="2890">
        <v>5.2828861422462463E-4</v>
      </c>
      <c r="G10168" s="2890">
        <v>1.8054964728112008</v>
      </c>
    </row>
    <row r="10169" spans="2:7" ht="15" hidden="1" outlineLevel="2">
      <c r="B10169" s="2889" t="s">
        <v>1407</v>
      </c>
      <c r="C10169" s="2889" t="s">
        <v>1411</v>
      </c>
      <c r="D10169" s="2889" t="s">
        <v>197</v>
      </c>
      <c r="E10169" s="2889" t="s">
        <v>217</v>
      </c>
      <c r="F10169" s="2890">
        <v>8.6766147210659216E-6</v>
      </c>
      <c r="G10169" s="2890">
        <v>1.1372059441536986E-2</v>
      </c>
    </row>
    <row r="10170" spans="2:7" ht="15" hidden="1" outlineLevel="2">
      <c r="B10170" s="2889" t="s">
        <v>1407</v>
      </c>
      <c r="C10170" s="2889" t="s">
        <v>1412</v>
      </c>
      <c r="D10170" s="2889" t="s">
        <v>197</v>
      </c>
      <c r="E10170" s="2889" t="s">
        <v>217</v>
      </c>
      <c r="F10170" s="2890">
        <v>9.373399868776816E-4</v>
      </c>
      <c r="G10170" s="2890">
        <v>1.2275932206977453</v>
      </c>
    </row>
    <row r="10171" spans="2:7" ht="15" hidden="1" outlineLevel="2">
      <c r="B10171" s="2889" t="s">
        <v>1407</v>
      </c>
      <c r="C10171" s="2889" t="s">
        <v>1413</v>
      </c>
      <c r="D10171" s="2889" t="s">
        <v>197</v>
      </c>
      <c r="E10171" s="2889" t="s">
        <v>217</v>
      </c>
      <c r="F10171" s="2890">
        <v>3.0885749659337384E-4</v>
      </c>
      <c r="G10171" s="2890">
        <v>0.38453548307281227</v>
      </c>
    </row>
    <row r="10172" spans="2:7" ht="15" hidden="1" outlineLevel="2">
      <c r="B10172" s="2889" t="s">
        <v>1407</v>
      </c>
      <c r="C10172" s="2889" t="s">
        <v>1414</v>
      </c>
      <c r="D10172" s="2889" t="s">
        <v>197</v>
      </c>
      <c r="E10172" s="2889" t="s">
        <v>217</v>
      </c>
      <c r="F10172" s="2890">
        <v>4.0285334961292479E-3</v>
      </c>
      <c r="G10172" s="2890">
        <v>4.1772842770633227</v>
      </c>
    </row>
    <row r="10173" spans="2:7" ht="15" hidden="1" outlineLevel="2">
      <c r="B10173" s="2889" t="s">
        <v>1407</v>
      </c>
      <c r="C10173" s="2889" t="s">
        <v>1415</v>
      </c>
      <c r="D10173" s="2889" t="s">
        <v>197</v>
      </c>
      <c r="E10173" s="2889" t="s">
        <v>217</v>
      </c>
      <c r="F10173" s="2890">
        <v>1.3241117115386706E-2</v>
      </c>
      <c r="G10173" s="2890">
        <v>8.9540046803672304</v>
      </c>
    </row>
    <row r="10174" spans="2:7" ht="15" hidden="1" outlineLevel="2">
      <c r="B10174" s="2889" t="s">
        <v>1407</v>
      </c>
      <c r="C10174" s="2889" t="s">
        <v>1416</v>
      </c>
      <c r="D10174" s="2889" t="s">
        <v>197</v>
      </c>
      <c r="E10174" s="2889" t="s">
        <v>217</v>
      </c>
      <c r="F10174" s="2890">
        <v>1.4874603130603078E-3</v>
      </c>
      <c r="G10174" s="2890">
        <v>1.9480616581416537</v>
      </c>
    </row>
    <row r="10175" spans="2:7" ht="15" hidden="1" outlineLevel="2">
      <c r="B10175" s="2889" t="s">
        <v>1407</v>
      </c>
      <c r="C10175" s="2889" t="s">
        <v>1417</v>
      </c>
      <c r="D10175" s="2889" t="s">
        <v>197</v>
      </c>
      <c r="E10175" s="2889" t="s">
        <v>217</v>
      </c>
      <c r="F10175" s="2890">
        <v>2.215066134150906E-3</v>
      </c>
      <c r="G10175" s="2890">
        <v>2.8207847020052514</v>
      </c>
    </row>
    <row r="10176" spans="2:7" ht="15" hidden="1" outlineLevel="2">
      <c r="B10176" s="2889" t="s">
        <v>1407</v>
      </c>
      <c r="C10176" s="2889" t="s">
        <v>1418</v>
      </c>
      <c r="D10176" s="2889" t="s">
        <v>197</v>
      </c>
      <c r="E10176" s="2889" t="s">
        <v>217</v>
      </c>
      <c r="F10176" s="2890">
        <v>4.4449912074997843E-4</v>
      </c>
      <c r="G10176" s="2890">
        <v>3.129223420369053</v>
      </c>
    </row>
    <row r="10177" spans="2:7" ht="15" hidden="1" outlineLevel="2">
      <c r="B10177" s="2889" t="s">
        <v>1407</v>
      </c>
      <c r="C10177" s="2889" t="s">
        <v>1419</v>
      </c>
      <c r="D10177" s="2889" t="s">
        <v>197</v>
      </c>
      <c r="E10177" s="2889" t="s">
        <v>1420</v>
      </c>
      <c r="F10177" s="2890">
        <v>1.0778537831336322E-5</v>
      </c>
      <c r="G10177" s="2890">
        <v>1.7126596845799324E-2</v>
      </c>
    </row>
    <row r="10178" spans="2:7" ht="15" hidden="1" outlineLevel="2">
      <c r="B10178" s="2889" t="s">
        <v>1407</v>
      </c>
      <c r="C10178" s="2889" t="s">
        <v>1421</v>
      </c>
      <c r="D10178" s="2889" t="s">
        <v>197</v>
      </c>
      <c r="E10178" s="2889" t="s">
        <v>1420</v>
      </c>
      <c r="F10178" s="2890">
        <v>2.2117353562977091E-6</v>
      </c>
      <c r="G10178" s="2890">
        <v>2.3309109073780084E-2</v>
      </c>
    </row>
    <row r="10179" spans="2:7" ht="15" hidden="1" outlineLevel="2">
      <c r="B10179" s="2889" t="s">
        <v>1407</v>
      </c>
      <c r="C10179" s="2889" t="s">
        <v>1422</v>
      </c>
      <c r="D10179" s="2889" t="s">
        <v>197</v>
      </c>
      <c r="E10179" s="2889" t="s">
        <v>1423</v>
      </c>
      <c r="F10179" s="2890">
        <v>4.3147287449559672E-4</v>
      </c>
      <c r="G10179" s="2890">
        <v>4.5241801433031853E-3</v>
      </c>
    </row>
    <row r="10180" spans="2:7" ht="15" hidden="1" outlineLevel="2">
      <c r="B10180" s="2889" t="s">
        <v>1407</v>
      </c>
      <c r="C10180" s="2889" t="s">
        <v>1424</v>
      </c>
      <c r="D10180" s="2889" t="s">
        <v>197</v>
      </c>
      <c r="E10180" s="2889" t="s">
        <v>1423</v>
      </c>
      <c r="F10180" s="2890">
        <v>1.369523116886923E-4</v>
      </c>
      <c r="G10180" s="2890">
        <v>1.4355735687638863E-3</v>
      </c>
    </row>
    <row r="10181" spans="2:7" ht="15" hidden="1" outlineLevel="2">
      <c r="B10181" s="2889" t="s">
        <v>1407</v>
      </c>
      <c r="C10181" s="2889" t="s">
        <v>1425</v>
      </c>
      <c r="D10181" s="2889" t="s">
        <v>197</v>
      </c>
      <c r="E10181" s="2889" t="s">
        <v>1426</v>
      </c>
      <c r="F10181" s="2891"/>
      <c r="G10181" s="2890">
        <v>3.3456514020855851E-2</v>
      </c>
    </row>
    <row r="10182" spans="2:7" ht="15" hidden="1" outlineLevel="2">
      <c r="B10182" s="2889" t="s">
        <v>1407</v>
      </c>
      <c r="C10182" s="2889" t="s">
        <v>1427</v>
      </c>
      <c r="D10182" s="2889" t="s">
        <v>197</v>
      </c>
      <c r="E10182" s="2889" t="s">
        <v>1426</v>
      </c>
      <c r="F10182" s="2891"/>
      <c r="G10182" s="2890">
        <v>1446.4053030323942</v>
      </c>
    </row>
    <row r="10183" spans="2:7" ht="15" hidden="1" outlineLevel="2">
      <c r="B10183" s="2889" t="s">
        <v>1407</v>
      </c>
      <c r="C10183" s="2889" t="s">
        <v>1428</v>
      </c>
      <c r="D10183" s="2889" t="s">
        <v>197</v>
      </c>
      <c r="E10183" s="2889" t="s">
        <v>1426</v>
      </c>
      <c r="F10183" s="2891"/>
      <c r="G10183" s="2890">
        <v>129.78666739986681</v>
      </c>
    </row>
    <row r="10184" spans="2:7" ht="15" hidden="1" outlineLevel="2">
      <c r="B10184" s="2889" t="s">
        <v>1407</v>
      </c>
      <c r="C10184" s="2889" t="s">
        <v>1429</v>
      </c>
      <c r="D10184" s="2889" t="s">
        <v>197</v>
      </c>
      <c r="E10184" s="2889" t="s">
        <v>1426</v>
      </c>
      <c r="F10184" s="2891"/>
      <c r="G10184" s="2890">
        <v>0.7214365704901381</v>
      </c>
    </row>
    <row r="10185" spans="2:7" ht="15" hidden="1" outlineLevel="2">
      <c r="B10185" s="2889" t="s">
        <v>1407</v>
      </c>
      <c r="C10185" s="2889" t="s">
        <v>1430</v>
      </c>
      <c r="D10185" s="2889" t="s">
        <v>197</v>
      </c>
      <c r="E10185" s="2889" t="s">
        <v>1426</v>
      </c>
      <c r="F10185" s="2891"/>
      <c r="G10185" s="2890">
        <v>0.14807385192438766</v>
      </c>
    </row>
    <row r="10186" spans="2:7" ht="15" hidden="1" outlineLevel="2">
      <c r="B10186" s="2889" t="s">
        <v>1407</v>
      </c>
      <c r="C10186" s="2889" t="s">
        <v>1431</v>
      </c>
      <c r="D10186" s="2889" t="s">
        <v>197</v>
      </c>
      <c r="E10186" s="2889" t="s">
        <v>1426</v>
      </c>
      <c r="F10186" s="2891"/>
      <c r="G10186" s="2890">
        <v>11.017324150749189</v>
      </c>
    </row>
    <row r="10187" spans="2:7" ht="15" hidden="1" outlineLevel="2">
      <c r="B10187" s="2889" t="s">
        <v>1407</v>
      </c>
      <c r="C10187" s="2889" t="s">
        <v>1432</v>
      </c>
      <c r="D10187" s="2889" t="s">
        <v>197</v>
      </c>
      <c r="E10187" s="2889" t="s">
        <v>1426</v>
      </c>
      <c r="F10187" s="2891"/>
      <c r="G10187" s="2890">
        <v>2.7594361322636186E-2</v>
      </c>
    </row>
    <row r="10188" spans="2:7" ht="15" hidden="1" outlineLevel="2">
      <c r="B10188" s="2889" t="s">
        <v>1407</v>
      </c>
      <c r="C10188" s="2889" t="s">
        <v>1433</v>
      </c>
      <c r="D10188" s="2889" t="s">
        <v>197</v>
      </c>
      <c r="E10188" s="2889" t="s">
        <v>1426</v>
      </c>
      <c r="F10188" s="2891"/>
      <c r="G10188" s="2890">
        <v>10.183025679151571</v>
      </c>
    </row>
    <row r="10189" spans="2:7" ht="15" hidden="1" outlineLevel="2">
      <c r="B10189" s="2889" t="s">
        <v>1407</v>
      </c>
      <c r="C10189" s="2889" t="s">
        <v>1434</v>
      </c>
      <c r="D10189" s="2889" t="s">
        <v>197</v>
      </c>
      <c r="E10189" s="2889" t="s">
        <v>1426</v>
      </c>
      <c r="F10189" s="2891"/>
      <c r="G10189" s="2890">
        <v>28.285758239622794</v>
      </c>
    </row>
    <row r="10190" spans="2:7" ht="15" hidden="1" outlineLevel="2">
      <c r="B10190" s="2889" t="s">
        <v>1407</v>
      </c>
      <c r="C10190" s="2889" t="s">
        <v>1435</v>
      </c>
      <c r="D10190" s="2889" t="s">
        <v>197</v>
      </c>
      <c r="E10190" s="2889" t="s">
        <v>1426</v>
      </c>
      <c r="F10190" s="2891"/>
      <c r="G10190" s="2890">
        <v>20.795545367537141</v>
      </c>
    </row>
    <row r="10191" spans="2:7" ht="15" hidden="1" outlineLevel="2">
      <c r="B10191" s="2889" t="s">
        <v>1407</v>
      </c>
      <c r="C10191" s="2889" t="s">
        <v>1436</v>
      </c>
      <c r="D10191" s="2889" t="s">
        <v>1437</v>
      </c>
      <c r="E10191" s="2889" t="s">
        <v>217</v>
      </c>
      <c r="F10191" s="2890">
        <v>2.6027026481861473E-34</v>
      </c>
      <c r="G10191" s="2890">
        <v>1.7109690376180409E-30</v>
      </c>
    </row>
    <row r="10192" spans="2:7" ht="15" hidden="1" outlineLevel="2">
      <c r="B10192" s="2889" t="s">
        <v>1407</v>
      </c>
      <c r="C10192" s="2889" t="s">
        <v>1438</v>
      </c>
      <c r="D10192" s="2889" t="s">
        <v>1437</v>
      </c>
      <c r="E10192" s="2889" t="s">
        <v>1420</v>
      </c>
      <c r="F10192" s="2890">
        <v>1.6645027218787266E-36</v>
      </c>
      <c r="G10192" s="2890">
        <v>2.4044512537756401E-32</v>
      </c>
    </row>
    <row r="10193" spans="2:7" ht="15" hidden="1" outlineLevel="2">
      <c r="B10193" s="2889" t="s">
        <v>1407</v>
      </c>
      <c r="C10193" s="2889" t="s">
        <v>1439</v>
      </c>
      <c r="D10193" s="2889" t="s">
        <v>1437</v>
      </c>
      <c r="E10193" s="2889" t="s">
        <v>1426</v>
      </c>
      <c r="F10193" s="2891"/>
      <c r="G10193" s="2890">
        <v>1.0800699774071823E-29</v>
      </c>
    </row>
    <row r="10194" spans="2:7" ht="15" hidden="1" outlineLevel="2">
      <c r="B10194" s="2889" t="s">
        <v>1407</v>
      </c>
      <c r="C10194" s="2889" t="s">
        <v>1440</v>
      </c>
      <c r="D10194" s="2889" t="s">
        <v>1105</v>
      </c>
      <c r="E10194" s="2889" t="s">
        <v>217</v>
      </c>
      <c r="F10194" s="2890">
        <v>7.3702866842318918E-3</v>
      </c>
      <c r="G10194" s="2890">
        <v>3.652169111732305</v>
      </c>
    </row>
    <row r="10195" spans="2:7" ht="15" hidden="1" outlineLevel="2">
      <c r="B10195" s="2889" t="s">
        <v>1407</v>
      </c>
      <c r="C10195" s="2889" t="s">
        <v>1441</v>
      </c>
      <c r="D10195" s="2889" t="s">
        <v>1105</v>
      </c>
      <c r="E10195" s="2889" t="s">
        <v>217</v>
      </c>
      <c r="F10195" s="2890">
        <v>4.7095798836008729E-2</v>
      </c>
      <c r="G10195" s="2890">
        <v>24.366114974648408</v>
      </c>
    </row>
    <row r="10196" spans="2:7" ht="15" hidden="1" outlineLevel="2">
      <c r="B10196" s="2889" t="s">
        <v>1407</v>
      </c>
      <c r="C10196" s="2889" t="s">
        <v>1442</v>
      </c>
      <c r="D10196" s="2889" t="s">
        <v>1105</v>
      </c>
      <c r="E10196" s="2889" t="s">
        <v>217</v>
      </c>
      <c r="F10196" s="2890">
        <v>2.0963845222397574E-5</v>
      </c>
      <c r="G10196" s="2890">
        <v>9.3972635242634012E-3</v>
      </c>
    </row>
    <row r="10197" spans="2:7" ht="15" hidden="1" outlineLevel="2">
      <c r="B10197" s="2889" t="s">
        <v>1407</v>
      </c>
      <c r="C10197" s="2889" t="s">
        <v>1443</v>
      </c>
      <c r="D10197" s="2889" t="s">
        <v>1105</v>
      </c>
      <c r="E10197" s="2889" t="s">
        <v>217</v>
      </c>
      <c r="F10197" s="2890">
        <v>3.2986222814138008E-4</v>
      </c>
      <c r="G10197" s="2890">
        <v>0.14786407801371526</v>
      </c>
    </row>
    <row r="10198" spans="2:7" ht="15" hidden="1" outlineLevel="2">
      <c r="B10198" s="2889" t="s">
        <v>1407</v>
      </c>
      <c r="C10198" s="2889" t="s">
        <v>1444</v>
      </c>
      <c r="D10198" s="2889" t="s">
        <v>1105</v>
      </c>
      <c r="E10198" s="2889" t="s">
        <v>217</v>
      </c>
      <c r="F10198" s="2890">
        <v>0.62825220434420115</v>
      </c>
      <c r="G10198" s="2890">
        <v>751.78071449730828</v>
      </c>
    </row>
    <row r="10199" spans="2:7" ht="15" hidden="1" outlineLevel="2">
      <c r="B10199" s="2889" t="s">
        <v>1407</v>
      </c>
      <c r="C10199" s="2889" t="s">
        <v>1445</v>
      </c>
      <c r="D10199" s="2889" t="s">
        <v>1105</v>
      </c>
      <c r="E10199" s="2889" t="s">
        <v>217</v>
      </c>
      <c r="F10199" s="2890">
        <v>0.13522090382010343</v>
      </c>
      <c r="G10199" s="2890">
        <v>188.12547563539894</v>
      </c>
    </row>
    <row r="10200" spans="2:7" ht="15" hidden="1" outlineLevel="2">
      <c r="B10200" s="2889" t="s">
        <v>1407</v>
      </c>
      <c r="C10200" s="2889" t="s">
        <v>1446</v>
      </c>
      <c r="D10200" s="2889" t="s">
        <v>1105</v>
      </c>
      <c r="E10200" s="2889" t="s">
        <v>217</v>
      </c>
      <c r="F10200" s="2890">
        <v>6.2416764107243512E-2</v>
      </c>
      <c r="G10200" s="2890">
        <v>99.761567778925709</v>
      </c>
    </row>
    <row r="10201" spans="2:7" ht="15" hidden="1" outlineLevel="2">
      <c r="B10201" s="2889" t="s">
        <v>1407</v>
      </c>
      <c r="C10201" s="2889" t="s">
        <v>1447</v>
      </c>
      <c r="D10201" s="2889" t="s">
        <v>1105</v>
      </c>
      <c r="E10201" s="2889" t="s">
        <v>217</v>
      </c>
      <c r="F10201" s="2890">
        <v>0.14383021169032278</v>
      </c>
      <c r="G10201" s="2890">
        <v>214.05211103029106</v>
      </c>
    </row>
    <row r="10202" spans="2:7" ht="15" hidden="1" outlineLevel="2">
      <c r="B10202" s="2889" t="s">
        <v>1407</v>
      </c>
      <c r="C10202" s="2889" t="s">
        <v>1448</v>
      </c>
      <c r="D10202" s="2889" t="s">
        <v>1105</v>
      </c>
      <c r="E10202" s="2889" t="s">
        <v>217</v>
      </c>
      <c r="F10202" s="2890">
        <v>0.27166171761358199</v>
      </c>
      <c r="G10202" s="2890">
        <v>337.22070169515143</v>
      </c>
    </row>
    <row r="10203" spans="2:7" ht="15" hidden="1" outlineLevel="2">
      <c r="B10203" s="2889" t="s">
        <v>1407</v>
      </c>
      <c r="C10203" s="2889" t="s">
        <v>1449</v>
      </c>
      <c r="D10203" s="2889" t="s">
        <v>1105</v>
      </c>
      <c r="E10203" s="2889" t="s">
        <v>217</v>
      </c>
      <c r="F10203" s="2890">
        <v>1.1565134777539565E-2</v>
      </c>
      <c r="G10203" s="2890">
        <v>15.860966418852914</v>
      </c>
    </row>
    <row r="10204" spans="2:7" ht="15" hidden="1" outlineLevel="2">
      <c r="B10204" s="2889" t="s">
        <v>1407</v>
      </c>
      <c r="C10204" s="2889" t="s">
        <v>1450</v>
      </c>
      <c r="D10204" s="2889" t="s">
        <v>1105</v>
      </c>
      <c r="E10204" s="2889" t="s">
        <v>1420</v>
      </c>
      <c r="F10204" s="2890">
        <v>3.6384345763566771E-2</v>
      </c>
      <c r="G10204" s="2890">
        <v>100.02805363405341</v>
      </c>
    </row>
    <row r="10205" spans="2:7" ht="15" hidden="1" outlineLevel="2">
      <c r="B10205" s="2889" t="s">
        <v>1407</v>
      </c>
      <c r="C10205" s="2889" t="s">
        <v>1451</v>
      </c>
      <c r="D10205" s="2889" t="s">
        <v>1105</v>
      </c>
      <c r="E10205" s="2889" t="s">
        <v>1420</v>
      </c>
      <c r="F10205" s="2890">
        <v>5.2826159052379472E-3</v>
      </c>
      <c r="G10205" s="2890">
        <v>22.279737619328749</v>
      </c>
    </row>
    <row r="10206" spans="2:7" ht="15" hidden="1" outlineLevel="2">
      <c r="B10206" s="2889" t="s">
        <v>1407</v>
      </c>
      <c r="C10206" s="2889" t="s">
        <v>1452</v>
      </c>
      <c r="D10206" s="2889" t="s">
        <v>1105</v>
      </c>
      <c r="E10206" s="2889" t="s">
        <v>1420</v>
      </c>
      <c r="F10206" s="2890">
        <v>3.9081835497185545E-3</v>
      </c>
      <c r="G10206" s="2890">
        <v>26.115864471802386</v>
      </c>
    </row>
    <row r="10207" spans="2:7" ht="15" hidden="1" outlineLevel="2">
      <c r="B10207" s="2889" t="s">
        <v>1407</v>
      </c>
      <c r="C10207" s="2889" t="s">
        <v>1453</v>
      </c>
      <c r="D10207" s="2889" t="s">
        <v>1105</v>
      </c>
      <c r="E10207" s="2889" t="s">
        <v>1420</v>
      </c>
      <c r="F10207" s="2890">
        <v>6.8456794077263764E-3</v>
      </c>
      <c r="G10207" s="2890">
        <v>32.442423705899067</v>
      </c>
    </row>
    <row r="10208" spans="2:7" ht="15" hidden="1" outlineLevel="2">
      <c r="B10208" s="2889" t="s">
        <v>1407</v>
      </c>
      <c r="C10208" s="2889" t="s">
        <v>1454</v>
      </c>
      <c r="D10208" s="2889" t="s">
        <v>1105</v>
      </c>
      <c r="E10208" s="2889" t="s">
        <v>1420</v>
      </c>
      <c r="F10208" s="2890">
        <v>1.709327559185819E-4</v>
      </c>
      <c r="G10208" s="2890">
        <v>0.4385482812485953</v>
      </c>
    </row>
    <row r="10209" spans="2:7" ht="15" hidden="1" outlineLevel="2">
      <c r="B10209" s="2889" t="s">
        <v>1407</v>
      </c>
      <c r="C10209" s="2889" t="s">
        <v>1455</v>
      </c>
      <c r="D10209" s="2889" t="s">
        <v>1105</v>
      </c>
      <c r="E10209" s="2889" t="s">
        <v>1420</v>
      </c>
      <c r="F10209" s="2890">
        <v>4.9869833710106336E-5</v>
      </c>
      <c r="G10209" s="2890">
        <v>0.40735357326601507</v>
      </c>
    </row>
    <row r="10210" spans="2:7" ht="15" hidden="1" outlineLevel="2">
      <c r="B10210" s="2889" t="s">
        <v>1407</v>
      </c>
      <c r="C10210" s="2889" t="s">
        <v>1456</v>
      </c>
      <c r="D10210" s="2889" t="s">
        <v>1105</v>
      </c>
      <c r="E10210" s="2889" t="s">
        <v>1423</v>
      </c>
      <c r="F10210" s="2890">
        <v>0.80389029621148067</v>
      </c>
      <c r="G10210" s="2890">
        <v>22.323202308482106</v>
      </c>
    </row>
    <row r="10211" spans="2:7" ht="15" hidden="1" outlineLevel="2">
      <c r="B10211" s="2889" t="s">
        <v>1407</v>
      </c>
      <c r="C10211" s="2889" t="s">
        <v>1457</v>
      </c>
      <c r="D10211" s="2889" t="s">
        <v>1105</v>
      </c>
      <c r="E10211" s="2889" t="s">
        <v>1423</v>
      </c>
      <c r="F10211" s="2890">
        <v>3.0820012848344892E-2</v>
      </c>
      <c r="G10211" s="2890">
        <v>1.1203546486198888</v>
      </c>
    </row>
    <row r="10212" spans="2:7" ht="15" hidden="1" outlineLevel="2">
      <c r="B10212" s="2889" t="s">
        <v>1407</v>
      </c>
      <c r="C10212" s="2889" t="s">
        <v>1458</v>
      </c>
      <c r="D10212" s="2889" t="s">
        <v>1105</v>
      </c>
      <c r="E10212" s="2889" t="s">
        <v>1423</v>
      </c>
      <c r="F10212" s="2890">
        <v>2.2126505603820529E-2</v>
      </c>
      <c r="G10212" s="2890">
        <v>1.5518808101577897</v>
      </c>
    </row>
    <row r="10213" spans="2:7" ht="15" hidden="1" outlineLevel="2">
      <c r="B10213" s="2889" t="s">
        <v>1407</v>
      </c>
      <c r="C10213" s="2889" t="s">
        <v>1459</v>
      </c>
      <c r="D10213" s="2889" t="s">
        <v>1105</v>
      </c>
      <c r="E10213" s="2889" t="s">
        <v>1423</v>
      </c>
      <c r="F10213" s="2890">
        <v>0.26247878185096873</v>
      </c>
      <c r="G10213" s="2890">
        <v>54.927756521867629</v>
      </c>
    </row>
    <row r="10214" spans="2:7" ht="15" hidden="1" outlineLevel="2">
      <c r="B10214" s="2889" t="s">
        <v>1407</v>
      </c>
      <c r="C10214" s="2889" t="s">
        <v>1460</v>
      </c>
      <c r="D10214" s="2889" t="s">
        <v>1105</v>
      </c>
      <c r="E10214" s="2889" t="s">
        <v>1426</v>
      </c>
      <c r="F10214" s="2891"/>
      <c r="G10214" s="2890">
        <v>585.73383072857894</v>
      </c>
    </row>
    <row r="10215" spans="2:7" ht="15" hidden="1" outlineLevel="2">
      <c r="B10215" s="2889" t="s">
        <v>1407</v>
      </c>
      <c r="C10215" s="2889" t="s">
        <v>1461</v>
      </c>
      <c r="D10215" s="2889" t="s">
        <v>1105</v>
      </c>
      <c r="E10215" s="2889" t="s">
        <v>1426</v>
      </c>
      <c r="F10215" s="2891"/>
      <c r="G10215" s="2890">
        <v>136.48354666299397</v>
      </c>
    </row>
    <row r="10216" spans="2:7" ht="15" hidden="1" outlineLevel="2">
      <c r="B10216" s="2889" t="s">
        <v>1407</v>
      </c>
      <c r="C10216" s="2889" t="s">
        <v>1462</v>
      </c>
      <c r="D10216" s="2889" t="s">
        <v>1105</v>
      </c>
      <c r="E10216" s="2889" t="s">
        <v>1426</v>
      </c>
      <c r="F10216" s="2891"/>
      <c r="G10216" s="2890">
        <v>378.68888805363827</v>
      </c>
    </row>
    <row r="10217" spans="2:7" ht="15" hidden="1" outlineLevel="2">
      <c r="B10217" s="2889" t="s">
        <v>1407</v>
      </c>
      <c r="C10217" s="2889" t="s">
        <v>1463</v>
      </c>
      <c r="D10217" s="2889" t="s">
        <v>1105</v>
      </c>
      <c r="E10217" s="2889" t="s">
        <v>1426</v>
      </c>
      <c r="F10217" s="2891"/>
      <c r="G10217" s="2890">
        <v>192.28596424197795</v>
      </c>
    </row>
    <row r="10218" spans="2:7" ht="15" hidden="1" outlineLevel="2">
      <c r="B10218" s="2889" t="s">
        <v>1407</v>
      </c>
      <c r="C10218" s="2889" t="s">
        <v>1464</v>
      </c>
      <c r="D10218" s="2889" t="s">
        <v>1105</v>
      </c>
      <c r="E10218" s="2889" t="s">
        <v>1426</v>
      </c>
      <c r="F10218" s="2891"/>
      <c r="G10218" s="2890">
        <v>18.472194354192006</v>
      </c>
    </row>
    <row r="10219" spans="2:7" ht="15" hidden="1" outlineLevel="2">
      <c r="B10219" s="2889" t="s">
        <v>1407</v>
      </c>
      <c r="C10219" s="2889" t="s">
        <v>1465</v>
      </c>
      <c r="D10219" s="2889" t="s">
        <v>1105</v>
      </c>
      <c r="E10219" s="2889" t="s">
        <v>1426</v>
      </c>
      <c r="F10219" s="2891"/>
      <c r="G10219" s="2890">
        <v>16.389019422585918</v>
      </c>
    </row>
    <row r="10220" spans="2:7" ht="15" hidden="1" outlineLevel="2">
      <c r="B10220" s="2889" t="s">
        <v>1407</v>
      </c>
      <c r="C10220" s="2889" t="s">
        <v>1466</v>
      </c>
      <c r="D10220" s="2889" t="s">
        <v>1054</v>
      </c>
      <c r="E10220" s="2889" t="s">
        <v>217</v>
      </c>
      <c r="F10220" s="2890">
        <v>6.6142066426953796E-3</v>
      </c>
      <c r="G10220" s="2890">
        <v>4.0781214534397945</v>
      </c>
    </row>
    <row r="10221" spans="2:7" ht="15" hidden="1" outlineLevel="2">
      <c r="B10221" s="2889" t="s">
        <v>1407</v>
      </c>
      <c r="C10221" s="2889" t="s">
        <v>1467</v>
      </c>
      <c r="D10221" s="2889" t="s">
        <v>1054</v>
      </c>
      <c r="E10221" s="2889" t="s">
        <v>217</v>
      </c>
      <c r="F10221" s="2890">
        <v>5.4662198972995637E-4</v>
      </c>
      <c r="G10221" s="2890">
        <v>0.26449728365327957</v>
      </c>
    </row>
    <row r="10222" spans="2:7" ht="15" hidden="1" outlineLevel="2">
      <c r="B10222" s="2889" t="s">
        <v>1407</v>
      </c>
      <c r="C10222" s="2889" t="s">
        <v>1468</v>
      </c>
      <c r="D10222" s="2889" t="s">
        <v>1054</v>
      </c>
      <c r="E10222" s="2889" t="s">
        <v>217</v>
      </c>
      <c r="F10222" s="2890">
        <v>6.6197567832325984E-4</v>
      </c>
      <c r="G10222" s="2890">
        <v>0.31619112362015922</v>
      </c>
    </row>
    <row r="10223" spans="2:7" ht="15" hidden="1" outlineLevel="2">
      <c r="B10223" s="2889" t="s">
        <v>1407</v>
      </c>
      <c r="C10223" s="2889" t="s">
        <v>1469</v>
      </c>
      <c r="D10223" s="2889" t="s">
        <v>1054</v>
      </c>
      <c r="E10223" s="2889" t="s">
        <v>217</v>
      </c>
      <c r="F10223" s="2890">
        <v>5.2823638013481499E-6</v>
      </c>
      <c r="G10223" s="2890">
        <v>2.3678055738047899E-3</v>
      </c>
    </row>
    <row r="10224" spans="2:7" ht="15" hidden="1" outlineLevel="2">
      <c r="B10224" s="2889" t="s">
        <v>1407</v>
      </c>
      <c r="C10224" s="2889" t="s">
        <v>1470</v>
      </c>
      <c r="D10224" s="2889" t="s">
        <v>1054</v>
      </c>
      <c r="E10224" s="2889" t="s">
        <v>217</v>
      </c>
      <c r="F10224" s="2890">
        <v>1.8843622714206962E-2</v>
      </c>
      <c r="G10224" s="2890">
        <v>10.538505200237928</v>
      </c>
    </row>
    <row r="10225" spans="2:7" ht="15" hidden="1" outlineLevel="2">
      <c r="B10225" s="2889" t="s">
        <v>1407</v>
      </c>
      <c r="C10225" s="2889" t="s">
        <v>1471</v>
      </c>
      <c r="D10225" s="2889" t="s">
        <v>1054</v>
      </c>
      <c r="E10225" s="2889" t="s">
        <v>217</v>
      </c>
      <c r="F10225" s="2890">
        <v>1.3754850342295732E-4</v>
      </c>
      <c r="G10225" s="2890">
        <v>6.1655689731861071E-2</v>
      </c>
    </row>
    <row r="10226" spans="2:7" ht="15" hidden="1" outlineLevel="2">
      <c r="B10226" s="2889" t="s">
        <v>1407</v>
      </c>
      <c r="C10226" s="2889" t="s">
        <v>1472</v>
      </c>
      <c r="D10226" s="2889" t="s">
        <v>1054</v>
      </c>
      <c r="E10226" s="2889" t="s">
        <v>217</v>
      </c>
      <c r="F10226" s="2890">
        <v>2.3470977454537914E-3</v>
      </c>
      <c r="G10226" s="2890">
        <v>3.6253676111343944</v>
      </c>
    </row>
    <row r="10227" spans="2:7" ht="15" hidden="1" outlineLevel="2">
      <c r="B10227" s="2889" t="s">
        <v>1407</v>
      </c>
      <c r="C10227" s="2889" t="s">
        <v>1473</v>
      </c>
      <c r="D10227" s="2889" t="s">
        <v>1054</v>
      </c>
      <c r="E10227" s="2889" t="s">
        <v>217</v>
      </c>
      <c r="F10227" s="2890">
        <v>2.0791428830115198E-5</v>
      </c>
      <c r="G10227" s="2890">
        <v>2.6790517933119217E-2</v>
      </c>
    </row>
    <row r="10228" spans="2:7" ht="15" hidden="1" outlineLevel="2">
      <c r="B10228" s="2889" t="s">
        <v>1407</v>
      </c>
      <c r="C10228" s="2889" t="s">
        <v>1474</v>
      </c>
      <c r="D10228" s="2889" t="s">
        <v>1054</v>
      </c>
      <c r="E10228" s="2889" t="s">
        <v>217</v>
      </c>
      <c r="F10228" s="2890">
        <v>5.7191920101656076E-3</v>
      </c>
      <c r="G10228" s="2890">
        <v>6.78413957881763</v>
      </c>
    </row>
    <row r="10229" spans="2:7" ht="15" hidden="1" outlineLevel="2">
      <c r="B10229" s="2889" t="s">
        <v>1407</v>
      </c>
      <c r="C10229" s="2889" t="s">
        <v>1475</v>
      </c>
      <c r="D10229" s="2889" t="s">
        <v>1054</v>
      </c>
      <c r="E10229" s="2889" t="s">
        <v>217</v>
      </c>
      <c r="F10229" s="2890">
        <v>4.0965872834051635E-3</v>
      </c>
      <c r="G10229" s="2890">
        <v>6.4105942367793354</v>
      </c>
    </row>
    <row r="10230" spans="2:7" ht="15" hidden="1" outlineLevel="2">
      <c r="B10230" s="2889" t="s">
        <v>1407</v>
      </c>
      <c r="C10230" s="2889" t="s">
        <v>1476</v>
      </c>
      <c r="D10230" s="2889" t="s">
        <v>1054</v>
      </c>
      <c r="E10230" s="2889" t="s">
        <v>217</v>
      </c>
      <c r="F10230" s="2890">
        <v>1.0086601966614546E-2</v>
      </c>
      <c r="G10230" s="2890">
        <v>12.75925244931836</v>
      </c>
    </row>
    <row r="10231" spans="2:7" ht="15" hidden="1" outlineLevel="2">
      <c r="B10231" s="2889" t="s">
        <v>1407</v>
      </c>
      <c r="C10231" s="2889" t="s">
        <v>1477</v>
      </c>
      <c r="D10231" s="2889" t="s">
        <v>1054</v>
      </c>
      <c r="E10231" s="2889" t="s">
        <v>217</v>
      </c>
      <c r="F10231" s="2890">
        <v>3.9453336324789083E-3</v>
      </c>
      <c r="G10231" s="2890">
        <v>5.3805788278073576</v>
      </c>
    </row>
    <row r="10232" spans="2:7" ht="15" hidden="1" outlineLevel="2">
      <c r="B10232" s="2889" t="s">
        <v>1407</v>
      </c>
      <c r="C10232" s="2889" t="s">
        <v>1478</v>
      </c>
      <c r="D10232" s="2889" t="s">
        <v>1054</v>
      </c>
      <c r="E10232" s="2889" t="s">
        <v>217</v>
      </c>
      <c r="F10232" s="2890">
        <v>2.1261539581283786E-4</v>
      </c>
      <c r="G10232" s="2890">
        <v>0.27935609107643172</v>
      </c>
    </row>
    <row r="10233" spans="2:7" ht="15" hidden="1" outlineLevel="2">
      <c r="B10233" s="2889" t="s">
        <v>1407</v>
      </c>
      <c r="C10233" s="2889" t="s">
        <v>1479</v>
      </c>
      <c r="D10233" s="2889" t="s">
        <v>1054</v>
      </c>
      <c r="E10233" s="2889" t="s">
        <v>217</v>
      </c>
      <c r="F10233" s="2890">
        <v>7.5173782339259861E-3</v>
      </c>
      <c r="G10233" s="2890">
        <v>11.264093231981585</v>
      </c>
    </row>
    <row r="10234" spans="2:7" ht="15" hidden="1" outlineLevel="2">
      <c r="B10234" s="2889" t="s">
        <v>1407</v>
      </c>
      <c r="C10234" s="2889" t="s">
        <v>1480</v>
      </c>
      <c r="D10234" s="2889" t="s">
        <v>1054</v>
      </c>
      <c r="E10234" s="2889" t="s">
        <v>217</v>
      </c>
      <c r="F10234" s="2890">
        <v>3.3837862718013156E-3</v>
      </c>
      <c r="G10234" s="2890">
        <v>3.8795353341208401</v>
      </c>
    </row>
    <row r="10235" spans="2:7" ht="15" hidden="1" outlineLevel="2">
      <c r="B10235" s="2889" t="s">
        <v>1407</v>
      </c>
      <c r="C10235" s="2889" t="s">
        <v>1481</v>
      </c>
      <c r="D10235" s="2889" t="s">
        <v>1054</v>
      </c>
      <c r="E10235" s="2889" t="s">
        <v>217</v>
      </c>
      <c r="F10235" s="2890">
        <v>1.6747018168624526E-2</v>
      </c>
      <c r="G10235" s="2890">
        <v>23.460891342720757</v>
      </c>
    </row>
    <row r="10236" spans="2:7" ht="15" hidden="1" outlineLevel="2">
      <c r="B10236" s="2889" t="s">
        <v>1407</v>
      </c>
      <c r="C10236" s="2889" t="s">
        <v>1482</v>
      </c>
      <c r="D10236" s="2889" t="s">
        <v>1054</v>
      </c>
      <c r="E10236" s="2889" t="s">
        <v>217</v>
      </c>
      <c r="F10236" s="2890">
        <v>1.1286243131800254E-2</v>
      </c>
      <c r="G10236" s="2890">
        <v>11.238999827008357</v>
      </c>
    </row>
    <row r="10237" spans="2:7" ht="15" hidden="1" outlineLevel="2">
      <c r="B10237" s="2889" t="s">
        <v>1407</v>
      </c>
      <c r="C10237" s="2889" t="s">
        <v>1483</v>
      </c>
      <c r="D10237" s="2889" t="s">
        <v>1054</v>
      </c>
      <c r="E10237" s="2889" t="s">
        <v>217</v>
      </c>
      <c r="F10237" s="2890">
        <v>5.3579418989565565E-4</v>
      </c>
      <c r="G10237" s="2890">
        <v>0.89592460058893952</v>
      </c>
    </row>
    <row r="10238" spans="2:7" ht="15" hidden="1" outlineLevel="2">
      <c r="B10238" s="2889" t="s">
        <v>1407</v>
      </c>
      <c r="C10238" s="2889" t="s">
        <v>1484</v>
      </c>
      <c r="D10238" s="2889" t="s">
        <v>1054</v>
      </c>
      <c r="E10238" s="2889" t="s">
        <v>217</v>
      </c>
      <c r="F10238" s="2890">
        <v>1.0904831015834803E-3</v>
      </c>
      <c r="G10238" s="2890">
        <v>1.5191642571694584</v>
      </c>
    </row>
    <row r="10239" spans="2:7" ht="15" hidden="1" outlineLevel="2">
      <c r="B10239" s="2889" t="s">
        <v>1407</v>
      </c>
      <c r="C10239" s="2889" t="s">
        <v>1485</v>
      </c>
      <c r="D10239" s="2889" t="s">
        <v>1054</v>
      </c>
      <c r="E10239" s="2889" t="s">
        <v>217</v>
      </c>
      <c r="F10239" s="2890">
        <v>4.8405765105927602E-4</v>
      </c>
      <c r="G10239" s="2890">
        <v>1.3613086046352181</v>
      </c>
    </row>
    <row r="10240" spans="2:7" ht="15" hidden="1" outlineLevel="2">
      <c r="B10240" s="2889" t="s">
        <v>1407</v>
      </c>
      <c r="C10240" s="2889" t="s">
        <v>1486</v>
      </c>
      <c r="D10240" s="2889" t="s">
        <v>1054</v>
      </c>
      <c r="E10240" s="2889" t="s">
        <v>217</v>
      </c>
      <c r="F10240" s="2890">
        <v>5.6409125147795073E-4</v>
      </c>
      <c r="G10240" s="2890">
        <v>3.2514068607923261</v>
      </c>
    </row>
    <row r="10241" spans="2:7" ht="15" hidden="1" outlineLevel="2">
      <c r="B10241" s="2889" t="s">
        <v>1407</v>
      </c>
      <c r="C10241" s="2889" t="s">
        <v>1487</v>
      </c>
      <c r="D10241" s="2889" t="s">
        <v>1054</v>
      </c>
      <c r="E10241" s="2889" t="s">
        <v>217</v>
      </c>
      <c r="F10241" s="2890">
        <v>5.3393198250496999E-3</v>
      </c>
      <c r="G10241" s="2890">
        <v>7.7049845249846376</v>
      </c>
    </row>
    <row r="10242" spans="2:7" ht="15" hidden="1" outlineLevel="2">
      <c r="B10242" s="2889" t="s">
        <v>1407</v>
      </c>
      <c r="C10242" s="2889" t="s">
        <v>1488</v>
      </c>
      <c r="D10242" s="2889" t="s">
        <v>1054</v>
      </c>
      <c r="E10242" s="2889" t="s">
        <v>217</v>
      </c>
      <c r="F10242" s="2890">
        <v>3.3103406103199571E-3</v>
      </c>
      <c r="G10242" s="2890">
        <v>5.288033336867036</v>
      </c>
    </row>
    <row r="10243" spans="2:7" ht="15" hidden="1" outlineLevel="2">
      <c r="B10243" s="2889" t="s">
        <v>1407</v>
      </c>
      <c r="C10243" s="2889" t="s">
        <v>1489</v>
      </c>
      <c r="D10243" s="2889" t="s">
        <v>1054</v>
      </c>
      <c r="E10243" s="2889" t="s">
        <v>217</v>
      </c>
      <c r="F10243" s="2890">
        <v>1.6674982661846964E-3</v>
      </c>
      <c r="G10243" s="2890">
        <v>1.7423591884838927</v>
      </c>
    </row>
    <row r="10244" spans="2:7" ht="15" hidden="1" outlineLevel="2">
      <c r="B10244" s="2889" t="s">
        <v>1407</v>
      </c>
      <c r="C10244" s="2889" t="s">
        <v>1490</v>
      </c>
      <c r="D10244" s="2889" t="s">
        <v>1054</v>
      </c>
      <c r="E10244" s="2889" t="s">
        <v>217</v>
      </c>
      <c r="F10244" s="2890">
        <v>7.7692727787547378E-4</v>
      </c>
      <c r="G10244" s="2890">
        <v>1.2308575538862856</v>
      </c>
    </row>
    <row r="10245" spans="2:7" ht="15" hidden="1" outlineLevel="2">
      <c r="B10245" s="2889" t="s">
        <v>1407</v>
      </c>
      <c r="C10245" s="2889" t="s">
        <v>1491</v>
      </c>
      <c r="D10245" s="2889" t="s">
        <v>1054</v>
      </c>
      <c r="E10245" s="2889" t="s">
        <v>1420</v>
      </c>
      <c r="F10245" s="2890">
        <v>1.4724494478168359E-4</v>
      </c>
      <c r="G10245" s="2890">
        <v>0.69717689105758507</v>
      </c>
    </row>
    <row r="10246" spans="2:7" ht="15" hidden="1" outlineLevel="2">
      <c r="B10246" s="2889" t="s">
        <v>1407</v>
      </c>
      <c r="C10246" s="2889" t="s">
        <v>1492</v>
      </c>
      <c r="D10246" s="2889" t="s">
        <v>1054</v>
      </c>
      <c r="E10246" s="2889" t="s">
        <v>1420</v>
      </c>
      <c r="F10246" s="2890">
        <v>1.0945712378554294E-4</v>
      </c>
      <c r="G10246" s="2890">
        <v>1.1699954006757545</v>
      </c>
    </row>
    <row r="10247" spans="2:7" ht="15" hidden="1" outlineLevel="2">
      <c r="B10247" s="2889" t="s">
        <v>1407</v>
      </c>
      <c r="C10247" s="2889" t="s">
        <v>1493</v>
      </c>
      <c r="D10247" s="2889" t="s">
        <v>1054</v>
      </c>
      <c r="E10247" s="2889" t="s">
        <v>1420</v>
      </c>
      <c r="F10247" s="2890">
        <v>8.1051147315854347E-5</v>
      </c>
      <c r="G10247" s="2890">
        <v>0.1935521460979861</v>
      </c>
    </row>
    <row r="10248" spans="2:7" ht="15" hidden="1" outlineLevel="2">
      <c r="B10248" s="2889" t="s">
        <v>1407</v>
      </c>
      <c r="C10248" s="2889" t="s">
        <v>1494</v>
      </c>
      <c r="D10248" s="2889" t="s">
        <v>1054</v>
      </c>
      <c r="E10248" s="2889" t="s">
        <v>1420</v>
      </c>
      <c r="F10248" s="2890">
        <v>2.2100911348229906E-5</v>
      </c>
      <c r="G10248" s="2890">
        <v>0.12128413991516737</v>
      </c>
    </row>
    <row r="10249" spans="2:7" ht="15" hidden="1" outlineLevel="2">
      <c r="B10249" s="2889" t="s">
        <v>1407</v>
      </c>
      <c r="C10249" s="2889" t="s">
        <v>1495</v>
      </c>
      <c r="D10249" s="2889" t="s">
        <v>1054</v>
      </c>
      <c r="E10249" s="2889" t="s">
        <v>1420</v>
      </c>
      <c r="F10249" s="2890">
        <v>4.7827884455283295E-4</v>
      </c>
      <c r="G10249" s="2890">
        <v>2.1463188069936194</v>
      </c>
    </row>
    <row r="10250" spans="2:7" ht="15" hidden="1" outlineLevel="2">
      <c r="B10250" s="2889" t="s">
        <v>1407</v>
      </c>
      <c r="C10250" s="2889" t="s">
        <v>1496</v>
      </c>
      <c r="D10250" s="2889" t="s">
        <v>1054</v>
      </c>
      <c r="E10250" s="2889" t="s">
        <v>1420</v>
      </c>
      <c r="F10250" s="2890">
        <v>4.3390917736020151E-4</v>
      </c>
      <c r="G10250" s="2890">
        <v>0.77279812565908512</v>
      </c>
    </row>
    <row r="10251" spans="2:7" ht="15" hidden="1" outlineLevel="2">
      <c r="B10251" s="2889" t="s">
        <v>1407</v>
      </c>
      <c r="C10251" s="2889" t="s">
        <v>1497</v>
      </c>
      <c r="D10251" s="2889" t="s">
        <v>1054</v>
      </c>
      <c r="E10251" s="2889" t="s">
        <v>1420</v>
      </c>
      <c r="F10251" s="2890">
        <v>1.2038978425747801E-4</v>
      </c>
      <c r="G10251" s="2890">
        <v>1.985689365911584</v>
      </c>
    </row>
    <row r="10252" spans="2:7" ht="15" hidden="1" outlineLevel="2">
      <c r="B10252" s="2889" t="s">
        <v>1407</v>
      </c>
      <c r="C10252" s="2889" t="s">
        <v>1498</v>
      </c>
      <c r="D10252" s="2889" t="s">
        <v>1054</v>
      </c>
      <c r="E10252" s="2889" t="s">
        <v>1420</v>
      </c>
      <c r="F10252" s="2890">
        <v>3.2908137132080007E-4</v>
      </c>
      <c r="G10252" s="2890">
        <v>0.79087859166600727</v>
      </c>
    </row>
    <row r="10253" spans="2:7" ht="15" hidden="1" outlineLevel="2">
      <c r="B10253" s="2889" t="s">
        <v>1407</v>
      </c>
      <c r="C10253" s="2889" t="s">
        <v>1499</v>
      </c>
      <c r="D10253" s="2889" t="s">
        <v>1054</v>
      </c>
      <c r="E10253" s="2889" t="s">
        <v>1420</v>
      </c>
      <c r="F10253" s="2890">
        <v>5.0259717809454929E-5</v>
      </c>
      <c r="G10253" s="2890">
        <v>0.12726389617623471</v>
      </c>
    </row>
    <row r="10254" spans="2:7" ht="15" hidden="1" outlineLevel="2">
      <c r="B10254" s="2889" t="s">
        <v>1407</v>
      </c>
      <c r="C10254" s="2889" t="s">
        <v>1500</v>
      </c>
      <c r="D10254" s="2889" t="s">
        <v>1054</v>
      </c>
      <c r="E10254" s="2889" t="s">
        <v>1420</v>
      </c>
      <c r="F10254" s="2890">
        <v>3.6404105112430103E-4</v>
      </c>
      <c r="G10254" s="2890">
        <v>1.3767187810923898</v>
      </c>
    </row>
    <row r="10255" spans="2:7" ht="15" hidden="1" outlineLevel="2">
      <c r="B10255" s="2889" t="s">
        <v>1407</v>
      </c>
      <c r="C10255" s="2889" t="s">
        <v>1501</v>
      </c>
      <c r="D10255" s="2889" t="s">
        <v>1054</v>
      </c>
      <c r="E10255" s="2889" t="s">
        <v>1420</v>
      </c>
      <c r="F10255" s="2890">
        <v>4.5658662558795338E-4</v>
      </c>
      <c r="G10255" s="2890">
        <v>3.3523799833484489</v>
      </c>
    </row>
    <row r="10256" spans="2:7" ht="15" hidden="1" outlineLevel="2">
      <c r="B10256" s="2889" t="s">
        <v>1407</v>
      </c>
      <c r="C10256" s="2889" t="s">
        <v>1502</v>
      </c>
      <c r="D10256" s="2889" t="s">
        <v>1054</v>
      </c>
      <c r="E10256" s="2889" t="s">
        <v>1420</v>
      </c>
      <c r="F10256" s="2890">
        <v>3.1858397912640682E-5</v>
      </c>
      <c r="G10256" s="2890">
        <v>0.35019436064044152</v>
      </c>
    </row>
    <row r="10257" spans="2:7" ht="15" hidden="1" outlineLevel="2">
      <c r="B10257" s="2889" t="s">
        <v>1407</v>
      </c>
      <c r="C10257" s="2889" t="s">
        <v>1503</v>
      </c>
      <c r="D10257" s="2889" t="s">
        <v>1054</v>
      </c>
      <c r="E10257" s="2889" t="s">
        <v>1420</v>
      </c>
      <c r="F10257" s="2890">
        <v>1.0506606430807563E-3</v>
      </c>
      <c r="G10257" s="2890">
        <v>2.9008818485955983</v>
      </c>
    </row>
    <row r="10258" spans="2:7" ht="15" hidden="1" outlineLevel="2">
      <c r="B10258" s="2889" t="s">
        <v>1407</v>
      </c>
      <c r="C10258" s="2889" t="s">
        <v>1504</v>
      </c>
      <c r="D10258" s="2889" t="s">
        <v>1054</v>
      </c>
      <c r="E10258" s="2889" t="s">
        <v>1420</v>
      </c>
      <c r="F10258" s="2890">
        <v>5.419616215420781E-4</v>
      </c>
      <c r="G10258" s="2890">
        <v>1.1996342157668611</v>
      </c>
    </row>
    <row r="10259" spans="2:7" ht="15" hidden="1" outlineLevel="2">
      <c r="B10259" s="2889" t="s">
        <v>1407</v>
      </c>
      <c r="C10259" s="2889" t="s">
        <v>1505</v>
      </c>
      <c r="D10259" s="2889" t="s">
        <v>1054</v>
      </c>
      <c r="E10259" s="2889" t="s">
        <v>1423</v>
      </c>
      <c r="F10259" s="2890">
        <v>1.536882996822734E-3</v>
      </c>
      <c r="G10259" s="2890">
        <v>3.8034520024112894E-2</v>
      </c>
    </row>
    <row r="10260" spans="2:7" ht="15" hidden="1" outlineLevel="2">
      <c r="B10260" s="2889" t="s">
        <v>1407</v>
      </c>
      <c r="C10260" s="2889" t="s">
        <v>1506</v>
      </c>
      <c r="D10260" s="2889" t="s">
        <v>1054</v>
      </c>
      <c r="E10260" s="2889" t="s">
        <v>1426</v>
      </c>
      <c r="F10260" s="2891"/>
      <c r="G10260" s="2890">
        <v>112.92892940228325</v>
      </c>
    </row>
    <row r="10261" spans="2:7" ht="15" hidden="1" outlineLevel="2">
      <c r="B10261" s="2889" t="s">
        <v>1407</v>
      </c>
      <c r="C10261" s="2889" t="s">
        <v>1507</v>
      </c>
      <c r="D10261" s="2889" t="s">
        <v>1054</v>
      </c>
      <c r="E10261" s="2889" t="s">
        <v>1426</v>
      </c>
      <c r="F10261" s="2891"/>
      <c r="G10261" s="2890">
        <v>0.18408181297184548</v>
      </c>
    </row>
    <row r="10262" spans="2:7" ht="15" hidden="1" outlineLevel="2">
      <c r="B10262" s="2889" t="s">
        <v>1407</v>
      </c>
      <c r="C10262" s="2889" t="s">
        <v>1508</v>
      </c>
      <c r="D10262" s="2889" t="s">
        <v>1054</v>
      </c>
      <c r="E10262" s="2889" t="s">
        <v>1426</v>
      </c>
      <c r="F10262" s="2891"/>
      <c r="G10262" s="2890">
        <v>3.0326834664232796</v>
      </c>
    </row>
    <row r="10263" spans="2:7" ht="15" hidden="1" outlineLevel="2">
      <c r="B10263" s="2889" t="s">
        <v>1407</v>
      </c>
      <c r="C10263" s="2889" t="s">
        <v>1509</v>
      </c>
      <c r="D10263" s="2889" t="s">
        <v>1054</v>
      </c>
      <c r="E10263" s="2889" t="s">
        <v>1426</v>
      </c>
      <c r="F10263" s="2891"/>
      <c r="G10263" s="2890">
        <v>282.67437396437674</v>
      </c>
    </row>
    <row r="10264" spans="2:7" ht="15" hidden="1" outlineLevel="2">
      <c r="B10264" s="2889" t="s">
        <v>1407</v>
      </c>
      <c r="C10264" s="2889" t="s">
        <v>1510</v>
      </c>
      <c r="D10264" s="2889" t="s">
        <v>1054</v>
      </c>
      <c r="E10264" s="2889" t="s">
        <v>1426</v>
      </c>
      <c r="F10264" s="2891"/>
      <c r="G10264" s="2890">
        <v>307.49028747185116</v>
      </c>
    </row>
    <row r="10265" spans="2:7" ht="15" hidden="1" outlineLevel="2">
      <c r="B10265" s="2889" t="s">
        <v>1407</v>
      </c>
      <c r="C10265" s="2889" t="s">
        <v>1511</v>
      </c>
      <c r="D10265" s="2889" t="s">
        <v>1054</v>
      </c>
      <c r="E10265" s="2889" t="s">
        <v>1426</v>
      </c>
      <c r="F10265" s="2891"/>
      <c r="G10265" s="2890">
        <v>16.940687290986229</v>
      </c>
    </row>
    <row r="10266" spans="2:7" ht="15" hidden="1" outlineLevel="2">
      <c r="B10266" s="2889" t="s">
        <v>1407</v>
      </c>
      <c r="C10266" s="2889" t="s">
        <v>1512</v>
      </c>
      <c r="D10266" s="2889" t="s">
        <v>1054</v>
      </c>
      <c r="E10266" s="2889" t="s">
        <v>1426</v>
      </c>
      <c r="F10266" s="2891"/>
      <c r="G10266" s="2890">
        <v>10.456299590518821</v>
      </c>
    </row>
    <row r="10267" spans="2:7" ht="15" hidden="1" outlineLevel="2">
      <c r="B10267" s="2889" t="s">
        <v>1407</v>
      </c>
      <c r="C10267" s="2889" t="s">
        <v>1513</v>
      </c>
      <c r="D10267" s="2889" t="s">
        <v>1054</v>
      </c>
      <c r="E10267" s="2889" t="s">
        <v>1426</v>
      </c>
      <c r="F10267" s="2891"/>
      <c r="G10267" s="2890">
        <v>31.221973803910892</v>
      </c>
    </row>
    <row r="10268" spans="2:7" ht="15" hidden="1" outlineLevel="2">
      <c r="B10268" s="2889" t="s">
        <v>1407</v>
      </c>
      <c r="C10268" s="2889" t="s">
        <v>1514</v>
      </c>
      <c r="D10268" s="2889" t="s">
        <v>1054</v>
      </c>
      <c r="E10268" s="2889" t="s">
        <v>1426</v>
      </c>
      <c r="F10268" s="2891"/>
      <c r="G10268" s="2890">
        <v>134.10446074404604</v>
      </c>
    </row>
    <row r="10269" spans="2:7" ht="15" hidden="1" outlineLevel="2">
      <c r="B10269" s="2889" t="s">
        <v>1407</v>
      </c>
      <c r="C10269" s="2889" t="s">
        <v>1515</v>
      </c>
      <c r="D10269" s="2889" t="s">
        <v>1054</v>
      </c>
      <c r="E10269" s="2889" t="s">
        <v>1426</v>
      </c>
      <c r="F10269" s="2891"/>
      <c r="G10269" s="2890">
        <v>115.31415754520516</v>
      </c>
    </row>
    <row r="10270" spans="2:7" ht="15" hidden="1" outlineLevel="2">
      <c r="B10270" s="2889" t="s">
        <v>1407</v>
      </c>
      <c r="C10270" s="2889" t="s">
        <v>1516</v>
      </c>
      <c r="D10270" s="2889" t="s">
        <v>1054</v>
      </c>
      <c r="E10270" s="2889" t="s">
        <v>1426</v>
      </c>
      <c r="F10270" s="2891"/>
      <c r="G10270" s="2890">
        <v>1145.5710764301989</v>
      </c>
    </row>
    <row r="10271" spans="2:7" ht="15" hidden="1" outlineLevel="2">
      <c r="B10271" s="2889" t="s">
        <v>1407</v>
      </c>
      <c r="C10271" s="2889" t="s">
        <v>1517</v>
      </c>
      <c r="D10271" s="2889" t="s">
        <v>1054</v>
      </c>
      <c r="E10271" s="2889" t="s">
        <v>1426</v>
      </c>
      <c r="F10271" s="2891"/>
      <c r="G10271" s="2890">
        <v>9.5024559023550985</v>
      </c>
    </row>
    <row r="10272" spans="2:7" ht="15" hidden="1" outlineLevel="2">
      <c r="B10272" s="2889" t="s">
        <v>1407</v>
      </c>
      <c r="C10272" s="2889" t="s">
        <v>1518</v>
      </c>
      <c r="D10272" s="2889" t="s">
        <v>1054</v>
      </c>
      <c r="E10272" s="2889" t="s">
        <v>1426</v>
      </c>
      <c r="F10272" s="2891"/>
      <c r="G10272" s="2890">
        <v>4.4884455108699131</v>
      </c>
    </row>
    <row r="10273" spans="2:7" ht="15" hidden="1" outlineLevel="2">
      <c r="B10273" s="2889" t="s">
        <v>1407</v>
      </c>
      <c r="C10273" s="2889" t="s">
        <v>1519</v>
      </c>
      <c r="D10273" s="2889" t="s">
        <v>1054</v>
      </c>
      <c r="E10273" s="2889" t="s">
        <v>1426</v>
      </c>
      <c r="F10273" s="2891"/>
      <c r="G10273" s="2890">
        <v>261.6385610994264</v>
      </c>
    </row>
    <row r="10274" spans="2:7" ht="15" hidden="1" outlineLevel="2">
      <c r="B10274" s="2889" t="s">
        <v>1407</v>
      </c>
      <c r="C10274" s="2889" t="s">
        <v>1520</v>
      </c>
      <c r="D10274" s="2889" t="s">
        <v>1054</v>
      </c>
      <c r="E10274" s="2889" t="s">
        <v>1426</v>
      </c>
      <c r="F10274" s="2891"/>
      <c r="G10274" s="2890">
        <v>285.01103413851428</v>
      </c>
    </row>
    <row r="10275" spans="2:7" ht="15" hidden="1" outlineLevel="2">
      <c r="B10275" s="2889" t="s">
        <v>1407</v>
      </c>
      <c r="C10275" s="2889" t="s">
        <v>1521</v>
      </c>
      <c r="D10275" s="2889" t="s">
        <v>1054</v>
      </c>
      <c r="E10275" s="2889" t="s">
        <v>1426</v>
      </c>
      <c r="F10275" s="2891"/>
      <c r="G10275" s="2890">
        <v>979.79990107837341</v>
      </c>
    </row>
    <row r="10276" spans="2:7" ht="15" hidden="1" outlineLevel="2">
      <c r="B10276" s="2889" t="s">
        <v>1407</v>
      </c>
      <c r="C10276" s="2889" t="s">
        <v>1522</v>
      </c>
      <c r="D10276" s="2889" t="s">
        <v>1054</v>
      </c>
      <c r="E10276" s="2889" t="s">
        <v>1426</v>
      </c>
      <c r="F10276" s="2891"/>
      <c r="G10276" s="2890">
        <v>46.127607117533302</v>
      </c>
    </row>
    <row r="10277" spans="2:7" ht="15" hidden="1" outlineLevel="2">
      <c r="B10277" s="2889" t="s">
        <v>1407</v>
      </c>
      <c r="C10277" s="2889" t="s">
        <v>1523</v>
      </c>
      <c r="D10277" s="2889" t="s">
        <v>1054</v>
      </c>
      <c r="E10277" s="2889" t="s">
        <v>1426</v>
      </c>
      <c r="F10277" s="2891"/>
      <c r="G10277" s="2890">
        <v>366.68355618345879</v>
      </c>
    </row>
    <row r="10278" spans="2:7" ht="15" hidden="1" outlineLevel="2">
      <c r="B10278" s="2889" t="s">
        <v>1407</v>
      </c>
      <c r="C10278" s="2889" t="s">
        <v>1524</v>
      </c>
      <c r="D10278" s="2889" t="s">
        <v>1054</v>
      </c>
      <c r="E10278" s="2889" t="s">
        <v>1426</v>
      </c>
      <c r="F10278" s="2891"/>
      <c r="G10278" s="2890">
        <v>1246.9063462137522</v>
      </c>
    </row>
    <row r="10279" spans="2:7" ht="15" hidden="1" outlineLevel="2">
      <c r="B10279" s="2889" t="s">
        <v>1407</v>
      </c>
      <c r="C10279" s="2889" t="s">
        <v>1525</v>
      </c>
      <c r="D10279" s="2889" t="s">
        <v>1054</v>
      </c>
      <c r="E10279" s="2889" t="s">
        <v>1426</v>
      </c>
      <c r="F10279" s="2891"/>
      <c r="G10279" s="2890">
        <v>756.17298695551699</v>
      </c>
    </row>
    <row r="10280" spans="2:7" ht="15" hidden="1" outlineLevel="2">
      <c r="B10280" s="2889" t="s">
        <v>1407</v>
      </c>
      <c r="C10280" s="2889" t="s">
        <v>1526</v>
      </c>
      <c r="D10280" s="2889" t="s">
        <v>1054</v>
      </c>
      <c r="E10280" s="2889" t="s">
        <v>1426</v>
      </c>
      <c r="F10280" s="2891"/>
      <c r="G10280" s="2890">
        <v>1141.1631230349922</v>
      </c>
    </row>
    <row r="10281" spans="2:7" ht="15" hidden="1" outlineLevel="2">
      <c r="B10281" s="2889" t="s">
        <v>1407</v>
      </c>
      <c r="C10281" s="2889" t="s">
        <v>1527</v>
      </c>
      <c r="D10281" s="2889" t="s">
        <v>1054</v>
      </c>
      <c r="E10281" s="2889" t="s">
        <v>1426</v>
      </c>
      <c r="F10281" s="2891"/>
      <c r="G10281" s="2890">
        <v>518.50119686893345</v>
      </c>
    </row>
    <row r="10282" spans="2:7" ht="15" hidden="1" outlineLevel="2">
      <c r="B10282" s="2889" t="s">
        <v>1407</v>
      </c>
      <c r="C10282" s="2889" t="s">
        <v>1528</v>
      </c>
      <c r="D10282" s="2889" t="s">
        <v>1054</v>
      </c>
      <c r="E10282" s="2889" t="s">
        <v>1426</v>
      </c>
      <c r="F10282" s="2891"/>
      <c r="G10282" s="2890">
        <v>122.74568863682644</v>
      </c>
    </row>
    <row r="10283" spans="2:7" ht="15" hidden="1" outlineLevel="2">
      <c r="B10283" s="2889" t="s">
        <v>1407</v>
      </c>
      <c r="C10283" s="2889" t="s">
        <v>1529</v>
      </c>
      <c r="D10283" s="2889" t="s">
        <v>1054</v>
      </c>
      <c r="E10283" s="2889" t="s">
        <v>1426</v>
      </c>
      <c r="F10283" s="2891"/>
      <c r="G10283" s="2890">
        <v>1.5975416149777744</v>
      </c>
    </row>
    <row r="10284" spans="2:7" ht="15" hidden="1" outlineLevel="2">
      <c r="B10284" s="2889" t="s">
        <v>1407</v>
      </c>
      <c r="C10284" s="2889" t="s">
        <v>1530</v>
      </c>
      <c r="D10284" s="2889" t="s">
        <v>1054</v>
      </c>
      <c r="E10284" s="2889" t="s">
        <v>1426</v>
      </c>
      <c r="F10284" s="2891"/>
      <c r="G10284" s="2890">
        <v>117.61955531510569</v>
      </c>
    </row>
    <row r="10285" spans="2:7" ht="15" hidden="1" outlineLevel="2">
      <c r="B10285" s="2889" t="s">
        <v>1407</v>
      </c>
      <c r="C10285" s="2889" t="s">
        <v>1531</v>
      </c>
      <c r="D10285" s="2889" t="s">
        <v>1106</v>
      </c>
      <c r="E10285" s="2889" t="s">
        <v>217</v>
      </c>
      <c r="F10285" s="2890">
        <v>2.9567878804087519E-4</v>
      </c>
      <c r="G10285" s="2890">
        <v>0.13254097279533403</v>
      </c>
    </row>
    <row r="10286" spans="2:7" ht="15" hidden="1" outlineLevel="2">
      <c r="B10286" s="2889" t="s">
        <v>1407</v>
      </c>
      <c r="C10286" s="2889" t="s">
        <v>1532</v>
      </c>
      <c r="D10286" s="2889" t="s">
        <v>1106</v>
      </c>
      <c r="E10286" s="2889" t="s">
        <v>217</v>
      </c>
      <c r="F10286" s="2890">
        <v>2.328732541675699E-5</v>
      </c>
      <c r="G10286" s="2890">
        <v>1.0438782064317333E-2</v>
      </c>
    </row>
    <row r="10287" spans="2:7" ht="15" hidden="1" outlineLevel="2">
      <c r="B10287" s="2889" t="s">
        <v>1407</v>
      </c>
      <c r="C10287" s="2889" t="s">
        <v>1533</v>
      </c>
      <c r="D10287" s="2889" t="s">
        <v>1106</v>
      </c>
      <c r="E10287" s="2889" t="s">
        <v>217</v>
      </c>
      <c r="F10287" s="2890">
        <v>1.5213487945923707E-2</v>
      </c>
      <c r="G10287" s="2890">
        <v>16.121582572880097</v>
      </c>
    </row>
    <row r="10288" spans="2:7" ht="15" hidden="1" outlineLevel="2">
      <c r="B10288" s="2889" t="s">
        <v>1407</v>
      </c>
      <c r="C10288" s="2889" t="s">
        <v>1534</v>
      </c>
      <c r="D10288" s="2889" t="s">
        <v>1106</v>
      </c>
      <c r="E10288" s="2889" t="s">
        <v>217</v>
      </c>
      <c r="F10288" s="2890">
        <v>1.3833928443991507E-2</v>
      </c>
      <c r="G10288" s="2890">
        <v>47.740332808858454</v>
      </c>
    </row>
    <row r="10289" spans="2:7" ht="15" hidden="1" outlineLevel="2">
      <c r="B10289" s="2889" t="s">
        <v>1407</v>
      </c>
      <c r="C10289" s="2889" t="s">
        <v>1535</v>
      </c>
      <c r="D10289" s="2889" t="s">
        <v>1106</v>
      </c>
      <c r="E10289" s="2889" t="s">
        <v>217</v>
      </c>
      <c r="F10289" s="2890">
        <v>5.1795970225510827E-3</v>
      </c>
      <c r="G10289" s="2890">
        <v>12.056931147145857</v>
      </c>
    </row>
    <row r="10290" spans="2:7" ht="15" hidden="1" outlineLevel="2">
      <c r="B10290" s="2889" t="s">
        <v>1407</v>
      </c>
      <c r="C10290" s="2889" t="s">
        <v>1536</v>
      </c>
      <c r="D10290" s="2889" t="s">
        <v>1106</v>
      </c>
      <c r="E10290" s="2889" t="s">
        <v>217</v>
      </c>
      <c r="F10290" s="2890">
        <v>1.7380174622713719E-2</v>
      </c>
      <c r="G10290" s="2890">
        <v>22.473574423545639</v>
      </c>
    </row>
    <row r="10291" spans="2:7" ht="15" hidden="1" outlineLevel="2">
      <c r="B10291" s="2889" t="s">
        <v>1407</v>
      </c>
      <c r="C10291" s="2889" t="s">
        <v>1537</v>
      </c>
      <c r="D10291" s="2889" t="s">
        <v>1106</v>
      </c>
      <c r="E10291" s="2889" t="s">
        <v>217</v>
      </c>
      <c r="F10291" s="2890">
        <v>9.7202809782820864E-4</v>
      </c>
      <c r="G10291" s="2890">
        <v>1.1041873832889446</v>
      </c>
    </row>
    <row r="10292" spans="2:7" ht="15" hidden="1" outlineLevel="2">
      <c r="B10292" s="2889" t="s">
        <v>1407</v>
      </c>
      <c r="C10292" s="2889" t="s">
        <v>1538</v>
      </c>
      <c r="D10292" s="2889" t="s">
        <v>1106</v>
      </c>
      <c r="E10292" s="2889" t="s">
        <v>217</v>
      </c>
      <c r="F10292" s="2890">
        <v>3.775422395862531E-4</v>
      </c>
      <c r="G10292" s="2890">
        <v>0.50614138875111869</v>
      </c>
    </row>
    <row r="10293" spans="2:7" ht="15" hidden="1" outlineLevel="2">
      <c r="B10293" s="2889" t="s">
        <v>1407</v>
      </c>
      <c r="C10293" s="2889" t="s">
        <v>1539</v>
      </c>
      <c r="D10293" s="2889" t="s">
        <v>1106</v>
      </c>
      <c r="E10293" s="2889" t="s">
        <v>217</v>
      </c>
      <c r="F10293" s="2890">
        <v>3.8226915338767921E-4</v>
      </c>
      <c r="G10293" s="2890">
        <v>4.8680174919265484</v>
      </c>
    </row>
    <row r="10294" spans="2:7" ht="15" hidden="1" outlineLevel="2">
      <c r="B10294" s="2889" t="s">
        <v>1407</v>
      </c>
      <c r="C10294" s="2889" t="s">
        <v>1540</v>
      </c>
      <c r="D10294" s="2889" t="s">
        <v>1106</v>
      </c>
      <c r="E10294" s="2889" t="s">
        <v>1420</v>
      </c>
      <c r="F10294" s="2890">
        <v>1.6829863942939813E-2</v>
      </c>
      <c r="G10294" s="2890">
        <v>40.840492336706774</v>
      </c>
    </row>
    <row r="10295" spans="2:7" ht="15" hidden="1" outlineLevel="2">
      <c r="B10295" s="2889" t="s">
        <v>1407</v>
      </c>
      <c r="C10295" s="2889" t="s">
        <v>1541</v>
      </c>
      <c r="D10295" s="2889" t="s">
        <v>1106</v>
      </c>
      <c r="E10295" s="2889" t="s">
        <v>1420</v>
      </c>
      <c r="F10295" s="2890">
        <v>0.49046167252809003</v>
      </c>
      <c r="G10295" s="2890">
        <v>3610.9267438831225</v>
      </c>
    </row>
    <row r="10296" spans="2:7" ht="15" hidden="1" outlineLevel="2">
      <c r="B10296" s="2889" t="s">
        <v>1407</v>
      </c>
      <c r="C10296" s="2889" t="s">
        <v>1542</v>
      </c>
      <c r="D10296" s="2889" t="s">
        <v>1106</v>
      </c>
      <c r="E10296" s="2889" t="s">
        <v>1420</v>
      </c>
      <c r="F10296" s="2890">
        <v>2.3855812318781494E-3</v>
      </c>
      <c r="G10296" s="2890">
        <v>27.298695493587068</v>
      </c>
    </row>
    <row r="10297" spans="2:7" ht="15" hidden="1" outlineLevel="2">
      <c r="B10297" s="2889" t="s">
        <v>1407</v>
      </c>
      <c r="C10297" s="2889" t="s">
        <v>1543</v>
      </c>
      <c r="D10297" s="2889" t="s">
        <v>1106</v>
      </c>
      <c r="E10297" s="2889" t="s">
        <v>1420</v>
      </c>
      <c r="F10297" s="2890">
        <v>8.6447508423933791E-4</v>
      </c>
      <c r="G10297" s="2890">
        <v>8.4613329321624224</v>
      </c>
    </row>
    <row r="10298" spans="2:7" ht="15" hidden="1" outlineLevel="2">
      <c r="B10298" s="2889" t="s">
        <v>1407</v>
      </c>
      <c r="C10298" s="2889" t="s">
        <v>1544</v>
      </c>
      <c r="D10298" s="2889" t="s">
        <v>1106</v>
      </c>
      <c r="E10298" s="2889" t="s">
        <v>1420</v>
      </c>
      <c r="F10298" s="2890">
        <v>8.3556376516019681E-4</v>
      </c>
      <c r="G10298" s="2890">
        <v>2.1831714079490294</v>
      </c>
    </row>
    <row r="10299" spans="2:7" ht="15" hidden="1" outlineLevel="2">
      <c r="B10299" s="2889" t="s">
        <v>1407</v>
      </c>
      <c r="C10299" s="2889" t="s">
        <v>1545</v>
      </c>
      <c r="D10299" s="2889" t="s">
        <v>1106</v>
      </c>
      <c r="E10299" s="2889" t="s">
        <v>1420</v>
      </c>
      <c r="F10299" s="2890">
        <v>8.3559984622763183E-4</v>
      </c>
      <c r="G10299" s="2890">
        <v>16.605585697720802</v>
      </c>
    </row>
    <row r="10300" spans="2:7" ht="15" hidden="1" outlineLevel="2">
      <c r="B10300" s="2889" t="s">
        <v>1407</v>
      </c>
      <c r="C10300" s="2889" t="s">
        <v>1546</v>
      </c>
      <c r="D10300" s="2889" t="s">
        <v>1106</v>
      </c>
      <c r="E10300" s="2889" t="s">
        <v>1423</v>
      </c>
      <c r="F10300" s="2890">
        <v>2.532990367871486</v>
      </c>
      <c r="G10300" s="2890">
        <v>213.16564248675621</v>
      </c>
    </row>
    <row r="10301" spans="2:7" ht="15" hidden="1" outlineLevel="2">
      <c r="B10301" s="2889" t="s">
        <v>1407</v>
      </c>
      <c r="C10301" s="2889" t="s">
        <v>1547</v>
      </c>
      <c r="D10301" s="2889" t="s">
        <v>1106</v>
      </c>
      <c r="E10301" s="2889" t="s">
        <v>1423</v>
      </c>
      <c r="F10301" s="2890">
        <v>2.7666735069338424E-3</v>
      </c>
      <c r="G10301" s="2890">
        <v>0.24227060685691709</v>
      </c>
    </row>
    <row r="10302" spans="2:7" ht="15" hidden="1" outlineLevel="2">
      <c r="B10302" s="2889" t="s">
        <v>1407</v>
      </c>
      <c r="C10302" s="2889" t="s">
        <v>1548</v>
      </c>
      <c r="D10302" s="2889" t="s">
        <v>1106</v>
      </c>
      <c r="E10302" s="2889" t="s">
        <v>1423</v>
      </c>
      <c r="F10302" s="2890">
        <v>1.290928290094334E-3</v>
      </c>
      <c r="G10302" s="2890">
        <v>0.13230678034539711</v>
      </c>
    </row>
    <row r="10303" spans="2:7" ht="15" hidden="1" outlineLevel="2">
      <c r="B10303" s="2889" t="s">
        <v>1407</v>
      </c>
      <c r="C10303" s="2889" t="s">
        <v>1549</v>
      </c>
      <c r="D10303" s="2889" t="s">
        <v>1106</v>
      </c>
      <c r="E10303" s="2889" t="s">
        <v>1423</v>
      </c>
      <c r="F10303" s="2890">
        <v>4.8520215838762787E-3</v>
      </c>
      <c r="G10303" s="2890">
        <v>0.47779736696586422</v>
      </c>
    </row>
    <row r="10304" spans="2:7" ht="15" hidden="1" outlineLevel="2">
      <c r="B10304" s="2889" t="s">
        <v>1407</v>
      </c>
      <c r="C10304" s="2889" t="s">
        <v>1550</v>
      </c>
      <c r="D10304" s="2889" t="s">
        <v>1106</v>
      </c>
      <c r="E10304" s="2889" t="s">
        <v>1423</v>
      </c>
      <c r="F10304" s="2890">
        <v>4.3961793005563221E-3</v>
      </c>
      <c r="G10304" s="2890">
        <v>0.98860506487890709</v>
      </c>
    </row>
    <row r="10305" spans="2:7" ht="15" hidden="1" outlineLevel="2">
      <c r="B10305" s="2889" t="s">
        <v>1407</v>
      </c>
      <c r="C10305" s="2889" t="s">
        <v>1551</v>
      </c>
      <c r="D10305" s="2889" t="s">
        <v>1106</v>
      </c>
      <c r="E10305" s="2889" t="s">
        <v>1426</v>
      </c>
      <c r="F10305" s="2891"/>
      <c r="G10305" s="2890">
        <v>66.445888904003255</v>
      </c>
    </row>
    <row r="10306" spans="2:7" ht="15" hidden="1" outlineLevel="2">
      <c r="B10306" s="2889" t="s">
        <v>1407</v>
      </c>
      <c r="C10306" s="2889" t="s">
        <v>1552</v>
      </c>
      <c r="D10306" s="2889" t="s">
        <v>1106</v>
      </c>
      <c r="E10306" s="2889" t="s">
        <v>1426</v>
      </c>
      <c r="F10306" s="2891"/>
      <c r="G10306" s="2890">
        <v>964.16756321826358</v>
      </c>
    </row>
    <row r="10307" spans="2:7" ht="15" hidden="1" outlineLevel="2">
      <c r="B10307" s="2889" t="s">
        <v>1407</v>
      </c>
      <c r="C10307" s="2889" t="s">
        <v>1553</v>
      </c>
      <c r="D10307" s="2889" t="s">
        <v>1106</v>
      </c>
      <c r="E10307" s="2889" t="s">
        <v>1426</v>
      </c>
      <c r="F10307" s="2891"/>
      <c r="G10307" s="2890">
        <v>420.82737188225394</v>
      </c>
    </row>
    <row r="10308" spans="2:7" ht="15" hidden="1" outlineLevel="2">
      <c r="B10308" s="2889" t="s">
        <v>1407</v>
      </c>
      <c r="C10308" s="2889" t="s">
        <v>1554</v>
      </c>
      <c r="D10308" s="2889" t="s">
        <v>1106</v>
      </c>
      <c r="E10308" s="2889" t="s">
        <v>1426</v>
      </c>
      <c r="F10308" s="2891"/>
      <c r="G10308" s="2890">
        <v>427.13535143347184</v>
      </c>
    </row>
    <row r="10309" spans="2:7" ht="15" hidden="1" outlineLevel="2">
      <c r="B10309" s="2889" t="s">
        <v>1407</v>
      </c>
      <c r="C10309" s="2889" t="s">
        <v>1555</v>
      </c>
      <c r="D10309" s="2889" t="s">
        <v>1106</v>
      </c>
      <c r="E10309" s="2889" t="s">
        <v>1426</v>
      </c>
      <c r="F10309" s="2891"/>
      <c r="G10309" s="2890">
        <v>16.420604497432766</v>
      </c>
    </row>
    <row r="10310" spans="2:7" ht="15" hidden="1" outlineLevel="2">
      <c r="B10310" s="2889" t="s">
        <v>1407</v>
      </c>
      <c r="C10310" s="2889" t="s">
        <v>1556</v>
      </c>
      <c r="D10310" s="2889" t="s">
        <v>1106</v>
      </c>
      <c r="E10310" s="2889" t="s">
        <v>1426</v>
      </c>
      <c r="F10310" s="2891"/>
      <c r="G10310" s="2890">
        <v>1389.7914665156632</v>
      </c>
    </row>
    <row r="10311" spans="2:7" ht="15" hidden="1" outlineLevel="2">
      <c r="B10311" s="2889" t="s">
        <v>1407</v>
      </c>
      <c r="C10311" s="2889" t="s">
        <v>1557</v>
      </c>
      <c r="D10311" s="2889" t="s">
        <v>1106</v>
      </c>
      <c r="E10311" s="2889" t="s">
        <v>1426</v>
      </c>
      <c r="F10311" s="2891"/>
      <c r="G10311" s="2890">
        <v>607.01783185409033</v>
      </c>
    </row>
    <row r="10312" spans="2:7" ht="15" hidden="1" outlineLevel="2">
      <c r="B10312" s="2889" t="s">
        <v>1407</v>
      </c>
      <c r="C10312" s="2889" t="s">
        <v>1558</v>
      </c>
      <c r="D10312" s="2889" t="s">
        <v>1559</v>
      </c>
      <c r="E10312" s="2889" t="s">
        <v>217</v>
      </c>
      <c r="F10312" s="2890">
        <v>6.0088696429767266E-3</v>
      </c>
      <c r="G10312" s="2890">
        <v>3.2911559318039401</v>
      </c>
    </row>
    <row r="10313" spans="2:7" ht="15" hidden="1" outlineLevel="2">
      <c r="B10313" s="2889" t="s">
        <v>1407</v>
      </c>
      <c r="C10313" s="2889" t="s">
        <v>1560</v>
      </c>
      <c r="D10313" s="2889" t="s">
        <v>1559</v>
      </c>
      <c r="E10313" s="2889" t="s">
        <v>217</v>
      </c>
      <c r="F10313" s="2890">
        <v>6.0660905659068141E-3</v>
      </c>
      <c r="G10313" s="2890">
        <v>3.2740856396465974</v>
      </c>
    </row>
    <row r="10314" spans="2:7" ht="15" hidden="1" outlineLevel="2">
      <c r="B10314" s="2889" t="s">
        <v>1407</v>
      </c>
      <c r="C10314" s="2889" t="s">
        <v>1561</v>
      </c>
      <c r="D10314" s="2889" t="s">
        <v>1559</v>
      </c>
      <c r="E10314" s="2889" t="s">
        <v>217</v>
      </c>
      <c r="F10314" s="2890">
        <v>8.6232075369762212E-2</v>
      </c>
      <c r="G10314" s="2890">
        <v>44.95990295533214</v>
      </c>
    </row>
    <row r="10315" spans="2:7" ht="15" hidden="1" outlineLevel="2">
      <c r="B10315" s="2889" t="s">
        <v>1407</v>
      </c>
      <c r="C10315" s="2889" t="s">
        <v>1562</v>
      </c>
      <c r="D10315" s="2889" t="s">
        <v>1559</v>
      </c>
      <c r="E10315" s="2889" t="s">
        <v>217</v>
      </c>
      <c r="F10315" s="2890">
        <v>6.6457514559632488E-2</v>
      </c>
      <c r="G10315" s="2890">
        <v>36.437103385874593</v>
      </c>
    </row>
    <row r="10316" spans="2:7" ht="15" hidden="1" outlineLevel="2">
      <c r="B10316" s="2889" t="s">
        <v>1407</v>
      </c>
      <c r="C10316" s="2889" t="s">
        <v>1563</v>
      </c>
      <c r="D10316" s="2889" t="s">
        <v>1559</v>
      </c>
      <c r="E10316" s="2889" t="s">
        <v>217</v>
      </c>
      <c r="F10316" s="2890">
        <v>0.10630655876500736</v>
      </c>
      <c r="G10316" s="2890">
        <v>62.653801976408573</v>
      </c>
    </row>
    <row r="10317" spans="2:7" ht="15" hidden="1" outlineLevel="2">
      <c r="B10317" s="2889" t="s">
        <v>1407</v>
      </c>
      <c r="C10317" s="2889" t="s">
        <v>1564</v>
      </c>
      <c r="D10317" s="2889" t="s">
        <v>1559</v>
      </c>
      <c r="E10317" s="2889" t="s">
        <v>217</v>
      </c>
      <c r="F10317" s="2890">
        <v>6.274423415274169E-2</v>
      </c>
      <c r="G10317" s="2890">
        <v>31.772529458901229</v>
      </c>
    </row>
    <row r="10318" spans="2:7" ht="15" hidden="1" outlineLevel="2">
      <c r="B10318" s="2889" t="s">
        <v>1407</v>
      </c>
      <c r="C10318" s="2889" t="s">
        <v>1565</v>
      </c>
      <c r="D10318" s="2889" t="s">
        <v>1559</v>
      </c>
      <c r="E10318" s="2889" t="s">
        <v>217</v>
      </c>
      <c r="F10318" s="2890">
        <v>7.4931532246820309E-2</v>
      </c>
      <c r="G10318" s="2890">
        <v>40.323839803129083</v>
      </c>
    </row>
    <row r="10319" spans="2:7" ht="15" hidden="1" outlineLevel="2">
      <c r="B10319" s="2889" t="s">
        <v>1407</v>
      </c>
      <c r="C10319" s="2889" t="s">
        <v>1566</v>
      </c>
      <c r="D10319" s="2889" t="s">
        <v>1559</v>
      </c>
      <c r="E10319" s="2889" t="s">
        <v>217</v>
      </c>
      <c r="F10319" s="2890">
        <v>5.5378745732760866E-2</v>
      </c>
      <c r="G10319" s="2890">
        <v>29.667979638745773</v>
      </c>
    </row>
    <row r="10320" spans="2:7" ht="15" hidden="1" outlineLevel="2">
      <c r="B10320" s="2889" t="s">
        <v>1407</v>
      </c>
      <c r="C10320" s="2889" t="s">
        <v>1567</v>
      </c>
      <c r="D10320" s="2889" t="s">
        <v>1559</v>
      </c>
      <c r="E10320" s="2889" t="s">
        <v>217</v>
      </c>
      <c r="F10320" s="2890">
        <v>0.13049815093121178</v>
      </c>
      <c r="G10320" s="2890">
        <v>19.191831458053741</v>
      </c>
    </row>
    <row r="10321" spans="2:7" ht="15" hidden="1" outlineLevel="2">
      <c r="B10321" s="2889" t="s">
        <v>1407</v>
      </c>
      <c r="C10321" s="2889" t="s">
        <v>1568</v>
      </c>
      <c r="D10321" s="2889" t="s">
        <v>1559</v>
      </c>
      <c r="E10321" s="2889" t="s">
        <v>217</v>
      </c>
      <c r="F10321" s="2890">
        <v>6.4460967931616847E-2</v>
      </c>
      <c r="G10321" s="2890">
        <v>9.480349901710543</v>
      </c>
    </row>
    <row r="10322" spans="2:7" ht="15" hidden="1" outlineLevel="2">
      <c r="B10322" s="2889" t="s">
        <v>1407</v>
      </c>
      <c r="C10322" s="2889" t="s">
        <v>1569</v>
      </c>
      <c r="D10322" s="2889" t="s">
        <v>1559</v>
      </c>
      <c r="E10322" s="2889" t="s">
        <v>217</v>
      </c>
      <c r="F10322" s="2890">
        <v>2.713018292373933E-5</v>
      </c>
      <c r="G10322" s="2890">
        <v>1.3560782379484939E-2</v>
      </c>
    </row>
    <row r="10323" spans="2:7" ht="15" hidden="1" outlineLevel="2">
      <c r="B10323" s="2889" t="s">
        <v>1407</v>
      </c>
      <c r="C10323" s="2889" t="s">
        <v>1570</v>
      </c>
      <c r="D10323" s="2889" t="s">
        <v>1559</v>
      </c>
      <c r="E10323" s="2889" t="s">
        <v>217</v>
      </c>
      <c r="F10323" s="2890">
        <v>0.90853161191334786</v>
      </c>
      <c r="G10323" s="2890">
        <v>561.68519784646469</v>
      </c>
    </row>
    <row r="10324" spans="2:7" ht="15" hidden="1" outlineLevel="2">
      <c r="B10324" s="2889" t="s">
        <v>1407</v>
      </c>
      <c r="C10324" s="2889" t="s">
        <v>1571</v>
      </c>
      <c r="D10324" s="2889" t="s">
        <v>1559</v>
      </c>
      <c r="E10324" s="2889" t="s">
        <v>217</v>
      </c>
      <c r="F10324" s="2890">
        <v>7.7982543407905391E-2</v>
      </c>
      <c r="G10324" s="2890">
        <v>92.616456155292056</v>
      </c>
    </row>
    <row r="10325" spans="2:7" ht="15" hidden="1" outlineLevel="2">
      <c r="B10325" s="2889" t="s">
        <v>1407</v>
      </c>
      <c r="C10325" s="2889" t="s">
        <v>1572</v>
      </c>
      <c r="D10325" s="2889" t="s">
        <v>1559</v>
      </c>
      <c r="E10325" s="2889" t="s">
        <v>217</v>
      </c>
      <c r="F10325" s="2890">
        <v>7.6802950533157041E-2</v>
      </c>
      <c r="G10325" s="2890">
        <v>47.098069005728441</v>
      </c>
    </row>
    <row r="10326" spans="2:7" ht="15" hidden="1" outlineLevel="2">
      <c r="B10326" s="2889" t="s">
        <v>1407</v>
      </c>
      <c r="C10326" s="2889" t="s">
        <v>1573</v>
      </c>
      <c r="D10326" s="2889" t="s">
        <v>1559</v>
      </c>
      <c r="E10326" s="2889" t="s">
        <v>217</v>
      </c>
      <c r="F10326" s="2890">
        <v>6.3209981428719544E-2</v>
      </c>
      <c r="G10326" s="2890">
        <v>47.14261590316498</v>
      </c>
    </row>
    <row r="10327" spans="2:7" ht="15" hidden="1" outlineLevel="2">
      <c r="B10327" s="2889" t="s">
        <v>1407</v>
      </c>
      <c r="C10327" s="2889" t="s">
        <v>1574</v>
      </c>
      <c r="D10327" s="2889" t="s">
        <v>1559</v>
      </c>
      <c r="E10327" s="2889" t="s">
        <v>217</v>
      </c>
      <c r="F10327" s="2890">
        <v>4.1628208638618616E-3</v>
      </c>
      <c r="G10327" s="2890">
        <v>3.1268944743017131</v>
      </c>
    </row>
    <row r="10328" spans="2:7" ht="15" hidden="1" outlineLevel="2">
      <c r="B10328" s="2889" t="s">
        <v>1407</v>
      </c>
      <c r="C10328" s="2889" t="s">
        <v>1575</v>
      </c>
      <c r="D10328" s="2889" t="s">
        <v>1559</v>
      </c>
      <c r="E10328" s="2889" t="s">
        <v>217</v>
      </c>
      <c r="F10328" s="2890">
        <v>1.7329488036997383E-3</v>
      </c>
      <c r="G10328" s="2890">
        <v>2.1454478635684042</v>
      </c>
    </row>
    <row r="10329" spans="2:7" ht="15" hidden="1" outlineLevel="2">
      <c r="B10329" s="2889" t="s">
        <v>1407</v>
      </c>
      <c r="C10329" s="2889" t="s">
        <v>1576</v>
      </c>
      <c r="D10329" s="2889" t="s">
        <v>1559</v>
      </c>
      <c r="E10329" s="2889" t="s">
        <v>217</v>
      </c>
      <c r="F10329" s="2890">
        <v>7.9229285568175704E-3</v>
      </c>
      <c r="G10329" s="2890">
        <v>5.9655548726052565</v>
      </c>
    </row>
    <row r="10330" spans="2:7" ht="15" hidden="1" outlineLevel="2">
      <c r="B10330" s="2889" t="s">
        <v>1407</v>
      </c>
      <c r="C10330" s="2889" t="s">
        <v>1577</v>
      </c>
      <c r="D10330" s="2889" t="s">
        <v>1559</v>
      </c>
      <c r="E10330" s="2889" t="s">
        <v>217</v>
      </c>
      <c r="F10330" s="2890">
        <v>5.6889140516091008E-2</v>
      </c>
      <c r="G10330" s="2890">
        <v>88.510750044489853</v>
      </c>
    </row>
    <row r="10331" spans="2:7" ht="15" hidden="1" outlineLevel="2">
      <c r="B10331" s="2889" t="s">
        <v>1407</v>
      </c>
      <c r="C10331" s="2889" t="s">
        <v>1578</v>
      </c>
      <c r="D10331" s="2889" t="s">
        <v>1559</v>
      </c>
      <c r="E10331" s="2889" t="s">
        <v>217</v>
      </c>
      <c r="F10331" s="2890">
        <v>0.11537054485283946</v>
      </c>
      <c r="G10331" s="2890">
        <v>62.005873852062422</v>
      </c>
    </row>
    <row r="10332" spans="2:7" ht="15" hidden="1" outlineLevel="2">
      <c r="B10332" s="2889" t="s">
        <v>1407</v>
      </c>
      <c r="C10332" s="2889" t="s">
        <v>1579</v>
      </c>
      <c r="D10332" s="2889" t="s">
        <v>1559</v>
      </c>
      <c r="E10332" s="2889" t="s">
        <v>217</v>
      </c>
      <c r="F10332" s="2890">
        <v>5.69852747144367E-2</v>
      </c>
      <c r="G10332" s="2890">
        <v>30.629543562713476</v>
      </c>
    </row>
    <row r="10333" spans="2:7" ht="15" hidden="1" outlineLevel="2">
      <c r="B10333" s="2889" t="s">
        <v>1407</v>
      </c>
      <c r="C10333" s="2889" t="s">
        <v>1580</v>
      </c>
      <c r="D10333" s="2889" t="s">
        <v>1559</v>
      </c>
      <c r="E10333" s="2889" t="s">
        <v>217</v>
      </c>
      <c r="F10333" s="2890">
        <v>8.9366902994803918E-2</v>
      </c>
      <c r="G10333" s="2890">
        <v>112.70001138933979</v>
      </c>
    </row>
    <row r="10334" spans="2:7" ht="15" hidden="1" outlineLevel="2">
      <c r="B10334" s="2889" t="s">
        <v>1407</v>
      </c>
      <c r="C10334" s="2889" t="s">
        <v>1581</v>
      </c>
      <c r="D10334" s="2889" t="s">
        <v>1559</v>
      </c>
      <c r="E10334" s="2889" t="s">
        <v>217</v>
      </c>
      <c r="F10334" s="2890">
        <v>7.2663141006427548E-3</v>
      </c>
      <c r="G10334" s="2890">
        <v>10.225895357995777</v>
      </c>
    </row>
    <row r="10335" spans="2:7" ht="15" hidden="1" outlineLevel="2">
      <c r="B10335" s="2889" t="s">
        <v>1407</v>
      </c>
      <c r="C10335" s="2889" t="s">
        <v>1582</v>
      </c>
      <c r="D10335" s="2889" t="s">
        <v>1559</v>
      </c>
      <c r="E10335" s="2889" t="s">
        <v>217</v>
      </c>
      <c r="F10335" s="2890">
        <v>1.0241550323163826E-2</v>
      </c>
      <c r="G10335" s="2890">
        <v>11.639181088941882</v>
      </c>
    </row>
    <row r="10336" spans="2:7" ht="15" hidden="1" outlineLevel="2">
      <c r="B10336" s="2889" t="s">
        <v>1407</v>
      </c>
      <c r="C10336" s="2889" t="s">
        <v>1583</v>
      </c>
      <c r="D10336" s="2889" t="s">
        <v>1559</v>
      </c>
      <c r="E10336" s="2889" t="s">
        <v>217</v>
      </c>
      <c r="F10336" s="2890">
        <v>7.8928660814043747E-3</v>
      </c>
      <c r="G10336" s="2890">
        <v>5.4199677442692993</v>
      </c>
    </row>
    <row r="10337" spans="2:7" ht="15" hidden="1" outlineLevel="2">
      <c r="B10337" s="2889" t="s">
        <v>1407</v>
      </c>
      <c r="C10337" s="2889" t="s">
        <v>1584</v>
      </c>
      <c r="D10337" s="2889" t="s">
        <v>1559</v>
      </c>
      <c r="E10337" s="2889" t="s">
        <v>217</v>
      </c>
      <c r="F10337" s="2890">
        <v>1.195011996534691</v>
      </c>
      <c r="G10337" s="2890">
        <v>1510.6664512089719</v>
      </c>
    </row>
    <row r="10338" spans="2:7" ht="15" hidden="1" outlineLevel="2">
      <c r="B10338" s="2889" t="s">
        <v>1407</v>
      </c>
      <c r="C10338" s="2889" t="s">
        <v>1585</v>
      </c>
      <c r="D10338" s="2889" t="s">
        <v>1559</v>
      </c>
      <c r="E10338" s="2889" t="s">
        <v>217</v>
      </c>
      <c r="F10338" s="2890">
        <v>9.8731820371513124E-2</v>
      </c>
      <c r="G10338" s="2890">
        <v>138.97454405505468</v>
      </c>
    </row>
    <row r="10339" spans="2:7" ht="15" hidden="1" outlineLevel="2">
      <c r="B10339" s="2889" t="s">
        <v>1407</v>
      </c>
      <c r="C10339" s="2889" t="s">
        <v>1586</v>
      </c>
      <c r="D10339" s="2889" t="s">
        <v>1559</v>
      </c>
      <c r="E10339" s="2889" t="s">
        <v>217</v>
      </c>
      <c r="F10339" s="2890">
        <v>1.111495915818419E-2</v>
      </c>
      <c r="G10339" s="2890">
        <v>23.267234694447765</v>
      </c>
    </row>
    <row r="10340" spans="2:7" ht="15" hidden="1" outlineLevel="2">
      <c r="B10340" s="2889" t="s">
        <v>1407</v>
      </c>
      <c r="C10340" s="2889" t="s">
        <v>1587</v>
      </c>
      <c r="D10340" s="2889" t="s">
        <v>1559</v>
      </c>
      <c r="E10340" s="2889" t="s">
        <v>217</v>
      </c>
      <c r="F10340" s="2890">
        <v>0.30920262396960679</v>
      </c>
      <c r="G10340" s="2890">
        <v>448.34078988604381</v>
      </c>
    </row>
    <row r="10341" spans="2:7" ht="15" hidden="1" outlineLevel="2">
      <c r="B10341" s="2889" t="s">
        <v>1407</v>
      </c>
      <c r="C10341" s="2889" t="s">
        <v>1588</v>
      </c>
      <c r="D10341" s="2889" t="s">
        <v>1559</v>
      </c>
      <c r="E10341" s="2889" t="s">
        <v>217</v>
      </c>
      <c r="F10341" s="2890">
        <v>6.8726367289984144E-2</v>
      </c>
      <c r="G10341" s="2890">
        <v>53.509703080186192</v>
      </c>
    </row>
    <row r="10342" spans="2:7" ht="15" hidden="1" outlineLevel="2">
      <c r="B10342" s="2889" t="s">
        <v>1407</v>
      </c>
      <c r="C10342" s="2889" t="s">
        <v>1589</v>
      </c>
      <c r="D10342" s="2889" t="s">
        <v>1559</v>
      </c>
      <c r="E10342" s="2889" t="s">
        <v>217</v>
      </c>
      <c r="F10342" s="2890">
        <v>1.7608283042233976E-2</v>
      </c>
      <c r="G10342" s="2890">
        <v>13.736981342543363</v>
      </c>
    </row>
    <row r="10343" spans="2:7" ht="15" hidden="1" outlineLevel="2">
      <c r="B10343" s="2889" t="s">
        <v>1407</v>
      </c>
      <c r="C10343" s="2889" t="s">
        <v>1590</v>
      </c>
      <c r="D10343" s="2889" t="s">
        <v>1559</v>
      </c>
      <c r="E10343" s="2889" t="s">
        <v>1420</v>
      </c>
      <c r="F10343" s="2890">
        <v>8.6526136381401774E-4</v>
      </c>
      <c r="G10343" s="2890">
        <v>7.7184874589368766</v>
      </c>
    </row>
    <row r="10344" spans="2:7" ht="15" hidden="1" outlineLevel="2">
      <c r="B10344" s="2889" t="s">
        <v>1407</v>
      </c>
      <c r="C10344" s="2889" t="s">
        <v>1591</v>
      </c>
      <c r="D10344" s="2889" t="s">
        <v>1559</v>
      </c>
      <c r="E10344" s="2889" t="s">
        <v>1426</v>
      </c>
      <c r="F10344" s="2891"/>
      <c r="G10344" s="2890">
        <v>1.1998162028731316E-2</v>
      </c>
    </row>
    <row r="10345" spans="2:7" ht="15" hidden="1" outlineLevel="2">
      <c r="B10345" s="2889" t="s">
        <v>1407</v>
      </c>
      <c r="C10345" s="2889" t="s">
        <v>1592</v>
      </c>
      <c r="D10345" s="2889" t="s">
        <v>1559</v>
      </c>
      <c r="E10345" s="2889" t="s">
        <v>1426</v>
      </c>
      <c r="F10345" s="2891"/>
      <c r="G10345" s="2890">
        <v>3.2064114795481493</v>
      </c>
    </row>
    <row r="10346" spans="2:7" ht="15" hidden="1" outlineLevel="2">
      <c r="B10346" s="2889" t="s">
        <v>1407</v>
      </c>
      <c r="C10346" s="2889" t="s">
        <v>1593</v>
      </c>
      <c r="D10346" s="2889" t="s">
        <v>1559</v>
      </c>
      <c r="E10346" s="2889" t="s">
        <v>1426</v>
      </c>
      <c r="F10346" s="2891"/>
      <c r="G10346" s="2890">
        <v>83.900870991751745</v>
      </c>
    </row>
    <row r="10347" spans="2:7" ht="15" hidden="1" outlineLevel="2">
      <c r="B10347" s="2889" t="s">
        <v>1407</v>
      </c>
      <c r="C10347" s="2889" t="s">
        <v>1594</v>
      </c>
      <c r="D10347" s="2889" t="s">
        <v>1559</v>
      </c>
      <c r="E10347" s="2889" t="s">
        <v>1426</v>
      </c>
      <c r="F10347" s="2891"/>
      <c r="G10347" s="2890">
        <v>17.314300642795118</v>
      </c>
    </row>
    <row r="10348" spans="2:7" ht="15" hidden="1" outlineLevel="2">
      <c r="B10348" s="2889" t="s">
        <v>1407</v>
      </c>
      <c r="C10348" s="2889" t="s">
        <v>1595</v>
      </c>
      <c r="D10348" s="2889" t="s">
        <v>1559</v>
      </c>
      <c r="E10348" s="2889" t="s">
        <v>1426</v>
      </c>
      <c r="F10348" s="2891"/>
      <c r="G10348" s="2890">
        <v>114.22880460026066</v>
      </c>
    </row>
    <row r="10349" spans="2:7" ht="15" hidden="1" outlineLevel="2">
      <c r="B10349" s="2889" t="s">
        <v>1407</v>
      </c>
      <c r="C10349" s="2889" t="s">
        <v>1596</v>
      </c>
      <c r="D10349" s="2889" t="s">
        <v>1559</v>
      </c>
      <c r="E10349" s="2889" t="s">
        <v>1426</v>
      </c>
      <c r="F10349" s="2891"/>
      <c r="G10349" s="2890">
        <v>13.468560388639375</v>
      </c>
    </row>
    <row r="10350" spans="2:7" ht="15" hidden="1" outlineLevel="2">
      <c r="B10350" s="2889" t="s">
        <v>1407</v>
      </c>
      <c r="C10350" s="2889" t="s">
        <v>1597</v>
      </c>
      <c r="D10350" s="2889" t="s">
        <v>1559</v>
      </c>
      <c r="E10350" s="2889" t="s">
        <v>1426</v>
      </c>
      <c r="F10350" s="2891"/>
      <c r="G10350" s="2890">
        <v>0.32082952351062732</v>
      </c>
    </row>
    <row r="10351" spans="2:7" ht="15" hidden="1" outlineLevel="2">
      <c r="B10351" s="2889" t="s">
        <v>1407</v>
      </c>
      <c r="C10351" s="2889" t="s">
        <v>1598</v>
      </c>
      <c r="D10351" s="2889" t="s">
        <v>1599</v>
      </c>
      <c r="E10351" s="2889" t="s">
        <v>217</v>
      </c>
      <c r="F10351" s="2890">
        <v>3.7180765131007001E-2</v>
      </c>
      <c r="G10351" s="2890">
        <v>21.499766962332874</v>
      </c>
    </row>
    <row r="10352" spans="2:7" ht="15" hidden="1" outlineLevel="2">
      <c r="B10352" s="2889" t="s">
        <v>1407</v>
      </c>
      <c r="C10352" s="2889" t="s">
        <v>1600</v>
      </c>
      <c r="D10352" s="2889" t="s">
        <v>1599</v>
      </c>
      <c r="E10352" s="2889" t="s">
        <v>217</v>
      </c>
      <c r="F10352" s="2890">
        <v>4.3932917690746628E-2</v>
      </c>
      <c r="G10352" s="2890">
        <v>48.410055519617352</v>
      </c>
    </row>
    <row r="10353" spans="2:7" ht="15" hidden="1" outlineLevel="2">
      <c r="B10353" s="2889" t="s">
        <v>1407</v>
      </c>
      <c r="C10353" s="2889" t="s">
        <v>1601</v>
      </c>
      <c r="D10353" s="2889" t="s">
        <v>1599</v>
      </c>
      <c r="E10353" s="2889" t="s">
        <v>217</v>
      </c>
      <c r="F10353" s="2890">
        <v>4.506754532866608E-4</v>
      </c>
      <c r="G10353" s="2890">
        <v>0.56870855026738631</v>
      </c>
    </row>
    <row r="10354" spans="2:7" ht="15" hidden="1" outlineLevel="2">
      <c r="B10354" s="2889" t="s">
        <v>1407</v>
      </c>
      <c r="C10354" s="2889" t="s">
        <v>1602</v>
      </c>
      <c r="D10354" s="2889" t="s">
        <v>1599</v>
      </c>
      <c r="E10354" s="2889" t="s">
        <v>1426</v>
      </c>
      <c r="F10354" s="2891"/>
      <c r="G10354" s="2890">
        <v>644.23711407806172</v>
      </c>
    </row>
    <row r="10355" spans="2:7" ht="15" hidden="1" outlineLevel="2">
      <c r="B10355" s="2889" t="s">
        <v>1407</v>
      </c>
      <c r="C10355" s="2889" t="s">
        <v>1603</v>
      </c>
      <c r="D10355" s="2889" t="s">
        <v>1604</v>
      </c>
      <c r="E10355" s="2889" t="s">
        <v>217</v>
      </c>
      <c r="F10355" s="2890">
        <v>6.3625560135058758E-36</v>
      </c>
      <c r="G10355" s="2890">
        <v>7.370579327563089E-33</v>
      </c>
    </row>
    <row r="10356" spans="2:7" ht="15" hidden="1" outlineLevel="2">
      <c r="B10356" s="2889" t="s">
        <v>1407</v>
      </c>
      <c r="C10356" s="2889" t="s">
        <v>1605</v>
      </c>
      <c r="D10356" s="2889" t="s">
        <v>1604</v>
      </c>
      <c r="E10356" s="2889" t="s">
        <v>1423</v>
      </c>
      <c r="F10356" s="2890">
        <v>3.136151520901011E-33</v>
      </c>
      <c r="G10356" s="2890">
        <v>7.3601632656396319E-31</v>
      </c>
    </row>
    <row r="10357" spans="2:7" ht="15" hidden="1" outlineLevel="2">
      <c r="B10357" s="2889" t="s">
        <v>1407</v>
      </c>
      <c r="C10357" s="2889" t="s">
        <v>1606</v>
      </c>
      <c r="D10357" s="2889" t="s">
        <v>1604</v>
      </c>
      <c r="E10357" s="2889" t="s">
        <v>1426</v>
      </c>
      <c r="F10357" s="2891"/>
      <c r="G10357" s="2890">
        <v>7.9720101268876722E-32</v>
      </c>
    </row>
    <row r="10358" spans="2:7" ht="15" hidden="1" outlineLevel="2">
      <c r="B10358" s="2889" t="s">
        <v>1407</v>
      </c>
      <c r="C10358" s="2889" t="s">
        <v>1607</v>
      </c>
      <c r="D10358" s="2889" t="s">
        <v>1608</v>
      </c>
      <c r="E10358" s="2889" t="s">
        <v>217</v>
      </c>
      <c r="F10358" s="2890">
        <v>0.80587668172606619</v>
      </c>
      <c r="G10358" s="2890">
        <v>662.21116533065538</v>
      </c>
    </row>
    <row r="10359" spans="2:7" ht="15" hidden="1" outlineLevel="2">
      <c r="B10359" s="2889" t="s">
        <v>1407</v>
      </c>
      <c r="C10359" s="2889" t="s">
        <v>1609</v>
      </c>
      <c r="D10359" s="2889" t="s">
        <v>1608</v>
      </c>
      <c r="E10359" s="2889" t="s">
        <v>217</v>
      </c>
      <c r="F10359" s="2890">
        <v>0.3509163969734993</v>
      </c>
      <c r="G10359" s="2890">
        <v>279.45138027706378</v>
      </c>
    </row>
    <row r="10360" spans="2:7" ht="15" hidden="1" outlineLevel="2">
      <c r="B10360" s="2889" t="s">
        <v>1407</v>
      </c>
      <c r="C10360" s="2889" t="s">
        <v>1610</v>
      </c>
      <c r="D10360" s="2889" t="s">
        <v>1608</v>
      </c>
      <c r="E10360" s="2889" t="s">
        <v>217</v>
      </c>
      <c r="F10360" s="2890">
        <v>0.13415825553750715</v>
      </c>
      <c r="G10360" s="2890">
        <v>208.58859402845923</v>
      </c>
    </row>
    <row r="10361" spans="2:7" ht="15" hidden="1" outlineLevel="2">
      <c r="B10361" s="2889" t="s">
        <v>1407</v>
      </c>
      <c r="C10361" s="2889" t="s">
        <v>1611</v>
      </c>
      <c r="D10361" s="2889" t="s">
        <v>1608</v>
      </c>
      <c r="E10361" s="2889" t="s">
        <v>1612</v>
      </c>
      <c r="F10361" s="2891"/>
      <c r="G10361" s="2890">
        <v>185.72005232980598</v>
      </c>
    </row>
    <row r="10362" spans="2:7" ht="15" hidden="1" outlineLevel="2">
      <c r="B10362" s="2889" t="s">
        <v>1407</v>
      </c>
      <c r="C10362" s="2889" t="s">
        <v>1613</v>
      </c>
      <c r="D10362" s="2889" t="s">
        <v>1608</v>
      </c>
      <c r="E10362" s="2889" t="s">
        <v>1612</v>
      </c>
      <c r="F10362" s="2891"/>
      <c r="G10362" s="2890">
        <v>1.5508319177792766</v>
      </c>
    </row>
    <row r="10363" spans="2:7" ht="15" hidden="1" outlineLevel="2">
      <c r="B10363" s="2889" t="s">
        <v>1407</v>
      </c>
      <c r="C10363" s="2889" t="s">
        <v>1614</v>
      </c>
      <c r="D10363" s="2889" t="s">
        <v>1615</v>
      </c>
      <c r="E10363" s="2889" t="s">
        <v>1426</v>
      </c>
      <c r="F10363" s="2891"/>
      <c r="G10363" s="2890">
        <v>125.76542773134474</v>
      </c>
    </row>
    <row r="10364" spans="2:7" ht="15" hidden="1" outlineLevel="2">
      <c r="B10364" s="2889" t="s">
        <v>1407</v>
      </c>
      <c r="C10364" s="2889" t="s">
        <v>1616</v>
      </c>
      <c r="D10364" s="2889" t="s">
        <v>1615</v>
      </c>
      <c r="E10364" s="2889" t="s">
        <v>217</v>
      </c>
      <c r="F10364" s="2890">
        <v>4.006977402499631E-3</v>
      </c>
      <c r="G10364" s="2890">
        <v>5.3863819128015242</v>
      </c>
    </row>
    <row r="10365" spans="2:7" ht="15" hidden="1" outlineLevel="2">
      <c r="B10365" s="2889" t="s">
        <v>1407</v>
      </c>
      <c r="C10365" s="2889" t="s">
        <v>1617</v>
      </c>
      <c r="D10365" s="2889" t="s">
        <v>1615</v>
      </c>
      <c r="E10365" s="2889" t="s">
        <v>1420</v>
      </c>
      <c r="F10365" s="2890">
        <v>6.3325962534209286E-5</v>
      </c>
      <c r="G10365" s="2890">
        <v>0.18330393030722936</v>
      </c>
    </row>
    <row r="10366" spans="2:7" ht="15" hidden="1" outlineLevel="2">
      <c r="B10366" s="2889" t="s">
        <v>1407</v>
      </c>
      <c r="C10366" s="2889" t="s">
        <v>1618</v>
      </c>
      <c r="D10366" s="2889" t="s">
        <v>1619</v>
      </c>
      <c r="E10366" s="2889" t="s">
        <v>217</v>
      </c>
      <c r="F10366" s="2890">
        <v>1.3477423744660915</v>
      </c>
      <c r="G10366" s="2890">
        <v>341.6860885079401</v>
      </c>
    </row>
    <row r="10367" spans="2:7" ht="15" hidden="1" outlineLevel="2">
      <c r="B10367" s="2889" t="s">
        <v>1407</v>
      </c>
      <c r="C10367" s="2889" t="s">
        <v>1620</v>
      </c>
      <c r="D10367" s="2889" t="s">
        <v>1619</v>
      </c>
      <c r="E10367" s="2889" t="s">
        <v>217</v>
      </c>
      <c r="F10367" s="2890">
        <v>1.2217467237388766E-33</v>
      </c>
      <c r="G10367" s="2890">
        <v>1.4883506685854614E-30</v>
      </c>
    </row>
    <row r="10368" spans="2:7" ht="15" hidden="1" outlineLevel="2">
      <c r="B10368" s="2889" t="s">
        <v>1407</v>
      </c>
      <c r="C10368" s="2889" t="s">
        <v>1621</v>
      </c>
      <c r="D10368" s="2889" t="s">
        <v>1619</v>
      </c>
      <c r="E10368" s="2889" t="s">
        <v>217</v>
      </c>
      <c r="F10368" s="2890">
        <v>1.5118312018812359</v>
      </c>
      <c r="G10368" s="2890">
        <v>413.18481786908904</v>
      </c>
    </row>
    <row r="10369" spans="2:7" ht="15" hidden="1" outlineLevel="2">
      <c r="B10369" s="2889" t="s">
        <v>1407</v>
      </c>
      <c r="C10369" s="2889" t="s">
        <v>1622</v>
      </c>
      <c r="D10369" s="2889" t="s">
        <v>1619</v>
      </c>
      <c r="E10369" s="2889" t="s">
        <v>217</v>
      </c>
      <c r="F10369" s="2890">
        <v>9.6810498399260481E-2</v>
      </c>
      <c r="G10369" s="2890">
        <v>106.22956157076491</v>
      </c>
    </row>
    <row r="10370" spans="2:7" ht="15" hidden="1" outlineLevel="2">
      <c r="B10370" s="2889" t="s">
        <v>1407</v>
      </c>
      <c r="C10370" s="2889" t="s">
        <v>1623</v>
      </c>
      <c r="D10370" s="2889" t="s">
        <v>1619</v>
      </c>
      <c r="E10370" s="2889" t="s">
        <v>217</v>
      </c>
      <c r="F10370" s="2890">
        <v>0.24980878770086723</v>
      </c>
      <c r="G10370" s="2890">
        <v>172.91043026300696</v>
      </c>
    </row>
    <row r="10371" spans="2:7" ht="15" hidden="1" outlineLevel="2">
      <c r="B10371" s="2889" t="s">
        <v>1407</v>
      </c>
      <c r="C10371" s="2889" t="s">
        <v>1624</v>
      </c>
      <c r="D10371" s="2889" t="s">
        <v>1619</v>
      </c>
      <c r="E10371" s="2889" t="s">
        <v>217</v>
      </c>
      <c r="F10371" s="2890">
        <v>2.1628506190706775</v>
      </c>
      <c r="G10371" s="2890">
        <v>1843.0009775508097</v>
      </c>
    </row>
    <row r="10372" spans="2:7" ht="15" hidden="1" outlineLevel="2">
      <c r="B10372" s="2889" t="s">
        <v>1407</v>
      </c>
      <c r="C10372" s="2889" t="s">
        <v>1625</v>
      </c>
      <c r="D10372" s="2889" t="s">
        <v>1619</v>
      </c>
      <c r="E10372" s="2889" t="s">
        <v>217</v>
      </c>
      <c r="F10372" s="2890">
        <v>0.20034036704840155</v>
      </c>
      <c r="G10372" s="2890">
        <v>258.99291158072703</v>
      </c>
    </row>
    <row r="10373" spans="2:7" ht="15" hidden="1" outlineLevel="2">
      <c r="B10373" s="2889" t="s">
        <v>1407</v>
      </c>
      <c r="C10373" s="2889" t="s">
        <v>1626</v>
      </c>
      <c r="D10373" s="2889" t="s">
        <v>1619</v>
      </c>
      <c r="E10373" s="2889" t="s">
        <v>217</v>
      </c>
      <c r="F10373" s="2890">
        <v>0.1320244259675516</v>
      </c>
      <c r="G10373" s="2890">
        <v>103.65559872668655</v>
      </c>
    </row>
    <row r="10374" spans="2:7" ht="15" hidden="1" outlineLevel="2">
      <c r="B10374" s="2889" t="s">
        <v>1407</v>
      </c>
      <c r="C10374" s="2889" t="s">
        <v>1627</v>
      </c>
      <c r="D10374" s="2889" t="s">
        <v>1619</v>
      </c>
      <c r="E10374" s="2889" t="s">
        <v>1420</v>
      </c>
      <c r="F10374" s="2890">
        <v>4.2912131950305875E-3</v>
      </c>
      <c r="G10374" s="2890">
        <v>7.1692385698538557</v>
      </c>
    </row>
    <row r="10375" spans="2:7" ht="15" hidden="1" outlineLevel="2">
      <c r="B10375" s="2889" t="s">
        <v>1407</v>
      </c>
      <c r="C10375" s="2889" t="s">
        <v>1628</v>
      </c>
      <c r="D10375" s="2889" t="s">
        <v>1619</v>
      </c>
      <c r="E10375" s="2889" t="s">
        <v>1426</v>
      </c>
      <c r="F10375" s="2891"/>
      <c r="G10375" s="2890">
        <v>142.09373670000505</v>
      </c>
    </row>
    <row r="10376" spans="2:7" ht="15" hidden="1" outlineLevel="2">
      <c r="B10376" s="2889" t="s">
        <v>1407</v>
      </c>
      <c r="C10376" s="2889" t="s">
        <v>1629</v>
      </c>
      <c r="D10376" s="2889" t="s">
        <v>1630</v>
      </c>
      <c r="E10376" s="2889" t="s">
        <v>1426</v>
      </c>
      <c r="F10376" s="2891"/>
      <c r="G10376" s="2890">
        <v>6.5972143187212042</v>
      </c>
    </row>
    <row r="10377" spans="2:7" ht="15" outlineLevel="1" collapsed="1">
      <c r="B10377" s="3041" t="s">
        <v>1700</v>
      </c>
      <c r="C10377" s="2889"/>
      <c r="D10377" s="2889"/>
      <c r="E10377" s="2889"/>
      <c r="F10377" s="2891">
        <f>SUBTOTAL(9,F10166:F10376)</f>
        <v>16.65502480521311</v>
      </c>
      <c r="G10377" s="2890">
        <f>SUBTOTAL(9,G10166:G10376)</f>
        <v>30343.574130883724</v>
      </c>
    </row>
    <row r="10378" spans="2:7" ht="15" hidden="1" outlineLevel="2">
      <c r="B10378" s="2889" t="s">
        <v>1631</v>
      </c>
      <c r="C10378" s="2889" t="s">
        <v>1408</v>
      </c>
      <c r="D10378" s="2889" t="s">
        <v>197</v>
      </c>
      <c r="E10378" s="2889" t="s">
        <v>217</v>
      </c>
      <c r="F10378" s="2890">
        <v>5.8380535195254161E-4</v>
      </c>
      <c r="G10378" s="2890">
        <v>0.35556396398702633</v>
      </c>
    </row>
    <row r="10379" spans="2:7" ht="15" hidden="1" outlineLevel="2">
      <c r="B10379" s="2889" t="s">
        <v>1631</v>
      </c>
      <c r="C10379" s="2889" t="s">
        <v>1409</v>
      </c>
      <c r="D10379" s="2889" t="s">
        <v>197</v>
      </c>
      <c r="E10379" s="2889" t="s">
        <v>217</v>
      </c>
      <c r="F10379" s="2890">
        <v>6.21342149410344E-4</v>
      </c>
      <c r="G10379" s="2890">
        <v>0.86254777236149827</v>
      </c>
    </row>
    <row r="10380" spans="2:7" ht="15" hidden="1" outlineLevel="2">
      <c r="B10380" s="2889" t="s">
        <v>1631</v>
      </c>
      <c r="C10380" s="2889" t="s">
        <v>1410</v>
      </c>
      <c r="D10380" s="2889" t="s">
        <v>197</v>
      </c>
      <c r="E10380" s="2889" t="s">
        <v>217</v>
      </c>
      <c r="F10380" s="2890">
        <v>9.91776051435735E-4</v>
      </c>
      <c r="G10380" s="2890">
        <v>3.3561245917512377</v>
      </c>
    </row>
    <row r="10381" spans="2:7" ht="15" hidden="1" outlineLevel="2">
      <c r="B10381" s="2889" t="s">
        <v>1631</v>
      </c>
      <c r="C10381" s="2889" t="s">
        <v>1411</v>
      </c>
      <c r="D10381" s="2889" t="s">
        <v>197</v>
      </c>
      <c r="E10381" s="2889" t="s">
        <v>217</v>
      </c>
      <c r="F10381" s="2890">
        <v>1.6255472777299019E-5</v>
      </c>
      <c r="G10381" s="2890">
        <v>2.1138786807130064E-2</v>
      </c>
    </row>
    <row r="10382" spans="2:7" ht="15" hidden="1" outlineLevel="2">
      <c r="B10382" s="2889" t="s">
        <v>1631</v>
      </c>
      <c r="C10382" s="2889" t="s">
        <v>1412</v>
      </c>
      <c r="D10382" s="2889" t="s">
        <v>197</v>
      </c>
      <c r="E10382" s="2889" t="s">
        <v>217</v>
      </c>
      <c r="F10382" s="2890">
        <v>1.7560881175287216E-3</v>
      </c>
      <c r="G10382" s="2890">
        <v>2.2818968435970044</v>
      </c>
    </row>
    <row r="10383" spans="2:7" ht="15" hidden="1" outlineLevel="2">
      <c r="B10383" s="2889" t="s">
        <v>1631</v>
      </c>
      <c r="C10383" s="2889" t="s">
        <v>1413</v>
      </c>
      <c r="D10383" s="2889" t="s">
        <v>197</v>
      </c>
      <c r="E10383" s="2889" t="s">
        <v>217</v>
      </c>
      <c r="F10383" s="2890">
        <v>5.8026215994798032E-4</v>
      </c>
      <c r="G10383" s="2890">
        <v>0.71478876563541771</v>
      </c>
    </row>
    <row r="10384" spans="2:7" ht="15" hidden="1" outlineLevel="2">
      <c r="B10384" s="2889" t="s">
        <v>1631</v>
      </c>
      <c r="C10384" s="2889" t="s">
        <v>1414</v>
      </c>
      <c r="D10384" s="2889" t="s">
        <v>197</v>
      </c>
      <c r="E10384" s="2889" t="s">
        <v>217</v>
      </c>
      <c r="F10384" s="2890">
        <v>7.5630146551103157E-3</v>
      </c>
      <c r="G10384" s="2890">
        <v>7.7648853358242462</v>
      </c>
    </row>
    <row r="10385" spans="2:7" ht="15" hidden="1" outlineLevel="2">
      <c r="B10385" s="2889" t="s">
        <v>1631</v>
      </c>
      <c r="C10385" s="2889" t="s">
        <v>1415</v>
      </c>
      <c r="D10385" s="2889" t="s">
        <v>197</v>
      </c>
      <c r="E10385" s="2889" t="s">
        <v>217</v>
      </c>
      <c r="F10385" s="2890">
        <v>2.4834482234941391E-2</v>
      </c>
      <c r="G10385" s="2890">
        <v>16.644039048352433</v>
      </c>
    </row>
    <row r="10386" spans="2:7" ht="15" hidden="1" outlineLevel="2">
      <c r="B10386" s="2889" t="s">
        <v>1631</v>
      </c>
      <c r="C10386" s="2889" t="s">
        <v>1416</v>
      </c>
      <c r="D10386" s="2889" t="s">
        <v>197</v>
      </c>
      <c r="E10386" s="2889" t="s">
        <v>217</v>
      </c>
      <c r="F10386" s="2890">
        <v>2.7867262661299174E-3</v>
      </c>
      <c r="G10386" s="2890">
        <v>3.6211278552893913</v>
      </c>
    </row>
    <row r="10387" spans="2:7" ht="15" hidden="1" outlineLevel="2">
      <c r="B10387" s="2889" t="s">
        <v>1631</v>
      </c>
      <c r="C10387" s="2889" t="s">
        <v>1417</v>
      </c>
      <c r="D10387" s="2889" t="s">
        <v>197</v>
      </c>
      <c r="E10387" s="2889" t="s">
        <v>217</v>
      </c>
      <c r="F10387" s="2890">
        <v>4.1530530340291695E-3</v>
      </c>
      <c r="G10387" s="2890">
        <v>5.2433787179537683</v>
      </c>
    </row>
    <row r="10388" spans="2:7" ht="15" hidden="1" outlineLevel="2">
      <c r="B10388" s="2889" t="s">
        <v>1631</v>
      </c>
      <c r="C10388" s="2889" t="s">
        <v>1418</v>
      </c>
      <c r="D10388" s="2889" t="s">
        <v>197</v>
      </c>
      <c r="E10388" s="2889" t="s">
        <v>217</v>
      </c>
      <c r="F10388" s="2890">
        <v>8.3457628209423389E-4</v>
      </c>
      <c r="G10388" s="2890">
        <v>5.8167145025079812</v>
      </c>
    </row>
    <row r="10389" spans="2:7" ht="15" hidden="1" outlineLevel="2">
      <c r="B10389" s="2889" t="s">
        <v>1631</v>
      </c>
      <c r="C10389" s="2889" t="s">
        <v>1419</v>
      </c>
      <c r="D10389" s="2889" t="s">
        <v>197</v>
      </c>
      <c r="E10389" s="2889" t="s">
        <v>1420</v>
      </c>
      <c r="F10389" s="2890">
        <v>2.0035527617092391E-5</v>
      </c>
      <c r="G10389" s="2890">
        <v>3.1835549585027788E-2</v>
      </c>
    </row>
    <row r="10390" spans="2:7" ht="15" hidden="1" outlineLevel="2">
      <c r="B10390" s="2889" t="s">
        <v>1631</v>
      </c>
      <c r="C10390" s="2889" t="s">
        <v>1421</v>
      </c>
      <c r="D10390" s="2889" t="s">
        <v>197</v>
      </c>
      <c r="E10390" s="2889" t="s">
        <v>1420</v>
      </c>
      <c r="F10390" s="2890">
        <v>4.1112562073365846E-6</v>
      </c>
      <c r="G10390" s="2890">
        <v>4.3327890813225987E-2</v>
      </c>
    </row>
    <row r="10391" spans="2:7" ht="15" hidden="1" outlineLevel="2">
      <c r="B10391" s="2889" t="s">
        <v>1631</v>
      </c>
      <c r="C10391" s="2889" t="s">
        <v>1422</v>
      </c>
      <c r="D10391" s="2889" t="s">
        <v>197</v>
      </c>
      <c r="E10391" s="2889" t="s">
        <v>1423</v>
      </c>
      <c r="F10391" s="2890">
        <v>8.0203678606623956E-4</v>
      </c>
      <c r="G10391" s="2890">
        <v>8.4096959418351637E-3</v>
      </c>
    </row>
    <row r="10392" spans="2:7" ht="15" hidden="1" outlineLevel="2">
      <c r="B10392" s="2889" t="s">
        <v>1631</v>
      </c>
      <c r="C10392" s="2889" t="s">
        <v>1424</v>
      </c>
      <c r="D10392" s="2889" t="s">
        <v>197</v>
      </c>
      <c r="E10392" s="2889" t="s">
        <v>1423</v>
      </c>
      <c r="F10392" s="2890">
        <v>2.5457200493700523E-4</v>
      </c>
      <c r="G10392" s="2890">
        <v>2.6684954758890646E-3</v>
      </c>
    </row>
    <row r="10393" spans="2:7" ht="15" hidden="1" outlineLevel="2">
      <c r="B10393" s="2889" t="s">
        <v>1631</v>
      </c>
      <c r="C10393" s="2889" t="s">
        <v>1425</v>
      </c>
      <c r="D10393" s="2889" t="s">
        <v>197</v>
      </c>
      <c r="E10393" s="2889" t="s">
        <v>1426</v>
      </c>
      <c r="F10393" s="2890">
        <v>5.5708340968698725E-6</v>
      </c>
      <c r="G10393" s="2890">
        <v>6.219018949945785E-2</v>
      </c>
    </row>
    <row r="10394" spans="2:7" ht="15" hidden="1" outlineLevel="2">
      <c r="B10394" s="2889" t="s">
        <v>1631</v>
      </c>
      <c r="C10394" s="2889" t="s">
        <v>1427</v>
      </c>
      <c r="D10394" s="2889" t="s">
        <v>197</v>
      </c>
      <c r="E10394" s="2889" t="s">
        <v>1426</v>
      </c>
      <c r="F10394" s="2890">
        <v>7.591361101367966E-2</v>
      </c>
      <c r="G10394" s="2890">
        <v>2688.6305600069909</v>
      </c>
    </row>
    <row r="10395" spans="2:7" ht="15" hidden="1" outlineLevel="2">
      <c r="B10395" s="2889" t="s">
        <v>1631</v>
      </c>
      <c r="C10395" s="2889" t="s">
        <v>1428</v>
      </c>
      <c r="D10395" s="2889" t="s">
        <v>197</v>
      </c>
      <c r="E10395" s="2889" t="s">
        <v>1426</v>
      </c>
      <c r="F10395" s="2890">
        <v>5.7095484283100715E-3</v>
      </c>
      <c r="G10395" s="2890">
        <v>241.25228628463543</v>
      </c>
    </row>
    <row r="10396" spans="2:7" ht="15" hidden="1" outlineLevel="2">
      <c r="B10396" s="2889" t="s">
        <v>1631</v>
      </c>
      <c r="C10396" s="2889" t="s">
        <v>1429</v>
      </c>
      <c r="D10396" s="2889" t="s">
        <v>197</v>
      </c>
      <c r="E10396" s="2889" t="s">
        <v>1426</v>
      </c>
      <c r="F10396" s="2890">
        <v>3.4775931108175498E-5</v>
      </c>
      <c r="G10396" s="2890">
        <v>1.341032897925073</v>
      </c>
    </row>
    <row r="10397" spans="2:7" ht="15" hidden="1" outlineLevel="2">
      <c r="B10397" s="2889" t="s">
        <v>1631</v>
      </c>
      <c r="C10397" s="2889" t="s">
        <v>1430</v>
      </c>
      <c r="D10397" s="2889" t="s">
        <v>197</v>
      </c>
      <c r="E10397" s="2889" t="s">
        <v>1426</v>
      </c>
      <c r="F10397" s="2890">
        <v>7.4846185154332063E-6</v>
      </c>
      <c r="G10397" s="2890">
        <v>0.2752452274343512</v>
      </c>
    </row>
    <row r="10398" spans="2:7" ht="15" hidden="1" outlineLevel="2">
      <c r="B10398" s="2889" t="s">
        <v>1631</v>
      </c>
      <c r="C10398" s="2889" t="s">
        <v>1431</v>
      </c>
      <c r="D10398" s="2889" t="s">
        <v>197</v>
      </c>
      <c r="E10398" s="2889" t="s">
        <v>1426</v>
      </c>
      <c r="F10398" s="2890">
        <v>4.9421665841808157E-4</v>
      </c>
      <c r="G10398" s="2890">
        <v>20.479403310092888</v>
      </c>
    </row>
    <row r="10399" spans="2:7" ht="15" hidden="1" outlineLevel="2">
      <c r="B10399" s="2889" t="s">
        <v>1631</v>
      </c>
      <c r="C10399" s="2889" t="s">
        <v>1432</v>
      </c>
      <c r="D10399" s="2889" t="s">
        <v>197</v>
      </c>
      <c r="E10399" s="2889" t="s">
        <v>1426</v>
      </c>
      <c r="F10399" s="2890">
        <v>1.059922675584318E-6</v>
      </c>
      <c r="G10399" s="2890">
        <v>5.1293407108130198E-2</v>
      </c>
    </row>
    <row r="10400" spans="2:7" ht="15" hidden="1" outlineLevel="2">
      <c r="B10400" s="2889" t="s">
        <v>1631</v>
      </c>
      <c r="C10400" s="2889" t="s">
        <v>1433</v>
      </c>
      <c r="D10400" s="2889" t="s">
        <v>197</v>
      </c>
      <c r="E10400" s="2889" t="s">
        <v>1426</v>
      </c>
      <c r="F10400" s="2890">
        <v>4.7445631506761452E-4</v>
      </c>
      <c r="G10400" s="2890">
        <v>18.928580510523975</v>
      </c>
    </row>
    <row r="10401" spans="2:7" ht="15" hidden="1" outlineLevel="2">
      <c r="B10401" s="2889" t="s">
        <v>1631</v>
      </c>
      <c r="C10401" s="2889" t="s">
        <v>1434</v>
      </c>
      <c r="D10401" s="2889" t="s">
        <v>197</v>
      </c>
      <c r="E10401" s="2889" t="s">
        <v>1426</v>
      </c>
      <c r="F10401" s="2890">
        <v>1.3395457533123207E-3</v>
      </c>
      <c r="G10401" s="2890">
        <v>52.578603723110895</v>
      </c>
    </row>
    <row r="10402" spans="2:7" ht="15" hidden="1" outlineLevel="2">
      <c r="B10402" s="2889" t="s">
        <v>1631</v>
      </c>
      <c r="C10402" s="2889" t="s">
        <v>1435</v>
      </c>
      <c r="D10402" s="2889" t="s">
        <v>197</v>
      </c>
      <c r="E10402" s="2889" t="s">
        <v>1426</v>
      </c>
      <c r="F10402" s="2890">
        <v>1.2208815814322542E-3</v>
      </c>
      <c r="G10402" s="2890">
        <v>38.655507139248847</v>
      </c>
    </row>
    <row r="10403" spans="2:7" ht="15" hidden="1" outlineLevel="2">
      <c r="B10403" s="2889" t="s">
        <v>1631</v>
      </c>
      <c r="C10403" s="2889" t="s">
        <v>1436</v>
      </c>
      <c r="D10403" s="2889" t="s">
        <v>1437</v>
      </c>
      <c r="E10403" s="2889" t="s">
        <v>217</v>
      </c>
      <c r="F10403" s="2890">
        <v>0.10608789328470504</v>
      </c>
      <c r="G10403" s="2890">
        <v>303.62439702372995</v>
      </c>
    </row>
    <row r="10404" spans="2:7" ht="15" hidden="1" outlineLevel="2">
      <c r="B10404" s="2889" t="s">
        <v>1631</v>
      </c>
      <c r="C10404" s="2889" t="s">
        <v>1438</v>
      </c>
      <c r="D10404" s="2889" t="s">
        <v>1437</v>
      </c>
      <c r="E10404" s="2889" t="s">
        <v>1420</v>
      </c>
      <c r="F10404" s="2890">
        <v>3.0204867505814241E-2</v>
      </c>
      <c r="G10404" s="2890">
        <v>277.51855549860068</v>
      </c>
    </row>
    <row r="10405" spans="2:7" ht="15" hidden="1" outlineLevel="2">
      <c r="B10405" s="2889" t="s">
        <v>1631</v>
      </c>
      <c r="C10405" s="2889" t="s">
        <v>1439</v>
      </c>
      <c r="D10405" s="2889" t="s">
        <v>1437</v>
      </c>
      <c r="E10405" s="2889" t="s">
        <v>1426</v>
      </c>
      <c r="F10405" s="2890">
        <v>0.57705415091552159</v>
      </c>
      <c r="G10405" s="2890">
        <v>19083.152012938397</v>
      </c>
    </row>
    <row r="10406" spans="2:7" ht="15" hidden="1" outlineLevel="2">
      <c r="B10406" s="2889" t="s">
        <v>1631</v>
      </c>
      <c r="C10406" s="2889" t="s">
        <v>1440</v>
      </c>
      <c r="D10406" s="2889" t="s">
        <v>1105</v>
      </c>
      <c r="E10406" s="2889" t="s">
        <v>217</v>
      </c>
      <c r="F10406" s="2890">
        <v>7.4842654236593545E-2</v>
      </c>
      <c r="G10406" s="2890">
        <v>37.027370508657683</v>
      </c>
    </row>
    <row r="10407" spans="2:7" ht="15" hidden="1" outlineLevel="2">
      <c r="B10407" s="2889" t="s">
        <v>1631</v>
      </c>
      <c r="C10407" s="2889" t="s">
        <v>1441</v>
      </c>
      <c r="D10407" s="2889" t="s">
        <v>1105</v>
      </c>
      <c r="E10407" s="2889" t="s">
        <v>217</v>
      </c>
      <c r="F10407" s="2890">
        <v>0.47824071431139598</v>
      </c>
      <c r="G10407" s="2890">
        <v>247.03471866380158</v>
      </c>
    </row>
    <row r="10408" spans="2:7" ht="15" hidden="1" outlineLevel="2">
      <c r="B10408" s="2889" t="s">
        <v>1631</v>
      </c>
      <c r="C10408" s="2889" t="s">
        <v>1442</v>
      </c>
      <c r="D10408" s="2889" t="s">
        <v>1105</v>
      </c>
      <c r="E10408" s="2889" t="s">
        <v>217</v>
      </c>
      <c r="F10408" s="2890">
        <v>2.1288030916054792E-4</v>
      </c>
      <c r="G10408" s="2890">
        <v>9.5273825633411871E-2</v>
      </c>
    </row>
    <row r="10409" spans="2:7" ht="15" hidden="1" outlineLevel="2">
      <c r="B10409" s="2889" t="s">
        <v>1631</v>
      </c>
      <c r="C10409" s="2889" t="s">
        <v>1443</v>
      </c>
      <c r="D10409" s="2889" t="s">
        <v>1105</v>
      </c>
      <c r="E10409" s="2889" t="s">
        <v>217</v>
      </c>
      <c r="F10409" s="2890">
        <v>3.349630970233909E-3</v>
      </c>
      <c r="G10409" s="2890">
        <v>1.4991143732323027</v>
      </c>
    </row>
    <row r="10410" spans="2:7" ht="15" hidden="1" outlineLevel="2">
      <c r="B10410" s="2889" t="s">
        <v>1631</v>
      </c>
      <c r="C10410" s="2889" t="s">
        <v>1444</v>
      </c>
      <c r="D10410" s="2889" t="s">
        <v>1105</v>
      </c>
      <c r="E10410" s="2889" t="s">
        <v>217</v>
      </c>
      <c r="F10410" s="2890">
        <v>6.4354998010768583</v>
      </c>
      <c r="G10410" s="2890">
        <v>7621.9013444893426</v>
      </c>
    </row>
    <row r="10411" spans="2:7" ht="15" hidden="1" outlineLevel="2">
      <c r="B10411" s="2889" t="s">
        <v>1631</v>
      </c>
      <c r="C10411" s="2889" t="s">
        <v>1445</v>
      </c>
      <c r="D10411" s="2889" t="s">
        <v>1105</v>
      </c>
      <c r="E10411" s="2889" t="s">
        <v>217</v>
      </c>
      <c r="F10411" s="2890">
        <v>1.3849621021815595</v>
      </c>
      <c r="G10411" s="2890">
        <v>1907.3054832559583</v>
      </c>
    </row>
    <row r="10412" spans="2:7" ht="15" hidden="1" outlineLevel="2">
      <c r="B10412" s="2889" t="s">
        <v>1631</v>
      </c>
      <c r="C10412" s="2889" t="s">
        <v>1446</v>
      </c>
      <c r="D10412" s="2889" t="s">
        <v>1105</v>
      </c>
      <c r="E10412" s="2889" t="s">
        <v>217</v>
      </c>
      <c r="F10412" s="2890">
        <v>0.63925898419780991</v>
      </c>
      <c r="G10412" s="2890">
        <v>1011.4286580449817</v>
      </c>
    </row>
    <row r="10413" spans="2:7" ht="15" hidden="1" outlineLevel="2">
      <c r="B10413" s="2889" t="s">
        <v>1631</v>
      </c>
      <c r="C10413" s="2889" t="s">
        <v>1447</v>
      </c>
      <c r="D10413" s="2889" t="s">
        <v>1105</v>
      </c>
      <c r="E10413" s="2889" t="s">
        <v>217</v>
      </c>
      <c r="F10413" s="2890">
        <v>1.4731857228006735</v>
      </c>
      <c r="G10413" s="2890">
        <v>2170.1600656973615</v>
      </c>
    </row>
    <row r="10414" spans="2:7" ht="15" hidden="1" outlineLevel="2">
      <c r="B10414" s="2889" t="s">
        <v>1631</v>
      </c>
      <c r="C10414" s="2889" t="s">
        <v>1448</v>
      </c>
      <c r="D10414" s="2889" t="s">
        <v>1105</v>
      </c>
      <c r="E10414" s="2889" t="s">
        <v>217</v>
      </c>
      <c r="F10414" s="2890">
        <v>2.7827754777491314</v>
      </c>
      <c r="G10414" s="2890">
        <v>3418.8975955506776</v>
      </c>
    </row>
    <row r="10415" spans="2:7" ht="15" hidden="1" outlineLevel="2">
      <c r="B10415" s="2889" t="s">
        <v>1631</v>
      </c>
      <c r="C10415" s="2889" t="s">
        <v>1449</v>
      </c>
      <c r="D10415" s="2889" t="s">
        <v>1105</v>
      </c>
      <c r="E10415" s="2889" t="s">
        <v>217</v>
      </c>
      <c r="F10415" s="2890">
        <v>0.11846688800462295</v>
      </c>
      <c r="G10415" s="2890">
        <v>160.80583685890625</v>
      </c>
    </row>
    <row r="10416" spans="2:7" ht="15" hidden="1" outlineLevel="2">
      <c r="B10416" s="2889" t="s">
        <v>1631</v>
      </c>
      <c r="C10416" s="2889" t="s">
        <v>1450</v>
      </c>
      <c r="D10416" s="2889" t="s">
        <v>1105</v>
      </c>
      <c r="E10416" s="2889" t="s">
        <v>1420</v>
      </c>
      <c r="F10416" s="2890">
        <v>0.36888139860577845</v>
      </c>
      <c r="G10416" s="2890">
        <v>1014.1306600621522</v>
      </c>
    </row>
    <row r="10417" spans="2:7" ht="15" hidden="1" outlineLevel="2">
      <c r="B10417" s="2889" t="s">
        <v>1631</v>
      </c>
      <c r="C10417" s="2889" t="s">
        <v>1451</v>
      </c>
      <c r="D10417" s="2889" t="s">
        <v>1105</v>
      </c>
      <c r="E10417" s="2889" t="s">
        <v>1420</v>
      </c>
      <c r="F10417" s="2890">
        <v>5.3557592745492585E-2</v>
      </c>
      <c r="G10417" s="2890">
        <v>225.8820426583093</v>
      </c>
    </row>
    <row r="10418" spans="2:7" ht="15" hidden="1" outlineLevel="2">
      <c r="B10418" s="2889" t="s">
        <v>1631</v>
      </c>
      <c r="C10418" s="2889" t="s">
        <v>1452</v>
      </c>
      <c r="D10418" s="2889" t="s">
        <v>1105</v>
      </c>
      <c r="E10418" s="2889" t="s">
        <v>1420</v>
      </c>
      <c r="F10418" s="2890">
        <v>3.9622987548885796E-2</v>
      </c>
      <c r="G10418" s="2890">
        <v>264.77450172930423</v>
      </c>
    </row>
    <row r="10419" spans="2:7" ht="15" hidden="1" outlineLevel="2">
      <c r="B10419" s="2889" t="s">
        <v>1631</v>
      </c>
      <c r="C10419" s="2889" t="s">
        <v>1453</v>
      </c>
      <c r="D10419" s="2889" t="s">
        <v>1105</v>
      </c>
      <c r="E10419" s="2889" t="s">
        <v>1420</v>
      </c>
      <c r="F10419" s="2890">
        <v>6.940462645987458E-2</v>
      </c>
      <c r="G10419" s="2890">
        <v>328.91617569000817</v>
      </c>
    </row>
    <row r="10420" spans="2:7" ht="15" hidden="1" outlineLevel="2">
      <c r="B10420" s="2889" t="s">
        <v>1631</v>
      </c>
      <c r="C10420" s="2889" t="s">
        <v>1454</v>
      </c>
      <c r="D10420" s="2889" t="s">
        <v>1105</v>
      </c>
      <c r="E10420" s="2889" t="s">
        <v>1420</v>
      </c>
      <c r="F10420" s="2890">
        <v>1.7329953949131356E-3</v>
      </c>
      <c r="G10420" s="2890">
        <v>4.4462087468212346</v>
      </c>
    </row>
    <row r="10421" spans="2:7" ht="15" hidden="1" outlineLevel="2">
      <c r="B10421" s="2889" t="s">
        <v>1631</v>
      </c>
      <c r="C10421" s="2889" t="s">
        <v>1455</v>
      </c>
      <c r="D10421" s="2889" t="s">
        <v>1105</v>
      </c>
      <c r="E10421" s="2889" t="s">
        <v>1420</v>
      </c>
      <c r="F10421" s="2890">
        <v>5.0560314801938156E-4</v>
      </c>
      <c r="G10421" s="2890">
        <v>4.1299417230520508</v>
      </c>
    </row>
    <row r="10422" spans="2:7" ht="15" hidden="1" outlineLevel="2">
      <c r="B10422" s="2889" t="s">
        <v>1631</v>
      </c>
      <c r="C10422" s="2889" t="s">
        <v>1456</v>
      </c>
      <c r="D10422" s="2889" t="s">
        <v>1105</v>
      </c>
      <c r="E10422" s="2889" t="s">
        <v>1423</v>
      </c>
      <c r="F10422" s="2890">
        <v>8.1502164299902571</v>
      </c>
      <c r="G10422" s="2890">
        <v>226.32283468358179</v>
      </c>
    </row>
    <row r="10423" spans="2:7" ht="15" hidden="1" outlineLevel="2">
      <c r="B10423" s="2889" t="s">
        <v>1631</v>
      </c>
      <c r="C10423" s="2889" t="s">
        <v>1457</v>
      </c>
      <c r="D10423" s="2889" t="s">
        <v>1105</v>
      </c>
      <c r="E10423" s="2889" t="s">
        <v>1423</v>
      </c>
      <c r="F10423" s="2890">
        <v>0.31246768022732224</v>
      </c>
      <c r="G10423" s="2890">
        <v>11.358677462985122</v>
      </c>
    </row>
    <row r="10424" spans="2:7" ht="15" hidden="1" outlineLevel="2">
      <c r="B10424" s="2889" t="s">
        <v>1631</v>
      </c>
      <c r="C10424" s="2889" t="s">
        <v>1458</v>
      </c>
      <c r="D10424" s="2889" t="s">
        <v>1105</v>
      </c>
      <c r="E10424" s="2889" t="s">
        <v>1423</v>
      </c>
      <c r="F10424" s="2890">
        <v>0.22432880827507179</v>
      </c>
      <c r="G10424" s="2890">
        <v>15.733691800152682</v>
      </c>
    </row>
    <row r="10425" spans="2:7" ht="15" hidden="1" outlineLevel="2">
      <c r="B10425" s="2889" t="s">
        <v>1631</v>
      </c>
      <c r="C10425" s="2889" t="s">
        <v>1459</v>
      </c>
      <c r="D10425" s="2889" t="s">
        <v>1105</v>
      </c>
      <c r="E10425" s="2889" t="s">
        <v>1423</v>
      </c>
      <c r="F10425" s="2890">
        <v>2.6281236090389046</v>
      </c>
      <c r="G10425" s="2890">
        <v>549.97583847754686</v>
      </c>
    </row>
    <row r="10426" spans="2:7" ht="15" hidden="1" outlineLevel="2">
      <c r="B10426" s="2889" t="s">
        <v>1631</v>
      </c>
      <c r="C10426" s="2889" t="s">
        <v>1460</v>
      </c>
      <c r="D10426" s="2889" t="s">
        <v>1105</v>
      </c>
      <c r="E10426" s="2889" t="s">
        <v>1426</v>
      </c>
      <c r="F10426" s="2890">
        <v>0.17141661872200284</v>
      </c>
      <c r="G10426" s="2890">
        <v>5864.7825924575491</v>
      </c>
    </row>
    <row r="10427" spans="2:7" ht="15" hidden="1" outlineLevel="2">
      <c r="B10427" s="2889" t="s">
        <v>1631</v>
      </c>
      <c r="C10427" s="2889" t="s">
        <v>1461</v>
      </c>
      <c r="D10427" s="2889" t="s">
        <v>1105</v>
      </c>
      <c r="E10427" s="2889" t="s">
        <v>1426</v>
      </c>
      <c r="F10427" s="2890">
        <v>4.0264582391522627E-2</v>
      </c>
      <c r="G10427" s="2890">
        <v>1383.7336298814432</v>
      </c>
    </row>
    <row r="10428" spans="2:7" ht="15" hidden="1" outlineLevel="2">
      <c r="B10428" s="2889" t="s">
        <v>1631</v>
      </c>
      <c r="C10428" s="2889" t="s">
        <v>1462</v>
      </c>
      <c r="D10428" s="2889" t="s">
        <v>1105</v>
      </c>
      <c r="E10428" s="2889" t="s">
        <v>1426</v>
      </c>
      <c r="F10428" s="2890">
        <v>0.12299801942185914</v>
      </c>
      <c r="G10428" s="2890">
        <v>3839.3247121136696</v>
      </c>
    </row>
    <row r="10429" spans="2:7" ht="15" hidden="1" outlineLevel="2">
      <c r="B10429" s="2889" t="s">
        <v>1631</v>
      </c>
      <c r="C10429" s="2889" t="s">
        <v>1463</v>
      </c>
      <c r="D10429" s="2889" t="s">
        <v>1105</v>
      </c>
      <c r="E10429" s="2889" t="s">
        <v>1426</v>
      </c>
      <c r="F10429" s="2890">
        <v>8.7448058575009827E-2</v>
      </c>
      <c r="G10429" s="2890">
        <v>1949.4837018132544</v>
      </c>
    </row>
    <row r="10430" spans="2:7" ht="15" hidden="1" outlineLevel="2">
      <c r="B10430" s="2889" t="s">
        <v>1631</v>
      </c>
      <c r="C10430" s="2889" t="s">
        <v>1464</v>
      </c>
      <c r="D10430" s="2889" t="s">
        <v>1105</v>
      </c>
      <c r="E10430" s="2889" t="s">
        <v>1426</v>
      </c>
      <c r="F10430" s="2890">
        <v>5.1802243113613297E-3</v>
      </c>
      <c r="G10430" s="2890">
        <v>187.27960591098969</v>
      </c>
    </row>
    <row r="10431" spans="2:7" ht="15" hidden="1" outlineLevel="2">
      <c r="B10431" s="2889" t="s">
        <v>1631</v>
      </c>
      <c r="C10431" s="2889" t="s">
        <v>1465</v>
      </c>
      <c r="D10431" s="2889" t="s">
        <v>1105</v>
      </c>
      <c r="E10431" s="2889" t="s">
        <v>1426</v>
      </c>
      <c r="F10431" s="2890">
        <v>5.7979484059478784E-3</v>
      </c>
      <c r="G10431" s="2890">
        <v>166.15941357230355</v>
      </c>
    </row>
    <row r="10432" spans="2:7" ht="15" hidden="1" outlineLevel="2">
      <c r="B10432" s="2889" t="s">
        <v>1631</v>
      </c>
      <c r="C10432" s="2889" t="s">
        <v>1466</v>
      </c>
      <c r="D10432" s="2889" t="s">
        <v>1054</v>
      </c>
      <c r="E10432" s="2889" t="s">
        <v>217</v>
      </c>
      <c r="F10432" s="2890">
        <v>0.10993362970885104</v>
      </c>
      <c r="G10432" s="2890">
        <v>67.675765490648899</v>
      </c>
    </row>
    <row r="10433" spans="2:7" ht="15" hidden="1" outlineLevel="2">
      <c r="B10433" s="2889" t="s">
        <v>1631</v>
      </c>
      <c r="C10433" s="2889" t="s">
        <v>1467</v>
      </c>
      <c r="D10433" s="2889" t="s">
        <v>1054</v>
      </c>
      <c r="E10433" s="2889" t="s">
        <v>217</v>
      </c>
      <c r="F10433" s="2890">
        <v>9.0853139453660504E-3</v>
      </c>
      <c r="G10433" s="2890">
        <v>4.3892895127946501</v>
      </c>
    </row>
    <row r="10434" spans="2:7" ht="15" hidden="1" outlineLevel="2">
      <c r="B10434" s="2889" t="s">
        <v>1631</v>
      </c>
      <c r="C10434" s="2889" t="s">
        <v>1468</v>
      </c>
      <c r="D10434" s="2889" t="s">
        <v>1054</v>
      </c>
      <c r="E10434" s="2889" t="s">
        <v>217</v>
      </c>
      <c r="F10434" s="2890">
        <v>1.1002583213390581E-2</v>
      </c>
      <c r="G10434" s="2890">
        <v>5.247141629432253</v>
      </c>
    </row>
    <row r="10435" spans="2:7" ht="15" hidden="1" outlineLevel="2">
      <c r="B10435" s="2889" t="s">
        <v>1631</v>
      </c>
      <c r="C10435" s="2889" t="s">
        <v>1469</v>
      </c>
      <c r="D10435" s="2889" t="s">
        <v>1054</v>
      </c>
      <c r="E10435" s="2889" t="s">
        <v>217</v>
      </c>
      <c r="F10435" s="2890">
        <v>8.7797244029837665E-5</v>
      </c>
      <c r="G10435" s="2890">
        <v>3.9293332053138043E-2</v>
      </c>
    </row>
    <row r="10436" spans="2:7" ht="15" hidden="1" outlineLevel="2">
      <c r="B10436" s="2889" t="s">
        <v>1631</v>
      </c>
      <c r="C10436" s="2889" t="s">
        <v>1470</v>
      </c>
      <c r="D10436" s="2889" t="s">
        <v>1054</v>
      </c>
      <c r="E10436" s="2889" t="s">
        <v>217</v>
      </c>
      <c r="F10436" s="2890">
        <v>0.31319683181140168</v>
      </c>
      <c r="G10436" s="2890">
        <v>174.88467945201646</v>
      </c>
    </row>
    <row r="10437" spans="2:7" ht="15" hidden="1" outlineLevel="2">
      <c r="B10437" s="2889" t="s">
        <v>1631</v>
      </c>
      <c r="C10437" s="2889" t="s">
        <v>1471</v>
      </c>
      <c r="D10437" s="2889" t="s">
        <v>1054</v>
      </c>
      <c r="E10437" s="2889" t="s">
        <v>217</v>
      </c>
      <c r="F10437" s="2890">
        <v>2.2861693825184217E-3</v>
      </c>
      <c r="G10437" s="2890">
        <v>1.0231666970461255</v>
      </c>
    </row>
    <row r="10438" spans="2:7" ht="15" hidden="1" outlineLevel="2">
      <c r="B10438" s="2889" t="s">
        <v>1631</v>
      </c>
      <c r="C10438" s="2889" t="s">
        <v>1472</v>
      </c>
      <c r="D10438" s="2889" t="s">
        <v>1054</v>
      </c>
      <c r="E10438" s="2889" t="s">
        <v>217</v>
      </c>
      <c r="F10438" s="2890">
        <v>3.9351792123335658E-2</v>
      </c>
      <c r="G10438" s="2890">
        <v>60.162369810044666</v>
      </c>
    </row>
    <row r="10439" spans="2:7" ht="15" hidden="1" outlineLevel="2">
      <c r="B10439" s="2889" t="s">
        <v>1631</v>
      </c>
      <c r="C10439" s="2889" t="s">
        <v>1473</v>
      </c>
      <c r="D10439" s="2889" t="s">
        <v>1054</v>
      </c>
      <c r="E10439" s="2889" t="s">
        <v>217</v>
      </c>
      <c r="F10439" s="2890">
        <v>3.4864731458997402E-4</v>
      </c>
      <c r="G10439" s="2890">
        <v>0.44458438956335261</v>
      </c>
    </row>
    <row r="10440" spans="2:7" ht="15" hidden="1" outlineLevel="2">
      <c r="B10440" s="2889" t="s">
        <v>1631</v>
      </c>
      <c r="C10440" s="2889" t="s">
        <v>1474</v>
      </c>
      <c r="D10440" s="2889" t="s">
        <v>1054</v>
      </c>
      <c r="E10440" s="2889" t="s">
        <v>217</v>
      </c>
      <c r="F10440" s="2890">
        <v>9.5904017693048196E-2</v>
      </c>
      <c r="G10440" s="2890">
        <v>112.58171934712634</v>
      </c>
    </row>
    <row r="10441" spans="2:7" ht="15" hidden="1" outlineLevel="2">
      <c r="B10441" s="2889" t="s">
        <v>1631</v>
      </c>
      <c r="C10441" s="2889" t="s">
        <v>1475</v>
      </c>
      <c r="D10441" s="2889" t="s">
        <v>1054</v>
      </c>
      <c r="E10441" s="2889" t="s">
        <v>217</v>
      </c>
      <c r="F10441" s="2890">
        <v>6.8692428760668181E-2</v>
      </c>
      <c r="G10441" s="2890">
        <v>106.38274255202634</v>
      </c>
    </row>
    <row r="10442" spans="2:7" ht="15" hidden="1" outlineLevel="2">
      <c r="B10442" s="2889" t="s">
        <v>1631</v>
      </c>
      <c r="C10442" s="2889" t="s">
        <v>1476</v>
      </c>
      <c r="D10442" s="2889" t="s">
        <v>1054</v>
      </c>
      <c r="E10442" s="2889" t="s">
        <v>217</v>
      </c>
      <c r="F10442" s="2890">
        <v>0.16913559068365674</v>
      </c>
      <c r="G10442" s="2890">
        <v>211.73776566086232</v>
      </c>
    </row>
    <row r="10443" spans="2:7" ht="15" hidden="1" outlineLevel="2">
      <c r="B10443" s="2889" t="s">
        <v>1631</v>
      </c>
      <c r="C10443" s="2889" t="s">
        <v>1477</v>
      </c>
      <c r="D10443" s="2889" t="s">
        <v>1054</v>
      </c>
      <c r="E10443" s="2889" t="s">
        <v>217</v>
      </c>
      <c r="F10443" s="2890">
        <v>6.6157611596048271E-2</v>
      </c>
      <c r="G10443" s="2890">
        <v>89.289826822928163</v>
      </c>
    </row>
    <row r="10444" spans="2:7" ht="15" hidden="1" outlineLevel="2">
      <c r="B10444" s="2889" t="s">
        <v>1631</v>
      </c>
      <c r="C10444" s="2889" t="s">
        <v>1478</v>
      </c>
      <c r="D10444" s="2889" t="s">
        <v>1054</v>
      </c>
      <c r="E10444" s="2889" t="s">
        <v>217</v>
      </c>
      <c r="F10444" s="2890">
        <v>3.5653070302279063E-3</v>
      </c>
      <c r="G10444" s="2890">
        <v>4.6358685431137454</v>
      </c>
    </row>
    <row r="10445" spans="2:7" ht="15" hidden="1" outlineLevel="2">
      <c r="B10445" s="2889" t="s">
        <v>1631</v>
      </c>
      <c r="C10445" s="2889" t="s">
        <v>1479</v>
      </c>
      <c r="D10445" s="2889" t="s">
        <v>1054</v>
      </c>
      <c r="E10445" s="2889" t="s">
        <v>217</v>
      </c>
      <c r="F10445" s="2890">
        <v>0.12603708479081513</v>
      </c>
      <c r="G10445" s="2890">
        <v>186.9257999695933</v>
      </c>
    </row>
    <row r="10446" spans="2:7" ht="15" hidden="1" outlineLevel="2">
      <c r="B10446" s="2889" t="s">
        <v>1631</v>
      </c>
      <c r="C10446" s="2889" t="s">
        <v>1480</v>
      </c>
      <c r="D10446" s="2889" t="s">
        <v>1054</v>
      </c>
      <c r="E10446" s="2889" t="s">
        <v>217</v>
      </c>
      <c r="F10446" s="2890">
        <v>5.6714708037978269E-2</v>
      </c>
      <c r="G10446" s="2890">
        <v>64.380251940692716</v>
      </c>
    </row>
    <row r="10447" spans="2:7" ht="15" hidden="1" outlineLevel="2">
      <c r="B10447" s="2889" t="s">
        <v>1631</v>
      </c>
      <c r="C10447" s="2889" t="s">
        <v>1481</v>
      </c>
      <c r="D10447" s="2889" t="s">
        <v>1054</v>
      </c>
      <c r="E10447" s="2889" t="s">
        <v>217</v>
      </c>
      <c r="F10447" s="2890">
        <v>0.28082682873278003</v>
      </c>
      <c r="G10447" s="2890">
        <v>389.32961734280099</v>
      </c>
    </row>
    <row r="10448" spans="2:7" ht="15" hidden="1" outlineLevel="2">
      <c r="B10448" s="2889" t="s">
        <v>1631</v>
      </c>
      <c r="C10448" s="2889" t="s">
        <v>1482</v>
      </c>
      <c r="D10448" s="2889" t="s">
        <v>1054</v>
      </c>
      <c r="E10448" s="2889" t="s">
        <v>217</v>
      </c>
      <c r="F10448" s="2890">
        <v>0.18925189697909559</v>
      </c>
      <c r="G10448" s="2890">
        <v>186.50937383735328</v>
      </c>
    </row>
    <row r="10449" spans="2:7" ht="15" hidden="1" outlineLevel="2">
      <c r="B10449" s="2889" t="s">
        <v>1631</v>
      </c>
      <c r="C10449" s="2889" t="s">
        <v>1483</v>
      </c>
      <c r="D10449" s="2889" t="s">
        <v>1054</v>
      </c>
      <c r="E10449" s="2889" t="s">
        <v>217</v>
      </c>
      <c r="F10449" s="2890">
        <v>8.9657674816854844E-3</v>
      </c>
      <c r="G10449" s="2890">
        <v>14.867727178828478</v>
      </c>
    </row>
    <row r="10450" spans="2:7" ht="15" hidden="1" outlineLevel="2">
      <c r="B10450" s="2889" t="s">
        <v>1631</v>
      </c>
      <c r="C10450" s="2889" t="s">
        <v>1484</v>
      </c>
      <c r="D10450" s="2889" t="s">
        <v>1054</v>
      </c>
      <c r="E10450" s="2889" t="s">
        <v>217</v>
      </c>
      <c r="F10450" s="2890">
        <v>1.8283270945554573E-2</v>
      </c>
      <c r="G10450" s="2890">
        <v>25.210291456756615</v>
      </c>
    </row>
    <row r="10451" spans="2:7" ht="15" hidden="1" outlineLevel="2">
      <c r="B10451" s="2889" t="s">
        <v>1631</v>
      </c>
      <c r="C10451" s="2889" t="s">
        <v>1485</v>
      </c>
      <c r="D10451" s="2889" t="s">
        <v>1054</v>
      </c>
      <c r="E10451" s="2889" t="s">
        <v>217</v>
      </c>
      <c r="F10451" s="2890">
        <v>8.100496467256536E-3</v>
      </c>
      <c r="G10451" s="2890">
        <v>22.590694558193594</v>
      </c>
    </row>
    <row r="10452" spans="2:7" ht="15" hidden="1" outlineLevel="2">
      <c r="B10452" s="2889" t="s">
        <v>1631</v>
      </c>
      <c r="C10452" s="2889" t="s">
        <v>1486</v>
      </c>
      <c r="D10452" s="2889" t="s">
        <v>1054</v>
      </c>
      <c r="E10452" s="2889" t="s">
        <v>217</v>
      </c>
      <c r="F10452" s="2890">
        <v>9.446348463655033E-3</v>
      </c>
      <c r="G10452" s="2890">
        <v>53.956541496335049</v>
      </c>
    </row>
    <row r="10453" spans="2:7" ht="15" hidden="1" outlineLevel="2">
      <c r="B10453" s="2889" t="s">
        <v>1631</v>
      </c>
      <c r="C10453" s="2889" t="s">
        <v>1487</v>
      </c>
      <c r="D10453" s="2889" t="s">
        <v>1054</v>
      </c>
      <c r="E10453" s="2889" t="s">
        <v>217</v>
      </c>
      <c r="F10453" s="2890">
        <v>8.9533387765775768E-2</v>
      </c>
      <c r="G10453" s="2890">
        <v>127.86298104008107</v>
      </c>
    </row>
    <row r="10454" spans="2:7" ht="15" hidden="1" outlineLevel="2">
      <c r="B10454" s="2889" t="s">
        <v>1631</v>
      </c>
      <c r="C10454" s="2889" t="s">
        <v>1488</v>
      </c>
      <c r="D10454" s="2889" t="s">
        <v>1054</v>
      </c>
      <c r="E10454" s="2889" t="s">
        <v>217</v>
      </c>
      <c r="F10454" s="2890">
        <v>5.5452066675657809E-2</v>
      </c>
      <c r="G10454" s="2890">
        <v>87.75405322223088</v>
      </c>
    </row>
    <row r="10455" spans="2:7" ht="15" hidden="1" outlineLevel="2">
      <c r="B10455" s="2889" t="s">
        <v>1631</v>
      </c>
      <c r="C10455" s="2889" t="s">
        <v>1489</v>
      </c>
      <c r="D10455" s="2889" t="s">
        <v>1054</v>
      </c>
      <c r="E10455" s="2889" t="s">
        <v>217</v>
      </c>
      <c r="F10455" s="2890">
        <v>2.7956649512240389E-2</v>
      </c>
      <c r="G10455" s="2890">
        <v>28.914162741830111</v>
      </c>
    </row>
    <row r="10456" spans="2:7" ht="15" hidden="1" outlineLevel="2">
      <c r="B10456" s="2889" t="s">
        <v>1631</v>
      </c>
      <c r="C10456" s="2889" t="s">
        <v>1490</v>
      </c>
      <c r="D10456" s="2889" t="s">
        <v>1054</v>
      </c>
      <c r="E10456" s="2889" t="s">
        <v>217</v>
      </c>
      <c r="F10456" s="2890">
        <v>1.2994631924494258E-2</v>
      </c>
      <c r="G10456" s="2890">
        <v>20.425876570073228</v>
      </c>
    </row>
    <row r="10457" spans="2:7" ht="15" hidden="1" outlineLevel="2">
      <c r="B10457" s="2889" t="s">
        <v>1631</v>
      </c>
      <c r="C10457" s="2889" t="s">
        <v>1491</v>
      </c>
      <c r="D10457" s="2889" t="s">
        <v>1054</v>
      </c>
      <c r="E10457" s="2889" t="s">
        <v>1420</v>
      </c>
      <c r="F10457" s="2890">
        <v>2.4435071069017823E-3</v>
      </c>
      <c r="G10457" s="2890">
        <v>11.569540446650805</v>
      </c>
    </row>
    <row r="10458" spans="2:7" ht="15" hidden="1" outlineLevel="2">
      <c r="B10458" s="2889" t="s">
        <v>1631</v>
      </c>
      <c r="C10458" s="2889" t="s">
        <v>1492</v>
      </c>
      <c r="D10458" s="2889" t="s">
        <v>1054</v>
      </c>
      <c r="E10458" s="2889" t="s">
        <v>1420</v>
      </c>
      <c r="F10458" s="2890">
        <v>1.8164231031035745E-3</v>
      </c>
      <c r="G10458" s="2890">
        <v>19.415865343743292</v>
      </c>
    </row>
    <row r="10459" spans="2:7" ht="15" hidden="1" outlineLevel="2">
      <c r="B10459" s="2889" t="s">
        <v>1631</v>
      </c>
      <c r="C10459" s="2889" t="s">
        <v>1493</v>
      </c>
      <c r="D10459" s="2889" t="s">
        <v>1054</v>
      </c>
      <c r="E10459" s="2889" t="s">
        <v>1420</v>
      </c>
      <c r="F10459" s="2890">
        <v>1.3450307972903185E-3</v>
      </c>
      <c r="G10459" s="2890">
        <v>3.2119668811962843</v>
      </c>
    </row>
    <row r="10460" spans="2:7" ht="15" hidden="1" outlineLevel="2">
      <c r="B10460" s="2889" t="s">
        <v>1631</v>
      </c>
      <c r="C10460" s="2889" t="s">
        <v>1494</v>
      </c>
      <c r="D10460" s="2889" t="s">
        <v>1054</v>
      </c>
      <c r="E10460" s="2889" t="s">
        <v>1420</v>
      </c>
      <c r="F10460" s="2890">
        <v>3.6676107427986211E-4</v>
      </c>
      <c r="G10460" s="2890">
        <v>2.0126903422817954</v>
      </c>
    </row>
    <row r="10461" spans="2:7" ht="15" hidden="1" outlineLevel="2">
      <c r="B10461" s="2889" t="s">
        <v>1631</v>
      </c>
      <c r="C10461" s="2889" t="s">
        <v>1495</v>
      </c>
      <c r="D10461" s="2889" t="s">
        <v>1054</v>
      </c>
      <c r="E10461" s="2889" t="s">
        <v>1420</v>
      </c>
      <c r="F10461" s="2890">
        <v>7.9369587344715262E-3</v>
      </c>
      <c r="G10461" s="2890">
        <v>35.6178058716512</v>
      </c>
    </row>
    <row r="10462" spans="2:7" ht="15" hidden="1" outlineLevel="2">
      <c r="B10462" s="2889" t="s">
        <v>1631</v>
      </c>
      <c r="C10462" s="2889" t="s">
        <v>1496</v>
      </c>
      <c r="D10462" s="2889" t="s">
        <v>1054</v>
      </c>
      <c r="E10462" s="2889" t="s">
        <v>1420</v>
      </c>
      <c r="F10462" s="2890">
        <v>7.2006534639395521E-3</v>
      </c>
      <c r="G10462" s="2890">
        <v>12.824461713536497</v>
      </c>
    </row>
    <row r="10463" spans="2:7" ht="15" hidden="1" outlineLevel="2">
      <c r="B10463" s="2889" t="s">
        <v>1631</v>
      </c>
      <c r="C10463" s="2889" t="s">
        <v>1497</v>
      </c>
      <c r="D10463" s="2889" t="s">
        <v>1054</v>
      </c>
      <c r="E10463" s="2889" t="s">
        <v>1420</v>
      </c>
      <c r="F10463" s="2890">
        <v>1.997849793368341E-3</v>
      </c>
      <c r="G10463" s="2890">
        <v>32.952172705121257</v>
      </c>
    </row>
    <row r="10464" spans="2:7" ht="15" hidden="1" outlineLevel="2">
      <c r="B10464" s="2889" t="s">
        <v>1631</v>
      </c>
      <c r="C10464" s="2889" t="s">
        <v>1498</v>
      </c>
      <c r="D10464" s="2889" t="s">
        <v>1054</v>
      </c>
      <c r="E10464" s="2889" t="s">
        <v>1420</v>
      </c>
      <c r="F10464" s="2890">
        <v>5.4610541127784358E-3</v>
      </c>
      <c r="G10464" s="2890">
        <v>13.124499515856058</v>
      </c>
    </row>
    <row r="10465" spans="2:7" ht="15" hidden="1" outlineLevel="2">
      <c r="B10465" s="2889" t="s">
        <v>1631</v>
      </c>
      <c r="C10465" s="2889" t="s">
        <v>1499</v>
      </c>
      <c r="D10465" s="2889" t="s">
        <v>1054</v>
      </c>
      <c r="E10465" s="2889" t="s">
        <v>1420</v>
      </c>
      <c r="F10465" s="2890">
        <v>8.3405253239465251E-4</v>
      </c>
      <c r="G10465" s="2890">
        <v>2.1119246133467899</v>
      </c>
    </row>
    <row r="10466" spans="2:7" ht="15" hidden="1" outlineLevel="2">
      <c r="B10466" s="2889" t="s">
        <v>1631</v>
      </c>
      <c r="C10466" s="2889" t="s">
        <v>1500</v>
      </c>
      <c r="D10466" s="2889" t="s">
        <v>1054</v>
      </c>
      <c r="E10466" s="2889" t="s">
        <v>1420</v>
      </c>
      <c r="F10466" s="2890">
        <v>6.0412024094079501E-3</v>
      </c>
      <c r="G10466" s="2890">
        <v>22.846420749796103</v>
      </c>
    </row>
    <row r="10467" spans="2:7" ht="15" hidden="1" outlineLevel="2">
      <c r="B10467" s="2889" t="s">
        <v>1631</v>
      </c>
      <c r="C10467" s="2889" t="s">
        <v>1501</v>
      </c>
      <c r="D10467" s="2889" t="s">
        <v>1054</v>
      </c>
      <c r="E10467" s="2889" t="s">
        <v>1420</v>
      </c>
      <c r="F10467" s="2890">
        <v>7.5769772877128973E-3</v>
      </c>
      <c r="G10467" s="2890">
        <v>55.632209370459151</v>
      </c>
    </row>
    <row r="10468" spans="2:7" ht="15" hidden="1" outlineLevel="2">
      <c r="B10468" s="2889" t="s">
        <v>1631</v>
      </c>
      <c r="C10468" s="2889" t="s">
        <v>1502</v>
      </c>
      <c r="D10468" s="2889" t="s">
        <v>1054</v>
      </c>
      <c r="E10468" s="2889" t="s">
        <v>1420</v>
      </c>
      <c r="F10468" s="2890">
        <v>5.2868502714368756E-4</v>
      </c>
      <c r="G10468" s="2890">
        <v>5.8114202908787949</v>
      </c>
    </row>
    <row r="10469" spans="2:7" ht="15" hidden="1" outlineLevel="2">
      <c r="B10469" s="2889" t="s">
        <v>1631</v>
      </c>
      <c r="C10469" s="2889" t="s">
        <v>1503</v>
      </c>
      <c r="D10469" s="2889" t="s">
        <v>1054</v>
      </c>
      <c r="E10469" s="2889" t="s">
        <v>1420</v>
      </c>
      <c r="F10469" s="2890">
        <v>1.7435543102257797E-2</v>
      </c>
      <c r="G10469" s="2890">
        <v>48.139681210220779</v>
      </c>
    </row>
    <row r="10470" spans="2:7" ht="15" hidden="1" outlineLevel="2">
      <c r="B10470" s="2889" t="s">
        <v>1631</v>
      </c>
      <c r="C10470" s="2889" t="s">
        <v>1504</v>
      </c>
      <c r="D10470" s="2889" t="s">
        <v>1054</v>
      </c>
      <c r="E10470" s="2889" t="s">
        <v>1420</v>
      </c>
      <c r="F10470" s="2890">
        <v>8.9937562856983125E-3</v>
      </c>
      <c r="G10470" s="2890">
        <v>19.907754856203077</v>
      </c>
    </row>
    <row r="10471" spans="2:7" ht="15" hidden="1" outlineLevel="2">
      <c r="B10471" s="2889" t="s">
        <v>1631</v>
      </c>
      <c r="C10471" s="2889" t="s">
        <v>1505</v>
      </c>
      <c r="D10471" s="2889" t="s">
        <v>1054</v>
      </c>
      <c r="E10471" s="2889" t="s">
        <v>1423</v>
      </c>
      <c r="F10471" s="2890">
        <v>2.5504325386466391E-2</v>
      </c>
      <c r="G10471" s="2890">
        <v>0.63117670345983867</v>
      </c>
    </row>
    <row r="10472" spans="2:7" ht="15" hidden="1" outlineLevel="2">
      <c r="B10472" s="2889" t="s">
        <v>1631</v>
      </c>
      <c r="C10472" s="2889" t="s">
        <v>1506</v>
      </c>
      <c r="D10472" s="2889" t="s">
        <v>1054</v>
      </c>
      <c r="E10472" s="2889" t="s">
        <v>1426</v>
      </c>
      <c r="F10472" s="2890">
        <v>6.2063333535991375E-2</v>
      </c>
      <c r="G10472" s="2890">
        <v>1874.0373568088044</v>
      </c>
    </row>
    <row r="10473" spans="2:7" ht="15" hidden="1" outlineLevel="2">
      <c r="B10473" s="2889" t="s">
        <v>1631</v>
      </c>
      <c r="C10473" s="2889" t="s">
        <v>1507</v>
      </c>
      <c r="D10473" s="2889" t="s">
        <v>1054</v>
      </c>
      <c r="E10473" s="2889" t="s">
        <v>1426</v>
      </c>
      <c r="F10473" s="2890">
        <v>2.2922326966446803E-4</v>
      </c>
      <c r="G10473" s="2890">
        <v>3.0548081027743423</v>
      </c>
    </row>
    <row r="10474" spans="2:7" ht="15" hidden="1" outlineLevel="2">
      <c r="B10474" s="2889" t="s">
        <v>1631</v>
      </c>
      <c r="C10474" s="2889" t="s">
        <v>1508</v>
      </c>
      <c r="D10474" s="2889" t="s">
        <v>1054</v>
      </c>
      <c r="E10474" s="2889" t="s">
        <v>1426</v>
      </c>
      <c r="F10474" s="2890">
        <v>3.590689941708095E-3</v>
      </c>
      <c r="G10474" s="2890">
        <v>50.326874473500737</v>
      </c>
    </row>
    <row r="10475" spans="2:7" ht="15" hidden="1" outlineLevel="2">
      <c r="B10475" s="2889" t="s">
        <v>1631</v>
      </c>
      <c r="C10475" s="2889" t="s">
        <v>1509</v>
      </c>
      <c r="D10475" s="2889" t="s">
        <v>1054</v>
      </c>
      <c r="E10475" s="2889" t="s">
        <v>1426</v>
      </c>
      <c r="F10475" s="2890">
        <v>0.16404737994373894</v>
      </c>
      <c r="G10475" s="2890">
        <v>4690.9365503674626</v>
      </c>
    </row>
    <row r="10476" spans="2:7" ht="15" hidden="1" outlineLevel="2">
      <c r="B10476" s="2889" t="s">
        <v>1631</v>
      </c>
      <c r="C10476" s="2889" t="s">
        <v>1510</v>
      </c>
      <c r="D10476" s="2889" t="s">
        <v>1054</v>
      </c>
      <c r="E10476" s="2889" t="s">
        <v>1426</v>
      </c>
      <c r="F10476" s="2890">
        <v>0.13850505320868839</v>
      </c>
      <c r="G10476" s="2890">
        <v>5102.7528402799371</v>
      </c>
    </row>
    <row r="10477" spans="2:7" ht="15" hidden="1" outlineLevel="2">
      <c r="B10477" s="2889" t="s">
        <v>1631</v>
      </c>
      <c r="C10477" s="2889" t="s">
        <v>1511</v>
      </c>
      <c r="D10477" s="2889" t="s">
        <v>1054</v>
      </c>
      <c r="E10477" s="2889" t="s">
        <v>1426</v>
      </c>
      <c r="F10477" s="2890">
        <v>1.0146753052866888E-2</v>
      </c>
      <c r="G10477" s="2890">
        <v>281.12797347091413</v>
      </c>
    </row>
    <row r="10478" spans="2:7" ht="15" hidden="1" outlineLevel="2">
      <c r="B10478" s="2889" t="s">
        <v>1631</v>
      </c>
      <c r="C10478" s="2889" t="s">
        <v>1512</v>
      </c>
      <c r="D10478" s="2889" t="s">
        <v>1054</v>
      </c>
      <c r="E10478" s="2889" t="s">
        <v>1426</v>
      </c>
      <c r="F10478" s="2890">
        <v>5.0830889194446362E-3</v>
      </c>
      <c r="G10478" s="2890">
        <v>173.52055990953764</v>
      </c>
    </row>
    <row r="10479" spans="2:7" ht="15" hidden="1" outlineLevel="2">
      <c r="B10479" s="2889" t="s">
        <v>1631</v>
      </c>
      <c r="C10479" s="2889" t="s">
        <v>1513</v>
      </c>
      <c r="D10479" s="2889" t="s">
        <v>1054</v>
      </c>
      <c r="E10479" s="2889" t="s">
        <v>1426</v>
      </c>
      <c r="F10479" s="2890">
        <v>2.8102835609977304E-2</v>
      </c>
      <c r="G10479" s="2890">
        <v>518.12367756493836</v>
      </c>
    </row>
    <row r="10480" spans="2:7" ht="15" hidden="1" outlineLevel="2">
      <c r="B10480" s="2889" t="s">
        <v>1631</v>
      </c>
      <c r="C10480" s="2889" t="s">
        <v>1514</v>
      </c>
      <c r="D10480" s="2889" t="s">
        <v>1054</v>
      </c>
      <c r="E10480" s="2889" t="s">
        <v>1426</v>
      </c>
      <c r="F10480" s="2890">
        <v>7.3184321258552329E-2</v>
      </c>
      <c r="G10480" s="2890">
        <v>2225.4420124042695</v>
      </c>
    </row>
    <row r="10481" spans="2:7" ht="15" hidden="1" outlineLevel="2">
      <c r="B10481" s="2889" t="s">
        <v>1631</v>
      </c>
      <c r="C10481" s="2889" t="s">
        <v>1515</v>
      </c>
      <c r="D10481" s="2889" t="s">
        <v>1054</v>
      </c>
      <c r="E10481" s="2889" t="s">
        <v>1426</v>
      </c>
      <c r="F10481" s="2890">
        <v>4.4731628140244881E-2</v>
      </c>
      <c r="G10481" s="2890">
        <v>1913.6195586632939</v>
      </c>
    </row>
    <row r="10482" spans="2:7" ht="15" hidden="1" outlineLevel="2">
      <c r="B10482" s="2889" t="s">
        <v>1631</v>
      </c>
      <c r="C10482" s="2889" t="s">
        <v>1516</v>
      </c>
      <c r="D10482" s="2889" t="s">
        <v>1054</v>
      </c>
      <c r="E10482" s="2889" t="s">
        <v>1426</v>
      </c>
      <c r="F10482" s="2890">
        <v>0.58626737043763022</v>
      </c>
      <c r="G10482" s="2890">
        <v>19010.568858304807</v>
      </c>
    </row>
    <row r="10483" spans="2:7" ht="15" hidden="1" outlineLevel="2">
      <c r="B10483" s="2889" t="s">
        <v>1631</v>
      </c>
      <c r="C10483" s="2889" t="s">
        <v>1517</v>
      </c>
      <c r="D10483" s="2889" t="s">
        <v>1054</v>
      </c>
      <c r="E10483" s="2889" t="s">
        <v>1426</v>
      </c>
      <c r="F10483" s="2890">
        <v>5.8336617882605076E-3</v>
      </c>
      <c r="G10483" s="2890">
        <v>157.69175639036578</v>
      </c>
    </row>
    <row r="10484" spans="2:7" ht="15" hidden="1" outlineLevel="2">
      <c r="B10484" s="2889" t="s">
        <v>1631</v>
      </c>
      <c r="C10484" s="2889" t="s">
        <v>1518</v>
      </c>
      <c r="D10484" s="2889" t="s">
        <v>1054</v>
      </c>
      <c r="E10484" s="2889" t="s">
        <v>1426</v>
      </c>
      <c r="F10484" s="2890">
        <v>2.2224104415720664E-3</v>
      </c>
      <c r="G10484" s="2890">
        <v>74.485037296919316</v>
      </c>
    </row>
    <row r="10485" spans="2:7" ht="15" hidden="1" outlineLevel="2">
      <c r="B10485" s="2889" t="s">
        <v>1631</v>
      </c>
      <c r="C10485" s="2889" t="s">
        <v>1519</v>
      </c>
      <c r="D10485" s="2889" t="s">
        <v>1054</v>
      </c>
      <c r="E10485" s="2889" t="s">
        <v>1426</v>
      </c>
      <c r="F10485" s="2890">
        <v>0.12760420935217642</v>
      </c>
      <c r="G10485" s="2890">
        <v>4341.8496005876941</v>
      </c>
    </row>
    <row r="10486" spans="2:7" ht="15" hidden="1" outlineLevel="2">
      <c r="B10486" s="2889" t="s">
        <v>1631</v>
      </c>
      <c r="C10486" s="2889" t="s">
        <v>1520</v>
      </c>
      <c r="D10486" s="2889" t="s">
        <v>1054</v>
      </c>
      <c r="E10486" s="2889" t="s">
        <v>1426</v>
      </c>
      <c r="F10486" s="2890">
        <v>0.14615141355139191</v>
      </c>
      <c r="G10486" s="2890">
        <v>4729.7100099539202</v>
      </c>
    </row>
    <row r="10487" spans="2:7" ht="15" hidden="1" outlineLevel="2">
      <c r="B10487" s="2889" t="s">
        <v>1631</v>
      </c>
      <c r="C10487" s="2889" t="s">
        <v>1521</v>
      </c>
      <c r="D10487" s="2889" t="s">
        <v>1054</v>
      </c>
      <c r="E10487" s="2889" t="s">
        <v>1426</v>
      </c>
      <c r="F10487" s="2890">
        <v>0.57197739114006174</v>
      </c>
      <c r="G10487" s="2890">
        <v>16259.618370754453</v>
      </c>
    </row>
    <row r="10488" spans="2:7" ht="15" hidden="1" outlineLevel="2">
      <c r="B10488" s="2889" t="s">
        <v>1631</v>
      </c>
      <c r="C10488" s="2889" t="s">
        <v>1522</v>
      </c>
      <c r="D10488" s="2889" t="s">
        <v>1054</v>
      </c>
      <c r="E10488" s="2889" t="s">
        <v>1426</v>
      </c>
      <c r="F10488" s="2890">
        <v>2.2223886984418698E-2</v>
      </c>
      <c r="G10488" s="2890">
        <v>765.48034814439382</v>
      </c>
    </row>
    <row r="10489" spans="2:7" ht="15" hidden="1" outlineLevel="2">
      <c r="B10489" s="2889" t="s">
        <v>1631</v>
      </c>
      <c r="C10489" s="2889" t="s">
        <v>1523</v>
      </c>
      <c r="D10489" s="2889" t="s">
        <v>1054</v>
      </c>
      <c r="E10489" s="2889" t="s">
        <v>1426</v>
      </c>
      <c r="F10489" s="2890">
        <v>0.20644567582031118</v>
      </c>
      <c r="G10489" s="2890">
        <v>6085.0538708928207</v>
      </c>
    </row>
    <row r="10490" spans="2:7" ht="15" hidden="1" outlineLevel="2">
      <c r="B10490" s="2889" t="s">
        <v>1631</v>
      </c>
      <c r="C10490" s="2889" t="s">
        <v>1524</v>
      </c>
      <c r="D10490" s="2889" t="s">
        <v>1054</v>
      </c>
      <c r="E10490" s="2889" t="s">
        <v>1426</v>
      </c>
      <c r="F10490" s="2890">
        <v>0.60878282559782748</v>
      </c>
      <c r="G10490" s="2890">
        <v>20692.208321247803</v>
      </c>
    </row>
    <row r="10491" spans="2:7" ht="15" hidden="1" outlineLevel="2">
      <c r="B10491" s="2889" t="s">
        <v>1631</v>
      </c>
      <c r="C10491" s="2889" t="s">
        <v>1525</v>
      </c>
      <c r="D10491" s="2889" t="s">
        <v>1054</v>
      </c>
      <c r="E10491" s="2889" t="s">
        <v>1426</v>
      </c>
      <c r="F10491" s="2890">
        <v>0.62185607320161418</v>
      </c>
      <c r="G10491" s="2890">
        <v>12548.569498351602</v>
      </c>
    </row>
    <row r="10492" spans="2:7" ht="15" hidden="1" outlineLevel="2">
      <c r="B10492" s="2889" t="s">
        <v>1631</v>
      </c>
      <c r="C10492" s="2889" t="s">
        <v>1526</v>
      </c>
      <c r="D10492" s="2889" t="s">
        <v>1054</v>
      </c>
      <c r="E10492" s="2889" t="s">
        <v>1426</v>
      </c>
      <c r="F10492" s="2890">
        <v>0.56384913726194985</v>
      </c>
      <c r="G10492" s="2890">
        <v>18937.419316028816</v>
      </c>
    </row>
    <row r="10493" spans="2:7" ht="15" hidden="1" outlineLevel="2">
      <c r="B10493" s="2889" t="s">
        <v>1631</v>
      </c>
      <c r="C10493" s="2889" t="s">
        <v>1527</v>
      </c>
      <c r="D10493" s="2889" t="s">
        <v>1054</v>
      </c>
      <c r="E10493" s="2889" t="s">
        <v>1426</v>
      </c>
      <c r="F10493" s="2890">
        <v>0.37986238309612236</v>
      </c>
      <c r="G10493" s="2890">
        <v>8604.4422469753536</v>
      </c>
    </row>
    <row r="10494" spans="2:7" ht="15" hidden="1" outlineLevel="2">
      <c r="B10494" s="2889" t="s">
        <v>1631</v>
      </c>
      <c r="C10494" s="2889" t="s">
        <v>1528</v>
      </c>
      <c r="D10494" s="2889" t="s">
        <v>1054</v>
      </c>
      <c r="E10494" s="2889" t="s">
        <v>1426</v>
      </c>
      <c r="F10494" s="2890">
        <v>5.5726778536169731E-2</v>
      </c>
      <c r="G10494" s="2890">
        <v>2036.9448898070061</v>
      </c>
    </row>
    <row r="10495" spans="2:7" ht="15" hidden="1" outlineLevel="2">
      <c r="B10495" s="2889" t="s">
        <v>1631</v>
      </c>
      <c r="C10495" s="2889" t="s">
        <v>1529</v>
      </c>
      <c r="D10495" s="2889" t="s">
        <v>1054</v>
      </c>
      <c r="E10495" s="2889" t="s">
        <v>1426</v>
      </c>
      <c r="F10495" s="2890">
        <v>1.2853391584113135E-3</v>
      </c>
      <c r="G10495" s="2890">
        <v>26.510945109893473</v>
      </c>
    </row>
    <row r="10496" spans="2:7" ht="15" hidden="1" outlineLevel="2">
      <c r="B10496" s="2889" t="s">
        <v>1631</v>
      </c>
      <c r="C10496" s="2889" t="s">
        <v>1530</v>
      </c>
      <c r="D10496" s="2889" t="s">
        <v>1054</v>
      </c>
      <c r="E10496" s="2889" t="s">
        <v>1426</v>
      </c>
      <c r="F10496" s="2890">
        <v>4.801830915258172E-2</v>
      </c>
      <c r="G10496" s="2890">
        <v>1951.8771470774648</v>
      </c>
    </row>
    <row r="10497" spans="2:7" ht="15" hidden="1" outlineLevel="2">
      <c r="B10497" s="2889" t="s">
        <v>1631</v>
      </c>
      <c r="C10497" s="2889" t="s">
        <v>1531</v>
      </c>
      <c r="D10497" s="2889" t="s">
        <v>1106</v>
      </c>
      <c r="E10497" s="2889" t="s">
        <v>217</v>
      </c>
      <c r="F10497" s="2890">
        <v>1.2548497752644526E-3</v>
      </c>
      <c r="G10497" s="2890">
        <v>0.56160357303741903</v>
      </c>
    </row>
    <row r="10498" spans="2:7" ht="15" hidden="1" outlineLevel="2">
      <c r="B10498" s="2889" t="s">
        <v>1631</v>
      </c>
      <c r="C10498" s="2889" t="s">
        <v>1532</v>
      </c>
      <c r="D10498" s="2889" t="s">
        <v>1106</v>
      </c>
      <c r="E10498" s="2889" t="s">
        <v>217</v>
      </c>
      <c r="F10498" s="2890">
        <v>9.8830367406113658E-5</v>
      </c>
      <c r="G10498" s="2890">
        <v>4.4231227617380207E-2</v>
      </c>
    </row>
    <row r="10499" spans="2:7" ht="15" hidden="1" outlineLevel="2">
      <c r="B10499" s="2889" t="s">
        <v>1631</v>
      </c>
      <c r="C10499" s="2889" t="s">
        <v>1533</v>
      </c>
      <c r="D10499" s="2889" t="s">
        <v>1106</v>
      </c>
      <c r="E10499" s="2889" t="s">
        <v>217</v>
      </c>
      <c r="F10499" s="2890">
        <v>6.4999079531758361E-2</v>
      </c>
      <c r="G10499" s="2890">
        <v>68.31038307665645</v>
      </c>
    </row>
    <row r="10500" spans="2:7" ht="15" hidden="1" outlineLevel="2">
      <c r="B10500" s="2889" t="s">
        <v>1631</v>
      </c>
      <c r="C10500" s="2889" t="s">
        <v>1534</v>
      </c>
      <c r="D10500" s="2889" t="s">
        <v>1106</v>
      </c>
      <c r="E10500" s="2889" t="s">
        <v>217</v>
      </c>
      <c r="F10500" s="2890">
        <v>5.9119199692486461E-2</v>
      </c>
      <c r="G10500" s="2890">
        <v>202.28545366487577</v>
      </c>
    </row>
    <row r="10501" spans="2:7" ht="15" hidden="1" outlineLevel="2">
      <c r="B10501" s="2889" t="s">
        <v>1631</v>
      </c>
      <c r="C10501" s="2889" t="s">
        <v>1535</v>
      </c>
      <c r="D10501" s="2889" t="s">
        <v>1106</v>
      </c>
      <c r="E10501" s="2889" t="s">
        <v>217</v>
      </c>
      <c r="F10501" s="2890">
        <v>2.2167644747385438E-2</v>
      </c>
      <c r="G10501" s="2890">
        <v>51.08770233517486</v>
      </c>
    </row>
    <row r="10502" spans="2:7" ht="15" hidden="1" outlineLevel="2">
      <c r="B10502" s="2889" t="s">
        <v>1631</v>
      </c>
      <c r="C10502" s="2889" t="s">
        <v>1536</v>
      </c>
      <c r="D10502" s="2889" t="s">
        <v>1106</v>
      </c>
      <c r="E10502" s="2889" t="s">
        <v>217</v>
      </c>
      <c r="F10502" s="2890">
        <v>7.4403475242024328E-2</v>
      </c>
      <c r="G10502" s="2890">
        <v>95.225119079348843</v>
      </c>
    </row>
    <row r="10503" spans="2:7" ht="15" hidden="1" outlineLevel="2">
      <c r="B10503" s="2889" t="s">
        <v>1631</v>
      </c>
      <c r="C10503" s="2889" t="s">
        <v>1537</v>
      </c>
      <c r="D10503" s="2889" t="s">
        <v>1106</v>
      </c>
      <c r="E10503" s="2889" t="s">
        <v>217</v>
      </c>
      <c r="F10503" s="2890">
        <v>4.1539269009508682E-3</v>
      </c>
      <c r="G10503" s="2890">
        <v>4.6786671292178035</v>
      </c>
    </row>
    <row r="10504" spans="2:7" ht="15" hidden="1" outlineLevel="2">
      <c r="B10504" s="2889" t="s">
        <v>1631</v>
      </c>
      <c r="C10504" s="2889" t="s">
        <v>1538</v>
      </c>
      <c r="D10504" s="2889" t="s">
        <v>1106</v>
      </c>
      <c r="E10504" s="2889" t="s">
        <v>217</v>
      </c>
      <c r="F10504" s="2890">
        <v>2.5881763704647827E-3</v>
      </c>
      <c r="G10504" s="2890">
        <v>3.4341572276266112</v>
      </c>
    </row>
    <row r="10505" spans="2:7" ht="15" hidden="1" outlineLevel="2">
      <c r="B10505" s="2889" t="s">
        <v>1631</v>
      </c>
      <c r="C10505" s="2889" t="s">
        <v>1539</v>
      </c>
      <c r="D10505" s="2889" t="s">
        <v>1106</v>
      </c>
      <c r="E10505" s="2889" t="s">
        <v>217</v>
      </c>
      <c r="F10505" s="2890">
        <v>1.6365424220981153E-3</v>
      </c>
      <c r="G10505" s="2890">
        <v>20.626774585261938</v>
      </c>
    </row>
    <row r="10506" spans="2:7" ht="15" hidden="1" outlineLevel="2">
      <c r="B10506" s="2889" t="s">
        <v>1631</v>
      </c>
      <c r="C10506" s="2889" t="s">
        <v>1540</v>
      </c>
      <c r="D10506" s="2889" t="s">
        <v>1106</v>
      </c>
      <c r="E10506" s="2889" t="s">
        <v>1420</v>
      </c>
      <c r="F10506" s="2890">
        <v>7.1311467527524999E-2</v>
      </c>
      <c r="G10506" s="2890">
        <v>173.04953761016941</v>
      </c>
    </row>
    <row r="10507" spans="2:7" ht="15" hidden="1" outlineLevel="2">
      <c r="B10507" s="2889" t="s">
        <v>1631</v>
      </c>
      <c r="C10507" s="2889" t="s">
        <v>1541</v>
      </c>
      <c r="D10507" s="2889" t="s">
        <v>1106</v>
      </c>
      <c r="E10507" s="2889" t="s">
        <v>1420</v>
      </c>
      <c r="F10507" s="2890">
        <v>2.0781860740434253</v>
      </c>
      <c r="G10507" s="2890">
        <v>15300.23373785902</v>
      </c>
    </row>
    <row r="10508" spans="2:7" ht="15" hidden="1" outlineLevel="2">
      <c r="B10508" s="2889" t="s">
        <v>1631</v>
      </c>
      <c r="C10508" s="2889" t="s">
        <v>1542</v>
      </c>
      <c r="D10508" s="2889" t="s">
        <v>1106</v>
      </c>
      <c r="E10508" s="2889" t="s">
        <v>1420</v>
      </c>
      <c r="F10508" s="2890">
        <v>1.0108175199944737E-2</v>
      </c>
      <c r="G10508" s="2890">
        <v>115.670140503507</v>
      </c>
    </row>
    <row r="10509" spans="2:7" ht="15" hidden="1" outlineLevel="2">
      <c r="B10509" s="2889" t="s">
        <v>1631</v>
      </c>
      <c r="C10509" s="2889" t="s">
        <v>1543</v>
      </c>
      <c r="D10509" s="2889" t="s">
        <v>1106</v>
      </c>
      <c r="E10509" s="2889" t="s">
        <v>1420</v>
      </c>
      <c r="F10509" s="2890">
        <v>3.6629580724601659E-3</v>
      </c>
      <c r="G10509" s="2890">
        <v>35.852387243204284</v>
      </c>
    </row>
    <row r="10510" spans="2:7" ht="15" hidden="1" outlineLevel="2">
      <c r="B10510" s="2889" t="s">
        <v>1631</v>
      </c>
      <c r="C10510" s="2889" t="s">
        <v>1544</v>
      </c>
      <c r="D10510" s="2889" t="s">
        <v>1106</v>
      </c>
      <c r="E10510" s="2889" t="s">
        <v>1420</v>
      </c>
      <c r="F10510" s="2890">
        <v>3.5404539671011048E-3</v>
      </c>
      <c r="G10510" s="2890">
        <v>9.2505299541467547</v>
      </c>
    </row>
    <row r="10511" spans="2:7" ht="15" hidden="1" outlineLevel="2">
      <c r="B10511" s="2889" t="s">
        <v>1631</v>
      </c>
      <c r="C10511" s="2889" t="s">
        <v>1545</v>
      </c>
      <c r="D10511" s="2889" t="s">
        <v>1106</v>
      </c>
      <c r="E10511" s="2889" t="s">
        <v>1420</v>
      </c>
      <c r="F10511" s="2890">
        <v>3.5406029461706331E-3</v>
      </c>
      <c r="G10511" s="2890">
        <v>70.361152539809495</v>
      </c>
    </row>
    <row r="10512" spans="2:7" ht="15" hidden="1" outlineLevel="2">
      <c r="B10512" s="2889" t="s">
        <v>1631</v>
      </c>
      <c r="C10512" s="2889" t="s">
        <v>1546</v>
      </c>
      <c r="D10512" s="2889" t="s">
        <v>1106</v>
      </c>
      <c r="E10512" s="2889" t="s">
        <v>1423</v>
      </c>
      <c r="F10512" s="2890">
        <v>10.732806975830586</v>
      </c>
      <c r="G10512" s="2890">
        <v>903.22582637940388</v>
      </c>
    </row>
    <row r="10513" spans="2:7" ht="15" hidden="1" outlineLevel="2">
      <c r="B10513" s="2889" t="s">
        <v>1631</v>
      </c>
      <c r="C10513" s="2889" t="s">
        <v>1547</v>
      </c>
      <c r="D10513" s="2889" t="s">
        <v>1106</v>
      </c>
      <c r="E10513" s="2889" t="s">
        <v>1423</v>
      </c>
      <c r="F10513" s="2890">
        <v>1.1722952699144907E-2</v>
      </c>
      <c r="G10513" s="2890">
        <v>1.0265490824245398</v>
      </c>
    </row>
    <row r="10514" spans="2:7" ht="15" hidden="1" outlineLevel="2">
      <c r="B10514" s="2889" t="s">
        <v>1631</v>
      </c>
      <c r="C10514" s="2889" t="s">
        <v>1548</v>
      </c>
      <c r="D10514" s="2889" t="s">
        <v>1106</v>
      </c>
      <c r="E10514" s="2889" t="s">
        <v>1423</v>
      </c>
      <c r="F10514" s="2890">
        <v>5.469924400568496E-3</v>
      </c>
      <c r="G10514" s="2890">
        <v>0.56060988564558822</v>
      </c>
    </row>
    <row r="10515" spans="2:7" ht="15" hidden="1" outlineLevel="2">
      <c r="B10515" s="2889" t="s">
        <v>1631</v>
      </c>
      <c r="C10515" s="2889" t="s">
        <v>1549</v>
      </c>
      <c r="D10515" s="2889" t="s">
        <v>1106</v>
      </c>
      <c r="E10515" s="2889" t="s">
        <v>1423</v>
      </c>
      <c r="F10515" s="2890">
        <v>3.2920788349754197E-2</v>
      </c>
      <c r="G10515" s="2890">
        <v>3.2418401485929378</v>
      </c>
    </row>
    <row r="10516" spans="2:7" ht="15" hidden="1" outlineLevel="2">
      <c r="B10516" s="2889" t="s">
        <v>1631</v>
      </c>
      <c r="C10516" s="2889" t="s">
        <v>1550</v>
      </c>
      <c r="D10516" s="2889" t="s">
        <v>1106</v>
      </c>
      <c r="E10516" s="2889" t="s">
        <v>1423</v>
      </c>
      <c r="F10516" s="2890">
        <v>1.8627499771432986E-2</v>
      </c>
      <c r="G10516" s="2890">
        <v>4.1889197883083629</v>
      </c>
    </row>
    <row r="10517" spans="2:7" ht="15" hidden="1" outlineLevel="2">
      <c r="B10517" s="2889" t="s">
        <v>1631</v>
      </c>
      <c r="C10517" s="2889" t="s">
        <v>1551</v>
      </c>
      <c r="D10517" s="2889" t="s">
        <v>1106</v>
      </c>
      <c r="E10517" s="2889" t="s">
        <v>1426</v>
      </c>
      <c r="F10517" s="2890">
        <v>1.1927067988934758E-2</v>
      </c>
      <c r="G10517" s="2890">
        <v>281.54469298608655</v>
      </c>
    </row>
    <row r="10518" spans="2:7" ht="15" hidden="1" outlineLevel="2">
      <c r="B10518" s="2889" t="s">
        <v>1631</v>
      </c>
      <c r="C10518" s="2889" t="s">
        <v>1552</v>
      </c>
      <c r="D10518" s="2889" t="s">
        <v>1106</v>
      </c>
      <c r="E10518" s="2889" t="s">
        <v>1426</v>
      </c>
      <c r="F10518" s="2890">
        <v>0.11340818890118315</v>
      </c>
      <c r="G10518" s="2890">
        <v>4085.373719001861</v>
      </c>
    </row>
    <row r="10519" spans="2:7" ht="15" hidden="1" outlineLevel="2">
      <c r="B10519" s="2889" t="s">
        <v>1631</v>
      </c>
      <c r="C10519" s="2889" t="s">
        <v>1553</v>
      </c>
      <c r="D10519" s="2889" t="s">
        <v>1106</v>
      </c>
      <c r="E10519" s="2889" t="s">
        <v>1426</v>
      </c>
      <c r="F10519" s="2890">
        <v>6.0026738435033582E-2</v>
      </c>
      <c r="G10519" s="2890">
        <v>1783.1313157881639</v>
      </c>
    </row>
    <row r="10520" spans="2:7" ht="15" hidden="1" outlineLevel="2">
      <c r="B10520" s="2889" t="s">
        <v>1631</v>
      </c>
      <c r="C10520" s="2889" t="s">
        <v>1554</v>
      </c>
      <c r="D10520" s="2889" t="s">
        <v>1106</v>
      </c>
      <c r="E10520" s="2889" t="s">
        <v>1426</v>
      </c>
      <c r="F10520" s="2890">
        <v>5.9286149430456549E-2</v>
      </c>
      <c r="G10520" s="2890">
        <v>1809.8586097159537</v>
      </c>
    </row>
    <row r="10521" spans="2:7" ht="15" hidden="1" outlineLevel="2">
      <c r="B10521" s="2889" t="s">
        <v>1631</v>
      </c>
      <c r="C10521" s="2889" t="s">
        <v>1555</v>
      </c>
      <c r="D10521" s="2889" t="s">
        <v>1106</v>
      </c>
      <c r="E10521" s="2889" t="s">
        <v>1426</v>
      </c>
      <c r="F10521" s="2890">
        <v>2.9190354804197243E-3</v>
      </c>
      <c r="G10521" s="2890">
        <v>69.577419224102485</v>
      </c>
    </row>
    <row r="10522" spans="2:7" ht="15" hidden="1" outlineLevel="2">
      <c r="B10522" s="2889" t="s">
        <v>1631</v>
      </c>
      <c r="C10522" s="2889" t="s">
        <v>1556</v>
      </c>
      <c r="D10522" s="2889" t="s">
        <v>1106</v>
      </c>
      <c r="E10522" s="2889" t="s">
        <v>1426</v>
      </c>
      <c r="F10522" s="2890">
        <v>0.34716001822801501</v>
      </c>
      <c r="G10522" s="2890">
        <v>9429.7069584766014</v>
      </c>
    </row>
    <row r="10523" spans="2:7" ht="15" hidden="1" outlineLevel="2">
      <c r="B10523" s="2889" t="s">
        <v>1631</v>
      </c>
      <c r="C10523" s="2889" t="s">
        <v>1557</v>
      </c>
      <c r="D10523" s="2889" t="s">
        <v>1106</v>
      </c>
      <c r="E10523" s="2889" t="s">
        <v>1426</v>
      </c>
      <c r="F10523" s="2890">
        <v>7.6930378378637684E-2</v>
      </c>
      <c r="G10523" s="2890">
        <v>2572.0578003392188</v>
      </c>
    </row>
    <row r="10524" spans="2:7" ht="15" hidden="1" outlineLevel="2">
      <c r="B10524" s="2889" t="s">
        <v>1631</v>
      </c>
      <c r="C10524" s="2889" t="s">
        <v>1558</v>
      </c>
      <c r="D10524" s="2889" t="s">
        <v>1559</v>
      </c>
      <c r="E10524" s="2889" t="s">
        <v>217</v>
      </c>
      <c r="F10524" s="2890">
        <v>3.5456564283758381E-2</v>
      </c>
      <c r="G10524" s="2890">
        <v>19.391720429346382</v>
      </c>
    </row>
    <row r="10525" spans="2:7" ht="15" hidden="1" outlineLevel="2">
      <c r="B10525" s="2889" t="s">
        <v>1631</v>
      </c>
      <c r="C10525" s="2889" t="s">
        <v>1560</v>
      </c>
      <c r="D10525" s="2889" t="s">
        <v>1559</v>
      </c>
      <c r="E10525" s="2889" t="s">
        <v>217</v>
      </c>
      <c r="F10525" s="2890">
        <v>0.29111278070711355</v>
      </c>
      <c r="G10525" s="2890">
        <v>156.89428795720096</v>
      </c>
    </row>
    <row r="10526" spans="2:7" ht="15" hidden="1" outlineLevel="2">
      <c r="B10526" s="2889" t="s">
        <v>1631</v>
      </c>
      <c r="C10526" s="2889" t="s">
        <v>1561</v>
      </c>
      <c r="D10526" s="2889" t="s">
        <v>1559</v>
      </c>
      <c r="E10526" s="2889" t="s">
        <v>217</v>
      </c>
      <c r="F10526" s="2890">
        <v>0.50889545808077941</v>
      </c>
      <c r="G10526" s="2890">
        <v>264.90708518681004</v>
      </c>
    </row>
    <row r="10527" spans="2:7" ht="15" hidden="1" outlineLevel="2">
      <c r="B10527" s="2889" t="s">
        <v>1631</v>
      </c>
      <c r="C10527" s="2889" t="s">
        <v>1562</v>
      </c>
      <c r="D10527" s="2889" t="s">
        <v>1559</v>
      </c>
      <c r="E10527" s="2889" t="s">
        <v>217</v>
      </c>
      <c r="F10527" s="2890">
        <v>3.1897214516403496</v>
      </c>
      <c r="G10527" s="2890">
        <v>1746.0658743220004</v>
      </c>
    </row>
    <row r="10528" spans="2:7" ht="15" hidden="1" outlineLevel="2">
      <c r="B10528" s="2889" t="s">
        <v>1631</v>
      </c>
      <c r="C10528" s="2889" t="s">
        <v>1563</v>
      </c>
      <c r="D10528" s="2889" t="s">
        <v>1559</v>
      </c>
      <c r="E10528" s="2889" t="s">
        <v>217</v>
      </c>
      <c r="F10528" s="2890">
        <v>0.62728309348157096</v>
      </c>
      <c r="G10528" s="2890">
        <v>369.1606211990607</v>
      </c>
    </row>
    <row r="10529" spans="2:7" ht="15" hidden="1" outlineLevel="2">
      <c r="B10529" s="2889" t="s">
        <v>1631</v>
      </c>
      <c r="C10529" s="2889" t="s">
        <v>1564</v>
      </c>
      <c r="D10529" s="2889" t="s">
        <v>1559</v>
      </c>
      <c r="E10529" s="2889" t="s">
        <v>217</v>
      </c>
      <c r="F10529" s="2890">
        <v>3.011111626906247</v>
      </c>
      <c r="G10529" s="2890">
        <v>1522.5390313362384</v>
      </c>
    </row>
    <row r="10530" spans="2:7" ht="15" hidden="1" outlineLevel="2">
      <c r="B10530" s="2889" t="s">
        <v>1631</v>
      </c>
      <c r="C10530" s="2889" t="s">
        <v>1565</v>
      </c>
      <c r="D10530" s="2889" t="s">
        <v>1559</v>
      </c>
      <c r="E10530" s="2889" t="s">
        <v>217</v>
      </c>
      <c r="F10530" s="2890">
        <v>0.44214824707057743</v>
      </c>
      <c r="G10530" s="2890">
        <v>237.59108192634793</v>
      </c>
    </row>
    <row r="10531" spans="2:7" ht="15" hidden="1" outlineLevel="2">
      <c r="B10531" s="2889" t="s">
        <v>1631</v>
      </c>
      <c r="C10531" s="2889" t="s">
        <v>1566</v>
      </c>
      <c r="D10531" s="2889" t="s">
        <v>1559</v>
      </c>
      <c r="E10531" s="2889" t="s">
        <v>217</v>
      </c>
      <c r="F10531" s="2890">
        <v>2.6576377534383653</v>
      </c>
      <c r="G10531" s="2890">
        <v>1421.6890469635975</v>
      </c>
    </row>
    <row r="10532" spans="2:7" ht="15" hidden="1" outlineLevel="2">
      <c r="B10532" s="2889" t="s">
        <v>1631</v>
      </c>
      <c r="C10532" s="2889" t="s">
        <v>1567</v>
      </c>
      <c r="D10532" s="2889" t="s">
        <v>1559</v>
      </c>
      <c r="E10532" s="2889" t="s">
        <v>217</v>
      </c>
      <c r="F10532" s="2890">
        <v>0.7704165333447357</v>
      </c>
      <c r="G10532" s="2890">
        <v>113.07970190747871</v>
      </c>
    </row>
    <row r="10533" spans="2:7" ht="15" hidden="1" outlineLevel="2">
      <c r="B10533" s="2889" t="s">
        <v>1631</v>
      </c>
      <c r="C10533" s="2889" t="s">
        <v>1568</v>
      </c>
      <c r="D10533" s="2889" t="s">
        <v>1559</v>
      </c>
      <c r="E10533" s="2889" t="s">
        <v>217</v>
      </c>
      <c r="F10533" s="2890">
        <v>3.0950530964024674</v>
      </c>
      <c r="G10533" s="2890">
        <v>454.29836691316001</v>
      </c>
    </row>
    <row r="10534" spans="2:7" ht="15" hidden="1" outlineLevel="2">
      <c r="B10534" s="2889" t="s">
        <v>1631</v>
      </c>
      <c r="C10534" s="2889" t="s">
        <v>1569</v>
      </c>
      <c r="D10534" s="2889" t="s">
        <v>1559</v>
      </c>
      <c r="E10534" s="2889" t="s">
        <v>217</v>
      </c>
      <c r="F10534" s="2890">
        <v>1.3019821715585893E-3</v>
      </c>
      <c r="G10534" s="2890">
        <v>0.64983246829680452</v>
      </c>
    </row>
    <row r="10535" spans="2:7" ht="15" hidden="1" outlineLevel="2">
      <c r="B10535" s="2889" t="s">
        <v>1631</v>
      </c>
      <c r="C10535" s="2889" t="s">
        <v>1570</v>
      </c>
      <c r="D10535" s="2889" t="s">
        <v>1559</v>
      </c>
      <c r="E10535" s="2889" t="s">
        <v>217</v>
      </c>
      <c r="F10535" s="2890">
        <v>5.4104964967075615</v>
      </c>
      <c r="G10535" s="2890">
        <v>3309.4882379777764</v>
      </c>
    </row>
    <row r="10536" spans="2:7" ht="15" hidden="1" outlineLevel="2">
      <c r="B10536" s="2889" t="s">
        <v>1631</v>
      </c>
      <c r="C10536" s="2889" t="s">
        <v>1571</v>
      </c>
      <c r="D10536" s="2889" t="s">
        <v>1559</v>
      </c>
      <c r="E10536" s="2889" t="s">
        <v>217</v>
      </c>
      <c r="F10536" s="2890">
        <v>3.7769372079889179</v>
      </c>
      <c r="G10536" s="2890">
        <v>4438.1776183954744</v>
      </c>
    </row>
    <row r="10537" spans="2:7" ht="15" hidden="1" outlineLevel="2">
      <c r="B10537" s="2889" t="s">
        <v>1631</v>
      </c>
      <c r="C10537" s="2889" t="s">
        <v>1572</v>
      </c>
      <c r="D10537" s="2889" t="s">
        <v>1559</v>
      </c>
      <c r="E10537" s="2889" t="s">
        <v>217</v>
      </c>
      <c r="F10537" s="2890">
        <v>0.45737767016965858</v>
      </c>
      <c r="G10537" s="2890">
        <v>277.50510824223437</v>
      </c>
    </row>
    <row r="10538" spans="2:7" ht="15" hidden="1" outlineLevel="2">
      <c r="B10538" s="2889" t="s">
        <v>1631</v>
      </c>
      <c r="C10538" s="2889" t="s">
        <v>1573</v>
      </c>
      <c r="D10538" s="2889" t="s">
        <v>1559</v>
      </c>
      <c r="E10538" s="2889" t="s">
        <v>217</v>
      </c>
      <c r="F10538" s="2890">
        <v>3.0614546718316933</v>
      </c>
      <c r="G10538" s="2890">
        <v>2259.0744484784232</v>
      </c>
    </row>
    <row r="10539" spans="2:7" ht="15" hidden="1" outlineLevel="2">
      <c r="B10539" s="2889" t="s">
        <v>1631</v>
      </c>
      <c r="C10539" s="2889" t="s">
        <v>1574</v>
      </c>
      <c r="D10539" s="2889" t="s">
        <v>1559</v>
      </c>
      <c r="E10539" s="2889" t="s">
        <v>217</v>
      </c>
      <c r="F10539" s="2890">
        <v>2.4790479153226092E-2</v>
      </c>
      <c r="G10539" s="2890">
        <v>18.423881008037394</v>
      </c>
    </row>
    <row r="10540" spans="2:7" ht="15" hidden="1" outlineLevel="2">
      <c r="B10540" s="2889" t="s">
        <v>1631</v>
      </c>
      <c r="C10540" s="2889" t="s">
        <v>1575</v>
      </c>
      <c r="D10540" s="2889" t="s">
        <v>1559</v>
      </c>
      <c r="E10540" s="2889" t="s">
        <v>217</v>
      </c>
      <c r="F10540" s="2890">
        <v>8.3932076843363068E-2</v>
      </c>
      <c r="G10540" s="2890">
        <v>102.80984131424373</v>
      </c>
    </row>
    <row r="10541" spans="2:7" ht="15" hidden="1" outlineLevel="2">
      <c r="B10541" s="2889" t="s">
        <v>1631</v>
      </c>
      <c r="C10541" s="2889" t="s">
        <v>1576</v>
      </c>
      <c r="D10541" s="2889" t="s">
        <v>1559</v>
      </c>
      <c r="E10541" s="2889" t="s">
        <v>217</v>
      </c>
      <c r="F10541" s="2890">
        <v>4.7182712761836311E-2</v>
      </c>
      <c r="G10541" s="2890">
        <v>35.149479872858116</v>
      </c>
    </row>
    <row r="10542" spans="2:7" ht="15" hidden="1" outlineLevel="2">
      <c r="B10542" s="2889" t="s">
        <v>1631</v>
      </c>
      <c r="C10542" s="2889" t="s">
        <v>1577</v>
      </c>
      <c r="D10542" s="2889" t="s">
        <v>1559</v>
      </c>
      <c r="E10542" s="2889" t="s">
        <v>217</v>
      </c>
      <c r="F10542" s="2890">
        <v>2.7547829782272633</v>
      </c>
      <c r="G10542" s="2890">
        <v>4241.4337711204171</v>
      </c>
    </row>
    <row r="10543" spans="2:7" ht="15" hidden="1" outlineLevel="2">
      <c r="B10543" s="2889" t="s">
        <v>1631</v>
      </c>
      <c r="C10543" s="2889" t="s">
        <v>1578</v>
      </c>
      <c r="D10543" s="2889" t="s">
        <v>1559</v>
      </c>
      <c r="E10543" s="2889" t="s">
        <v>217</v>
      </c>
      <c r="F10543" s="2890">
        <v>0.68608543389834287</v>
      </c>
      <c r="G10543" s="2890">
        <v>365.34283663543698</v>
      </c>
    </row>
    <row r="10544" spans="2:7" ht="15" hidden="1" outlineLevel="2">
      <c r="B10544" s="2889" t="s">
        <v>1631</v>
      </c>
      <c r="C10544" s="2889" t="s">
        <v>1579</v>
      </c>
      <c r="D10544" s="2889" t="s">
        <v>1559</v>
      </c>
      <c r="E10544" s="2889" t="s">
        <v>217</v>
      </c>
      <c r="F10544" s="2890">
        <v>2.7561703273802154</v>
      </c>
      <c r="G10544" s="2890">
        <v>1467.76969866736</v>
      </c>
    </row>
    <row r="10545" spans="2:7" ht="15" hidden="1" outlineLevel="2">
      <c r="B10545" s="2889" t="s">
        <v>1631</v>
      </c>
      <c r="C10545" s="2889" t="s">
        <v>1580</v>
      </c>
      <c r="D10545" s="2889" t="s">
        <v>1559</v>
      </c>
      <c r="E10545" s="2889" t="s">
        <v>217</v>
      </c>
      <c r="F10545" s="2890">
        <v>0.53219751372268875</v>
      </c>
      <c r="G10545" s="2890">
        <v>664.03640313747076</v>
      </c>
    </row>
    <row r="10546" spans="2:7" ht="15" hidden="1" outlineLevel="2">
      <c r="B10546" s="2889" t="s">
        <v>1631</v>
      </c>
      <c r="C10546" s="2889" t="s">
        <v>1581</v>
      </c>
      <c r="D10546" s="2889" t="s">
        <v>1559</v>
      </c>
      <c r="E10546" s="2889" t="s">
        <v>217</v>
      </c>
      <c r="F10546" s="2890">
        <v>0.35193007134621079</v>
      </c>
      <c r="G10546" s="2890">
        <v>490.02546778289849</v>
      </c>
    </row>
    <row r="10547" spans="2:7" ht="15" hidden="1" outlineLevel="2">
      <c r="B10547" s="2889" t="s">
        <v>1631</v>
      </c>
      <c r="C10547" s="2889" t="s">
        <v>1582</v>
      </c>
      <c r="D10547" s="2889" t="s">
        <v>1559</v>
      </c>
      <c r="E10547" s="2889" t="s">
        <v>217</v>
      </c>
      <c r="F10547" s="2890">
        <v>0.49600760853637943</v>
      </c>
      <c r="G10547" s="2890">
        <v>557.74977159147943</v>
      </c>
    </row>
    <row r="10548" spans="2:7" ht="15" hidden="1" outlineLevel="2">
      <c r="B10548" s="2889" t="s">
        <v>1631</v>
      </c>
      <c r="C10548" s="2889" t="s">
        <v>1583</v>
      </c>
      <c r="D10548" s="2889" t="s">
        <v>1559</v>
      </c>
      <c r="E10548" s="2889" t="s">
        <v>217</v>
      </c>
      <c r="F10548" s="2890">
        <v>0.38227593610605715</v>
      </c>
      <c r="G10548" s="2890">
        <v>259.72488130298979</v>
      </c>
    </row>
    <row r="10549" spans="2:7" ht="15" hidden="1" outlineLevel="2">
      <c r="B10549" s="2889" t="s">
        <v>1631</v>
      </c>
      <c r="C10549" s="2889" t="s">
        <v>1584</v>
      </c>
      <c r="D10549" s="2889" t="s">
        <v>1559</v>
      </c>
      <c r="E10549" s="2889" t="s">
        <v>217</v>
      </c>
      <c r="F10549" s="2890">
        <v>7.1165482978162604</v>
      </c>
      <c r="G10549" s="2890">
        <v>8900.9507003110939</v>
      </c>
    </row>
    <row r="10550" spans="2:7" ht="15" hidden="1" outlineLevel="2">
      <c r="B10550" s="2889" t="s">
        <v>1631</v>
      </c>
      <c r="C10550" s="2889" t="s">
        <v>1585</v>
      </c>
      <c r="D10550" s="2889" t="s">
        <v>1559</v>
      </c>
      <c r="E10550" s="2889" t="s">
        <v>217</v>
      </c>
      <c r="F10550" s="2890">
        <v>4.7818887861999624</v>
      </c>
      <c r="G10550" s="2890">
        <v>6659.6603572267222</v>
      </c>
    </row>
    <row r="10551" spans="2:7" ht="15" hidden="1" outlineLevel="2">
      <c r="B10551" s="2889" t="s">
        <v>1631</v>
      </c>
      <c r="C10551" s="2889" t="s">
        <v>1586</v>
      </c>
      <c r="D10551" s="2889" t="s">
        <v>1559</v>
      </c>
      <c r="E10551" s="2889" t="s">
        <v>217</v>
      </c>
      <c r="F10551" s="2890">
        <v>0.53825425033547436</v>
      </c>
      <c r="G10551" s="2890">
        <v>1114.9658312192089</v>
      </c>
    </row>
    <row r="10552" spans="2:7" ht="15" hidden="1" outlineLevel="2">
      <c r="B10552" s="2889" t="s">
        <v>1631</v>
      </c>
      <c r="C10552" s="2889" t="s">
        <v>1587</v>
      </c>
      <c r="D10552" s="2889" t="s">
        <v>1559</v>
      </c>
      <c r="E10552" s="2889" t="s">
        <v>217</v>
      </c>
      <c r="F10552" s="2890">
        <v>14.975636663005217</v>
      </c>
      <c r="G10552" s="2890">
        <v>21484.486960780298</v>
      </c>
    </row>
    <row r="10553" spans="2:7" ht="15" hidden="1" outlineLevel="2">
      <c r="B10553" s="2889" t="s">
        <v>1631</v>
      </c>
      <c r="C10553" s="2889" t="s">
        <v>1588</v>
      </c>
      <c r="D10553" s="2889" t="s">
        <v>1559</v>
      </c>
      <c r="E10553" s="2889" t="s">
        <v>217</v>
      </c>
      <c r="F10553" s="2890">
        <v>0.40927422503684496</v>
      </c>
      <c r="G10553" s="2890">
        <v>315.28292510666802</v>
      </c>
    </row>
    <row r="10554" spans="2:7" ht="15" hidden="1" outlineLevel="2">
      <c r="B10554" s="2889" t="s">
        <v>1631</v>
      </c>
      <c r="C10554" s="2889" t="s">
        <v>1589</v>
      </c>
      <c r="D10554" s="2889" t="s">
        <v>1559</v>
      </c>
      <c r="E10554" s="2889" t="s">
        <v>217</v>
      </c>
      <c r="F10554" s="2890">
        <v>0.85280623707817682</v>
      </c>
      <c r="G10554" s="2890">
        <v>658.27617020195044</v>
      </c>
    </row>
    <row r="10555" spans="2:7" ht="15" hidden="1" outlineLevel="2">
      <c r="B10555" s="2889" t="s">
        <v>1631</v>
      </c>
      <c r="C10555" s="2889" t="s">
        <v>1590</v>
      </c>
      <c r="D10555" s="2889" t="s">
        <v>1559</v>
      </c>
      <c r="E10555" s="2889" t="s">
        <v>1420</v>
      </c>
      <c r="F10555" s="2890">
        <v>4.1463315534896593E-2</v>
      </c>
      <c r="G10555" s="2890">
        <v>369.87012422605295</v>
      </c>
    </row>
    <row r="10556" spans="2:7" ht="15" hidden="1" outlineLevel="2">
      <c r="B10556" s="2889" t="s">
        <v>1631</v>
      </c>
      <c r="C10556" s="2889" t="s">
        <v>1591</v>
      </c>
      <c r="D10556" s="2889" t="s">
        <v>1559</v>
      </c>
      <c r="E10556" s="2889" t="s">
        <v>1426</v>
      </c>
      <c r="F10556" s="2890">
        <v>2.345460143416961E-5</v>
      </c>
      <c r="G10556" s="2890">
        <v>0.57495193200366446</v>
      </c>
    </row>
    <row r="10557" spans="2:7" ht="15" hidden="1" outlineLevel="2">
      <c r="B10557" s="2889" t="s">
        <v>1631</v>
      </c>
      <c r="C10557" s="2889" t="s">
        <v>1592</v>
      </c>
      <c r="D10557" s="2889" t="s">
        <v>1559</v>
      </c>
      <c r="E10557" s="2889" t="s">
        <v>1426</v>
      </c>
      <c r="F10557" s="2890">
        <v>3.4254043259993143E-3</v>
      </c>
      <c r="G10557" s="2890">
        <v>153.65123158384466</v>
      </c>
    </row>
    <row r="10558" spans="2:7" ht="15" hidden="1" outlineLevel="2">
      <c r="B10558" s="2889" t="s">
        <v>1631</v>
      </c>
      <c r="C10558" s="2889" t="s">
        <v>1593</v>
      </c>
      <c r="D10558" s="2889" t="s">
        <v>1559</v>
      </c>
      <c r="E10558" s="2889" t="s">
        <v>1426</v>
      </c>
      <c r="F10558" s="2890">
        <v>0.1783965451353498</v>
      </c>
      <c r="G10558" s="2890">
        <v>4020.5302942067983</v>
      </c>
    </row>
    <row r="10559" spans="2:7" ht="15" hidden="1" outlineLevel="2">
      <c r="B10559" s="2889" t="s">
        <v>1631</v>
      </c>
      <c r="C10559" s="2889" t="s">
        <v>1594</v>
      </c>
      <c r="D10559" s="2889" t="s">
        <v>1559</v>
      </c>
      <c r="E10559" s="2889" t="s">
        <v>1426</v>
      </c>
      <c r="F10559" s="2890">
        <v>5.1808914362204771E-2</v>
      </c>
      <c r="G10559" s="2890">
        <v>829.7012505210962</v>
      </c>
    </row>
    <row r="10560" spans="2:7" ht="15" hidden="1" outlineLevel="2">
      <c r="B10560" s="2889" t="s">
        <v>1631</v>
      </c>
      <c r="C10560" s="2889" t="s">
        <v>1595</v>
      </c>
      <c r="D10560" s="2889" t="s">
        <v>1559</v>
      </c>
      <c r="E10560" s="2889" t="s">
        <v>1426</v>
      </c>
      <c r="F10560" s="2890">
        <v>0.13483777688399134</v>
      </c>
      <c r="G10560" s="2890">
        <v>5473.8443261483071</v>
      </c>
    </row>
    <row r="10561" spans="2:7" ht="15" hidden="1" outlineLevel="2">
      <c r="B10561" s="2889" t="s">
        <v>1631</v>
      </c>
      <c r="C10561" s="2889" t="s">
        <v>1596</v>
      </c>
      <c r="D10561" s="2889" t="s">
        <v>1559</v>
      </c>
      <c r="E10561" s="2889" t="s">
        <v>1426</v>
      </c>
      <c r="F10561" s="2890">
        <v>2.5860788763594836E-2</v>
      </c>
      <c r="G10561" s="2890">
        <v>645.41337422681465</v>
      </c>
    </row>
    <row r="10562" spans="2:7" ht="15" hidden="1" outlineLevel="2">
      <c r="B10562" s="2889" t="s">
        <v>1631</v>
      </c>
      <c r="C10562" s="2889" t="s">
        <v>1597</v>
      </c>
      <c r="D10562" s="2889" t="s">
        <v>1559</v>
      </c>
      <c r="E10562" s="2889" t="s">
        <v>1426</v>
      </c>
      <c r="F10562" s="2890">
        <v>5.400954619712426E-4</v>
      </c>
      <c r="G10562" s="2890">
        <v>15.374149160054172</v>
      </c>
    </row>
    <row r="10563" spans="2:7" ht="15" hidden="1" outlineLevel="2">
      <c r="B10563" s="2889" t="s">
        <v>1631</v>
      </c>
      <c r="C10563" s="2889" t="s">
        <v>1598</v>
      </c>
      <c r="D10563" s="2889" t="s">
        <v>1599</v>
      </c>
      <c r="E10563" s="2889" t="s">
        <v>217</v>
      </c>
      <c r="F10563" s="2890">
        <v>3.4073256181683047E-2</v>
      </c>
      <c r="G10563" s="2890">
        <v>19.671464850963325</v>
      </c>
    </row>
    <row r="10564" spans="2:7" ht="15" hidden="1" outlineLevel="2">
      <c r="B10564" s="2889" t="s">
        <v>1631</v>
      </c>
      <c r="C10564" s="2889" t="s">
        <v>1600</v>
      </c>
      <c r="D10564" s="2889" t="s">
        <v>1599</v>
      </c>
      <c r="E10564" s="2889" t="s">
        <v>217</v>
      </c>
      <c r="F10564" s="2890">
        <v>4.0610596693594618E-2</v>
      </c>
      <c r="G10564" s="2890">
        <v>44.293366034735534</v>
      </c>
    </row>
    <row r="10565" spans="2:7" ht="15" hidden="1" outlineLevel="2">
      <c r="B10565" s="2889" t="s">
        <v>1631</v>
      </c>
      <c r="C10565" s="2889" t="s">
        <v>1601</v>
      </c>
      <c r="D10565" s="2889" t="s">
        <v>1599</v>
      </c>
      <c r="E10565" s="2889" t="s">
        <v>217</v>
      </c>
      <c r="F10565" s="2890">
        <v>4.1662536772323777E-4</v>
      </c>
      <c r="G10565" s="2890">
        <v>0.52034692557121331</v>
      </c>
    </row>
    <row r="10566" spans="2:7" ht="15" hidden="1" outlineLevel="2">
      <c r="B10566" s="2889" t="s">
        <v>1631</v>
      </c>
      <c r="C10566" s="2889" t="s">
        <v>1602</v>
      </c>
      <c r="D10566" s="2889" t="s">
        <v>1599</v>
      </c>
      <c r="E10566" s="2889" t="s">
        <v>1426</v>
      </c>
      <c r="F10566" s="2890">
        <v>1.7736484479236297E-2</v>
      </c>
      <c r="G10566" s="2890">
        <v>589.45238494461307</v>
      </c>
    </row>
    <row r="10567" spans="2:7" ht="15" hidden="1" outlineLevel="2">
      <c r="B10567" s="2889" t="s">
        <v>1631</v>
      </c>
      <c r="C10567" s="2889" t="s">
        <v>1603</v>
      </c>
      <c r="D10567" s="2889" t="s">
        <v>1604</v>
      </c>
      <c r="E10567" s="2889" t="s">
        <v>217</v>
      </c>
      <c r="F10567" s="2890">
        <v>1.083038714440662E-33</v>
      </c>
      <c r="G10567" s="2890">
        <v>1.3540678341841603E-30</v>
      </c>
    </row>
    <row r="10568" spans="2:7" ht="15" hidden="1" outlineLevel="2">
      <c r="B10568" s="2889" t="s">
        <v>1631</v>
      </c>
      <c r="C10568" s="2889" t="s">
        <v>1605</v>
      </c>
      <c r="D10568" s="2889" t="s">
        <v>1604</v>
      </c>
      <c r="E10568" s="2889" t="s">
        <v>1423</v>
      </c>
      <c r="F10568" s="2890">
        <v>3.136151520901011E-33</v>
      </c>
      <c r="G10568" s="2890">
        <v>7.3601632656396319E-31</v>
      </c>
    </row>
    <row r="10569" spans="2:7" ht="15" hidden="1" outlineLevel="2">
      <c r="B10569" s="2889" t="s">
        <v>1631</v>
      </c>
      <c r="C10569" s="2889" t="s">
        <v>1606</v>
      </c>
      <c r="D10569" s="2889" t="s">
        <v>1604</v>
      </c>
      <c r="E10569" s="2889" t="s">
        <v>1426</v>
      </c>
      <c r="F10569" s="2890">
        <v>2.3468378065165502E-36</v>
      </c>
      <c r="G10569" s="2890">
        <v>7.9720101268876722E-32</v>
      </c>
    </row>
    <row r="10570" spans="2:7" ht="15" hidden="1" outlineLevel="2">
      <c r="B10570" s="2889" t="s">
        <v>1631</v>
      </c>
      <c r="C10570" s="2889" t="s">
        <v>1607</v>
      </c>
      <c r="D10570" s="2889" t="s">
        <v>1608</v>
      </c>
      <c r="E10570" s="2889" t="s">
        <v>217</v>
      </c>
      <c r="F10570" s="2890">
        <v>9.2437073020179188</v>
      </c>
      <c r="G10570" s="2890">
        <v>7585.3273372182566</v>
      </c>
    </row>
    <row r="10571" spans="2:7" ht="15" hidden="1" outlineLevel="2">
      <c r="B10571" s="2889" t="s">
        <v>1631</v>
      </c>
      <c r="C10571" s="2889" t="s">
        <v>1609</v>
      </c>
      <c r="D10571" s="2889" t="s">
        <v>1608</v>
      </c>
      <c r="E10571" s="2889" t="s">
        <v>217</v>
      </c>
      <c r="F10571" s="2890">
        <v>4.0251407272833433</v>
      </c>
      <c r="G10571" s="2890">
        <v>3200.9890977144969</v>
      </c>
    </row>
    <row r="10572" spans="2:7" ht="15" hidden="1" outlineLevel="2">
      <c r="B10572" s="2889" t="s">
        <v>1631</v>
      </c>
      <c r="C10572" s="2889" t="s">
        <v>1610</v>
      </c>
      <c r="D10572" s="2889" t="s">
        <v>1608</v>
      </c>
      <c r="E10572" s="2889" t="s">
        <v>217</v>
      </c>
      <c r="F10572" s="2890">
        <v>3.9833981758278356</v>
      </c>
      <c r="G10572" s="2890">
        <v>6124.9216596624119</v>
      </c>
    </row>
    <row r="10573" spans="2:7" ht="15" hidden="1" outlineLevel="2">
      <c r="B10573" s="2889" t="s">
        <v>1631</v>
      </c>
      <c r="C10573" s="2889" t="s">
        <v>1611</v>
      </c>
      <c r="D10573" s="2889" t="s">
        <v>1608</v>
      </c>
      <c r="E10573" s="2889" t="s">
        <v>1612</v>
      </c>
      <c r="F10573" s="2890">
        <v>0.14117151128875055</v>
      </c>
      <c r="G10573" s="2890">
        <v>5453.4156672570853</v>
      </c>
    </row>
    <row r="10574" spans="2:7" ht="15" hidden="1" outlineLevel="2">
      <c r="B10574" s="2889" t="s">
        <v>1631</v>
      </c>
      <c r="C10574" s="2889" t="s">
        <v>1613</v>
      </c>
      <c r="D10574" s="2889" t="s">
        <v>1608</v>
      </c>
      <c r="E10574" s="2889" t="s">
        <v>1612</v>
      </c>
      <c r="F10574" s="2890">
        <v>9.0249721766475876E-4</v>
      </c>
      <c r="G10574" s="2890">
        <v>17.76407549991692</v>
      </c>
    </row>
    <row r="10575" spans="2:7" ht="15" hidden="1" outlineLevel="2">
      <c r="B10575" s="2889" t="s">
        <v>1631</v>
      </c>
      <c r="C10575" s="2889" t="s">
        <v>1614</v>
      </c>
      <c r="D10575" s="2889" t="s">
        <v>1615</v>
      </c>
      <c r="E10575" s="2889" t="s">
        <v>1426</v>
      </c>
      <c r="F10575" s="2890">
        <v>6.6885691685737853E-3</v>
      </c>
      <c r="G10575" s="2890">
        <v>155.96218990722787</v>
      </c>
    </row>
    <row r="10576" spans="2:7" ht="15" hidden="1" outlineLevel="2">
      <c r="B10576" s="2889" t="s">
        <v>1631</v>
      </c>
      <c r="C10576" s="2889" t="s">
        <v>1616</v>
      </c>
      <c r="D10576" s="2889" t="s">
        <v>1615</v>
      </c>
      <c r="E10576" s="2889" t="s">
        <v>217</v>
      </c>
      <c r="F10576" s="2890">
        <v>5.0202942664993883E-3</v>
      </c>
      <c r="G10576" s="2890">
        <v>6.6796687042765832</v>
      </c>
    </row>
    <row r="10577" spans="2:7" ht="15" hidden="1" outlineLevel="2">
      <c r="B10577" s="2889" t="s">
        <v>1631</v>
      </c>
      <c r="C10577" s="2889" t="s">
        <v>1617</v>
      </c>
      <c r="D10577" s="2889" t="s">
        <v>1615</v>
      </c>
      <c r="E10577" s="2889" t="s">
        <v>1420</v>
      </c>
      <c r="F10577" s="2890">
        <v>7.8530826325251803E-5</v>
      </c>
      <c r="G10577" s="2890">
        <v>0.22731608768854003</v>
      </c>
    </row>
    <row r="10578" spans="2:7" ht="15" hidden="1" outlineLevel="2">
      <c r="B10578" s="2889" t="s">
        <v>1631</v>
      </c>
      <c r="C10578" s="2889" t="s">
        <v>1618</v>
      </c>
      <c r="D10578" s="2889" t="s">
        <v>1619</v>
      </c>
      <c r="E10578" s="2889" t="s">
        <v>217</v>
      </c>
      <c r="F10578" s="2890">
        <v>2.8270450232675479</v>
      </c>
      <c r="G10578" s="2890">
        <v>715.67271940801993</v>
      </c>
    </row>
    <row r="10579" spans="2:7" ht="15" hidden="1" outlineLevel="2">
      <c r="B10579" s="2889" t="s">
        <v>1631</v>
      </c>
      <c r="C10579" s="2889" t="s">
        <v>1620</v>
      </c>
      <c r="D10579" s="2889" t="s">
        <v>1619</v>
      </c>
      <c r="E10579" s="2889" t="s">
        <v>217</v>
      </c>
      <c r="F10579" s="2890">
        <v>4.2915814961880154E-35</v>
      </c>
      <c r="G10579" s="2890">
        <v>5.2178122498499936E-32</v>
      </c>
    </row>
    <row r="10580" spans="2:7" ht="15" hidden="1" outlineLevel="2">
      <c r="B10580" s="2889" t="s">
        <v>1631</v>
      </c>
      <c r="C10580" s="2889" t="s">
        <v>1621</v>
      </c>
      <c r="D10580" s="2889" t="s">
        <v>1619</v>
      </c>
      <c r="E10580" s="2889" t="s">
        <v>217</v>
      </c>
      <c r="F10580" s="2890">
        <v>3.0281428506067716</v>
      </c>
      <c r="G10580" s="2890">
        <v>826.36984331692997</v>
      </c>
    </row>
    <row r="10581" spans="2:7" ht="15" hidden="1" outlineLevel="2">
      <c r="B10581" s="2889" t="s">
        <v>1631</v>
      </c>
      <c r="C10581" s="2889" t="s">
        <v>1622</v>
      </c>
      <c r="D10581" s="2889" t="s">
        <v>1619</v>
      </c>
      <c r="E10581" s="2889" t="s">
        <v>217</v>
      </c>
      <c r="F10581" s="2890">
        <v>0.19390782594176903</v>
      </c>
      <c r="G10581" s="2890">
        <v>212.45914634475341</v>
      </c>
    </row>
    <row r="10582" spans="2:7" ht="15" hidden="1" outlineLevel="2">
      <c r="B10582" s="2889" t="s">
        <v>1631</v>
      </c>
      <c r="C10582" s="2889" t="s">
        <v>1623</v>
      </c>
      <c r="D10582" s="2889" t="s">
        <v>1619</v>
      </c>
      <c r="E10582" s="2889" t="s">
        <v>217</v>
      </c>
      <c r="F10582" s="2890">
        <v>0.50486545390013815</v>
      </c>
      <c r="G10582" s="2890">
        <v>345.82096709269433</v>
      </c>
    </row>
    <row r="10583" spans="2:7" ht="15" hidden="1" outlineLevel="2">
      <c r="B10583" s="2889" t="s">
        <v>1631</v>
      </c>
      <c r="C10583" s="2889" t="s">
        <v>1624</v>
      </c>
      <c r="D10583" s="2889" t="s">
        <v>1619</v>
      </c>
      <c r="E10583" s="2889" t="s">
        <v>217</v>
      </c>
      <c r="F10583" s="2890">
        <v>4.3707746150550291</v>
      </c>
      <c r="G10583" s="2890">
        <v>3686.0027520717504</v>
      </c>
    </row>
    <row r="10584" spans="2:7" ht="15" hidden="1" outlineLevel="2">
      <c r="B10584" s="2889" t="s">
        <v>1631</v>
      </c>
      <c r="C10584" s="2889" t="s">
        <v>1625</v>
      </c>
      <c r="D10584" s="2889" t="s">
        <v>1619</v>
      </c>
      <c r="E10584" s="2889" t="s">
        <v>217</v>
      </c>
      <c r="F10584" s="2890">
        <v>0.60749525696422157</v>
      </c>
      <c r="G10584" s="2890">
        <v>776.97910231520143</v>
      </c>
    </row>
    <row r="10585" spans="2:7" ht="15" hidden="1" outlineLevel="2">
      <c r="B10585" s="2889" t="s">
        <v>1631</v>
      </c>
      <c r="C10585" s="2889" t="s">
        <v>1626</v>
      </c>
      <c r="D10585" s="2889" t="s">
        <v>1619</v>
      </c>
      <c r="E10585" s="2889" t="s">
        <v>217</v>
      </c>
      <c r="F10585" s="2890">
        <v>0.26657027709718789</v>
      </c>
      <c r="G10585" s="2890">
        <v>207.31125697019095</v>
      </c>
    </row>
    <row r="10586" spans="2:7" ht="15" hidden="1" outlineLevel="2">
      <c r="B10586" s="2889" t="s">
        <v>1631</v>
      </c>
      <c r="C10586" s="2889" t="s">
        <v>1627</v>
      </c>
      <c r="D10586" s="2889" t="s">
        <v>1619</v>
      </c>
      <c r="E10586" s="2889" t="s">
        <v>1420</v>
      </c>
      <c r="F10586" s="2890">
        <v>8.5824269271227577E-3</v>
      </c>
      <c r="G10586" s="2890">
        <v>14.338478267024716</v>
      </c>
    </row>
    <row r="10587" spans="2:7" ht="15" hidden="1" outlineLevel="2">
      <c r="B10587" s="2889" t="s">
        <v>1631</v>
      </c>
      <c r="C10587" s="2889" t="s">
        <v>1628</v>
      </c>
      <c r="D10587" s="2889" t="s">
        <v>1619</v>
      </c>
      <c r="E10587" s="2889" t="s">
        <v>1426</v>
      </c>
      <c r="F10587" s="2890">
        <v>1.2237064805864962E-2</v>
      </c>
      <c r="G10587" s="2890">
        <v>284.18749510955115</v>
      </c>
    </row>
    <row r="10588" spans="2:7" ht="15" hidden="1" outlineLevel="2">
      <c r="B10588" s="2889" t="s">
        <v>1631</v>
      </c>
      <c r="C10588" s="2889" t="s">
        <v>1629</v>
      </c>
      <c r="D10588" s="2889" t="s">
        <v>1630</v>
      </c>
      <c r="E10588" s="2889" t="s">
        <v>1426</v>
      </c>
      <c r="F10588" s="2890">
        <v>1.5052875154613956E-33</v>
      </c>
      <c r="G10588" s="2890">
        <v>1.6409897687458338E-29</v>
      </c>
    </row>
    <row r="10589" spans="2:7" ht="15" outlineLevel="1" collapsed="1">
      <c r="B10589" s="3042" t="s">
        <v>1701</v>
      </c>
      <c r="C10589" s="2889"/>
      <c r="D10589" s="2889"/>
      <c r="E10589" s="2889"/>
      <c r="F10589" s="2890">
        <f>SUBTOTAL(9,F10378:F10588)</f>
        <v>140.61774411674367</v>
      </c>
      <c r="G10589" s="2890">
        <f>SUBTOTAL(9,G10378:G10588)</f>
        <v>333572.40432731836</v>
      </c>
    </row>
    <row r="10590" spans="2:7" ht="15" hidden="1" outlineLevel="2">
      <c r="B10590" s="2889" t="s">
        <v>1632</v>
      </c>
      <c r="C10590" s="2889" t="s">
        <v>1408</v>
      </c>
      <c r="D10590" s="2889" t="s">
        <v>197</v>
      </c>
      <c r="E10590" s="2889" t="s">
        <v>217</v>
      </c>
      <c r="F10590" s="2890">
        <v>1.1927206808498806E-3</v>
      </c>
      <c r="G10590" s="2890">
        <v>0.72739728040289386</v>
      </c>
    </row>
    <row r="10591" spans="2:7" ht="15" hidden="1" outlineLevel="2">
      <c r="B10591" s="2889" t="s">
        <v>1632</v>
      </c>
      <c r="C10591" s="2889" t="s">
        <v>1409</v>
      </c>
      <c r="D10591" s="2889" t="s">
        <v>197</v>
      </c>
      <c r="E10591" s="2889" t="s">
        <v>217</v>
      </c>
      <c r="F10591" s="2890">
        <v>1.2559628782545362E-3</v>
      </c>
      <c r="G10591" s="2890">
        <v>1.7645618417897038</v>
      </c>
    </row>
    <row r="10592" spans="2:7" ht="15" hidden="1" outlineLevel="2">
      <c r="B10592" s="2889" t="s">
        <v>1632</v>
      </c>
      <c r="C10592" s="2889" t="s">
        <v>1410</v>
      </c>
      <c r="D10592" s="2889" t="s">
        <v>197</v>
      </c>
      <c r="E10592" s="2889" t="s">
        <v>217</v>
      </c>
      <c r="F10592" s="2890">
        <v>2.0064326319665167E-3</v>
      </c>
      <c r="G10592" s="2890">
        <v>6.8658097540113587</v>
      </c>
    </row>
    <row r="10593" spans="2:7" ht="15" hidden="1" outlineLevel="2">
      <c r="B10593" s="2889" t="s">
        <v>1632</v>
      </c>
      <c r="C10593" s="2889" t="s">
        <v>1411</v>
      </c>
      <c r="D10593" s="2889" t="s">
        <v>197</v>
      </c>
      <c r="E10593" s="2889" t="s">
        <v>217</v>
      </c>
      <c r="F10593" s="2890">
        <v>3.2962229421609667E-5</v>
      </c>
      <c r="G10593" s="2890">
        <v>4.3244840383316503E-2</v>
      </c>
    </row>
    <row r="10594" spans="2:7" ht="15" hidden="1" outlineLevel="2">
      <c r="B10594" s="2889" t="s">
        <v>1632</v>
      </c>
      <c r="C10594" s="2889" t="s">
        <v>1412</v>
      </c>
      <c r="D10594" s="2889" t="s">
        <v>197</v>
      </c>
      <c r="E10594" s="2889" t="s">
        <v>217</v>
      </c>
      <c r="F10594" s="2890">
        <v>3.5609314318175117E-3</v>
      </c>
      <c r="G10594" s="2890">
        <v>4.668202728453168</v>
      </c>
    </row>
    <row r="10595" spans="2:7" ht="15" hidden="1" outlineLevel="2">
      <c r="B10595" s="2889" t="s">
        <v>1632</v>
      </c>
      <c r="C10595" s="2889" t="s">
        <v>1413</v>
      </c>
      <c r="D10595" s="2889" t="s">
        <v>197</v>
      </c>
      <c r="E10595" s="2889" t="s">
        <v>217</v>
      </c>
      <c r="F10595" s="2890">
        <v>1.1729250395252765E-3</v>
      </c>
      <c r="G10595" s="2890">
        <v>1.4622828598574302</v>
      </c>
    </row>
    <row r="10596" spans="2:7" ht="15" hidden="1" outlineLevel="2">
      <c r="B10596" s="2889" t="s">
        <v>1632</v>
      </c>
      <c r="C10596" s="2889" t="s">
        <v>1414</v>
      </c>
      <c r="D10596" s="2889" t="s">
        <v>197</v>
      </c>
      <c r="E10596" s="2889" t="s">
        <v>217</v>
      </c>
      <c r="F10596" s="2890">
        <v>1.5300286158764779E-2</v>
      </c>
      <c r="G10596" s="2890">
        <v>15.885064052815455</v>
      </c>
    </row>
    <row r="10597" spans="2:7" ht="15" hidden="1" outlineLevel="2">
      <c r="B10597" s="2889" t="s">
        <v>1632</v>
      </c>
      <c r="C10597" s="2889" t="s">
        <v>1415</v>
      </c>
      <c r="D10597" s="2889" t="s">
        <v>197</v>
      </c>
      <c r="E10597" s="2889" t="s">
        <v>217</v>
      </c>
      <c r="F10597" s="2890">
        <v>5.029563892653844E-2</v>
      </c>
      <c r="G10597" s="2890">
        <v>34.049648477356506</v>
      </c>
    </row>
    <row r="10598" spans="2:7" ht="15" hidden="1" outlineLevel="2">
      <c r="B10598" s="2889" t="s">
        <v>1632</v>
      </c>
      <c r="C10598" s="2889" t="s">
        <v>1416</v>
      </c>
      <c r="D10598" s="2889" t="s">
        <v>197</v>
      </c>
      <c r="E10598" s="2889" t="s">
        <v>217</v>
      </c>
      <c r="F10598" s="2890">
        <v>5.6508224740235164E-3</v>
      </c>
      <c r="G10598" s="2890">
        <v>7.4079452945079707</v>
      </c>
    </row>
    <row r="10599" spans="2:7" ht="15" hidden="1" outlineLevel="2">
      <c r="B10599" s="2889" t="s">
        <v>1632</v>
      </c>
      <c r="C10599" s="2889" t="s">
        <v>1417</v>
      </c>
      <c r="D10599" s="2889" t="s">
        <v>197</v>
      </c>
      <c r="E10599" s="2889" t="s">
        <v>217</v>
      </c>
      <c r="F10599" s="2890">
        <v>8.4141668842201006E-3</v>
      </c>
      <c r="G10599" s="2890">
        <v>10.726676957534073</v>
      </c>
    </row>
    <row r="10600" spans="2:7" ht="15" hidden="1" outlineLevel="2">
      <c r="B10600" s="2889" t="s">
        <v>1632</v>
      </c>
      <c r="C10600" s="2889" t="s">
        <v>1418</v>
      </c>
      <c r="D10600" s="2889" t="s">
        <v>197</v>
      </c>
      <c r="E10600" s="2889" t="s">
        <v>217</v>
      </c>
      <c r="F10600" s="2890">
        <v>1.6881750385983781E-3</v>
      </c>
      <c r="G10600" s="2890">
        <v>11.899581978210328</v>
      </c>
    </row>
    <row r="10601" spans="2:7" ht="15" hidden="1" outlineLevel="2">
      <c r="B10601" s="2889" t="s">
        <v>1632</v>
      </c>
      <c r="C10601" s="2889" t="s">
        <v>1419</v>
      </c>
      <c r="D10601" s="2889" t="s">
        <v>197</v>
      </c>
      <c r="E10601" s="2889" t="s">
        <v>1420</v>
      </c>
      <c r="F10601" s="2890">
        <v>4.0987819283817823E-5</v>
      </c>
      <c r="G10601" s="2890">
        <v>6.5127728430840665E-2</v>
      </c>
    </row>
    <row r="10602" spans="2:7" ht="15" hidden="1" outlineLevel="2">
      <c r="B10602" s="2889" t="s">
        <v>1632</v>
      </c>
      <c r="C10602" s="2889" t="s">
        <v>1421</v>
      </c>
      <c r="D10602" s="2889" t="s">
        <v>197</v>
      </c>
      <c r="E10602" s="2889" t="s">
        <v>1420</v>
      </c>
      <c r="F10602" s="2890">
        <v>8.4106333985163646E-6</v>
      </c>
      <c r="G10602" s="2890">
        <v>8.8638182920546149E-2</v>
      </c>
    </row>
    <row r="10603" spans="2:7" ht="15" hidden="1" outlineLevel="2">
      <c r="B10603" s="2889" t="s">
        <v>1632</v>
      </c>
      <c r="C10603" s="2889" t="s">
        <v>1422</v>
      </c>
      <c r="D10603" s="2889" t="s">
        <v>197</v>
      </c>
      <c r="E10603" s="2889" t="s">
        <v>1423</v>
      </c>
      <c r="F10603" s="2890">
        <v>1.6407709416962728E-3</v>
      </c>
      <c r="G10603" s="2890">
        <v>1.7204203193938922E-2</v>
      </c>
    </row>
    <row r="10604" spans="2:7" ht="15" hidden="1" outlineLevel="2">
      <c r="B10604" s="2889" t="s">
        <v>1632</v>
      </c>
      <c r="C10604" s="2889" t="s">
        <v>1424</v>
      </c>
      <c r="D10604" s="2889" t="s">
        <v>197</v>
      </c>
      <c r="E10604" s="2889" t="s">
        <v>1423</v>
      </c>
      <c r="F10604" s="2890">
        <v>5.2079235839338513E-4</v>
      </c>
      <c r="G10604" s="2890">
        <v>5.4590912505382647E-3</v>
      </c>
    </row>
    <row r="10605" spans="2:7" ht="15" hidden="1" outlineLevel="2">
      <c r="B10605" s="2889" t="s">
        <v>1632</v>
      </c>
      <c r="C10605" s="2889" t="s">
        <v>1425</v>
      </c>
      <c r="D10605" s="2889" t="s">
        <v>197</v>
      </c>
      <c r="E10605" s="2889" t="s">
        <v>1426</v>
      </c>
      <c r="F10605" s="2891"/>
      <c r="G10605" s="2890">
        <v>0.12722594928147507</v>
      </c>
    </row>
    <row r="10606" spans="2:7" ht="15" hidden="1" outlineLevel="2">
      <c r="B10606" s="2889" t="s">
        <v>1632</v>
      </c>
      <c r="C10606" s="2889" t="s">
        <v>1427</v>
      </c>
      <c r="D10606" s="2889" t="s">
        <v>197</v>
      </c>
      <c r="E10606" s="2889" t="s">
        <v>1426</v>
      </c>
      <c r="F10606" s="2891"/>
      <c r="G10606" s="2890">
        <v>5500.2828290000116</v>
      </c>
    </row>
    <row r="10607" spans="2:7" ht="15" hidden="1" outlineLevel="2">
      <c r="B10607" s="2889" t="s">
        <v>1632</v>
      </c>
      <c r="C10607" s="2889" t="s">
        <v>1428</v>
      </c>
      <c r="D10607" s="2889" t="s">
        <v>197</v>
      </c>
      <c r="E10607" s="2889" t="s">
        <v>1426</v>
      </c>
      <c r="F10607" s="2891"/>
      <c r="G10607" s="2890">
        <v>493.54329037037172</v>
      </c>
    </row>
    <row r="10608" spans="2:7" ht="15" hidden="1" outlineLevel="2">
      <c r="B10608" s="2889" t="s">
        <v>1632</v>
      </c>
      <c r="C10608" s="2889" t="s">
        <v>1429</v>
      </c>
      <c r="D10608" s="2889" t="s">
        <v>197</v>
      </c>
      <c r="E10608" s="2889" t="s">
        <v>1426</v>
      </c>
      <c r="F10608" s="2891"/>
      <c r="G10608" s="2890">
        <v>2.7434266858076253</v>
      </c>
    </row>
    <row r="10609" spans="2:7" ht="15" hidden="1" outlineLevel="2">
      <c r="B10609" s="2889" t="s">
        <v>1632</v>
      </c>
      <c r="C10609" s="2889" t="s">
        <v>1430</v>
      </c>
      <c r="D10609" s="2889" t="s">
        <v>197</v>
      </c>
      <c r="E10609" s="2889" t="s">
        <v>1426</v>
      </c>
      <c r="F10609" s="2891"/>
      <c r="G10609" s="2890">
        <v>0.56308431002487314</v>
      </c>
    </row>
    <row r="10610" spans="2:7" ht="15" hidden="1" outlineLevel="2">
      <c r="B10610" s="2889" t="s">
        <v>1632</v>
      </c>
      <c r="C10610" s="2889" t="s">
        <v>1431</v>
      </c>
      <c r="D10610" s="2889" t="s">
        <v>197</v>
      </c>
      <c r="E10610" s="2889" t="s">
        <v>1426</v>
      </c>
      <c r="F10610" s="2891"/>
      <c r="G10610" s="2890">
        <v>41.895865909008975</v>
      </c>
    </row>
    <row r="10611" spans="2:7" ht="15" hidden="1" outlineLevel="2">
      <c r="B10611" s="2889" t="s">
        <v>1632</v>
      </c>
      <c r="C10611" s="2889" t="s">
        <v>1432</v>
      </c>
      <c r="D10611" s="2889" t="s">
        <v>197</v>
      </c>
      <c r="E10611" s="2889" t="s">
        <v>1426</v>
      </c>
      <c r="F10611" s="2891"/>
      <c r="G10611" s="2890">
        <v>0.10493379531791923</v>
      </c>
    </row>
    <row r="10612" spans="2:7" ht="15" hidden="1" outlineLevel="2">
      <c r="B10612" s="2889" t="s">
        <v>1632</v>
      </c>
      <c r="C10612" s="2889" t="s">
        <v>1433</v>
      </c>
      <c r="D10612" s="2889" t="s">
        <v>197</v>
      </c>
      <c r="E10612" s="2889" t="s">
        <v>1426</v>
      </c>
      <c r="F10612" s="2891"/>
      <c r="G10612" s="2890">
        <v>38.72325093205616</v>
      </c>
    </row>
    <row r="10613" spans="2:7" ht="15" hidden="1" outlineLevel="2">
      <c r="B10613" s="2889" t="s">
        <v>1632</v>
      </c>
      <c r="C10613" s="2889" t="s">
        <v>1434</v>
      </c>
      <c r="D10613" s="2889" t="s">
        <v>197</v>
      </c>
      <c r="E10613" s="2889" t="s">
        <v>1426</v>
      </c>
      <c r="F10613" s="2891"/>
      <c r="G10613" s="2890">
        <v>107.56304795310963</v>
      </c>
    </row>
    <row r="10614" spans="2:7" ht="15" hidden="1" outlineLevel="2">
      <c r="B10614" s="2889" t="s">
        <v>1632</v>
      </c>
      <c r="C10614" s="2889" t="s">
        <v>1435</v>
      </c>
      <c r="D10614" s="2889" t="s">
        <v>197</v>
      </c>
      <c r="E10614" s="2889" t="s">
        <v>1426</v>
      </c>
      <c r="F10614" s="2891"/>
      <c r="G10614" s="2890">
        <v>79.079760456691147</v>
      </c>
    </row>
    <row r="10615" spans="2:7" ht="15" hidden="1" outlineLevel="2">
      <c r="B10615" s="2889" t="s">
        <v>1632</v>
      </c>
      <c r="C10615" s="2889" t="s">
        <v>1436</v>
      </c>
      <c r="D10615" s="2889" t="s">
        <v>1437</v>
      </c>
      <c r="E10615" s="2889" t="s">
        <v>217</v>
      </c>
      <c r="F10615" s="2890">
        <v>7.5074450865664661E-5</v>
      </c>
      <c r="G10615" s="2890">
        <v>0.21800921633107243</v>
      </c>
    </row>
    <row r="10616" spans="2:7" ht="15" hidden="1" outlineLevel="2">
      <c r="B10616" s="2889" t="s">
        <v>1632</v>
      </c>
      <c r="C10616" s="2889" t="s">
        <v>1438</v>
      </c>
      <c r="D10616" s="2889" t="s">
        <v>1437</v>
      </c>
      <c r="E10616" s="2889" t="s">
        <v>1420</v>
      </c>
      <c r="F10616" s="2890">
        <v>2.1687760857036613E-5</v>
      </c>
      <c r="G10616" s="2890">
        <v>0.19926444626918161</v>
      </c>
    </row>
    <row r="10617" spans="2:7" ht="15" hidden="1" outlineLevel="2">
      <c r="B10617" s="2889" t="s">
        <v>1632</v>
      </c>
      <c r="C10617" s="2889" t="s">
        <v>1439</v>
      </c>
      <c r="D10617" s="2889" t="s">
        <v>1437</v>
      </c>
      <c r="E10617" s="2889" t="s">
        <v>1426</v>
      </c>
      <c r="F10617" s="2891"/>
      <c r="G10617" s="2890">
        <v>13.7021273564749</v>
      </c>
    </row>
    <row r="10618" spans="2:7" ht="15" hidden="1" outlineLevel="2">
      <c r="B10618" s="2889" t="s">
        <v>1632</v>
      </c>
      <c r="C10618" s="2889" t="s">
        <v>1440</v>
      </c>
      <c r="D10618" s="2889" t="s">
        <v>1105</v>
      </c>
      <c r="E10618" s="2889" t="s">
        <v>217</v>
      </c>
      <c r="F10618" s="2890">
        <v>0.11428657386350884</v>
      </c>
      <c r="G10618" s="2890">
        <v>56.636718159409739</v>
      </c>
    </row>
    <row r="10619" spans="2:7" ht="15" hidden="1" outlineLevel="2">
      <c r="B10619" s="2889" t="s">
        <v>1632</v>
      </c>
      <c r="C10619" s="2889" t="s">
        <v>1441</v>
      </c>
      <c r="D10619" s="2889" t="s">
        <v>1105</v>
      </c>
      <c r="E10619" s="2889" t="s">
        <v>217</v>
      </c>
      <c r="F10619" s="2890">
        <v>0.73028567078512452</v>
      </c>
      <c r="G10619" s="2890">
        <v>383.79431954510562</v>
      </c>
    </row>
    <row r="10620" spans="2:7" ht="15" hidden="1" outlineLevel="2">
      <c r="B10620" s="2889" t="s">
        <v>1632</v>
      </c>
      <c r="C10620" s="2889" t="s">
        <v>1442</v>
      </c>
      <c r="D10620" s="2889" t="s">
        <v>1105</v>
      </c>
      <c r="E10620" s="2889" t="s">
        <v>217</v>
      </c>
      <c r="F10620" s="2890">
        <v>3.3018083893596178E-4</v>
      </c>
      <c r="G10620" s="2890">
        <v>0.14572982938756895</v>
      </c>
    </row>
    <row r="10621" spans="2:7" ht="15" hidden="1" outlineLevel="2">
      <c r="B10621" s="2889" t="s">
        <v>1632</v>
      </c>
      <c r="C10621" s="2889" t="s">
        <v>1443</v>
      </c>
      <c r="D10621" s="2889" t="s">
        <v>1105</v>
      </c>
      <c r="E10621" s="2889" t="s">
        <v>217</v>
      </c>
      <c r="F10621" s="2890">
        <v>5.1149736432730773E-3</v>
      </c>
      <c r="G10621" s="2890">
        <v>2.2930323379367263</v>
      </c>
    </row>
    <row r="10622" spans="2:7" ht="15" hidden="1" outlineLevel="2">
      <c r="B10622" s="2889" t="s">
        <v>1632</v>
      </c>
      <c r="C10622" s="2889" t="s">
        <v>1444</v>
      </c>
      <c r="D10622" s="2889" t="s">
        <v>1105</v>
      </c>
      <c r="E10622" s="2889" t="s">
        <v>217</v>
      </c>
      <c r="F10622" s="2890">
        <v>9.6965335318887647</v>
      </c>
      <c r="G10622" s="2890">
        <v>11658.386264400582</v>
      </c>
    </row>
    <row r="10623" spans="2:7" ht="15" hidden="1" outlineLevel="2">
      <c r="B10623" s="2889" t="s">
        <v>1632</v>
      </c>
      <c r="C10623" s="2889" t="s">
        <v>1445</v>
      </c>
      <c r="D10623" s="2889" t="s">
        <v>1105</v>
      </c>
      <c r="E10623" s="2889" t="s">
        <v>217</v>
      </c>
      <c r="F10623" s="2890">
        <v>2.087139642350635</v>
      </c>
      <c r="G10623" s="2890">
        <v>2917.395559776568</v>
      </c>
    </row>
    <row r="10624" spans="2:7" ht="15" hidden="1" outlineLevel="2">
      <c r="B10624" s="2889" t="s">
        <v>1632</v>
      </c>
      <c r="C10624" s="2889" t="s">
        <v>1446</v>
      </c>
      <c r="D10624" s="2889" t="s">
        <v>1105</v>
      </c>
      <c r="E10624" s="2889" t="s">
        <v>217</v>
      </c>
      <c r="F10624" s="2890">
        <v>0.9634243155897495</v>
      </c>
      <c r="G10624" s="2890">
        <v>1547.0711299458567</v>
      </c>
    </row>
    <row r="10625" spans="2:7" ht="15" hidden="1" outlineLevel="2">
      <c r="B10625" s="2889" t="s">
        <v>1632</v>
      </c>
      <c r="C10625" s="2889" t="s">
        <v>1447</v>
      </c>
      <c r="D10625" s="2889" t="s">
        <v>1105</v>
      </c>
      <c r="E10625" s="2889" t="s">
        <v>217</v>
      </c>
      <c r="F10625" s="2890">
        <v>2.2199933029878864</v>
      </c>
      <c r="G10625" s="2890">
        <v>3319.4559034055983</v>
      </c>
    </row>
    <row r="10626" spans="2:7" ht="15" hidden="1" outlineLevel="2">
      <c r="B10626" s="2889" t="s">
        <v>1632</v>
      </c>
      <c r="C10626" s="2889" t="s">
        <v>1448</v>
      </c>
      <c r="D10626" s="2889" t="s">
        <v>1105</v>
      </c>
      <c r="E10626" s="2889" t="s">
        <v>217</v>
      </c>
      <c r="F10626" s="2890">
        <v>4.1928603075270461</v>
      </c>
      <c r="G10626" s="2890">
        <v>5229.5111581098772</v>
      </c>
    </row>
    <row r="10627" spans="2:7" ht="15" hidden="1" outlineLevel="2">
      <c r="B10627" s="2889" t="s">
        <v>1632</v>
      </c>
      <c r="C10627" s="2889" t="s">
        <v>1449</v>
      </c>
      <c r="D10627" s="2889" t="s">
        <v>1105</v>
      </c>
      <c r="E10627" s="2889" t="s">
        <v>217</v>
      </c>
      <c r="F10627" s="2890">
        <v>0.17849838683746341</v>
      </c>
      <c r="G10627" s="2890">
        <v>245.96709721365178</v>
      </c>
    </row>
    <row r="10628" spans="2:7" ht="15" hidden="1" outlineLevel="2">
      <c r="B10628" s="2889" t="s">
        <v>1632</v>
      </c>
      <c r="C10628" s="2889" t="s">
        <v>1450</v>
      </c>
      <c r="D10628" s="2889" t="s">
        <v>1105</v>
      </c>
      <c r="E10628" s="2889" t="s">
        <v>1420</v>
      </c>
      <c r="F10628" s="2890">
        <v>0.56423763009244987</v>
      </c>
      <c r="G10628" s="2890">
        <v>1551.2045324630681</v>
      </c>
    </row>
    <row r="10629" spans="2:7" ht="15" hidden="1" outlineLevel="2">
      <c r="B10629" s="2889" t="s">
        <v>1632</v>
      </c>
      <c r="C10629" s="2889" t="s">
        <v>1451</v>
      </c>
      <c r="D10629" s="2889" t="s">
        <v>1105</v>
      </c>
      <c r="E10629" s="2889" t="s">
        <v>1420</v>
      </c>
      <c r="F10629" s="2890">
        <v>8.1921207419282785E-2</v>
      </c>
      <c r="G10629" s="2890">
        <v>345.50706750717495</v>
      </c>
    </row>
    <row r="10630" spans="2:7" ht="15" hidden="1" outlineLevel="2">
      <c r="B10630" s="2889" t="s">
        <v>1632</v>
      </c>
      <c r="C10630" s="2889" t="s">
        <v>1452</v>
      </c>
      <c r="D10630" s="2889" t="s">
        <v>1105</v>
      </c>
      <c r="E10630" s="2889" t="s">
        <v>1420</v>
      </c>
      <c r="F10630" s="2890">
        <v>6.0606933308219903E-2</v>
      </c>
      <c r="G10630" s="2890">
        <v>404.99647378806412</v>
      </c>
    </row>
    <row r="10631" spans="2:7" ht="15" hidden="1" outlineLevel="2">
      <c r="B10631" s="2889" t="s">
        <v>1632</v>
      </c>
      <c r="C10631" s="2889" t="s">
        <v>1453</v>
      </c>
      <c r="D10631" s="2889" t="s">
        <v>1105</v>
      </c>
      <c r="E10631" s="2889" t="s">
        <v>1420</v>
      </c>
      <c r="F10631" s="2890">
        <v>0.10616070306572964</v>
      </c>
      <c r="G10631" s="2890">
        <v>503.10715499542187</v>
      </c>
    </row>
    <row r="10632" spans="2:7" ht="15" hidden="1" outlineLevel="2">
      <c r="B10632" s="2889" t="s">
        <v>1632</v>
      </c>
      <c r="C10632" s="2889" t="s">
        <v>1454</v>
      </c>
      <c r="D10632" s="2889" t="s">
        <v>1105</v>
      </c>
      <c r="E10632" s="2889" t="s">
        <v>1420</v>
      </c>
      <c r="F10632" s="2890">
        <v>2.6507734895127254E-3</v>
      </c>
      <c r="G10632" s="2890">
        <v>6.8008713755718073</v>
      </c>
    </row>
    <row r="10633" spans="2:7" ht="15" hidden="1" outlineLevel="2">
      <c r="B10633" s="2889" t="s">
        <v>1632</v>
      </c>
      <c r="C10633" s="2889" t="s">
        <v>1455</v>
      </c>
      <c r="D10633" s="2889" t="s">
        <v>1105</v>
      </c>
      <c r="E10633" s="2889" t="s">
        <v>1420</v>
      </c>
      <c r="F10633" s="2890">
        <v>7.7336572515426881E-4</v>
      </c>
      <c r="G10633" s="2890">
        <v>6.3171143407926156</v>
      </c>
    </row>
    <row r="10634" spans="2:7" ht="15" hidden="1" outlineLevel="2">
      <c r="B10634" s="2889" t="s">
        <v>1632</v>
      </c>
      <c r="C10634" s="2889" t="s">
        <v>1456</v>
      </c>
      <c r="D10634" s="2889" t="s">
        <v>1105</v>
      </c>
      <c r="E10634" s="2889" t="s">
        <v>1423</v>
      </c>
      <c r="F10634" s="2890">
        <v>12.466476998302486</v>
      </c>
      <c r="G10634" s="2890">
        <v>340.74661593145191</v>
      </c>
    </row>
    <row r="10635" spans="2:7" ht="15" hidden="1" outlineLevel="2">
      <c r="B10635" s="2889" t="s">
        <v>1632</v>
      </c>
      <c r="C10635" s="2889" t="s">
        <v>1457</v>
      </c>
      <c r="D10635" s="2889" t="s">
        <v>1105</v>
      </c>
      <c r="E10635" s="2889" t="s">
        <v>1423</v>
      </c>
      <c r="F10635" s="2890">
        <v>0.47044393202359197</v>
      </c>
      <c r="G10635" s="2890">
        <v>17.37411697467277</v>
      </c>
    </row>
    <row r="10636" spans="2:7" ht="15" hidden="1" outlineLevel="2">
      <c r="B10636" s="2889" t="s">
        <v>1632</v>
      </c>
      <c r="C10636" s="2889" t="s">
        <v>1458</v>
      </c>
      <c r="D10636" s="2889" t="s">
        <v>1105</v>
      </c>
      <c r="E10636" s="2889" t="s">
        <v>1423</v>
      </c>
      <c r="F10636" s="2890">
        <v>0.34313093907309017</v>
      </c>
      <c r="G10636" s="2890">
        <v>24.066112630568846</v>
      </c>
    </row>
    <row r="10637" spans="2:7" ht="15" hidden="1" outlineLevel="2">
      <c r="B10637" s="2889" t="s">
        <v>1632</v>
      </c>
      <c r="C10637" s="2889" t="s">
        <v>1459</v>
      </c>
      <c r="D10637" s="2889" t="s">
        <v>1105</v>
      </c>
      <c r="E10637" s="2889" t="s">
        <v>1423</v>
      </c>
      <c r="F10637" s="2890">
        <v>4.0199516030353193</v>
      </c>
      <c r="G10637" s="2890">
        <v>841.23768857037055</v>
      </c>
    </row>
    <row r="10638" spans="2:7" ht="15" hidden="1" outlineLevel="2">
      <c r="B10638" s="2889" t="s">
        <v>1632</v>
      </c>
      <c r="C10638" s="2889" t="s">
        <v>1460</v>
      </c>
      <c r="D10638" s="2889" t="s">
        <v>1105</v>
      </c>
      <c r="E10638" s="2889" t="s">
        <v>1426</v>
      </c>
      <c r="F10638" s="2891"/>
      <c r="G10638" s="2890">
        <v>8970.713241220119</v>
      </c>
    </row>
    <row r="10639" spans="2:7" ht="15" hidden="1" outlineLevel="2">
      <c r="B10639" s="2889" t="s">
        <v>1632</v>
      </c>
      <c r="C10639" s="2889" t="s">
        <v>1461</v>
      </c>
      <c r="D10639" s="2889" t="s">
        <v>1105</v>
      </c>
      <c r="E10639" s="2889" t="s">
        <v>1426</v>
      </c>
      <c r="F10639" s="2891"/>
      <c r="G10639" s="2890">
        <v>2116.5447755703744</v>
      </c>
    </row>
    <row r="10640" spans="2:7" ht="15" hidden="1" outlineLevel="2">
      <c r="B10640" s="2889" t="s">
        <v>1632</v>
      </c>
      <c r="C10640" s="2889" t="s">
        <v>1462</v>
      </c>
      <c r="D10640" s="2889" t="s">
        <v>1105</v>
      </c>
      <c r="E10640" s="2889" t="s">
        <v>1426</v>
      </c>
      <c r="F10640" s="2891"/>
      <c r="G10640" s="2890">
        <v>5872.5924607387506</v>
      </c>
    </row>
    <row r="10641" spans="2:7" ht="15" hidden="1" outlineLevel="2">
      <c r="B10641" s="2889" t="s">
        <v>1632</v>
      </c>
      <c r="C10641" s="2889" t="s">
        <v>1463</v>
      </c>
      <c r="D10641" s="2889" t="s">
        <v>1105</v>
      </c>
      <c r="E10641" s="2889" t="s">
        <v>1426</v>
      </c>
      <c r="F10641" s="2891"/>
      <c r="G10641" s="2890">
        <v>2981.9112184965397</v>
      </c>
    </row>
    <row r="10642" spans="2:7" ht="15" hidden="1" outlineLevel="2">
      <c r="B10642" s="2889" t="s">
        <v>1632</v>
      </c>
      <c r="C10642" s="2889" t="s">
        <v>1464</v>
      </c>
      <c r="D10642" s="2889" t="s">
        <v>1105</v>
      </c>
      <c r="E10642" s="2889" t="s">
        <v>1426</v>
      </c>
      <c r="F10642" s="2891"/>
      <c r="G10642" s="2890">
        <v>286.46107521720245</v>
      </c>
    </row>
    <row r="10643" spans="2:7" ht="15" hidden="1" outlineLevel="2">
      <c r="B10643" s="2889" t="s">
        <v>1632</v>
      </c>
      <c r="C10643" s="2889" t="s">
        <v>1465</v>
      </c>
      <c r="D10643" s="2889" t="s">
        <v>1105</v>
      </c>
      <c r="E10643" s="2889" t="s">
        <v>1426</v>
      </c>
      <c r="F10643" s="2891"/>
      <c r="G10643" s="2890">
        <v>254.15581983890581</v>
      </c>
    </row>
    <row r="10644" spans="2:7" ht="15" hidden="1" outlineLevel="2">
      <c r="B10644" s="2889" t="s">
        <v>1632</v>
      </c>
      <c r="C10644" s="2889" t="s">
        <v>1466</v>
      </c>
      <c r="D10644" s="2889" t="s">
        <v>1054</v>
      </c>
      <c r="E10644" s="2889" t="s">
        <v>217</v>
      </c>
      <c r="F10644" s="2890">
        <v>0.25423180037772825</v>
      </c>
      <c r="G10644" s="2890">
        <v>156.75842373389</v>
      </c>
    </row>
    <row r="10645" spans="2:7" ht="15" hidden="1" outlineLevel="2">
      <c r="B10645" s="2889" t="s">
        <v>1632</v>
      </c>
      <c r="C10645" s="2889" t="s">
        <v>1467</v>
      </c>
      <c r="D10645" s="2889" t="s">
        <v>1054</v>
      </c>
      <c r="E10645" s="2889" t="s">
        <v>217</v>
      </c>
      <c r="F10645" s="2890">
        <v>2.101064081655047E-2</v>
      </c>
      <c r="G10645" s="2890">
        <v>10.166973271129594</v>
      </c>
    </row>
    <row r="10646" spans="2:7" ht="15" hidden="1" outlineLevel="2">
      <c r="B10646" s="2889" t="s">
        <v>1632</v>
      </c>
      <c r="C10646" s="2889" t="s">
        <v>1468</v>
      </c>
      <c r="D10646" s="2889" t="s">
        <v>1054</v>
      </c>
      <c r="E10646" s="2889" t="s">
        <v>217</v>
      </c>
      <c r="F10646" s="2890">
        <v>2.5444486903657672E-2</v>
      </c>
      <c r="G10646" s="2890">
        <v>12.154028362756007</v>
      </c>
    </row>
    <row r="10647" spans="2:7" ht="15" hidden="1" outlineLevel="2">
      <c r="B10647" s="2889" t="s">
        <v>1632</v>
      </c>
      <c r="C10647" s="2889" t="s">
        <v>1469</v>
      </c>
      <c r="D10647" s="2889" t="s">
        <v>1054</v>
      </c>
      <c r="E10647" s="2889" t="s">
        <v>217</v>
      </c>
      <c r="F10647" s="2890">
        <v>2.0303928770964839E-4</v>
      </c>
      <c r="G10647" s="2890">
        <v>9.1015814963650923E-2</v>
      </c>
    </row>
    <row r="10648" spans="2:7" ht="15" hidden="1" outlineLevel="2">
      <c r="B10648" s="2889" t="s">
        <v>1632</v>
      </c>
      <c r="C10648" s="2889" t="s">
        <v>1470</v>
      </c>
      <c r="D10648" s="2889" t="s">
        <v>1054</v>
      </c>
      <c r="E10648" s="2889" t="s">
        <v>217</v>
      </c>
      <c r="F10648" s="2890">
        <v>0.72429711775782701</v>
      </c>
      <c r="G10648" s="2890">
        <v>405.08812607583735</v>
      </c>
    </row>
    <row r="10649" spans="2:7" ht="15" hidden="1" outlineLevel="2">
      <c r="B10649" s="2889" t="s">
        <v>1632</v>
      </c>
      <c r="C10649" s="2889" t="s">
        <v>1471</v>
      </c>
      <c r="D10649" s="2889" t="s">
        <v>1054</v>
      </c>
      <c r="E10649" s="2889" t="s">
        <v>217</v>
      </c>
      <c r="F10649" s="2890">
        <v>5.2869790966788279E-3</v>
      </c>
      <c r="G10649" s="2890">
        <v>2.3699778691193072</v>
      </c>
    </row>
    <row r="10650" spans="2:7" ht="15" hidden="1" outlineLevel="2">
      <c r="B10650" s="2889" t="s">
        <v>1632</v>
      </c>
      <c r="C10650" s="2889" t="s">
        <v>1472</v>
      </c>
      <c r="D10650" s="2889" t="s">
        <v>1054</v>
      </c>
      <c r="E10650" s="2889" t="s">
        <v>217</v>
      </c>
      <c r="F10650" s="2890">
        <v>8.9864191983006117E-2</v>
      </c>
      <c r="G10650" s="2890">
        <v>139.35493108884478</v>
      </c>
    </row>
    <row r="10651" spans="2:7" ht="15" hidden="1" outlineLevel="2">
      <c r="B10651" s="2889" t="s">
        <v>1632</v>
      </c>
      <c r="C10651" s="2889" t="s">
        <v>1473</v>
      </c>
      <c r="D10651" s="2889" t="s">
        <v>1054</v>
      </c>
      <c r="E10651" s="2889" t="s">
        <v>217</v>
      </c>
      <c r="F10651" s="2890">
        <v>7.960002184926176E-4</v>
      </c>
      <c r="G10651" s="2890">
        <v>1.0297970511601284</v>
      </c>
    </row>
    <row r="10652" spans="2:7" ht="15" hidden="1" outlineLevel="2">
      <c r="B10652" s="2889" t="s">
        <v>1632</v>
      </c>
      <c r="C10652" s="2889" t="s">
        <v>1474</v>
      </c>
      <c r="D10652" s="2889" t="s">
        <v>1054</v>
      </c>
      <c r="E10652" s="2889" t="s">
        <v>217</v>
      </c>
      <c r="F10652" s="2890">
        <v>0.21895933529834</v>
      </c>
      <c r="G10652" s="2890">
        <v>260.77473919157478</v>
      </c>
    </row>
    <row r="10653" spans="2:7" ht="15" hidden="1" outlineLevel="2">
      <c r="B10653" s="2889" t="s">
        <v>1632</v>
      </c>
      <c r="C10653" s="2889" t="s">
        <v>1475</v>
      </c>
      <c r="D10653" s="2889" t="s">
        <v>1054</v>
      </c>
      <c r="E10653" s="2889" t="s">
        <v>217</v>
      </c>
      <c r="F10653" s="2890">
        <v>0.1568400856898968</v>
      </c>
      <c r="G10653" s="2890">
        <v>246.41602500952814</v>
      </c>
    </row>
    <row r="10654" spans="2:7" ht="15" hidden="1" outlineLevel="2">
      <c r="B10654" s="2889" t="s">
        <v>1632</v>
      </c>
      <c r="C10654" s="2889" t="s">
        <v>1476</v>
      </c>
      <c r="D10654" s="2889" t="s">
        <v>1054</v>
      </c>
      <c r="E10654" s="2889" t="s">
        <v>217</v>
      </c>
      <c r="F10654" s="2890">
        <v>0.38616977750008896</v>
      </c>
      <c r="G10654" s="2890">
        <v>490.45113642773418</v>
      </c>
    </row>
    <row r="10655" spans="2:7" ht="15" hidden="1" outlineLevel="2">
      <c r="B10655" s="2889" t="s">
        <v>1632</v>
      </c>
      <c r="C10655" s="2889" t="s">
        <v>1477</v>
      </c>
      <c r="D10655" s="2889" t="s">
        <v>1054</v>
      </c>
      <c r="E10655" s="2889" t="s">
        <v>217</v>
      </c>
      <c r="F10655" s="2890">
        <v>0.15104800563103521</v>
      </c>
      <c r="G10655" s="2890">
        <v>206.82340535116322</v>
      </c>
    </row>
    <row r="10656" spans="2:7" ht="15" hidden="1" outlineLevel="2">
      <c r="B10656" s="2889" t="s">
        <v>1632</v>
      </c>
      <c r="C10656" s="2889" t="s">
        <v>1478</v>
      </c>
      <c r="D10656" s="2889" t="s">
        <v>1054</v>
      </c>
      <c r="E10656" s="2889" t="s">
        <v>217</v>
      </c>
      <c r="F10656" s="2890">
        <v>8.1399890491395486E-3</v>
      </c>
      <c r="G10656" s="2890">
        <v>10.738129997193372</v>
      </c>
    </row>
    <row r="10657" spans="2:7" ht="15" hidden="1" outlineLevel="2">
      <c r="B10657" s="2889" t="s">
        <v>1632</v>
      </c>
      <c r="C10657" s="2889" t="s">
        <v>1479</v>
      </c>
      <c r="D10657" s="2889" t="s">
        <v>1054</v>
      </c>
      <c r="E10657" s="2889" t="s">
        <v>217</v>
      </c>
      <c r="F10657" s="2890">
        <v>0.28782100757752993</v>
      </c>
      <c r="G10657" s="2890">
        <v>432.97922902867367</v>
      </c>
    </row>
    <row r="10658" spans="2:7" ht="15" hidden="1" outlineLevel="2">
      <c r="B10658" s="2889" t="s">
        <v>1632</v>
      </c>
      <c r="C10658" s="2889" t="s">
        <v>1480</v>
      </c>
      <c r="D10658" s="2889" t="s">
        <v>1054</v>
      </c>
      <c r="E10658" s="2889" t="s">
        <v>217</v>
      </c>
      <c r="F10658" s="2890">
        <v>0.12957251222305702</v>
      </c>
      <c r="G10658" s="2890">
        <v>149.12495414457123</v>
      </c>
    </row>
    <row r="10659" spans="2:7" ht="15" hidden="1" outlineLevel="2">
      <c r="B10659" s="2889" t="s">
        <v>1632</v>
      </c>
      <c r="C10659" s="2889" t="s">
        <v>1481</v>
      </c>
      <c r="D10659" s="2889" t="s">
        <v>1054</v>
      </c>
      <c r="E10659" s="2889" t="s">
        <v>217</v>
      </c>
      <c r="F10659" s="2890">
        <v>0.64116089945177623</v>
      </c>
      <c r="G10659" s="2890">
        <v>901.80992216682216</v>
      </c>
    </row>
    <row r="10660" spans="2:7" ht="15" hidden="1" outlineLevel="2">
      <c r="B10660" s="2889" t="s">
        <v>1632</v>
      </c>
      <c r="C10660" s="2889" t="s">
        <v>1482</v>
      </c>
      <c r="D10660" s="2889" t="s">
        <v>1054</v>
      </c>
      <c r="E10660" s="2889" t="s">
        <v>217</v>
      </c>
      <c r="F10660" s="2890">
        <v>0.43209866156461235</v>
      </c>
      <c r="G10660" s="2890">
        <v>432.01425759697133</v>
      </c>
    </row>
    <row r="10661" spans="2:7" ht="15" hidden="1" outlineLevel="2">
      <c r="B10661" s="2889" t="s">
        <v>1632</v>
      </c>
      <c r="C10661" s="2889" t="s">
        <v>1483</v>
      </c>
      <c r="D10661" s="2889" t="s">
        <v>1054</v>
      </c>
      <c r="E10661" s="2889" t="s">
        <v>217</v>
      </c>
      <c r="F10661" s="2890">
        <v>2.0529574193766002E-2</v>
      </c>
      <c r="G10661" s="2890">
        <v>34.438326263909723</v>
      </c>
    </row>
    <row r="10662" spans="2:7" ht="15" hidden="1" outlineLevel="2">
      <c r="B10662" s="2889" t="s">
        <v>1632</v>
      </c>
      <c r="C10662" s="2889" t="s">
        <v>1484</v>
      </c>
      <c r="D10662" s="2889" t="s">
        <v>1054</v>
      </c>
      <c r="E10662" s="2889" t="s">
        <v>217</v>
      </c>
      <c r="F10662" s="2890">
        <v>4.1751652859715695E-2</v>
      </c>
      <c r="G10662" s="2890">
        <v>58.394976504337286</v>
      </c>
    </row>
    <row r="10663" spans="2:7" ht="15" hidden="1" outlineLevel="2">
      <c r="B10663" s="2889" t="s">
        <v>1632</v>
      </c>
      <c r="C10663" s="2889" t="s">
        <v>1485</v>
      </c>
      <c r="D10663" s="2889" t="s">
        <v>1054</v>
      </c>
      <c r="E10663" s="2889" t="s">
        <v>217</v>
      </c>
      <c r="F10663" s="2890">
        <v>1.8546819783719328E-2</v>
      </c>
      <c r="G10663" s="2890">
        <v>52.327155507770854</v>
      </c>
    </row>
    <row r="10664" spans="2:7" ht="15" hidden="1" outlineLevel="2">
      <c r="B10664" s="2889" t="s">
        <v>1632</v>
      </c>
      <c r="C10664" s="2889" t="s">
        <v>1486</v>
      </c>
      <c r="D10664" s="2889" t="s">
        <v>1054</v>
      </c>
      <c r="E10664" s="2889" t="s">
        <v>217</v>
      </c>
      <c r="F10664" s="2890">
        <v>2.1607550131488254E-2</v>
      </c>
      <c r="G10664" s="2890">
        <v>124.98039403701344</v>
      </c>
    </row>
    <row r="10665" spans="2:7" ht="15" hidden="1" outlineLevel="2">
      <c r="B10665" s="2889" t="s">
        <v>1632</v>
      </c>
      <c r="C10665" s="2889" t="s">
        <v>1487</v>
      </c>
      <c r="D10665" s="2889" t="s">
        <v>1054</v>
      </c>
      <c r="E10665" s="2889" t="s">
        <v>217</v>
      </c>
      <c r="F10665" s="2890">
        <v>0.20441628618670513</v>
      </c>
      <c r="G10665" s="2890">
        <v>296.1710678964086</v>
      </c>
    </row>
    <row r="10666" spans="2:7" ht="15" hidden="1" outlineLevel="2">
      <c r="B10666" s="2889" t="s">
        <v>1632</v>
      </c>
      <c r="C10666" s="2889" t="s">
        <v>1488</v>
      </c>
      <c r="D10666" s="2889" t="s">
        <v>1054</v>
      </c>
      <c r="E10666" s="2889" t="s">
        <v>217</v>
      </c>
      <c r="F10666" s="2890">
        <v>0.1267880826158829</v>
      </c>
      <c r="G10666" s="2890">
        <v>203.26604939188658</v>
      </c>
    </row>
    <row r="10667" spans="2:7" ht="15" hidden="1" outlineLevel="2">
      <c r="B10667" s="2889" t="s">
        <v>1632</v>
      </c>
      <c r="C10667" s="2889" t="s">
        <v>1489</v>
      </c>
      <c r="D10667" s="2889" t="s">
        <v>1054</v>
      </c>
      <c r="E10667" s="2889" t="s">
        <v>217</v>
      </c>
      <c r="F10667" s="2890">
        <v>6.3844896985083638E-2</v>
      </c>
      <c r="G10667" s="2890">
        <v>66.974308623725491</v>
      </c>
    </row>
    <row r="10668" spans="2:7" ht="15" hidden="1" outlineLevel="2">
      <c r="B10668" s="2889" t="s">
        <v>1632</v>
      </c>
      <c r="C10668" s="2889" t="s">
        <v>1490</v>
      </c>
      <c r="D10668" s="2889" t="s">
        <v>1054</v>
      </c>
      <c r="E10668" s="2889" t="s">
        <v>217</v>
      </c>
      <c r="F10668" s="2890">
        <v>2.9774306789756268E-2</v>
      </c>
      <c r="G10668" s="2890">
        <v>47.312777291445258</v>
      </c>
    </row>
    <row r="10669" spans="2:7" ht="15" hidden="1" outlineLevel="2">
      <c r="B10669" s="2889" t="s">
        <v>1632</v>
      </c>
      <c r="C10669" s="2889" t="s">
        <v>1491</v>
      </c>
      <c r="D10669" s="2889" t="s">
        <v>1054</v>
      </c>
      <c r="E10669" s="2889" t="s">
        <v>1420</v>
      </c>
      <c r="F10669" s="2890">
        <v>5.6599289147902312E-3</v>
      </c>
      <c r="G10669" s="2890">
        <v>26.798697969955285</v>
      </c>
    </row>
    <row r="10670" spans="2:7" ht="15" hidden="1" outlineLevel="2">
      <c r="B10670" s="2889" t="s">
        <v>1632</v>
      </c>
      <c r="C10670" s="2889" t="s">
        <v>1492</v>
      </c>
      <c r="D10670" s="2889" t="s">
        <v>1054</v>
      </c>
      <c r="E10670" s="2889" t="s">
        <v>1420</v>
      </c>
      <c r="F10670" s="2890">
        <v>4.2074083354541403E-3</v>
      </c>
      <c r="G10670" s="2890">
        <v>44.973264451792168</v>
      </c>
    </row>
    <row r="10671" spans="2:7" ht="15" hidden="1" outlineLevel="2">
      <c r="B10671" s="2889" t="s">
        <v>1632</v>
      </c>
      <c r="C10671" s="2889" t="s">
        <v>1493</v>
      </c>
      <c r="D10671" s="2889" t="s">
        <v>1054</v>
      </c>
      <c r="E10671" s="2889" t="s">
        <v>1420</v>
      </c>
      <c r="F10671" s="2890">
        <v>3.1155142952454091E-3</v>
      </c>
      <c r="G10671" s="2890">
        <v>7.4399290363535435</v>
      </c>
    </row>
    <row r="10672" spans="2:7" ht="15" hidden="1" outlineLevel="2">
      <c r="B10672" s="2889" t="s">
        <v>1632</v>
      </c>
      <c r="C10672" s="2889" t="s">
        <v>1494</v>
      </c>
      <c r="D10672" s="2889" t="s">
        <v>1054</v>
      </c>
      <c r="E10672" s="2889" t="s">
        <v>1420</v>
      </c>
      <c r="F10672" s="2890">
        <v>8.4953396602479442E-4</v>
      </c>
      <c r="G10672" s="2890">
        <v>4.6620241763043149</v>
      </c>
    </row>
    <row r="10673" spans="2:7" ht="15" hidden="1" outlineLevel="2">
      <c r="B10673" s="2889" t="s">
        <v>1632</v>
      </c>
      <c r="C10673" s="2889" t="s">
        <v>1495</v>
      </c>
      <c r="D10673" s="2889" t="s">
        <v>1054</v>
      </c>
      <c r="E10673" s="2889" t="s">
        <v>1420</v>
      </c>
      <c r="F10673" s="2890">
        <v>1.8384498214086192E-2</v>
      </c>
      <c r="G10673" s="2890">
        <v>82.50204707244967</v>
      </c>
    </row>
    <row r="10674" spans="2:7" ht="15" hidden="1" outlineLevel="2">
      <c r="B10674" s="2889" t="s">
        <v>1632</v>
      </c>
      <c r="C10674" s="2889" t="s">
        <v>1496</v>
      </c>
      <c r="D10674" s="2889" t="s">
        <v>1054</v>
      </c>
      <c r="E10674" s="2889" t="s">
        <v>1420</v>
      </c>
      <c r="F10674" s="2890">
        <v>1.6678981022697353E-2</v>
      </c>
      <c r="G10674" s="2890">
        <v>29.705481581034668</v>
      </c>
    </row>
    <row r="10675" spans="2:7" ht="15" hidden="1" outlineLevel="2">
      <c r="B10675" s="2889" t="s">
        <v>1632</v>
      </c>
      <c r="C10675" s="2889" t="s">
        <v>1497</v>
      </c>
      <c r="D10675" s="2889" t="s">
        <v>1054</v>
      </c>
      <c r="E10675" s="2889" t="s">
        <v>1420</v>
      </c>
      <c r="F10675" s="2890">
        <v>4.6276491021284101E-3</v>
      </c>
      <c r="G10675" s="2890">
        <v>76.327631890619003</v>
      </c>
    </row>
    <row r="10676" spans="2:7" ht="15" hidden="1" outlineLevel="2">
      <c r="B10676" s="2889" t="s">
        <v>1632</v>
      </c>
      <c r="C10676" s="2889" t="s">
        <v>1498</v>
      </c>
      <c r="D10676" s="2889" t="s">
        <v>1054</v>
      </c>
      <c r="E10676" s="2889" t="s">
        <v>1420</v>
      </c>
      <c r="F10676" s="2890">
        <v>1.2649519286572125E-2</v>
      </c>
      <c r="G10676" s="2890">
        <v>30.40047111913</v>
      </c>
    </row>
    <row r="10677" spans="2:7" ht="15" hidden="1" outlineLevel="2">
      <c r="B10677" s="2889" t="s">
        <v>1632</v>
      </c>
      <c r="C10677" s="2889" t="s">
        <v>1499</v>
      </c>
      <c r="D10677" s="2889" t="s">
        <v>1054</v>
      </c>
      <c r="E10677" s="2889" t="s">
        <v>1420</v>
      </c>
      <c r="F10677" s="2890">
        <v>1.9319274794825964E-3</v>
      </c>
      <c r="G10677" s="2890">
        <v>4.8918821258522911</v>
      </c>
    </row>
    <row r="10678" spans="2:7" ht="15" hidden="1" outlineLevel="2">
      <c r="B10678" s="2889" t="s">
        <v>1632</v>
      </c>
      <c r="C10678" s="2889" t="s">
        <v>1500</v>
      </c>
      <c r="D10678" s="2889" t="s">
        <v>1054</v>
      </c>
      <c r="E10678" s="2889" t="s">
        <v>1420</v>
      </c>
      <c r="F10678" s="2890">
        <v>1.3993331017006306E-2</v>
      </c>
      <c r="G10678" s="2890">
        <v>52.919499204101001</v>
      </c>
    </row>
    <row r="10679" spans="2:7" ht="15" hidden="1" outlineLevel="2">
      <c r="B10679" s="2889" t="s">
        <v>1632</v>
      </c>
      <c r="C10679" s="2889" t="s">
        <v>1501</v>
      </c>
      <c r="D10679" s="2889" t="s">
        <v>1054</v>
      </c>
      <c r="E10679" s="2889" t="s">
        <v>1420</v>
      </c>
      <c r="F10679" s="2890">
        <v>1.7550667659350542E-2</v>
      </c>
      <c r="G10679" s="2890">
        <v>128.86175975732479</v>
      </c>
    </row>
    <row r="10680" spans="2:7" ht="15" hidden="1" outlineLevel="2">
      <c r="B10680" s="2889" t="s">
        <v>1632</v>
      </c>
      <c r="C10680" s="2889" t="s">
        <v>1502</v>
      </c>
      <c r="D10680" s="2889" t="s">
        <v>1054</v>
      </c>
      <c r="E10680" s="2889" t="s">
        <v>1420</v>
      </c>
      <c r="F10680" s="2890">
        <v>1.2246009446005386E-3</v>
      </c>
      <c r="G10680" s="2890">
        <v>13.461075001237262</v>
      </c>
    </row>
    <row r="10681" spans="2:7" ht="15" hidden="1" outlineLevel="2">
      <c r="B10681" s="2889" t="s">
        <v>1632</v>
      </c>
      <c r="C10681" s="2889" t="s">
        <v>1503</v>
      </c>
      <c r="D10681" s="2889" t="s">
        <v>1054</v>
      </c>
      <c r="E10681" s="2889" t="s">
        <v>1420</v>
      </c>
      <c r="F10681" s="2890">
        <v>4.0386219545652649E-2</v>
      </c>
      <c r="G10681" s="2890">
        <v>111.50667410764954</v>
      </c>
    </row>
    <row r="10682" spans="2:7" ht="15" hidden="1" outlineLevel="2">
      <c r="B10682" s="2889" t="s">
        <v>1632</v>
      </c>
      <c r="C10682" s="2889" t="s">
        <v>1504</v>
      </c>
      <c r="D10682" s="2889" t="s">
        <v>1054</v>
      </c>
      <c r="E10682" s="2889" t="s">
        <v>1420</v>
      </c>
      <c r="F10682" s="2890">
        <v>2.0832367998534444E-2</v>
      </c>
      <c r="G10682" s="2890">
        <v>46.112633988313753</v>
      </c>
    </row>
    <row r="10683" spans="2:7" ht="15" hidden="1" outlineLevel="2">
      <c r="B10683" s="2889" t="s">
        <v>1632</v>
      </c>
      <c r="C10683" s="2889" t="s">
        <v>1505</v>
      </c>
      <c r="D10683" s="2889" t="s">
        <v>1054</v>
      </c>
      <c r="E10683" s="2889" t="s">
        <v>1423</v>
      </c>
      <c r="F10683" s="2890">
        <v>5.9076043619418366E-2</v>
      </c>
      <c r="G10683" s="2890">
        <v>1.4620046933460145</v>
      </c>
    </row>
    <row r="10684" spans="2:7" ht="15" hidden="1" outlineLevel="2">
      <c r="B10684" s="2889" t="s">
        <v>1632</v>
      </c>
      <c r="C10684" s="2889" t="s">
        <v>1506</v>
      </c>
      <c r="D10684" s="2889" t="s">
        <v>1054</v>
      </c>
      <c r="E10684" s="2889" t="s">
        <v>1426</v>
      </c>
      <c r="F10684" s="2891"/>
      <c r="G10684" s="2890">
        <v>4340.8615878848386</v>
      </c>
    </row>
    <row r="10685" spans="2:7" ht="15" hidden="1" outlineLevel="2">
      <c r="B10685" s="2889" t="s">
        <v>1632</v>
      </c>
      <c r="C10685" s="2889" t="s">
        <v>1507</v>
      </c>
      <c r="D10685" s="2889" t="s">
        <v>1054</v>
      </c>
      <c r="E10685" s="2889" t="s">
        <v>1426</v>
      </c>
      <c r="F10685" s="2891"/>
      <c r="G10685" s="2890">
        <v>7.075898716159438</v>
      </c>
    </row>
    <row r="10686" spans="2:7" ht="15" hidden="1" outlineLevel="2">
      <c r="B10686" s="2889" t="s">
        <v>1632</v>
      </c>
      <c r="C10686" s="2889" t="s">
        <v>1508</v>
      </c>
      <c r="D10686" s="2889" t="s">
        <v>1054</v>
      </c>
      <c r="E10686" s="2889" t="s">
        <v>1426</v>
      </c>
      <c r="F10686" s="2891"/>
      <c r="G10686" s="2890">
        <v>116.57292280712215</v>
      </c>
    </row>
    <row r="10687" spans="2:7" ht="15" hidden="1" outlineLevel="2">
      <c r="B10687" s="2889" t="s">
        <v>1632</v>
      </c>
      <c r="C10687" s="2889" t="s">
        <v>1509</v>
      </c>
      <c r="D10687" s="2889" t="s">
        <v>1054</v>
      </c>
      <c r="E10687" s="2889" t="s">
        <v>1426</v>
      </c>
      <c r="F10687" s="2891"/>
      <c r="G10687" s="2890">
        <v>10865.686254759386</v>
      </c>
    </row>
    <row r="10688" spans="2:7" ht="15" hidden="1" outlineLevel="2">
      <c r="B10688" s="2889" t="s">
        <v>1632</v>
      </c>
      <c r="C10688" s="2889" t="s">
        <v>1510</v>
      </c>
      <c r="D10688" s="2889" t="s">
        <v>1054</v>
      </c>
      <c r="E10688" s="2889" t="s">
        <v>1426</v>
      </c>
      <c r="F10688" s="2891"/>
      <c r="G10688" s="2890">
        <v>11819.579543334396</v>
      </c>
    </row>
    <row r="10689" spans="2:7" ht="15" hidden="1" outlineLevel="2">
      <c r="B10689" s="2889" t="s">
        <v>1632</v>
      </c>
      <c r="C10689" s="2889" t="s">
        <v>1511</v>
      </c>
      <c r="D10689" s="2889" t="s">
        <v>1054</v>
      </c>
      <c r="E10689" s="2889" t="s">
        <v>1426</v>
      </c>
      <c r="F10689" s="2891"/>
      <c r="G10689" s="2890">
        <v>651.18100201690174</v>
      </c>
    </row>
    <row r="10690" spans="2:7" ht="15" hidden="1" outlineLevel="2">
      <c r="B10690" s="2889" t="s">
        <v>1632</v>
      </c>
      <c r="C10690" s="2889" t="s">
        <v>1512</v>
      </c>
      <c r="D10690" s="2889" t="s">
        <v>1054</v>
      </c>
      <c r="E10690" s="2889" t="s">
        <v>1426</v>
      </c>
      <c r="F10690" s="2891"/>
      <c r="G10690" s="2890">
        <v>401.92830682243039</v>
      </c>
    </row>
    <row r="10691" spans="2:7" ht="15" hidden="1" outlineLevel="2">
      <c r="B10691" s="2889" t="s">
        <v>1632</v>
      </c>
      <c r="C10691" s="2889" t="s">
        <v>1513</v>
      </c>
      <c r="D10691" s="2889" t="s">
        <v>1054</v>
      </c>
      <c r="E10691" s="2889" t="s">
        <v>1426</v>
      </c>
      <c r="F10691" s="2891"/>
      <c r="G10691" s="2890">
        <v>1200.1375095642529</v>
      </c>
    </row>
    <row r="10692" spans="2:7" ht="15" hidden="1" outlineLevel="2">
      <c r="B10692" s="2889" t="s">
        <v>1632</v>
      </c>
      <c r="C10692" s="2889" t="s">
        <v>1514</v>
      </c>
      <c r="D10692" s="2889" t="s">
        <v>1054</v>
      </c>
      <c r="E10692" s="2889" t="s">
        <v>1426</v>
      </c>
      <c r="F10692" s="2891"/>
      <c r="G10692" s="2890">
        <v>5154.8242571513438</v>
      </c>
    </row>
    <row r="10693" spans="2:7" ht="15" hidden="1" outlineLevel="2">
      <c r="B10693" s="2889" t="s">
        <v>1632</v>
      </c>
      <c r="C10693" s="2889" t="s">
        <v>1515</v>
      </c>
      <c r="D10693" s="2889" t="s">
        <v>1054</v>
      </c>
      <c r="E10693" s="2889" t="s">
        <v>1426</v>
      </c>
      <c r="F10693" s="2891"/>
      <c r="G10693" s="2890">
        <v>4432.5462912108806</v>
      </c>
    </row>
    <row r="10694" spans="2:7" ht="15" hidden="1" outlineLevel="2">
      <c r="B10694" s="2889" t="s">
        <v>1632</v>
      </c>
      <c r="C10694" s="2889" t="s">
        <v>1516</v>
      </c>
      <c r="D10694" s="2889" t="s">
        <v>1054</v>
      </c>
      <c r="E10694" s="2889" t="s">
        <v>1426</v>
      </c>
      <c r="F10694" s="2891"/>
      <c r="G10694" s="2890">
        <v>44034.451121293561</v>
      </c>
    </row>
    <row r="10695" spans="2:7" ht="15" hidden="1" outlineLevel="2">
      <c r="B10695" s="2889" t="s">
        <v>1632</v>
      </c>
      <c r="C10695" s="2889" t="s">
        <v>1517</v>
      </c>
      <c r="D10695" s="2889" t="s">
        <v>1054</v>
      </c>
      <c r="E10695" s="2889" t="s">
        <v>1426</v>
      </c>
      <c r="F10695" s="2891"/>
      <c r="G10695" s="2890">
        <v>365.26378802437659</v>
      </c>
    </row>
    <row r="10696" spans="2:7" ht="15" hidden="1" outlineLevel="2">
      <c r="B10696" s="2889" t="s">
        <v>1632</v>
      </c>
      <c r="C10696" s="2889" t="s">
        <v>1518</v>
      </c>
      <c r="D10696" s="2889" t="s">
        <v>1054</v>
      </c>
      <c r="E10696" s="2889" t="s">
        <v>1426</v>
      </c>
      <c r="F10696" s="2891"/>
      <c r="G10696" s="2890">
        <v>172.53078658474323</v>
      </c>
    </row>
    <row r="10697" spans="2:7" ht="15" hidden="1" outlineLevel="2">
      <c r="B10697" s="2889" t="s">
        <v>1632</v>
      </c>
      <c r="C10697" s="2889" t="s">
        <v>1519</v>
      </c>
      <c r="D10697" s="2889" t="s">
        <v>1054</v>
      </c>
      <c r="E10697" s="2889" t="s">
        <v>1426</v>
      </c>
      <c r="F10697" s="2891"/>
      <c r="G10697" s="2890">
        <v>10057.089058205491</v>
      </c>
    </row>
    <row r="10698" spans="2:7" ht="15" hidden="1" outlineLevel="2">
      <c r="B10698" s="2889" t="s">
        <v>1632</v>
      </c>
      <c r="C10698" s="2889" t="s">
        <v>1520</v>
      </c>
      <c r="D10698" s="2889" t="s">
        <v>1054</v>
      </c>
      <c r="E10698" s="2889" t="s">
        <v>1426</v>
      </c>
      <c r="F10698" s="2891"/>
      <c r="G10698" s="2890">
        <v>10955.500315579371</v>
      </c>
    </row>
    <row r="10699" spans="2:7" ht="15" hidden="1" outlineLevel="2">
      <c r="B10699" s="2889" t="s">
        <v>1632</v>
      </c>
      <c r="C10699" s="2889" t="s">
        <v>1521</v>
      </c>
      <c r="D10699" s="2889" t="s">
        <v>1054</v>
      </c>
      <c r="E10699" s="2889" t="s">
        <v>1426</v>
      </c>
      <c r="F10699" s="2891"/>
      <c r="G10699" s="2890">
        <v>37662.398357990955</v>
      </c>
    </row>
    <row r="10700" spans="2:7" ht="15" hidden="1" outlineLevel="2">
      <c r="B10700" s="2889" t="s">
        <v>1632</v>
      </c>
      <c r="C10700" s="2889" t="s">
        <v>1522</v>
      </c>
      <c r="D10700" s="2889" t="s">
        <v>1054</v>
      </c>
      <c r="E10700" s="2889" t="s">
        <v>1426</v>
      </c>
      <c r="F10700" s="2891"/>
      <c r="G10700" s="2890">
        <v>1773.0934023088735</v>
      </c>
    </row>
    <row r="10701" spans="2:7" ht="15" hidden="1" outlineLevel="2">
      <c r="B10701" s="2889" t="s">
        <v>1632</v>
      </c>
      <c r="C10701" s="2889" t="s">
        <v>1523</v>
      </c>
      <c r="D10701" s="2889" t="s">
        <v>1054</v>
      </c>
      <c r="E10701" s="2889" t="s">
        <v>1426</v>
      </c>
      <c r="F10701" s="2891"/>
      <c r="G10701" s="2890">
        <v>14094.901524241084</v>
      </c>
    </row>
    <row r="10702" spans="2:7" ht="15" hidden="1" outlineLevel="2">
      <c r="B10702" s="2889" t="s">
        <v>1632</v>
      </c>
      <c r="C10702" s="2889" t="s">
        <v>1524</v>
      </c>
      <c r="D10702" s="2889" t="s">
        <v>1054</v>
      </c>
      <c r="E10702" s="2889" t="s">
        <v>1426</v>
      </c>
      <c r="F10702" s="2891"/>
      <c r="G10702" s="2890">
        <v>47929.667453317255</v>
      </c>
    </row>
    <row r="10703" spans="2:7" ht="15" hidden="1" outlineLevel="2">
      <c r="B10703" s="2889" t="s">
        <v>1632</v>
      </c>
      <c r="C10703" s="2889" t="s">
        <v>1525</v>
      </c>
      <c r="D10703" s="2889" t="s">
        <v>1054</v>
      </c>
      <c r="E10703" s="2889" t="s">
        <v>1426</v>
      </c>
      <c r="F10703" s="2891"/>
      <c r="G10703" s="2890">
        <v>29066.441121095057</v>
      </c>
    </row>
    <row r="10704" spans="2:7" ht="15" hidden="1" outlineLevel="2">
      <c r="B10704" s="2889" t="s">
        <v>1632</v>
      </c>
      <c r="C10704" s="2889" t="s">
        <v>1526</v>
      </c>
      <c r="D10704" s="2889" t="s">
        <v>1054</v>
      </c>
      <c r="E10704" s="2889" t="s">
        <v>1426</v>
      </c>
      <c r="F10704" s="2891"/>
      <c r="G10704" s="2890">
        <v>43865.019118059507</v>
      </c>
    </row>
    <row r="10705" spans="2:7" ht="15" hidden="1" outlineLevel="2">
      <c r="B10705" s="2889" t="s">
        <v>1632</v>
      </c>
      <c r="C10705" s="2889" t="s">
        <v>1527</v>
      </c>
      <c r="D10705" s="2889" t="s">
        <v>1054</v>
      </c>
      <c r="E10705" s="2889" t="s">
        <v>1426</v>
      </c>
      <c r="F10705" s="2891"/>
      <c r="G10705" s="2890">
        <v>19930.598339018226</v>
      </c>
    </row>
    <row r="10706" spans="2:7" ht="15" hidden="1" outlineLevel="2">
      <c r="B10706" s="2889" t="s">
        <v>1632</v>
      </c>
      <c r="C10706" s="2889" t="s">
        <v>1528</v>
      </c>
      <c r="D10706" s="2889" t="s">
        <v>1054</v>
      </c>
      <c r="E10706" s="2889" t="s">
        <v>1426</v>
      </c>
      <c r="F10706" s="2891"/>
      <c r="G10706" s="2890">
        <v>4718.2053722333612</v>
      </c>
    </row>
    <row r="10707" spans="2:7" ht="15" hidden="1" outlineLevel="2">
      <c r="B10707" s="2889" t="s">
        <v>1632</v>
      </c>
      <c r="C10707" s="2889" t="s">
        <v>1529</v>
      </c>
      <c r="D10707" s="2889" t="s">
        <v>1054</v>
      </c>
      <c r="E10707" s="2889" t="s">
        <v>1426</v>
      </c>
      <c r="F10707" s="2891"/>
      <c r="G10707" s="2890">
        <v>61.407701383533713</v>
      </c>
    </row>
    <row r="10708" spans="2:7" ht="15" hidden="1" outlineLevel="2">
      <c r="B10708" s="2889" t="s">
        <v>1632</v>
      </c>
      <c r="C10708" s="2889" t="s">
        <v>1530</v>
      </c>
      <c r="D10708" s="2889" t="s">
        <v>1054</v>
      </c>
      <c r="E10708" s="2889" t="s">
        <v>1426</v>
      </c>
      <c r="F10708" s="2891"/>
      <c r="G10708" s="2890">
        <v>4521.1616269132219</v>
      </c>
    </row>
    <row r="10709" spans="2:7" ht="15" hidden="1" outlineLevel="2">
      <c r="B10709" s="2889" t="s">
        <v>1632</v>
      </c>
      <c r="C10709" s="2889" t="s">
        <v>1531</v>
      </c>
      <c r="D10709" s="2889" t="s">
        <v>1106</v>
      </c>
      <c r="E10709" s="2889" t="s">
        <v>217</v>
      </c>
      <c r="F10709" s="2890">
        <v>2.2926257519966125E-3</v>
      </c>
      <c r="G10709" s="2890">
        <v>1.0277793808908262</v>
      </c>
    </row>
    <row r="10710" spans="2:7" ht="15" hidden="1" outlineLevel="2">
      <c r="B10710" s="2889" t="s">
        <v>1632</v>
      </c>
      <c r="C10710" s="2889" t="s">
        <v>1532</v>
      </c>
      <c r="D10710" s="2889" t="s">
        <v>1106</v>
      </c>
      <c r="E10710" s="2889" t="s">
        <v>217</v>
      </c>
      <c r="F10710" s="2890">
        <v>1.805645031727217E-4</v>
      </c>
      <c r="G10710" s="2890">
        <v>8.0946620552983115E-2</v>
      </c>
    </row>
    <row r="10711" spans="2:7" ht="15" hidden="1" outlineLevel="2">
      <c r="B10711" s="2889" t="s">
        <v>1632</v>
      </c>
      <c r="C10711" s="2889" t="s">
        <v>1533</v>
      </c>
      <c r="D10711" s="2889" t="s">
        <v>1106</v>
      </c>
      <c r="E10711" s="2889" t="s">
        <v>217</v>
      </c>
      <c r="F10711" s="2890">
        <v>0.11752235067220348</v>
      </c>
      <c r="G10711" s="2890">
        <v>125.01342704825485</v>
      </c>
    </row>
    <row r="10712" spans="2:7" ht="15" hidden="1" outlineLevel="2">
      <c r="B10712" s="2889" t="s">
        <v>1632</v>
      </c>
      <c r="C10712" s="2889" t="s">
        <v>1534</v>
      </c>
      <c r="D10712" s="2889" t="s">
        <v>1106</v>
      </c>
      <c r="E10712" s="2889" t="s">
        <v>217</v>
      </c>
      <c r="F10712" s="2890">
        <v>0.10685348586416167</v>
      </c>
      <c r="G10712" s="2890">
        <v>370.1985804071499</v>
      </c>
    </row>
    <row r="10713" spans="2:7" ht="15" hidden="1" outlineLevel="2">
      <c r="B10713" s="2889" t="s">
        <v>1632</v>
      </c>
      <c r="C10713" s="2889" t="s">
        <v>1535</v>
      </c>
      <c r="D10713" s="2889" t="s">
        <v>1106</v>
      </c>
      <c r="E10713" s="2889" t="s">
        <v>217</v>
      </c>
      <c r="F10713" s="2890">
        <v>3.9979932605677303E-2</v>
      </c>
      <c r="G10713" s="2890">
        <v>93.494512899630834</v>
      </c>
    </row>
    <row r="10714" spans="2:7" ht="15" hidden="1" outlineLevel="2">
      <c r="B10714" s="2889" t="s">
        <v>1632</v>
      </c>
      <c r="C10714" s="2889" t="s">
        <v>1536</v>
      </c>
      <c r="D10714" s="2889" t="s">
        <v>1106</v>
      </c>
      <c r="E10714" s="2889" t="s">
        <v>217</v>
      </c>
      <c r="F10714" s="2890">
        <v>0.13413638830087166</v>
      </c>
      <c r="G10714" s="2890">
        <v>174.26948456430253</v>
      </c>
    </row>
    <row r="10715" spans="2:7" ht="15" hidden="1" outlineLevel="2">
      <c r="B10715" s="2889" t="s">
        <v>1632</v>
      </c>
      <c r="C10715" s="2889" t="s">
        <v>1537</v>
      </c>
      <c r="D10715" s="2889" t="s">
        <v>1106</v>
      </c>
      <c r="E10715" s="2889" t="s">
        <v>217</v>
      </c>
      <c r="F10715" s="2890">
        <v>7.507981179712425E-3</v>
      </c>
      <c r="G10715" s="2890">
        <v>8.5623303903819217</v>
      </c>
    </row>
    <row r="10716" spans="2:7" ht="15" hidden="1" outlineLevel="2">
      <c r="B10716" s="2889" t="s">
        <v>1632</v>
      </c>
      <c r="C10716" s="2889" t="s">
        <v>1538</v>
      </c>
      <c r="D10716" s="2889" t="s">
        <v>1106</v>
      </c>
      <c r="E10716" s="2889" t="s">
        <v>217</v>
      </c>
      <c r="F10716" s="2890">
        <v>3.9028893072190563E-3</v>
      </c>
      <c r="G10716" s="2890">
        <v>5.257269334617428</v>
      </c>
    </row>
    <row r="10717" spans="2:7" ht="15" hidden="1" outlineLevel="2">
      <c r="B10717" s="2889" t="s">
        <v>1632</v>
      </c>
      <c r="C10717" s="2889" t="s">
        <v>1539</v>
      </c>
      <c r="D10717" s="2889" t="s">
        <v>1106</v>
      </c>
      <c r="E10717" s="2889" t="s">
        <v>217</v>
      </c>
      <c r="F10717" s="2890">
        <v>2.9502096061902881E-3</v>
      </c>
      <c r="G10717" s="2890">
        <v>37.748636254183637</v>
      </c>
    </row>
    <row r="10718" spans="2:7" ht="15" hidden="1" outlineLevel="2">
      <c r="B10718" s="2889" t="s">
        <v>1632</v>
      </c>
      <c r="C10718" s="2889" t="s">
        <v>1540</v>
      </c>
      <c r="D10718" s="2889" t="s">
        <v>1106</v>
      </c>
      <c r="E10718" s="2889" t="s">
        <v>1420</v>
      </c>
      <c r="F10718" s="2890">
        <v>0.13050580945821066</v>
      </c>
      <c r="G10718" s="2890">
        <v>316.69431884363593</v>
      </c>
    </row>
    <row r="10719" spans="2:7" ht="15" hidden="1" outlineLevel="2">
      <c r="B10719" s="2889" t="s">
        <v>1632</v>
      </c>
      <c r="C10719" s="2889" t="s">
        <v>1541</v>
      </c>
      <c r="D10719" s="2889" t="s">
        <v>1106</v>
      </c>
      <c r="E10719" s="2889" t="s">
        <v>1420</v>
      </c>
      <c r="F10719" s="2890">
        <v>3.8032456814703237</v>
      </c>
      <c r="G10719" s="2890">
        <v>28000.665075367171</v>
      </c>
    </row>
    <row r="10720" spans="2:7" ht="15" hidden="1" outlineLevel="2">
      <c r="B10720" s="2889" t="s">
        <v>1632</v>
      </c>
      <c r="C10720" s="2889" t="s">
        <v>1542</v>
      </c>
      <c r="D10720" s="2889" t="s">
        <v>1106</v>
      </c>
      <c r="E10720" s="2889" t="s">
        <v>1420</v>
      </c>
      <c r="F10720" s="2890">
        <v>1.8498777830948668E-2</v>
      </c>
      <c r="G10720" s="2890">
        <v>211.68556849804608</v>
      </c>
    </row>
    <row r="10721" spans="2:7" ht="15" hidden="1" outlineLevel="2">
      <c r="B10721" s="2889" t="s">
        <v>1632</v>
      </c>
      <c r="C10721" s="2889" t="s">
        <v>1543</v>
      </c>
      <c r="D10721" s="2889" t="s">
        <v>1106</v>
      </c>
      <c r="E10721" s="2889" t="s">
        <v>1420</v>
      </c>
      <c r="F10721" s="2890">
        <v>6.7035007594920364E-3</v>
      </c>
      <c r="G10721" s="2890">
        <v>65.612711760304393</v>
      </c>
    </row>
    <row r="10722" spans="2:7" ht="15" hidden="1" outlineLevel="2">
      <c r="B10722" s="2889" t="s">
        <v>1632</v>
      </c>
      <c r="C10722" s="2889" t="s">
        <v>1544</v>
      </c>
      <c r="D10722" s="2889" t="s">
        <v>1106</v>
      </c>
      <c r="E10722" s="2889" t="s">
        <v>1420</v>
      </c>
      <c r="F10722" s="2890">
        <v>6.4793189664884929E-3</v>
      </c>
      <c r="G10722" s="2890">
        <v>16.929225060670852</v>
      </c>
    </row>
    <row r="10723" spans="2:7" ht="15" hidden="1" outlineLevel="2">
      <c r="B10723" s="2889" t="s">
        <v>1632</v>
      </c>
      <c r="C10723" s="2889" t="s">
        <v>1545</v>
      </c>
      <c r="D10723" s="2889" t="s">
        <v>1106</v>
      </c>
      <c r="E10723" s="2889" t="s">
        <v>1420</v>
      </c>
      <c r="F10723" s="2890">
        <v>6.479582503000493E-3</v>
      </c>
      <c r="G10723" s="2890">
        <v>128.7666317040202</v>
      </c>
    </row>
    <row r="10724" spans="2:7" ht="15" hidden="1" outlineLevel="2">
      <c r="B10724" s="2889" t="s">
        <v>1632</v>
      </c>
      <c r="C10724" s="2889" t="s">
        <v>1546</v>
      </c>
      <c r="D10724" s="2889" t="s">
        <v>1106</v>
      </c>
      <c r="E10724" s="2889" t="s">
        <v>1423</v>
      </c>
      <c r="F10724" s="2890">
        <v>19.641874886445571</v>
      </c>
      <c r="G10724" s="2890">
        <v>1652.9765598251404</v>
      </c>
    </row>
    <row r="10725" spans="2:7" ht="15" hidden="1" outlineLevel="2">
      <c r="B10725" s="2889" t="s">
        <v>1632</v>
      </c>
      <c r="C10725" s="2889" t="s">
        <v>1547</v>
      </c>
      <c r="D10725" s="2889" t="s">
        <v>1106</v>
      </c>
      <c r="E10725" s="2889" t="s">
        <v>1423</v>
      </c>
      <c r="F10725" s="2890">
        <v>2.1453937397864074E-2</v>
      </c>
      <c r="G10725" s="2890">
        <v>1.8786678090232631</v>
      </c>
    </row>
    <row r="10726" spans="2:7" ht="15" hidden="1" outlineLevel="2">
      <c r="B10726" s="2889" t="s">
        <v>1632</v>
      </c>
      <c r="C10726" s="2889" t="s">
        <v>1548</v>
      </c>
      <c r="D10726" s="2889" t="s">
        <v>1106</v>
      </c>
      <c r="E10726" s="2889" t="s">
        <v>1423</v>
      </c>
      <c r="F10726" s="2890">
        <v>1.0010396266193492E-2</v>
      </c>
      <c r="G10726" s="2890">
        <v>1.0259622047491872</v>
      </c>
    </row>
    <row r="10727" spans="2:7" ht="15" hidden="1" outlineLevel="2">
      <c r="B10727" s="2889" t="s">
        <v>1632</v>
      </c>
      <c r="C10727" s="2889" t="s">
        <v>1549</v>
      </c>
      <c r="D10727" s="2889" t="s">
        <v>1106</v>
      </c>
      <c r="E10727" s="2889" t="s">
        <v>1423</v>
      </c>
      <c r="F10727" s="2890">
        <v>5.0397591695737681E-2</v>
      </c>
      <c r="G10727" s="2890">
        <v>4.9628529483172565</v>
      </c>
    </row>
    <row r="10728" spans="2:7" ht="15" hidden="1" outlineLevel="2">
      <c r="B10728" s="2889" t="s">
        <v>1632</v>
      </c>
      <c r="C10728" s="2889" t="s">
        <v>1550</v>
      </c>
      <c r="D10728" s="2889" t="s">
        <v>1106</v>
      </c>
      <c r="E10728" s="2889" t="s">
        <v>1423</v>
      </c>
      <c r="F10728" s="2890">
        <v>3.4089813644482242E-2</v>
      </c>
      <c r="G10728" s="2890">
        <v>7.6660520537387367</v>
      </c>
    </row>
    <row r="10729" spans="2:7" ht="15" hidden="1" outlineLevel="2">
      <c r="B10729" s="2889" t="s">
        <v>1632</v>
      </c>
      <c r="C10729" s="2889" t="s">
        <v>1551</v>
      </c>
      <c r="D10729" s="2889" t="s">
        <v>1106</v>
      </c>
      <c r="E10729" s="2889" t="s">
        <v>1426</v>
      </c>
      <c r="F10729" s="2891"/>
      <c r="G10729" s="2890">
        <v>515.24905438901851</v>
      </c>
    </row>
    <row r="10730" spans="2:7" ht="15" hidden="1" outlineLevel="2">
      <c r="B10730" s="2889" t="s">
        <v>1632</v>
      </c>
      <c r="C10730" s="2889" t="s">
        <v>1552</v>
      </c>
      <c r="D10730" s="2889" t="s">
        <v>1106</v>
      </c>
      <c r="E10730" s="2889" t="s">
        <v>1426</v>
      </c>
      <c r="F10730" s="2891"/>
      <c r="G10730" s="2890">
        <v>7476.561428363455</v>
      </c>
    </row>
    <row r="10731" spans="2:7" ht="15" hidden="1" outlineLevel="2">
      <c r="B10731" s="2889" t="s">
        <v>1632</v>
      </c>
      <c r="C10731" s="2889" t="s">
        <v>1553</v>
      </c>
      <c r="D10731" s="2889" t="s">
        <v>1106</v>
      </c>
      <c r="E10731" s="2889" t="s">
        <v>1426</v>
      </c>
      <c r="F10731" s="2891"/>
      <c r="G10731" s="2890">
        <v>3263.2725568514738</v>
      </c>
    </row>
    <row r="10732" spans="2:7" ht="15" hidden="1" outlineLevel="2">
      <c r="B10732" s="2889" t="s">
        <v>1632</v>
      </c>
      <c r="C10732" s="2889" t="s">
        <v>1554</v>
      </c>
      <c r="D10732" s="2889" t="s">
        <v>1106</v>
      </c>
      <c r="E10732" s="2889" t="s">
        <v>1426</v>
      </c>
      <c r="F10732" s="2891"/>
      <c r="G10732" s="2890">
        <v>3312.1855242036368</v>
      </c>
    </row>
    <row r="10733" spans="2:7" ht="15" hidden="1" outlineLevel="2">
      <c r="B10733" s="2889" t="s">
        <v>1632</v>
      </c>
      <c r="C10733" s="2889" t="s">
        <v>1555</v>
      </c>
      <c r="D10733" s="2889" t="s">
        <v>1106</v>
      </c>
      <c r="E10733" s="2889" t="s">
        <v>1426</v>
      </c>
      <c r="F10733" s="2891"/>
      <c r="G10733" s="2890">
        <v>127.33219968834945</v>
      </c>
    </row>
    <row r="10734" spans="2:7" ht="15" hidden="1" outlineLevel="2">
      <c r="B10734" s="2889" t="s">
        <v>1632</v>
      </c>
      <c r="C10734" s="2889" t="s">
        <v>1556</v>
      </c>
      <c r="D10734" s="2889" t="s">
        <v>1106</v>
      </c>
      <c r="E10734" s="2889" t="s">
        <v>1426</v>
      </c>
      <c r="F10734" s="2891"/>
      <c r="G10734" s="2890">
        <v>14435.690907101165</v>
      </c>
    </row>
    <row r="10735" spans="2:7" ht="15" hidden="1" outlineLevel="2">
      <c r="B10735" s="2889" t="s">
        <v>1632</v>
      </c>
      <c r="C10735" s="2889" t="s">
        <v>1557</v>
      </c>
      <c r="D10735" s="2889" t="s">
        <v>1106</v>
      </c>
      <c r="E10735" s="2889" t="s">
        <v>1426</v>
      </c>
      <c r="F10735" s="2891"/>
      <c r="G10735" s="2890">
        <v>4707.0697407743173</v>
      </c>
    </row>
    <row r="10736" spans="2:7" ht="15" hidden="1" outlineLevel="2">
      <c r="B10736" s="2889" t="s">
        <v>1632</v>
      </c>
      <c r="C10736" s="2889" t="s">
        <v>1558</v>
      </c>
      <c r="D10736" s="2889" t="s">
        <v>1559</v>
      </c>
      <c r="E10736" s="2889" t="s">
        <v>217</v>
      </c>
      <c r="F10736" s="2890">
        <v>5.8668646980978123E-2</v>
      </c>
      <c r="G10736" s="2890">
        <v>32.130000750932687</v>
      </c>
    </row>
    <row r="10737" spans="2:7" ht="15" hidden="1" outlineLevel="2">
      <c r="B10737" s="2889" t="s">
        <v>1632</v>
      </c>
      <c r="C10737" s="2889" t="s">
        <v>1560</v>
      </c>
      <c r="D10737" s="2889" t="s">
        <v>1559</v>
      </c>
      <c r="E10737" s="2889" t="s">
        <v>217</v>
      </c>
      <c r="F10737" s="2890">
        <v>0.34944850716245723</v>
      </c>
      <c r="G10737" s="2890">
        <v>188.58753859034374</v>
      </c>
    </row>
    <row r="10738" spans="2:7" ht="15" hidden="1" outlineLevel="2">
      <c r="B10738" s="2889" t="s">
        <v>1632</v>
      </c>
      <c r="C10738" s="2889" t="s">
        <v>1561</v>
      </c>
      <c r="D10738" s="2889" t="s">
        <v>1559</v>
      </c>
      <c r="E10738" s="2889" t="s">
        <v>217</v>
      </c>
      <c r="F10738" s="2890">
        <v>0.84176923743124532</v>
      </c>
      <c r="G10738" s="2890">
        <v>438.9223020432799</v>
      </c>
    </row>
    <row r="10739" spans="2:7" ht="15" hidden="1" outlineLevel="2">
      <c r="B10739" s="2889" t="s">
        <v>1632</v>
      </c>
      <c r="C10739" s="2889" t="s">
        <v>1562</v>
      </c>
      <c r="D10739" s="2889" t="s">
        <v>1559</v>
      </c>
      <c r="E10739" s="2889" t="s">
        <v>217</v>
      </c>
      <c r="F10739" s="2890">
        <v>3.8276304941663843</v>
      </c>
      <c r="G10739" s="2890">
        <v>2098.7766237009005</v>
      </c>
    </row>
    <row r="10740" spans="2:7" ht="15" hidden="1" outlineLevel="2">
      <c r="B10740" s="2889" t="s">
        <v>1632</v>
      </c>
      <c r="C10740" s="2889" t="s">
        <v>1563</v>
      </c>
      <c r="D10740" s="2889" t="s">
        <v>1559</v>
      </c>
      <c r="E10740" s="2889" t="s">
        <v>217</v>
      </c>
      <c r="F10740" s="2890">
        <v>1.0379425401120674</v>
      </c>
      <c r="G10740" s="2890">
        <v>611.65941814167695</v>
      </c>
    </row>
    <row r="10741" spans="2:7" ht="15" hidden="1" outlineLevel="2">
      <c r="B10741" s="2889" t="s">
        <v>1632</v>
      </c>
      <c r="C10741" s="2889" t="s">
        <v>1564</v>
      </c>
      <c r="D10741" s="2889" t="s">
        <v>1559</v>
      </c>
      <c r="E10741" s="2889" t="s">
        <v>217</v>
      </c>
      <c r="F10741" s="2890">
        <v>3.6145035107630936</v>
      </c>
      <c r="G10741" s="2890">
        <v>1830.09783824186</v>
      </c>
    </row>
    <row r="10742" spans="2:7" ht="15" hidden="1" outlineLevel="2">
      <c r="B10742" s="2889" t="s">
        <v>1632</v>
      </c>
      <c r="C10742" s="2889" t="s">
        <v>1565</v>
      </c>
      <c r="D10742" s="2889" t="s">
        <v>1559</v>
      </c>
      <c r="E10742" s="2889" t="s">
        <v>217</v>
      </c>
      <c r="F10742" s="2890">
        <v>0.73160744738203065</v>
      </c>
      <c r="G10742" s="2890">
        <v>393.66259090017599</v>
      </c>
    </row>
    <row r="10743" spans="2:7" ht="15" hidden="1" outlineLevel="2">
      <c r="B10743" s="2889" t="s">
        <v>1632</v>
      </c>
      <c r="C10743" s="2889" t="s">
        <v>1566</v>
      </c>
      <c r="D10743" s="2889" t="s">
        <v>1559</v>
      </c>
      <c r="E10743" s="2889" t="s">
        <v>217</v>
      </c>
      <c r="F10743" s="2890">
        <v>3.1901987332675223</v>
      </c>
      <c r="G10743" s="2890">
        <v>1708.8762696834744</v>
      </c>
    </row>
    <row r="10744" spans="2:7" ht="15" hidden="1" outlineLevel="2">
      <c r="B10744" s="2889" t="s">
        <v>1632</v>
      </c>
      <c r="C10744" s="2889" t="s">
        <v>1567</v>
      </c>
      <c r="D10744" s="2889" t="s">
        <v>1559</v>
      </c>
      <c r="E10744" s="2889" t="s">
        <v>217</v>
      </c>
      <c r="F10744" s="2890">
        <v>1.2728762363362254</v>
      </c>
      <c r="G10744" s="2890">
        <v>187.36077369212845</v>
      </c>
    </row>
    <row r="10745" spans="2:7" ht="15" hidden="1" outlineLevel="2">
      <c r="B10745" s="2889" t="s">
        <v>1632</v>
      </c>
      <c r="C10745" s="2889" t="s">
        <v>1568</v>
      </c>
      <c r="D10745" s="2889" t="s">
        <v>1559</v>
      </c>
      <c r="E10745" s="2889" t="s">
        <v>217</v>
      </c>
      <c r="F10745" s="2890">
        <v>3.7097983509280494</v>
      </c>
      <c r="G10745" s="2890">
        <v>546.06868812869993</v>
      </c>
    </row>
    <row r="10746" spans="2:7" ht="15" hidden="1" outlineLevel="2">
      <c r="B10746" s="2889" t="s">
        <v>1632</v>
      </c>
      <c r="C10746" s="2889" t="s">
        <v>1569</v>
      </c>
      <c r="D10746" s="2889" t="s">
        <v>1559</v>
      </c>
      <c r="E10746" s="2889" t="s">
        <v>217</v>
      </c>
      <c r="F10746" s="2890">
        <v>1.562886253024141E-3</v>
      </c>
      <c r="G10746" s="2890">
        <v>0.78110193225954994</v>
      </c>
    </row>
    <row r="10747" spans="2:7" ht="15" hidden="1" outlineLevel="2">
      <c r="B10747" s="2889" t="s">
        <v>1632</v>
      </c>
      <c r="C10747" s="2889" t="s">
        <v>1570</v>
      </c>
      <c r="D10747" s="2889" t="s">
        <v>1559</v>
      </c>
      <c r="E10747" s="2889" t="s">
        <v>217</v>
      </c>
      <c r="F10747" s="2890">
        <v>8.8576080613081398</v>
      </c>
      <c r="G10747" s="2890">
        <v>5483.465092252236</v>
      </c>
    </row>
    <row r="10748" spans="2:7" ht="15" hidden="1" outlineLevel="2">
      <c r="B10748" s="2889" t="s">
        <v>1632</v>
      </c>
      <c r="C10748" s="2889" t="s">
        <v>1571</v>
      </c>
      <c r="D10748" s="2889" t="s">
        <v>1559</v>
      </c>
      <c r="E10748" s="2889" t="s">
        <v>217</v>
      </c>
      <c r="F10748" s="2890">
        <v>4.4857682309318774</v>
      </c>
      <c r="G10748" s="2890">
        <v>5334.707499995131</v>
      </c>
    </row>
    <row r="10749" spans="2:7" ht="15" hidden="1" outlineLevel="2">
      <c r="B10749" s="2889" t="s">
        <v>1632</v>
      </c>
      <c r="C10749" s="2889" t="s">
        <v>1572</v>
      </c>
      <c r="D10749" s="2889" t="s">
        <v>1559</v>
      </c>
      <c r="E10749" s="2889" t="s">
        <v>217</v>
      </c>
      <c r="F10749" s="2890">
        <v>0.74877999096572545</v>
      </c>
      <c r="G10749" s="2890">
        <v>459.79596029053789</v>
      </c>
    </row>
    <row r="10750" spans="2:7" ht="15" hidden="1" outlineLevel="2">
      <c r="B10750" s="2889" t="s">
        <v>1632</v>
      </c>
      <c r="C10750" s="2889" t="s">
        <v>1573</v>
      </c>
      <c r="D10750" s="2889" t="s">
        <v>1559</v>
      </c>
      <c r="E10750" s="2889" t="s">
        <v>217</v>
      </c>
      <c r="F10750" s="2890">
        <v>3.6360090759118697</v>
      </c>
      <c r="G10750" s="2890">
        <v>2715.4145049435756</v>
      </c>
    </row>
    <row r="10751" spans="2:7" ht="15" hidden="1" outlineLevel="2">
      <c r="B10751" s="2889" t="s">
        <v>1632</v>
      </c>
      <c r="C10751" s="2889" t="s">
        <v>1574</v>
      </c>
      <c r="D10751" s="2889" t="s">
        <v>1559</v>
      </c>
      <c r="E10751" s="2889" t="s">
        <v>217</v>
      </c>
      <c r="F10751" s="2890">
        <v>4.0584866856016373E-2</v>
      </c>
      <c r="G10751" s="2890">
        <v>30.526368127477141</v>
      </c>
    </row>
    <row r="10752" spans="2:7" ht="15" hidden="1" outlineLevel="2">
      <c r="B10752" s="2889" t="s">
        <v>1632</v>
      </c>
      <c r="C10752" s="2889" t="s">
        <v>1575</v>
      </c>
      <c r="D10752" s="2889" t="s">
        <v>1559</v>
      </c>
      <c r="E10752" s="2889" t="s">
        <v>217</v>
      </c>
      <c r="F10752" s="2890">
        <v>9.9683879049597676E-2</v>
      </c>
      <c r="G10752" s="2890">
        <v>123.5778169920234</v>
      </c>
    </row>
    <row r="10753" spans="2:7" ht="15" hidden="1" outlineLevel="2">
      <c r="B10753" s="2889" t="s">
        <v>1632</v>
      </c>
      <c r="C10753" s="2889" t="s">
        <v>1576</v>
      </c>
      <c r="D10753" s="2889" t="s">
        <v>1559</v>
      </c>
      <c r="E10753" s="2889" t="s">
        <v>217</v>
      </c>
      <c r="F10753" s="2890">
        <v>7.7243541170195829E-2</v>
      </c>
      <c r="G10753" s="2890">
        <v>58.238887082100881</v>
      </c>
    </row>
    <row r="10754" spans="2:7" ht="15" hidden="1" outlineLevel="2">
      <c r="B10754" s="2889" t="s">
        <v>1632</v>
      </c>
      <c r="C10754" s="2889" t="s">
        <v>1577</v>
      </c>
      <c r="D10754" s="2889" t="s">
        <v>1559</v>
      </c>
      <c r="E10754" s="2889" t="s">
        <v>217</v>
      </c>
      <c r="F10754" s="2890">
        <v>3.2724966193503988</v>
      </c>
      <c r="G10754" s="2890">
        <v>5098.2207070683289</v>
      </c>
    </row>
    <row r="10755" spans="2:7" ht="15" hidden="1" outlineLevel="2">
      <c r="B10755" s="2889" t="s">
        <v>1632</v>
      </c>
      <c r="C10755" s="2889" t="s">
        <v>1578</v>
      </c>
      <c r="D10755" s="2889" t="s">
        <v>1559</v>
      </c>
      <c r="E10755" s="2889" t="s">
        <v>217</v>
      </c>
      <c r="F10755" s="2890">
        <v>1.1104102870692962</v>
      </c>
      <c r="G10755" s="2890">
        <v>605.33389073765272</v>
      </c>
    </row>
    <row r="10756" spans="2:7" ht="15" hidden="1" outlineLevel="2">
      <c r="B10756" s="2889" t="s">
        <v>1632</v>
      </c>
      <c r="C10756" s="2889" t="s">
        <v>1579</v>
      </c>
      <c r="D10756" s="2889" t="s">
        <v>1559</v>
      </c>
      <c r="E10756" s="2889" t="s">
        <v>217</v>
      </c>
      <c r="F10756" s="2890">
        <v>3.2367750719120587</v>
      </c>
      <c r="G10756" s="2890">
        <v>1764.26212877904</v>
      </c>
    </row>
    <row r="10757" spans="2:7" ht="15" hidden="1" outlineLevel="2">
      <c r="B10757" s="2889" t="s">
        <v>1632</v>
      </c>
      <c r="C10757" s="2889" t="s">
        <v>1580</v>
      </c>
      <c r="D10757" s="2889" t="s">
        <v>1559</v>
      </c>
      <c r="E10757" s="2889" t="s">
        <v>217</v>
      </c>
      <c r="F10757" s="2890">
        <v>0.87127052083559386</v>
      </c>
      <c r="G10757" s="2890">
        <v>1100.2367006424929</v>
      </c>
    </row>
    <row r="10758" spans="2:7" ht="15" hidden="1" outlineLevel="2">
      <c r="B10758" s="2889" t="s">
        <v>1632</v>
      </c>
      <c r="C10758" s="2889" t="s">
        <v>1581</v>
      </c>
      <c r="D10758" s="2889" t="s">
        <v>1559</v>
      </c>
      <c r="E10758" s="2889" t="s">
        <v>217</v>
      </c>
      <c r="F10758" s="2890">
        <v>0.41797817614791316</v>
      </c>
      <c r="G10758" s="2890">
        <v>589.01222461937959</v>
      </c>
    </row>
    <row r="10759" spans="2:7" ht="15" hidden="1" outlineLevel="2">
      <c r="B10759" s="2889" t="s">
        <v>1632</v>
      </c>
      <c r="C10759" s="2889" t="s">
        <v>1582</v>
      </c>
      <c r="D10759" s="2889" t="s">
        <v>1559</v>
      </c>
      <c r="E10759" s="2889" t="s">
        <v>217</v>
      </c>
      <c r="F10759" s="2890">
        <v>0.58912510252117078</v>
      </c>
      <c r="G10759" s="2890">
        <v>670.41695459837513</v>
      </c>
    </row>
    <row r="10760" spans="2:7" ht="15" hidden="1" outlineLevel="2">
      <c r="B10760" s="2889" t="s">
        <v>1632</v>
      </c>
      <c r="C10760" s="2889" t="s">
        <v>1583</v>
      </c>
      <c r="D10760" s="2889" t="s">
        <v>1559</v>
      </c>
      <c r="E10760" s="2889" t="s">
        <v>217</v>
      </c>
      <c r="F10760" s="2890">
        <v>0.45401902928756116</v>
      </c>
      <c r="G10760" s="2890">
        <v>312.19012467063055</v>
      </c>
    </row>
    <row r="10761" spans="2:7" ht="15" hidden="1" outlineLevel="2">
      <c r="B10761" s="2889" t="s">
        <v>1632</v>
      </c>
      <c r="C10761" s="2889" t="s">
        <v>1584</v>
      </c>
      <c r="D10761" s="2889" t="s">
        <v>1559</v>
      </c>
      <c r="E10761" s="2889" t="s">
        <v>217</v>
      </c>
      <c r="F10761" s="2890">
        <v>11.650608660010258</v>
      </c>
      <c r="G10761" s="2890">
        <v>14747.916079618695</v>
      </c>
    </row>
    <row r="10762" spans="2:7" ht="15" hidden="1" outlineLevel="2">
      <c r="B10762" s="2889" t="s">
        <v>1632</v>
      </c>
      <c r="C10762" s="2889" t="s">
        <v>1585</v>
      </c>
      <c r="D10762" s="2889" t="s">
        <v>1559</v>
      </c>
      <c r="E10762" s="2889" t="s">
        <v>217</v>
      </c>
      <c r="F10762" s="2890">
        <v>5.6793234798267376</v>
      </c>
      <c r="G10762" s="2890">
        <v>8004.9319206476112</v>
      </c>
    </row>
    <row r="10763" spans="2:7" ht="15" hidden="1" outlineLevel="2">
      <c r="B10763" s="2889" t="s">
        <v>1632</v>
      </c>
      <c r="C10763" s="2889" t="s">
        <v>1586</v>
      </c>
      <c r="D10763" s="2889" t="s">
        <v>1559</v>
      </c>
      <c r="E10763" s="2889" t="s">
        <v>217</v>
      </c>
      <c r="F10763" s="2890">
        <v>0.63937430061916989</v>
      </c>
      <c r="G10763" s="2890">
        <v>1340.1929573946832</v>
      </c>
    </row>
    <row r="10764" spans="2:7" ht="15" hidden="1" outlineLevel="2">
      <c r="B10764" s="2889" t="s">
        <v>1632</v>
      </c>
      <c r="C10764" s="2889" t="s">
        <v>1587</v>
      </c>
      <c r="D10764" s="2889" t="s">
        <v>1559</v>
      </c>
      <c r="E10764" s="2889" t="s">
        <v>217</v>
      </c>
      <c r="F10764" s="2890">
        <v>17.786171173856982</v>
      </c>
      <c r="G10764" s="2890">
        <v>25824.417351631822</v>
      </c>
    </row>
    <row r="10765" spans="2:7" ht="15" hidden="1" outlineLevel="2">
      <c r="B10765" s="2889" t="s">
        <v>1632</v>
      </c>
      <c r="C10765" s="2889" t="s">
        <v>1588</v>
      </c>
      <c r="D10765" s="2889" t="s">
        <v>1559</v>
      </c>
      <c r="E10765" s="2889" t="s">
        <v>217</v>
      </c>
      <c r="F10765" s="2890">
        <v>0.67003945368074913</v>
      </c>
      <c r="G10765" s="2890">
        <v>522.38982669108407</v>
      </c>
    </row>
    <row r="10766" spans="2:7" ht="15" hidden="1" outlineLevel="2">
      <c r="B10766" s="2889" t="s">
        <v>1632</v>
      </c>
      <c r="C10766" s="2889" t="s">
        <v>1589</v>
      </c>
      <c r="D10766" s="2889" t="s">
        <v>1559</v>
      </c>
      <c r="E10766" s="2889" t="s">
        <v>217</v>
      </c>
      <c r="F10766" s="2890">
        <v>1.0128787465639524</v>
      </c>
      <c r="G10766" s="2890">
        <v>791.25005252487585</v>
      </c>
    </row>
    <row r="10767" spans="2:7" ht="15" hidden="1" outlineLevel="2">
      <c r="B10767" s="2889" t="s">
        <v>1632</v>
      </c>
      <c r="C10767" s="2889" t="s">
        <v>1590</v>
      </c>
      <c r="D10767" s="2889" t="s">
        <v>1559</v>
      </c>
      <c r="E10767" s="2889" t="s">
        <v>1420</v>
      </c>
      <c r="F10767" s="2890">
        <v>4.9839041146873563E-2</v>
      </c>
      <c r="G10767" s="2890">
        <v>444.58523967530004</v>
      </c>
    </row>
    <row r="10768" spans="2:7" ht="15" hidden="1" outlineLevel="2">
      <c r="B10768" s="2889" t="s">
        <v>1632</v>
      </c>
      <c r="C10768" s="2889" t="s">
        <v>1591</v>
      </c>
      <c r="D10768" s="2889" t="s">
        <v>1559</v>
      </c>
      <c r="E10768" s="2889" t="s">
        <v>1426</v>
      </c>
      <c r="F10768" s="2891"/>
      <c r="G10768" s="2890">
        <v>0.6910940108453576</v>
      </c>
    </row>
    <row r="10769" spans="2:7" ht="15" hidden="1" outlineLevel="2">
      <c r="B10769" s="2889" t="s">
        <v>1632</v>
      </c>
      <c r="C10769" s="2889" t="s">
        <v>1592</v>
      </c>
      <c r="D10769" s="2889" t="s">
        <v>1559</v>
      </c>
      <c r="E10769" s="2889" t="s">
        <v>1426</v>
      </c>
      <c r="F10769" s="2891"/>
      <c r="G10769" s="2890">
        <v>184.68934547638278</v>
      </c>
    </row>
    <row r="10770" spans="2:7" ht="15" hidden="1" outlineLevel="2">
      <c r="B10770" s="2889" t="s">
        <v>1632</v>
      </c>
      <c r="C10770" s="2889" t="s">
        <v>1593</v>
      </c>
      <c r="D10770" s="2889" t="s">
        <v>1559</v>
      </c>
      <c r="E10770" s="2889" t="s">
        <v>1426</v>
      </c>
      <c r="F10770" s="2891"/>
      <c r="G10770" s="2890">
        <v>4832.6898281569183</v>
      </c>
    </row>
    <row r="10771" spans="2:7" ht="15" hidden="1" outlineLevel="2">
      <c r="B10771" s="2889" t="s">
        <v>1632</v>
      </c>
      <c r="C10771" s="2889" t="s">
        <v>1594</v>
      </c>
      <c r="D10771" s="2889" t="s">
        <v>1559</v>
      </c>
      <c r="E10771" s="2889" t="s">
        <v>1426</v>
      </c>
      <c r="F10771" s="2891"/>
      <c r="G10771" s="2890">
        <v>997.30405529258462</v>
      </c>
    </row>
    <row r="10772" spans="2:7" ht="15" hidden="1" outlineLevel="2">
      <c r="B10772" s="2889" t="s">
        <v>1632</v>
      </c>
      <c r="C10772" s="2889" t="s">
        <v>1595</v>
      </c>
      <c r="D10772" s="2889" t="s">
        <v>1559</v>
      </c>
      <c r="E10772" s="2889" t="s">
        <v>1426</v>
      </c>
      <c r="F10772" s="2891"/>
      <c r="G10772" s="2890">
        <v>6579.5789531181044</v>
      </c>
    </row>
    <row r="10773" spans="2:7" ht="15" hidden="1" outlineLevel="2">
      <c r="B10773" s="2889" t="s">
        <v>1632</v>
      </c>
      <c r="C10773" s="2889" t="s">
        <v>1596</v>
      </c>
      <c r="D10773" s="2889" t="s">
        <v>1559</v>
      </c>
      <c r="E10773" s="2889" t="s">
        <v>1426</v>
      </c>
      <c r="F10773" s="2891"/>
      <c r="G10773" s="2890">
        <v>775.78913900107375</v>
      </c>
    </row>
    <row r="10774" spans="2:7" ht="15" hidden="1" outlineLevel="2">
      <c r="B10774" s="2889" t="s">
        <v>1632</v>
      </c>
      <c r="C10774" s="2889" t="s">
        <v>1597</v>
      </c>
      <c r="D10774" s="2889" t="s">
        <v>1559</v>
      </c>
      <c r="E10774" s="2889" t="s">
        <v>1426</v>
      </c>
      <c r="F10774" s="2891"/>
      <c r="G10774" s="2890">
        <v>18.47977974369487</v>
      </c>
    </row>
    <row r="10775" spans="2:7" ht="15" hidden="1" outlineLevel="2">
      <c r="B10775" s="2889" t="s">
        <v>1632</v>
      </c>
      <c r="C10775" s="2889" t="s">
        <v>1598</v>
      </c>
      <c r="D10775" s="2889" t="s">
        <v>1599</v>
      </c>
      <c r="E10775" s="2889" t="s">
        <v>217</v>
      </c>
      <c r="F10775" s="2890">
        <v>1.8938713406446588E-2</v>
      </c>
      <c r="G10775" s="2890">
        <v>10.952231094988903</v>
      </c>
    </row>
    <row r="10776" spans="2:7" ht="15" hidden="1" outlineLevel="2">
      <c r="B10776" s="2889" t="s">
        <v>1632</v>
      </c>
      <c r="C10776" s="2889" t="s">
        <v>1600</v>
      </c>
      <c r="D10776" s="2889" t="s">
        <v>1599</v>
      </c>
      <c r="E10776" s="2889" t="s">
        <v>217</v>
      </c>
      <c r="F10776" s="2890">
        <v>2.2274529922454607E-2</v>
      </c>
      <c r="G10776" s="2890">
        <v>24.660648562510556</v>
      </c>
    </row>
    <row r="10777" spans="2:7" ht="15" hidden="1" outlineLevel="2">
      <c r="B10777" s="2889" t="s">
        <v>1632</v>
      </c>
      <c r="C10777" s="2889" t="s">
        <v>1601</v>
      </c>
      <c r="D10777" s="2889" t="s">
        <v>1599</v>
      </c>
      <c r="E10777" s="2889" t="s">
        <v>217</v>
      </c>
      <c r="F10777" s="2890">
        <v>2.2848997185984319E-4</v>
      </c>
      <c r="G10777" s="2890">
        <v>0.2897068269145161</v>
      </c>
    </row>
    <row r="10778" spans="2:7" ht="15" hidden="1" outlineLevel="2">
      <c r="B10778" s="2889" t="s">
        <v>1632</v>
      </c>
      <c r="C10778" s="2889" t="s">
        <v>1602</v>
      </c>
      <c r="D10778" s="2889" t="s">
        <v>1599</v>
      </c>
      <c r="E10778" s="2889" t="s">
        <v>1426</v>
      </c>
      <c r="F10778" s="2891"/>
      <c r="G10778" s="2890">
        <v>328.18196273844922</v>
      </c>
    </row>
    <row r="10779" spans="2:7" ht="15" hidden="1" outlineLevel="2">
      <c r="B10779" s="2889" t="s">
        <v>1632</v>
      </c>
      <c r="C10779" s="2889" t="s">
        <v>1603</v>
      </c>
      <c r="D10779" s="2889" t="s">
        <v>1604</v>
      </c>
      <c r="E10779" s="2889" t="s">
        <v>217</v>
      </c>
      <c r="F10779" s="2890">
        <v>1.6685691472936203E-2</v>
      </c>
      <c r="G10779" s="2890">
        <v>20.088329130503634</v>
      </c>
    </row>
    <row r="10780" spans="2:7" ht="15" hidden="1" outlineLevel="2">
      <c r="B10780" s="2889" t="s">
        <v>1632</v>
      </c>
      <c r="C10780" s="2889" t="s">
        <v>1605</v>
      </c>
      <c r="D10780" s="2889" t="s">
        <v>1604</v>
      </c>
      <c r="E10780" s="2889" t="s">
        <v>1423</v>
      </c>
      <c r="F10780" s="2890">
        <v>5.968856006320887E-2</v>
      </c>
      <c r="G10780" s="2890">
        <v>13.648946798389323</v>
      </c>
    </row>
    <row r="10781" spans="2:7" ht="15" hidden="1" outlineLevel="2">
      <c r="B10781" s="2889" t="s">
        <v>1632</v>
      </c>
      <c r="C10781" s="2889" t="s">
        <v>1606</v>
      </c>
      <c r="D10781" s="2889" t="s">
        <v>1604</v>
      </c>
      <c r="E10781" s="2889" t="s">
        <v>1426</v>
      </c>
      <c r="F10781" s="2891"/>
      <c r="G10781" s="2890">
        <v>72.367194478489935</v>
      </c>
    </row>
    <row r="10782" spans="2:7" ht="15" hidden="1" outlineLevel="2">
      <c r="B10782" s="2889" t="s">
        <v>1632</v>
      </c>
      <c r="C10782" s="2889" t="s">
        <v>1607</v>
      </c>
      <c r="D10782" s="2889" t="s">
        <v>1608</v>
      </c>
      <c r="E10782" s="2889" t="s">
        <v>217</v>
      </c>
      <c r="F10782" s="2890">
        <v>7.1076087153032175</v>
      </c>
      <c r="G10782" s="2890">
        <v>5839.4975347680975</v>
      </c>
    </row>
    <row r="10783" spans="2:7" ht="15" hidden="1" outlineLevel="2">
      <c r="B10783" s="2889" t="s">
        <v>1632</v>
      </c>
      <c r="C10783" s="2889" t="s">
        <v>1609</v>
      </c>
      <c r="D10783" s="2889" t="s">
        <v>1608</v>
      </c>
      <c r="E10783" s="2889" t="s">
        <v>217</v>
      </c>
      <c r="F10783" s="2890">
        <v>3.0949859989511554</v>
      </c>
      <c r="G10783" s="2890">
        <v>2464.2524142530174</v>
      </c>
    </row>
    <row r="10784" spans="2:7" ht="15" hidden="1" outlineLevel="2">
      <c r="B10784" s="2889" t="s">
        <v>1632</v>
      </c>
      <c r="C10784" s="2889" t="s">
        <v>1610</v>
      </c>
      <c r="D10784" s="2889" t="s">
        <v>1608</v>
      </c>
      <c r="E10784" s="2889" t="s">
        <v>217</v>
      </c>
      <c r="F10784" s="2890">
        <v>2.2571553120952896</v>
      </c>
      <c r="G10784" s="2890">
        <v>3508.0833305223769</v>
      </c>
    </row>
    <row r="10785" spans="2:7" ht="15" hidden="1" outlineLevel="2">
      <c r="B10785" s="2889" t="s">
        <v>1632</v>
      </c>
      <c r="C10785" s="2889" t="s">
        <v>1611</v>
      </c>
      <c r="D10785" s="2889" t="s">
        <v>1608</v>
      </c>
      <c r="E10785" s="2889" t="s">
        <v>1612</v>
      </c>
      <c r="F10785" s="2891"/>
      <c r="G10785" s="2890">
        <v>3123.4728403055401</v>
      </c>
    </row>
    <row r="10786" spans="2:7" ht="15" hidden="1" outlineLevel="2">
      <c r="B10786" s="2889" t="s">
        <v>1632</v>
      </c>
      <c r="C10786" s="2889" t="s">
        <v>1613</v>
      </c>
      <c r="D10786" s="2889" t="s">
        <v>1608</v>
      </c>
      <c r="E10786" s="2889" t="s">
        <v>1612</v>
      </c>
      <c r="F10786" s="2891"/>
      <c r="G10786" s="2890">
        <v>13.675519738258888</v>
      </c>
    </row>
    <row r="10787" spans="2:7" ht="15" hidden="1" outlineLevel="2">
      <c r="B10787" s="2889" t="s">
        <v>1632</v>
      </c>
      <c r="C10787" s="2889" t="s">
        <v>1614</v>
      </c>
      <c r="D10787" s="2889" t="s">
        <v>1615</v>
      </c>
      <c r="E10787" s="2889" t="s">
        <v>1426</v>
      </c>
      <c r="F10787" s="2891"/>
      <c r="G10787" s="2890">
        <v>301.15392868910487</v>
      </c>
    </row>
    <row r="10788" spans="2:7" ht="15" hidden="1" outlineLevel="2">
      <c r="B10788" s="2889" t="s">
        <v>1632</v>
      </c>
      <c r="C10788" s="2889" t="s">
        <v>1616</v>
      </c>
      <c r="D10788" s="2889" t="s">
        <v>1615</v>
      </c>
      <c r="E10788" s="2889" t="s">
        <v>217</v>
      </c>
      <c r="F10788" s="2890">
        <v>9.5496988495790414E-3</v>
      </c>
      <c r="G10788" s="2890">
        <v>12.898062595711068</v>
      </c>
    </row>
    <row r="10789" spans="2:7" ht="15" hidden="1" outlineLevel="2">
      <c r="B10789" s="2889" t="s">
        <v>1632</v>
      </c>
      <c r="C10789" s="2889" t="s">
        <v>1617</v>
      </c>
      <c r="D10789" s="2889" t="s">
        <v>1615</v>
      </c>
      <c r="E10789" s="2889" t="s">
        <v>1420</v>
      </c>
      <c r="F10789" s="2890">
        <v>1.5163850278431337E-4</v>
      </c>
      <c r="G10789" s="2890">
        <v>0.43893398205908468</v>
      </c>
    </row>
    <row r="10790" spans="2:7" ht="15" hidden="1" outlineLevel="2">
      <c r="B10790" s="2889" t="s">
        <v>1632</v>
      </c>
      <c r="C10790" s="2889" t="s">
        <v>1618</v>
      </c>
      <c r="D10790" s="2889" t="s">
        <v>1619</v>
      </c>
      <c r="E10790" s="2889" t="s">
        <v>217</v>
      </c>
      <c r="F10790" s="2890">
        <v>1.4115162662922598</v>
      </c>
      <c r="G10790" s="2890">
        <v>357.83638726176002</v>
      </c>
    </row>
    <row r="10791" spans="2:7" ht="15" hidden="1" outlineLevel="2">
      <c r="B10791" s="2889" t="s">
        <v>1632</v>
      </c>
      <c r="C10791" s="2889" t="s">
        <v>1620</v>
      </c>
      <c r="D10791" s="2889" t="s">
        <v>1619</v>
      </c>
      <c r="E10791" s="2889" t="s">
        <v>217</v>
      </c>
      <c r="F10791" s="2890">
        <v>1.220677049326443E-33</v>
      </c>
      <c r="G10791" s="2890">
        <v>1.4883506685854614E-30</v>
      </c>
    </row>
    <row r="10792" spans="2:7" ht="15" hidden="1" outlineLevel="2">
      <c r="B10792" s="2889" t="s">
        <v>1632</v>
      </c>
      <c r="C10792" s="2889" t="s">
        <v>1621</v>
      </c>
      <c r="D10792" s="2889" t="s">
        <v>1619</v>
      </c>
      <c r="E10792" s="2889" t="s">
        <v>217</v>
      </c>
      <c r="F10792" s="2890">
        <v>1.5119219198278302</v>
      </c>
      <c r="G10792" s="2890">
        <v>413.18481786908904</v>
      </c>
    </row>
    <row r="10793" spans="2:7" ht="15" hidden="1" outlineLevel="2">
      <c r="B10793" s="2889" t="s">
        <v>1632</v>
      </c>
      <c r="C10793" s="2889" t="s">
        <v>1622</v>
      </c>
      <c r="D10793" s="2889" t="s">
        <v>1619</v>
      </c>
      <c r="E10793" s="2889" t="s">
        <v>217</v>
      </c>
      <c r="F10793" s="2890">
        <v>9.6816320427786207E-2</v>
      </c>
      <c r="G10793" s="2890">
        <v>106.22956157076491</v>
      </c>
    </row>
    <row r="10794" spans="2:7" ht="15" hidden="1" outlineLevel="2">
      <c r="B10794" s="2889" t="s">
        <v>1632</v>
      </c>
      <c r="C10794" s="2889" t="s">
        <v>1623</v>
      </c>
      <c r="D10794" s="2889" t="s">
        <v>1619</v>
      </c>
      <c r="E10794" s="2889" t="s">
        <v>217</v>
      </c>
      <c r="F10794" s="2890">
        <v>0.24932029311468987</v>
      </c>
      <c r="G10794" s="2890">
        <v>172.91043026300696</v>
      </c>
    </row>
    <row r="10795" spans="2:7" ht="15" hidden="1" outlineLevel="2">
      <c r="B10795" s="2889" t="s">
        <v>1632</v>
      </c>
      <c r="C10795" s="2889" t="s">
        <v>1624</v>
      </c>
      <c r="D10795" s="2889" t="s">
        <v>1619</v>
      </c>
      <c r="E10795" s="2889" t="s">
        <v>217</v>
      </c>
      <c r="F10795" s="2890">
        <v>2.1586542945295277</v>
      </c>
      <c r="G10795" s="2890">
        <v>1843.0009775508097</v>
      </c>
    </row>
    <row r="10796" spans="2:7" ht="15" hidden="1" outlineLevel="2">
      <c r="B10796" s="2889" t="s">
        <v>1632</v>
      </c>
      <c r="C10796" s="2889" t="s">
        <v>1625</v>
      </c>
      <c r="D10796" s="2889" t="s">
        <v>1619</v>
      </c>
      <c r="E10796" s="2889" t="s">
        <v>217</v>
      </c>
      <c r="F10796" s="2890">
        <v>1.2662779654294303</v>
      </c>
      <c r="G10796" s="2890">
        <v>1640.2881725503898</v>
      </c>
    </row>
    <row r="10797" spans="2:7" ht="15" hidden="1" outlineLevel="2">
      <c r="B10797" s="2889" t="s">
        <v>1632</v>
      </c>
      <c r="C10797" s="2889" t="s">
        <v>1626</v>
      </c>
      <c r="D10797" s="2889" t="s">
        <v>1619</v>
      </c>
      <c r="E10797" s="2889" t="s">
        <v>217</v>
      </c>
      <c r="F10797" s="2890">
        <v>0.13178971866720832</v>
      </c>
      <c r="G10797" s="2890">
        <v>103.65559872668655</v>
      </c>
    </row>
    <row r="10798" spans="2:7" ht="15" hidden="1" outlineLevel="2">
      <c r="B10798" s="2889" t="s">
        <v>1632</v>
      </c>
      <c r="C10798" s="2889" t="s">
        <v>1627</v>
      </c>
      <c r="D10798" s="2889" t="s">
        <v>1619</v>
      </c>
      <c r="E10798" s="2889" t="s">
        <v>1420</v>
      </c>
      <c r="F10798" s="2890">
        <v>4.2912131950305875E-3</v>
      </c>
      <c r="G10798" s="2890">
        <v>7.1692385698538557</v>
      </c>
    </row>
    <row r="10799" spans="2:7" ht="15" hidden="1" outlineLevel="2">
      <c r="B10799" s="2889" t="s">
        <v>1632</v>
      </c>
      <c r="C10799" s="2889" t="s">
        <v>1628</v>
      </c>
      <c r="D10799" s="2889" t="s">
        <v>1619</v>
      </c>
      <c r="E10799" s="2889" t="s">
        <v>1426</v>
      </c>
      <c r="F10799" s="2891"/>
      <c r="G10799" s="2890">
        <v>142.09373670000505</v>
      </c>
    </row>
    <row r="10800" spans="2:7" ht="15" hidden="1" outlineLevel="2">
      <c r="B10800" s="2889" t="s">
        <v>1632</v>
      </c>
      <c r="C10800" s="2889" t="s">
        <v>1629</v>
      </c>
      <c r="D10800" s="2889" t="s">
        <v>1630</v>
      </c>
      <c r="E10800" s="2889" t="s">
        <v>1426</v>
      </c>
      <c r="F10800" s="2891"/>
      <c r="G10800" s="2890">
        <v>1.1859124293233922E-30</v>
      </c>
    </row>
    <row r="10801" spans="2:7" ht="15" outlineLevel="1" collapsed="1">
      <c r="B10801" s="3042" t="s">
        <v>1702</v>
      </c>
      <c r="C10801" s="2889"/>
      <c r="D10801" s="2889"/>
      <c r="E10801" s="2889"/>
      <c r="F10801" s="2891">
        <f>SUBTOTAL(9,F10590:F10800)</f>
        <v>170.26398657561748</v>
      </c>
      <c r="G10801" s="2890">
        <f>SUBTOTAL(9,G10590:G10800)</f>
        <v>552890.11021790665</v>
      </c>
    </row>
    <row r="10802" spans="2:7" ht="15" hidden="1" outlineLevel="2">
      <c r="B10802" s="2889" t="s">
        <v>1633</v>
      </c>
      <c r="C10802" s="2889" t="s">
        <v>1408</v>
      </c>
      <c r="D10802" s="2889" t="s">
        <v>197</v>
      </c>
      <c r="E10802" s="2889" t="s">
        <v>217</v>
      </c>
      <c r="F10802" s="2890">
        <v>4.1970611334212274E-4</v>
      </c>
      <c r="G10802" s="2890">
        <v>0.25596369913852324</v>
      </c>
    </row>
    <row r="10803" spans="2:7" ht="15" hidden="1" outlineLevel="2">
      <c r="B10803" s="2889" t="s">
        <v>1633</v>
      </c>
      <c r="C10803" s="2889" t="s">
        <v>1409</v>
      </c>
      <c r="D10803" s="2889" t="s">
        <v>197</v>
      </c>
      <c r="E10803" s="2889" t="s">
        <v>217</v>
      </c>
      <c r="F10803" s="2890">
        <v>4.4061387803540417E-4</v>
      </c>
      <c r="G10803" s="2890">
        <v>0.62093132087088487</v>
      </c>
    </row>
    <row r="10804" spans="2:7" ht="15" hidden="1" outlineLevel="2">
      <c r="B10804" s="2889" t="s">
        <v>1633</v>
      </c>
      <c r="C10804" s="2889" t="s">
        <v>1410</v>
      </c>
      <c r="D10804" s="2889" t="s">
        <v>197</v>
      </c>
      <c r="E10804" s="2889" t="s">
        <v>217</v>
      </c>
      <c r="F10804" s="2890">
        <v>7.0404290585165887E-4</v>
      </c>
      <c r="G10804" s="2890">
        <v>2.4160095702774931</v>
      </c>
    </row>
    <row r="10805" spans="2:7" ht="15" hidden="1" outlineLevel="2">
      <c r="B10805" s="2889" t="s">
        <v>1633</v>
      </c>
      <c r="C10805" s="2889" t="s">
        <v>1411</v>
      </c>
      <c r="D10805" s="2889" t="s">
        <v>197</v>
      </c>
      <c r="E10805" s="2889" t="s">
        <v>217</v>
      </c>
      <c r="F10805" s="2890">
        <v>1.1573073168326589E-5</v>
      </c>
      <c r="G10805" s="2890">
        <v>1.5217406963080615E-2</v>
      </c>
    </row>
    <row r="10806" spans="2:7" ht="15" hidden="1" outlineLevel="2">
      <c r="B10806" s="2889" t="s">
        <v>1633</v>
      </c>
      <c r="C10806" s="2889" t="s">
        <v>1412</v>
      </c>
      <c r="D10806" s="2889" t="s">
        <v>197</v>
      </c>
      <c r="E10806" s="2889" t="s">
        <v>217</v>
      </c>
      <c r="F10806" s="2890">
        <v>1.2502471976435069E-3</v>
      </c>
      <c r="G10806" s="2890">
        <v>1.642693811146843</v>
      </c>
    </row>
    <row r="10807" spans="2:7" ht="15" hidden="1" outlineLevel="2">
      <c r="B10807" s="2889" t="s">
        <v>1633</v>
      </c>
      <c r="C10807" s="2889" t="s">
        <v>1413</v>
      </c>
      <c r="D10807" s="2889" t="s">
        <v>197</v>
      </c>
      <c r="E10807" s="2889" t="s">
        <v>217</v>
      </c>
      <c r="F10807" s="2890">
        <v>4.1148292787524188E-4</v>
      </c>
      <c r="G10807" s="2890">
        <v>0.51456270495308432</v>
      </c>
    </row>
    <row r="10808" spans="2:7" ht="15" hidden="1" outlineLevel="2">
      <c r="B10808" s="2889" t="s">
        <v>1633</v>
      </c>
      <c r="C10808" s="2889" t="s">
        <v>1414</v>
      </c>
      <c r="D10808" s="2889" t="s">
        <v>197</v>
      </c>
      <c r="E10808" s="2889" t="s">
        <v>217</v>
      </c>
      <c r="F10808" s="2890">
        <v>5.3687451205203561E-3</v>
      </c>
      <c r="G10808" s="2890">
        <v>5.5897922709828611</v>
      </c>
    </row>
    <row r="10809" spans="2:7" ht="15" hidden="1" outlineLevel="2">
      <c r="B10809" s="2889" t="s">
        <v>1633</v>
      </c>
      <c r="C10809" s="2889" t="s">
        <v>1415</v>
      </c>
      <c r="D10809" s="2889" t="s">
        <v>197</v>
      </c>
      <c r="E10809" s="2889" t="s">
        <v>217</v>
      </c>
      <c r="F10809" s="2890">
        <v>1.7653214269495492E-2</v>
      </c>
      <c r="G10809" s="2890">
        <v>11.981732881397019</v>
      </c>
    </row>
    <row r="10810" spans="2:7" ht="15" hidden="1" outlineLevel="2">
      <c r="B10810" s="2889" t="s">
        <v>1633</v>
      </c>
      <c r="C10810" s="2889" t="s">
        <v>1416</v>
      </c>
      <c r="D10810" s="2889" t="s">
        <v>197</v>
      </c>
      <c r="E10810" s="2889" t="s">
        <v>217</v>
      </c>
      <c r="F10810" s="2890">
        <v>1.9840091501422052E-3</v>
      </c>
      <c r="G10810" s="2890">
        <v>2.6067809643422444</v>
      </c>
    </row>
    <row r="10811" spans="2:7" ht="15" hidden="1" outlineLevel="2">
      <c r="B10811" s="2889" t="s">
        <v>1633</v>
      </c>
      <c r="C10811" s="2889" t="s">
        <v>1417</v>
      </c>
      <c r="D10811" s="2889" t="s">
        <v>197</v>
      </c>
      <c r="E10811" s="2889" t="s">
        <v>217</v>
      </c>
      <c r="F10811" s="2890">
        <v>2.9535746899304691E-3</v>
      </c>
      <c r="G10811" s="2890">
        <v>3.7746094324456823</v>
      </c>
    </row>
    <row r="10812" spans="2:7" ht="15" hidden="1" outlineLevel="2">
      <c r="B10812" s="2889" t="s">
        <v>1633</v>
      </c>
      <c r="C10812" s="2889" t="s">
        <v>1418</v>
      </c>
      <c r="D10812" s="2889" t="s">
        <v>197</v>
      </c>
      <c r="E10812" s="2889" t="s">
        <v>217</v>
      </c>
      <c r="F10812" s="2890">
        <v>5.9234838741472533E-4</v>
      </c>
      <c r="G10812" s="2890">
        <v>4.1873434930372451</v>
      </c>
    </row>
    <row r="10813" spans="2:7" ht="15" hidden="1" outlineLevel="2">
      <c r="B10813" s="2889" t="s">
        <v>1633</v>
      </c>
      <c r="C10813" s="2889" t="s">
        <v>1419</v>
      </c>
      <c r="D10813" s="2889" t="s">
        <v>197</v>
      </c>
      <c r="E10813" s="2889" t="s">
        <v>1420</v>
      </c>
      <c r="F10813" s="2890">
        <v>1.4423199867423419E-5</v>
      </c>
      <c r="G10813" s="2890">
        <v>2.2917797965404999E-2</v>
      </c>
    </row>
    <row r="10814" spans="2:7" ht="15" hidden="1" outlineLevel="2">
      <c r="B10814" s="2889" t="s">
        <v>1633</v>
      </c>
      <c r="C10814" s="2889" t="s">
        <v>1421</v>
      </c>
      <c r="D10814" s="2889" t="s">
        <v>197</v>
      </c>
      <c r="E10814" s="2889" t="s">
        <v>1420</v>
      </c>
      <c r="F10814" s="2890">
        <v>2.9596149071792842E-6</v>
      </c>
      <c r="G10814" s="2890">
        <v>3.119087996620195E-2</v>
      </c>
    </row>
    <row r="10815" spans="2:7" ht="15" hidden="1" outlineLevel="2">
      <c r="B10815" s="2889" t="s">
        <v>1633</v>
      </c>
      <c r="C10815" s="2889" t="s">
        <v>1422</v>
      </c>
      <c r="D10815" s="2889" t="s">
        <v>197</v>
      </c>
      <c r="E10815" s="2889" t="s">
        <v>1423</v>
      </c>
      <c r="F10815" s="2890">
        <v>5.7737119690176022E-4</v>
      </c>
      <c r="G10815" s="2890">
        <v>6.053981427425986E-3</v>
      </c>
    </row>
    <row r="10816" spans="2:7" ht="15" hidden="1" outlineLevel="2">
      <c r="B10816" s="2889" t="s">
        <v>1633</v>
      </c>
      <c r="C10816" s="2889" t="s">
        <v>1424</v>
      </c>
      <c r="D10816" s="2889" t="s">
        <v>197</v>
      </c>
      <c r="E10816" s="2889" t="s">
        <v>1423</v>
      </c>
      <c r="F10816" s="2890">
        <v>1.8326147044912667E-4</v>
      </c>
      <c r="G10816" s="2890">
        <v>1.9209996296307914E-3</v>
      </c>
    </row>
    <row r="10817" spans="2:7" ht="15" hidden="1" outlineLevel="2">
      <c r="B10817" s="2889" t="s">
        <v>1633</v>
      </c>
      <c r="C10817" s="2889" t="s">
        <v>1425</v>
      </c>
      <c r="D10817" s="2889" t="s">
        <v>197</v>
      </c>
      <c r="E10817" s="2889" t="s">
        <v>1426</v>
      </c>
      <c r="F10817" s="2891"/>
      <c r="G10817" s="2890">
        <v>4.4769528637189838E-2</v>
      </c>
    </row>
    <row r="10818" spans="2:7" ht="15" hidden="1" outlineLevel="2">
      <c r="B10818" s="2889" t="s">
        <v>1633</v>
      </c>
      <c r="C10818" s="2889" t="s">
        <v>1427</v>
      </c>
      <c r="D10818" s="2889" t="s">
        <v>197</v>
      </c>
      <c r="E10818" s="2889" t="s">
        <v>1426</v>
      </c>
      <c r="F10818" s="2891"/>
      <c r="G10818" s="2890">
        <v>1935.49386126543</v>
      </c>
    </row>
    <row r="10819" spans="2:7" ht="15" hidden="1" outlineLevel="2">
      <c r="B10819" s="2889" t="s">
        <v>1633</v>
      </c>
      <c r="C10819" s="2889" t="s">
        <v>1428</v>
      </c>
      <c r="D10819" s="2889" t="s">
        <v>197</v>
      </c>
      <c r="E10819" s="2889" t="s">
        <v>1426</v>
      </c>
      <c r="F10819" s="2891"/>
      <c r="G10819" s="2890">
        <v>173.67289391436199</v>
      </c>
    </row>
    <row r="10820" spans="2:7" ht="15" hidden="1" outlineLevel="2">
      <c r="B10820" s="2889" t="s">
        <v>1633</v>
      </c>
      <c r="C10820" s="2889" t="s">
        <v>1429</v>
      </c>
      <c r="D10820" s="2889" t="s">
        <v>197</v>
      </c>
      <c r="E10820" s="2889" t="s">
        <v>1426</v>
      </c>
      <c r="F10820" s="2891"/>
      <c r="G10820" s="2890">
        <v>0.96538388597748936</v>
      </c>
    </row>
    <row r="10821" spans="2:7" ht="15" hidden="1" outlineLevel="2">
      <c r="B10821" s="2889" t="s">
        <v>1633</v>
      </c>
      <c r="C10821" s="2889" t="s">
        <v>1430</v>
      </c>
      <c r="D10821" s="2889" t="s">
        <v>197</v>
      </c>
      <c r="E10821" s="2889" t="s">
        <v>1426</v>
      </c>
      <c r="F10821" s="2891"/>
      <c r="G10821" s="2890">
        <v>0.19814355887326254</v>
      </c>
    </row>
    <row r="10822" spans="2:7" ht="15" hidden="1" outlineLevel="2">
      <c r="B10822" s="2889" t="s">
        <v>1633</v>
      </c>
      <c r="C10822" s="2889" t="s">
        <v>1431</v>
      </c>
      <c r="D10822" s="2889" t="s">
        <v>197</v>
      </c>
      <c r="E10822" s="2889" t="s">
        <v>1426</v>
      </c>
      <c r="F10822" s="2891"/>
      <c r="G10822" s="2890">
        <v>14.742731197750869</v>
      </c>
    </row>
    <row r="10823" spans="2:7" ht="15" hidden="1" outlineLevel="2">
      <c r="B10823" s="2889" t="s">
        <v>1633</v>
      </c>
      <c r="C10823" s="2889" t="s">
        <v>1432</v>
      </c>
      <c r="D10823" s="2889" t="s">
        <v>197</v>
      </c>
      <c r="E10823" s="2889" t="s">
        <v>1426</v>
      </c>
      <c r="F10823" s="2891"/>
      <c r="G10823" s="2890">
        <v>3.6925133051812199E-2</v>
      </c>
    </row>
    <row r="10824" spans="2:7" ht="15" hidden="1" outlineLevel="2">
      <c r="B10824" s="2889" t="s">
        <v>1633</v>
      </c>
      <c r="C10824" s="2889" t="s">
        <v>1433</v>
      </c>
      <c r="D10824" s="2889" t="s">
        <v>197</v>
      </c>
      <c r="E10824" s="2889" t="s">
        <v>1426</v>
      </c>
      <c r="F10824" s="2891"/>
      <c r="G10824" s="2890">
        <v>13.626323306626809</v>
      </c>
    </row>
    <row r="10825" spans="2:7" ht="15" hidden="1" outlineLevel="2">
      <c r="B10825" s="2889" t="s">
        <v>1633</v>
      </c>
      <c r="C10825" s="2889" t="s">
        <v>1434</v>
      </c>
      <c r="D10825" s="2889" t="s">
        <v>197</v>
      </c>
      <c r="E10825" s="2889" t="s">
        <v>1426</v>
      </c>
      <c r="F10825" s="2891"/>
      <c r="G10825" s="2890">
        <v>37.850336346076574</v>
      </c>
    </row>
    <row r="10826" spans="2:7" ht="15" hidden="1" outlineLevel="2">
      <c r="B10826" s="2889" t="s">
        <v>1633</v>
      </c>
      <c r="C10826" s="2889" t="s">
        <v>1435</v>
      </c>
      <c r="D10826" s="2889" t="s">
        <v>197</v>
      </c>
      <c r="E10826" s="2889" t="s">
        <v>1426</v>
      </c>
      <c r="F10826" s="2891"/>
      <c r="G10826" s="2890">
        <v>27.82736031497026</v>
      </c>
    </row>
    <row r="10827" spans="2:7" ht="15" hidden="1" outlineLevel="2">
      <c r="B10827" s="2889" t="s">
        <v>1633</v>
      </c>
      <c r="C10827" s="2889" t="s">
        <v>1436</v>
      </c>
      <c r="D10827" s="2889" t="s">
        <v>1437</v>
      </c>
      <c r="E10827" s="2889" t="s">
        <v>217</v>
      </c>
      <c r="F10827" s="2890">
        <v>2.6757713009941471E-34</v>
      </c>
      <c r="G10827" s="2890">
        <v>6.539019983539831E-31</v>
      </c>
    </row>
    <row r="10828" spans="2:7" ht="15" hidden="1" outlineLevel="2">
      <c r="B10828" s="2889" t="s">
        <v>1633</v>
      </c>
      <c r="C10828" s="2889" t="s">
        <v>1438</v>
      </c>
      <c r="D10828" s="2889" t="s">
        <v>1437</v>
      </c>
      <c r="E10828" s="2889" t="s">
        <v>1420</v>
      </c>
      <c r="F10828" s="2890">
        <v>1.6645027218787266E-36</v>
      </c>
      <c r="G10828" s="2890">
        <v>2.4044512537756401E-32</v>
      </c>
    </row>
    <row r="10829" spans="2:7" ht="15" hidden="1" outlineLevel="2">
      <c r="B10829" s="2889" t="s">
        <v>1633</v>
      </c>
      <c r="C10829" s="2889" t="s">
        <v>1439</v>
      </c>
      <c r="D10829" s="2889" t="s">
        <v>1437</v>
      </c>
      <c r="E10829" s="2889" t="s">
        <v>1426</v>
      </c>
      <c r="F10829" s="2891"/>
      <c r="G10829" s="2890">
        <v>1.3196731293639925E-29</v>
      </c>
    </row>
    <row r="10830" spans="2:7" ht="15" hidden="1" outlineLevel="2">
      <c r="B10830" s="2889" t="s">
        <v>1633</v>
      </c>
      <c r="C10830" s="2889" t="s">
        <v>1440</v>
      </c>
      <c r="D10830" s="2889" t="s">
        <v>1105</v>
      </c>
      <c r="E10830" s="2889" t="s">
        <v>217</v>
      </c>
      <c r="F10830" s="2890">
        <v>4.1950432967174465E-3</v>
      </c>
      <c r="G10830" s="2890">
        <v>2.0789261118876348</v>
      </c>
    </row>
    <row r="10831" spans="2:7" ht="15" hidden="1" outlineLevel="2">
      <c r="B10831" s="2889" t="s">
        <v>1633</v>
      </c>
      <c r="C10831" s="2889" t="s">
        <v>1441</v>
      </c>
      <c r="D10831" s="2889" t="s">
        <v>1105</v>
      </c>
      <c r="E10831" s="2889" t="s">
        <v>217</v>
      </c>
      <c r="F10831" s="2890">
        <v>2.6806126766458025E-2</v>
      </c>
      <c r="G10831" s="2890">
        <v>13.869927540116496</v>
      </c>
    </row>
    <row r="10832" spans="2:7" ht="15" hidden="1" outlineLevel="2">
      <c r="B10832" s="2889" t="s">
        <v>1633</v>
      </c>
      <c r="C10832" s="2889" t="s">
        <v>1442</v>
      </c>
      <c r="D10832" s="2889" t="s">
        <v>1105</v>
      </c>
      <c r="E10832" s="2889" t="s">
        <v>217</v>
      </c>
      <c r="F10832" s="2890">
        <v>1.193226579127512E-5</v>
      </c>
      <c r="G10832" s="2890">
        <v>5.3492103383926005E-3</v>
      </c>
    </row>
    <row r="10833" spans="2:7" ht="15" hidden="1" outlineLevel="2">
      <c r="B10833" s="2889" t="s">
        <v>1633</v>
      </c>
      <c r="C10833" s="2889" t="s">
        <v>1443</v>
      </c>
      <c r="D10833" s="2889" t="s">
        <v>1105</v>
      </c>
      <c r="E10833" s="2889" t="s">
        <v>217</v>
      </c>
      <c r="F10833" s="2890">
        <v>1.877519169457515E-4</v>
      </c>
      <c r="G10833" s="2890">
        <v>8.4168909063771877E-2</v>
      </c>
    </row>
    <row r="10834" spans="2:7" ht="15" hidden="1" outlineLevel="2">
      <c r="B10834" s="2889" t="s">
        <v>1633</v>
      </c>
      <c r="C10834" s="2889" t="s">
        <v>1444</v>
      </c>
      <c r="D10834" s="2889" t="s">
        <v>1105</v>
      </c>
      <c r="E10834" s="2889" t="s">
        <v>217</v>
      </c>
      <c r="F10834" s="2890">
        <v>0.35416536636019125</v>
      </c>
      <c r="G10834" s="2890">
        <v>427.93657245233669</v>
      </c>
    </row>
    <row r="10835" spans="2:7" ht="15" hidden="1" outlineLevel="2">
      <c r="B10835" s="2889" t="s">
        <v>1633</v>
      </c>
      <c r="C10835" s="2889" t="s">
        <v>1445</v>
      </c>
      <c r="D10835" s="2889" t="s">
        <v>1105</v>
      </c>
      <c r="E10835" s="2889" t="s">
        <v>217</v>
      </c>
      <c r="F10835" s="2890">
        <v>7.6237286928608039E-2</v>
      </c>
      <c r="G10835" s="2890">
        <v>107.08697777272873</v>
      </c>
    </row>
    <row r="10836" spans="2:7" ht="15" hidden="1" outlineLevel="2">
      <c r="B10836" s="2889" t="s">
        <v>1633</v>
      </c>
      <c r="C10836" s="2889" t="s">
        <v>1446</v>
      </c>
      <c r="D10836" s="2889" t="s">
        <v>1105</v>
      </c>
      <c r="E10836" s="2889" t="s">
        <v>217</v>
      </c>
      <c r="F10836" s="2890">
        <v>3.5191875018602263E-2</v>
      </c>
      <c r="G10836" s="2890">
        <v>56.787343104586185</v>
      </c>
    </row>
    <row r="10837" spans="2:7" ht="15" hidden="1" outlineLevel="2">
      <c r="B10837" s="2889" t="s">
        <v>1633</v>
      </c>
      <c r="C10837" s="2889" t="s">
        <v>1447</v>
      </c>
      <c r="D10837" s="2889" t="s">
        <v>1105</v>
      </c>
      <c r="E10837" s="2889" t="s">
        <v>217</v>
      </c>
      <c r="F10837" s="2890">
        <v>8.1088857052143304E-2</v>
      </c>
      <c r="G10837" s="2890">
        <v>121.84503430042093</v>
      </c>
    </row>
    <row r="10838" spans="2:7" ht="15" hidden="1" outlineLevel="2">
      <c r="B10838" s="2889" t="s">
        <v>1633</v>
      </c>
      <c r="C10838" s="2889" t="s">
        <v>1448</v>
      </c>
      <c r="D10838" s="2889" t="s">
        <v>1105</v>
      </c>
      <c r="E10838" s="2889" t="s">
        <v>217</v>
      </c>
      <c r="F10838" s="2890">
        <v>0.15314380399161515</v>
      </c>
      <c r="G10838" s="2890">
        <v>191.95625433998825</v>
      </c>
    </row>
    <row r="10839" spans="2:7" ht="15" hidden="1" outlineLevel="2">
      <c r="B10839" s="2889" t="s">
        <v>1633</v>
      </c>
      <c r="C10839" s="2889" t="s">
        <v>1449</v>
      </c>
      <c r="D10839" s="2889" t="s">
        <v>1105</v>
      </c>
      <c r="E10839" s="2889" t="s">
        <v>217</v>
      </c>
      <c r="F10839" s="2890">
        <v>6.5196598144264773E-3</v>
      </c>
      <c r="G10839" s="2890">
        <v>9.0285559139728306</v>
      </c>
    </row>
    <row r="10840" spans="2:7" ht="15" hidden="1" outlineLevel="2">
      <c r="B10840" s="2889" t="s">
        <v>1633</v>
      </c>
      <c r="C10840" s="2889" t="s">
        <v>1450</v>
      </c>
      <c r="D10840" s="2889" t="s">
        <v>1105</v>
      </c>
      <c r="E10840" s="2889" t="s">
        <v>1420</v>
      </c>
      <c r="F10840" s="2890">
        <v>2.0711105499173436E-2</v>
      </c>
      <c r="G10840" s="2890">
        <v>56.939053722583722</v>
      </c>
    </row>
    <row r="10841" spans="2:7" ht="15" hidden="1" outlineLevel="2">
      <c r="B10841" s="2889" t="s">
        <v>1633</v>
      </c>
      <c r="C10841" s="2889" t="s">
        <v>1451</v>
      </c>
      <c r="D10841" s="2889" t="s">
        <v>1105</v>
      </c>
      <c r="E10841" s="2889" t="s">
        <v>1420</v>
      </c>
      <c r="F10841" s="2890">
        <v>3.0070277089293339E-3</v>
      </c>
      <c r="G10841" s="2890">
        <v>12.682313951704058</v>
      </c>
    </row>
    <row r="10842" spans="2:7" ht="15" hidden="1" outlineLevel="2">
      <c r="B10842" s="2889" t="s">
        <v>1633</v>
      </c>
      <c r="C10842" s="2889" t="s">
        <v>1452</v>
      </c>
      <c r="D10842" s="2889" t="s">
        <v>1105</v>
      </c>
      <c r="E10842" s="2889" t="s">
        <v>1420</v>
      </c>
      <c r="F10842" s="2890">
        <v>2.2246598962176361E-3</v>
      </c>
      <c r="G10842" s="2890">
        <v>14.865940653694253</v>
      </c>
    </row>
    <row r="10843" spans="2:7" ht="15" hidden="1" outlineLevel="2">
      <c r="B10843" s="2889" t="s">
        <v>1633</v>
      </c>
      <c r="C10843" s="2889" t="s">
        <v>1453</v>
      </c>
      <c r="D10843" s="2889" t="s">
        <v>1105</v>
      </c>
      <c r="E10843" s="2889" t="s">
        <v>1420</v>
      </c>
      <c r="F10843" s="2890">
        <v>3.8967695134035389E-3</v>
      </c>
      <c r="G10843" s="2890">
        <v>18.467233775082786</v>
      </c>
    </row>
    <row r="10844" spans="2:7" ht="15" hidden="1" outlineLevel="2">
      <c r="B10844" s="2889" t="s">
        <v>1633</v>
      </c>
      <c r="C10844" s="2889" t="s">
        <v>1454</v>
      </c>
      <c r="D10844" s="2889" t="s">
        <v>1105</v>
      </c>
      <c r="E10844" s="2889" t="s">
        <v>1420</v>
      </c>
      <c r="F10844" s="2890">
        <v>9.7300164900953034E-5</v>
      </c>
      <c r="G10844" s="2890">
        <v>0.24963536801554007</v>
      </c>
    </row>
    <row r="10845" spans="2:7" ht="15" hidden="1" outlineLevel="2">
      <c r="B10845" s="2889" t="s">
        <v>1633</v>
      </c>
      <c r="C10845" s="2889" t="s">
        <v>1455</v>
      </c>
      <c r="D10845" s="2889" t="s">
        <v>1105</v>
      </c>
      <c r="E10845" s="2889" t="s">
        <v>1420</v>
      </c>
      <c r="F10845" s="2890">
        <v>2.8387459149993452E-5</v>
      </c>
      <c r="G10845" s="2890">
        <v>0.23187822629461491</v>
      </c>
    </row>
    <row r="10846" spans="2:7" ht="15" hidden="1" outlineLevel="2">
      <c r="B10846" s="2889" t="s">
        <v>1633</v>
      </c>
      <c r="C10846" s="2889" t="s">
        <v>1456</v>
      </c>
      <c r="D10846" s="2889" t="s">
        <v>1105</v>
      </c>
      <c r="E10846" s="2889" t="s">
        <v>1423</v>
      </c>
      <c r="F10846" s="2890">
        <v>0.45759936476541224</v>
      </c>
      <c r="G10846" s="2890">
        <v>12.707056676741562</v>
      </c>
    </row>
    <row r="10847" spans="2:7" ht="15" hidden="1" outlineLevel="2">
      <c r="B10847" s="2889" t="s">
        <v>1633</v>
      </c>
      <c r="C10847" s="2889" t="s">
        <v>1457</v>
      </c>
      <c r="D10847" s="2889" t="s">
        <v>1105</v>
      </c>
      <c r="E10847" s="2889" t="s">
        <v>1423</v>
      </c>
      <c r="F10847" s="2890">
        <v>1.7543707988243121E-2</v>
      </c>
      <c r="G10847" s="2890">
        <v>0.63774025382771027</v>
      </c>
    </row>
    <row r="10848" spans="2:7" ht="15" hidden="1" outlineLevel="2">
      <c r="B10848" s="2889" t="s">
        <v>1633</v>
      </c>
      <c r="C10848" s="2889" t="s">
        <v>1458</v>
      </c>
      <c r="D10848" s="2889" t="s">
        <v>1105</v>
      </c>
      <c r="E10848" s="2889" t="s">
        <v>1423</v>
      </c>
      <c r="F10848" s="2890">
        <v>1.2595095281793192E-2</v>
      </c>
      <c r="G10848" s="2890">
        <v>0.88337908455013547</v>
      </c>
    </row>
    <row r="10849" spans="2:7" ht="15" hidden="1" outlineLevel="2">
      <c r="B10849" s="2889" t="s">
        <v>1633</v>
      </c>
      <c r="C10849" s="2889" t="s">
        <v>1459</v>
      </c>
      <c r="D10849" s="2889" t="s">
        <v>1105</v>
      </c>
      <c r="E10849" s="2889" t="s">
        <v>1423</v>
      </c>
      <c r="F10849" s="2890">
        <v>0.14755787278165058</v>
      </c>
      <c r="G10849" s="2890">
        <v>30.878775200898904</v>
      </c>
    </row>
    <row r="10850" spans="2:7" ht="15" hidden="1" outlineLevel="2">
      <c r="B10850" s="2889" t="s">
        <v>1633</v>
      </c>
      <c r="C10850" s="2889" t="s">
        <v>1460</v>
      </c>
      <c r="D10850" s="2889" t="s">
        <v>1105</v>
      </c>
      <c r="E10850" s="2889" t="s">
        <v>1426</v>
      </c>
      <c r="F10850" s="2891"/>
      <c r="G10850" s="2890">
        <v>329.28218213815569</v>
      </c>
    </row>
    <row r="10851" spans="2:7" ht="15" hidden="1" outlineLevel="2">
      <c r="B10851" s="2889" t="s">
        <v>1633</v>
      </c>
      <c r="C10851" s="2889" t="s">
        <v>1461</v>
      </c>
      <c r="D10851" s="2889" t="s">
        <v>1105</v>
      </c>
      <c r="E10851" s="2889" t="s">
        <v>1426</v>
      </c>
      <c r="F10851" s="2891"/>
      <c r="G10851" s="2890">
        <v>77.690621510703807</v>
      </c>
    </row>
    <row r="10852" spans="2:7" ht="15" hidden="1" outlineLevel="2">
      <c r="B10852" s="2889" t="s">
        <v>1633</v>
      </c>
      <c r="C10852" s="2889" t="s">
        <v>1462</v>
      </c>
      <c r="D10852" s="2889" t="s">
        <v>1105</v>
      </c>
      <c r="E10852" s="2889" t="s">
        <v>1426</v>
      </c>
      <c r="F10852" s="2891"/>
      <c r="G10852" s="2890">
        <v>215.56146089660345</v>
      </c>
    </row>
    <row r="10853" spans="2:7" ht="15" hidden="1" outlineLevel="2">
      <c r="B10853" s="2889" t="s">
        <v>1633</v>
      </c>
      <c r="C10853" s="2889" t="s">
        <v>1463</v>
      </c>
      <c r="D10853" s="2889" t="s">
        <v>1105</v>
      </c>
      <c r="E10853" s="2889" t="s">
        <v>1426</v>
      </c>
      <c r="F10853" s="2891"/>
      <c r="G10853" s="2890">
        <v>109.45511104844792</v>
      </c>
    </row>
    <row r="10854" spans="2:7" ht="15" hidden="1" outlineLevel="2">
      <c r="B10854" s="2889" t="s">
        <v>1633</v>
      </c>
      <c r="C10854" s="2889" t="s">
        <v>1464</v>
      </c>
      <c r="D10854" s="2889" t="s">
        <v>1105</v>
      </c>
      <c r="E10854" s="2889" t="s">
        <v>1426</v>
      </c>
      <c r="F10854" s="2891"/>
      <c r="G10854" s="2890">
        <v>10.514939883582437</v>
      </c>
    </row>
    <row r="10855" spans="2:7" ht="15" hidden="1" outlineLevel="2">
      <c r="B10855" s="2889" t="s">
        <v>1633</v>
      </c>
      <c r="C10855" s="2889" t="s">
        <v>1465</v>
      </c>
      <c r="D10855" s="2889" t="s">
        <v>1105</v>
      </c>
      <c r="E10855" s="2889" t="s">
        <v>1426</v>
      </c>
      <c r="F10855" s="2891"/>
      <c r="G10855" s="2890">
        <v>9.329135801951951</v>
      </c>
    </row>
    <row r="10856" spans="2:7" ht="15" hidden="1" outlineLevel="2">
      <c r="B10856" s="2889" t="s">
        <v>1633</v>
      </c>
      <c r="C10856" s="2889" t="s">
        <v>1466</v>
      </c>
      <c r="D10856" s="2889" t="s">
        <v>1054</v>
      </c>
      <c r="E10856" s="2889" t="s">
        <v>217</v>
      </c>
      <c r="F10856" s="2890">
        <v>2.0631445284043697E-2</v>
      </c>
      <c r="G10856" s="2890">
        <v>12.721273690325667</v>
      </c>
    </row>
    <row r="10857" spans="2:7" ht="15" hidden="1" outlineLevel="2">
      <c r="B10857" s="2889" t="s">
        <v>1633</v>
      </c>
      <c r="C10857" s="2889" t="s">
        <v>1467</v>
      </c>
      <c r="D10857" s="2889" t="s">
        <v>1054</v>
      </c>
      <c r="E10857" s="2889" t="s">
        <v>217</v>
      </c>
      <c r="F10857" s="2890">
        <v>1.7050567190388078E-3</v>
      </c>
      <c r="G10857" s="2890">
        <v>0.82507144090894846</v>
      </c>
    </row>
    <row r="10858" spans="2:7" ht="15" hidden="1" outlineLevel="2">
      <c r="B10858" s="2889" t="s">
        <v>1633</v>
      </c>
      <c r="C10858" s="2889" t="s">
        <v>1468</v>
      </c>
      <c r="D10858" s="2889" t="s">
        <v>1054</v>
      </c>
      <c r="E10858" s="2889" t="s">
        <v>217</v>
      </c>
      <c r="F10858" s="2890">
        <v>2.0648751630465232E-3</v>
      </c>
      <c r="G10858" s="2890">
        <v>0.98632557143672683</v>
      </c>
    </row>
    <row r="10859" spans="2:7" ht="15" hidden="1" outlineLevel="2">
      <c r="B10859" s="2889" t="s">
        <v>1633</v>
      </c>
      <c r="C10859" s="2889" t="s">
        <v>1469</v>
      </c>
      <c r="D10859" s="2889" t="s">
        <v>1054</v>
      </c>
      <c r="E10859" s="2889" t="s">
        <v>217</v>
      </c>
      <c r="F10859" s="2890">
        <v>1.6477079170293763E-5</v>
      </c>
      <c r="G10859" s="2890">
        <v>7.386129578566482E-3</v>
      </c>
    </row>
    <row r="10860" spans="2:7" ht="15" hidden="1" outlineLevel="2">
      <c r="B10860" s="2889" t="s">
        <v>1633</v>
      </c>
      <c r="C10860" s="2889" t="s">
        <v>1470</v>
      </c>
      <c r="D10860" s="2889" t="s">
        <v>1054</v>
      </c>
      <c r="E10860" s="2889" t="s">
        <v>217</v>
      </c>
      <c r="F10860" s="2890">
        <v>5.8778191649508336E-2</v>
      </c>
      <c r="G10860" s="2890">
        <v>32.873764281443755</v>
      </c>
    </row>
    <row r="10861" spans="2:7" ht="15" hidden="1" outlineLevel="2">
      <c r="B10861" s="2889" t="s">
        <v>1633</v>
      </c>
      <c r="C10861" s="2889" t="s">
        <v>1471</v>
      </c>
      <c r="D10861" s="2889" t="s">
        <v>1054</v>
      </c>
      <c r="E10861" s="2889" t="s">
        <v>217</v>
      </c>
      <c r="F10861" s="2890">
        <v>4.290497002058444E-4</v>
      </c>
      <c r="G10861" s="2890">
        <v>0.19232866243240013</v>
      </c>
    </row>
    <row r="10862" spans="2:7" ht="15" hidden="1" outlineLevel="2">
      <c r="B10862" s="2889" t="s">
        <v>1633</v>
      </c>
      <c r="C10862" s="2889" t="s">
        <v>1472</v>
      </c>
      <c r="D10862" s="2889" t="s">
        <v>1054</v>
      </c>
      <c r="E10862" s="2889" t="s">
        <v>217</v>
      </c>
      <c r="F10862" s="2890">
        <v>7.2607902035612135E-3</v>
      </c>
      <c r="G10862" s="2890">
        <v>11.308954469233353</v>
      </c>
    </row>
    <row r="10863" spans="2:7" ht="15" hidden="1" outlineLevel="2">
      <c r="B10863" s="2889" t="s">
        <v>1633</v>
      </c>
      <c r="C10863" s="2889" t="s">
        <v>1473</v>
      </c>
      <c r="D10863" s="2889" t="s">
        <v>1054</v>
      </c>
      <c r="E10863" s="2889" t="s">
        <v>217</v>
      </c>
      <c r="F10863" s="2890">
        <v>6.4310345753293928E-5</v>
      </c>
      <c r="G10863" s="2890">
        <v>8.3570269732225033E-2</v>
      </c>
    </row>
    <row r="10864" spans="2:7" ht="15" hidden="1" outlineLevel="2">
      <c r="B10864" s="2889" t="s">
        <v>1633</v>
      </c>
      <c r="C10864" s="2889" t="s">
        <v>1474</v>
      </c>
      <c r="D10864" s="2889" t="s">
        <v>1054</v>
      </c>
      <c r="E10864" s="2889" t="s">
        <v>217</v>
      </c>
      <c r="F10864" s="2890">
        <v>1.7690127908418042E-2</v>
      </c>
      <c r="G10864" s="2890">
        <v>21.162422698473296</v>
      </c>
    </row>
    <row r="10865" spans="2:7" ht="15" hidden="1" outlineLevel="2">
      <c r="B10865" s="2889" t="s">
        <v>1633</v>
      </c>
      <c r="C10865" s="2889" t="s">
        <v>1475</v>
      </c>
      <c r="D10865" s="2889" t="s">
        <v>1054</v>
      </c>
      <c r="E10865" s="2889" t="s">
        <v>217</v>
      </c>
      <c r="F10865" s="2890">
        <v>1.2671597375598165E-2</v>
      </c>
      <c r="G10865" s="2890">
        <v>19.997186779984336</v>
      </c>
    </row>
    <row r="10866" spans="2:7" ht="15" hidden="1" outlineLevel="2">
      <c r="B10866" s="2889" t="s">
        <v>1633</v>
      </c>
      <c r="C10866" s="2889" t="s">
        <v>1476</v>
      </c>
      <c r="D10866" s="2889" t="s">
        <v>1054</v>
      </c>
      <c r="E10866" s="2889" t="s">
        <v>217</v>
      </c>
      <c r="F10866" s="2890">
        <v>3.1199739041247045E-2</v>
      </c>
      <c r="G10866" s="2890">
        <v>39.801163941755007</v>
      </c>
    </row>
    <row r="10867" spans="2:7" ht="15" hidden="1" outlineLevel="2">
      <c r="B10867" s="2889" t="s">
        <v>1633</v>
      </c>
      <c r="C10867" s="2889" t="s">
        <v>1477</v>
      </c>
      <c r="D10867" s="2889" t="s">
        <v>1054</v>
      </c>
      <c r="E10867" s="2889" t="s">
        <v>217</v>
      </c>
      <c r="F10867" s="2890">
        <v>1.220351387995665E-2</v>
      </c>
      <c r="G10867" s="2890">
        <v>16.784155947371271</v>
      </c>
    </row>
    <row r="10868" spans="2:7" ht="15" hidden="1" outlineLevel="2">
      <c r="B10868" s="2889" t="s">
        <v>1633</v>
      </c>
      <c r="C10868" s="2889" t="s">
        <v>1478</v>
      </c>
      <c r="D10868" s="2889" t="s">
        <v>1054</v>
      </c>
      <c r="E10868" s="2889" t="s">
        <v>217</v>
      </c>
      <c r="F10868" s="2890">
        <v>6.5764440550342281E-4</v>
      </c>
      <c r="G10868" s="2890">
        <v>0.87142237299246383</v>
      </c>
    </row>
    <row r="10869" spans="2:7" ht="15" hidden="1" outlineLevel="2">
      <c r="B10869" s="2889" t="s">
        <v>1633</v>
      </c>
      <c r="C10869" s="2889" t="s">
        <v>1479</v>
      </c>
      <c r="D10869" s="2889" t="s">
        <v>1054</v>
      </c>
      <c r="E10869" s="2889" t="s">
        <v>217</v>
      </c>
      <c r="F10869" s="2890">
        <v>2.325521162964073E-2</v>
      </c>
      <c r="G10869" s="2890">
        <v>35.137177917999239</v>
      </c>
    </row>
    <row r="10870" spans="2:7" ht="15" hidden="1" outlineLevel="2">
      <c r="B10870" s="2889" t="s">
        <v>1633</v>
      </c>
      <c r="C10870" s="2889" t="s">
        <v>1480</v>
      </c>
      <c r="D10870" s="2889" t="s">
        <v>1054</v>
      </c>
      <c r="E10870" s="2889" t="s">
        <v>217</v>
      </c>
      <c r="F10870" s="2890">
        <v>1.0470579285291147E-2</v>
      </c>
      <c r="G10870" s="2890">
        <v>12.101806082441291</v>
      </c>
    </row>
    <row r="10871" spans="2:7" ht="15" hidden="1" outlineLevel="2">
      <c r="B10871" s="2889" t="s">
        <v>1633</v>
      </c>
      <c r="C10871" s="2889" t="s">
        <v>1481</v>
      </c>
      <c r="D10871" s="2889" t="s">
        <v>1054</v>
      </c>
      <c r="E10871" s="2889" t="s">
        <v>217</v>
      </c>
      <c r="F10871" s="2890">
        <v>5.180062972746434E-2</v>
      </c>
      <c r="G10871" s="2890">
        <v>73.183844580809122</v>
      </c>
    </row>
    <row r="10872" spans="2:7" ht="15" hidden="1" outlineLevel="2">
      <c r="B10872" s="2889" t="s">
        <v>1633</v>
      </c>
      <c r="C10872" s="2889" t="s">
        <v>1482</v>
      </c>
      <c r="D10872" s="2889" t="s">
        <v>1054</v>
      </c>
      <c r="E10872" s="2889" t="s">
        <v>217</v>
      </c>
      <c r="F10872" s="2890">
        <v>3.4910440145241244E-2</v>
      </c>
      <c r="G10872" s="2890">
        <v>35.058891667753549</v>
      </c>
    </row>
    <row r="10873" spans="2:7" ht="15" hidden="1" outlineLevel="2">
      <c r="B10873" s="2889" t="s">
        <v>1633</v>
      </c>
      <c r="C10873" s="2889" t="s">
        <v>1483</v>
      </c>
      <c r="D10873" s="2889" t="s">
        <v>1054</v>
      </c>
      <c r="E10873" s="2889" t="s">
        <v>217</v>
      </c>
      <c r="F10873" s="2890">
        <v>1.6601234578053569E-3</v>
      </c>
      <c r="G10873" s="2890">
        <v>2.7947439666220744</v>
      </c>
    </row>
    <row r="10874" spans="2:7" ht="15" hidden="1" outlineLevel="2">
      <c r="B10874" s="2889" t="s">
        <v>1633</v>
      </c>
      <c r="C10874" s="2889" t="s">
        <v>1484</v>
      </c>
      <c r="D10874" s="2889" t="s">
        <v>1054</v>
      </c>
      <c r="E10874" s="2889" t="s">
        <v>217</v>
      </c>
      <c r="F10874" s="2890">
        <v>3.3734167622716969E-3</v>
      </c>
      <c r="G10874" s="2890">
        <v>4.7388761966074799</v>
      </c>
    </row>
    <row r="10875" spans="2:7" ht="15" hidden="1" outlineLevel="2">
      <c r="B10875" s="2889" t="s">
        <v>1633</v>
      </c>
      <c r="C10875" s="2889" t="s">
        <v>1485</v>
      </c>
      <c r="D10875" s="2889" t="s">
        <v>1054</v>
      </c>
      <c r="E10875" s="2889" t="s">
        <v>217</v>
      </c>
      <c r="F10875" s="2890">
        <v>1.4997508572044053E-3</v>
      </c>
      <c r="G10875" s="2890">
        <v>4.246461301507126</v>
      </c>
    </row>
    <row r="10876" spans="2:7" ht="15" hidden="1" outlineLevel="2">
      <c r="B10876" s="2889" t="s">
        <v>1633</v>
      </c>
      <c r="C10876" s="2889" t="s">
        <v>1486</v>
      </c>
      <c r="D10876" s="2889" t="s">
        <v>1054</v>
      </c>
      <c r="E10876" s="2889" t="s">
        <v>217</v>
      </c>
      <c r="F10876" s="2890">
        <v>1.7467315506609802E-3</v>
      </c>
      <c r="G10876" s="2890">
        <v>10.142426793158759</v>
      </c>
    </row>
    <row r="10877" spans="2:7" ht="15" hidden="1" outlineLevel="2">
      <c r="B10877" s="2889" t="s">
        <v>1633</v>
      </c>
      <c r="C10877" s="2889" t="s">
        <v>1487</v>
      </c>
      <c r="D10877" s="2889" t="s">
        <v>1054</v>
      </c>
      <c r="E10877" s="2889" t="s">
        <v>217</v>
      </c>
      <c r="F10877" s="2890">
        <v>1.6515243158937588E-2</v>
      </c>
      <c r="G10877" s="2890">
        <v>24.034911341426284</v>
      </c>
    </row>
    <row r="10878" spans="2:7" ht="15" hidden="1" outlineLevel="2">
      <c r="B10878" s="2889" t="s">
        <v>1633</v>
      </c>
      <c r="C10878" s="2889" t="s">
        <v>1488</v>
      </c>
      <c r="D10878" s="2889" t="s">
        <v>1054</v>
      </c>
      <c r="E10878" s="2889" t="s">
        <v>217</v>
      </c>
      <c r="F10878" s="2890">
        <v>1.0248089026993375E-2</v>
      </c>
      <c r="G10878" s="2890">
        <v>16.495470047639301</v>
      </c>
    </row>
    <row r="10879" spans="2:7" ht="15" hidden="1" outlineLevel="2">
      <c r="B10879" s="2889" t="s">
        <v>1633</v>
      </c>
      <c r="C10879" s="2889" t="s">
        <v>1489</v>
      </c>
      <c r="D10879" s="2889" t="s">
        <v>1054</v>
      </c>
      <c r="E10879" s="2889" t="s">
        <v>217</v>
      </c>
      <c r="F10879" s="2890">
        <v>5.1585676965125518E-3</v>
      </c>
      <c r="G10879" s="2890">
        <v>5.4351088608429787</v>
      </c>
    </row>
    <row r="10880" spans="2:7" ht="15" hidden="1" outlineLevel="2">
      <c r="B10880" s="2889" t="s">
        <v>1633</v>
      </c>
      <c r="C10880" s="2889" t="s">
        <v>1490</v>
      </c>
      <c r="D10880" s="2889" t="s">
        <v>1054</v>
      </c>
      <c r="E10880" s="2889" t="s">
        <v>217</v>
      </c>
      <c r="F10880" s="2890">
        <v>2.4081884053820716E-3</v>
      </c>
      <c r="G10880" s="2890">
        <v>3.8395334144719246</v>
      </c>
    </row>
    <row r="10881" spans="2:7" ht="15" hidden="1" outlineLevel="2">
      <c r="B10881" s="2889" t="s">
        <v>1633</v>
      </c>
      <c r="C10881" s="2889" t="s">
        <v>1491</v>
      </c>
      <c r="D10881" s="2889" t="s">
        <v>1054</v>
      </c>
      <c r="E10881" s="2889" t="s">
        <v>1420</v>
      </c>
      <c r="F10881" s="2890">
        <v>4.5931528132420023E-4</v>
      </c>
      <c r="G10881" s="2890">
        <v>2.1747716882966084</v>
      </c>
    </row>
    <row r="10882" spans="2:7" ht="15" hidden="1" outlineLevel="2">
      <c r="B10882" s="2889" t="s">
        <v>1633</v>
      </c>
      <c r="C10882" s="2889" t="s">
        <v>1492</v>
      </c>
      <c r="D10882" s="2889" t="s">
        <v>1054</v>
      </c>
      <c r="E10882" s="2889" t="s">
        <v>1420</v>
      </c>
      <c r="F10882" s="2890">
        <v>3.4144008246168357E-4</v>
      </c>
      <c r="G10882" s="2890">
        <v>3.6496764829857766</v>
      </c>
    </row>
    <row r="10883" spans="2:7" ht="15" hidden="1" outlineLevel="2">
      <c r="B10883" s="2889" t="s">
        <v>1633</v>
      </c>
      <c r="C10883" s="2889" t="s">
        <v>1493</v>
      </c>
      <c r="D10883" s="2889" t="s">
        <v>1054</v>
      </c>
      <c r="E10883" s="2889" t="s">
        <v>1420</v>
      </c>
      <c r="F10883" s="2890">
        <v>2.5283074213370605E-4</v>
      </c>
      <c r="G10883" s="2890">
        <v>0.60376596217702327</v>
      </c>
    </row>
    <row r="10884" spans="2:7" ht="15" hidden="1" outlineLevel="2">
      <c r="B10884" s="2889" t="s">
        <v>1633</v>
      </c>
      <c r="C10884" s="2889" t="s">
        <v>1494</v>
      </c>
      <c r="D10884" s="2889" t="s">
        <v>1054</v>
      </c>
      <c r="E10884" s="2889" t="s">
        <v>1420</v>
      </c>
      <c r="F10884" s="2890">
        <v>6.8941511736013105E-5</v>
      </c>
      <c r="G10884" s="2890">
        <v>0.37833327722272347</v>
      </c>
    </row>
    <row r="10885" spans="2:7" ht="15" hidden="1" outlineLevel="2">
      <c r="B10885" s="2889" t="s">
        <v>1633</v>
      </c>
      <c r="C10885" s="2889" t="s">
        <v>1495</v>
      </c>
      <c r="D10885" s="2889" t="s">
        <v>1054</v>
      </c>
      <c r="E10885" s="2889" t="s">
        <v>1420</v>
      </c>
      <c r="F10885" s="2890">
        <v>1.4919414481158783E-3</v>
      </c>
      <c r="G10885" s="2890">
        <v>6.6952182587353493</v>
      </c>
    </row>
    <row r="10886" spans="2:7" ht="15" hidden="1" outlineLevel="2">
      <c r="B10886" s="2889" t="s">
        <v>1633</v>
      </c>
      <c r="C10886" s="2889" t="s">
        <v>1496</v>
      </c>
      <c r="D10886" s="2889" t="s">
        <v>1054</v>
      </c>
      <c r="E10886" s="2889" t="s">
        <v>1420</v>
      </c>
      <c r="F10886" s="2890">
        <v>1.3535349013253069E-3</v>
      </c>
      <c r="G10886" s="2890">
        <v>2.4106643013359346</v>
      </c>
    </row>
    <row r="10887" spans="2:7" ht="15" hidden="1" outlineLevel="2">
      <c r="B10887" s="2889" t="s">
        <v>1633</v>
      </c>
      <c r="C10887" s="2889" t="s">
        <v>1497</v>
      </c>
      <c r="D10887" s="2889" t="s">
        <v>1054</v>
      </c>
      <c r="E10887" s="2889" t="s">
        <v>1420</v>
      </c>
      <c r="F10887" s="2890">
        <v>3.7554367300154039E-4</v>
      </c>
      <c r="G10887" s="2890">
        <v>6.1941515531103324</v>
      </c>
    </row>
    <row r="10888" spans="2:7" ht="15" hidden="1" outlineLevel="2">
      <c r="B10888" s="2889" t="s">
        <v>1633</v>
      </c>
      <c r="C10888" s="2889" t="s">
        <v>1498</v>
      </c>
      <c r="D10888" s="2889" t="s">
        <v>1054</v>
      </c>
      <c r="E10888" s="2889" t="s">
        <v>1420</v>
      </c>
      <c r="F10888" s="2890">
        <v>1.0265356866156529E-3</v>
      </c>
      <c r="G10888" s="2890">
        <v>2.4670635894609112</v>
      </c>
    </row>
    <row r="10889" spans="2:7" ht="15" hidden="1" outlineLevel="2">
      <c r="B10889" s="2889" t="s">
        <v>1633</v>
      </c>
      <c r="C10889" s="2889" t="s">
        <v>1499</v>
      </c>
      <c r="D10889" s="2889" t="s">
        <v>1054</v>
      </c>
      <c r="E10889" s="2889" t="s">
        <v>1420</v>
      </c>
      <c r="F10889" s="2890">
        <v>1.567800138920246E-4</v>
      </c>
      <c r="G10889" s="2890">
        <v>0.39698658345554466</v>
      </c>
    </row>
    <row r="10890" spans="2:7" ht="15" hidden="1" outlineLevel="2">
      <c r="B10890" s="2889" t="s">
        <v>1633</v>
      </c>
      <c r="C10890" s="2889" t="s">
        <v>1500</v>
      </c>
      <c r="D10890" s="2889" t="s">
        <v>1054</v>
      </c>
      <c r="E10890" s="2889" t="s">
        <v>1420</v>
      </c>
      <c r="F10890" s="2890">
        <v>1.1355888048201503E-3</v>
      </c>
      <c r="G10890" s="2890">
        <v>4.2945296749417174</v>
      </c>
    </row>
    <row r="10891" spans="2:7" ht="15" hidden="1" outlineLevel="2">
      <c r="B10891" s="2889" t="s">
        <v>1633</v>
      </c>
      <c r="C10891" s="2889" t="s">
        <v>1501</v>
      </c>
      <c r="D10891" s="2889" t="s">
        <v>1054</v>
      </c>
      <c r="E10891" s="2889" t="s">
        <v>1420</v>
      </c>
      <c r="F10891" s="2890">
        <v>1.42427452557231E-3</v>
      </c>
      <c r="G10891" s="2890">
        <v>10.457401306292217</v>
      </c>
    </row>
    <row r="10892" spans="2:7" ht="15" hidden="1" outlineLevel="2">
      <c r="B10892" s="2889" t="s">
        <v>1633</v>
      </c>
      <c r="C10892" s="2889" t="s">
        <v>1502</v>
      </c>
      <c r="D10892" s="2889" t="s">
        <v>1054</v>
      </c>
      <c r="E10892" s="2889" t="s">
        <v>1420</v>
      </c>
      <c r="F10892" s="2890">
        <v>9.9378969178009504E-5</v>
      </c>
      <c r="G10892" s="2890">
        <v>1.0923949375813187</v>
      </c>
    </row>
    <row r="10893" spans="2:7" ht="15" hidden="1" outlineLevel="2">
      <c r="B10893" s="2889" t="s">
        <v>1633</v>
      </c>
      <c r="C10893" s="2889" t="s">
        <v>1503</v>
      </c>
      <c r="D10893" s="2889" t="s">
        <v>1054</v>
      </c>
      <c r="E10893" s="2889" t="s">
        <v>1420</v>
      </c>
      <c r="F10893" s="2890">
        <v>3.2774270429408738E-3</v>
      </c>
      <c r="G10893" s="2890">
        <v>9.0490032501563018</v>
      </c>
    </row>
    <row r="10894" spans="2:7" ht="15" hidden="1" outlineLevel="2">
      <c r="B10894" s="2889" t="s">
        <v>1633</v>
      </c>
      <c r="C10894" s="2889" t="s">
        <v>1504</v>
      </c>
      <c r="D10894" s="2889" t="s">
        <v>1054</v>
      </c>
      <c r="E10894" s="2889" t="s">
        <v>1420</v>
      </c>
      <c r="F10894" s="2890">
        <v>1.690591369785885E-3</v>
      </c>
      <c r="G10894" s="2890">
        <v>3.7421391875076311</v>
      </c>
    </row>
    <row r="10895" spans="2:7" ht="15" hidden="1" outlineLevel="2">
      <c r="B10895" s="2889" t="s">
        <v>1633</v>
      </c>
      <c r="C10895" s="2889" t="s">
        <v>1505</v>
      </c>
      <c r="D10895" s="2889" t="s">
        <v>1054</v>
      </c>
      <c r="E10895" s="2889" t="s">
        <v>1423</v>
      </c>
      <c r="F10895" s="2890">
        <v>4.7941488509969368E-3</v>
      </c>
      <c r="G10895" s="2890">
        <v>0.11864478474667108</v>
      </c>
    </row>
    <row r="10896" spans="2:7" ht="15" hidden="1" outlineLevel="2">
      <c r="B10896" s="2889" t="s">
        <v>1633</v>
      </c>
      <c r="C10896" s="2889" t="s">
        <v>1506</v>
      </c>
      <c r="D10896" s="2889" t="s">
        <v>1054</v>
      </c>
      <c r="E10896" s="2889" t="s">
        <v>1426</v>
      </c>
      <c r="F10896" s="2891"/>
      <c r="G10896" s="2890">
        <v>352.2702525046123</v>
      </c>
    </row>
    <row r="10897" spans="2:7" ht="15" hidden="1" outlineLevel="2">
      <c r="B10897" s="2889" t="s">
        <v>1633</v>
      </c>
      <c r="C10897" s="2889" t="s">
        <v>1507</v>
      </c>
      <c r="D10897" s="2889" t="s">
        <v>1054</v>
      </c>
      <c r="E10897" s="2889" t="s">
        <v>1426</v>
      </c>
      <c r="F10897" s="2891"/>
      <c r="G10897" s="2890">
        <v>0.57422432591537742</v>
      </c>
    </row>
    <row r="10898" spans="2:7" ht="15" hidden="1" outlineLevel="2">
      <c r="B10898" s="2889" t="s">
        <v>1633</v>
      </c>
      <c r="C10898" s="2889" t="s">
        <v>1508</v>
      </c>
      <c r="D10898" s="2889" t="s">
        <v>1054</v>
      </c>
      <c r="E10898" s="2889" t="s">
        <v>1426</v>
      </c>
      <c r="F10898" s="2891"/>
      <c r="G10898" s="2890">
        <v>9.4601418637078716</v>
      </c>
    </row>
    <row r="10899" spans="2:7" ht="15" hidden="1" outlineLevel="2">
      <c r="B10899" s="2889" t="s">
        <v>1633</v>
      </c>
      <c r="C10899" s="2889" t="s">
        <v>1509</v>
      </c>
      <c r="D10899" s="2889" t="s">
        <v>1054</v>
      </c>
      <c r="E10899" s="2889" t="s">
        <v>1426</v>
      </c>
      <c r="F10899" s="2891"/>
      <c r="G10899" s="2890">
        <v>881.77355995995629</v>
      </c>
    </row>
    <row r="10900" spans="2:7" ht="15" hidden="1" outlineLevel="2">
      <c r="B10900" s="2889" t="s">
        <v>1633</v>
      </c>
      <c r="C10900" s="2889" t="s">
        <v>1510</v>
      </c>
      <c r="D10900" s="2889" t="s">
        <v>1054</v>
      </c>
      <c r="E10900" s="2889" t="s">
        <v>1426</v>
      </c>
      <c r="F10900" s="2891"/>
      <c r="G10900" s="2890">
        <v>959.18422030798592</v>
      </c>
    </row>
    <row r="10901" spans="2:7" ht="15" hidden="1" outlineLevel="2">
      <c r="B10901" s="2889" t="s">
        <v>1633</v>
      </c>
      <c r="C10901" s="2889" t="s">
        <v>1511</v>
      </c>
      <c r="D10901" s="2889" t="s">
        <v>1054</v>
      </c>
      <c r="E10901" s="2889" t="s">
        <v>1426</v>
      </c>
      <c r="F10901" s="2891"/>
      <c r="G10901" s="2890">
        <v>52.844742956522367</v>
      </c>
    </row>
    <row r="10902" spans="2:7" ht="15" hidden="1" outlineLevel="2">
      <c r="B10902" s="2889" t="s">
        <v>1633</v>
      </c>
      <c r="C10902" s="2889" t="s">
        <v>1512</v>
      </c>
      <c r="D10902" s="2889" t="s">
        <v>1054</v>
      </c>
      <c r="E10902" s="2889" t="s">
        <v>1426</v>
      </c>
      <c r="F10902" s="2891"/>
      <c r="G10902" s="2890">
        <v>32.617341235493107</v>
      </c>
    </row>
    <row r="10903" spans="2:7" ht="15" hidden="1" outlineLevel="2">
      <c r="B10903" s="2889" t="s">
        <v>1633</v>
      </c>
      <c r="C10903" s="2889" t="s">
        <v>1513</v>
      </c>
      <c r="D10903" s="2889" t="s">
        <v>1054</v>
      </c>
      <c r="E10903" s="2889" t="s">
        <v>1426</v>
      </c>
      <c r="F10903" s="2891"/>
      <c r="G10903" s="2890">
        <v>97.393726055923537</v>
      </c>
    </row>
    <row r="10904" spans="2:7" ht="15" hidden="1" outlineLevel="2">
      <c r="B10904" s="2889" t="s">
        <v>1633</v>
      </c>
      <c r="C10904" s="2889" t="s">
        <v>1514</v>
      </c>
      <c r="D10904" s="2889" t="s">
        <v>1054</v>
      </c>
      <c r="E10904" s="2889" t="s">
        <v>1426</v>
      </c>
      <c r="F10904" s="2891"/>
      <c r="G10904" s="2890">
        <v>418.32504797581595</v>
      </c>
    </row>
    <row r="10905" spans="2:7" ht="15" hidden="1" outlineLevel="2">
      <c r="B10905" s="2889" t="s">
        <v>1633</v>
      </c>
      <c r="C10905" s="2889" t="s">
        <v>1515</v>
      </c>
      <c r="D10905" s="2889" t="s">
        <v>1054</v>
      </c>
      <c r="E10905" s="2889" t="s">
        <v>1426</v>
      </c>
      <c r="F10905" s="2891"/>
      <c r="G10905" s="2890">
        <v>359.71059900055684</v>
      </c>
    </row>
    <row r="10906" spans="2:7" ht="15" hidden="1" outlineLevel="2">
      <c r="B10906" s="2889" t="s">
        <v>1633</v>
      </c>
      <c r="C10906" s="2889" t="s">
        <v>1516</v>
      </c>
      <c r="D10906" s="2889" t="s">
        <v>1054</v>
      </c>
      <c r="E10906" s="2889" t="s">
        <v>1426</v>
      </c>
      <c r="F10906" s="2891"/>
      <c r="G10906" s="2890">
        <v>3573.490855089271</v>
      </c>
    </row>
    <row r="10907" spans="2:7" ht="15" hidden="1" outlineLevel="2">
      <c r="B10907" s="2889" t="s">
        <v>1633</v>
      </c>
      <c r="C10907" s="2889" t="s">
        <v>1517</v>
      </c>
      <c r="D10907" s="2889" t="s">
        <v>1054</v>
      </c>
      <c r="E10907" s="2889" t="s">
        <v>1426</v>
      </c>
      <c r="F10907" s="2891"/>
      <c r="G10907" s="2890">
        <v>29.64194152035277</v>
      </c>
    </row>
    <row r="10908" spans="2:7" ht="15" hidden="1" outlineLevel="2">
      <c r="B10908" s="2889" t="s">
        <v>1633</v>
      </c>
      <c r="C10908" s="2889" t="s">
        <v>1518</v>
      </c>
      <c r="D10908" s="2889" t="s">
        <v>1054</v>
      </c>
      <c r="E10908" s="2889" t="s">
        <v>1426</v>
      </c>
      <c r="F10908" s="2891"/>
      <c r="G10908" s="2890">
        <v>14.001241109190893</v>
      </c>
    </row>
    <row r="10909" spans="2:7" ht="15" hidden="1" outlineLevel="2">
      <c r="B10909" s="2889" t="s">
        <v>1633</v>
      </c>
      <c r="C10909" s="2889" t="s">
        <v>1519</v>
      </c>
      <c r="D10909" s="2889" t="s">
        <v>1054</v>
      </c>
      <c r="E10909" s="2889" t="s">
        <v>1426</v>
      </c>
      <c r="F10909" s="2891"/>
      <c r="G10909" s="2890">
        <v>816.15438289449071</v>
      </c>
    </row>
    <row r="10910" spans="2:7" ht="15" hidden="1" outlineLevel="2">
      <c r="B10910" s="2889" t="s">
        <v>1633</v>
      </c>
      <c r="C10910" s="2889" t="s">
        <v>1520</v>
      </c>
      <c r="D10910" s="2889" t="s">
        <v>1054</v>
      </c>
      <c r="E10910" s="2889" t="s">
        <v>1426</v>
      </c>
      <c r="F10910" s="2891"/>
      <c r="G10910" s="2890">
        <v>889.06218380009773</v>
      </c>
    </row>
    <row r="10911" spans="2:7" ht="15" hidden="1" outlineLevel="2">
      <c r="B10911" s="2889" t="s">
        <v>1633</v>
      </c>
      <c r="C10911" s="2889" t="s">
        <v>1521</v>
      </c>
      <c r="D10911" s="2889" t="s">
        <v>1054</v>
      </c>
      <c r="E10911" s="2889" t="s">
        <v>1426</v>
      </c>
      <c r="F10911" s="2891"/>
      <c r="G10911" s="2890">
        <v>3056.3836084867844</v>
      </c>
    </row>
    <row r="10912" spans="2:7" ht="15" hidden="1" outlineLevel="2">
      <c r="B10912" s="2889" t="s">
        <v>1633</v>
      </c>
      <c r="C10912" s="2889" t="s">
        <v>1522</v>
      </c>
      <c r="D10912" s="2889" t="s">
        <v>1054</v>
      </c>
      <c r="E10912" s="2889" t="s">
        <v>1426</v>
      </c>
      <c r="F10912" s="2891"/>
      <c r="G10912" s="2890">
        <v>143.89030766048199</v>
      </c>
    </row>
    <row r="10913" spans="2:7" ht="15" hidden="1" outlineLevel="2">
      <c r="B10913" s="2889" t="s">
        <v>1633</v>
      </c>
      <c r="C10913" s="2889" t="s">
        <v>1523</v>
      </c>
      <c r="D10913" s="2889" t="s">
        <v>1054</v>
      </c>
      <c r="E10913" s="2889" t="s">
        <v>1426</v>
      </c>
      <c r="F10913" s="2891"/>
      <c r="G10913" s="2890">
        <v>1143.8315391451524</v>
      </c>
    </row>
    <row r="10914" spans="2:7" ht="15" hidden="1" outlineLevel="2">
      <c r="B10914" s="2889" t="s">
        <v>1633</v>
      </c>
      <c r="C10914" s="2889" t="s">
        <v>1524</v>
      </c>
      <c r="D10914" s="2889" t="s">
        <v>1054</v>
      </c>
      <c r="E10914" s="2889" t="s">
        <v>1426</v>
      </c>
      <c r="F10914" s="2891"/>
      <c r="G10914" s="2890">
        <v>3889.5956548413069</v>
      </c>
    </row>
    <row r="10915" spans="2:7" ht="15" hidden="1" outlineLevel="2">
      <c r="B10915" s="2889" t="s">
        <v>1633</v>
      </c>
      <c r="C10915" s="2889" t="s">
        <v>1525</v>
      </c>
      <c r="D10915" s="2889" t="s">
        <v>1054</v>
      </c>
      <c r="E10915" s="2889" t="s">
        <v>1426</v>
      </c>
      <c r="F10915" s="2891"/>
      <c r="G10915" s="2890">
        <v>2358.8035884569704</v>
      </c>
    </row>
    <row r="10916" spans="2:7" ht="15" hidden="1" outlineLevel="2">
      <c r="B10916" s="2889" t="s">
        <v>1633</v>
      </c>
      <c r="C10916" s="2889" t="s">
        <v>1526</v>
      </c>
      <c r="D10916" s="2889" t="s">
        <v>1054</v>
      </c>
      <c r="E10916" s="2889" t="s">
        <v>1426</v>
      </c>
      <c r="F10916" s="2891"/>
      <c r="G10916" s="2890">
        <v>3559.73995578004</v>
      </c>
    </row>
    <row r="10917" spans="2:7" ht="15" hidden="1" outlineLevel="2">
      <c r="B10917" s="2889" t="s">
        <v>1633</v>
      </c>
      <c r="C10917" s="2889" t="s">
        <v>1527</v>
      </c>
      <c r="D10917" s="2889" t="s">
        <v>1054</v>
      </c>
      <c r="E10917" s="2889" t="s">
        <v>1426</v>
      </c>
      <c r="F10917" s="2891"/>
      <c r="G10917" s="2890">
        <v>1617.4110291108636</v>
      </c>
    </row>
    <row r="10918" spans="2:7" ht="15" hidden="1" outlineLevel="2">
      <c r="B10918" s="2889" t="s">
        <v>1633</v>
      </c>
      <c r="C10918" s="2889" t="s">
        <v>1528</v>
      </c>
      <c r="D10918" s="2889" t="s">
        <v>1054</v>
      </c>
      <c r="E10918" s="2889" t="s">
        <v>1426</v>
      </c>
      <c r="F10918" s="2891"/>
      <c r="G10918" s="2890">
        <v>382.89247716017303</v>
      </c>
    </row>
    <row r="10919" spans="2:7" ht="15" hidden="1" outlineLevel="2">
      <c r="B10919" s="2889" t="s">
        <v>1633</v>
      </c>
      <c r="C10919" s="2889" t="s">
        <v>1529</v>
      </c>
      <c r="D10919" s="2889" t="s">
        <v>1054</v>
      </c>
      <c r="E10919" s="2889" t="s">
        <v>1426</v>
      </c>
      <c r="F10919" s="2891"/>
      <c r="G10919" s="2890">
        <v>4.983365919467543</v>
      </c>
    </row>
    <row r="10920" spans="2:7" ht="15" hidden="1" outlineLevel="2">
      <c r="B10920" s="2889" t="s">
        <v>1633</v>
      </c>
      <c r="C10920" s="2889" t="s">
        <v>1530</v>
      </c>
      <c r="D10920" s="2889" t="s">
        <v>1054</v>
      </c>
      <c r="E10920" s="2889" t="s">
        <v>1426</v>
      </c>
      <c r="F10920" s="2891"/>
      <c r="G10920" s="2890">
        <v>366.90201154555837</v>
      </c>
    </row>
    <row r="10921" spans="2:7" ht="15" hidden="1" outlineLevel="2">
      <c r="B10921" s="2889" t="s">
        <v>1633</v>
      </c>
      <c r="C10921" s="2889" t="s">
        <v>1531</v>
      </c>
      <c r="D10921" s="2889" t="s">
        <v>1106</v>
      </c>
      <c r="E10921" s="2889" t="s">
        <v>217</v>
      </c>
      <c r="F10921" s="2890">
        <v>6.1346850047686556E-5</v>
      </c>
      <c r="G10921" s="2890">
        <v>2.7501673323810746E-2</v>
      </c>
    </row>
    <row r="10922" spans="2:7" ht="15" hidden="1" outlineLevel="2">
      <c r="B10922" s="2889" t="s">
        <v>1633</v>
      </c>
      <c r="C10922" s="2889" t="s">
        <v>1532</v>
      </c>
      <c r="D10922" s="2889" t="s">
        <v>1106</v>
      </c>
      <c r="E10922" s="2889" t="s">
        <v>217</v>
      </c>
      <c r="F10922" s="2890">
        <v>4.8316047927810178E-6</v>
      </c>
      <c r="G10922" s="2890">
        <v>2.1660002942862949E-3</v>
      </c>
    </row>
    <row r="10923" spans="2:7" ht="15" hidden="1" outlineLevel="2">
      <c r="B10923" s="2889" t="s">
        <v>1633</v>
      </c>
      <c r="C10923" s="2889" t="s">
        <v>1533</v>
      </c>
      <c r="D10923" s="2889" t="s">
        <v>1106</v>
      </c>
      <c r="E10923" s="2889" t="s">
        <v>217</v>
      </c>
      <c r="F10923" s="2890">
        <v>3.1322339779011848E-3</v>
      </c>
      <c r="G10923" s="2890">
        <v>3.3451536773093613</v>
      </c>
    </row>
    <row r="10924" spans="2:7" ht="15" hidden="1" outlineLevel="2">
      <c r="B10924" s="2889" t="s">
        <v>1633</v>
      </c>
      <c r="C10924" s="2889" t="s">
        <v>1534</v>
      </c>
      <c r="D10924" s="2889" t="s">
        <v>1106</v>
      </c>
      <c r="E10924" s="2889" t="s">
        <v>217</v>
      </c>
      <c r="F10924" s="2890">
        <v>2.8475511534117211E-3</v>
      </c>
      <c r="G10924" s="2890">
        <v>9.9059041064606372</v>
      </c>
    </row>
    <row r="10925" spans="2:7" ht="15" hidden="1" outlineLevel="2">
      <c r="B10925" s="2889" t="s">
        <v>1633</v>
      </c>
      <c r="C10925" s="2889" t="s">
        <v>1535</v>
      </c>
      <c r="D10925" s="2889" t="s">
        <v>1106</v>
      </c>
      <c r="E10925" s="2889" t="s">
        <v>217</v>
      </c>
      <c r="F10925" s="2890">
        <v>1.0646676839135107E-3</v>
      </c>
      <c r="G10925" s="2890">
        <v>2.5017603942248643</v>
      </c>
    </row>
    <row r="10926" spans="2:7" ht="15" hidden="1" outlineLevel="2">
      <c r="B10926" s="2889" t="s">
        <v>1633</v>
      </c>
      <c r="C10926" s="2889" t="s">
        <v>1536</v>
      </c>
      <c r="D10926" s="2889" t="s">
        <v>1106</v>
      </c>
      <c r="E10926" s="2889" t="s">
        <v>217</v>
      </c>
      <c r="F10926" s="2890">
        <v>3.5715952859300009E-3</v>
      </c>
      <c r="G10926" s="2890">
        <v>4.6631647896257711</v>
      </c>
    </row>
    <row r="10927" spans="2:7" ht="15" hidden="1" outlineLevel="2">
      <c r="B10927" s="2889" t="s">
        <v>1633</v>
      </c>
      <c r="C10927" s="2889" t="s">
        <v>1537</v>
      </c>
      <c r="D10927" s="2889" t="s">
        <v>1106</v>
      </c>
      <c r="E10927" s="2889" t="s">
        <v>217</v>
      </c>
      <c r="F10927" s="2890">
        <v>2.0008182721096291E-4</v>
      </c>
      <c r="G10927" s="2890">
        <v>0.22911381464592398</v>
      </c>
    </row>
    <row r="10928" spans="2:7" ht="15" hidden="1" outlineLevel="2">
      <c r="B10928" s="2889" t="s">
        <v>1633</v>
      </c>
      <c r="C10928" s="2889" t="s">
        <v>1538</v>
      </c>
      <c r="D10928" s="2889" t="s">
        <v>1106</v>
      </c>
      <c r="E10928" s="2889" t="s">
        <v>217</v>
      </c>
      <c r="F10928" s="2890">
        <v>4.0879212997327184E-4</v>
      </c>
      <c r="G10928" s="2890">
        <v>0.55337786939888889</v>
      </c>
    </row>
    <row r="10929" spans="2:7" ht="15" hidden="1" outlineLevel="2">
      <c r="B10929" s="2889" t="s">
        <v>1633</v>
      </c>
      <c r="C10929" s="2889" t="s">
        <v>1539</v>
      </c>
      <c r="D10929" s="2889" t="s">
        <v>1106</v>
      </c>
      <c r="E10929" s="2889" t="s">
        <v>217</v>
      </c>
      <c r="F10929" s="2890">
        <v>7.8552446349812731E-5</v>
      </c>
      <c r="G10929" s="2890">
        <v>1.0100913996089811</v>
      </c>
    </row>
    <row r="10930" spans="2:7" ht="15" hidden="1" outlineLevel="2">
      <c r="B10930" s="2889" t="s">
        <v>1633</v>
      </c>
      <c r="C10930" s="2889" t="s">
        <v>1540</v>
      </c>
      <c r="D10930" s="2889" t="s">
        <v>1106</v>
      </c>
      <c r="E10930" s="2889" t="s">
        <v>1420</v>
      </c>
      <c r="F10930" s="2890">
        <v>3.4921202048535734E-3</v>
      </c>
      <c r="G10930" s="2890">
        <v>8.4742151460665447</v>
      </c>
    </row>
    <row r="10931" spans="2:7" ht="15" hidden="1" outlineLevel="2">
      <c r="B10931" s="2889" t="s">
        <v>1633</v>
      </c>
      <c r="C10931" s="2889" t="s">
        <v>1541</v>
      </c>
      <c r="D10931" s="2889" t="s">
        <v>1106</v>
      </c>
      <c r="E10931" s="2889" t="s">
        <v>1420</v>
      </c>
      <c r="F10931" s="2890">
        <v>0.10176856754011748</v>
      </c>
      <c r="G10931" s="2890">
        <v>749.25106335855753</v>
      </c>
    </row>
    <row r="10932" spans="2:7" ht="15" hidden="1" outlineLevel="2">
      <c r="B10932" s="2889" t="s">
        <v>1633</v>
      </c>
      <c r="C10932" s="2889" t="s">
        <v>1542</v>
      </c>
      <c r="D10932" s="2889" t="s">
        <v>1106</v>
      </c>
      <c r="E10932" s="2889" t="s">
        <v>1420</v>
      </c>
      <c r="F10932" s="2890">
        <v>4.9499665603211767E-4</v>
      </c>
      <c r="G10932" s="2890">
        <v>5.6643547122757489</v>
      </c>
    </row>
    <row r="10933" spans="2:7" ht="15" hidden="1" outlineLevel="2">
      <c r="B10933" s="2889" t="s">
        <v>1633</v>
      </c>
      <c r="C10933" s="2889" t="s">
        <v>1543</v>
      </c>
      <c r="D10933" s="2889" t="s">
        <v>1106</v>
      </c>
      <c r="E10933" s="2889" t="s">
        <v>1420</v>
      </c>
      <c r="F10933" s="2890">
        <v>1.7937462793672393E-4</v>
      </c>
      <c r="G10933" s="2890">
        <v>1.7556900306118084</v>
      </c>
    </row>
    <row r="10934" spans="2:7" ht="15" hidden="1" outlineLevel="2">
      <c r="B10934" s="2889" t="s">
        <v>1633</v>
      </c>
      <c r="C10934" s="2889" t="s">
        <v>1544</v>
      </c>
      <c r="D10934" s="2889" t="s">
        <v>1106</v>
      </c>
      <c r="E10934" s="2889" t="s">
        <v>1420</v>
      </c>
      <c r="F10934" s="2890">
        <v>1.7337585258684089E-4</v>
      </c>
      <c r="G10934" s="2890">
        <v>0.45299808414371145</v>
      </c>
    </row>
    <row r="10935" spans="2:7" ht="15" hidden="1" outlineLevel="2">
      <c r="B10935" s="2889" t="s">
        <v>1633</v>
      </c>
      <c r="C10935" s="2889" t="s">
        <v>1545</v>
      </c>
      <c r="D10935" s="2889" t="s">
        <v>1106</v>
      </c>
      <c r="E10935" s="2889" t="s">
        <v>1420</v>
      </c>
      <c r="F10935" s="2890">
        <v>1.73383005560219E-4</v>
      </c>
      <c r="G10935" s="2890">
        <v>3.445584400442137</v>
      </c>
    </row>
    <row r="10936" spans="2:7" ht="15" hidden="1" outlineLevel="2">
      <c r="B10936" s="2889" t="s">
        <v>1633</v>
      </c>
      <c r="C10936" s="2889" t="s">
        <v>1546</v>
      </c>
      <c r="D10936" s="2889" t="s">
        <v>1106</v>
      </c>
      <c r="E10936" s="2889" t="s">
        <v>1423</v>
      </c>
      <c r="F10936" s="2890">
        <v>0.525583808714988</v>
      </c>
      <c r="G10936" s="2890">
        <v>44.230936721427845</v>
      </c>
    </row>
    <row r="10937" spans="2:7" ht="15" hidden="1" outlineLevel="2">
      <c r="B10937" s="2889" t="s">
        <v>1633</v>
      </c>
      <c r="C10937" s="2889" t="s">
        <v>1547</v>
      </c>
      <c r="D10937" s="2889" t="s">
        <v>1106</v>
      </c>
      <c r="E10937" s="2889" t="s">
        <v>1423</v>
      </c>
      <c r="F10937" s="2890">
        <v>5.7407213601065523E-4</v>
      </c>
      <c r="G10937" s="2890">
        <v>5.0269935933692576E-2</v>
      </c>
    </row>
    <row r="10938" spans="2:7" ht="15" hidden="1" outlineLevel="2">
      <c r="B10938" s="2889" t="s">
        <v>1633</v>
      </c>
      <c r="C10938" s="2889" t="s">
        <v>1548</v>
      </c>
      <c r="D10938" s="2889" t="s">
        <v>1106</v>
      </c>
      <c r="E10938" s="2889" t="s">
        <v>1423</v>
      </c>
      <c r="F10938" s="2890">
        <v>2.6786183078260454E-4</v>
      </c>
      <c r="G10938" s="2890">
        <v>2.7453049176611254E-2</v>
      </c>
    </row>
    <row r="10939" spans="2:7" ht="15" hidden="1" outlineLevel="2">
      <c r="B10939" s="2889" t="s">
        <v>1633</v>
      </c>
      <c r="C10939" s="2889" t="s">
        <v>1549</v>
      </c>
      <c r="D10939" s="2889" t="s">
        <v>1106</v>
      </c>
      <c r="E10939" s="2889" t="s">
        <v>1423</v>
      </c>
      <c r="F10939" s="2890">
        <v>5.3048338438391636E-3</v>
      </c>
      <c r="G10939" s="2890">
        <v>0.52238820230307681</v>
      </c>
    </row>
    <row r="10940" spans="2:7" ht="15" hidden="1" outlineLevel="2">
      <c r="B10940" s="2889" t="s">
        <v>1633</v>
      </c>
      <c r="C10940" s="2889" t="s">
        <v>1550</v>
      </c>
      <c r="D10940" s="2889" t="s">
        <v>1106</v>
      </c>
      <c r="E10940" s="2889" t="s">
        <v>1423</v>
      </c>
      <c r="F10940" s="2890">
        <v>9.1218728997981302E-4</v>
      </c>
      <c r="G10940" s="2890">
        <v>0.20513106103028927</v>
      </c>
    </row>
    <row r="10941" spans="2:7" ht="15" hidden="1" outlineLevel="2">
      <c r="B10941" s="2889" t="s">
        <v>1633</v>
      </c>
      <c r="C10941" s="2889" t="s">
        <v>1551</v>
      </c>
      <c r="D10941" s="2889" t="s">
        <v>1106</v>
      </c>
      <c r="E10941" s="2889" t="s">
        <v>1426</v>
      </c>
      <c r="F10941" s="2891"/>
      <c r="G10941" s="2890">
        <v>13.787216732280912</v>
      </c>
    </row>
    <row r="10942" spans="2:7" ht="15" hidden="1" outlineLevel="2">
      <c r="B10942" s="2889" t="s">
        <v>1633</v>
      </c>
      <c r="C10942" s="2889" t="s">
        <v>1552</v>
      </c>
      <c r="D10942" s="2889" t="s">
        <v>1106</v>
      </c>
      <c r="E10942" s="2889" t="s">
        <v>1426</v>
      </c>
      <c r="F10942" s="2891"/>
      <c r="G10942" s="2890">
        <v>200.06041773682296</v>
      </c>
    </row>
    <row r="10943" spans="2:7" ht="15" hidden="1" outlineLevel="2">
      <c r="B10943" s="2889" t="s">
        <v>1633</v>
      </c>
      <c r="C10943" s="2889" t="s">
        <v>1553</v>
      </c>
      <c r="D10943" s="2889" t="s">
        <v>1106</v>
      </c>
      <c r="E10943" s="2889" t="s">
        <v>1426</v>
      </c>
      <c r="F10943" s="2891"/>
      <c r="G10943" s="2890">
        <v>87.319766867505265</v>
      </c>
    </row>
    <row r="10944" spans="2:7" ht="15" hidden="1" outlineLevel="2">
      <c r="B10944" s="2889" t="s">
        <v>1633</v>
      </c>
      <c r="C10944" s="2889" t="s">
        <v>1554</v>
      </c>
      <c r="D10944" s="2889" t="s">
        <v>1106</v>
      </c>
      <c r="E10944" s="2889" t="s">
        <v>1426</v>
      </c>
      <c r="F10944" s="2891"/>
      <c r="G10944" s="2890">
        <v>88.628604995621345</v>
      </c>
    </row>
    <row r="10945" spans="2:7" ht="15" hidden="1" outlineLevel="2">
      <c r="B10945" s="2889" t="s">
        <v>1633</v>
      </c>
      <c r="C10945" s="2889" t="s">
        <v>1555</v>
      </c>
      <c r="D10945" s="2889" t="s">
        <v>1106</v>
      </c>
      <c r="E10945" s="2889" t="s">
        <v>1426</v>
      </c>
      <c r="F10945" s="2891"/>
      <c r="G10945" s="2890">
        <v>3.4071999139075526</v>
      </c>
    </row>
    <row r="10946" spans="2:7" ht="15" hidden="1" outlineLevel="2">
      <c r="B10946" s="2889" t="s">
        <v>1633</v>
      </c>
      <c r="C10946" s="2889" t="s">
        <v>1556</v>
      </c>
      <c r="D10946" s="2889" t="s">
        <v>1106</v>
      </c>
      <c r="E10946" s="2889" t="s">
        <v>1426</v>
      </c>
      <c r="F10946" s="2891"/>
      <c r="G10946" s="2890">
        <v>1519.4956602554444</v>
      </c>
    </row>
    <row r="10947" spans="2:7" ht="15" hidden="1" outlineLevel="2">
      <c r="B10947" s="2889" t="s">
        <v>1633</v>
      </c>
      <c r="C10947" s="2889" t="s">
        <v>1557</v>
      </c>
      <c r="D10947" s="2889" t="s">
        <v>1106</v>
      </c>
      <c r="E10947" s="2889" t="s">
        <v>1426</v>
      </c>
      <c r="F10947" s="2891"/>
      <c r="G10947" s="2890">
        <v>125.95339813709955</v>
      </c>
    </row>
    <row r="10948" spans="2:7" ht="15" hidden="1" outlineLevel="2">
      <c r="B10948" s="2889" t="s">
        <v>1633</v>
      </c>
      <c r="C10948" s="2889" t="s">
        <v>1558</v>
      </c>
      <c r="D10948" s="2889" t="s">
        <v>1559</v>
      </c>
      <c r="E10948" s="2889" t="s">
        <v>217</v>
      </c>
      <c r="F10948" s="2890">
        <v>5.4150640348428463E-3</v>
      </c>
      <c r="G10948" s="2890">
        <v>2.9655682503632166</v>
      </c>
    </row>
    <row r="10949" spans="2:7" ht="15" hidden="1" outlineLevel="2">
      <c r="B10949" s="2889" t="s">
        <v>1633</v>
      </c>
      <c r="C10949" s="2889" t="s">
        <v>1560</v>
      </c>
      <c r="D10949" s="2889" t="s">
        <v>1559</v>
      </c>
      <c r="E10949" s="2889" t="s">
        <v>217</v>
      </c>
      <c r="F10949" s="2890">
        <v>2.0869841206686841E-2</v>
      </c>
      <c r="G10949" s="2890">
        <v>11.262867523767431</v>
      </c>
    </row>
    <row r="10950" spans="2:7" ht="15" hidden="1" outlineLevel="2">
      <c r="B10950" s="2889" t="s">
        <v>1633</v>
      </c>
      <c r="C10950" s="2889" t="s">
        <v>1561</v>
      </c>
      <c r="D10950" s="2889" t="s">
        <v>1559</v>
      </c>
      <c r="E10950" s="2889" t="s">
        <v>217</v>
      </c>
      <c r="F10950" s="2890">
        <v>7.7694422066920982E-2</v>
      </c>
      <c r="G10950" s="2890">
        <v>40.512062783689387</v>
      </c>
    </row>
    <row r="10951" spans="2:7" ht="15" hidden="1" outlineLevel="2">
      <c r="B10951" s="2889" t="s">
        <v>1633</v>
      </c>
      <c r="C10951" s="2889" t="s">
        <v>1562</v>
      </c>
      <c r="D10951" s="2889" t="s">
        <v>1559</v>
      </c>
      <c r="E10951" s="2889" t="s">
        <v>217</v>
      </c>
      <c r="F10951" s="2890">
        <v>0.22859461796973785</v>
      </c>
      <c r="G10951" s="2890">
        <v>125.34361848842487</v>
      </c>
    </row>
    <row r="10952" spans="2:7" ht="15" hidden="1" outlineLevel="2">
      <c r="B10952" s="2889" t="s">
        <v>1633</v>
      </c>
      <c r="C10952" s="2889" t="s">
        <v>1563</v>
      </c>
      <c r="D10952" s="2889" t="s">
        <v>1559</v>
      </c>
      <c r="E10952" s="2889" t="s">
        <v>217</v>
      </c>
      <c r="F10952" s="2890">
        <v>9.5801137191246222E-2</v>
      </c>
      <c r="G10952" s="2890">
        <v>56.455595058927429</v>
      </c>
    </row>
    <row r="10953" spans="2:7" ht="15" hidden="1" outlineLevel="2">
      <c r="B10953" s="2889" t="s">
        <v>1633</v>
      </c>
      <c r="C10953" s="2889" t="s">
        <v>1564</v>
      </c>
      <c r="D10953" s="2889" t="s">
        <v>1559</v>
      </c>
      <c r="E10953" s="2889" t="s">
        <v>217</v>
      </c>
      <c r="F10953" s="2890">
        <v>0.21586615002739545</v>
      </c>
      <c r="G10953" s="2890">
        <v>109.29753235882926</v>
      </c>
    </row>
    <row r="10954" spans="2:7" ht="15" hidden="1" outlineLevel="2">
      <c r="B10954" s="2889" t="s">
        <v>1633</v>
      </c>
      <c r="C10954" s="2889" t="s">
        <v>1565</v>
      </c>
      <c r="D10954" s="2889" t="s">
        <v>1559</v>
      </c>
      <c r="E10954" s="2889" t="s">
        <v>217</v>
      </c>
      <c r="F10954" s="2890">
        <v>6.7526689351383867E-2</v>
      </c>
      <c r="G10954" s="2890">
        <v>36.334687950946616</v>
      </c>
    </row>
    <row r="10955" spans="2:7" ht="15" hidden="1" outlineLevel="2">
      <c r="B10955" s="2889" t="s">
        <v>1633</v>
      </c>
      <c r="C10955" s="2889" t="s">
        <v>1566</v>
      </c>
      <c r="D10955" s="2889" t="s">
        <v>1559</v>
      </c>
      <c r="E10955" s="2889" t="s">
        <v>217</v>
      </c>
      <c r="F10955" s="2890">
        <v>0.19052566008056318</v>
      </c>
      <c r="G10955" s="2890">
        <v>102.05782172114117</v>
      </c>
    </row>
    <row r="10956" spans="2:7" ht="15" hidden="1" outlineLevel="2">
      <c r="B10956" s="2889" t="s">
        <v>1633</v>
      </c>
      <c r="C10956" s="2889" t="s">
        <v>1567</v>
      </c>
      <c r="D10956" s="2889" t="s">
        <v>1559</v>
      </c>
      <c r="E10956" s="2889" t="s">
        <v>217</v>
      </c>
      <c r="F10956" s="2890">
        <v>0.11748529684641761</v>
      </c>
      <c r="G10956" s="2890">
        <v>17.293218167474112</v>
      </c>
    </row>
    <row r="10957" spans="2:7" ht="15" hidden="1" outlineLevel="2">
      <c r="B10957" s="2889" t="s">
        <v>1633</v>
      </c>
      <c r="C10957" s="2889" t="s">
        <v>1568</v>
      </c>
      <c r="D10957" s="2889" t="s">
        <v>1559</v>
      </c>
      <c r="E10957" s="2889" t="s">
        <v>217</v>
      </c>
      <c r="F10957" s="2890">
        <v>0.22155748870418376</v>
      </c>
      <c r="G10957" s="2890">
        <v>32.612420951918025</v>
      </c>
    </row>
    <row r="10958" spans="2:7" ht="15" hidden="1" outlineLevel="2">
      <c r="B10958" s="2889" t="s">
        <v>1633</v>
      </c>
      <c r="C10958" s="2889" t="s">
        <v>1569</v>
      </c>
      <c r="D10958" s="2889" t="s">
        <v>1559</v>
      </c>
      <c r="E10958" s="2889" t="s">
        <v>217</v>
      </c>
      <c r="F10958" s="2890">
        <v>9.3339029635263816E-5</v>
      </c>
      <c r="G10958" s="2890">
        <v>4.6649166843565064E-2</v>
      </c>
    </row>
    <row r="10959" spans="2:7" ht="15" hidden="1" outlineLevel="2">
      <c r="B10959" s="2889" t="s">
        <v>1633</v>
      </c>
      <c r="C10959" s="2889" t="s">
        <v>1570</v>
      </c>
      <c r="D10959" s="2889" t="s">
        <v>1559</v>
      </c>
      <c r="E10959" s="2889" t="s">
        <v>217</v>
      </c>
      <c r="F10959" s="2890">
        <v>0.81508317572152045</v>
      </c>
      <c r="G10959" s="2890">
        <v>506.11876351899286</v>
      </c>
    </row>
    <row r="10960" spans="2:7" ht="15" hidden="1" outlineLevel="2">
      <c r="B10960" s="2889" t="s">
        <v>1633</v>
      </c>
      <c r="C10960" s="2889" t="s">
        <v>1571</v>
      </c>
      <c r="D10960" s="2889" t="s">
        <v>1559</v>
      </c>
      <c r="E10960" s="2889" t="s">
        <v>217</v>
      </c>
      <c r="F10960" s="2890">
        <v>0.26708465373600138</v>
      </c>
      <c r="G10960" s="2890">
        <v>318.6006315521177</v>
      </c>
    </row>
    <row r="10961" spans="2:7" ht="15" hidden="1" outlineLevel="2">
      <c r="B10961" s="2889" t="s">
        <v>1633</v>
      </c>
      <c r="C10961" s="2889" t="s">
        <v>1572</v>
      </c>
      <c r="D10961" s="2889" t="s">
        <v>1559</v>
      </c>
      <c r="E10961" s="2889" t="s">
        <v>217</v>
      </c>
      <c r="F10961" s="2890">
        <v>6.8903252115819671E-2</v>
      </c>
      <c r="G10961" s="2890">
        <v>42.43873405099454</v>
      </c>
    </row>
    <row r="10962" spans="2:7" ht="15" hidden="1" outlineLevel="2">
      <c r="B10962" s="2889" t="s">
        <v>1633</v>
      </c>
      <c r="C10962" s="2889" t="s">
        <v>1573</v>
      </c>
      <c r="D10962" s="2889" t="s">
        <v>1559</v>
      </c>
      <c r="E10962" s="2889" t="s">
        <v>217</v>
      </c>
      <c r="F10962" s="2890">
        <v>0.2164895827002663</v>
      </c>
      <c r="G10962" s="2890">
        <v>162.17059251034311</v>
      </c>
    </row>
    <row r="10963" spans="2:7" ht="15" hidden="1" outlineLevel="2">
      <c r="B10963" s="2889" t="s">
        <v>1633</v>
      </c>
      <c r="C10963" s="2889" t="s">
        <v>1574</v>
      </c>
      <c r="D10963" s="2889" t="s">
        <v>1559</v>
      </c>
      <c r="E10963" s="2889" t="s">
        <v>217</v>
      </c>
      <c r="F10963" s="2890">
        <v>3.7346476703223729E-3</v>
      </c>
      <c r="G10963" s="2890">
        <v>2.8175559082497403</v>
      </c>
    </row>
    <row r="10964" spans="2:7" ht="15" hidden="1" outlineLevel="2">
      <c r="B10964" s="2889" t="s">
        <v>1633</v>
      </c>
      <c r="C10964" s="2889" t="s">
        <v>1575</v>
      </c>
      <c r="D10964" s="2889" t="s">
        <v>1559</v>
      </c>
      <c r="E10964" s="2889" t="s">
        <v>217</v>
      </c>
      <c r="F10964" s="2890">
        <v>5.9352252969964107E-3</v>
      </c>
      <c r="G10964" s="2890">
        <v>7.3803416010510112</v>
      </c>
    </row>
    <row r="10965" spans="2:7" ht="15" hidden="1" outlineLevel="2">
      <c r="B10965" s="2889" t="s">
        <v>1633</v>
      </c>
      <c r="C10965" s="2889" t="s">
        <v>1576</v>
      </c>
      <c r="D10965" s="2889" t="s">
        <v>1559</v>
      </c>
      <c r="E10965" s="2889" t="s">
        <v>217</v>
      </c>
      <c r="F10965" s="2890">
        <v>7.1080053173934524E-3</v>
      </c>
      <c r="G10965" s="2890">
        <v>5.375392913384176</v>
      </c>
    </row>
    <row r="10966" spans="2:7" ht="15" hidden="1" outlineLevel="2">
      <c r="B10966" s="2889" t="s">
        <v>1633</v>
      </c>
      <c r="C10966" s="2889" t="s">
        <v>1577</v>
      </c>
      <c r="D10966" s="2889" t="s">
        <v>1559</v>
      </c>
      <c r="E10966" s="2889" t="s">
        <v>217</v>
      </c>
      <c r="F10966" s="2890">
        <v>0.19485688924370431</v>
      </c>
      <c r="G10966" s="2890">
        <v>304.47701044737863</v>
      </c>
    </row>
    <row r="10967" spans="2:7" ht="15" hidden="1" outlineLevel="2">
      <c r="B10967" s="2889" t="s">
        <v>1633</v>
      </c>
      <c r="C10967" s="2889" t="s">
        <v>1578</v>
      </c>
      <c r="D10967" s="2889" t="s">
        <v>1559</v>
      </c>
      <c r="E10967" s="2889" t="s">
        <v>217</v>
      </c>
      <c r="F10967" s="2890">
        <v>0.10167822909418223</v>
      </c>
      <c r="G10967" s="2890">
        <v>55.87171953239497</v>
      </c>
    </row>
    <row r="10968" spans="2:7" ht="15" hidden="1" outlineLevel="2">
      <c r="B10968" s="2889" t="s">
        <v>1633</v>
      </c>
      <c r="C10968" s="2889" t="s">
        <v>1579</v>
      </c>
      <c r="D10968" s="2889" t="s">
        <v>1559</v>
      </c>
      <c r="E10968" s="2889" t="s">
        <v>217</v>
      </c>
      <c r="F10968" s="2890">
        <v>0.19177843132987421</v>
      </c>
      <c r="G10968" s="2890">
        <v>105.36567143090613</v>
      </c>
    </row>
    <row r="10969" spans="2:7" ht="15" hidden="1" outlineLevel="2">
      <c r="B10969" s="2889" t="s">
        <v>1633</v>
      </c>
      <c r="C10969" s="2889" t="s">
        <v>1580</v>
      </c>
      <c r="D10969" s="2889" t="s">
        <v>1559</v>
      </c>
      <c r="E10969" s="2889" t="s">
        <v>217</v>
      </c>
      <c r="F10969" s="2890">
        <v>8.0174934272124687E-2</v>
      </c>
      <c r="G10969" s="2890">
        <v>101.55079946089609</v>
      </c>
    </row>
    <row r="10970" spans="2:7" ht="15" hidden="1" outlineLevel="2">
      <c r="B10970" s="2889" t="s">
        <v>1633</v>
      </c>
      <c r="C10970" s="2889" t="s">
        <v>1581</v>
      </c>
      <c r="D10970" s="2889" t="s">
        <v>1559</v>
      </c>
      <c r="E10970" s="2889" t="s">
        <v>217</v>
      </c>
      <c r="F10970" s="2890">
        <v>2.4886597389646922E-2</v>
      </c>
      <c r="G10970" s="2890">
        <v>35.177119872465511</v>
      </c>
    </row>
    <row r="10971" spans="2:7" ht="15" hidden="1" outlineLevel="2">
      <c r="B10971" s="2889" t="s">
        <v>1633</v>
      </c>
      <c r="C10971" s="2889" t="s">
        <v>1582</v>
      </c>
      <c r="D10971" s="2889" t="s">
        <v>1559</v>
      </c>
      <c r="E10971" s="2889" t="s">
        <v>217</v>
      </c>
      <c r="F10971" s="2890">
        <v>3.5077236063405133E-2</v>
      </c>
      <c r="G10971" s="2890">
        <v>40.038808475626283</v>
      </c>
    </row>
    <row r="10972" spans="2:7" ht="15" hidden="1" outlineLevel="2">
      <c r="B10972" s="2889" t="s">
        <v>1633</v>
      </c>
      <c r="C10972" s="2889" t="s">
        <v>1583</v>
      </c>
      <c r="D10972" s="2889" t="s">
        <v>1559</v>
      </c>
      <c r="E10972" s="2889" t="s">
        <v>217</v>
      </c>
      <c r="F10972" s="2890">
        <v>2.7032506416204905E-2</v>
      </c>
      <c r="G10972" s="2890">
        <v>18.644694718609138</v>
      </c>
    </row>
    <row r="10973" spans="2:7" ht="15" hidden="1" outlineLevel="2">
      <c r="B10973" s="2889" t="s">
        <v>1633</v>
      </c>
      <c r="C10973" s="2889" t="s">
        <v>1584</v>
      </c>
      <c r="D10973" s="2889" t="s">
        <v>1559</v>
      </c>
      <c r="E10973" s="2889" t="s">
        <v>217</v>
      </c>
      <c r="F10973" s="2890">
        <v>1.0720969585110609</v>
      </c>
      <c r="G10973" s="2890">
        <v>1361.2175513152122</v>
      </c>
    </row>
    <row r="10974" spans="2:7" ht="15" hidden="1" outlineLevel="2">
      <c r="B10974" s="2889" t="s">
        <v>1633</v>
      </c>
      <c r="C10974" s="2889" t="s">
        <v>1585</v>
      </c>
      <c r="D10974" s="2889" t="s">
        <v>1559</v>
      </c>
      <c r="E10974" s="2889" t="s">
        <v>217</v>
      </c>
      <c r="F10974" s="2890">
        <v>0.3381494511895532</v>
      </c>
      <c r="G10974" s="2890">
        <v>478.0724568013826</v>
      </c>
    </row>
    <row r="10975" spans="2:7" ht="15" hidden="1" outlineLevel="2">
      <c r="B10975" s="2889" t="s">
        <v>1633</v>
      </c>
      <c r="C10975" s="2889" t="s">
        <v>1586</v>
      </c>
      <c r="D10975" s="2889" t="s">
        <v>1559</v>
      </c>
      <c r="E10975" s="2889" t="s">
        <v>217</v>
      </c>
      <c r="F10975" s="2890">
        <v>3.80702306582461E-2</v>
      </c>
      <c r="G10975" s="2890">
        <v>80.039269146183671</v>
      </c>
    </row>
    <row r="10976" spans="2:7" ht="15" hidden="1" outlineLevel="2">
      <c r="B10976" s="2889" t="s">
        <v>1633</v>
      </c>
      <c r="C10976" s="2889" t="s">
        <v>1587</v>
      </c>
      <c r="D10976" s="2889" t="s">
        <v>1559</v>
      </c>
      <c r="E10976" s="2889" t="s">
        <v>217</v>
      </c>
      <c r="F10976" s="2890">
        <v>1.0589968067637747</v>
      </c>
      <c r="G10976" s="2890">
        <v>1542.2927073022538</v>
      </c>
    </row>
    <row r="10977" spans="2:7" ht="15" hidden="1" outlineLevel="2">
      <c r="B10977" s="2889" t="s">
        <v>1633</v>
      </c>
      <c r="C10977" s="2889" t="s">
        <v>1588</v>
      </c>
      <c r="D10977" s="2889" t="s">
        <v>1559</v>
      </c>
      <c r="E10977" s="2889" t="s">
        <v>217</v>
      </c>
      <c r="F10977" s="2890">
        <v>6.1657740164469857E-2</v>
      </c>
      <c r="G10977" s="2890">
        <v>48.216078114368003</v>
      </c>
    </row>
    <row r="10978" spans="2:7" ht="15" hidden="1" outlineLevel="2">
      <c r="B10978" s="2889" t="s">
        <v>1633</v>
      </c>
      <c r="C10978" s="2889" t="s">
        <v>1589</v>
      </c>
      <c r="D10978" s="2889" t="s">
        <v>1559</v>
      </c>
      <c r="E10978" s="2889" t="s">
        <v>217</v>
      </c>
      <c r="F10978" s="2890">
        <v>6.0307625773725143E-2</v>
      </c>
      <c r="G10978" s="2890">
        <v>47.255200490427917</v>
      </c>
    </row>
    <row r="10979" spans="2:7" ht="15" hidden="1" outlineLevel="2">
      <c r="B10979" s="2889" t="s">
        <v>1633</v>
      </c>
      <c r="C10979" s="2889" t="s">
        <v>1590</v>
      </c>
      <c r="D10979" s="2889" t="s">
        <v>1559</v>
      </c>
      <c r="E10979" s="2889" t="s">
        <v>1420</v>
      </c>
      <c r="F10979" s="2890">
        <v>2.9764980927591265E-3</v>
      </c>
      <c r="G10979" s="2890">
        <v>26.551612620636263</v>
      </c>
    </row>
    <row r="10980" spans="2:7" ht="15" hidden="1" outlineLevel="2">
      <c r="B10980" s="2889" t="s">
        <v>1633</v>
      </c>
      <c r="C10980" s="2889" t="s">
        <v>1591</v>
      </c>
      <c r="D10980" s="2889" t="s">
        <v>1559</v>
      </c>
      <c r="E10980" s="2889" t="s">
        <v>1426</v>
      </c>
      <c r="F10980" s="2891"/>
      <c r="G10980" s="2890">
        <v>4.1273656989865237E-2</v>
      </c>
    </row>
    <row r="10981" spans="2:7" ht="15" hidden="1" outlineLevel="2">
      <c r="B10981" s="2889" t="s">
        <v>1633</v>
      </c>
      <c r="C10981" s="2889" t="s">
        <v>1592</v>
      </c>
      <c r="D10981" s="2889" t="s">
        <v>1559</v>
      </c>
      <c r="E10981" s="2889" t="s">
        <v>1426</v>
      </c>
      <c r="F10981" s="2891"/>
      <c r="G10981" s="2890">
        <v>11.030056844473028</v>
      </c>
    </row>
    <row r="10982" spans="2:7" ht="15" hidden="1" outlineLevel="2">
      <c r="B10982" s="2889" t="s">
        <v>1633</v>
      </c>
      <c r="C10982" s="2889" t="s">
        <v>1593</v>
      </c>
      <c r="D10982" s="2889" t="s">
        <v>1559</v>
      </c>
      <c r="E10982" s="2889" t="s">
        <v>1426</v>
      </c>
      <c r="F10982" s="2891"/>
      <c r="G10982" s="2890">
        <v>288.61897974000595</v>
      </c>
    </row>
    <row r="10983" spans="2:7" ht="15" hidden="1" outlineLevel="2">
      <c r="B10983" s="2889" t="s">
        <v>1633</v>
      </c>
      <c r="C10983" s="2889" t="s">
        <v>1594</v>
      </c>
      <c r="D10983" s="2889" t="s">
        <v>1559</v>
      </c>
      <c r="E10983" s="2889" t="s">
        <v>1426</v>
      </c>
      <c r="F10983" s="2891"/>
      <c r="G10983" s="2890">
        <v>59.561188151646171</v>
      </c>
    </row>
    <row r="10984" spans="2:7" ht="15" hidden="1" outlineLevel="2">
      <c r="B10984" s="2889" t="s">
        <v>1633</v>
      </c>
      <c r="C10984" s="2889" t="s">
        <v>1595</v>
      </c>
      <c r="D10984" s="2889" t="s">
        <v>1559</v>
      </c>
      <c r="E10984" s="2889" t="s">
        <v>1426</v>
      </c>
      <c r="F10984" s="2891"/>
      <c r="G10984" s="2890">
        <v>392.94709168039361</v>
      </c>
    </row>
    <row r="10985" spans="2:7" ht="15" hidden="1" outlineLevel="2">
      <c r="B10985" s="2889" t="s">
        <v>1633</v>
      </c>
      <c r="C10985" s="2889" t="s">
        <v>1596</v>
      </c>
      <c r="D10985" s="2889" t="s">
        <v>1559</v>
      </c>
      <c r="E10985" s="2889" t="s">
        <v>1426</v>
      </c>
      <c r="F10985" s="2891"/>
      <c r="G10985" s="2890">
        <v>46.331843866946443</v>
      </c>
    </row>
    <row r="10986" spans="2:7" ht="15" hidden="1" outlineLevel="2">
      <c r="B10986" s="2889" t="s">
        <v>1633</v>
      </c>
      <c r="C10986" s="2889" t="s">
        <v>1597</v>
      </c>
      <c r="D10986" s="2889" t="s">
        <v>1559</v>
      </c>
      <c r="E10986" s="2889" t="s">
        <v>1426</v>
      </c>
      <c r="F10986" s="2891"/>
      <c r="G10986" s="2890">
        <v>1.1036533018772345</v>
      </c>
    </row>
    <row r="10987" spans="2:7" ht="15" hidden="1" outlineLevel="2">
      <c r="B10987" s="2889" t="s">
        <v>1633</v>
      </c>
      <c r="C10987" s="2889" t="s">
        <v>1598</v>
      </c>
      <c r="D10987" s="2889" t="s">
        <v>1599</v>
      </c>
      <c r="E10987" s="2889" t="s">
        <v>217</v>
      </c>
      <c r="F10987" s="2890">
        <v>2.2159690556707228E-2</v>
      </c>
      <c r="G10987" s="2890">
        <v>12.814909802959473</v>
      </c>
    </row>
    <row r="10988" spans="2:7" ht="15" hidden="1" outlineLevel="2">
      <c r="B10988" s="2889" t="s">
        <v>1633</v>
      </c>
      <c r="C10988" s="2889" t="s">
        <v>1600</v>
      </c>
      <c r="D10988" s="2889" t="s">
        <v>1599</v>
      </c>
      <c r="E10988" s="2889" t="s">
        <v>217</v>
      </c>
      <c r="F10988" s="2890">
        <v>2.5934898142718384E-2</v>
      </c>
      <c r="G10988" s="2890">
        <v>28.85477464646366</v>
      </c>
    </row>
    <row r="10989" spans="2:7" ht="15" hidden="1" outlineLevel="2">
      <c r="B10989" s="2889" t="s">
        <v>1633</v>
      </c>
      <c r="C10989" s="2889" t="s">
        <v>1601</v>
      </c>
      <c r="D10989" s="2889" t="s">
        <v>1599</v>
      </c>
      <c r="E10989" s="2889" t="s">
        <v>217</v>
      </c>
      <c r="F10989" s="2890">
        <v>2.6602808760549244E-4</v>
      </c>
      <c r="G10989" s="2890">
        <v>0.33897815073037474</v>
      </c>
    </row>
    <row r="10990" spans="2:7" ht="15" hidden="1" outlineLevel="2">
      <c r="B10990" s="2889" t="s">
        <v>1633</v>
      </c>
      <c r="C10990" s="2889" t="s">
        <v>1602</v>
      </c>
      <c r="D10990" s="2889" t="s">
        <v>1599</v>
      </c>
      <c r="E10990" s="2889" t="s">
        <v>1426</v>
      </c>
      <c r="F10990" s="2891"/>
      <c r="G10990" s="2890">
        <v>383.9966136891872</v>
      </c>
    </row>
    <row r="10991" spans="2:7" ht="15" hidden="1" outlineLevel="2">
      <c r="B10991" s="2889" t="s">
        <v>1633</v>
      </c>
      <c r="C10991" s="2889" t="s">
        <v>1603</v>
      </c>
      <c r="D10991" s="2889" t="s">
        <v>1604</v>
      </c>
      <c r="E10991" s="2889" t="s">
        <v>217</v>
      </c>
      <c r="F10991" s="2890">
        <v>4.3350506462682783E-36</v>
      </c>
      <c r="G10991" s="2890">
        <v>5.5241704489547512E-33</v>
      </c>
    </row>
    <row r="10992" spans="2:7" ht="15" hidden="1" outlineLevel="2">
      <c r="B10992" s="2889" t="s">
        <v>1633</v>
      </c>
      <c r="C10992" s="2889" t="s">
        <v>1605</v>
      </c>
      <c r="D10992" s="2889" t="s">
        <v>1604</v>
      </c>
      <c r="E10992" s="2889" t="s">
        <v>1423</v>
      </c>
      <c r="F10992" s="2890">
        <v>3.136151520901011E-33</v>
      </c>
      <c r="G10992" s="2890">
        <v>7.3601632656396319E-31</v>
      </c>
    </row>
    <row r="10993" spans="2:7" ht="15" hidden="1" outlineLevel="2">
      <c r="B10993" s="2889" t="s">
        <v>1633</v>
      </c>
      <c r="C10993" s="2889" t="s">
        <v>1606</v>
      </c>
      <c r="D10993" s="2889" t="s">
        <v>1604</v>
      </c>
      <c r="E10993" s="2889" t="s">
        <v>1426</v>
      </c>
      <c r="F10993" s="2891"/>
      <c r="G10993" s="2890">
        <v>7.9720101268876722E-32</v>
      </c>
    </row>
    <row r="10994" spans="2:7" ht="15" hidden="1" outlineLevel="2">
      <c r="B10994" s="2889" t="s">
        <v>1633</v>
      </c>
      <c r="C10994" s="2889" t="s">
        <v>1607</v>
      </c>
      <c r="D10994" s="2889" t="s">
        <v>1608</v>
      </c>
      <c r="E10994" s="2889" t="s">
        <v>217</v>
      </c>
      <c r="F10994" s="2890">
        <v>6.2283171292572517</v>
      </c>
      <c r="G10994" s="2890">
        <v>5117.0857672819175</v>
      </c>
    </row>
    <row r="10995" spans="2:7" ht="15" hidden="1" outlineLevel="2">
      <c r="B10995" s="2889" t="s">
        <v>1633</v>
      </c>
      <c r="C10995" s="2889" t="s">
        <v>1609</v>
      </c>
      <c r="D10995" s="2889" t="s">
        <v>1608</v>
      </c>
      <c r="E10995" s="2889" t="s">
        <v>217</v>
      </c>
      <c r="F10995" s="2890">
        <v>2.7121005455023885</v>
      </c>
      <c r="G10995" s="2890">
        <v>2159.3961232926822</v>
      </c>
    </row>
    <row r="10996" spans="2:7" ht="15" hidden="1" outlineLevel="2">
      <c r="B10996" s="2889" t="s">
        <v>1633</v>
      </c>
      <c r="C10996" s="2889" t="s">
        <v>1610</v>
      </c>
      <c r="D10996" s="2889" t="s">
        <v>1608</v>
      </c>
      <c r="E10996" s="2889" t="s">
        <v>217</v>
      </c>
      <c r="F10996" s="2890">
        <v>2.7544996421134371</v>
      </c>
      <c r="G10996" s="2890">
        <v>4285.5479385561366</v>
      </c>
    </row>
    <row r="10997" spans="2:7" ht="15" hidden="1" outlineLevel="2">
      <c r="B10997" s="2889" t="s">
        <v>1633</v>
      </c>
      <c r="C10997" s="2889" t="s">
        <v>1611</v>
      </c>
      <c r="D10997" s="2889" t="s">
        <v>1608</v>
      </c>
      <c r="E10997" s="2889" t="s">
        <v>1612</v>
      </c>
      <c r="F10997" s="2891"/>
      <c r="G10997" s="2890">
        <v>3815.703905995189</v>
      </c>
    </row>
    <row r="10998" spans="2:7" ht="15" hidden="1" outlineLevel="2">
      <c r="B10998" s="2889" t="s">
        <v>1633</v>
      </c>
      <c r="C10998" s="2889" t="s">
        <v>1613</v>
      </c>
      <c r="D10998" s="2889" t="s">
        <v>1608</v>
      </c>
      <c r="E10998" s="2889" t="s">
        <v>1612</v>
      </c>
      <c r="F10998" s="2891"/>
      <c r="G10998" s="2890">
        <v>11.983703832650402</v>
      </c>
    </row>
    <row r="10999" spans="2:7" ht="15" hidden="1" outlineLevel="2">
      <c r="B10999" s="2889" t="s">
        <v>1633</v>
      </c>
      <c r="C10999" s="2889" t="s">
        <v>1614</v>
      </c>
      <c r="D10999" s="2889" t="s">
        <v>1615</v>
      </c>
      <c r="E10999" s="2889" t="s">
        <v>1426</v>
      </c>
      <c r="F10999" s="2891"/>
      <c r="G10999" s="2890">
        <v>6.3939927866126531E-30</v>
      </c>
    </row>
    <row r="11000" spans="2:7" ht="15" hidden="1" outlineLevel="2">
      <c r="B11000" s="2889" t="s">
        <v>1633</v>
      </c>
      <c r="C11000" s="2889" t="s">
        <v>1616</v>
      </c>
      <c r="D11000" s="2889" t="s">
        <v>1615</v>
      </c>
      <c r="E11000" s="2889" t="s">
        <v>217</v>
      </c>
      <c r="F11000" s="2890">
        <v>1.004667680530274E-34</v>
      </c>
      <c r="G11000" s="2890">
        <v>1.3798314681467387E-31</v>
      </c>
    </row>
    <row r="11001" spans="2:7" ht="15" hidden="1" outlineLevel="2">
      <c r="B11001" s="2889" t="s">
        <v>1633</v>
      </c>
      <c r="C11001" s="2889" t="s">
        <v>1617</v>
      </c>
      <c r="D11001" s="2889" t="s">
        <v>1615</v>
      </c>
      <c r="E11001" s="2889" t="s">
        <v>1420</v>
      </c>
      <c r="F11001" s="2890">
        <v>1.3212207888560816E-40</v>
      </c>
      <c r="G11001" s="2890">
        <v>3.8274928299855921E-37</v>
      </c>
    </row>
    <row r="11002" spans="2:7" ht="15" hidden="1" outlineLevel="2">
      <c r="B11002" s="2889" t="s">
        <v>1633</v>
      </c>
      <c r="C11002" s="2889" t="s">
        <v>1620</v>
      </c>
      <c r="D11002" s="2889" t="s">
        <v>1619</v>
      </c>
      <c r="E11002" s="2889" t="s">
        <v>217</v>
      </c>
      <c r="F11002" s="2890">
        <v>3.4382141394124677E-35</v>
      </c>
      <c r="G11002" s="2890">
        <v>4.1921589853032535E-32</v>
      </c>
    </row>
    <row r="11003" spans="2:7" ht="15" hidden="1" outlineLevel="2">
      <c r="B11003" s="2889" t="s">
        <v>1633</v>
      </c>
      <c r="C11003" s="2889" t="s">
        <v>1621</v>
      </c>
      <c r="D11003" s="2889" t="s">
        <v>1619</v>
      </c>
      <c r="E11003" s="2889" t="s">
        <v>217</v>
      </c>
      <c r="F11003" s="2890">
        <v>2.5727498841494662E-34</v>
      </c>
      <c r="G11003" s="2890">
        <v>7.0309237561352104E-32</v>
      </c>
    </row>
    <row r="11004" spans="2:7" ht="15" hidden="1" outlineLevel="2">
      <c r="B11004" s="2889" t="s">
        <v>1633</v>
      </c>
      <c r="C11004" s="2889" t="s">
        <v>1622</v>
      </c>
      <c r="D11004" s="2889" t="s">
        <v>1619</v>
      </c>
      <c r="E11004" s="2889" t="s">
        <v>217</v>
      </c>
      <c r="F11004" s="2890">
        <v>1.0335191748071537E-33</v>
      </c>
      <c r="G11004" s="2890">
        <v>1.1418625961266794E-30</v>
      </c>
    </row>
    <row r="11005" spans="2:7" ht="15" hidden="1" outlineLevel="2">
      <c r="B11005" s="2889" t="s">
        <v>1633</v>
      </c>
      <c r="C11005" s="2889" t="s">
        <v>1623</v>
      </c>
      <c r="D11005" s="2889" t="s">
        <v>1619</v>
      </c>
      <c r="E11005" s="2889" t="s">
        <v>217</v>
      </c>
      <c r="F11005" s="2890">
        <v>1.7105528958338112E-34</v>
      </c>
      <c r="G11005" s="2890">
        <v>1.1897629630715844E-31</v>
      </c>
    </row>
    <row r="11006" spans="2:7" ht="15" hidden="1" outlineLevel="2">
      <c r="B11006" s="2889" t="s">
        <v>1633</v>
      </c>
      <c r="C11006" s="2889" t="s">
        <v>1624</v>
      </c>
      <c r="D11006" s="2889" t="s">
        <v>1619</v>
      </c>
      <c r="E11006" s="2889" t="s">
        <v>217</v>
      </c>
      <c r="F11006" s="2890">
        <v>5.7536827340914279E-36</v>
      </c>
      <c r="G11006" s="2890">
        <v>4.9265022343375754E-33</v>
      </c>
    </row>
    <row r="11007" spans="2:7" ht="15" hidden="1" outlineLevel="2">
      <c r="B11007" s="2889" t="s">
        <v>1633</v>
      </c>
      <c r="C11007" s="2889" t="s">
        <v>1625</v>
      </c>
      <c r="D11007" s="2889" t="s">
        <v>1619</v>
      </c>
      <c r="E11007" s="2889" t="s">
        <v>217</v>
      </c>
      <c r="F11007" s="2890">
        <v>0.13289620265377039</v>
      </c>
      <c r="G11007" s="2890">
        <v>172.66211907688304</v>
      </c>
    </row>
    <row r="11008" spans="2:7" ht="15" hidden="1" outlineLevel="2">
      <c r="B11008" s="2889" t="s">
        <v>1633</v>
      </c>
      <c r="C11008" s="2889" t="s">
        <v>1626</v>
      </c>
      <c r="D11008" s="2889" t="s">
        <v>1619</v>
      </c>
      <c r="E11008" s="2889" t="s">
        <v>217</v>
      </c>
      <c r="F11008" s="2890">
        <v>5.13782769293274E-33</v>
      </c>
      <c r="G11008" s="2890">
        <v>3.8866786495174292E-30</v>
      </c>
    </row>
    <row r="11009" spans="2:7" ht="15" hidden="1" outlineLevel="2">
      <c r="B11009" s="2889" t="s">
        <v>1633</v>
      </c>
      <c r="C11009" s="2889" t="s">
        <v>1627</v>
      </c>
      <c r="D11009" s="2889" t="s">
        <v>1619</v>
      </c>
      <c r="E11009" s="2889" t="s">
        <v>1420</v>
      </c>
      <c r="F11009" s="2890">
        <v>1.9010908880696712E-35</v>
      </c>
      <c r="G11009" s="2890">
        <v>3.1761120668295189E-32</v>
      </c>
    </row>
    <row r="11010" spans="2:7" ht="15" hidden="1" outlineLevel="2">
      <c r="B11010" s="2889" t="s">
        <v>1633</v>
      </c>
      <c r="C11010" s="2889" t="s">
        <v>1628</v>
      </c>
      <c r="D11010" s="2889" t="s">
        <v>1619</v>
      </c>
      <c r="E11010" s="2889" t="s">
        <v>1426</v>
      </c>
      <c r="F11010" s="2891"/>
      <c r="G11010" s="2890">
        <v>3.9412429149442822E-29</v>
      </c>
    </row>
    <row r="11011" spans="2:7" ht="15" hidden="1" outlineLevel="2">
      <c r="B11011" s="2889" t="s">
        <v>1633</v>
      </c>
      <c r="C11011" s="2889" t="s">
        <v>1629</v>
      </c>
      <c r="D11011" s="2889" t="s">
        <v>1630</v>
      </c>
      <c r="E11011" s="2889" t="s">
        <v>1426</v>
      </c>
      <c r="F11011" s="2891"/>
      <c r="G11011" s="2890">
        <v>2.0277223627944984E-29</v>
      </c>
    </row>
    <row r="11012" spans="2:7" ht="15" outlineLevel="1" collapsed="1">
      <c r="B11012" s="3042" t="s">
        <v>1703</v>
      </c>
      <c r="C11012" s="2889"/>
      <c r="D11012" s="2889"/>
      <c r="E11012" s="2889"/>
      <c r="F11012" s="2891">
        <f>SUBTOTAL(9,F10802:F11011)</f>
        <v>20.221721386034435</v>
      </c>
      <c r="G11012" s="2890">
        <f>SUBTOTAL(9,G10802:G11011)</f>
        <v>55005.513298325081</v>
      </c>
    </row>
    <row r="11013" spans="2:7" ht="15" hidden="1" outlineLevel="2">
      <c r="B11013" s="2889" t="s">
        <v>1634</v>
      </c>
      <c r="C11013" s="2889" t="s">
        <v>1408</v>
      </c>
      <c r="D11013" s="2889" t="s">
        <v>197</v>
      </c>
      <c r="E11013" s="2889" t="s">
        <v>217</v>
      </c>
      <c r="F11013" s="2890">
        <v>2.7316361427384486E-3</v>
      </c>
      <c r="G11013" s="2890">
        <v>1.6661259253040788</v>
      </c>
    </row>
    <row r="11014" spans="2:7" ht="15" hidden="1" outlineLevel="2">
      <c r="B11014" s="2889" t="s">
        <v>1634</v>
      </c>
      <c r="C11014" s="2889" t="s">
        <v>1409</v>
      </c>
      <c r="D11014" s="2889" t="s">
        <v>197</v>
      </c>
      <c r="E11014" s="2889" t="s">
        <v>217</v>
      </c>
      <c r="F11014" s="2890">
        <v>2.8612811836397738E-3</v>
      </c>
      <c r="G11014" s="2890">
        <v>4.0417838497035676</v>
      </c>
    </row>
    <row r="11015" spans="2:7" ht="15" hidden="1" outlineLevel="2">
      <c r="B11015" s="2889" t="s">
        <v>1634</v>
      </c>
      <c r="C11015" s="2889" t="s">
        <v>1410</v>
      </c>
      <c r="D11015" s="2889" t="s">
        <v>197</v>
      </c>
      <c r="E11015" s="2889" t="s">
        <v>217</v>
      </c>
      <c r="F11015" s="2890">
        <v>4.5727184562497645E-3</v>
      </c>
      <c r="G11015" s="2890">
        <v>15.726351441532586</v>
      </c>
    </row>
    <row r="11016" spans="2:7" ht="15" hidden="1" outlineLevel="2">
      <c r="B11016" s="2889" t="s">
        <v>1634</v>
      </c>
      <c r="C11016" s="2889" t="s">
        <v>1411</v>
      </c>
      <c r="D11016" s="2889" t="s">
        <v>197</v>
      </c>
      <c r="E11016" s="2889" t="s">
        <v>217</v>
      </c>
      <c r="F11016" s="2890">
        <v>7.5201010928826732E-5</v>
      </c>
      <c r="G11016" s="2890">
        <v>9.9053599707410525E-2</v>
      </c>
    </row>
    <row r="11017" spans="2:7" ht="15" hidden="1" outlineLevel="2">
      <c r="B11017" s="2889" t="s">
        <v>1634</v>
      </c>
      <c r="C11017" s="2889" t="s">
        <v>1412</v>
      </c>
      <c r="D11017" s="2889" t="s">
        <v>197</v>
      </c>
      <c r="E11017" s="2889" t="s">
        <v>217</v>
      </c>
      <c r="F11017" s="2890">
        <v>8.1240110935279029E-3</v>
      </c>
      <c r="G11017" s="2890">
        <v>10.692673619835196</v>
      </c>
    </row>
    <row r="11018" spans="2:7" ht="15" hidden="1" outlineLevel="2">
      <c r="B11018" s="2889" t="s">
        <v>1634</v>
      </c>
      <c r="C11018" s="2889" t="s">
        <v>1413</v>
      </c>
      <c r="D11018" s="2889" t="s">
        <v>197</v>
      </c>
      <c r="E11018" s="2889" t="s">
        <v>217</v>
      </c>
      <c r="F11018" s="2890">
        <v>2.6721082589601401E-3</v>
      </c>
      <c r="G11018" s="2890">
        <v>3.3494065019859502</v>
      </c>
    </row>
    <row r="11019" spans="2:7" ht="15" hidden="1" outlineLevel="2">
      <c r="B11019" s="2889" t="s">
        <v>1634</v>
      </c>
      <c r="C11019" s="2889" t="s">
        <v>1414</v>
      </c>
      <c r="D11019" s="2889" t="s">
        <v>197</v>
      </c>
      <c r="E11019" s="2889" t="s">
        <v>217</v>
      </c>
      <c r="F11019" s="2890">
        <v>3.4869559580518981E-2</v>
      </c>
      <c r="G11019" s="2890">
        <v>36.385234552153698</v>
      </c>
    </row>
    <row r="11020" spans="2:7" ht="15" hidden="1" outlineLevel="2">
      <c r="B11020" s="2889" t="s">
        <v>1634</v>
      </c>
      <c r="C11020" s="2889" t="s">
        <v>1415</v>
      </c>
      <c r="D11020" s="2889" t="s">
        <v>197</v>
      </c>
      <c r="E11020" s="2889" t="s">
        <v>217</v>
      </c>
      <c r="F11020" s="2890">
        <v>0.11468091640277145</v>
      </c>
      <c r="G11020" s="2890">
        <v>77.991774755330084</v>
      </c>
    </row>
    <row r="11021" spans="2:7" ht="15" hidden="1" outlineLevel="2">
      <c r="B11021" s="2889" t="s">
        <v>1634</v>
      </c>
      <c r="C11021" s="2889" t="s">
        <v>1416</v>
      </c>
      <c r="D11021" s="2889" t="s">
        <v>197</v>
      </c>
      <c r="E11021" s="2889" t="s">
        <v>217</v>
      </c>
      <c r="F11021" s="2890">
        <v>1.2891951052548228E-2</v>
      </c>
      <c r="G11021" s="2890">
        <v>16.968123570809578</v>
      </c>
    </row>
    <row r="11022" spans="2:7" ht="15" hidden="1" outlineLevel="2">
      <c r="B11022" s="2889" t="s">
        <v>1634</v>
      </c>
      <c r="C11022" s="2889" t="s">
        <v>1417</v>
      </c>
      <c r="D11022" s="2889" t="s">
        <v>197</v>
      </c>
      <c r="E11022" s="2889" t="s">
        <v>217</v>
      </c>
      <c r="F11022" s="2890">
        <v>1.9188828980499208E-2</v>
      </c>
      <c r="G11022" s="2890">
        <v>24.569786478312889</v>
      </c>
    </row>
    <row r="11023" spans="2:7" ht="15" hidden="1" outlineLevel="2">
      <c r="B11023" s="2889" t="s">
        <v>1634</v>
      </c>
      <c r="C11023" s="2889" t="s">
        <v>1418</v>
      </c>
      <c r="D11023" s="2889" t="s">
        <v>197</v>
      </c>
      <c r="E11023" s="2889" t="s">
        <v>217</v>
      </c>
      <c r="F11023" s="2890">
        <v>3.8471621167354688E-3</v>
      </c>
      <c r="G11023" s="2890">
        <v>27.25636303716583</v>
      </c>
    </row>
    <row r="11024" spans="2:7" ht="15" hidden="1" outlineLevel="2">
      <c r="B11024" s="2889" t="s">
        <v>1634</v>
      </c>
      <c r="C11024" s="2889" t="s">
        <v>1419</v>
      </c>
      <c r="D11024" s="2889" t="s">
        <v>197</v>
      </c>
      <c r="E11024" s="2889" t="s">
        <v>1420</v>
      </c>
      <c r="F11024" s="2890">
        <v>9.3883907498955901E-5</v>
      </c>
      <c r="G11024" s="2890">
        <v>0.14917718069827599</v>
      </c>
    </row>
    <row r="11025" spans="2:7" ht="15" hidden="1" outlineLevel="2">
      <c r="B11025" s="2889" t="s">
        <v>1634</v>
      </c>
      <c r="C11025" s="2889" t="s">
        <v>1421</v>
      </c>
      <c r="D11025" s="2889" t="s">
        <v>197</v>
      </c>
      <c r="E11025" s="2889" t="s">
        <v>1420</v>
      </c>
      <c r="F11025" s="2890">
        <v>1.9264806027455372E-5</v>
      </c>
      <c r="G11025" s="2890">
        <v>0.20302842350956091</v>
      </c>
    </row>
    <row r="11026" spans="2:7" ht="15" hidden="1" outlineLevel="2">
      <c r="B11026" s="2889" t="s">
        <v>1634</v>
      </c>
      <c r="C11026" s="2889" t="s">
        <v>1422</v>
      </c>
      <c r="D11026" s="2889" t="s">
        <v>197</v>
      </c>
      <c r="E11026" s="2889" t="s">
        <v>1423</v>
      </c>
      <c r="F11026" s="2890">
        <v>3.7582376872225902E-3</v>
      </c>
      <c r="G11026" s="2890">
        <v>3.9406791329006916E-2</v>
      </c>
    </row>
    <row r="11027" spans="2:7" ht="15" hidden="1" outlineLevel="2">
      <c r="B11027" s="2889" t="s">
        <v>1634</v>
      </c>
      <c r="C11027" s="2889" t="s">
        <v>1424</v>
      </c>
      <c r="D11027" s="2889" t="s">
        <v>197</v>
      </c>
      <c r="E11027" s="2889" t="s">
        <v>1423</v>
      </c>
      <c r="F11027" s="2890">
        <v>1.1928905128021508E-3</v>
      </c>
      <c r="G11027" s="2890">
        <v>1.2504225608388613E-2</v>
      </c>
    </row>
    <row r="11028" spans="2:7" ht="15" hidden="1" outlineLevel="2">
      <c r="B11028" s="2889" t="s">
        <v>1634</v>
      </c>
      <c r="C11028" s="2889" t="s">
        <v>1425</v>
      </c>
      <c r="D11028" s="2889" t="s">
        <v>197</v>
      </c>
      <c r="E11028" s="2889" t="s">
        <v>1426</v>
      </c>
      <c r="F11028" s="2891"/>
      <c r="G11028" s="2890">
        <v>0.29141500293023287</v>
      </c>
    </row>
    <row r="11029" spans="2:7" ht="15" hidden="1" outlineLevel="2">
      <c r="B11029" s="2889" t="s">
        <v>1634</v>
      </c>
      <c r="C11029" s="2889" t="s">
        <v>1427</v>
      </c>
      <c r="D11029" s="2889" t="s">
        <v>197</v>
      </c>
      <c r="E11029" s="2889" t="s">
        <v>1426</v>
      </c>
      <c r="F11029" s="2891"/>
      <c r="G11029" s="2890">
        <v>12598.570747964222</v>
      </c>
    </row>
    <row r="11030" spans="2:7" ht="15" hidden="1" outlineLevel="2">
      <c r="B11030" s="2889" t="s">
        <v>1634</v>
      </c>
      <c r="C11030" s="2889" t="s">
        <v>1428</v>
      </c>
      <c r="D11030" s="2889" t="s">
        <v>197</v>
      </c>
      <c r="E11030" s="2889" t="s">
        <v>1426</v>
      </c>
      <c r="F11030" s="2891"/>
      <c r="G11030" s="2890">
        <v>1130.4763311048457</v>
      </c>
    </row>
    <row r="11031" spans="2:7" ht="15" hidden="1" outlineLevel="2">
      <c r="B11031" s="2889" t="s">
        <v>1634</v>
      </c>
      <c r="C11031" s="2889" t="s">
        <v>1429</v>
      </c>
      <c r="D11031" s="2889" t="s">
        <v>197</v>
      </c>
      <c r="E11031" s="2889" t="s">
        <v>1426</v>
      </c>
      <c r="F11031" s="2891"/>
      <c r="G11031" s="2890">
        <v>6.2839037136132836</v>
      </c>
    </row>
    <row r="11032" spans="2:7" ht="15" hidden="1" outlineLevel="2">
      <c r="B11032" s="2889" t="s">
        <v>1634</v>
      </c>
      <c r="C11032" s="2889" t="s">
        <v>1430</v>
      </c>
      <c r="D11032" s="2889" t="s">
        <v>197</v>
      </c>
      <c r="E11032" s="2889" t="s">
        <v>1426</v>
      </c>
      <c r="F11032" s="2891"/>
      <c r="G11032" s="2890">
        <v>1.2897627418767206</v>
      </c>
    </row>
    <row r="11033" spans="2:7" ht="15" hidden="1" outlineLevel="2">
      <c r="B11033" s="2889" t="s">
        <v>1634</v>
      </c>
      <c r="C11033" s="2889" t="s">
        <v>1431</v>
      </c>
      <c r="D11033" s="2889" t="s">
        <v>197</v>
      </c>
      <c r="E11033" s="2889" t="s">
        <v>1426</v>
      </c>
      <c r="F11033" s="2891"/>
      <c r="G11033" s="2890">
        <v>95.963802761381245</v>
      </c>
    </row>
    <row r="11034" spans="2:7" ht="15" hidden="1" outlineLevel="2">
      <c r="B11034" s="2889" t="s">
        <v>1634</v>
      </c>
      <c r="C11034" s="2889" t="s">
        <v>1432</v>
      </c>
      <c r="D11034" s="2889" t="s">
        <v>197</v>
      </c>
      <c r="E11034" s="2889" t="s">
        <v>1426</v>
      </c>
      <c r="F11034" s="2891"/>
      <c r="G11034" s="2890">
        <v>0.24035403438550634</v>
      </c>
    </row>
    <row r="11035" spans="2:7" ht="15" hidden="1" outlineLevel="2">
      <c r="B11035" s="2889" t="s">
        <v>1634</v>
      </c>
      <c r="C11035" s="2889" t="s">
        <v>1433</v>
      </c>
      <c r="D11035" s="2889" t="s">
        <v>197</v>
      </c>
      <c r="E11035" s="2889" t="s">
        <v>1426</v>
      </c>
      <c r="F11035" s="2891"/>
      <c r="G11035" s="2890">
        <v>88.69680194152825</v>
      </c>
    </row>
    <row r="11036" spans="2:7" ht="15" hidden="1" outlineLevel="2">
      <c r="B11036" s="2889" t="s">
        <v>1634</v>
      </c>
      <c r="C11036" s="2889" t="s">
        <v>1434</v>
      </c>
      <c r="D11036" s="2889" t="s">
        <v>197</v>
      </c>
      <c r="E11036" s="2889" t="s">
        <v>1426</v>
      </c>
      <c r="F11036" s="2891"/>
      <c r="G11036" s="2890">
        <v>246.37647444100796</v>
      </c>
    </row>
    <row r="11037" spans="2:7" ht="15" hidden="1" outlineLevel="2">
      <c r="B11037" s="2889" t="s">
        <v>1634</v>
      </c>
      <c r="C11037" s="2889" t="s">
        <v>1435</v>
      </c>
      <c r="D11037" s="2889" t="s">
        <v>197</v>
      </c>
      <c r="E11037" s="2889" t="s">
        <v>1426</v>
      </c>
      <c r="F11037" s="2891"/>
      <c r="G11037" s="2890">
        <v>181.13464832459377</v>
      </c>
    </row>
    <row r="11038" spans="2:7" ht="15" hidden="1" outlineLevel="2">
      <c r="B11038" s="2889" t="s">
        <v>1634</v>
      </c>
      <c r="C11038" s="2889" t="s">
        <v>1436</v>
      </c>
      <c r="D11038" s="2889" t="s">
        <v>1437</v>
      </c>
      <c r="E11038" s="2889" t="s">
        <v>217</v>
      </c>
      <c r="F11038" s="2890">
        <v>1.2726620208700038E-33</v>
      </c>
      <c r="G11038" s="2890">
        <v>2.548002157498148E-30</v>
      </c>
    </row>
    <row r="11039" spans="2:7" ht="15" hidden="1" outlineLevel="2">
      <c r="B11039" s="2889" t="s">
        <v>1634</v>
      </c>
      <c r="C11039" s="2889" t="s">
        <v>1438</v>
      </c>
      <c r="D11039" s="2889" t="s">
        <v>1437</v>
      </c>
      <c r="E11039" s="2889" t="s">
        <v>1420</v>
      </c>
      <c r="F11039" s="2890">
        <v>1.6645027218787266E-36</v>
      </c>
      <c r="G11039" s="2890">
        <v>2.4044512537756401E-32</v>
      </c>
    </row>
    <row r="11040" spans="2:7" ht="15" hidden="1" outlineLevel="2">
      <c r="B11040" s="2889" t="s">
        <v>1634</v>
      </c>
      <c r="C11040" s="2889" t="s">
        <v>1439</v>
      </c>
      <c r="D11040" s="2889" t="s">
        <v>1437</v>
      </c>
      <c r="E11040" s="2889" t="s">
        <v>1426</v>
      </c>
      <c r="F11040" s="2891"/>
      <c r="G11040" s="2890">
        <v>1.2941865666466332E-29</v>
      </c>
    </row>
    <row r="11041" spans="2:7" ht="15" hidden="1" outlineLevel="2">
      <c r="B11041" s="2889" t="s">
        <v>1634</v>
      </c>
      <c r="C11041" s="2889" t="s">
        <v>1440</v>
      </c>
      <c r="D11041" s="2889" t="s">
        <v>1105</v>
      </c>
      <c r="E11041" s="2889" t="s">
        <v>217</v>
      </c>
      <c r="F11041" s="2890">
        <v>2.9481158625725302E-3</v>
      </c>
      <c r="G11041" s="2890">
        <v>1.4608676392239264</v>
      </c>
    </row>
    <row r="11042" spans="2:7" ht="15" hidden="1" outlineLevel="2">
      <c r="B11042" s="2889" t="s">
        <v>1634</v>
      </c>
      <c r="C11042" s="2889" t="s">
        <v>1441</v>
      </c>
      <c r="D11042" s="2889" t="s">
        <v>1105</v>
      </c>
      <c r="E11042" s="2889" t="s">
        <v>217</v>
      </c>
      <c r="F11042" s="2890">
        <v>1.8838312089448316E-2</v>
      </c>
      <c r="G11042" s="2890">
        <v>9.7464418882401169</v>
      </c>
    </row>
    <row r="11043" spans="2:7" ht="15" hidden="1" outlineLevel="2">
      <c r="B11043" s="2889" t="s">
        <v>1634</v>
      </c>
      <c r="C11043" s="2889" t="s">
        <v>1442</v>
      </c>
      <c r="D11043" s="2889" t="s">
        <v>1105</v>
      </c>
      <c r="E11043" s="2889" t="s">
        <v>217</v>
      </c>
      <c r="F11043" s="2890">
        <v>8.3855421990795591E-6</v>
      </c>
      <c r="G11043" s="2890">
        <v>3.7589049637673428E-3</v>
      </c>
    </row>
    <row r="11044" spans="2:7" ht="15" hidden="1" outlineLevel="2">
      <c r="B11044" s="2889" t="s">
        <v>1634</v>
      </c>
      <c r="C11044" s="2889" t="s">
        <v>1443</v>
      </c>
      <c r="D11044" s="2889" t="s">
        <v>1105</v>
      </c>
      <c r="E11044" s="2889" t="s">
        <v>217</v>
      </c>
      <c r="F11044" s="2890">
        <v>1.3194488672716551E-4</v>
      </c>
      <c r="G11044" s="2890">
        <v>5.9145587268922648E-2</v>
      </c>
    </row>
    <row r="11045" spans="2:7" ht="15" hidden="1" outlineLevel="2">
      <c r="B11045" s="2889" t="s">
        <v>1634</v>
      </c>
      <c r="C11045" s="2889" t="s">
        <v>1444</v>
      </c>
      <c r="D11045" s="2889" t="s">
        <v>1105</v>
      </c>
      <c r="E11045" s="2889" t="s">
        <v>217</v>
      </c>
      <c r="F11045" s="2890">
        <v>0.24860644678291369</v>
      </c>
      <c r="G11045" s="2890">
        <v>300.71207051577574</v>
      </c>
    </row>
    <row r="11046" spans="2:7" ht="15" hidden="1" outlineLevel="2">
      <c r="B11046" s="2889" t="s">
        <v>1634</v>
      </c>
      <c r="C11046" s="2889" t="s">
        <v>1445</v>
      </c>
      <c r="D11046" s="2889" t="s">
        <v>1105</v>
      </c>
      <c r="E11046" s="2889" t="s">
        <v>217</v>
      </c>
      <c r="F11046" s="2890">
        <v>5.3515464293503526E-2</v>
      </c>
      <c r="G11046" s="2890">
        <v>75.250280374770213</v>
      </c>
    </row>
    <row r="11047" spans="2:7" ht="15" hidden="1" outlineLevel="2">
      <c r="B11047" s="2889" t="s">
        <v>1634</v>
      </c>
      <c r="C11047" s="2889" t="s">
        <v>1446</v>
      </c>
      <c r="D11047" s="2889" t="s">
        <v>1105</v>
      </c>
      <c r="E11047" s="2889" t="s">
        <v>217</v>
      </c>
      <c r="F11047" s="2890">
        <v>2.4703389359723295E-2</v>
      </c>
      <c r="G11047" s="2890">
        <v>39.904626975997559</v>
      </c>
    </row>
    <row r="11048" spans="2:7" ht="15" hidden="1" outlineLevel="2">
      <c r="B11048" s="2889" t="s">
        <v>1634</v>
      </c>
      <c r="C11048" s="2889" t="s">
        <v>1447</v>
      </c>
      <c r="D11048" s="2889" t="s">
        <v>1105</v>
      </c>
      <c r="E11048" s="2889" t="s">
        <v>217</v>
      </c>
      <c r="F11048" s="2890">
        <v>5.6920914715594961E-2</v>
      </c>
      <c r="G11048" s="2890">
        <v>85.620825559936463</v>
      </c>
    </row>
    <row r="11049" spans="2:7" ht="15" hidden="1" outlineLevel="2">
      <c r="B11049" s="2889" t="s">
        <v>1634</v>
      </c>
      <c r="C11049" s="2889" t="s">
        <v>1448</v>
      </c>
      <c r="D11049" s="2889" t="s">
        <v>1105</v>
      </c>
      <c r="E11049" s="2889" t="s">
        <v>217</v>
      </c>
      <c r="F11049" s="2890">
        <v>0.1074992685860421</v>
      </c>
      <c r="G11049" s="2890">
        <v>134.88819874619705</v>
      </c>
    </row>
    <row r="11050" spans="2:7" ht="15" hidden="1" outlineLevel="2">
      <c r="B11050" s="2889" t="s">
        <v>1634</v>
      </c>
      <c r="C11050" s="2889" t="s">
        <v>1449</v>
      </c>
      <c r="D11050" s="2889" t="s">
        <v>1105</v>
      </c>
      <c r="E11050" s="2889" t="s">
        <v>217</v>
      </c>
      <c r="F11050" s="2890">
        <v>4.5764779604096882E-3</v>
      </c>
      <c r="G11050" s="2890">
        <v>6.3443900229961221</v>
      </c>
    </row>
    <row r="11051" spans="2:7" ht="15" hidden="1" outlineLevel="2">
      <c r="B11051" s="2889" t="s">
        <v>1634</v>
      </c>
      <c r="C11051" s="2889" t="s">
        <v>1450</v>
      </c>
      <c r="D11051" s="2889" t="s">
        <v>1105</v>
      </c>
      <c r="E11051" s="2889" t="s">
        <v>1420</v>
      </c>
      <c r="F11051" s="2890">
        <v>1.4553745318781888E-2</v>
      </c>
      <c r="G11051" s="2890">
        <v>40.011209914967608</v>
      </c>
    </row>
    <row r="11052" spans="2:7" ht="15" hidden="1" outlineLevel="2">
      <c r="B11052" s="2889" t="s">
        <v>1634</v>
      </c>
      <c r="C11052" s="2889" t="s">
        <v>1451</v>
      </c>
      <c r="D11052" s="2889" t="s">
        <v>1105</v>
      </c>
      <c r="E11052" s="2889" t="s">
        <v>1420</v>
      </c>
      <c r="F11052" s="2890">
        <v>2.1130471702491172E-3</v>
      </c>
      <c r="G11052" s="2890">
        <v>8.9118919024822016</v>
      </c>
    </row>
    <row r="11053" spans="2:7" ht="15" hidden="1" outlineLevel="2">
      <c r="B11053" s="2889" t="s">
        <v>1634</v>
      </c>
      <c r="C11053" s="2889" t="s">
        <v>1452</v>
      </c>
      <c r="D11053" s="2889" t="s">
        <v>1105</v>
      </c>
      <c r="E11053" s="2889" t="s">
        <v>1420</v>
      </c>
      <c r="F11053" s="2890">
        <v>1.5632741809808526E-3</v>
      </c>
      <c r="G11053" s="2890">
        <v>10.446335719315398</v>
      </c>
    </row>
    <row r="11054" spans="2:7" ht="15" hidden="1" outlineLevel="2">
      <c r="B11054" s="2889" t="s">
        <v>1634</v>
      </c>
      <c r="C11054" s="2889" t="s">
        <v>1453</v>
      </c>
      <c r="D11054" s="2889" t="s">
        <v>1105</v>
      </c>
      <c r="E11054" s="2889" t="s">
        <v>1420</v>
      </c>
      <c r="F11054" s="2890">
        <v>2.7382725438853317E-3</v>
      </c>
      <c r="G11054" s="2890">
        <v>12.976966865629823</v>
      </c>
    </row>
    <row r="11055" spans="2:7" ht="15" hidden="1" outlineLevel="2">
      <c r="B11055" s="2889" t="s">
        <v>1634</v>
      </c>
      <c r="C11055" s="2889" t="s">
        <v>1454</v>
      </c>
      <c r="D11055" s="2889" t="s">
        <v>1105</v>
      </c>
      <c r="E11055" s="2889" t="s">
        <v>1420</v>
      </c>
      <c r="F11055" s="2890">
        <v>6.8373170706200536E-5</v>
      </c>
      <c r="G11055" s="2890">
        <v>0.17541944146135918</v>
      </c>
    </row>
    <row r="11056" spans="2:7" ht="15" hidden="1" outlineLevel="2">
      <c r="B11056" s="2889" t="s">
        <v>1634</v>
      </c>
      <c r="C11056" s="2889" t="s">
        <v>1455</v>
      </c>
      <c r="D11056" s="2889" t="s">
        <v>1105</v>
      </c>
      <c r="E11056" s="2889" t="s">
        <v>1420</v>
      </c>
      <c r="F11056" s="2890">
        <v>1.9947915176651401E-5</v>
      </c>
      <c r="G11056" s="2890">
        <v>0.16294150789387843</v>
      </c>
    </row>
    <row r="11057" spans="2:7" ht="15" hidden="1" outlineLevel="2">
      <c r="B11057" s="2889" t="s">
        <v>1634</v>
      </c>
      <c r="C11057" s="2889" t="s">
        <v>1456</v>
      </c>
      <c r="D11057" s="2889" t="s">
        <v>1105</v>
      </c>
      <c r="E11057" s="2889" t="s">
        <v>1423</v>
      </c>
      <c r="F11057" s="2890">
        <v>0.32155618159207844</v>
      </c>
      <c r="G11057" s="2890">
        <v>8.9292837239369938</v>
      </c>
    </row>
    <row r="11058" spans="2:7" ht="15" hidden="1" outlineLevel="2">
      <c r="B11058" s="2889" t="s">
        <v>1634</v>
      </c>
      <c r="C11058" s="2889" t="s">
        <v>1457</v>
      </c>
      <c r="D11058" s="2889" t="s">
        <v>1105</v>
      </c>
      <c r="E11058" s="2889" t="s">
        <v>1423</v>
      </c>
      <c r="F11058" s="2890">
        <v>1.2328011684503582E-2</v>
      </c>
      <c r="G11058" s="2890">
        <v>0.44814172465763152</v>
      </c>
    </row>
    <row r="11059" spans="2:7" ht="15" hidden="1" outlineLevel="2">
      <c r="B11059" s="2889" t="s">
        <v>1634</v>
      </c>
      <c r="C11059" s="2889" t="s">
        <v>1458</v>
      </c>
      <c r="D11059" s="2889" t="s">
        <v>1105</v>
      </c>
      <c r="E11059" s="2889" t="s">
        <v>1423</v>
      </c>
      <c r="F11059" s="2890">
        <v>8.8506123491543607E-3</v>
      </c>
      <c r="G11059" s="2890">
        <v>0.62075257486488022</v>
      </c>
    </row>
    <row r="11060" spans="2:7" ht="15" hidden="1" outlineLevel="2">
      <c r="B11060" s="2889" t="s">
        <v>1634</v>
      </c>
      <c r="C11060" s="2889" t="s">
        <v>1459</v>
      </c>
      <c r="D11060" s="2889" t="s">
        <v>1105</v>
      </c>
      <c r="E11060" s="2889" t="s">
        <v>1423</v>
      </c>
      <c r="F11060" s="2890">
        <v>0.1036892906838866</v>
      </c>
      <c r="G11060" s="2890">
        <v>21.698588080993254</v>
      </c>
    </row>
    <row r="11061" spans="2:7" ht="15" hidden="1" outlineLevel="2">
      <c r="B11061" s="2889" t="s">
        <v>1634</v>
      </c>
      <c r="C11061" s="2889" t="s">
        <v>1460</v>
      </c>
      <c r="D11061" s="2889" t="s">
        <v>1105</v>
      </c>
      <c r="E11061" s="2889" t="s">
        <v>1426</v>
      </c>
      <c r="F11061" s="2891"/>
      <c r="G11061" s="2890">
        <v>231.38747408109805</v>
      </c>
    </row>
    <row r="11062" spans="2:7" ht="15" hidden="1" outlineLevel="2">
      <c r="B11062" s="2889" t="s">
        <v>1634</v>
      </c>
      <c r="C11062" s="2889" t="s">
        <v>1461</v>
      </c>
      <c r="D11062" s="2889" t="s">
        <v>1105</v>
      </c>
      <c r="E11062" s="2889" t="s">
        <v>1426</v>
      </c>
      <c r="F11062" s="2891"/>
      <c r="G11062" s="2890">
        <v>54.593418688270759</v>
      </c>
    </row>
    <row r="11063" spans="2:7" ht="15" hidden="1" outlineLevel="2">
      <c r="B11063" s="2889" t="s">
        <v>1634</v>
      </c>
      <c r="C11063" s="2889" t="s">
        <v>1462</v>
      </c>
      <c r="D11063" s="2889" t="s">
        <v>1105</v>
      </c>
      <c r="E11063" s="2889" t="s">
        <v>1426</v>
      </c>
      <c r="F11063" s="2891"/>
      <c r="G11063" s="2890">
        <v>151.47563042406236</v>
      </c>
    </row>
    <row r="11064" spans="2:7" ht="15" hidden="1" outlineLevel="2">
      <c r="B11064" s="2889" t="s">
        <v>1634</v>
      </c>
      <c r="C11064" s="2889" t="s">
        <v>1463</v>
      </c>
      <c r="D11064" s="2889" t="s">
        <v>1105</v>
      </c>
      <c r="E11064" s="2889" t="s">
        <v>1426</v>
      </c>
      <c r="F11064" s="2891"/>
      <c r="G11064" s="2890">
        <v>76.914414292915538</v>
      </c>
    </row>
    <row r="11065" spans="2:7" ht="15" hidden="1" outlineLevel="2">
      <c r="B11065" s="2889" t="s">
        <v>1634</v>
      </c>
      <c r="C11065" s="2889" t="s">
        <v>1464</v>
      </c>
      <c r="D11065" s="2889" t="s">
        <v>1105</v>
      </c>
      <c r="E11065" s="2889" t="s">
        <v>1426</v>
      </c>
      <c r="F11065" s="2891"/>
      <c r="G11065" s="2890">
        <v>7.3888769617925014</v>
      </c>
    </row>
    <row r="11066" spans="2:7" ht="15" hidden="1" outlineLevel="2">
      <c r="B11066" s="2889" t="s">
        <v>1634</v>
      </c>
      <c r="C11066" s="2889" t="s">
        <v>1465</v>
      </c>
      <c r="D11066" s="2889" t="s">
        <v>1105</v>
      </c>
      <c r="E11066" s="2889" t="s">
        <v>1426</v>
      </c>
      <c r="F11066" s="2891"/>
      <c r="G11066" s="2890">
        <v>6.5556071528947273</v>
      </c>
    </row>
    <row r="11067" spans="2:7" ht="15" hidden="1" outlineLevel="2">
      <c r="B11067" s="2889" t="s">
        <v>1634</v>
      </c>
      <c r="C11067" s="2889" t="s">
        <v>1466</v>
      </c>
      <c r="D11067" s="2889" t="s">
        <v>1054</v>
      </c>
      <c r="E11067" s="2889" t="s">
        <v>217</v>
      </c>
      <c r="F11067" s="2890">
        <v>3.8241466601556108E-3</v>
      </c>
      <c r="G11067" s="2890">
        <v>2.35785193736552</v>
      </c>
    </row>
    <row r="11068" spans="2:7" ht="15" hidden="1" outlineLevel="2">
      <c r="B11068" s="2889" t="s">
        <v>1634</v>
      </c>
      <c r="C11068" s="2889" t="s">
        <v>1467</v>
      </c>
      <c r="D11068" s="2889" t="s">
        <v>1054</v>
      </c>
      <c r="E11068" s="2889" t="s">
        <v>217</v>
      </c>
      <c r="F11068" s="2890">
        <v>3.1604112825400006E-4</v>
      </c>
      <c r="G11068" s="2890">
        <v>0.15292472094797713</v>
      </c>
    </row>
    <row r="11069" spans="2:7" ht="15" hidden="1" outlineLevel="2">
      <c r="B11069" s="2889" t="s">
        <v>1634</v>
      </c>
      <c r="C11069" s="2889" t="s">
        <v>1468</v>
      </c>
      <c r="D11069" s="2889" t="s">
        <v>1054</v>
      </c>
      <c r="E11069" s="2889" t="s">
        <v>217</v>
      </c>
      <c r="F11069" s="2890">
        <v>3.8273525970081477E-4</v>
      </c>
      <c r="G11069" s="2890">
        <v>0.18281261623010847</v>
      </c>
    </row>
    <row r="11070" spans="2:7" ht="15" hidden="1" outlineLevel="2">
      <c r="B11070" s="2889" t="s">
        <v>1634</v>
      </c>
      <c r="C11070" s="2889" t="s">
        <v>1469</v>
      </c>
      <c r="D11070" s="2889" t="s">
        <v>1054</v>
      </c>
      <c r="E11070" s="2889" t="s">
        <v>217</v>
      </c>
      <c r="F11070" s="2890">
        <v>3.0541113355160695E-6</v>
      </c>
      <c r="G11070" s="2890">
        <v>1.3689968930802891E-3</v>
      </c>
    </row>
    <row r="11071" spans="2:7" ht="15" hidden="1" outlineLevel="2">
      <c r="B11071" s="2889" t="s">
        <v>1634</v>
      </c>
      <c r="C11071" s="2889" t="s">
        <v>1470</v>
      </c>
      <c r="D11071" s="2889" t="s">
        <v>1054</v>
      </c>
      <c r="E11071" s="2889" t="s">
        <v>217</v>
      </c>
      <c r="F11071" s="2890">
        <v>1.0894842185035626E-2</v>
      </c>
      <c r="G11071" s="2890">
        <v>6.0930579480231835</v>
      </c>
    </row>
    <row r="11072" spans="2:7" ht="15" hidden="1" outlineLevel="2">
      <c r="B11072" s="2889" t="s">
        <v>1634</v>
      </c>
      <c r="C11072" s="2889" t="s">
        <v>1471</v>
      </c>
      <c r="D11072" s="2889" t="s">
        <v>1054</v>
      </c>
      <c r="E11072" s="2889" t="s">
        <v>217</v>
      </c>
      <c r="F11072" s="2890">
        <v>7.9526566101178789E-5</v>
      </c>
      <c r="G11072" s="2890">
        <v>3.5647572769999331E-2</v>
      </c>
    </row>
    <row r="11073" spans="2:7" ht="15" hidden="1" outlineLevel="2">
      <c r="B11073" s="2889" t="s">
        <v>1634</v>
      </c>
      <c r="C11073" s="2889" t="s">
        <v>1472</v>
      </c>
      <c r="D11073" s="2889" t="s">
        <v>1054</v>
      </c>
      <c r="E11073" s="2889" t="s">
        <v>217</v>
      </c>
      <c r="F11073" s="2890">
        <v>1.3440277688796247E-3</v>
      </c>
      <c r="G11073" s="2890">
        <v>2.0960826218478226</v>
      </c>
    </row>
    <row r="11074" spans="2:7" ht="15" hidden="1" outlineLevel="2">
      <c r="B11074" s="2889" t="s">
        <v>1634</v>
      </c>
      <c r="C11074" s="2889" t="s">
        <v>1473</v>
      </c>
      <c r="D11074" s="2889" t="s">
        <v>1054</v>
      </c>
      <c r="E11074" s="2889" t="s">
        <v>217</v>
      </c>
      <c r="F11074" s="2890">
        <v>1.190409356162469E-5</v>
      </c>
      <c r="G11074" s="2890">
        <v>1.5489501510296764E-2</v>
      </c>
    </row>
    <row r="11075" spans="2:7" ht="15" hidden="1" outlineLevel="2">
      <c r="B11075" s="2889" t="s">
        <v>1634</v>
      </c>
      <c r="C11075" s="2889" t="s">
        <v>1474</v>
      </c>
      <c r="D11075" s="2889" t="s">
        <v>1054</v>
      </c>
      <c r="E11075" s="2889" t="s">
        <v>217</v>
      </c>
      <c r="F11075" s="2890">
        <v>3.274511557678847E-3</v>
      </c>
      <c r="G11075" s="2890">
        <v>3.9223927002788339</v>
      </c>
    </row>
    <row r="11076" spans="2:7" ht="15" hidden="1" outlineLevel="2">
      <c r="B11076" s="2889" t="s">
        <v>1634</v>
      </c>
      <c r="C11076" s="2889" t="s">
        <v>1475</v>
      </c>
      <c r="D11076" s="2889" t="s">
        <v>1054</v>
      </c>
      <c r="E11076" s="2889" t="s">
        <v>217</v>
      </c>
      <c r="F11076" s="2890">
        <v>2.3455723603111249E-3</v>
      </c>
      <c r="G11076" s="2890">
        <v>3.7064206793268251</v>
      </c>
    </row>
    <row r="11077" spans="2:7" ht="15" hidden="1" outlineLevel="2">
      <c r="B11077" s="2889" t="s">
        <v>1634</v>
      </c>
      <c r="C11077" s="2889" t="s">
        <v>1476</v>
      </c>
      <c r="D11077" s="2889" t="s">
        <v>1054</v>
      </c>
      <c r="E11077" s="2889" t="s">
        <v>217</v>
      </c>
      <c r="F11077" s="2890">
        <v>5.7752161000933708E-3</v>
      </c>
      <c r="G11077" s="2890">
        <v>7.377032384965589</v>
      </c>
    </row>
    <row r="11078" spans="2:7" ht="15" hidden="1" outlineLevel="2">
      <c r="B11078" s="2889" t="s">
        <v>1634</v>
      </c>
      <c r="C11078" s="2889" t="s">
        <v>1477</v>
      </c>
      <c r="D11078" s="2889" t="s">
        <v>1054</v>
      </c>
      <c r="E11078" s="2889" t="s">
        <v>217</v>
      </c>
      <c r="F11078" s="2890">
        <v>2.2589232724588241E-3</v>
      </c>
      <c r="G11078" s="2890">
        <v>3.110895198063834</v>
      </c>
    </row>
    <row r="11079" spans="2:7" ht="15" hidden="1" outlineLevel="2">
      <c r="B11079" s="2889" t="s">
        <v>1634</v>
      </c>
      <c r="C11079" s="2889" t="s">
        <v>1478</v>
      </c>
      <c r="D11079" s="2889" t="s">
        <v>1054</v>
      </c>
      <c r="E11079" s="2889" t="s">
        <v>217</v>
      </c>
      <c r="F11079" s="2890">
        <v>1.2173258292096384E-4</v>
      </c>
      <c r="G11079" s="2890">
        <v>0.1615155729366928</v>
      </c>
    </row>
    <row r="11080" spans="2:7" ht="15" hidden="1" outlineLevel="2">
      <c r="B11080" s="2889" t="s">
        <v>1634</v>
      </c>
      <c r="C11080" s="2889" t="s">
        <v>1479</v>
      </c>
      <c r="D11080" s="2889" t="s">
        <v>1054</v>
      </c>
      <c r="E11080" s="2889" t="s">
        <v>217</v>
      </c>
      <c r="F11080" s="2890">
        <v>4.3047189603625437E-3</v>
      </c>
      <c r="G11080" s="2890">
        <v>6.5125743718652265</v>
      </c>
    </row>
    <row r="11081" spans="2:7" ht="15" hidden="1" outlineLevel="2">
      <c r="B11081" s="2889" t="s">
        <v>1634</v>
      </c>
      <c r="C11081" s="2889" t="s">
        <v>1480</v>
      </c>
      <c r="D11081" s="2889" t="s">
        <v>1054</v>
      </c>
      <c r="E11081" s="2889" t="s">
        <v>217</v>
      </c>
      <c r="F11081" s="2890">
        <v>1.9382641194140438E-3</v>
      </c>
      <c r="G11081" s="2890">
        <v>2.2430355576999776</v>
      </c>
    </row>
    <row r="11082" spans="2:7" ht="15" hidden="1" outlineLevel="2">
      <c r="B11082" s="2889" t="s">
        <v>1634</v>
      </c>
      <c r="C11082" s="2889" t="s">
        <v>1481</v>
      </c>
      <c r="D11082" s="2889" t="s">
        <v>1054</v>
      </c>
      <c r="E11082" s="2889" t="s">
        <v>217</v>
      </c>
      <c r="F11082" s="2890">
        <v>9.5885012212110019E-3</v>
      </c>
      <c r="G11082" s="2890">
        <v>13.56440484841888</v>
      </c>
    </row>
    <row r="11083" spans="2:7" ht="15" hidden="1" outlineLevel="2">
      <c r="B11083" s="2889" t="s">
        <v>1634</v>
      </c>
      <c r="C11083" s="2889" t="s">
        <v>1482</v>
      </c>
      <c r="D11083" s="2889" t="s">
        <v>1054</v>
      </c>
      <c r="E11083" s="2889" t="s">
        <v>217</v>
      </c>
      <c r="F11083" s="2890">
        <v>6.4620810116543543E-3</v>
      </c>
      <c r="G11083" s="2890">
        <v>6.4980637039862694</v>
      </c>
    </row>
    <row r="11084" spans="2:7" ht="15" hidden="1" outlineLevel="2">
      <c r="B11084" s="2889" t="s">
        <v>1634</v>
      </c>
      <c r="C11084" s="2889" t="s">
        <v>1483</v>
      </c>
      <c r="D11084" s="2889" t="s">
        <v>1054</v>
      </c>
      <c r="E11084" s="2889" t="s">
        <v>217</v>
      </c>
      <c r="F11084" s="2890">
        <v>3.0737755000439295E-4</v>
      </c>
      <c r="G11084" s="2890">
        <v>0.51799775422733041</v>
      </c>
    </row>
    <row r="11085" spans="2:7" ht="15" hidden="1" outlineLevel="2">
      <c r="B11085" s="2889" t="s">
        <v>1634</v>
      </c>
      <c r="C11085" s="2889" t="s">
        <v>1484</v>
      </c>
      <c r="D11085" s="2889" t="s">
        <v>1054</v>
      </c>
      <c r="E11085" s="2889" t="s">
        <v>217</v>
      </c>
      <c r="F11085" s="2890">
        <v>6.2444517856340446E-4</v>
      </c>
      <c r="G11085" s="2890">
        <v>0.8783373305359492</v>
      </c>
    </row>
    <row r="11086" spans="2:7" ht="15" hidden="1" outlineLevel="2">
      <c r="B11086" s="2889" t="s">
        <v>1634</v>
      </c>
      <c r="C11086" s="2889" t="s">
        <v>1485</v>
      </c>
      <c r="D11086" s="2889" t="s">
        <v>1054</v>
      </c>
      <c r="E11086" s="2889" t="s">
        <v>217</v>
      </c>
      <c r="F11086" s="2890">
        <v>2.7768206507384227E-4</v>
      </c>
      <c r="G11086" s="2890">
        <v>0.78706957409165701</v>
      </c>
    </row>
    <row r="11087" spans="2:7" ht="15" hidden="1" outlineLevel="2">
      <c r="B11087" s="2889" t="s">
        <v>1634</v>
      </c>
      <c r="C11087" s="2889" t="s">
        <v>1486</v>
      </c>
      <c r="D11087" s="2889" t="s">
        <v>1054</v>
      </c>
      <c r="E11087" s="2889" t="s">
        <v>217</v>
      </c>
      <c r="F11087" s="2890">
        <v>3.2338265709310366E-4</v>
      </c>
      <c r="G11087" s="2890">
        <v>1.8798694675910603</v>
      </c>
    </row>
    <row r="11088" spans="2:7" ht="15" hidden="1" outlineLevel="2">
      <c r="B11088" s="2889" t="s">
        <v>1634</v>
      </c>
      <c r="C11088" s="2889" t="s">
        <v>1487</v>
      </c>
      <c r="D11088" s="2889" t="s">
        <v>1054</v>
      </c>
      <c r="E11088" s="2889" t="s">
        <v>217</v>
      </c>
      <c r="F11088" s="2890">
        <v>3.057035976378727E-3</v>
      </c>
      <c r="G11088" s="2890">
        <v>4.4548029196942709</v>
      </c>
    </row>
    <row r="11089" spans="2:7" ht="15" hidden="1" outlineLevel="2">
      <c r="B11089" s="2889" t="s">
        <v>1634</v>
      </c>
      <c r="C11089" s="2889" t="s">
        <v>1488</v>
      </c>
      <c r="D11089" s="2889" t="s">
        <v>1054</v>
      </c>
      <c r="E11089" s="2889" t="s">
        <v>217</v>
      </c>
      <c r="F11089" s="2890">
        <v>1.8972159504522228E-3</v>
      </c>
      <c r="G11089" s="2890">
        <v>3.057387402097441</v>
      </c>
    </row>
    <row r="11090" spans="2:7" ht="15" hidden="1" outlineLevel="2">
      <c r="B11090" s="2889" t="s">
        <v>1634</v>
      </c>
      <c r="C11090" s="2889" t="s">
        <v>1489</v>
      </c>
      <c r="D11090" s="2889" t="s">
        <v>1054</v>
      </c>
      <c r="E11090" s="2889" t="s">
        <v>217</v>
      </c>
      <c r="F11090" s="2890">
        <v>9.5489417115571294E-4</v>
      </c>
      <c r="G11090" s="2890">
        <v>1.0073816231320221</v>
      </c>
    </row>
    <row r="11091" spans="2:7" ht="15" hidden="1" outlineLevel="2">
      <c r="B11091" s="2889" t="s">
        <v>1634</v>
      </c>
      <c r="C11091" s="2889" t="s">
        <v>1490</v>
      </c>
      <c r="D11091" s="2889" t="s">
        <v>1054</v>
      </c>
      <c r="E11091" s="2889" t="s">
        <v>217</v>
      </c>
      <c r="F11091" s="2890">
        <v>4.4591123197610955E-4</v>
      </c>
      <c r="G11091" s="2890">
        <v>0.71164633055443249</v>
      </c>
    </row>
    <row r="11092" spans="2:7" ht="15" hidden="1" outlineLevel="2">
      <c r="B11092" s="2889" t="s">
        <v>1634</v>
      </c>
      <c r="C11092" s="2889" t="s">
        <v>1491</v>
      </c>
      <c r="D11092" s="2889" t="s">
        <v>1054</v>
      </c>
      <c r="E11092" s="2889" t="s">
        <v>1420</v>
      </c>
      <c r="F11092" s="2890">
        <v>8.5132778316998874E-5</v>
      </c>
      <c r="G11092" s="2890">
        <v>0.40308772513238816</v>
      </c>
    </row>
    <row r="11093" spans="2:7" ht="15" hidden="1" outlineLevel="2">
      <c r="B11093" s="2889" t="s">
        <v>1634</v>
      </c>
      <c r="C11093" s="2889" t="s">
        <v>1492</v>
      </c>
      <c r="D11093" s="2889" t="s">
        <v>1054</v>
      </c>
      <c r="E11093" s="2889" t="s">
        <v>1420</v>
      </c>
      <c r="F11093" s="2890">
        <v>6.3284953510433627E-5</v>
      </c>
      <c r="G11093" s="2890">
        <v>0.67645709697436929</v>
      </c>
    </row>
    <row r="11094" spans="2:7" ht="15" hidden="1" outlineLevel="2">
      <c r="B11094" s="2889" t="s">
        <v>1634</v>
      </c>
      <c r="C11094" s="2889" t="s">
        <v>1493</v>
      </c>
      <c r="D11094" s="2889" t="s">
        <v>1054</v>
      </c>
      <c r="E11094" s="2889" t="s">
        <v>1420</v>
      </c>
      <c r="F11094" s="2890">
        <v>4.6861432037902379E-5</v>
      </c>
      <c r="G11094" s="2890">
        <v>0.11190623076785181</v>
      </c>
    </row>
    <row r="11095" spans="2:7" ht="15" hidden="1" outlineLevel="2">
      <c r="B11095" s="2889" t="s">
        <v>1634</v>
      </c>
      <c r="C11095" s="2889" t="s">
        <v>1494</v>
      </c>
      <c r="D11095" s="2889" t="s">
        <v>1054</v>
      </c>
      <c r="E11095" s="2889" t="s">
        <v>1420</v>
      </c>
      <c r="F11095" s="2890">
        <v>1.2778108607428869E-5</v>
      </c>
      <c r="G11095" s="2890">
        <v>7.0122983860609486E-2</v>
      </c>
    </row>
    <row r="11096" spans="2:7" ht="15" hidden="1" outlineLevel="2">
      <c r="B11096" s="2889" t="s">
        <v>1634</v>
      </c>
      <c r="C11096" s="2889" t="s">
        <v>1495</v>
      </c>
      <c r="D11096" s="2889" t="s">
        <v>1054</v>
      </c>
      <c r="E11096" s="2889" t="s">
        <v>1420</v>
      </c>
      <c r="F11096" s="2890">
        <v>2.7652699220664738E-4</v>
      </c>
      <c r="G11096" s="2890">
        <v>1.2409395160481702</v>
      </c>
    </row>
    <row r="11097" spans="2:7" ht="15" hidden="1" outlineLevel="2">
      <c r="B11097" s="2889" t="s">
        <v>1634</v>
      </c>
      <c r="C11097" s="2889" t="s">
        <v>1496</v>
      </c>
      <c r="D11097" s="2889" t="s">
        <v>1054</v>
      </c>
      <c r="E11097" s="2889" t="s">
        <v>1420</v>
      </c>
      <c r="F11097" s="2890">
        <v>2.5087372210056059E-4</v>
      </c>
      <c r="G11097" s="2890">
        <v>0.44680961155282217</v>
      </c>
    </row>
    <row r="11098" spans="2:7" ht="15" hidden="1" outlineLevel="2">
      <c r="B11098" s="2889" t="s">
        <v>1634</v>
      </c>
      <c r="C11098" s="2889" t="s">
        <v>1497</v>
      </c>
      <c r="D11098" s="2889" t="s">
        <v>1054</v>
      </c>
      <c r="E11098" s="2889" t="s">
        <v>1420</v>
      </c>
      <c r="F11098" s="2890">
        <v>6.9605945154472843E-5</v>
      </c>
      <c r="G11098" s="2890">
        <v>1.1480677869131977</v>
      </c>
    </row>
    <row r="11099" spans="2:7" ht="15" hidden="1" outlineLevel="2">
      <c r="B11099" s="2889" t="s">
        <v>1634</v>
      </c>
      <c r="C11099" s="2889" t="s">
        <v>1498</v>
      </c>
      <c r="D11099" s="2889" t="s">
        <v>1054</v>
      </c>
      <c r="E11099" s="2889" t="s">
        <v>1420</v>
      </c>
      <c r="F11099" s="2890">
        <v>1.9026528187644505E-4</v>
      </c>
      <c r="G11099" s="2890">
        <v>0.45726306868716315</v>
      </c>
    </row>
    <row r="11100" spans="2:7" ht="15" hidden="1" outlineLevel="2">
      <c r="B11100" s="2889" t="s">
        <v>1634</v>
      </c>
      <c r="C11100" s="2889" t="s">
        <v>1499</v>
      </c>
      <c r="D11100" s="2889" t="s">
        <v>1054</v>
      </c>
      <c r="E11100" s="2889" t="s">
        <v>1420</v>
      </c>
      <c r="F11100" s="2890">
        <v>2.9058739266679836E-5</v>
      </c>
      <c r="G11100" s="2890">
        <v>7.3580342063450876E-2</v>
      </c>
    </row>
    <row r="11101" spans="2:7" ht="15" hidden="1" outlineLevel="2">
      <c r="B11101" s="2889" t="s">
        <v>1634</v>
      </c>
      <c r="C11101" s="2889" t="s">
        <v>1500</v>
      </c>
      <c r="D11101" s="2889" t="s">
        <v>1054</v>
      </c>
      <c r="E11101" s="2889" t="s">
        <v>1420</v>
      </c>
      <c r="F11101" s="2890">
        <v>2.1047807196368826E-4</v>
      </c>
      <c r="G11101" s="2890">
        <v>0.79597937712849631</v>
      </c>
    </row>
    <row r="11102" spans="2:7" ht="15" hidden="1" outlineLevel="2">
      <c r="B11102" s="2889" t="s">
        <v>1634</v>
      </c>
      <c r="C11102" s="2889" t="s">
        <v>1501</v>
      </c>
      <c r="D11102" s="2889" t="s">
        <v>1054</v>
      </c>
      <c r="E11102" s="2889" t="s">
        <v>1420</v>
      </c>
      <c r="F11102" s="2890">
        <v>2.6398519366642957E-4</v>
      </c>
      <c r="G11102" s="2890">
        <v>1.9382490063988145</v>
      </c>
    </row>
    <row r="11103" spans="2:7" ht="15" hidden="1" outlineLevel="2">
      <c r="B11103" s="2889" t="s">
        <v>1634</v>
      </c>
      <c r="C11103" s="2889" t="s">
        <v>1502</v>
      </c>
      <c r="D11103" s="2889" t="s">
        <v>1054</v>
      </c>
      <c r="E11103" s="2889" t="s">
        <v>1420</v>
      </c>
      <c r="F11103" s="2890">
        <v>1.8419613563257453E-5</v>
      </c>
      <c r="G11103" s="2890">
        <v>0.20247225907005181</v>
      </c>
    </row>
    <row r="11104" spans="2:7" ht="15" hidden="1" outlineLevel="2">
      <c r="B11104" s="2889" t="s">
        <v>1634</v>
      </c>
      <c r="C11104" s="2889" t="s">
        <v>1503</v>
      </c>
      <c r="D11104" s="2889" t="s">
        <v>1054</v>
      </c>
      <c r="E11104" s="2889" t="s">
        <v>1420</v>
      </c>
      <c r="F11104" s="2890">
        <v>6.0746175875626258E-4</v>
      </c>
      <c r="G11104" s="2890">
        <v>1.6772065555300562</v>
      </c>
    </row>
    <row r="11105" spans="2:7" ht="15" hidden="1" outlineLevel="2">
      <c r="B11105" s="2889" t="s">
        <v>1634</v>
      </c>
      <c r="C11105" s="2889" t="s">
        <v>1504</v>
      </c>
      <c r="D11105" s="2889" t="s">
        <v>1054</v>
      </c>
      <c r="E11105" s="2889" t="s">
        <v>1420</v>
      </c>
      <c r="F11105" s="2890">
        <v>3.1334633674544619E-4</v>
      </c>
      <c r="G11105" s="2890">
        <v>0.69359496764939677</v>
      </c>
    </row>
    <row r="11106" spans="2:7" ht="15" hidden="1" outlineLevel="2">
      <c r="B11106" s="2889" t="s">
        <v>1634</v>
      </c>
      <c r="C11106" s="2889" t="s">
        <v>1505</v>
      </c>
      <c r="D11106" s="2889" t="s">
        <v>1054</v>
      </c>
      <c r="E11106" s="2889" t="s">
        <v>1423</v>
      </c>
      <c r="F11106" s="2890">
        <v>8.8858136616269104E-4</v>
      </c>
      <c r="G11106" s="2890">
        <v>2.1990466408568322E-2</v>
      </c>
    </row>
    <row r="11107" spans="2:7" ht="15" hidden="1" outlineLevel="2">
      <c r="B11107" s="2889" t="s">
        <v>1634</v>
      </c>
      <c r="C11107" s="2889" t="s">
        <v>1506</v>
      </c>
      <c r="D11107" s="2889" t="s">
        <v>1054</v>
      </c>
      <c r="E11107" s="2889" t="s">
        <v>1426</v>
      </c>
      <c r="F11107" s="2891"/>
      <c r="G11107" s="2890">
        <v>65.292257428933468</v>
      </c>
    </row>
    <row r="11108" spans="2:7" ht="15" hidden="1" outlineLevel="2">
      <c r="B11108" s="2889" t="s">
        <v>1634</v>
      </c>
      <c r="C11108" s="2889" t="s">
        <v>1507</v>
      </c>
      <c r="D11108" s="2889" t="s">
        <v>1054</v>
      </c>
      <c r="E11108" s="2889" t="s">
        <v>1426</v>
      </c>
      <c r="F11108" s="2891"/>
      <c r="G11108" s="2890">
        <v>0.10643078236226711</v>
      </c>
    </row>
    <row r="11109" spans="2:7" ht="15" hidden="1" outlineLevel="2">
      <c r="B11109" s="2889" t="s">
        <v>1634</v>
      </c>
      <c r="C11109" s="2889" t="s">
        <v>1508</v>
      </c>
      <c r="D11109" s="2889" t="s">
        <v>1054</v>
      </c>
      <c r="E11109" s="2889" t="s">
        <v>1426</v>
      </c>
      <c r="F11109" s="2891"/>
      <c r="G11109" s="2890">
        <v>1.7534099732987725</v>
      </c>
    </row>
    <row r="11110" spans="2:7" ht="15" hidden="1" outlineLevel="2">
      <c r="B11110" s="2889" t="s">
        <v>1634</v>
      </c>
      <c r="C11110" s="2889" t="s">
        <v>1509</v>
      </c>
      <c r="D11110" s="2889" t="s">
        <v>1054</v>
      </c>
      <c r="E11110" s="2889" t="s">
        <v>1426</v>
      </c>
      <c r="F11110" s="2891"/>
      <c r="G11110" s="2890">
        <v>163.43420550267908</v>
      </c>
    </row>
    <row r="11111" spans="2:7" ht="15" hidden="1" outlineLevel="2">
      <c r="B11111" s="2889" t="s">
        <v>1634</v>
      </c>
      <c r="C11111" s="2889" t="s">
        <v>1510</v>
      </c>
      <c r="D11111" s="2889" t="s">
        <v>1054</v>
      </c>
      <c r="E11111" s="2889" t="s">
        <v>1426</v>
      </c>
      <c r="F11111" s="2891"/>
      <c r="G11111" s="2890">
        <v>177.78200492789742</v>
      </c>
    </row>
    <row r="11112" spans="2:7" ht="15" hidden="1" outlineLevel="2">
      <c r="B11112" s="2889" t="s">
        <v>1634</v>
      </c>
      <c r="C11112" s="2889" t="s">
        <v>1511</v>
      </c>
      <c r="D11112" s="2889" t="s">
        <v>1054</v>
      </c>
      <c r="E11112" s="2889" t="s">
        <v>1426</v>
      </c>
      <c r="F11112" s="2891"/>
      <c r="G11112" s="2890">
        <v>9.7946175974308716</v>
      </c>
    </row>
    <row r="11113" spans="2:7" ht="15" hidden="1" outlineLevel="2">
      <c r="B11113" s="2889" t="s">
        <v>1634</v>
      </c>
      <c r="C11113" s="2889" t="s">
        <v>1512</v>
      </c>
      <c r="D11113" s="2889" t="s">
        <v>1054</v>
      </c>
      <c r="E11113" s="2889" t="s">
        <v>1426</v>
      </c>
      <c r="F11113" s="2891"/>
      <c r="G11113" s="2890">
        <v>6.0455305156030983</v>
      </c>
    </row>
    <row r="11114" spans="2:7" ht="15" hidden="1" outlineLevel="2">
      <c r="B11114" s="2889" t="s">
        <v>1634</v>
      </c>
      <c r="C11114" s="2889" t="s">
        <v>1513</v>
      </c>
      <c r="D11114" s="2889" t="s">
        <v>1054</v>
      </c>
      <c r="E11114" s="2889" t="s">
        <v>1426</v>
      </c>
      <c r="F11114" s="2891"/>
      <c r="G11114" s="2890">
        <v>18.051650541280768</v>
      </c>
    </row>
    <row r="11115" spans="2:7" ht="15" hidden="1" outlineLevel="2">
      <c r="B11115" s="2889" t="s">
        <v>1634</v>
      </c>
      <c r="C11115" s="2889" t="s">
        <v>1514</v>
      </c>
      <c r="D11115" s="2889" t="s">
        <v>1054</v>
      </c>
      <c r="E11115" s="2889" t="s">
        <v>1426</v>
      </c>
      <c r="F11115" s="2891"/>
      <c r="G11115" s="2890">
        <v>77.535347406392361</v>
      </c>
    </row>
    <row r="11116" spans="2:7" ht="15" hidden="1" outlineLevel="2">
      <c r="B11116" s="2889" t="s">
        <v>1634</v>
      </c>
      <c r="C11116" s="2889" t="s">
        <v>1515</v>
      </c>
      <c r="D11116" s="2889" t="s">
        <v>1054</v>
      </c>
      <c r="E11116" s="2889" t="s">
        <v>1426</v>
      </c>
      <c r="F11116" s="2891"/>
      <c r="G11116" s="2890">
        <v>66.671316165798729</v>
      </c>
    </row>
    <row r="11117" spans="2:7" ht="15" hidden="1" outlineLevel="2">
      <c r="B11117" s="2889" t="s">
        <v>1634</v>
      </c>
      <c r="C11117" s="2889" t="s">
        <v>1516</v>
      </c>
      <c r="D11117" s="2889" t="s">
        <v>1054</v>
      </c>
      <c r="E11117" s="2889" t="s">
        <v>1426</v>
      </c>
      <c r="F11117" s="2891"/>
      <c r="G11117" s="2890">
        <v>662.33640365525071</v>
      </c>
    </row>
    <row r="11118" spans="2:7" ht="15" hidden="1" outlineLevel="2">
      <c r="B11118" s="2889" t="s">
        <v>1634</v>
      </c>
      <c r="C11118" s="2889" t="s">
        <v>1517</v>
      </c>
      <c r="D11118" s="2889" t="s">
        <v>1054</v>
      </c>
      <c r="E11118" s="2889" t="s">
        <v>1426</v>
      </c>
      <c r="F11118" s="2891"/>
      <c r="G11118" s="2890">
        <v>5.4940487819034933</v>
      </c>
    </row>
    <row r="11119" spans="2:7" ht="15" hidden="1" outlineLevel="2">
      <c r="B11119" s="2889" t="s">
        <v>1634</v>
      </c>
      <c r="C11119" s="2889" t="s">
        <v>1518</v>
      </c>
      <c r="D11119" s="2889" t="s">
        <v>1054</v>
      </c>
      <c r="E11119" s="2889" t="s">
        <v>1426</v>
      </c>
      <c r="F11119" s="2891"/>
      <c r="G11119" s="2890">
        <v>2.5950896296772714</v>
      </c>
    </row>
    <row r="11120" spans="2:7" ht="15" hidden="1" outlineLevel="2">
      <c r="B11120" s="2889" t="s">
        <v>1634</v>
      </c>
      <c r="C11120" s="2889" t="s">
        <v>1519</v>
      </c>
      <c r="D11120" s="2889" t="s">
        <v>1054</v>
      </c>
      <c r="E11120" s="2889" t="s">
        <v>1426</v>
      </c>
      <c r="F11120" s="2891"/>
      <c r="G11120" s="2890">
        <v>151.27185425751756</v>
      </c>
    </row>
    <row r="11121" spans="2:7" ht="15" hidden="1" outlineLevel="2">
      <c r="B11121" s="2889" t="s">
        <v>1634</v>
      </c>
      <c r="C11121" s="2889" t="s">
        <v>1520</v>
      </c>
      <c r="D11121" s="2889" t="s">
        <v>1054</v>
      </c>
      <c r="E11121" s="2889" t="s">
        <v>1426</v>
      </c>
      <c r="F11121" s="2891"/>
      <c r="G11121" s="2890">
        <v>164.78519045818129</v>
      </c>
    </row>
    <row r="11122" spans="2:7" ht="15" hidden="1" outlineLevel="2">
      <c r="B11122" s="2889" t="s">
        <v>1634</v>
      </c>
      <c r="C11122" s="2889" t="s">
        <v>1521</v>
      </c>
      <c r="D11122" s="2889" t="s">
        <v>1054</v>
      </c>
      <c r="E11122" s="2889" t="s">
        <v>1426</v>
      </c>
      <c r="F11122" s="2891"/>
      <c r="G11122" s="2890">
        <v>566.49196719457814</v>
      </c>
    </row>
    <row r="11123" spans="2:7" ht="15" hidden="1" outlineLevel="2">
      <c r="B11123" s="2889" t="s">
        <v>1634</v>
      </c>
      <c r="C11123" s="2889" t="s">
        <v>1522</v>
      </c>
      <c r="D11123" s="2889" t="s">
        <v>1054</v>
      </c>
      <c r="E11123" s="2889" t="s">
        <v>1426</v>
      </c>
      <c r="F11123" s="2891"/>
      <c r="G11123" s="2890">
        <v>26.669654257308178</v>
      </c>
    </row>
    <row r="11124" spans="2:7" ht="15" hidden="1" outlineLevel="2">
      <c r="B11124" s="2889" t="s">
        <v>1634</v>
      </c>
      <c r="C11124" s="2889" t="s">
        <v>1523</v>
      </c>
      <c r="D11124" s="2889" t="s">
        <v>1054</v>
      </c>
      <c r="E11124" s="2889" t="s">
        <v>1426</v>
      </c>
      <c r="F11124" s="2891"/>
      <c r="G11124" s="2890">
        <v>212.00587067321595</v>
      </c>
    </row>
    <row r="11125" spans="2:7" ht="15" hidden="1" outlineLevel="2">
      <c r="B11125" s="2889" t="s">
        <v>1634</v>
      </c>
      <c r="C11125" s="2889" t="s">
        <v>1524</v>
      </c>
      <c r="D11125" s="2889" t="s">
        <v>1054</v>
      </c>
      <c r="E11125" s="2889" t="s">
        <v>1426</v>
      </c>
      <c r="F11125" s="2891"/>
      <c r="G11125" s="2890">
        <v>720.92520786402838</v>
      </c>
    </row>
    <row r="11126" spans="2:7" ht="15" hidden="1" outlineLevel="2">
      <c r="B11126" s="2889" t="s">
        <v>1634</v>
      </c>
      <c r="C11126" s="2889" t="s">
        <v>1525</v>
      </c>
      <c r="D11126" s="2889" t="s">
        <v>1054</v>
      </c>
      <c r="E11126" s="2889" t="s">
        <v>1426</v>
      </c>
      <c r="F11126" s="2891"/>
      <c r="G11126" s="2890">
        <v>437.19747004309511</v>
      </c>
    </row>
    <row r="11127" spans="2:7" ht="15" hidden="1" outlineLevel="2">
      <c r="B11127" s="2889" t="s">
        <v>1634</v>
      </c>
      <c r="C11127" s="2889" t="s">
        <v>1526</v>
      </c>
      <c r="D11127" s="2889" t="s">
        <v>1054</v>
      </c>
      <c r="E11127" s="2889" t="s">
        <v>1426</v>
      </c>
      <c r="F11127" s="2891"/>
      <c r="G11127" s="2890">
        <v>659.7876261139437</v>
      </c>
    </row>
    <row r="11128" spans="2:7" ht="15" hidden="1" outlineLevel="2">
      <c r="B11128" s="2889" t="s">
        <v>1634</v>
      </c>
      <c r="C11128" s="2889" t="s">
        <v>1527</v>
      </c>
      <c r="D11128" s="2889" t="s">
        <v>1054</v>
      </c>
      <c r="E11128" s="2889" t="s">
        <v>1426</v>
      </c>
      <c r="F11128" s="2891"/>
      <c r="G11128" s="2890">
        <v>299.78245493140946</v>
      </c>
    </row>
    <row r="11129" spans="2:7" ht="15" hidden="1" outlineLevel="2">
      <c r="B11129" s="2889" t="s">
        <v>1634</v>
      </c>
      <c r="C11129" s="2889" t="s">
        <v>1528</v>
      </c>
      <c r="D11129" s="2889" t="s">
        <v>1054</v>
      </c>
      <c r="E11129" s="2889" t="s">
        <v>1426</v>
      </c>
      <c r="F11129" s="2891"/>
      <c r="G11129" s="2890">
        <v>70.968012240125688</v>
      </c>
    </row>
    <row r="11130" spans="2:7" ht="15" hidden="1" outlineLevel="2">
      <c r="B11130" s="2889" t="s">
        <v>1634</v>
      </c>
      <c r="C11130" s="2889" t="s">
        <v>1529</v>
      </c>
      <c r="D11130" s="2889" t="s">
        <v>1054</v>
      </c>
      <c r="E11130" s="2889" t="s">
        <v>1426</v>
      </c>
      <c r="F11130" s="2891"/>
      <c r="G11130" s="2890">
        <v>0.92365242543592152</v>
      </c>
    </row>
    <row r="11131" spans="2:7" ht="15" hidden="1" outlineLevel="2">
      <c r="B11131" s="2889" t="s">
        <v>1634</v>
      </c>
      <c r="C11131" s="2889" t="s">
        <v>1530</v>
      </c>
      <c r="D11131" s="2889" t="s">
        <v>1054</v>
      </c>
      <c r="E11131" s="2889" t="s">
        <v>1426</v>
      </c>
      <c r="F11131" s="2891"/>
      <c r="G11131" s="2890">
        <v>68.004224955563615</v>
      </c>
    </row>
    <row r="11132" spans="2:7" ht="15" hidden="1" outlineLevel="2">
      <c r="B11132" s="2889" t="s">
        <v>1634</v>
      </c>
      <c r="C11132" s="2889" t="s">
        <v>1531</v>
      </c>
      <c r="D11132" s="2889" t="s">
        <v>1106</v>
      </c>
      <c r="E11132" s="2889" t="s">
        <v>217</v>
      </c>
      <c r="F11132" s="2890">
        <v>1.4865024286129597E-4</v>
      </c>
      <c r="G11132" s="2890">
        <v>6.6634131361934579E-2</v>
      </c>
    </row>
    <row r="11133" spans="2:7" ht="15" hidden="1" outlineLevel="2">
      <c r="B11133" s="2889" t="s">
        <v>1634</v>
      </c>
      <c r="C11133" s="2889" t="s">
        <v>1532</v>
      </c>
      <c r="D11133" s="2889" t="s">
        <v>1106</v>
      </c>
      <c r="E11133" s="2889" t="s">
        <v>217</v>
      </c>
      <c r="F11133" s="2890">
        <v>1.1707517905293312E-5</v>
      </c>
      <c r="G11133" s="2890">
        <v>5.2480201418053747E-3</v>
      </c>
    </row>
    <row r="11134" spans="2:7" ht="15" hidden="1" outlineLevel="2">
      <c r="B11134" s="2889" t="s">
        <v>1634</v>
      </c>
      <c r="C11134" s="2889" t="s">
        <v>1533</v>
      </c>
      <c r="D11134" s="2889" t="s">
        <v>1106</v>
      </c>
      <c r="E11134" s="2889" t="s">
        <v>217</v>
      </c>
      <c r="F11134" s="2890">
        <v>7.5825981585375575E-3</v>
      </c>
      <c r="G11134" s="2890">
        <v>8.1050029384108129</v>
      </c>
    </row>
    <row r="11135" spans="2:7" ht="15" hidden="1" outlineLevel="2">
      <c r="B11135" s="2889" t="s">
        <v>1634</v>
      </c>
      <c r="C11135" s="2889" t="s">
        <v>1534</v>
      </c>
      <c r="D11135" s="2889" t="s">
        <v>1106</v>
      </c>
      <c r="E11135" s="2889" t="s">
        <v>217</v>
      </c>
      <c r="F11135" s="2890">
        <v>6.8932562975588703E-3</v>
      </c>
      <c r="G11135" s="2890">
        <v>24.001085114896568</v>
      </c>
    </row>
    <row r="11136" spans="2:7" ht="15" hidden="1" outlineLevel="2">
      <c r="B11136" s="2889" t="s">
        <v>1634</v>
      </c>
      <c r="C11136" s="2889" t="s">
        <v>1535</v>
      </c>
      <c r="D11136" s="2889" t="s">
        <v>1106</v>
      </c>
      <c r="E11136" s="2889" t="s">
        <v>217</v>
      </c>
      <c r="F11136" s="2890">
        <v>2.5769101488670389E-3</v>
      </c>
      <c r="G11136" s="2890">
        <v>6.0615308953465243</v>
      </c>
    </row>
    <row r="11137" spans="2:7" ht="15" hidden="1" outlineLevel="2">
      <c r="B11137" s="2889" t="s">
        <v>1634</v>
      </c>
      <c r="C11137" s="2889" t="s">
        <v>1536</v>
      </c>
      <c r="D11137" s="2889" t="s">
        <v>1106</v>
      </c>
      <c r="E11137" s="2889" t="s">
        <v>217</v>
      </c>
      <c r="F11137" s="2890">
        <v>8.6444136190096978E-3</v>
      </c>
      <c r="G11137" s="2890">
        <v>11.298421603621421</v>
      </c>
    </row>
    <row r="11138" spans="2:7" ht="15" hidden="1" outlineLevel="2">
      <c r="B11138" s="2889" t="s">
        <v>1634</v>
      </c>
      <c r="C11138" s="2889" t="s">
        <v>1537</v>
      </c>
      <c r="D11138" s="2889" t="s">
        <v>1106</v>
      </c>
      <c r="E11138" s="2889" t="s">
        <v>217</v>
      </c>
      <c r="F11138" s="2890">
        <v>4.8435151325748805E-4</v>
      </c>
      <c r="G11138" s="2890">
        <v>0.55512165052902385</v>
      </c>
    </row>
    <row r="11139" spans="2:7" ht="15" hidden="1" outlineLevel="2">
      <c r="B11139" s="2889" t="s">
        <v>1634</v>
      </c>
      <c r="C11139" s="2889" t="s">
        <v>1538</v>
      </c>
      <c r="D11139" s="2889" t="s">
        <v>1106</v>
      </c>
      <c r="E11139" s="2889" t="s">
        <v>217</v>
      </c>
      <c r="F11139" s="2890">
        <v>1.5317288986022376E-4</v>
      </c>
      <c r="G11139" s="2890">
        <v>0.20756876617431697</v>
      </c>
    </row>
    <row r="11140" spans="2:7" ht="15" hidden="1" outlineLevel="2">
      <c r="B11140" s="2889" t="s">
        <v>1634</v>
      </c>
      <c r="C11140" s="2889" t="s">
        <v>1539</v>
      </c>
      <c r="D11140" s="2889" t="s">
        <v>1106</v>
      </c>
      <c r="E11140" s="2889" t="s">
        <v>217</v>
      </c>
      <c r="F11140" s="2890">
        <v>1.9012136498010551E-4</v>
      </c>
      <c r="G11140" s="2890">
        <v>2.4473570607901189</v>
      </c>
    </row>
    <row r="11141" spans="2:7" ht="15" hidden="1" outlineLevel="2">
      <c r="B11141" s="2889" t="s">
        <v>1634</v>
      </c>
      <c r="C11141" s="2889" t="s">
        <v>1540</v>
      </c>
      <c r="D11141" s="2889" t="s">
        <v>1106</v>
      </c>
      <c r="E11141" s="2889" t="s">
        <v>1420</v>
      </c>
      <c r="F11141" s="2890">
        <v>8.4610778910747357E-3</v>
      </c>
      <c r="G11141" s="2890">
        <v>20.532238056335729</v>
      </c>
    </row>
    <row r="11142" spans="2:7" ht="15" hidden="1" outlineLevel="2">
      <c r="B11142" s="2889" t="s">
        <v>1634</v>
      </c>
      <c r="C11142" s="2889" t="s">
        <v>1541</v>
      </c>
      <c r="D11142" s="2889" t="s">
        <v>1106</v>
      </c>
      <c r="E11142" s="2889" t="s">
        <v>1420</v>
      </c>
      <c r="F11142" s="2890">
        <v>0.24657585295971471</v>
      </c>
      <c r="G11142" s="2890">
        <v>1815.3658548215199</v>
      </c>
    </row>
    <row r="11143" spans="2:7" ht="15" hidden="1" outlineLevel="2">
      <c r="B11143" s="2889" t="s">
        <v>1634</v>
      </c>
      <c r="C11143" s="2889" t="s">
        <v>1542</v>
      </c>
      <c r="D11143" s="2889" t="s">
        <v>1106</v>
      </c>
      <c r="E11143" s="2889" t="s">
        <v>1420</v>
      </c>
      <c r="F11143" s="2890">
        <v>1.1993313133291236E-3</v>
      </c>
      <c r="G11143" s="2890">
        <v>13.724196100194657</v>
      </c>
    </row>
    <row r="11144" spans="2:7" ht="15" hidden="1" outlineLevel="2">
      <c r="B11144" s="2889" t="s">
        <v>1634</v>
      </c>
      <c r="C11144" s="2889" t="s">
        <v>1543</v>
      </c>
      <c r="D11144" s="2889" t="s">
        <v>1106</v>
      </c>
      <c r="E11144" s="2889" t="s">
        <v>1420</v>
      </c>
      <c r="F11144" s="2890">
        <v>4.3460826028303564E-4</v>
      </c>
      <c r="G11144" s="2890">
        <v>4.2538685178079199</v>
      </c>
    </row>
    <row r="11145" spans="2:7" ht="15" hidden="1" outlineLevel="2">
      <c r="B11145" s="2889" t="s">
        <v>1634</v>
      </c>
      <c r="C11145" s="2889" t="s">
        <v>1544</v>
      </c>
      <c r="D11145" s="2889" t="s">
        <v>1106</v>
      </c>
      <c r="E11145" s="2889" t="s">
        <v>1420</v>
      </c>
      <c r="F11145" s="2890">
        <v>4.2007322837978663E-4</v>
      </c>
      <c r="G11145" s="2890">
        <v>1.0975721291122125</v>
      </c>
    </row>
    <row r="11146" spans="2:7" ht="15" hidden="1" outlineLevel="2">
      <c r="B11146" s="2889" t="s">
        <v>1634</v>
      </c>
      <c r="C11146" s="2889" t="s">
        <v>1545</v>
      </c>
      <c r="D11146" s="2889" t="s">
        <v>1106</v>
      </c>
      <c r="E11146" s="2889" t="s">
        <v>1420</v>
      </c>
      <c r="F11146" s="2890">
        <v>4.2009106658982831E-4</v>
      </c>
      <c r="G11146" s="2890">
        <v>8.3483364993602152</v>
      </c>
    </row>
    <row r="11147" spans="2:7" ht="15" hidden="1" outlineLevel="2">
      <c r="B11147" s="2889" t="s">
        <v>1634</v>
      </c>
      <c r="C11147" s="2889" t="s">
        <v>1546</v>
      </c>
      <c r="D11147" s="2889" t="s">
        <v>1106</v>
      </c>
      <c r="E11147" s="2889" t="s">
        <v>1423</v>
      </c>
      <c r="F11147" s="2890">
        <v>1.2734412747806414</v>
      </c>
      <c r="G11147" s="2890">
        <v>107.16731443866195</v>
      </c>
    </row>
    <row r="11148" spans="2:7" ht="15" hidden="1" outlineLevel="2">
      <c r="B11148" s="2889" t="s">
        <v>1634</v>
      </c>
      <c r="C11148" s="2889" t="s">
        <v>1547</v>
      </c>
      <c r="D11148" s="2889" t="s">
        <v>1106</v>
      </c>
      <c r="E11148" s="2889" t="s">
        <v>1423</v>
      </c>
      <c r="F11148" s="2890">
        <v>1.3909233292681907E-3</v>
      </c>
      <c r="G11148" s="2890">
        <v>0.12179963547139701</v>
      </c>
    </row>
    <row r="11149" spans="2:7" ht="15" hidden="1" outlineLevel="2">
      <c r="B11149" s="2889" t="s">
        <v>1634</v>
      </c>
      <c r="C11149" s="2889" t="s">
        <v>1548</v>
      </c>
      <c r="D11149" s="2889" t="s">
        <v>1106</v>
      </c>
      <c r="E11149" s="2889" t="s">
        <v>1423</v>
      </c>
      <c r="F11149" s="2890">
        <v>6.4900407666723811E-4</v>
      </c>
      <c r="G11149" s="2890">
        <v>6.6516154090592819E-2</v>
      </c>
    </row>
    <row r="11150" spans="2:7" ht="15" hidden="1" outlineLevel="2">
      <c r="B11150" s="2889" t="s">
        <v>1634</v>
      </c>
      <c r="C11150" s="2889" t="s">
        <v>1549</v>
      </c>
      <c r="D11150" s="2889" t="s">
        <v>1106</v>
      </c>
      <c r="E11150" s="2889" t="s">
        <v>1423</v>
      </c>
      <c r="F11150" s="2890">
        <v>1.9898136166521564E-3</v>
      </c>
      <c r="G11150" s="2890">
        <v>0.1959448653117149</v>
      </c>
    </row>
    <row r="11151" spans="2:7" ht="15" hidden="1" outlineLevel="2">
      <c r="B11151" s="2889" t="s">
        <v>1634</v>
      </c>
      <c r="C11151" s="2889" t="s">
        <v>1550</v>
      </c>
      <c r="D11151" s="2889" t="s">
        <v>1106</v>
      </c>
      <c r="E11151" s="2889" t="s">
        <v>1423</v>
      </c>
      <c r="F11151" s="2890">
        <v>2.2101454607684349E-3</v>
      </c>
      <c r="G11151" s="2890">
        <v>0.49701358835291365</v>
      </c>
    </row>
    <row r="11152" spans="2:7" ht="15" hidden="1" outlineLevel="2">
      <c r="B11152" s="2889" t="s">
        <v>1634</v>
      </c>
      <c r="C11152" s="2889" t="s">
        <v>1551</v>
      </c>
      <c r="D11152" s="2889" t="s">
        <v>1106</v>
      </c>
      <c r="E11152" s="2889" t="s">
        <v>1426</v>
      </c>
      <c r="F11152" s="2891"/>
      <c r="G11152" s="2890">
        <v>33.40514614602516</v>
      </c>
    </row>
    <row r="11153" spans="2:7" ht="15" hidden="1" outlineLevel="2">
      <c r="B11153" s="2889" t="s">
        <v>1634</v>
      </c>
      <c r="C11153" s="2889" t="s">
        <v>1552</v>
      </c>
      <c r="D11153" s="2889" t="s">
        <v>1106</v>
      </c>
      <c r="E11153" s="2889" t="s">
        <v>1426</v>
      </c>
      <c r="F11153" s="2891"/>
      <c r="G11153" s="2890">
        <v>484.7279720429778</v>
      </c>
    </row>
    <row r="11154" spans="2:7" ht="15" hidden="1" outlineLevel="2">
      <c r="B11154" s="2889" t="s">
        <v>1634</v>
      </c>
      <c r="C11154" s="2889" t="s">
        <v>1553</v>
      </c>
      <c r="D11154" s="2889" t="s">
        <v>1106</v>
      </c>
      <c r="E11154" s="2889" t="s">
        <v>1426</v>
      </c>
      <c r="F11154" s="2891"/>
      <c r="G11154" s="2890">
        <v>211.56768794948914</v>
      </c>
    </row>
    <row r="11155" spans="2:7" ht="15" hidden="1" outlineLevel="2">
      <c r="B11155" s="2889" t="s">
        <v>1634</v>
      </c>
      <c r="C11155" s="2889" t="s">
        <v>1554</v>
      </c>
      <c r="D11155" s="2889" t="s">
        <v>1106</v>
      </c>
      <c r="E11155" s="2889" t="s">
        <v>1426</v>
      </c>
      <c r="F11155" s="2891"/>
      <c r="G11155" s="2890">
        <v>214.73893747446098</v>
      </c>
    </row>
    <row r="11156" spans="2:7" ht="15" hidden="1" outlineLevel="2">
      <c r="B11156" s="2889" t="s">
        <v>1634</v>
      </c>
      <c r="C11156" s="2889" t="s">
        <v>1555</v>
      </c>
      <c r="D11156" s="2889" t="s">
        <v>1106</v>
      </c>
      <c r="E11156" s="2889" t="s">
        <v>1426</v>
      </c>
      <c r="F11156" s="2891"/>
      <c r="G11156" s="2890">
        <v>8.2553299560391729</v>
      </c>
    </row>
    <row r="11157" spans="2:7" ht="15" hidden="1" outlineLevel="2">
      <c r="B11157" s="2889" t="s">
        <v>1634</v>
      </c>
      <c r="C11157" s="2889" t="s">
        <v>1556</v>
      </c>
      <c r="D11157" s="2889" t="s">
        <v>1106</v>
      </c>
      <c r="E11157" s="2889" t="s">
        <v>1426</v>
      </c>
      <c r="F11157" s="2891"/>
      <c r="G11157" s="2890">
        <v>569.95442395293242</v>
      </c>
    </row>
    <row r="11158" spans="2:7" ht="15" hidden="1" outlineLevel="2">
      <c r="B11158" s="2889" t="s">
        <v>1634</v>
      </c>
      <c r="C11158" s="2889" t="s">
        <v>1557</v>
      </c>
      <c r="D11158" s="2889" t="s">
        <v>1106</v>
      </c>
      <c r="E11158" s="2889" t="s">
        <v>1426</v>
      </c>
      <c r="F11158" s="2891"/>
      <c r="G11158" s="2890">
        <v>305.17360721034731</v>
      </c>
    </row>
    <row r="11159" spans="2:7" ht="15" hidden="1" outlineLevel="2">
      <c r="B11159" s="2889" t="s">
        <v>1634</v>
      </c>
      <c r="C11159" s="2889" t="s">
        <v>1558</v>
      </c>
      <c r="D11159" s="2889" t="s">
        <v>1559</v>
      </c>
      <c r="E11159" s="2889" t="s">
        <v>217</v>
      </c>
      <c r="F11159" s="2890">
        <v>2.2567290366958905E-3</v>
      </c>
      <c r="G11159" s="2890">
        <v>1.2360479283794858</v>
      </c>
    </row>
    <row r="11160" spans="2:7" ht="15" hidden="1" outlineLevel="2">
      <c r="B11160" s="2889" t="s">
        <v>1634</v>
      </c>
      <c r="C11160" s="2889" t="s">
        <v>1560</v>
      </c>
      <c r="D11160" s="2889" t="s">
        <v>1559</v>
      </c>
      <c r="E11160" s="2889" t="s">
        <v>217</v>
      </c>
      <c r="F11160" s="2890">
        <v>6.5513757629603953E-3</v>
      </c>
      <c r="G11160" s="2890">
        <v>3.5360153260021652</v>
      </c>
    </row>
    <row r="11161" spans="2:7" ht="15" hidden="1" outlineLevel="2">
      <c r="B11161" s="2889" t="s">
        <v>1634</v>
      </c>
      <c r="C11161" s="2889" t="s">
        <v>1561</v>
      </c>
      <c r="D11161" s="2889" t="s">
        <v>1559</v>
      </c>
      <c r="E11161" s="2889" t="s">
        <v>217</v>
      </c>
      <c r="F11161" s="2890">
        <v>3.2385867959789198E-2</v>
      </c>
      <c r="G11161" s="2890">
        <v>16.885429518341432</v>
      </c>
    </row>
    <row r="11162" spans="2:7" ht="15" hidden="1" outlineLevel="2">
      <c r="B11162" s="2889" t="s">
        <v>1634</v>
      </c>
      <c r="C11162" s="2889" t="s">
        <v>1562</v>
      </c>
      <c r="D11162" s="2889" t="s">
        <v>1559</v>
      </c>
      <c r="E11162" s="2889" t="s">
        <v>217</v>
      </c>
      <c r="F11162" s="2890">
        <v>7.1774075762806186E-2</v>
      </c>
      <c r="G11162" s="2890">
        <v>39.352057452812801</v>
      </c>
    </row>
    <row r="11163" spans="2:7" ht="15" hidden="1" outlineLevel="2">
      <c r="B11163" s="2889" t="s">
        <v>1634</v>
      </c>
      <c r="C11163" s="2889" t="s">
        <v>1563</v>
      </c>
      <c r="D11163" s="2889" t="s">
        <v>1559</v>
      </c>
      <c r="E11163" s="2889" t="s">
        <v>217</v>
      </c>
      <c r="F11163" s="2890">
        <v>3.9925159733289195E-2</v>
      </c>
      <c r="G11163" s="2890">
        <v>23.530666017882723</v>
      </c>
    </row>
    <row r="11164" spans="2:7" ht="15" hidden="1" outlineLevel="2">
      <c r="B11164" s="2889" t="s">
        <v>1634</v>
      </c>
      <c r="C11164" s="2889" t="s">
        <v>1564</v>
      </c>
      <c r="D11164" s="2889" t="s">
        <v>1559</v>
      </c>
      <c r="E11164" s="2889" t="s">
        <v>217</v>
      </c>
      <c r="F11164" s="2890">
        <v>6.7763832229460905E-2</v>
      </c>
      <c r="G11164" s="2890">
        <v>34.314335067492415</v>
      </c>
    </row>
    <row r="11165" spans="2:7" ht="15" hidden="1" outlineLevel="2">
      <c r="B11165" s="2889" t="s">
        <v>1634</v>
      </c>
      <c r="C11165" s="2889" t="s">
        <v>1565</v>
      </c>
      <c r="D11165" s="2889" t="s">
        <v>1559</v>
      </c>
      <c r="E11165" s="2889" t="s">
        <v>217</v>
      </c>
      <c r="F11165" s="2890">
        <v>2.8141755968393453E-2</v>
      </c>
      <c r="G11165" s="2890">
        <v>15.144293798613969</v>
      </c>
    </row>
    <row r="11166" spans="2:7" ht="15" hidden="1" outlineLevel="2">
      <c r="B11166" s="2889" t="s">
        <v>1634</v>
      </c>
      <c r="C11166" s="2889" t="s">
        <v>1566</v>
      </c>
      <c r="D11166" s="2889" t="s">
        <v>1559</v>
      </c>
      <c r="E11166" s="2889" t="s">
        <v>217</v>
      </c>
      <c r="F11166" s="2890">
        <v>5.9809038606353858E-2</v>
      </c>
      <c r="G11166" s="2890">
        <v>32.041402570077771</v>
      </c>
    </row>
    <row r="11167" spans="2:7" ht="15" hidden="1" outlineLevel="2">
      <c r="B11167" s="2889" t="s">
        <v>1634</v>
      </c>
      <c r="C11167" s="2889" t="s">
        <v>1567</v>
      </c>
      <c r="D11167" s="2889" t="s">
        <v>1559</v>
      </c>
      <c r="E11167" s="2889" t="s">
        <v>217</v>
      </c>
      <c r="F11167" s="2890">
        <v>1.7546773625768003E-31</v>
      </c>
      <c r="G11167" s="2890">
        <v>2.5805309712978553E-29</v>
      </c>
    </row>
    <row r="11168" spans="2:7" ht="15" hidden="1" outlineLevel="2">
      <c r="B11168" s="2889" t="s">
        <v>1634</v>
      </c>
      <c r="C11168" s="2889" t="s">
        <v>1568</v>
      </c>
      <c r="D11168" s="2889" t="s">
        <v>1559</v>
      </c>
      <c r="E11168" s="2889" t="s">
        <v>217</v>
      </c>
      <c r="F11168" s="2890">
        <v>1.2564761528336011E-35</v>
      </c>
      <c r="G11168" s="2890">
        <v>1.8479142756648053E-33</v>
      </c>
    </row>
    <row r="11169" spans="2:7" ht="15" hidden="1" outlineLevel="2">
      <c r="B11169" s="2889" t="s">
        <v>1634</v>
      </c>
      <c r="C11169" s="2889" t="s">
        <v>1569</v>
      </c>
      <c r="D11169" s="2889" t="s">
        <v>1559</v>
      </c>
      <c r="E11169" s="2889" t="s">
        <v>217</v>
      </c>
      <c r="F11169" s="2890">
        <v>2.9300608406094043E-5</v>
      </c>
      <c r="G11169" s="2890">
        <v>1.4645641714769534E-2</v>
      </c>
    </row>
    <row r="11170" spans="2:7" ht="15" hidden="1" outlineLevel="2">
      <c r="B11170" s="2889" t="s">
        <v>1634</v>
      </c>
      <c r="C11170" s="2889" t="s">
        <v>1570</v>
      </c>
      <c r="D11170" s="2889" t="s">
        <v>1559</v>
      </c>
      <c r="E11170" s="2889" t="s">
        <v>217</v>
      </c>
      <c r="F11170" s="2890">
        <v>0.33892226817567273</v>
      </c>
      <c r="G11170" s="2890">
        <v>210.95006910375324</v>
      </c>
    </row>
    <row r="11171" spans="2:7" ht="15" hidden="1" outlineLevel="2">
      <c r="B11171" s="2889" t="s">
        <v>1634</v>
      </c>
      <c r="C11171" s="2889" t="s">
        <v>1571</v>
      </c>
      <c r="D11171" s="2889" t="s">
        <v>1559</v>
      </c>
      <c r="E11171" s="2889" t="s">
        <v>217</v>
      </c>
      <c r="F11171" s="2890">
        <v>8.3654045117393994E-2</v>
      </c>
      <c r="G11171" s="2890">
        <v>100.02583994553802</v>
      </c>
    </row>
    <row r="11172" spans="2:7" ht="15" hidden="1" outlineLevel="2">
      <c r="B11172" s="2889" t="s">
        <v>1634</v>
      </c>
      <c r="C11172" s="2889" t="s">
        <v>1572</v>
      </c>
      <c r="D11172" s="2889" t="s">
        <v>1559</v>
      </c>
      <c r="E11172" s="2889" t="s">
        <v>217</v>
      </c>
      <c r="F11172" s="2890">
        <v>2.86508839148506E-2</v>
      </c>
      <c r="G11172" s="2890">
        <v>17.688451336527876</v>
      </c>
    </row>
    <row r="11173" spans="2:7" ht="15" hidden="1" outlineLevel="2">
      <c r="B11173" s="2889" t="s">
        <v>1634</v>
      </c>
      <c r="C11173" s="2889" t="s">
        <v>1573</v>
      </c>
      <c r="D11173" s="2889" t="s">
        <v>1559</v>
      </c>
      <c r="E11173" s="2889" t="s">
        <v>217</v>
      </c>
      <c r="F11173" s="2890">
        <v>6.7807067962274287E-2</v>
      </c>
      <c r="G11173" s="2890">
        <v>50.914029350585515</v>
      </c>
    </row>
    <row r="11174" spans="2:7" ht="15" hidden="1" outlineLevel="2">
      <c r="B11174" s="2889" t="s">
        <v>1634</v>
      </c>
      <c r="C11174" s="2889" t="s">
        <v>1574</v>
      </c>
      <c r="D11174" s="2889" t="s">
        <v>1559</v>
      </c>
      <c r="E11174" s="2889" t="s">
        <v>217</v>
      </c>
      <c r="F11174" s="2890">
        <v>1.5529157576370622E-3</v>
      </c>
      <c r="G11174" s="2890">
        <v>1.1743563579336862</v>
      </c>
    </row>
    <row r="11175" spans="2:7" ht="15" hidden="1" outlineLevel="2">
      <c r="B11175" s="2889" t="s">
        <v>1634</v>
      </c>
      <c r="C11175" s="2889" t="s">
        <v>1575</v>
      </c>
      <c r="D11175" s="2889" t="s">
        <v>1559</v>
      </c>
      <c r="E11175" s="2889" t="s">
        <v>217</v>
      </c>
      <c r="F11175" s="2890">
        <v>1.8589823021649562E-3</v>
      </c>
      <c r="G11175" s="2890">
        <v>2.3170840918514504</v>
      </c>
    </row>
    <row r="11176" spans="2:7" ht="15" hidden="1" outlineLevel="2">
      <c r="B11176" s="2889" t="s">
        <v>1634</v>
      </c>
      <c r="C11176" s="2889" t="s">
        <v>1576</v>
      </c>
      <c r="D11176" s="2889" t="s">
        <v>1559</v>
      </c>
      <c r="E11176" s="2889" t="s">
        <v>217</v>
      </c>
      <c r="F11176" s="2890">
        <v>2.9556018252010043E-3</v>
      </c>
      <c r="G11176" s="2890">
        <v>2.2404617575464676</v>
      </c>
    </row>
    <row r="11177" spans="2:7" ht="15" hidden="1" outlineLevel="2">
      <c r="B11177" s="2889" t="s">
        <v>1634</v>
      </c>
      <c r="C11177" s="2889" t="s">
        <v>1577</v>
      </c>
      <c r="D11177" s="2889" t="s">
        <v>1559</v>
      </c>
      <c r="E11177" s="2889" t="s">
        <v>217</v>
      </c>
      <c r="F11177" s="2890">
        <v>6.1034081280975115E-2</v>
      </c>
      <c r="G11177" s="2890">
        <v>95.591674657777318</v>
      </c>
    </row>
    <row r="11178" spans="2:7" ht="15" hidden="1" outlineLevel="2">
      <c r="B11178" s="2889" t="s">
        <v>1634</v>
      </c>
      <c r="C11178" s="2889" t="s">
        <v>1578</v>
      </c>
      <c r="D11178" s="2889" t="s">
        <v>1559</v>
      </c>
      <c r="E11178" s="2889" t="s">
        <v>217</v>
      </c>
      <c r="F11178" s="2890">
        <v>3.3393031620181911E-36</v>
      </c>
      <c r="G11178" s="2890">
        <v>1.8280546195799491E-33</v>
      </c>
    </row>
    <row r="11179" spans="2:7" ht="15" hidden="1" outlineLevel="2">
      <c r="B11179" s="2889" t="s">
        <v>1634</v>
      </c>
      <c r="C11179" s="2889" t="s">
        <v>1579</v>
      </c>
      <c r="D11179" s="2889" t="s">
        <v>1559</v>
      </c>
      <c r="E11179" s="2889" t="s">
        <v>217</v>
      </c>
      <c r="F11179" s="2890">
        <v>1.9387143840960953E-34</v>
      </c>
      <c r="G11179" s="2890">
        <v>1.0613883623866215E-31</v>
      </c>
    </row>
    <row r="11180" spans="2:7" ht="15" hidden="1" outlineLevel="2">
      <c r="B11180" s="2889" t="s">
        <v>1634</v>
      </c>
      <c r="C11180" s="2889" t="s">
        <v>1580</v>
      </c>
      <c r="D11180" s="2889" t="s">
        <v>1559</v>
      </c>
      <c r="E11180" s="2889" t="s">
        <v>217</v>
      </c>
      <c r="F11180" s="2890">
        <v>3.3337824951605012E-2</v>
      </c>
      <c r="G11180" s="2890">
        <v>42.326356548748251</v>
      </c>
    </row>
    <row r="11181" spans="2:7" ht="15" hidden="1" outlineLevel="2">
      <c r="B11181" s="2889" t="s">
        <v>1634</v>
      </c>
      <c r="C11181" s="2889" t="s">
        <v>1581</v>
      </c>
      <c r="D11181" s="2889" t="s">
        <v>1559</v>
      </c>
      <c r="E11181" s="2889" t="s">
        <v>217</v>
      </c>
      <c r="F11181" s="2890">
        <v>7.7947746836251729E-3</v>
      </c>
      <c r="G11181" s="2890">
        <v>11.043976939005109</v>
      </c>
    </row>
    <row r="11182" spans="2:7" ht="15" hidden="1" outlineLevel="2">
      <c r="B11182" s="2889" t="s">
        <v>1634</v>
      </c>
      <c r="C11182" s="2889" t="s">
        <v>1582</v>
      </c>
      <c r="D11182" s="2889" t="s">
        <v>1559</v>
      </c>
      <c r="E11182" s="2889" t="s">
        <v>217</v>
      </c>
      <c r="F11182" s="2890">
        <v>1.0986711397004382E-2</v>
      </c>
      <c r="G11182" s="2890">
        <v>12.570324915851014</v>
      </c>
    </row>
    <row r="11183" spans="2:7" ht="15" hidden="1" outlineLevel="2">
      <c r="B11183" s="2889" t="s">
        <v>1634</v>
      </c>
      <c r="C11183" s="2889" t="s">
        <v>1583</v>
      </c>
      <c r="D11183" s="2889" t="s">
        <v>1559</v>
      </c>
      <c r="E11183" s="2889" t="s">
        <v>217</v>
      </c>
      <c r="F11183" s="2890">
        <v>8.4668921873851249E-3</v>
      </c>
      <c r="G11183" s="2890">
        <v>5.8535659276671765</v>
      </c>
    </row>
    <row r="11184" spans="2:7" ht="15" hidden="1" outlineLevel="2">
      <c r="B11184" s="2889" t="s">
        <v>1634</v>
      </c>
      <c r="C11184" s="2889" t="s">
        <v>1584</v>
      </c>
      <c r="D11184" s="2889" t="s">
        <v>1559</v>
      </c>
      <c r="E11184" s="2889" t="s">
        <v>217</v>
      </c>
      <c r="F11184" s="2890">
        <v>0.44579207947581401</v>
      </c>
      <c r="G11184" s="2890">
        <v>567.35531194804105</v>
      </c>
    </row>
    <row r="11185" spans="2:7" ht="15" hidden="1" outlineLevel="2">
      <c r="B11185" s="2889" t="s">
        <v>1634</v>
      </c>
      <c r="C11185" s="2889" t="s">
        <v>1585</v>
      </c>
      <c r="D11185" s="2889" t="s">
        <v>1559</v>
      </c>
      <c r="E11185" s="2889" t="s">
        <v>217</v>
      </c>
      <c r="F11185" s="2890">
        <v>0.10591237308504443</v>
      </c>
      <c r="G11185" s="2890">
        <v>150.09252137617935</v>
      </c>
    </row>
    <row r="11186" spans="2:7" ht="15" hidden="1" outlineLevel="2">
      <c r="B11186" s="2889" t="s">
        <v>1634</v>
      </c>
      <c r="C11186" s="2889" t="s">
        <v>1586</v>
      </c>
      <c r="D11186" s="2889" t="s">
        <v>1559</v>
      </c>
      <c r="E11186" s="2889" t="s">
        <v>217</v>
      </c>
      <c r="F11186" s="2890">
        <v>1.192442424000179E-2</v>
      </c>
      <c r="G11186" s="2890">
        <v>25.128615121888387</v>
      </c>
    </row>
    <row r="11187" spans="2:7" ht="15" hidden="1" outlineLevel="2">
      <c r="B11187" s="2889" t="s">
        <v>1634</v>
      </c>
      <c r="C11187" s="2889" t="s">
        <v>1587</v>
      </c>
      <c r="D11187" s="2889" t="s">
        <v>1559</v>
      </c>
      <c r="E11187" s="2889" t="s">
        <v>217</v>
      </c>
      <c r="F11187" s="2890">
        <v>0.331690181808383</v>
      </c>
      <c r="G11187" s="2890">
        <v>484.20787475579505</v>
      </c>
    </row>
    <row r="11188" spans="2:7" ht="15" hidden="1" outlineLevel="2">
      <c r="B11188" s="2889" t="s">
        <v>1634</v>
      </c>
      <c r="C11188" s="2889" t="s">
        <v>1588</v>
      </c>
      <c r="D11188" s="2889" t="s">
        <v>1559</v>
      </c>
      <c r="E11188" s="2889" t="s">
        <v>217</v>
      </c>
      <c r="F11188" s="2890">
        <v>2.5638186013993522E-2</v>
      </c>
      <c r="G11188" s="2890">
        <v>20.096449541203462</v>
      </c>
    </row>
    <row r="11189" spans="2:7" ht="15" hidden="1" outlineLevel="2">
      <c r="B11189" s="2889" t="s">
        <v>1634</v>
      </c>
      <c r="C11189" s="2889" t="s">
        <v>1589</v>
      </c>
      <c r="D11189" s="2889" t="s">
        <v>1559</v>
      </c>
      <c r="E11189" s="2889" t="s">
        <v>217</v>
      </c>
      <c r="F11189" s="2890">
        <v>1.8889142262268396E-2</v>
      </c>
      <c r="G11189" s="2890">
        <v>14.835935436598495</v>
      </c>
    </row>
    <row r="11190" spans="2:7" ht="15" hidden="1" outlineLevel="2">
      <c r="B11190" s="2889" t="s">
        <v>1634</v>
      </c>
      <c r="C11190" s="2889" t="s">
        <v>1590</v>
      </c>
      <c r="D11190" s="2889" t="s">
        <v>1559</v>
      </c>
      <c r="E11190" s="2889" t="s">
        <v>1420</v>
      </c>
      <c r="F11190" s="2890">
        <v>9.3448200465380722E-4</v>
      </c>
      <c r="G11190" s="2890">
        <v>8.3359664074292024</v>
      </c>
    </row>
    <row r="11191" spans="2:7" ht="15" hidden="1" outlineLevel="2">
      <c r="B11191" s="2889" t="s">
        <v>1634</v>
      </c>
      <c r="C11191" s="2889" t="s">
        <v>1591</v>
      </c>
      <c r="D11191" s="2889" t="s">
        <v>1559</v>
      </c>
      <c r="E11191" s="2889" t="s">
        <v>1426</v>
      </c>
      <c r="F11191" s="2891"/>
      <c r="G11191" s="2890">
        <v>1.2958012484047661E-2</v>
      </c>
    </row>
    <row r="11192" spans="2:7" ht="15" hidden="1" outlineLevel="2">
      <c r="B11192" s="2889" t="s">
        <v>1634</v>
      </c>
      <c r="C11192" s="2889" t="s">
        <v>1592</v>
      </c>
      <c r="D11192" s="2889" t="s">
        <v>1559</v>
      </c>
      <c r="E11192" s="2889" t="s">
        <v>1426</v>
      </c>
      <c r="F11192" s="2891"/>
      <c r="G11192" s="2890">
        <v>2.6021645822646068E-29</v>
      </c>
    </row>
    <row r="11193" spans="2:7" ht="15" hidden="1" outlineLevel="2">
      <c r="B11193" s="2889" t="s">
        <v>1634</v>
      </c>
      <c r="C11193" s="2889" t="s">
        <v>1593</v>
      </c>
      <c r="D11193" s="2889" t="s">
        <v>1559</v>
      </c>
      <c r="E11193" s="2889" t="s">
        <v>1426</v>
      </c>
      <c r="F11193" s="2891"/>
      <c r="G11193" s="2890">
        <v>90.612929842838838</v>
      </c>
    </row>
    <row r="11194" spans="2:7" ht="15" hidden="1" outlineLevel="2">
      <c r="B11194" s="2889" t="s">
        <v>1634</v>
      </c>
      <c r="C11194" s="2889" t="s">
        <v>1594</v>
      </c>
      <c r="D11194" s="2889" t="s">
        <v>1559</v>
      </c>
      <c r="E11194" s="2889" t="s">
        <v>1426</v>
      </c>
      <c r="F11194" s="2891"/>
      <c r="G11194" s="2890">
        <v>18.699446512503656</v>
      </c>
    </row>
    <row r="11195" spans="2:7" ht="15" hidden="1" outlineLevel="2">
      <c r="B11195" s="2889" t="s">
        <v>1634</v>
      </c>
      <c r="C11195" s="2889" t="s">
        <v>1595</v>
      </c>
      <c r="D11195" s="2889" t="s">
        <v>1559</v>
      </c>
      <c r="E11195" s="2889" t="s">
        <v>1426</v>
      </c>
      <c r="F11195" s="2891"/>
      <c r="G11195" s="2890">
        <v>123.36713488400383</v>
      </c>
    </row>
    <row r="11196" spans="2:7" ht="15" hidden="1" outlineLevel="2">
      <c r="B11196" s="2889" t="s">
        <v>1634</v>
      </c>
      <c r="C11196" s="2889" t="s">
        <v>1596</v>
      </c>
      <c r="D11196" s="2889" t="s">
        <v>1559</v>
      </c>
      <c r="E11196" s="2889" t="s">
        <v>1426</v>
      </c>
      <c r="F11196" s="2891"/>
      <c r="G11196" s="2890">
        <v>14.546045469014084</v>
      </c>
    </row>
    <row r="11197" spans="2:7" ht="15" hidden="1" outlineLevel="2">
      <c r="B11197" s="2889" t="s">
        <v>1634</v>
      </c>
      <c r="C11197" s="2889" t="s">
        <v>1597</v>
      </c>
      <c r="D11197" s="2889" t="s">
        <v>1559</v>
      </c>
      <c r="E11197" s="2889" t="s">
        <v>1426</v>
      </c>
      <c r="F11197" s="2891"/>
      <c r="G11197" s="2890">
        <v>0.34649578994111901</v>
      </c>
    </row>
    <row r="11198" spans="2:7" ht="15" hidden="1" outlineLevel="2">
      <c r="B11198" s="2889" t="s">
        <v>1634</v>
      </c>
      <c r="C11198" s="2889" t="s">
        <v>1598</v>
      </c>
      <c r="D11198" s="2889" t="s">
        <v>1599</v>
      </c>
      <c r="E11198" s="2889" t="s">
        <v>217</v>
      </c>
      <c r="F11198" s="2890">
        <v>1.5289058309134313E-2</v>
      </c>
      <c r="G11198" s="2890">
        <v>8.8408898611113855</v>
      </c>
    </row>
    <row r="11199" spans="2:7" ht="15" hidden="1" outlineLevel="2">
      <c r="B11199" s="2889" t="s">
        <v>1634</v>
      </c>
      <c r="C11199" s="2889" t="s">
        <v>1600</v>
      </c>
      <c r="D11199" s="2889" t="s">
        <v>1599</v>
      </c>
      <c r="E11199" s="2889" t="s">
        <v>217</v>
      </c>
      <c r="F11199" s="2890">
        <v>1.7873230677792975E-2</v>
      </c>
      <c r="G11199" s="2890">
        <v>19.906658788828786</v>
      </c>
    </row>
    <row r="11200" spans="2:7" ht="15" hidden="1" outlineLevel="2">
      <c r="B11200" s="2889" t="s">
        <v>1634</v>
      </c>
      <c r="C11200" s="2889" t="s">
        <v>1601</v>
      </c>
      <c r="D11200" s="2889" t="s">
        <v>1599</v>
      </c>
      <c r="E11200" s="2889" t="s">
        <v>217</v>
      </c>
      <c r="F11200" s="2890">
        <v>1.8333373851871893E-4</v>
      </c>
      <c r="G11200" s="2890">
        <v>0.23385788500093374</v>
      </c>
    </row>
    <row r="11201" spans="2:7" ht="15" hidden="1" outlineLevel="2">
      <c r="B11201" s="2889" t="s">
        <v>1634</v>
      </c>
      <c r="C11201" s="2889" t="s">
        <v>1602</v>
      </c>
      <c r="D11201" s="2889" t="s">
        <v>1599</v>
      </c>
      <c r="E11201" s="2889" t="s">
        <v>1426</v>
      </c>
      <c r="F11201" s="2891"/>
      <c r="G11201" s="2890">
        <v>264.91603424066614</v>
      </c>
    </row>
    <row r="11202" spans="2:7" ht="15" hidden="1" outlineLevel="2">
      <c r="B11202" s="2889" t="s">
        <v>1634</v>
      </c>
      <c r="C11202" s="2889" t="s">
        <v>1603</v>
      </c>
      <c r="D11202" s="2889" t="s">
        <v>1604</v>
      </c>
      <c r="E11202" s="2889" t="s">
        <v>217</v>
      </c>
      <c r="F11202" s="2890">
        <v>8.5898610198684103E-35</v>
      </c>
      <c r="G11202" s="2890">
        <v>1.0190821470877713E-31</v>
      </c>
    </row>
    <row r="11203" spans="2:7" ht="15" hidden="1" outlineLevel="2">
      <c r="B11203" s="2889" t="s">
        <v>1634</v>
      </c>
      <c r="C11203" s="2889" t="s">
        <v>1605</v>
      </c>
      <c r="D11203" s="2889" t="s">
        <v>1604</v>
      </c>
      <c r="E11203" s="2889" t="s">
        <v>1423</v>
      </c>
      <c r="F11203" s="2890">
        <v>3.136151520901011E-33</v>
      </c>
      <c r="G11203" s="2890">
        <v>7.3601632656396319E-31</v>
      </c>
    </row>
    <row r="11204" spans="2:7" ht="15" hidden="1" outlineLevel="2">
      <c r="B11204" s="2889" t="s">
        <v>1634</v>
      </c>
      <c r="C11204" s="2889" t="s">
        <v>1606</v>
      </c>
      <c r="D11204" s="2889" t="s">
        <v>1604</v>
      </c>
      <c r="E11204" s="2889" t="s">
        <v>1426</v>
      </c>
      <c r="F11204" s="2891"/>
      <c r="G11204" s="2890">
        <v>7.9720101268876722E-32</v>
      </c>
    </row>
    <row r="11205" spans="2:7" ht="15" hidden="1" outlineLevel="2">
      <c r="B11205" s="2889" t="s">
        <v>1634</v>
      </c>
      <c r="C11205" s="2889" t="s">
        <v>1607</v>
      </c>
      <c r="D11205" s="2889" t="s">
        <v>1608</v>
      </c>
      <c r="E11205" s="2889" t="s">
        <v>217</v>
      </c>
      <c r="F11205" s="2890">
        <v>1.0989225367991728</v>
      </c>
      <c r="G11205" s="2890">
        <v>903.01526456314411</v>
      </c>
    </row>
    <row r="11206" spans="2:7" ht="15" hidden="1" outlineLevel="2">
      <c r="B11206" s="2889" t="s">
        <v>1634</v>
      </c>
      <c r="C11206" s="2889" t="s">
        <v>1609</v>
      </c>
      <c r="D11206" s="2889" t="s">
        <v>1608</v>
      </c>
      <c r="E11206" s="2889" t="s">
        <v>217</v>
      </c>
      <c r="F11206" s="2890">
        <v>0.4785223989994386</v>
      </c>
      <c r="G11206" s="2890">
        <v>381.06987319204728</v>
      </c>
    </row>
    <row r="11207" spans="2:7" ht="15" hidden="1" outlineLevel="2">
      <c r="B11207" s="2889" t="s">
        <v>1634</v>
      </c>
      <c r="C11207" s="2889" t="s">
        <v>1610</v>
      </c>
      <c r="D11207" s="2889" t="s">
        <v>1608</v>
      </c>
      <c r="E11207" s="2889" t="s">
        <v>217</v>
      </c>
      <c r="F11207" s="2890">
        <v>0.18233972419148145</v>
      </c>
      <c r="G11207" s="2890">
        <v>284.43911204410654</v>
      </c>
    </row>
    <row r="11208" spans="2:7" ht="15" hidden="1" outlineLevel="2">
      <c r="B11208" s="2889" t="s">
        <v>1634</v>
      </c>
      <c r="C11208" s="2889" t="s">
        <v>1611</v>
      </c>
      <c r="D11208" s="2889" t="s">
        <v>1608</v>
      </c>
      <c r="E11208" s="2889" t="s">
        <v>1612</v>
      </c>
      <c r="F11208" s="2891"/>
      <c r="G11208" s="2890">
        <v>253.25465115089568</v>
      </c>
    </row>
    <row r="11209" spans="2:7" ht="15" hidden="1" outlineLevel="2">
      <c r="B11209" s="2889" t="s">
        <v>1634</v>
      </c>
      <c r="C11209" s="2889" t="s">
        <v>1613</v>
      </c>
      <c r="D11209" s="2889" t="s">
        <v>1608</v>
      </c>
      <c r="E11209" s="2889" t="s">
        <v>1612</v>
      </c>
      <c r="F11209" s="2891"/>
      <c r="G11209" s="2890">
        <v>2.1147708257498046</v>
      </c>
    </row>
    <row r="11210" spans="2:7" ht="15" hidden="1" outlineLevel="2">
      <c r="B11210" s="2889" t="s">
        <v>1634</v>
      </c>
      <c r="C11210" s="2889" t="s">
        <v>1614</v>
      </c>
      <c r="D11210" s="2889" t="s">
        <v>1615</v>
      </c>
      <c r="E11210" s="2889" t="s">
        <v>1426</v>
      </c>
      <c r="F11210" s="2891"/>
      <c r="G11210" s="2890">
        <v>6.7959081952121128E-30</v>
      </c>
    </row>
    <row r="11211" spans="2:7" ht="15" hidden="1" outlineLevel="2">
      <c r="B11211" s="2889" t="s">
        <v>1634</v>
      </c>
      <c r="C11211" s="2889" t="s">
        <v>1616</v>
      </c>
      <c r="D11211" s="2889" t="s">
        <v>1615</v>
      </c>
      <c r="E11211" s="2889" t="s">
        <v>217</v>
      </c>
      <c r="F11211" s="2890">
        <v>2.7324095556541653E-34</v>
      </c>
      <c r="G11211" s="2890">
        <v>3.5099562988835953E-31</v>
      </c>
    </row>
    <row r="11212" spans="2:7" ht="15" hidden="1" outlineLevel="2">
      <c r="B11212" s="2889" t="s">
        <v>1634</v>
      </c>
      <c r="C11212" s="2889" t="s">
        <v>1617</v>
      </c>
      <c r="D11212" s="2889" t="s">
        <v>1615</v>
      </c>
      <c r="E11212" s="2889" t="s">
        <v>1420</v>
      </c>
      <c r="F11212" s="2890">
        <v>1.3212207888560816E-40</v>
      </c>
      <c r="G11212" s="2890">
        <v>3.8274928299855921E-37</v>
      </c>
    </row>
    <row r="11213" spans="2:7" ht="15" hidden="1" outlineLevel="2">
      <c r="B11213" s="2889" t="s">
        <v>1634</v>
      </c>
      <c r="C11213" s="2889" t="s">
        <v>1618</v>
      </c>
      <c r="D11213" s="2889" t="s">
        <v>1619</v>
      </c>
      <c r="E11213" s="2889" t="s">
        <v>217</v>
      </c>
      <c r="F11213" s="2890">
        <v>1.411431061829955</v>
      </c>
      <c r="G11213" s="2890">
        <v>357.83638726176002</v>
      </c>
    </row>
    <row r="11214" spans="2:7" ht="15" hidden="1" outlineLevel="2">
      <c r="B11214" s="2889" t="s">
        <v>1634</v>
      </c>
      <c r="C11214" s="2889" t="s">
        <v>1620</v>
      </c>
      <c r="D11214" s="2889" t="s">
        <v>1619</v>
      </c>
      <c r="E11214" s="2889" t="s">
        <v>217</v>
      </c>
      <c r="F11214" s="2890">
        <v>1.2217467237388766E-33</v>
      </c>
      <c r="G11214" s="2890">
        <v>1.4883506685854614E-30</v>
      </c>
    </row>
    <row r="11215" spans="2:7" ht="15" hidden="1" outlineLevel="2">
      <c r="B11215" s="2889" t="s">
        <v>1634</v>
      </c>
      <c r="C11215" s="2889" t="s">
        <v>1621</v>
      </c>
      <c r="D11215" s="2889" t="s">
        <v>1619</v>
      </c>
      <c r="E11215" s="2889" t="s">
        <v>217</v>
      </c>
      <c r="F11215" s="2890">
        <v>1.5118312018812359</v>
      </c>
      <c r="G11215" s="2890">
        <v>413.18481786908904</v>
      </c>
    </row>
    <row r="11216" spans="2:7" ht="15" hidden="1" outlineLevel="2">
      <c r="B11216" s="2889" t="s">
        <v>1634</v>
      </c>
      <c r="C11216" s="2889" t="s">
        <v>1622</v>
      </c>
      <c r="D11216" s="2889" t="s">
        <v>1619</v>
      </c>
      <c r="E11216" s="2889" t="s">
        <v>217</v>
      </c>
      <c r="F11216" s="2890">
        <v>9.6810498399260481E-2</v>
      </c>
      <c r="G11216" s="2890">
        <v>106.22956157076491</v>
      </c>
    </row>
    <row r="11217" spans="2:7" ht="15" hidden="1" outlineLevel="2">
      <c r="B11217" s="2889" t="s">
        <v>1634</v>
      </c>
      <c r="C11217" s="2889" t="s">
        <v>1623</v>
      </c>
      <c r="D11217" s="2889" t="s">
        <v>1619</v>
      </c>
      <c r="E11217" s="2889" t="s">
        <v>217</v>
      </c>
      <c r="F11217" s="2890">
        <v>0.24812817860831204</v>
      </c>
      <c r="G11217" s="2890">
        <v>172.91043026300696</v>
      </c>
    </row>
    <row r="11218" spans="2:7" ht="15" hidden="1" outlineLevel="2">
      <c r="B11218" s="2889" t="s">
        <v>1634</v>
      </c>
      <c r="C11218" s="2889" t="s">
        <v>1624</v>
      </c>
      <c r="D11218" s="2889" t="s">
        <v>1619</v>
      </c>
      <c r="E11218" s="2889" t="s">
        <v>217</v>
      </c>
      <c r="F11218" s="2890">
        <v>2.1484163262982103</v>
      </c>
      <c r="G11218" s="2890">
        <v>1843.0009775508097</v>
      </c>
    </row>
    <row r="11219" spans="2:7" ht="15" hidden="1" outlineLevel="2">
      <c r="B11219" s="2889" t="s">
        <v>1634</v>
      </c>
      <c r="C11219" s="2889" t="s">
        <v>1625</v>
      </c>
      <c r="D11219" s="2889" t="s">
        <v>1619</v>
      </c>
      <c r="E11219" s="2889" t="s">
        <v>217</v>
      </c>
      <c r="F11219" s="2890">
        <v>0.1326387723974263</v>
      </c>
      <c r="G11219" s="2890">
        <v>172.66211907688304</v>
      </c>
    </row>
    <row r="11220" spans="2:7" ht="15" hidden="1" outlineLevel="2">
      <c r="B11220" s="2889" t="s">
        <v>1634</v>
      </c>
      <c r="C11220" s="2889" t="s">
        <v>1626</v>
      </c>
      <c r="D11220" s="2889" t="s">
        <v>1619</v>
      </c>
      <c r="E11220" s="2889" t="s">
        <v>217</v>
      </c>
      <c r="F11220" s="2890">
        <v>0.13121693630236717</v>
      </c>
      <c r="G11220" s="2890">
        <v>103.65559872668655</v>
      </c>
    </row>
    <row r="11221" spans="2:7" ht="15" hidden="1" outlineLevel="2">
      <c r="B11221" s="2889" t="s">
        <v>1634</v>
      </c>
      <c r="C11221" s="2889" t="s">
        <v>1627</v>
      </c>
      <c r="D11221" s="2889" t="s">
        <v>1619</v>
      </c>
      <c r="E11221" s="2889" t="s">
        <v>1420</v>
      </c>
      <c r="F11221" s="2890">
        <v>4.2912131950305875E-3</v>
      </c>
      <c r="G11221" s="2890">
        <v>7.1692385698538557</v>
      </c>
    </row>
    <row r="11222" spans="2:7" ht="15" hidden="1" outlineLevel="2">
      <c r="B11222" s="2889" t="s">
        <v>1634</v>
      </c>
      <c r="C11222" s="2889" t="s">
        <v>1628</v>
      </c>
      <c r="D11222" s="2889" t="s">
        <v>1619</v>
      </c>
      <c r="E11222" s="2889" t="s">
        <v>1426</v>
      </c>
      <c r="F11222" s="2891"/>
      <c r="G11222" s="2890">
        <v>142.09373670000505</v>
      </c>
    </row>
    <row r="11223" spans="2:7" ht="15" hidden="1" outlineLevel="2">
      <c r="B11223" s="2889" t="s">
        <v>1634</v>
      </c>
      <c r="C11223" s="2889" t="s">
        <v>1629</v>
      </c>
      <c r="D11223" s="2889" t="s">
        <v>1630</v>
      </c>
      <c r="E11223" s="2889" t="s">
        <v>1426</v>
      </c>
      <c r="F11223" s="2891"/>
      <c r="G11223" s="2890">
        <v>8.295574892227551E-30</v>
      </c>
    </row>
    <row r="11224" spans="2:7" ht="15" outlineLevel="1" collapsed="1">
      <c r="B11224" s="3042" t="s">
        <v>1704</v>
      </c>
      <c r="C11224" s="2889"/>
      <c r="D11224" s="2889"/>
      <c r="E11224" s="2889"/>
      <c r="F11224" s="2891">
        <f>SUBTOTAL(9,F11013:F11223)</f>
        <v>12.199161435392615</v>
      </c>
      <c r="G11224" s="2890">
        <f>SUBTOTAL(9,G11013:G11223)</f>
        <v>32097.016363120321</v>
      </c>
    </row>
    <row r="11225" spans="2:7" ht="15" hidden="1" outlineLevel="2">
      <c r="B11225" s="2889" t="s">
        <v>1635</v>
      </c>
      <c r="C11225" s="2889" t="s">
        <v>1408</v>
      </c>
      <c r="D11225" s="2889" t="s">
        <v>197</v>
      </c>
      <c r="E11225" s="2889" t="s">
        <v>217</v>
      </c>
      <c r="F11225" s="2890">
        <v>3.0918712131196239E-3</v>
      </c>
      <c r="G11225" s="2890">
        <v>1.8856203365723994</v>
      </c>
    </row>
    <row r="11226" spans="2:7" ht="15" hidden="1" outlineLevel="2">
      <c r="B11226" s="2889" t="s">
        <v>1635</v>
      </c>
      <c r="C11226" s="2889" t="s">
        <v>1409</v>
      </c>
      <c r="D11226" s="2889" t="s">
        <v>197</v>
      </c>
      <c r="E11226" s="2889" t="s">
        <v>217</v>
      </c>
      <c r="F11226" s="2890">
        <v>3.2558132127021113E-3</v>
      </c>
      <c r="G11226" s="2890">
        <v>4.5742440157680857</v>
      </c>
    </row>
    <row r="11227" spans="2:7" ht="15" hidden="1" outlineLevel="2">
      <c r="B11227" s="2889" t="s">
        <v>1635</v>
      </c>
      <c r="C11227" s="2889" t="s">
        <v>1410</v>
      </c>
      <c r="D11227" s="2889" t="s">
        <v>197</v>
      </c>
      <c r="E11227" s="2889" t="s">
        <v>217</v>
      </c>
      <c r="F11227" s="2890">
        <v>5.2721986214487194E-3</v>
      </c>
      <c r="G11227" s="2890">
        <v>18.040516502077104</v>
      </c>
    </row>
    <row r="11228" spans="2:7" ht="15" hidden="1" outlineLevel="2">
      <c r="B11228" s="2889" t="s">
        <v>1635</v>
      </c>
      <c r="C11228" s="2889" t="s">
        <v>1411</v>
      </c>
      <c r="D11228" s="2889" t="s">
        <v>197</v>
      </c>
      <c r="E11228" s="2889" t="s">
        <v>217</v>
      </c>
      <c r="F11228" s="2890">
        <v>8.5447524196979955E-5</v>
      </c>
      <c r="G11228" s="2890">
        <v>0.11210283411049547</v>
      </c>
    </row>
    <row r="11229" spans="2:7" ht="15" hidden="1" outlineLevel="2">
      <c r="B11229" s="2889" t="s">
        <v>1635</v>
      </c>
      <c r="C11229" s="2889" t="s">
        <v>1412</v>
      </c>
      <c r="D11229" s="2889" t="s">
        <v>197</v>
      </c>
      <c r="E11229" s="2889" t="s">
        <v>217</v>
      </c>
      <c r="F11229" s="2890">
        <v>9.2309489215447495E-3</v>
      </c>
      <c r="G11229" s="2890">
        <v>12.10130374271878</v>
      </c>
    </row>
    <row r="11230" spans="2:7" ht="15" hidden="1" outlineLevel="2">
      <c r="B11230" s="2889" t="s">
        <v>1635</v>
      </c>
      <c r="C11230" s="2889" t="s">
        <v>1413</v>
      </c>
      <c r="D11230" s="2889" t="s">
        <v>197</v>
      </c>
      <c r="E11230" s="2889" t="s">
        <v>217</v>
      </c>
      <c r="F11230" s="2890">
        <v>3.0405563600721889E-3</v>
      </c>
      <c r="G11230" s="2890">
        <v>3.7906547676807612</v>
      </c>
    </row>
    <row r="11231" spans="2:7" ht="15" hidden="1" outlineLevel="2">
      <c r="B11231" s="2889" t="s">
        <v>1635</v>
      </c>
      <c r="C11231" s="2889" t="s">
        <v>1414</v>
      </c>
      <c r="D11231" s="2889" t="s">
        <v>197</v>
      </c>
      <c r="E11231" s="2889" t="s">
        <v>217</v>
      </c>
      <c r="F11231" s="2890">
        <v>3.9662689190984916E-2</v>
      </c>
      <c r="G11231" s="2890">
        <v>41.178602899261925</v>
      </c>
    </row>
    <row r="11232" spans="2:7" ht="15" hidden="1" outlineLevel="2">
      <c r="B11232" s="2889" t="s">
        <v>1635</v>
      </c>
      <c r="C11232" s="2889" t="s">
        <v>1415</v>
      </c>
      <c r="D11232" s="2889" t="s">
        <v>197</v>
      </c>
      <c r="E11232" s="2889" t="s">
        <v>217</v>
      </c>
      <c r="F11232" s="2890">
        <v>0.13038060703548562</v>
      </c>
      <c r="G11232" s="2890">
        <v>88.266382977534363</v>
      </c>
    </row>
    <row r="11233" spans="2:7" ht="15" hidden="1" outlineLevel="2">
      <c r="B11233" s="2889" t="s">
        <v>1635</v>
      </c>
      <c r="C11233" s="2889" t="s">
        <v>1416</v>
      </c>
      <c r="D11233" s="2889" t="s">
        <v>197</v>
      </c>
      <c r="E11233" s="2889" t="s">
        <v>217</v>
      </c>
      <c r="F11233" s="2890">
        <v>1.464853929319033E-2</v>
      </c>
      <c r="G11233" s="2890">
        <v>19.203503086775562</v>
      </c>
    </row>
    <row r="11234" spans="2:7" ht="15" hidden="1" outlineLevel="2">
      <c r="B11234" s="2889" t="s">
        <v>1635</v>
      </c>
      <c r="C11234" s="2889" t="s">
        <v>1417</v>
      </c>
      <c r="D11234" s="2889" t="s">
        <v>197</v>
      </c>
      <c r="E11234" s="2889" t="s">
        <v>217</v>
      </c>
      <c r="F11234" s="2890">
        <v>2.1811909129497094E-2</v>
      </c>
      <c r="G11234" s="2890">
        <v>27.806594654742522</v>
      </c>
    </row>
    <row r="11235" spans="2:7" ht="15" hidden="1" outlineLevel="2">
      <c r="B11235" s="2889" t="s">
        <v>1635</v>
      </c>
      <c r="C11235" s="2889" t="s">
        <v>1418</v>
      </c>
      <c r="D11235" s="2889" t="s">
        <v>197</v>
      </c>
      <c r="E11235" s="2889" t="s">
        <v>217</v>
      </c>
      <c r="F11235" s="2890">
        <v>4.3762310881543063E-3</v>
      </c>
      <c r="G11235" s="2890">
        <v>30.847111523556972</v>
      </c>
    </row>
    <row r="11236" spans="2:7" ht="15" hidden="1" outlineLevel="2">
      <c r="B11236" s="2889" t="s">
        <v>1635</v>
      </c>
      <c r="C11236" s="2889" t="s">
        <v>1419</v>
      </c>
      <c r="D11236" s="2889" t="s">
        <v>197</v>
      </c>
      <c r="E11236" s="2889" t="s">
        <v>1420</v>
      </c>
      <c r="F11236" s="2890">
        <v>1.0625201362252415E-4</v>
      </c>
      <c r="G11236" s="2890">
        <v>0.16882978743079097</v>
      </c>
    </row>
    <row r="11237" spans="2:7" ht="15" hidden="1" outlineLevel="2">
      <c r="B11237" s="2889" t="s">
        <v>1635</v>
      </c>
      <c r="C11237" s="2889" t="s">
        <v>1421</v>
      </c>
      <c r="D11237" s="2889" t="s">
        <v>197</v>
      </c>
      <c r="E11237" s="2889" t="s">
        <v>1420</v>
      </c>
      <c r="F11237" s="2890">
        <v>2.1802737004946369E-5</v>
      </c>
      <c r="G11237" s="2890">
        <v>0.22977529123826573</v>
      </c>
    </row>
    <row r="11238" spans="2:7" ht="15" hidden="1" outlineLevel="2">
      <c r="B11238" s="2889" t="s">
        <v>1635</v>
      </c>
      <c r="C11238" s="2889" t="s">
        <v>1422</v>
      </c>
      <c r="D11238" s="2889" t="s">
        <v>197</v>
      </c>
      <c r="E11238" s="2889" t="s">
        <v>1423</v>
      </c>
      <c r="F11238" s="2890">
        <v>4.2533460494318213E-3</v>
      </c>
      <c r="G11238" s="2890">
        <v>4.4598149027652925E-2</v>
      </c>
    </row>
    <row r="11239" spans="2:7" ht="15" hidden="1" outlineLevel="2">
      <c r="B11239" s="2889" t="s">
        <v>1635</v>
      </c>
      <c r="C11239" s="2889" t="s">
        <v>1424</v>
      </c>
      <c r="D11239" s="2889" t="s">
        <v>197</v>
      </c>
      <c r="E11239" s="2889" t="s">
        <v>1423</v>
      </c>
      <c r="F11239" s="2890">
        <v>1.3500417245570933E-3</v>
      </c>
      <c r="G11239" s="2890">
        <v>1.4151521909207126E-2</v>
      </c>
    </row>
    <row r="11240" spans="2:7" ht="15" hidden="1" outlineLevel="2">
      <c r="B11240" s="2889" t="s">
        <v>1635</v>
      </c>
      <c r="C11240" s="2889" t="s">
        <v>1425</v>
      </c>
      <c r="D11240" s="2889" t="s">
        <v>197</v>
      </c>
      <c r="E11240" s="2889" t="s">
        <v>1426</v>
      </c>
      <c r="F11240" s="2891"/>
      <c r="G11240" s="2890">
        <v>0.32980601949692007</v>
      </c>
    </row>
    <row r="11241" spans="2:7" ht="15" hidden="1" outlineLevel="2">
      <c r="B11241" s="2889" t="s">
        <v>1635</v>
      </c>
      <c r="C11241" s="2889" t="s">
        <v>1427</v>
      </c>
      <c r="D11241" s="2889" t="s">
        <v>197</v>
      </c>
      <c r="E11241" s="2889" t="s">
        <v>1426</v>
      </c>
      <c r="F11241" s="2891"/>
      <c r="G11241" s="2890">
        <v>14258.303681287831</v>
      </c>
    </row>
    <row r="11242" spans="2:7" ht="15" hidden="1" outlineLevel="2">
      <c r="B11242" s="2889" t="s">
        <v>1635</v>
      </c>
      <c r="C11242" s="2889" t="s">
        <v>1428</v>
      </c>
      <c r="D11242" s="2889" t="s">
        <v>197</v>
      </c>
      <c r="E11242" s="2889" t="s">
        <v>1426</v>
      </c>
      <c r="F11242" s="2891"/>
      <c r="G11242" s="2890">
        <v>1279.4047710411257</v>
      </c>
    </row>
    <row r="11243" spans="2:7" ht="15" hidden="1" outlineLevel="2">
      <c r="B11243" s="2889" t="s">
        <v>1635</v>
      </c>
      <c r="C11243" s="2889" t="s">
        <v>1429</v>
      </c>
      <c r="D11243" s="2889" t="s">
        <v>197</v>
      </c>
      <c r="E11243" s="2889" t="s">
        <v>1426</v>
      </c>
      <c r="F11243" s="2891"/>
      <c r="G11243" s="2890">
        <v>7.1117433419020708</v>
      </c>
    </row>
    <row r="11244" spans="2:7" ht="15" hidden="1" outlineLevel="2">
      <c r="B11244" s="2889" t="s">
        <v>1635</v>
      </c>
      <c r="C11244" s="2889" t="s">
        <v>1430</v>
      </c>
      <c r="D11244" s="2889" t="s">
        <v>197</v>
      </c>
      <c r="E11244" s="2889" t="s">
        <v>1426</v>
      </c>
      <c r="F11244" s="2891"/>
      <c r="G11244" s="2890">
        <v>1.4596758000206738</v>
      </c>
    </row>
    <row r="11245" spans="2:7" ht="15" hidden="1" outlineLevel="2">
      <c r="B11245" s="2889" t="s">
        <v>1635</v>
      </c>
      <c r="C11245" s="2889" t="s">
        <v>1431</v>
      </c>
      <c r="D11245" s="2889" t="s">
        <v>197</v>
      </c>
      <c r="E11245" s="2889" t="s">
        <v>1426</v>
      </c>
      <c r="F11245" s="2891"/>
      <c r="G11245" s="2890">
        <v>108.60603486935501</v>
      </c>
    </row>
    <row r="11246" spans="2:7" ht="15" hidden="1" outlineLevel="2">
      <c r="B11246" s="2889" t="s">
        <v>1635</v>
      </c>
      <c r="C11246" s="2889" t="s">
        <v>1432</v>
      </c>
      <c r="D11246" s="2889" t="s">
        <v>197</v>
      </c>
      <c r="E11246" s="2889" t="s">
        <v>1426</v>
      </c>
      <c r="F11246" s="2891"/>
      <c r="G11246" s="2890">
        <v>0.26831382715914309</v>
      </c>
    </row>
    <row r="11247" spans="2:7" ht="15" hidden="1" outlineLevel="2">
      <c r="B11247" s="2889" t="s">
        <v>1635</v>
      </c>
      <c r="C11247" s="2889" t="s">
        <v>1433</v>
      </c>
      <c r="D11247" s="2889" t="s">
        <v>197</v>
      </c>
      <c r="E11247" s="2889" t="s">
        <v>1426</v>
      </c>
      <c r="F11247" s="2891"/>
      <c r="G11247" s="2890">
        <v>99.014719983292778</v>
      </c>
    </row>
    <row r="11248" spans="2:7" ht="15" hidden="1" outlineLevel="2">
      <c r="B11248" s="2889" t="s">
        <v>1635</v>
      </c>
      <c r="C11248" s="2889" t="s">
        <v>1434</v>
      </c>
      <c r="D11248" s="2889" t="s">
        <v>197</v>
      </c>
      <c r="E11248" s="2889" t="s">
        <v>1426</v>
      </c>
      <c r="F11248" s="2891"/>
      <c r="G11248" s="2890">
        <v>275.03685212351633</v>
      </c>
    </row>
    <row r="11249" spans="2:7" ht="15" hidden="1" outlineLevel="2">
      <c r="B11249" s="2889" t="s">
        <v>1635</v>
      </c>
      <c r="C11249" s="2889" t="s">
        <v>1435</v>
      </c>
      <c r="D11249" s="2889" t="s">
        <v>197</v>
      </c>
      <c r="E11249" s="2889" t="s">
        <v>1426</v>
      </c>
      <c r="F11249" s="2891"/>
      <c r="G11249" s="2890">
        <v>202.20563236622567</v>
      </c>
    </row>
    <row r="11250" spans="2:7" ht="15" hidden="1" outlineLevel="2">
      <c r="B11250" s="2889" t="s">
        <v>1635</v>
      </c>
      <c r="C11250" s="2889" t="s">
        <v>1436</v>
      </c>
      <c r="D11250" s="2889" t="s">
        <v>1437</v>
      </c>
      <c r="E11250" s="2889" t="s">
        <v>217</v>
      </c>
      <c r="F11250" s="2890">
        <v>2.8331664148189346E-5</v>
      </c>
      <c r="G11250" s="2890">
        <v>8.2272473986186881E-2</v>
      </c>
    </row>
    <row r="11251" spans="2:7" ht="15" hidden="1" outlineLevel="2">
      <c r="B11251" s="2889" t="s">
        <v>1635</v>
      </c>
      <c r="C11251" s="2889" t="s">
        <v>1438</v>
      </c>
      <c r="D11251" s="2889" t="s">
        <v>1437</v>
      </c>
      <c r="E11251" s="2889" t="s">
        <v>1420</v>
      </c>
      <c r="F11251" s="2890">
        <v>8.1845449905951178E-6</v>
      </c>
      <c r="G11251" s="2890">
        <v>7.5198570808169996E-2</v>
      </c>
    </row>
    <row r="11252" spans="2:7" ht="15" hidden="1" outlineLevel="2">
      <c r="B11252" s="2889" t="s">
        <v>1635</v>
      </c>
      <c r="C11252" s="2889" t="s">
        <v>1439</v>
      </c>
      <c r="D11252" s="2889" t="s">
        <v>1437</v>
      </c>
      <c r="E11252" s="2889" t="s">
        <v>1426</v>
      </c>
      <c r="F11252" s="2891"/>
      <c r="G11252" s="2890">
        <v>5.1709206365457501</v>
      </c>
    </row>
    <row r="11253" spans="2:7" ht="15" hidden="1" outlineLevel="2">
      <c r="B11253" s="2889" t="s">
        <v>1635</v>
      </c>
      <c r="C11253" s="2889" t="s">
        <v>1440</v>
      </c>
      <c r="D11253" s="2889" t="s">
        <v>1105</v>
      </c>
      <c r="E11253" s="2889" t="s">
        <v>217</v>
      </c>
      <c r="F11253" s="2890">
        <v>1.8821012549329937E-2</v>
      </c>
      <c r="G11253" s="2890">
        <v>9.3270749178073853</v>
      </c>
    </row>
    <row r="11254" spans="2:7" ht="15" hidden="1" outlineLevel="2">
      <c r="B11254" s="2889" t="s">
        <v>1635</v>
      </c>
      <c r="C11254" s="2889" t="s">
        <v>1441</v>
      </c>
      <c r="D11254" s="2889" t="s">
        <v>1105</v>
      </c>
      <c r="E11254" s="2889" t="s">
        <v>217</v>
      </c>
      <c r="F11254" s="2890">
        <v>0.12026536024038474</v>
      </c>
      <c r="G11254" s="2890">
        <v>62.227238801992343</v>
      </c>
    </row>
    <row r="11255" spans="2:7" ht="15" hidden="1" outlineLevel="2">
      <c r="B11255" s="2889" t="s">
        <v>1635</v>
      </c>
      <c r="C11255" s="2889" t="s">
        <v>1442</v>
      </c>
      <c r="D11255" s="2889" t="s">
        <v>1105</v>
      </c>
      <c r="E11255" s="2889" t="s">
        <v>217</v>
      </c>
      <c r="F11255" s="2890">
        <v>5.3533971759393667E-5</v>
      </c>
      <c r="G11255" s="2890">
        <v>2.3999181208591697E-2</v>
      </c>
    </row>
    <row r="11256" spans="2:7" ht="15" hidden="1" outlineLevel="2">
      <c r="B11256" s="2889" t="s">
        <v>1635</v>
      </c>
      <c r="C11256" s="2889" t="s">
        <v>1443</v>
      </c>
      <c r="D11256" s="2889" t="s">
        <v>1105</v>
      </c>
      <c r="E11256" s="2889" t="s">
        <v>217</v>
      </c>
      <c r="F11256" s="2890">
        <v>8.4234641033372522E-4</v>
      </c>
      <c r="G11256" s="2890">
        <v>0.37762238334466569</v>
      </c>
    </row>
    <row r="11257" spans="2:7" ht="15" hidden="1" outlineLevel="2">
      <c r="B11257" s="2889" t="s">
        <v>1635</v>
      </c>
      <c r="C11257" s="2889" t="s">
        <v>1444</v>
      </c>
      <c r="D11257" s="2889" t="s">
        <v>1105</v>
      </c>
      <c r="E11257" s="2889" t="s">
        <v>217</v>
      </c>
      <c r="F11257" s="2890">
        <v>1.5968497854374291</v>
      </c>
      <c r="G11257" s="2890">
        <v>1919.9325559359677</v>
      </c>
    </row>
    <row r="11258" spans="2:7" ht="15" hidden="1" outlineLevel="2">
      <c r="B11258" s="2889" t="s">
        <v>1635</v>
      </c>
      <c r="C11258" s="2889" t="s">
        <v>1445</v>
      </c>
      <c r="D11258" s="2889" t="s">
        <v>1105</v>
      </c>
      <c r="E11258" s="2889" t="s">
        <v>217</v>
      </c>
      <c r="F11258" s="2890">
        <v>0.34371550348272156</v>
      </c>
      <c r="G11258" s="2890">
        <v>480.44395599023773</v>
      </c>
    </row>
    <row r="11259" spans="2:7" ht="15" hidden="1" outlineLevel="2">
      <c r="B11259" s="2889" t="s">
        <v>1635</v>
      </c>
      <c r="C11259" s="2889" t="s">
        <v>1446</v>
      </c>
      <c r="D11259" s="2889" t="s">
        <v>1105</v>
      </c>
      <c r="E11259" s="2889" t="s">
        <v>217</v>
      </c>
      <c r="F11259" s="2890">
        <v>0.15865918845652613</v>
      </c>
      <c r="G11259" s="2890">
        <v>254.77564134257565</v>
      </c>
    </row>
    <row r="11260" spans="2:7" ht="15" hidden="1" outlineLevel="2">
      <c r="B11260" s="2889" t="s">
        <v>1635</v>
      </c>
      <c r="C11260" s="2889" t="s">
        <v>1447</v>
      </c>
      <c r="D11260" s="2889" t="s">
        <v>1105</v>
      </c>
      <c r="E11260" s="2889" t="s">
        <v>217</v>
      </c>
      <c r="F11260" s="2890">
        <v>0.36559419984828079</v>
      </c>
      <c r="G11260" s="2890">
        <v>546.6563137025538</v>
      </c>
    </row>
    <row r="11261" spans="2:7" ht="15" hidden="1" outlineLevel="2">
      <c r="B11261" s="2889" t="s">
        <v>1635</v>
      </c>
      <c r="C11261" s="2889" t="s">
        <v>1448</v>
      </c>
      <c r="D11261" s="2889" t="s">
        <v>1105</v>
      </c>
      <c r="E11261" s="2889" t="s">
        <v>217</v>
      </c>
      <c r="F11261" s="2890">
        <v>0.69049082898012282</v>
      </c>
      <c r="G11261" s="2890">
        <v>861.20957486736324</v>
      </c>
    </row>
    <row r="11262" spans="2:7" ht="15" hidden="1" outlineLevel="2">
      <c r="B11262" s="2889" t="s">
        <v>1635</v>
      </c>
      <c r="C11262" s="2889" t="s">
        <v>1449</v>
      </c>
      <c r="D11262" s="2889" t="s">
        <v>1105</v>
      </c>
      <c r="E11262" s="2889" t="s">
        <v>217</v>
      </c>
      <c r="F11262" s="2890">
        <v>2.9395560416299052E-2</v>
      </c>
      <c r="G11262" s="2890">
        <v>40.506502265385294</v>
      </c>
    </row>
    <row r="11263" spans="2:7" ht="15" hidden="1" outlineLevel="2">
      <c r="B11263" s="2889" t="s">
        <v>1635</v>
      </c>
      <c r="C11263" s="2889" t="s">
        <v>1450</v>
      </c>
      <c r="D11263" s="2889" t="s">
        <v>1105</v>
      </c>
      <c r="E11263" s="2889" t="s">
        <v>1420</v>
      </c>
      <c r="F11263" s="2890">
        <v>9.2920050415449526E-2</v>
      </c>
      <c r="G11263" s="2890">
        <v>255.45624991930327</v>
      </c>
    </row>
    <row r="11264" spans="2:7" ht="15" hidden="1" outlineLevel="2">
      <c r="B11264" s="2889" t="s">
        <v>1635</v>
      </c>
      <c r="C11264" s="2889" t="s">
        <v>1451</v>
      </c>
      <c r="D11264" s="2889" t="s">
        <v>1105</v>
      </c>
      <c r="E11264" s="2889" t="s">
        <v>1420</v>
      </c>
      <c r="F11264" s="2890">
        <v>1.3490991423886631E-2</v>
      </c>
      <c r="G11264" s="2890">
        <v>56.899007257791723</v>
      </c>
    </row>
    <row r="11265" spans="2:7" ht="15" hidden="1" outlineLevel="2">
      <c r="B11265" s="2889" t="s">
        <v>1635</v>
      </c>
      <c r="C11265" s="2889" t="s">
        <v>1452</v>
      </c>
      <c r="D11265" s="2889" t="s">
        <v>1105</v>
      </c>
      <c r="E11265" s="2889" t="s">
        <v>1420</v>
      </c>
      <c r="F11265" s="2890">
        <v>9.9809027847814029E-3</v>
      </c>
      <c r="G11265" s="2890">
        <v>66.695846589803509</v>
      </c>
    </row>
    <row r="11266" spans="2:7" ht="15" hidden="1" outlineLevel="2">
      <c r="B11266" s="2889" t="s">
        <v>1635</v>
      </c>
      <c r="C11266" s="2889" t="s">
        <v>1453</v>
      </c>
      <c r="D11266" s="2889" t="s">
        <v>1105</v>
      </c>
      <c r="E11266" s="2889" t="s">
        <v>1420</v>
      </c>
      <c r="F11266" s="2890">
        <v>1.7482808254073539E-2</v>
      </c>
      <c r="G11266" s="2890">
        <v>82.85299930405678</v>
      </c>
    </row>
    <row r="11267" spans="2:7" ht="15" hidden="1" outlineLevel="2">
      <c r="B11267" s="2889" t="s">
        <v>1635</v>
      </c>
      <c r="C11267" s="2889" t="s">
        <v>1454</v>
      </c>
      <c r="D11267" s="2889" t="s">
        <v>1105</v>
      </c>
      <c r="E11267" s="2889" t="s">
        <v>1420</v>
      </c>
      <c r="F11267" s="2890">
        <v>4.3653590037097157E-4</v>
      </c>
      <c r="G11267" s="2890">
        <v>1.1199843820419029</v>
      </c>
    </row>
    <row r="11268" spans="2:7" ht="15" hidden="1" outlineLevel="2">
      <c r="B11268" s="2889" t="s">
        <v>1635</v>
      </c>
      <c r="C11268" s="2889" t="s">
        <v>1455</v>
      </c>
      <c r="D11268" s="2889" t="s">
        <v>1105</v>
      </c>
      <c r="E11268" s="2889" t="s">
        <v>1420</v>
      </c>
      <c r="F11268" s="2890">
        <v>1.2735993078527062E-4</v>
      </c>
      <c r="G11268" s="2890">
        <v>1.0403176422910887</v>
      </c>
    </row>
    <row r="11269" spans="2:7" ht="15" hidden="1" outlineLevel="2">
      <c r="B11269" s="2889" t="s">
        <v>1635</v>
      </c>
      <c r="C11269" s="2889" t="s">
        <v>1456</v>
      </c>
      <c r="D11269" s="2889" t="s">
        <v>1105</v>
      </c>
      <c r="E11269" s="2889" t="s">
        <v>1423</v>
      </c>
      <c r="F11269" s="2890">
        <v>2.0530121720126187</v>
      </c>
      <c r="G11269" s="2890">
        <v>57.010031357646497</v>
      </c>
    </row>
    <row r="11270" spans="2:7" ht="15" hidden="1" outlineLevel="2">
      <c r="B11270" s="2889" t="s">
        <v>1635</v>
      </c>
      <c r="C11270" s="2889" t="s">
        <v>1457</v>
      </c>
      <c r="D11270" s="2889" t="s">
        <v>1105</v>
      </c>
      <c r="E11270" s="2889" t="s">
        <v>1423</v>
      </c>
      <c r="F11270" s="2890">
        <v>7.8709602870745632E-2</v>
      </c>
      <c r="G11270" s="2890">
        <v>2.8612134238946356</v>
      </c>
    </row>
    <row r="11271" spans="2:7" ht="15" hidden="1" outlineLevel="2">
      <c r="B11271" s="2889" t="s">
        <v>1635</v>
      </c>
      <c r="C11271" s="2889" t="s">
        <v>1458</v>
      </c>
      <c r="D11271" s="2889" t="s">
        <v>1105</v>
      </c>
      <c r="E11271" s="2889" t="s">
        <v>1423</v>
      </c>
      <c r="F11271" s="2890">
        <v>5.6507694617332536E-2</v>
      </c>
      <c r="G11271" s="2890">
        <v>3.9632664729696248</v>
      </c>
    </row>
    <row r="11272" spans="2:7" ht="15" hidden="1" outlineLevel="2">
      <c r="B11272" s="2889" t="s">
        <v>1635</v>
      </c>
      <c r="C11272" s="2889" t="s">
        <v>1459</v>
      </c>
      <c r="D11272" s="2889" t="s">
        <v>1105</v>
      </c>
      <c r="E11272" s="2889" t="s">
        <v>1423</v>
      </c>
      <c r="F11272" s="2890">
        <v>0.66201618483337998</v>
      </c>
      <c r="G11272" s="2890">
        <v>138.53727196872038</v>
      </c>
    </row>
    <row r="11273" spans="2:7" ht="15" hidden="1" outlineLevel="2">
      <c r="B11273" s="2889" t="s">
        <v>1635</v>
      </c>
      <c r="C11273" s="2889" t="s">
        <v>1460</v>
      </c>
      <c r="D11273" s="2889" t="s">
        <v>1105</v>
      </c>
      <c r="E11273" s="2889" t="s">
        <v>1426</v>
      </c>
      <c r="F11273" s="2891"/>
      <c r="G11273" s="2890">
        <v>1477.3199383849005</v>
      </c>
    </row>
    <row r="11274" spans="2:7" ht="15" hidden="1" outlineLevel="2">
      <c r="B11274" s="2889" t="s">
        <v>1635</v>
      </c>
      <c r="C11274" s="2889" t="s">
        <v>1461</v>
      </c>
      <c r="D11274" s="2889" t="s">
        <v>1105</v>
      </c>
      <c r="E11274" s="2889" t="s">
        <v>1426</v>
      </c>
      <c r="F11274" s="2891"/>
      <c r="G11274" s="2890">
        <v>348.55792747647604</v>
      </c>
    </row>
    <row r="11275" spans="2:7" ht="15" hidden="1" outlineLevel="2">
      <c r="B11275" s="2889" t="s">
        <v>1635</v>
      </c>
      <c r="C11275" s="2889" t="s">
        <v>1462</v>
      </c>
      <c r="D11275" s="2889" t="s">
        <v>1105</v>
      </c>
      <c r="E11275" s="2889" t="s">
        <v>1426</v>
      </c>
      <c r="F11275" s="2891"/>
      <c r="G11275" s="2890">
        <v>967.11340291623799</v>
      </c>
    </row>
    <row r="11276" spans="2:7" ht="15" hidden="1" outlineLevel="2">
      <c r="B11276" s="2889" t="s">
        <v>1635</v>
      </c>
      <c r="C11276" s="2889" t="s">
        <v>1463</v>
      </c>
      <c r="D11276" s="2889" t="s">
        <v>1105</v>
      </c>
      <c r="E11276" s="2889" t="s">
        <v>1426</v>
      </c>
      <c r="F11276" s="2891"/>
      <c r="G11276" s="2890">
        <v>491.06871590513663</v>
      </c>
    </row>
    <row r="11277" spans="2:7" ht="15" hidden="1" outlineLevel="2">
      <c r="B11277" s="2889" t="s">
        <v>1635</v>
      </c>
      <c r="C11277" s="2889" t="s">
        <v>1464</v>
      </c>
      <c r="D11277" s="2889" t="s">
        <v>1105</v>
      </c>
      <c r="E11277" s="2889" t="s">
        <v>1426</v>
      </c>
      <c r="F11277" s="2891"/>
      <c r="G11277" s="2890">
        <v>47.175137575942578</v>
      </c>
    </row>
    <row r="11278" spans="2:7" ht="15" hidden="1" outlineLevel="2">
      <c r="B11278" s="2889" t="s">
        <v>1635</v>
      </c>
      <c r="C11278" s="2889" t="s">
        <v>1465</v>
      </c>
      <c r="D11278" s="2889" t="s">
        <v>1105</v>
      </c>
      <c r="E11278" s="2889" t="s">
        <v>1426</v>
      </c>
      <c r="F11278" s="2891"/>
      <c r="G11278" s="2890">
        <v>41.855032600512956</v>
      </c>
    </row>
    <row r="11279" spans="2:7" ht="15" hidden="1" outlineLevel="2">
      <c r="B11279" s="2889" t="s">
        <v>1635</v>
      </c>
      <c r="C11279" s="2889" t="s">
        <v>1466</v>
      </c>
      <c r="D11279" s="2889" t="s">
        <v>1054</v>
      </c>
      <c r="E11279" s="2889" t="s">
        <v>217</v>
      </c>
      <c r="F11279" s="2890">
        <v>3.2254060077489016E-2</v>
      </c>
      <c r="G11279" s="2890">
        <v>19.887731334232267</v>
      </c>
    </row>
    <row r="11280" spans="2:7" ht="15" hidden="1" outlineLevel="2">
      <c r="B11280" s="2889" t="s">
        <v>1635</v>
      </c>
      <c r="C11280" s="2889" t="s">
        <v>1467</v>
      </c>
      <c r="D11280" s="2889" t="s">
        <v>1054</v>
      </c>
      <c r="E11280" s="2889" t="s">
        <v>217</v>
      </c>
      <c r="F11280" s="2890">
        <v>2.6655918382907213E-3</v>
      </c>
      <c r="G11280" s="2890">
        <v>1.2898718591712275</v>
      </c>
    </row>
    <row r="11281" spans="2:7" ht="15" hidden="1" outlineLevel="2">
      <c r="B11281" s="2889" t="s">
        <v>1635</v>
      </c>
      <c r="C11281" s="2889" t="s">
        <v>1468</v>
      </c>
      <c r="D11281" s="2889" t="s">
        <v>1054</v>
      </c>
      <c r="E11281" s="2889" t="s">
        <v>217</v>
      </c>
      <c r="F11281" s="2890">
        <v>3.2281092787773548E-3</v>
      </c>
      <c r="G11281" s="2890">
        <v>1.541965957314734</v>
      </c>
    </row>
    <row r="11282" spans="2:7" ht="15" hidden="1" outlineLevel="2">
      <c r="B11282" s="2889" t="s">
        <v>1635</v>
      </c>
      <c r="C11282" s="2889" t="s">
        <v>1469</v>
      </c>
      <c r="D11282" s="2889" t="s">
        <v>1054</v>
      </c>
      <c r="E11282" s="2889" t="s">
        <v>217</v>
      </c>
      <c r="F11282" s="2890">
        <v>2.5759343432986885E-5</v>
      </c>
      <c r="G11282" s="2890">
        <v>1.1547057780689584E-2</v>
      </c>
    </row>
    <row r="11283" spans="2:7" ht="15" hidden="1" outlineLevel="2">
      <c r="B11283" s="2889" t="s">
        <v>1635</v>
      </c>
      <c r="C11283" s="2889" t="s">
        <v>1470</v>
      </c>
      <c r="D11283" s="2889" t="s">
        <v>1054</v>
      </c>
      <c r="E11283" s="2889" t="s">
        <v>217</v>
      </c>
      <c r="F11283" s="2890">
        <v>9.1890597761710449E-2</v>
      </c>
      <c r="G11283" s="2890">
        <v>51.393004923586346</v>
      </c>
    </row>
    <row r="11284" spans="2:7" ht="15" hidden="1" outlineLevel="2">
      <c r="B11284" s="2889" t="s">
        <v>1635</v>
      </c>
      <c r="C11284" s="2889" t="s">
        <v>1471</v>
      </c>
      <c r="D11284" s="2889" t="s">
        <v>1054</v>
      </c>
      <c r="E11284" s="2889" t="s">
        <v>217</v>
      </c>
      <c r="F11284" s="2890">
        <v>6.7075190948721083E-4</v>
      </c>
      <c r="G11284" s="2890">
        <v>0.30067610514757537</v>
      </c>
    </row>
    <row r="11285" spans="2:7" ht="15" hidden="1" outlineLevel="2">
      <c r="B11285" s="2889" t="s">
        <v>1635</v>
      </c>
      <c r="C11285" s="2889" t="s">
        <v>1472</v>
      </c>
      <c r="D11285" s="2889" t="s">
        <v>1054</v>
      </c>
      <c r="E11285" s="2889" t="s">
        <v>217</v>
      </c>
      <c r="F11285" s="2890">
        <v>1.1400958950851661E-2</v>
      </c>
      <c r="G11285" s="2890">
        <v>17.679784702565055</v>
      </c>
    </row>
    <row r="11286" spans="2:7" ht="15" hidden="1" outlineLevel="2">
      <c r="B11286" s="2889" t="s">
        <v>1635</v>
      </c>
      <c r="C11286" s="2889" t="s">
        <v>1473</v>
      </c>
      <c r="D11286" s="2889" t="s">
        <v>1054</v>
      </c>
      <c r="E11286" s="2889" t="s">
        <v>217</v>
      </c>
      <c r="F11286" s="2890">
        <v>1.0098754225091018E-4</v>
      </c>
      <c r="G11286" s="2890">
        <v>0.13064904033620933</v>
      </c>
    </row>
    <row r="11287" spans="2:7" ht="15" hidden="1" outlineLevel="2">
      <c r="B11287" s="2889" t="s">
        <v>1635</v>
      </c>
      <c r="C11287" s="2889" t="s">
        <v>1474</v>
      </c>
      <c r="D11287" s="2889" t="s">
        <v>1054</v>
      </c>
      <c r="E11287" s="2889" t="s">
        <v>217</v>
      </c>
      <c r="F11287" s="2890">
        <v>2.7779093259250383E-2</v>
      </c>
      <c r="G11287" s="2890">
        <v>33.084153852502311</v>
      </c>
    </row>
    <row r="11288" spans="2:7" ht="15" hidden="1" outlineLevel="2">
      <c r="B11288" s="2889" t="s">
        <v>1635</v>
      </c>
      <c r="C11288" s="2889" t="s">
        <v>1475</v>
      </c>
      <c r="D11288" s="2889" t="s">
        <v>1054</v>
      </c>
      <c r="E11288" s="2889" t="s">
        <v>217</v>
      </c>
      <c r="F11288" s="2890">
        <v>1.9898101230484726E-2</v>
      </c>
      <c r="G11288" s="2890">
        <v>31.262487885200009</v>
      </c>
    </row>
    <row r="11289" spans="2:7" ht="15" hidden="1" outlineLevel="2">
      <c r="B11289" s="2889" t="s">
        <v>1635</v>
      </c>
      <c r="C11289" s="2889" t="s">
        <v>1476</v>
      </c>
      <c r="D11289" s="2889" t="s">
        <v>1054</v>
      </c>
      <c r="E11289" s="2889" t="s">
        <v>217</v>
      </c>
      <c r="F11289" s="2890">
        <v>4.899287197987344E-2</v>
      </c>
      <c r="G11289" s="2890">
        <v>62.222941508706285</v>
      </c>
    </row>
    <row r="11290" spans="2:7" ht="15" hidden="1" outlineLevel="2">
      <c r="B11290" s="2889" t="s">
        <v>1635</v>
      </c>
      <c r="C11290" s="2889" t="s">
        <v>1477</v>
      </c>
      <c r="D11290" s="2889" t="s">
        <v>1054</v>
      </c>
      <c r="E11290" s="2889" t="s">
        <v>217</v>
      </c>
      <c r="F11290" s="2890">
        <v>1.9163271062270081E-2</v>
      </c>
      <c r="G11290" s="2890">
        <v>26.239412289042221</v>
      </c>
    </row>
    <row r="11291" spans="2:7" ht="15" hidden="1" outlineLevel="2">
      <c r="B11291" s="2889" t="s">
        <v>1635</v>
      </c>
      <c r="C11291" s="2889" t="s">
        <v>1478</v>
      </c>
      <c r="D11291" s="2889" t="s">
        <v>1054</v>
      </c>
      <c r="E11291" s="2889" t="s">
        <v>217</v>
      </c>
      <c r="F11291" s="2890">
        <v>1.0327097475297995E-3</v>
      </c>
      <c r="G11291" s="2890">
        <v>1.3623336205022971</v>
      </c>
    </row>
    <row r="11292" spans="2:7" ht="15" hidden="1" outlineLevel="2">
      <c r="B11292" s="2889" t="s">
        <v>1635</v>
      </c>
      <c r="C11292" s="2889" t="s">
        <v>1479</v>
      </c>
      <c r="D11292" s="2889" t="s">
        <v>1054</v>
      </c>
      <c r="E11292" s="2889" t="s">
        <v>217</v>
      </c>
      <c r="F11292" s="2890">
        <v>3.6515493829710616E-2</v>
      </c>
      <c r="G11292" s="2890">
        <v>54.931510291209484</v>
      </c>
    </row>
    <row r="11293" spans="2:7" ht="15" hidden="1" outlineLevel="2">
      <c r="B11293" s="2889" t="s">
        <v>1635</v>
      </c>
      <c r="C11293" s="2889" t="s">
        <v>1480</v>
      </c>
      <c r="D11293" s="2889" t="s">
        <v>1054</v>
      </c>
      <c r="E11293" s="2889" t="s">
        <v>217</v>
      </c>
      <c r="F11293" s="2890">
        <v>1.6438704891780731E-2</v>
      </c>
      <c r="G11293" s="2890">
        <v>18.919285776095375</v>
      </c>
    </row>
    <row r="11294" spans="2:7" ht="15" hidden="1" outlineLevel="2">
      <c r="B11294" s="2889" t="s">
        <v>1635</v>
      </c>
      <c r="C11294" s="2889" t="s">
        <v>1481</v>
      </c>
      <c r="D11294" s="2889" t="s">
        <v>1054</v>
      </c>
      <c r="E11294" s="2889" t="s">
        <v>217</v>
      </c>
      <c r="F11294" s="2890">
        <v>8.1343254352802222E-2</v>
      </c>
      <c r="G11294" s="2890">
        <v>114.41148213871776</v>
      </c>
    </row>
    <row r="11295" spans="2:7" ht="15" hidden="1" outlineLevel="2">
      <c r="B11295" s="2889" t="s">
        <v>1635</v>
      </c>
      <c r="C11295" s="2889" t="s">
        <v>1482</v>
      </c>
      <c r="D11295" s="2889" t="s">
        <v>1054</v>
      </c>
      <c r="E11295" s="2889" t="s">
        <v>217</v>
      </c>
      <c r="F11295" s="2890">
        <v>5.4819799500223101E-2</v>
      </c>
      <c r="G11295" s="2890">
        <v>54.809101117093533</v>
      </c>
    </row>
    <row r="11296" spans="2:7" ht="15" hidden="1" outlineLevel="2">
      <c r="B11296" s="2889" t="s">
        <v>1635</v>
      </c>
      <c r="C11296" s="2889" t="s">
        <v>1483</v>
      </c>
      <c r="D11296" s="2889" t="s">
        <v>1054</v>
      </c>
      <c r="E11296" s="2889" t="s">
        <v>217</v>
      </c>
      <c r="F11296" s="2890">
        <v>2.6045611025575423E-3</v>
      </c>
      <c r="G11296" s="2890">
        <v>4.3691479688194024</v>
      </c>
    </row>
    <row r="11297" spans="2:7" ht="15" hidden="1" outlineLevel="2">
      <c r="B11297" s="2889" t="s">
        <v>1635</v>
      </c>
      <c r="C11297" s="2889" t="s">
        <v>1484</v>
      </c>
      <c r="D11297" s="2889" t="s">
        <v>1054</v>
      </c>
      <c r="E11297" s="2889" t="s">
        <v>217</v>
      </c>
      <c r="F11297" s="2890">
        <v>5.296978263082181E-3</v>
      </c>
      <c r="G11297" s="2890">
        <v>7.4085007171411013</v>
      </c>
    </row>
    <row r="11298" spans="2:7" ht="15" hidden="1" outlineLevel="2">
      <c r="B11298" s="2889" t="s">
        <v>1635</v>
      </c>
      <c r="C11298" s="2889" t="s">
        <v>1485</v>
      </c>
      <c r="D11298" s="2889" t="s">
        <v>1054</v>
      </c>
      <c r="E11298" s="2889" t="s">
        <v>217</v>
      </c>
      <c r="F11298" s="2890">
        <v>2.3530115002435743E-3</v>
      </c>
      <c r="G11298" s="2890">
        <v>6.6386846525838967</v>
      </c>
    </row>
    <row r="11299" spans="2:7" ht="15" hidden="1" outlineLevel="2">
      <c r="B11299" s="2889" t="s">
        <v>1635</v>
      </c>
      <c r="C11299" s="2889" t="s">
        <v>1486</v>
      </c>
      <c r="D11299" s="2889" t="s">
        <v>1054</v>
      </c>
      <c r="E11299" s="2889" t="s">
        <v>217</v>
      </c>
      <c r="F11299" s="2890">
        <v>2.7413229058066771E-3</v>
      </c>
      <c r="G11299" s="2890">
        <v>15.856099755703084</v>
      </c>
    </row>
    <row r="11300" spans="2:7" ht="15" hidden="1" outlineLevel="2">
      <c r="B11300" s="2889" t="s">
        <v>1635</v>
      </c>
      <c r="C11300" s="2889" t="s">
        <v>1487</v>
      </c>
      <c r="D11300" s="2889" t="s">
        <v>1054</v>
      </c>
      <c r="E11300" s="2889" t="s">
        <v>217</v>
      </c>
      <c r="F11300" s="2890">
        <v>2.5934053709689479E-2</v>
      </c>
      <c r="G11300" s="2890">
        <v>37.574847100157186</v>
      </c>
    </row>
    <row r="11301" spans="2:7" ht="15" hidden="1" outlineLevel="2">
      <c r="B11301" s="2889" t="s">
        <v>1635</v>
      </c>
      <c r="C11301" s="2889" t="s">
        <v>1488</v>
      </c>
      <c r="D11301" s="2889" t="s">
        <v>1054</v>
      </c>
      <c r="E11301" s="2889" t="s">
        <v>217</v>
      </c>
      <c r="F11301" s="2890">
        <v>1.6085444213560004E-2</v>
      </c>
      <c r="G11301" s="2890">
        <v>25.788101606617854</v>
      </c>
    </row>
    <row r="11302" spans="2:7" ht="15" hidden="1" outlineLevel="2">
      <c r="B11302" s="2889" t="s">
        <v>1635</v>
      </c>
      <c r="C11302" s="2889" t="s">
        <v>1489</v>
      </c>
      <c r="D11302" s="2889" t="s">
        <v>1054</v>
      </c>
      <c r="E11302" s="2889" t="s">
        <v>217</v>
      </c>
      <c r="F11302" s="2890">
        <v>8.0999188843776677E-3</v>
      </c>
      <c r="G11302" s="2890">
        <v>8.4969468176300165</v>
      </c>
    </row>
    <row r="11303" spans="2:7" ht="15" hidden="1" outlineLevel="2">
      <c r="B11303" s="2889" t="s">
        <v>1635</v>
      </c>
      <c r="C11303" s="2889" t="s">
        <v>1490</v>
      </c>
      <c r="D11303" s="2889" t="s">
        <v>1054</v>
      </c>
      <c r="E11303" s="2889" t="s">
        <v>217</v>
      </c>
      <c r="F11303" s="2890">
        <v>3.7774291049893606E-3</v>
      </c>
      <c r="G11303" s="2890">
        <v>6.0025125252576137</v>
      </c>
    </row>
    <row r="11304" spans="2:7" ht="15" hidden="1" outlineLevel="2">
      <c r="B11304" s="2889" t="s">
        <v>1635</v>
      </c>
      <c r="C11304" s="2889" t="s">
        <v>1491</v>
      </c>
      <c r="D11304" s="2889" t="s">
        <v>1054</v>
      </c>
      <c r="E11304" s="2889" t="s">
        <v>1420</v>
      </c>
      <c r="F11304" s="2890">
        <v>7.1806796638343917E-4</v>
      </c>
      <c r="G11304" s="2890">
        <v>3.3999168930975436</v>
      </c>
    </row>
    <row r="11305" spans="2:7" ht="15" hidden="1" outlineLevel="2">
      <c r="B11305" s="2889" t="s">
        <v>1635</v>
      </c>
      <c r="C11305" s="2889" t="s">
        <v>1492</v>
      </c>
      <c r="D11305" s="2889" t="s">
        <v>1054</v>
      </c>
      <c r="E11305" s="2889" t="s">
        <v>1420</v>
      </c>
      <c r="F11305" s="2890">
        <v>5.3378850509563545E-4</v>
      </c>
      <c r="G11305" s="2890">
        <v>5.7057012455714418</v>
      </c>
    </row>
    <row r="11306" spans="2:7" ht="15" hidden="1" outlineLevel="2">
      <c r="B11306" s="2889" t="s">
        <v>1635</v>
      </c>
      <c r="C11306" s="2889" t="s">
        <v>1493</v>
      </c>
      <c r="D11306" s="2889" t="s">
        <v>1054</v>
      </c>
      <c r="E11306" s="2889" t="s">
        <v>1420</v>
      </c>
      <c r="F11306" s="2890">
        <v>3.9526149650110905E-4</v>
      </c>
      <c r="G11306" s="2890">
        <v>0.94389414363819613</v>
      </c>
    </row>
    <row r="11307" spans="2:7" ht="15" hidden="1" outlineLevel="2">
      <c r="B11307" s="2889" t="s">
        <v>1635</v>
      </c>
      <c r="C11307" s="2889" t="s">
        <v>1494</v>
      </c>
      <c r="D11307" s="2889" t="s">
        <v>1054</v>
      </c>
      <c r="E11307" s="2889" t="s">
        <v>1420</v>
      </c>
      <c r="F11307" s="2890">
        <v>1.0777935817745574E-4</v>
      </c>
      <c r="G11307" s="2890">
        <v>0.59146518038698903</v>
      </c>
    </row>
    <row r="11308" spans="2:7" ht="15" hidden="1" outlineLevel="2">
      <c r="B11308" s="2889" t="s">
        <v>1635</v>
      </c>
      <c r="C11308" s="2889" t="s">
        <v>1495</v>
      </c>
      <c r="D11308" s="2889" t="s">
        <v>1054</v>
      </c>
      <c r="E11308" s="2889" t="s">
        <v>1420</v>
      </c>
      <c r="F11308" s="2890">
        <v>2.3324185299534407E-3</v>
      </c>
      <c r="G11308" s="2890">
        <v>10.466928938205188</v>
      </c>
    </row>
    <row r="11309" spans="2:7" ht="15" hidden="1" outlineLevel="2">
      <c r="B11309" s="2889" t="s">
        <v>1635</v>
      </c>
      <c r="C11309" s="2889" t="s">
        <v>1496</v>
      </c>
      <c r="D11309" s="2889" t="s">
        <v>1054</v>
      </c>
      <c r="E11309" s="2889" t="s">
        <v>1420</v>
      </c>
      <c r="F11309" s="2890">
        <v>2.1160414205367824E-3</v>
      </c>
      <c r="G11309" s="2890">
        <v>3.7686975915218905</v>
      </c>
    </row>
    <row r="11310" spans="2:7" ht="15" hidden="1" outlineLevel="2">
      <c r="B11310" s="2889" t="s">
        <v>1635</v>
      </c>
      <c r="C11310" s="2889" t="s">
        <v>1497</v>
      </c>
      <c r="D11310" s="2889" t="s">
        <v>1054</v>
      </c>
      <c r="E11310" s="2889" t="s">
        <v>1420</v>
      </c>
      <c r="F11310" s="2890">
        <v>5.8710401740726267E-4</v>
      </c>
      <c r="G11310" s="2890">
        <v>9.6835872711472959</v>
      </c>
    </row>
    <row r="11311" spans="2:7" ht="15" hidden="1" outlineLevel="2">
      <c r="B11311" s="2889" t="s">
        <v>1635</v>
      </c>
      <c r="C11311" s="2889" t="s">
        <v>1498</v>
      </c>
      <c r="D11311" s="2889" t="s">
        <v>1054</v>
      </c>
      <c r="E11311" s="2889" t="s">
        <v>1420</v>
      </c>
      <c r="F11311" s="2890">
        <v>1.6048280847340724E-3</v>
      </c>
      <c r="G11311" s="2890">
        <v>3.8568699241875768</v>
      </c>
    </row>
    <row r="11312" spans="2:7" ht="15" hidden="1" outlineLevel="2">
      <c r="B11312" s="2889" t="s">
        <v>1635</v>
      </c>
      <c r="C11312" s="2889" t="s">
        <v>1499</v>
      </c>
      <c r="D11312" s="2889" t="s">
        <v>1054</v>
      </c>
      <c r="E11312" s="2889" t="s">
        <v>1420</v>
      </c>
      <c r="F11312" s="2890">
        <v>2.4510130434040353E-4</v>
      </c>
      <c r="G11312" s="2890">
        <v>0.62062671928165292</v>
      </c>
    </row>
    <row r="11313" spans="2:7" ht="15" hidden="1" outlineLevel="2">
      <c r="B11313" s="2889" t="s">
        <v>1635</v>
      </c>
      <c r="C11313" s="2889" t="s">
        <v>1500</v>
      </c>
      <c r="D11313" s="2889" t="s">
        <v>1054</v>
      </c>
      <c r="E11313" s="2889" t="s">
        <v>1420</v>
      </c>
      <c r="F11313" s="2890">
        <v>1.7753156980772492E-3</v>
      </c>
      <c r="G11313" s="2890">
        <v>6.7138275554230757</v>
      </c>
    </row>
    <row r="11314" spans="2:7" ht="15" hidden="1" outlineLevel="2">
      <c r="B11314" s="2889" t="s">
        <v>1635</v>
      </c>
      <c r="C11314" s="2889" t="s">
        <v>1501</v>
      </c>
      <c r="D11314" s="2889" t="s">
        <v>1054</v>
      </c>
      <c r="E11314" s="2889" t="s">
        <v>1420</v>
      </c>
      <c r="F11314" s="2890">
        <v>2.2266302933148115E-3</v>
      </c>
      <c r="G11314" s="2890">
        <v>16.348522726070037</v>
      </c>
    </row>
    <row r="11315" spans="2:7" ht="15" hidden="1" outlineLevel="2">
      <c r="B11315" s="2889" t="s">
        <v>1635</v>
      </c>
      <c r="C11315" s="2889" t="s">
        <v>1502</v>
      </c>
      <c r="D11315" s="2889" t="s">
        <v>1054</v>
      </c>
      <c r="E11315" s="2889" t="s">
        <v>1420</v>
      </c>
      <c r="F11315" s="2890">
        <v>1.5536360707432535E-4</v>
      </c>
      <c r="G11315" s="2890">
        <v>1.7077889604604892</v>
      </c>
    </row>
    <row r="11316" spans="2:7" ht="15" hidden="1" outlineLevel="2">
      <c r="B11316" s="2889" t="s">
        <v>1635</v>
      </c>
      <c r="C11316" s="2889" t="s">
        <v>1503</v>
      </c>
      <c r="D11316" s="2889" t="s">
        <v>1054</v>
      </c>
      <c r="E11316" s="2889" t="s">
        <v>1420</v>
      </c>
      <c r="F11316" s="2890">
        <v>5.1237465869072886E-3</v>
      </c>
      <c r="G11316" s="2890">
        <v>14.146704860029178</v>
      </c>
    </row>
    <row r="11317" spans="2:7" ht="15" hidden="1" outlineLevel="2">
      <c r="B11317" s="2889" t="s">
        <v>1635</v>
      </c>
      <c r="C11317" s="2889" t="s">
        <v>1504</v>
      </c>
      <c r="D11317" s="2889" t="s">
        <v>1054</v>
      </c>
      <c r="E11317" s="2889" t="s">
        <v>1420</v>
      </c>
      <c r="F11317" s="2890">
        <v>2.6429767665317842E-3</v>
      </c>
      <c r="G11317" s="2890">
        <v>5.8502511801540313</v>
      </c>
    </row>
    <row r="11318" spans="2:7" ht="15" hidden="1" outlineLevel="2">
      <c r="B11318" s="2889" t="s">
        <v>1635</v>
      </c>
      <c r="C11318" s="2889" t="s">
        <v>1505</v>
      </c>
      <c r="D11318" s="2889" t="s">
        <v>1054</v>
      </c>
      <c r="E11318" s="2889" t="s">
        <v>1423</v>
      </c>
      <c r="F11318" s="2890">
        <v>7.4949082658301138E-3</v>
      </c>
      <c r="G11318" s="2890">
        <v>0.18548264520015595</v>
      </c>
    </row>
    <row r="11319" spans="2:7" ht="15" hidden="1" outlineLevel="2">
      <c r="B11319" s="2889" t="s">
        <v>1635</v>
      </c>
      <c r="C11319" s="2889" t="s">
        <v>1506</v>
      </c>
      <c r="D11319" s="2889" t="s">
        <v>1054</v>
      </c>
      <c r="E11319" s="2889" t="s">
        <v>1426</v>
      </c>
      <c r="F11319" s="2891"/>
      <c r="G11319" s="2890">
        <v>550.71955907221923</v>
      </c>
    </row>
    <row r="11320" spans="2:7" ht="15" hidden="1" outlineLevel="2">
      <c r="B11320" s="2889" t="s">
        <v>1635</v>
      </c>
      <c r="C11320" s="2889" t="s">
        <v>1507</v>
      </c>
      <c r="D11320" s="2889" t="s">
        <v>1054</v>
      </c>
      <c r="E11320" s="2889" t="s">
        <v>1426</v>
      </c>
      <c r="F11320" s="2891"/>
      <c r="G11320" s="2890">
        <v>0.89771046763246454</v>
      </c>
    </row>
    <row r="11321" spans="2:7" ht="15" hidden="1" outlineLevel="2">
      <c r="B11321" s="2889" t="s">
        <v>1635</v>
      </c>
      <c r="C11321" s="2889" t="s">
        <v>1508</v>
      </c>
      <c r="D11321" s="2889" t="s">
        <v>1054</v>
      </c>
      <c r="E11321" s="2889" t="s">
        <v>1426</v>
      </c>
      <c r="F11321" s="2891"/>
      <c r="G11321" s="2890">
        <v>14.789460675878855</v>
      </c>
    </row>
    <row r="11322" spans="2:7" ht="15" hidden="1" outlineLevel="2">
      <c r="B11322" s="2889" t="s">
        <v>1635</v>
      </c>
      <c r="C11322" s="2889" t="s">
        <v>1509</v>
      </c>
      <c r="D11322" s="2889" t="s">
        <v>1054</v>
      </c>
      <c r="E11322" s="2889" t="s">
        <v>1426</v>
      </c>
      <c r="F11322" s="2891"/>
      <c r="G11322" s="2890">
        <v>1378.5157803827847</v>
      </c>
    </row>
    <row r="11323" spans="2:7" ht="15" hidden="1" outlineLevel="2">
      <c r="B11323" s="2889" t="s">
        <v>1635</v>
      </c>
      <c r="C11323" s="2889" t="s">
        <v>1510</v>
      </c>
      <c r="D11323" s="2889" t="s">
        <v>1054</v>
      </c>
      <c r="E11323" s="2889" t="s">
        <v>1426</v>
      </c>
      <c r="F11323" s="2891"/>
      <c r="G11323" s="2890">
        <v>1499.534816964331</v>
      </c>
    </row>
    <row r="11324" spans="2:7" ht="15" hidden="1" outlineLevel="2">
      <c r="B11324" s="2889" t="s">
        <v>1635</v>
      </c>
      <c r="C11324" s="2889" t="s">
        <v>1511</v>
      </c>
      <c r="D11324" s="2889" t="s">
        <v>1054</v>
      </c>
      <c r="E11324" s="2889" t="s">
        <v>1426</v>
      </c>
      <c r="F11324" s="2891"/>
      <c r="G11324" s="2890">
        <v>82.614500395464063</v>
      </c>
    </row>
    <row r="11325" spans="2:7" ht="15" hidden="1" outlineLevel="2">
      <c r="B11325" s="2889" t="s">
        <v>1635</v>
      </c>
      <c r="C11325" s="2889" t="s">
        <v>1512</v>
      </c>
      <c r="D11325" s="2889" t="s">
        <v>1054</v>
      </c>
      <c r="E11325" s="2889" t="s">
        <v>1426</v>
      </c>
      <c r="F11325" s="2891"/>
      <c r="G11325" s="2890">
        <v>50.992131232133978</v>
      </c>
    </row>
    <row r="11326" spans="2:7" ht="15" hidden="1" outlineLevel="2">
      <c r="B11326" s="2889" t="s">
        <v>1635</v>
      </c>
      <c r="C11326" s="2889" t="s">
        <v>1513</v>
      </c>
      <c r="D11326" s="2889" t="s">
        <v>1054</v>
      </c>
      <c r="E11326" s="2889" t="s">
        <v>1426</v>
      </c>
      <c r="F11326" s="2891"/>
      <c r="G11326" s="2890">
        <v>152.25996813750803</v>
      </c>
    </row>
    <row r="11327" spans="2:7" ht="15" hidden="1" outlineLevel="2">
      <c r="B11327" s="2889" t="s">
        <v>1635</v>
      </c>
      <c r="C11327" s="2889" t="s">
        <v>1514</v>
      </c>
      <c r="D11327" s="2889" t="s">
        <v>1054</v>
      </c>
      <c r="E11327" s="2889" t="s">
        <v>1426</v>
      </c>
      <c r="F11327" s="2891"/>
      <c r="G11327" s="2890">
        <v>653.98603693894279</v>
      </c>
    </row>
    <row r="11328" spans="2:7" ht="15" hidden="1" outlineLevel="2">
      <c r="B11328" s="2889" t="s">
        <v>1635</v>
      </c>
      <c r="C11328" s="2889" t="s">
        <v>1515</v>
      </c>
      <c r="D11328" s="2889" t="s">
        <v>1054</v>
      </c>
      <c r="E11328" s="2889" t="s">
        <v>1426</v>
      </c>
      <c r="F11328" s="2891"/>
      <c r="G11328" s="2890">
        <v>562.35150828496489</v>
      </c>
    </row>
    <row r="11329" spans="2:7" ht="15" hidden="1" outlineLevel="2">
      <c r="B11329" s="2889" t="s">
        <v>1635</v>
      </c>
      <c r="C11329" s="2889" t="s">
        <v>1516</v>
      </c>
      <c r="D11329" s="2889" t="s">
        <v>1054</v>
      </c>
      <c r="E11329" s="2889" t="s">
        <v>1426</v>
      </c>
      <c r="F11329" s="2891"/>
      <c r="G11329" s="2890">
        <v>5586.5969260331603</v>
      </c>
    </row>
    <row r="11330" spans="2:7" ht="15" hidden="1" outlineLevel="2">
      <c r="B11330" s="2889" t="s">
        <v>1635</v>
      </c>
      <c r="C11330" s="2889" t="s">
        <v>1517</v>
      </c>
      <c r="D11330" s="2889" t="s">
        <v>1054</v>
      </c>
      <c r="E11330" s="2889" t="s">
        <v>1426</v>
      </c>
      <c r="F11330" s="2891"/>
      <c r="G11330" s="2890">
        <v>46.340557810574488</v>
      </c>
    </row>
    <row r="11331" spans="2:7" ht="15" hidden="1" outlineLevel="2">
      <c r="B11331" s="2889" t="s">
        <v>1635</v>
      </c>
      <c r="C11331" s="2889" t="s">
        <v>1518</v>
      </c>
      <c r="D11331" s="2889" t="s">
        <v>1054</v>
      </c>
      <c r="E11331" s="2889" t="s">
        <v>1426</v>
      </c>
      <c r="F11331" s="2891"/>
      <c r="G11331" s="2890">
        <v>21.888761031880545</v>
      </c>
    </row>
    <row r="11332" spans="2:7" ht="15" hidden="1" outlineLevel="2">
      <c r="B11332" s="2889" t="s">
        <v>1635</v>
      </c>
      <c r="C11332" s="2889" t="s">
        <v>1519</v>
      </c>
      <c r="D11332" s="2889" t="s">
        <v>1054</v>
      </c>
      <c r="E11332" s="2889" t="s">
        <v>1426</v>
      </c>
      <c r="F11332" s="2891"/>
      <c r="G11332" s="2890">
        <v>1275.9300443663731</v>
      </c>
    </row>
    <row r="11333" spans="2:7" ht="15" hidden="1" outlineLevel="2">
      <c r="B11333" s="2889" t="s">
        <v>1635</v>
      </c>
      <c r="C11333" s="2889" t="s">
        <v>1520</v>
      </c>
      <c r="D11333" s="2889" t="s">
        <v>1054</v>
      </c>
      <c r="E11333" s="2889" t="s">
        <v>1426</v>
      </c>
      <c r="F11333" s="2891"/>
      <c r="G11333" s="2890">
        <v>1389.9104597916116</v>
      </c>
    </row>
    <row r="11334" spans="2:7" ht="15" hidden="1" outlineLevel="2">
      <c r="B11334" s="2889" t="s">
        <v>1635</v>
      </c>
      <c r="C11334" s="2889" t="s">
        <v>1521</v>
      </c>
      <c r="D11334" s="2889" t="s">
        <v>1054</v>
      </c>
      <c r="E11334" s="2889" t="s">
        <v>1426</v>
      </c>
      <c r="F11334" s="2891"/>
      <c r="G11334" s="2890">
        <v>4778.1801660420406</v>
      </c>
    </row>
    <row r="11335" spans="2:7" ht="15" hidden="1" outlineLevel="2">
      <c r="B11335" s="2889" t="s">
        <v>1635</v>
      </c>
      <c r="C11335" s="2889" t="s">
        <v>1522</v>
      </c>
      <c r="D11335" s="2889" t="s">
        <v>1054</v>
      </c>
      <c r="E11335" s="2889" t="s">
        <v>1426</v>
      </c>
      <c r="F11335" s="2891"/>
      <c r="G11335" s="2890">
        <v>224.95011947622638</v>
      </c>
    </row>
    <row r="11336" spans="2:7" ht="15" hidden="1" outlineLevel="2">
      <c r="B11336" s="2889" t="s">
        <v>1635</v>
      </c>
      <c r="C11336" s="2889" t="s">
        <v>1523</v>
      </c>
      <c r="D11336" s="2889" t="s">
        <v>1054</v>
      </c>
      <c r="E11336" s="2889" t="s">
        <v>1426</v>
      </c>
      <c r="F11336" s="2891"/>
      <c r="G11336" s="2890">
        <v>1788.2024213831423</v>
      </c>
    </row>
    <row r="11337" spans="2:7" ht="15" hidden="1" outlineLevel="2">
      <c r="B11337" s="2889" t="s">
        <v>1635</v>
      </c>
      <c r="C11337" s="2889" t="s">
        <v>1524</v>
      </c>
      <c r="D11337" s="2889" t="s">
        <v>1054</v>
      </c>
      <c r="E11337" s="2889" t="s">
        <v>1426</v>
      </c>
      <c r="F11337" s="2891"/>
      <c r="G11337" s="2890">
        <v>6080.7766503136518</v>
      </c>
    </row>
    <row r="11338" spans="2:7" ht="15" hidden="1" outlineLevel="2">
      <c r="B11338" s="2889" t="s">
        <v>1635</v>
      </c>
      <c r="C11338" s="2889" t="s">
        <v>1525</v>
      </c>
      <c r="D11338" s="2889" t="s">
        <v>1054</v>
      </c>
      <c r="E11338" s="2889" t="s">
        <v>1426</v>
      </c>
      <c r="F11338" s="2891"/>
      <c r="G11338" s="2890">
        <v>3687.6221240624741</v>
      </c>
    </row>
    <row r="11339" spans="2:7" ht="15" hidden="1" outlineLevel="2">
      <c r="B11339" s="2889" t="s">
        <v>1635</v>
      </c>
      <c r="C11339" s="2889" t="s">
        <v>1526</v>
      </c>
      <c r="D11339" s="2889" t="s">
        <v>1054</v>
      </c>
      <c r="E11339" s="2889" t="s">
        <v>1426</v>
      </c>
      <c r="F11339" s="2891"/>
      <c r="G11339" s="2890">
        <v>5565.1002688268591</v>
      </c>
    </row>
    <row r="11340" spans="2:7" ht="15" hidden="1" outlineLevel="2">
      <c r="B11340" s="2889" t="s">
        <v>1635</v>
      </c>
      <c r="C11340" s="2889" t="s">
        <v>1527</v>
      </c>
      <c r="D11340" s="2889" t="s">
        <v>1054</v>
      </c>
      <c r="E11340" s="2889" t="s">
        <v>1426</v>
      </c>
      <c r="F11340" s="2891"/>
      <c r="G11340" s="2890">
        <v>2528.5698857945476</v>
      </c>
    </row>
    <row r="11341" spans="2:7" ht="15" hidden="1" outlineLevel="2">
      <c r="B11341" s="2889" t="s">
        <v>1635</v>
      </c>
      <c r="C11341" s="2889" t="s">
        <v>1528</v>
      </c>
      <c r="D11341" s="2889" t="s">
        <v>1054</v>
      </c>
      <c r="E11341" s="2889" t="s">
        <v>1426</v>
      </c>
      <c r="F11341" s="2891"/>
      <c r="G11341" s="2890">
        <v>598.59262946931005</v>
      </c>
    </row>
    <row r="11342" spans="2:7" ht="15" hidden="1" outlineLevel="2">
      <c r="B11342" s="2889" t="s">
        <v>1635</v>
      </c>
      <c r="C11342" s="2889" t="s">
        <v>1529</v>
      </c>
      <c r="D11342" s="2889" t="s">
        <v>1054</v>
      </c>
      <c r="E11342" s="2889" t="s">
        <v>1426</v>
      </c>
      <c r="F11342" s="2891"/>
      <c r="G11342" s="2890">
        <v>7.7907162701270014</v>
      </c>
    </row>
    <row r="11343" spans="2:7" ht="15" hidden="1" outlineLevel="2">
      <c r="B11343" s="2889" t="s">
        <v>1635</v>
      </c>
      <c r="C11343" s="2889" t="s">
        <v>1530</v>
      </c>
      <c r="D11343" s="2889" t="s">
        <v>1054</v>
      </c>
      <c r="E11343" s="2889" t="s">
        <v>1426</v>
      </c>
      <c r="F11343" s="2891"/>
      <c r="G11343" s="2890">
        <v>573.59404225969013</v>
      </c>
    </row>
    <row r="11344" spans="2:7" ht="15" hidden="1" outlineLevel="2">
      <c r="B11344" s="2889" t="s">
        <v>1635</v>
      </c>
      <c r="C11344" s="2889" t="s">
        <v>1531</v>
      </c>
      <c r="D11344" s="2889" t="s">
        <v>1106</v>
      </c>
      <c r="E11344" s="2889" t="s">
        <v>217</v>
      </c>
      <c r="F11344" s="2890">
        <v>3.1952613788030325E-4</v>
      </c>
      <c r="G11344" s="2890">
        <v>0.14324283840768842</v>
      </c>
    </row>
    <row r="11345" spans="2:7" ht="15" hidden="1" outlineLevel="2">
      <c r="B11345" s="2889" t="s">
        <v>1635</v>
      </c>
      <c r="C11345" s="2889" t="s">
        <v>1532</v>
      </c>
      <c r="D11345" s="2889" t="s">
        <v>1106</v>
      </c>
      <c r="E11345" s="2889" t="s">
        <v>217</v>
      </c>
      <c r="F11345" s="2890">
        <v>2.516550530658934E-5</v>
      </c>
      <c r="G11345" s="2890">
        <v>1.1281659688983885E-2</v>
      </c>
    </row>
    <row r="11346" spans="2:7" ht="15" hidden="1" outlineLevel="2">
      <c r="B11346" s="2889" t="s">
        <v>1635</v>
      </c>
      <c r="C11346" s="2889" t="s">
        <v>1533</v>
      </c>
      <c r="D11346" s="2889" t="s">
        <v>1106</v>
      </c>
      <c r="E11346" s="2889" t="s">
        <v>217</v>
      </c>
      <c r="F11346" s="2890">
        <v>1.637924803889465E-2</v>
      </c>
      <c r="G11346" s="2890">
        <v>17.423298631607793</v>
      </c>
    </row>
    <row r="11347" spans="2:7" ht="15" hidden="1" outlineLevel="2">
      <c r="B11347" s="2889" t="s">
        <v>1635</v>
      </c>
      <c r="C11347" s="2889" t="s">
        <v>1534</v>
      </c>
      <c r="D11347" s="2889" t="s">
        <v>1106</v>
      </c>
      <c r="E11347" s="2889" t="s">
        <v>217</v>
      </c>
      <c r="F11347" s="2890">
        <v>1.4892312256483516E-2</v>
      </c>
      <c r="G11347" s="2890">
        <v>51.595084187382454</v>
      </c>
    </row>
    <row r="11348" spans="2:7" ht="15" hidden="1" outlineLevel="2">
      <c r="B11348" s="2889" t="s">
        <v>1635</v>
      </c>
      <c r="C11348" s="2889" t="s">
        <v>1535</v>
      </c>
      <c r="D11348" s="2889" t="s">
        <v>1106</v>
      </c>
      <c r="E11348" s="2889" t="s">
        <v>217</v>
      </c>
      <c r="F11348" s="2890">
        <v>5.5720546727978503E-3</v>
      </c>
      <c r="G11348" s="2890">
        <v>13.030448109484412</v>
      </c>
    </row>
    <row r="11349" spans="2:7" ht="15" hidden="1" outlineLevel="2">
      <c r="B11349" s="2889" t="s">
        <v>1635</v>
      </c>
      <c r="C11349" s="2889" t="s">
        <v>1536</v>
      </c>
      <c r="D11349" s="2889" t="s">
        <v>1106</v>
      </c>
      <c r="E11349" s="2889" t="s">
        <v>217</v>
      </c>
      <c r="F11349" s="2890">
        <v>1.8694752876962942E-2</v>
      </c>
      <c r="G11349" s="2890">
        <v>24.28817188893305</v>
      </c>
    </row>
    <row r="11350" spans="2:7" ht="15" hidden="1" outlineLevel="2">
      <c r="B11350" s="2889" t="s">
        <v>1635</v>
      </c>
      <c r="C11350" s="2889" t="s">
        <v>1537</v>
      </c>
      <c r="D11350" s="2889" t="s">
        <v>1106</v>
      </c>
      <c r="E11350" s="2889" t="s">
        <v>217</v>
      </c>
      <c r="F11350" s="2890">
        <v>1.0463975592941114E-3</v>
      </c>
      <c r="G11350" s="2890">
        <v>1.19334364601471</v>
      </c>
    </row>
    <row r="11351" spans="2:7" ht="15" hidden="1" outlineLevel="2">
      <c r="B11351" s="2889" t="s">
        <v>1635</v>
      </c>
      <c r="C11351" s="2889" t="s">
        <v>1538</v>
      </c>
      <c r="D11351" s="2889" t="s">
        <v>1106</v>
      </c>
      <c r="E11351" s="2889" t="s">
        <v>217</v>
      </c>
      <c r="F11351" s="2890">
        <v>8.0900580260024452E-4</v>
      </c>
      <c r="G11351" s="2890">
        <v>1.089746222763859</v>
      </c>
    </row>
    <row r="11352" spans="2:7" ht="15" hidden="1" outlineLevel="2">
      <c r="B11352" s="2889" t="s">
        <v>1635</v>
      </c>
      <c r="C11352" s="2889" t="s">
        <v>1539</v>
      </c>
      <c r="D11352" s="2889" t="s">
        <v>1106</v>
      </c>
      <c r="E11352" s="2889" t="s">
        <v>217</v>
      </c>
      <c r="F11352" s="2890">
        <v>4.111747369712086E-4</v>
      </c>
      <c r="G11352" s="2890">
        <v>5.2610753393976406</v>
      </c>
    </row>
    <row r="11353" spans="2:7" ht="15" hidden="1" outlineLevel="2">
      <c r="B11353" s="2889" t="s">
        <v>1635</v>
      </c>
      <c r="C11353" s="2889" t="s">
        <v>1540</v>
      </c>
      <c r="D11353" s="2889" t="s">
        <v>1106</v>
      </c>
      <c r="E11353" s="2889" t="s">
        <v>1420</v>
      </c>
      <c r="F11353" s="2890">
        <v>1.8188770734358001E-2</v>
      </c>
      <c r="G11353" s="2890">
        <v>44.138073361205642</v>
      </c>
    </row>
    <row r="11354" spans="2:7" ht="15" hidden="1" outlineLevel="2">
      <c r="B11354" s="2889" t="s">
        <v>1635</v>
      </c>
      <c r="C11354" s="2889" t="s">
        <v>1541</v>
      </c>
      <c r="D11354" s="2889" t="s">
        <v>1106</v>
      </c>
      <c r="E11354" s="2889" t="s">
        <v>1420</v>
      </c>
      <c r="F11354" s="2890">
        <v>0.53006343595363592</v>
      </c>
      <c r="G11354" s="2890">
        <v>3902.487693211131</v>
      </c>
    </row>
    <row r="11355" spans="2:7" ht="15" hidden="1" outlineLevel="2">
      <c r="B11355" s="2889" t="s">
        <v>1635</v>
      </c>
      <c r="C11355" s="2889" t="s">
        <v>1542</v>
      </c>
      <c r="D11355" s="2889" t="s">
        <v>1106</v>
      </c>
      <c r="E11355" s="2889" t="s">
        <v>1420</v>
      </c>
      <c r="F11355" s="2890">
        <v>2.5782013150601009E-3</v>
      </c>
      <c r="G11355" s="2890">
        <v>29.502904387653061</v>
      </c>
    </row>
    <row r="11356" spans="2:7" ht="15" hidden="1" outlineLevel="2">
      <c r="B11356" s="2889" t="s">
        <v>1635</v>
      </c>
      <c r="C11356" s="2889" t="s">
        <v>1543</v>
      </c>
      <c r="D11356" s="2889" t="s">
        <v>1106</v>
      </c>
      <c r="E11356" s="2889" t="s">
        <v>1420</v>
      </c>
      <c r="F11356" s="2890">
        <v>9.3427560436663945E-4</v>
      </c>
      <c r="G11356" s="2890">
        <v>9.1445300139070014</v>
      </c>
    </row>
    <row r="11357" spans="2:7" ht="15" hidden="1" outlineLevel="2">
      <c r="B11357" s="2889" t="s">
        <v>1635</v>
      </c>
      <c r="C11357" s="2889" t="s">
        <v>1544</v>
      </c>
      <c r="D11357" s="2889" t="s">
        <v>1106</v>
      </c>
      <c r="E11357" s="2889" t="s">
        <v>1420</v>
      </c>
      <c r="F11357" s="2890">
        <v>9.030310500776239E-4</v>
      </c>
      <c r="G11357" s="2890">
        <v>2.3594475588055364</v>
      </c>
    </row>
    <row r="11358" spans="2:7" ht="15" hidden="1" outlineLevel="2">
      <c r="B11358" s="2889" t="s">
        <v>1635</v>
      </c>
      <c r="C11358" s="2889" t="s">
        <v>1545</v>
      </c>
      <c r="D11358" s="2889" t="s">
        <v>1106</v>
      </c>
      <c r="E11358" s="2889" t="s">
        <v>1420</v>
      </c>
      <c r="F11358" s="2890">
        <v>9.0306810289146437E-4</v>
      </c>
      <c r="G11358" s="2890">
        <v>17.946383973518046</v>
      </c>
    </row>
    <row r="11359" spans="2:7" ht="15" hidden="1" outlineLevel="2">
      <c r="B11359" s="2889" t="s">
        <v>1635</v>
      </c>
      <c r="C11359" s="2889" t="s">
        <v>1546</v>
      </c>
      <c r="D11359" s="2889" t="s">
        <v>1106</v>
      </c>
      <c r="E11359" s="2889" t="s">
        <v>1423</v>
      </c>
      <c r="F11359" s="2890">
        <v>2.7375127664937215</v>
      </c>
      <c r="G11359" s="2890">
        <v>230.37752409074113</v>
      </c>
    </row>
    <row r="11360" spans="2:7" ht="15" hidden="1" outlineLevel="2">
      <c r="B11360" s="2889" t="s">
        <v>1635</v>
      </c>
      <c r="C11360" s="2889" t="s">
        <v>1547</v>
      </c>
      <c r="D11360" s="2889" t="s">
        <v>1106</v>
      </c>
      <c r="E11360" s="2889" t="s">
        <v>1423</v>
      </c>
      <c r="F11360" s="2890">
        <v>2.990063603252126E-3</v>
      </c>
      <c r="G11360" s="2890">
        <v>0.2618322461845638</v>
      </c>
    </row>
    <row r="11361" spans="2:7" ht="15" hidden="1" outlineLevel="2">
      <c r="B11361" s="2889" t="s">
        <v>1635</v>
      </c>
      <c r="C11361" s="2889" t="s">
        <v>1548</v>
      </c>
      <c r="D11361" s="2889" t="s">
        <v>1106</v>
      </c>
      <c r="E11361" s="2889" t="s">
        <v>1423</v>
      </c>
      <c r="F11361" s="2890">
        <v>1.3951619912421932E-3</v>
      </c>
      <c r="G11361" s="2890">
        <v>0.14298973941631732</v>
      </c>
    </row>
    <row r="11362" spans="2:7" ht="15" hidden="1" outlineLevel="2">
      <c r="B11362" s="2889" t="s">
        <v>1635</v>
      </c>
      <c r="C11362" s="2889" t="s">
        <v>1549</v>
      </c>
      <c r="D11362" s="2889" t="s">
        <v>1106</v>
      </c>
      <c r="E11362" s="2889" t="s">
        <v>1423</v>
      </c>
      <c r="F11362" s="2890">
        <v>1.0446601190335827E-2</v>
      </c>
      <c r="G11362" s="2890">
        <v>1.0287179392047801</v>
      </c>
    </row>
    <row r="11363" spans="2:7" ht="15" hidden="1" outlineLevel="2">
      <c r="B11363" s="2889" t="s">
        <v>1635</v>
      </c>
      <c r="C11363" s="2889" t="s">
        <v>1550</v>
      </c>
      <c r="D11363" s="2889" t="s">
        <v>1106</v>
      </c>
      <c r="E11363" s="2889" t="s">
        <v>1423</v>
      </c>
      <c r="F11363" s="2890">
        <v>4.7511417125668427E-3</v>
      </c>
      <c r="G11363" s="2890">
        <v>1.0684285217783731</v>
      </c>
    </row>
    <row r="11364" spans="2:7" ht="15" hidden="1" outlineLevel="2">
      <c r="B11364" s="2889" t="s">
        <v>1635</v>
      </c>
      <c r="C11364" s="2889" t="s">
        <v>1551</v>
      </c>
      <c r="D11364" s="2889" t="s">
        <v>1106</v>
      </c>
      <c r="E11364" s="2889" t="s">
        <v>1426</v>
      </c>
      <c r="F11364" s="2891"/>
      <c r="G11364" s="2890">
        <v>71.810954265567773</v>
      </c>
    </row>
    <row r="11365" spans="2:7" ht="15" hidden="1" outlineLevel="2">
      <c r="B11365" s="2889" t="s">
        <v>1635</v>
      </c>
      <c r="C11365" s="2889" t="s">
        <v>1552</v>
      </c>
      <c r="D11365" s="2889" t="s">
        <v>1106</v>
      </c>
      <c r="E11365" s="2889" t="s">
        <v>1426</v>
      </c>
      <c r="F11365" s="2891"/>
      <c r="G11365" s="2890">
        <v>1042.0181119277756</v>
      </c>
    </row>
    <row r="11366" spans="2:7" ht="15" hidden="1" outlineLevel="2">
      <c r="B11366" s="2889" t="s">
        <v>1635</v>
      </c>
      <c r="C11366" s="2889" t="s">
        <v>1553</v>
      </c>
      <c r="D11366" s="2889" t="s">
        <v>1106</v>
      </c>
      <c r="E11366" s="2889" t="s">
        <v>1426</v>
      </c>
      <c r="F11366" s="2891"/>
      <c r="G11366" s="2890">
        <v>454.80646969246669</v>
      </c>
    </row>
    <row r="11367" spans="2:7" ht="15" hidden="1" outlineLevel="2">
      <c r="B11367" s="2889" t="s">
        <v>1635</v>
      </c>
      <c r="C11367" s="2889" t="s">
        <v>1554</v>
      </c>
      <c r="D11367" s="2889" t="s">
        <v>1106</v>
      </c>
      <c r="E11367" s="2889" t="s">
        <v>1426</v>
      </c>
      <c r="F11367" s="2891"/>
      <c r="G11367" s="2890">
        <v>461.62362739134016</v>
      </c>
    </row>
    <row r="11368" spans="2:7" ht="15" hidden="1" outlineLevel="2">
      <c r="B11368" s="2889" t="s">
        <v>1635</v>
      </c>
      <c r="C11368" s="2889" t="s">
        <v>1555</v>
      </c>
      <c r="D11368" s="2889" t="s">
        <v>1106</v>
      </c>
      <c r="E11368" s="2889" t="s">
        <v>1426</v>
      </c>
      <c r="F11368" s="2891"/>
      <c r="G11368" s="2890">
        <v>17.746459918862445</v>
      </c>
    </row>
    <row r="11369" spans="2:7" ht="15" hidden="1" outlineLevel="2">
      <c r="B11369" s="2889" t="s">
        <v>1635</v>
      </c>
      <c r="C11369" s="2889" t="s">
        <v>1556</v>
      </c>
      <c r="D11369" s="2889" t="s">
        <v>1106</v>
      </c>
      <c r="E11369" s="2889" t="s">
        <v>1426</v>
      </c>
      <c r="F11369" s="2891"/>
      <c r="G11369" s="2890">
        <v>2992.281414077916</v>
      </c>
    </row>
    <row r="11370" spans="2:7" ht="15" hidden="1" outlineLevel="2">
      <c r="B11370" s="2889" t="s">
        <v>1635</v>
      </c>
      <c r="C11370" s="2889" t="s">
        <v>1557</v>
      </c>
      <c r="D11370" s="2889" t="s">
        <v>1106</v>
      </c>
      <c r="E11370" s="2889" t="s">
        <v>1426</v>
      </c>
      <c r="F11370" s="2891"/>
      <c r="G11370" s="2890">
        <v>656.03013850612604</v>
      </c>
    </row>
    <row r="11371" spans="2:7" ht="15" hidden="1" outlineLevel="2">
      <c r="B11371" s="2889" t="s">
        <v>1635</v>
      </c>
      <c r="C11371" s="2889" t="s">
        <v>1558</v>
      </c>
      <c r="D11371" s="2889" t="s">
        <v>1559</v>
      </c>
      <c r="E11371" s="2889" t="s">
        <v>217</v>
      </c>
      <c r="F11371" s="2890">
        <v>1.0461197538878367E-2</v>
      </c>
      <c r="G11371" s="2890">
        <v>5.7290887584085777</v>
      </c>
    </row>
    <row r="11372" spans="2:7" ht="15" hidden="1" outlineLevel="2">
      <c r="B11372" s="2889" t="s">
        <v>1635</v>
      </c>
      <c r="C11372" s="2889" t="s">
        <v>1560</v>
      </c>
      <c r="D11372" s="2889" t="s">
        <v>1559</v>
      </c>
      <c r="E11372" s="2889" t="s">
        <v>217</v>
      </c>
      <c r="F11372" s="2890">
        <v>0.11017335627559582</v>
      </c>
      <c r="G11372" s="2890">
        <v>59.457486549339926</v>
      </c>
    </row>
    <row r="11373" spans="2:7" ht="15" hidden="1" outlineLevel="2">
      <c r="B11373" s="2889" t="s">
        <v>1635</v>
      </c>
      <c r="C11373" s="2889" t="s">
        <v>1561</v>
      </c>
      <c r="D11373" s="2889" t="s">
        <v>1559</v>
      </c>
      <c r="E11373" s="2889" t="s">
        <v>217</v>
      </c>
      <c r="F11373" s="2890">
        <v>0.1500956340912184</v>
      </c>
      <c r="G11373" s="2890">
        <v>78.264140033826919</v>
      </c>
    </row>
    <row r="11374" spans="2:7" ht="15" hidden="1" outlineLevel="2">
      <c r="B11374" s="2889" t="s">
        <v>1635</v>
      </c>
      <c r="C11374" s="2889" t="s">
        <v>1562</v>
      </c>
      <c r="D11374" s="2889" t="s">
        <v>1559</v>
      </c>
      <c r="E11374" s="2889" t="s">
        <v>217</v>
      </c>
      <c r="F11374" s="2890">
        <v>1.2067675493790309</v>
      </c>
      <c r="G11374" s="2890">
        <v>661.69721803280481</v>
      </c>
    </row>
    <row r="11375" spans="2:7" ht="15" hidden="1" outlineLevel="2">
      <c r="B11375" s="2889" t="s">
        <v>1635</v>
      </c>
      <c r="C11375" s="2889" t="s">
        <v>1563</v>
      </c>
      <c r="D11375" s="2889" t="s">
        <v>1559</v>
      </c>
      <c r="E11375" s="2889" t="s">
        <v>217</v>
      </c>
      <c r="F11375" s="2890">
        <v>0.18507533175085367</v>
      </c>
      <c r="G11375" s="2890">
        <v>109.06484100013508</v>
      </c>
    </row>
    <row r="11376" spans="2:7" ht="15" hidden="1" outlineLevel="2">
      <c r="B11376" s="2889" t="s">
        <v>1635</v>
      </c>
      <c r="C11376" s="2889" t="s">
        <v>1564</v>
      </c>
      <c r="D11376" s="2889" t="s">
        <v>1559</v>
      </c>
      <c r="E11376" s="2889" t="s">
        <v>217</v>
      </c>
      <c r="F11376" s="2890">
        <v>1.1395727971343332</v>
      </c>
      <c r="G11376" s="2890">
        <v>576.98861548392199</v>
      </c>
    </row>
    <row r="11377" spans="2:7" ht="15" hidden="1" outlineLevel="2">
      <c r="B11377" s="2889" t="s">
        <v>1635</v>
      </c>
      <c r="C11377" s="2889" t="s">
        <v>1565</v>
      </c>
      <c r="D11377" s="2889" t="s">
        <v>1559</v>
      </c>
      <c r="E11377" s="2889" t="s">
        <v>217</v>
      </c>
      <c r="F11377" s="2890">
        <v>0.1304527567900986</v>
      </c>
      <c r="G11377" s="2890">
        <v>70.193870966780977</v>
      </c>
    </row>
    <row r="11378" spans="2:7" ht="15" hidden="1" outlineLevel="2">
      <c r="B11378" s="2889" t="s">
        <v>1635</v>
      </c>
      <c r="C11378" s="2889" t="s">
        <v>1566</v>
      </c>
      <c r="D11378" s="2889" t="s">
        <v>1559</v>
      </c>
      <c r="E11378" s="2889" t="s">
        <v>217</v>
      </c>
      <c r="F11378" s="2890">
        <v>1.0057988513757505</v>
      </c>
      <c r="G11378" s="2890">
        <v>538.77037371702261</v>
      </c>
    </row>
    <row r="11379" spans="2:7" ht="15" hidden="1" outlineLevel="2">
      <c r="B11379" s="2889" t="s">
        <v>1635</v>
      </c>
      <c r="C11379" s="2889" t="s">
        <v>1567</v>
      </c>
      <c r="D11379" s="2889" t="s">
        <v>1559</v>
      </c>
      <c r="E11379" s="2889" t="s">
        <v>217</v>
      </c>
      <c r="F11379" s="2890">
        <v>0.226966294082597</v>
      </c>
      <c r="G11379" s="2890">
        <v>33.408235837355591</v>
      </c>
    </row>
    <row r="11380" spans="2:7" ht="15" hidden="1" outlineLevel="2">
      <c r="B11380" s="2889" t="s">
        <v>1635</v>
      </c>
      <c r="C11380" s="2889" t="s">
        <v>1568</v>
      </c>
      <c r="D11380" s="2889" t="s">
        <v>1559</v>
      </c>
      <c r="E11380" s="2889" t="s">
        <v>217</v>
      </c>
      <c r="F11380" s="2890">
        <v>1.1696171710994465</v>
      </c>
      <c r="G11380" s="2890">
        <v>172.16318386879561</v>
      </c>
    </row>
    <row r="11381" spans="2:7" ht="15" hidden="1" outlineLevel="2">
      <c r="B11381" s="2889" t="s">
        <v>1635</v>
      </c>
      <c r="C11381" s="2889" t="s">
        <v>1569</v>
      </c>
      <c r="D11381" s="2889" t="s">
        <v>1559</v>
      </c>
      <c r="E11381" s="2889" t="s">
        <v>217</v>
      </c>
      <c r="F11381" s="2890">
        <v>4.9274332274712061E-4</v>
      </c>
      <c r="G11381" s="2890">
        <v>0.24626379757805272</v>
      </c>
    </row>
    <row r="11382" spans="2:7" ht="15" hidden="1" outlineLevel="2">
      <c r="B11382" s="2889" t="s">
        <v>1635</v>
      </c>
      <c r="C11382" s="2889" t="s">
        <v>1570</v>
      </c>
      <c r="D11382" s="2889" t="s">
        <v>1559</v>
      </c>
      <c r="E11382" s="2889" t="s">
        <v>217</v>
      </c>
      <c r="F11382" s="2890">
        <v>1.5793974358671667</v>
      </c>
      <c r="G11382" s="2890">
        <v>977.75519147137391</v>
      </c>
    </row>
    <row r="11383" spans="2:7" ht="15" hidden="1" outlineLevel="2">
      <c r="B11383" s="2889" t="s">
        <v>1635</v>
      </c>
      <c r="C11383" s="2889" t="s">
        <v>1571</v>
      </c>
      <c r="D11383" s="2889" t="s">
        <v>1559</v>
      </c>
      <c r="E11383" s="2889" t="s">
        <v>217</v>
      </c>
      <c r="F11383" s="2890">
        <v>1.4142623480176471</v>
      </c>
      <c r="G11383" s="2890">
        <v>1681.9143720117956</v>
      </c>
    </row>
    <row r="11384" spans="2:7" ht="15" hidden="1" outlineLevel="2">
      <c r="B11384" s="2889" t="s">
        <v>1635</v>
      </c>
      <c r="C11384" s="2889" t="s">
        <v>1572</v>
      </c>
      <c r="D11384" s="2889" t="s">
        <v>1559</v>
      </c>
      <c r="E11384" s="2889" t="s">
        <v>217</v>
      </c>
      <c r="F11384" s="2890">
        <v>0.13351477576033471</v>
      </c>
      <c r="G11384" s="2890">
        <v>81.986067373831204</v>
      </c>
    </row>
    <row r="11385" spans="2:7" ht="15" hidden="1" outlineLevel="2">
      <c r="B11385" s="2889" t="s">
        <v>1635</v>
      </c>
      <c r="C11385" s="2889" t="s">
        <v>1573</v>
      </c>
      <c r="D11385" s="2889" t="s">
        <v>1559</v>
      </c>
      <c r="E11385" s="2889" t="s">
        <v>217</v>
      </c>
      <c r="F11385" s="2890">
        <v>1.1463526505487931</v>
      </c>
      <c r="G11385" s="2890">
        <v>856.10999014208221</v>
      </c>
    </row>
    <row r="11386" spans="2:7" ht="15" hidden="1" outlineLevel="2">
      <c r="B11386" s="2889" t="s">
        <v>1635</v>
      </c>
      <c r="C11386" s="2889" t="s">
        <v>1574</v>
      </c>
      <c r="D11386" s="2889" t="s">
        <v>1559</v>
      </c>
      <c r="E11386" s="2889" t="s">
        <v>217</v>
      </c>
      <c r="F11386" s="2890">
        <v>7.2366792895445457E-3</v>
      </c>
      <c r="G11386" s="2890">
        <v>5.4431500655199629</v>
      </c>
    </row>
    <row r="11387" spans="2:7" ht="15" hidden="1" outlineLevel="2">
      <c r="B11387" s="2889" t="s">
        <v>1635</v>
      </c>
      <c r="C11387" s="2889" t="s">
        <v>1575</v>
      </c>
      <c r="D11387" s="2889" t="s">
        <v>1559</v>
      </c>
      <c r="E11387" s="2889" t="s">
        <v>217</v>
      </c>
      <c r="F11387" s="2890">
        <v>3.142812215069607E-2</v>
      </c>
      <c r="G11387" s="2890">
        <v>38.961348434442257</v>
      </c>
    </row>
    <row r="11388" spans="2:7" ht="15" hidden="1" outlineLevel="2">
      <c r="B11388" s="2889" t="s">
        <v>1635</v>
      </c>
      <c r="C11388" s="2889" t="s">
        <v>1576</v>
      </c>
      <c r="D11388" s="2889" t="s">
        <v>1559</v>
      </c>
      <c r="E11388" s="2889" t="s">
        <v>217</v>
      </c>
      <c r="F11388" s="2890">
        <v>1.3773282491756002E-2</v>
      </c>
      <c r="G11388" s="2890">
        <v>10.384557325396745</v>
      </c>
    </row>
    <row r="11389" spans="2:7" ht="15" hidden="1" outlineLevel="2">
      <c r="B11389" s="2889" t="s">
        <v>1635</v>
      </c>
      <c r="C11389" s="2889" t="s">
        <v>1577</v>
      </c>
      <c r="D11389" s="2889" t="s">
        <v>1559</v>
      </c>
      <c r="E11389" s="2889" t="s">
        <v>217</v>
      </c>
      <c r="F11389" s="2890">
        <v>1.0317451046963184</v>
      </c>
      <c r="G11389" s="2890">
        <v>1607.355122150127</v>
      </c>
    </row>
    <row r="11390" spans="2:7" ht="15" hidden="1" outlineLevel="2">
      <c r="B11390" s="2889" t="s">
        <v>1635</v>
      </c>
      <c r="C11390" s="2889" t="s">
        <v>1578</v>
      </c>
      <c r="D11390" s="2889" t="s">
        <v>1559</v>
      </c>
      <c r="E11390" s="2889" t="s">
        <v>217</v>
      </c>
      <c r="F11390" s="2890">
        <v>0.19799731732531417</v>
      </c>
      <c r="G11390" s="2890">
        <v>107.93695448120063</v>
      </c>
    </row>
    <row r="11391" spans="2:7" ht="15" hidden="1" outlineLevel="2">
      <c r="B11391" s="2889" t="s">
        <v>1635</v>
      </c>
      <c r="C11391" s="2889" t="s">
        <v>1579</v>
      </c>
      <c r="D11391" s="2889" t="s">
        <v>1559</v>
      </c>
      <c r="E11391" s="2889" t="s">
        <v>217</v>
      </c>
      <c r="F11391" s="2890">
        <v>1.0204839371501615</v>
      </c>
      <c r="G11391" s="2890">
        <v>556.23243276425001</v>
      </c>
    </row>
    <row r="11392" spans="2:7" ht="15" hidden="1" outlineLevel="2">
      <c r="B11392" s="2889" t="s">
        <v>1635</v>
      </c>
      <c r="C11392" s="2889" t="s">
        <v>1580</v>
      </c>
      <c r="D11392" s="2889" t="s">
        <v>1559</v>
      </c>
      <c r="E11392" s="2889" t="s">
        <v>217</v>
      </c>
      <c r="F11392" s="2890">
        <v>0.15535598180266397</v>
      </c>
      <c r="G11392" s="2890">
        <v>196.182905903061</v>
      </c>
    </row>
    <row r="11393" spans="2:7" ht="15" hidden="1" outlineLevel="2">
      <c r="B11393" s="2889" t="s">
        <v>1635</v>
      </c>
      <c r="C11393" s="2889" t="s">
        <v>1581</v>
      </c>
      <c r="D11393" s="2889" t="s">
        <v>1559</v>
      </c>
      <c r="E11393" s="2889" t="s">
        <v>217</v>
      </c>
      <c r="F11393" s="2890">
        <v>0.13177913778080647</v>
      </c>
      <c r="G11393" s="2890">
        <v>185.7024035735225</v>
      </c>
    </row>
    <row r="11394" spans="2:7" ht="15" hidden="1" outlineLevel="2">
      <c r="B11394" s="2889" t="s">
        <v>1635</v>
      </c>
      <c r="C11394" s="2889" t="s">
        <v>1582</v>
      </c>
      <c r="D11394" s="2889" t="s">
        <v>1559</v>
      </c>
      <c r="E11394" s="2889" t="s">
        <v>217</v>
      </c>
      <c r="F11394" s="2890">
        <v>0.18573804622913404</v>
      </c>
      <c r="G11394" s="2890">
        <v>211.36761257080076</v>
      </c>
    </row>
    <row r="11395" spans="2:7" ht="15" hidden="1" outlineLevel="2">
      <c r="B11395" s="2889" t="s">
        <v>1635</v>
      </c>
      <c r="C11395" s="2889" t="s">
        <v>1583</v>
      </c>
      <c r="D11395" s="2889" t="s">
        <v>1559</v>
      </c>
      <c r="E11395" s="2889" t="s">
        <v>217</v>
      </c>
      <c r="F11395" s="2890">
        <v>0.14314209881539638</v>
      </c>
      <c r="G11395" s="2890">
        <v>98.426584322437421</v>
      </c>
    </row>
    <row r="11396" spans="2:7" ht="15" hidden="1" outlineLevel="2">
      <c r="B11396" s="2889" t="s">
        <v>1635</v>
      </c>
      <c r="C11396" s="2889" t="s">
        <v>1584</v>
      </c>
      <c r="D11396" s="2889" t="s">
        <v>1559</v>
      </c>
      <c r="E11396" s="2889" t="s">
        <v>217</v>
      </c>
      <c r="F11396" s="2890">
        <v>2.0774176949441649</v>
      </c>
      <c r="G11396" s="2890">
        <v>2629.6971067638769</v>
      </c>
    </row>
    <row r="11397" spans="2:7" ht="15" hidden="1" outlineLevel="2">
      <c r="B11397" s="2889" t="s">
        <v>1635</v>
      </c>
      <c r="C11397" s="2889" t="s">
        <v>1585</v>
      </c>
      <c r="D11397" s="2889" t="s">
        <v>1559</v>
      </c>
      <c r="E11397" s="2889" t="s">
        <v>217</v>
      </c>
      <c r="F11397" s="2890">
        <v>1.7905649039918408</v>
      </c>
      <c r="G11397" s="2890">
        <v>2523.7771811154616</v>
      </c>
    </row>
    <row r="11398" spans="2:7" ht="15" hidden="1" outlineLevel="2">
      <c r="B11398" s="2889" t="s">
        <v>1635</v>
      </c>
      <c r="C11398" s="2889" t="s">
        <v>1586</v>
      </c>
      <c r="D11398" s="2889" t="s">
        <v>1559</v>
      </c>
      <c r="E11398" s="2889" t="s">
        <v>217</v>
      </c>
      <c r="F11398" s="2890">
        <v>0.20158049864185737</v>
      </c>
      <c r="G11398" s="2890">
        <v>422.53287225050303</v>
      </c>
    </row>
    <row r="11399" spans="2:7" ht="15" hidden="1" outlineLevel="2">
      <c r="B11399" s="2889" t="s">
        <v>1635</v>
      </c>
      <c r="C11399" s="2889" t="s">
        <v>1587</v>
      </c>
      <c r="D11399" s="2889" t="s">
        <v>1559</v>
      </c>
      <c r="E11399" s="2889" t="s">
        <v>217</v>
      </c>
      <c r="F11399" s="2890">
        <v>5.6075855770558851</v>
      </c>
      <c r="G11399" s="2890">
        <v>8141.8683241916942</v>
      </c>
    </row>
    <row r="11400" spans="2:7" ht="15" hidden="1" outlineLevel="2">
      <c r="B11400" s="2889" t="s">
        <v>1635</v>
      </c>
      <c r="C11400" s="2889" t="s">
        <v>1588</v>
      </c>
      <c r="D11400" s="2889" t="s">
        <v>1559</v>
      </c>
      <c r="E11400" s="2889" t="s">
        <v>217</v>
      </c>
      <c r="F11400" s="2890">
        <v>0.11947457234266137</v>
      </c>
      <c r="G11400" s="2890">
        <v>93.147185913611963</v>
      </c>
    </row>
    <row r="11401" spans="2:7" ht="15" hidden="1" outlineLevel="2">
      <c r="B11401" s="2889" t="s">
        <v>1635</v>
      </c>
      <c r="C11401" s="2889" t="s">
        <v>1589</v>
      </c>
      <c r="D11401" s="2889" t="s">
        <v>1559</v>
      </c>
      <c r="E11401" s="2889" t="s">
        <v>217</v>
      </c>
      <c r="F11401" s="2890">
        <v>0.31933814047043846</v>
      </c>
      <c r="G11401" s="2890">
        <v>249.46357296227399</v>
      </c>
    </row>
    <row r="11402" spans="2:7" ht="15" hidden="1" outlineLevel="2">
      <c r="B11402" s="2889" t="s">
        <v>1635</v>
      </c>
      <c r="C11402" s="2889" t="s">
        <v>1590</v>
      </c>
      <c r="D11402" s="2889" t="s">
        <v>1559</v>
      </c>
      <c r="E11402" s="2889" t="s">
        <v>1420</v>
      </c>
      <c r="F11402" s="2890">
        <v>1.5713145969454233E-2</v>
      </c>
      <c r="G11402" s="2890">
        <v>140.16785539119991</v>
      </c>
    </row>
    <row r="11403" spans="2:7" ht="15" hidden="1" outlineLevel="2">
      <c r="B11403" s="2889" t="s">
        <v>1635</v>
      </c>
      <c r="C11403" s="2889" t="s">
        <v>1591</v>
      </c>
      <c r="D11403" s="2889" t="s">
        <v>1559</v>
      </c>
      <c r="E11403" s="2889" t="s">
        <v>1426</v>
      </c>
      <c r="F11403" s="2891"/>
      <c r="G11403" s="2890">
        <v>0.21788658108718578</v>
      </c>
    </row>
    <row r="11404" spans="2:7" ht="15" hidden="1" outlineLevel="2">
      <c r="B11404" s="2889" t="s">
        <v>1635</v>
      </c>
      <c r="C11404" s="2889" t="s">
        <v>1592</v>
      </c>
      <c r="D11404" s="2889" t="s">
        <v>1559</v>
      </c>
      <c r="E11404" s="2889" t="s">
        <v>1426</v>
      </c>
      <c r="F11404" s="2891"/>
      <c r="G11404" s="2890">
        <v>58.228450080055396</v>
      </c>
    </row>
    <row r="11405" spans="2:7" ht="15" hidden="1" outlineLevel="2">
      <c r="B11405" s="2889" t="s">
        <v>1635</v>
      </c>
      <c r="C11405" s="2889" t="s">
        <v>1593</v>
      </c>
      <c r="D11405" s="2889" t="s">
        <v>1559</v>
      </c>
      <c r="E11405" s="2889" t="s">
        <v>1426</v>
      </c>
      <c r="F11405" s="2891"/>
      <c r="G11405" s="2890">
        <v>1523.6395843298974</v>
      </c>
    </row>
    <row r="11406" spans="2:7" ht="15" hidden="1" outlineLevel="2">
      <c r="B11406" s="2889" t="s">
        <v>1635</v>
      </c>
      <c r="C11406" s="2889" t="s">
        <v>1594</v>
      </c>
      <c r="D11406" s="2889" t="s">
        <v>1559</v>
      </c>
      <c r="E11406" s="2889" t="s">
        <v>1426</v>
      </c>
      <c r="F11406" s="2891"/>
      <c r="G11406" s="2890">
        <v>314.42756326910262</v>
      </c>
    </row>
    <row r="11407" spans="2:7" ht="15" hidden="1" outlineLevel="2">
      <c r="B11407" s="2889" t="s">
        <v>1635</v>
      </c>
      <c r="C11407" s="2889" t="s">
        <v>1595</v>
      </c>
      <c r="D11407" s="2889" t="s">
        <v>1559</v>
      </c>
      <c r="E11407" s="2889" t="s">
        <v>1426</v>
      </c>
      <c r="F11407" s="2891"/>
      <c r="G11407" s="2890">
        <v>2074.3947911072255</v>
      </c>
    </row>
    <row r="11408" spans="2:7" ht="15" hidden="1" outlineLevel="2">
      <c r="B11408" s="2889" t="s">
        <v>1635</v>
      </c>
      <c r="C11408" s="2889" t="s">
        <v>1596</v>
      </c>
      <c r="D11408" s="2889" t="s">
        <v>1559</v>
      </c>
      <c r="E11408" s="2889" t="s">
        <v>1426</v>
      </c>
      <c r="F11408" s="2891"/>
      <c r="G11408" s="2890">
        <v>244.58907132588095</v>
      </c>
    </row>
    <row r="11409" spans="2:7" ht="15" hidden="1" outlineLevel="2">
      <c r="B11409" s="2889" t="s">
        <v>1635</v>
      </c>
      <c r="C11409" s="2889" t="s">
        <v>1597</v>
      </c>
      <c r="D11409" s="2889" t="s">
        <v>1559</v>
      </c>
      <c r="E11409" s="2889" t="s">
        <v>1426</v>
      </c>
      <c r="F11409" s="2891"/>
      <c r="G11409" s="2890">
        <v>5.8262645405521658</v>
      </c>
    </row>
    <row r="11410" spans="2:7" ht="15" hidden="1" outlineLevel="2">
      <c r="B11410" s="2889" t="s">
        <v>1635</v>
      </c>
      <c r="C11410" s="2889" t="s">
        <v>1598</v>
      </c>
      <c r="D11410" s="2889" t="s">
        <v>1599</v>
      </c>
      <c r="E11410" s="2889" t="s">
        <v>217</v>
      </c>
      <c r="F11410" s="2890">
        <v>1.4263420852343845E-2</v>
      </c>
      <c r="G11410" s="2890">
        <v>8.2485120948308204</v>
      </c>
    </row>
    <row r="11411" spans="2:7" ht="15" hidden="1" outlineLevel="2">
      <c r="B11411" s="2889" t="s">
        <v>1635</v>
      </c>
      <c r="C11411" s="2889" t="s">
        <v>1600</v>
      </c>
      <c r="D11411" s="2889" t="s">
        <v>1599</v>
      </c>
      <c r="E11411" s="2889" t="s">
        <v>217</v>
      </c>
      <c r="F11411" s="2890">
        <v>1.6775728059978678E-2</v>
      </c>
      <c r="G11411" s="2890">
        <v>18.572803174133043</v>
      </c>
    </row>
    <row r="11412" spans="2:7" ht="15" hidden="1" outlineLevel="2">
      <c r="B11412" s="2889" t="s">
        <v>1635</v>
      </c>
      <c r="C11412" s="2889" t="s">
        <v>1601</v>
      </c>
      <c r="D11412" s="2889" t="s">
        <v>1599</v>
      </c>
      <c r="E11412" s="2889" t="s">
        <v>217</v>
      </c>
      <c r="F11412" s="2890">
        <v>1.7208390357525036E-4</v>
      </c>
      <c r="G11412" s="2890">
        <v>0.21818829305700377</v>
      </c>
    </row>
    <row r="11413" spans="2:7" ht="15" hidden="1" outlineLevel="2">
      <c r="B11413" s="2889" t="s">
        <v>1635</v>
      </c>
      <c r="C11413" s="2889" t="s">
        <v>1602</v>
      </c>
      <c r="D11413" s="2889" t="s">
        <v>1599</v>
      </c>
      <c r="E11413" s="2889" t="s">
        <v>1426</v>
      </c>
      <c r="F11413" s="2891"/>
      <c r="G11413" s="2890">
        <v>247.16547225372301</v>
      </c>
    </row>
    <row r="11414" spans="2:7" ht="15" hidden="1" outlineLevel="2">
      <c r="B11414" s="2889" t="s">
        <v>1635</v>
      </c>
      <c r="C11414" s="2889" t="s">
        <v>1603</v>
      </c>
      <c r="D11414" s="2889" t="s">
        <v>1604</v>
      </c>
      <c r="E11414" s="2889" t="s">
        <v>217</v>
      </c>
      <c r="F11414" s="2890">
        <v>1.6685691472936203E-2</v>
      </c>
      <c r="G11414" s="2890">
        <v>20.088329130503634</v>
      </c>
    </row>
    <row r="11415" spans="2:7" ht="15" hidden="1" outlineLevel="2">
      <c r="B11415" s="2889" t="s">
        <v>1635</v>
      </c>
      <c r="C11415" s="2889" t="s">
        <v>1605</v>
      </c>
      <c r="D11415" s="2889" t="s">
        <v>1604</v>
      </c>
      <c r="E11415" s="2889" t="s">
        <v>1423</v>
      </c>
      <c r="F11415" s="2890">
        <v>5.968856006320887E-2</v>
      </c>
      <c r="G11415" s="2890">
        <v>13.648946798389323</v>
      </c>
    </row>
    <row r="11416" spans="2:7" ht="15" hidden="1" outlineLevel="2">
      <c r="B11416" s="2889" t="s">
        <v>1635</v>
      </c>
      <c r="C11416" s="2889" t="s">
        <v>1606</v>
      </c>
      <c r="D11416" s="2889" t="s">
        <v>1604</v>
      </c>
      <c r="E11416" s="2889" t="s">
        <v>1426</v>
      </c>
      <c r="F11416" s="2891"/>
      <c r="G11416" s="2890">
        <v>72.367194478489935</v>
      </c>
    </row>
    <row r="11417" spans="2:7" ht="15" hidden="1" outlineLevel="2">
      <c r="B11417" s="2889" t="s">
        <v>1635</v>
      </c>
      <c r="C11417" s="2889" t="s">
        <v>1607</v>
      </c>
      <c r="D11417" s="2889" t="s">
        <v>1608</v>
      </c>
      <c r="E11417" s="2889" t="s">
        <v>217</v>
      </c>
      <c r="F11417" s="2890">
        <v>0.58619466546712795</v>
      </c>
      <c r="G11417" s="2890">
        <v>481.60821273105205</v>
      </c>
    </row>
    <row r="11418" spans="2:7" ht="15" hidden="1" outlineLevel="2">
      <c r="B11418" s="2889" t="s">
        <v>1635</v>
      </c>
      <c r="C11418" s="2889" t="s">
        <v>1609</v>
      </c>
      <c r="D11418" s="2889" t="s">
        <v>1608</v>
      </c>
      <c r="E11418" s="2889" t="s">
        <v>217</v>
      </c>
      <c r="F11418" s="2890">
        <v>0.25525656317273515</v>
      </c>
      <c r="G11418" s="2890">
        <v>203.23733091254712</v>
      </c>
    </row>
    <row r="11419" spans="2:7" ht="15" hidden="1" outlineLevel="2">
      <c r="B11419" s="2889" t="s">
        <v>1635</v>
      </c>
      <c r="C11419" s="2889" t="s">
        <v>1610</v>
      </c>
      <c r="D11419" s="2889" t="s">
        <v>1608</v>
      </c>
      <c r="E11419" s="2889" t="s">
        <v>217</v>
      </c>
      <c r="F11419" s="2890">
        <v>9.7606730679074077E-2</v>
      </c>
      <c r="G11419" s="2890">
        <v>151.70079478872543</v>
      </c>
    </row>
    <row r="11420" spans="2:7" ht="15" hidden="1" outlineLevel="2">
      <c r="B11420" s="2889" t="s">
        <v>1635</v>
      </c>
      <c r="C11420" s="2889" t="s">
        <v>1611</v>
      </c>
      <c r="D11420" s="2889" t="s">
        <v>1608</v>
      </c>
      <c r="E11420" s="2889" t="s">
        <v>1612</v>
      </c>
      <c r="F11420" s="2891"/>
      <c r="G11420" s="2890">
        <v>135.06915569845131</v>
      </c>
    </row>
    <row r="11421" spans="2:7" ht="15" hidden="1" outlineLevel="2">
      <c r="B11421" s="2889" t="s">
        <v>1635</v>
      </c>
      <c r="C11421" s="2889" t="s">
        <v>1613</v>
      </c>
      <c r="D11421" s="2889" t="s">
        <v>1608</v>
      </c>
      <c r="E11421" s="2889" t="s">
        <v>1612</v>
      </c>
      <c r="F11421" s="2891"/>
      <c r="G11421" s="2890">
        <v>1.1278778647508745</v>
      </c>
    </row>
    <row r="11422" spans="2:7" ht="15" hidden="1" outlineLevel="2">
      <c r="B11422" s="2889" t="s">
        <v>1635</v>
      </c>
      <c r="C11422" s="2889" t="s">
        <v>1614</v>
      </c>
      <c r="D11422" s="2889" t="s">
        <v>1615</v>
      </c>
      <c r="E11422" s="2889" t="s">
        <v>1426</v>
      </c>
      <c r="F11422" s="2891"/>
      <c r="G11422" s="2890">
        <v>86.34797149467262</v>
      </c>
    </row>
    <row r="11423" spans="2:7" ht="15" hidden="1" outlineLevel="2">
      <c r="B11423" s="2889" t="s">
        <v>1635</v>
      </c>
      <c r="C11423" s="2889" t="s">
        <v>1616</v>
      </c>
      <c r="D11423" s="2889" t="s">
        <v>1615</v>
      </c>
      <c r="E11423" s="2889" t="s">
        <v>217</v>
      </c>
      <c r="F11423" s="2890">
        <v>2.7381262544486753E-3</v>
      </c>
      <c r="G11423" s="2890">
        <v>3.6981801216152719</v>
      </c>
    </row>
    <row r="11424" spans="2:7" ht="15" hidden="1" outlineLevel="2">
      <c r="B11424" s="2889" t="s">
        <v>1635</v>
      </c>
      <c r="C11424" s="2889" t="s">
        <v>1617</v>
      </c>
      <c r="D11424" s="2889" t="s">
        <v>1615</v>
      </c>
      <c r="E11424" s="2889" t="s">
        <v>1420</v>
      </c>
      <c r="F11424" s="2890">
        <v>4.3478347593036507E-5</v>
      </c>
      <c r="G11424" s="2890">
        <v>0.12585274377322919</v>
      </c>
    </row>
    <row r="11425" spans="2:7" ht="15" hidden="1" outlineLevel="2">
      <c r="B11425" s="2889" t="s">
        <v>1635</v>
      </c>
      <c r="C11425" s="2889" t="s">
        <v>1618</v>
      </c>
      <c r="D11425" s="2889" t="s">
        <v>1619</v>
      </c>
      <c r="E11425" s="2889" t="s">
        <v>217</v>
      </c>
      <c r="F11425" s="2890">
        <v>1.4115162662922598</v>
      </c>
      <c r="G11425" s="2890">
        <v>357.83638726176002</v>
      </c>
    </row>
    <row r="11426" spans="2:7" ht="15" hidden="1" outlineLevel="2">
      <c r="B11426" s="2889" t="s">
        <v>1635</v>
      </c>
      <c r="C11426" s="2889" t="s">
        <v>1620</v>
      </c>
      <c r="D11426" s="2889" t="s">
        <v>1619</v>
      </c>
      <c r="E11426" s="2889" t="s">
        <v>217</v>
      </c>
      <c r="F11426" s="2890">
        <v>1.220677049326443E-33</v>
      </c>
      <c r="G11426" s="2890">
        <v>1.4883506685854614E-30</v>
      </c>
    </row>
    <row r="11427" spans="2:7" ht="15" hidden="1" outlineLevel="2">
      <c r="B11427" s="2889" t="s">
        <v>1635</v>
      </c>
      <c r="C11427" s="2889" t="s">
        <v>1621</v>
      </c>
      <c r="D11427" s="2889" t="s">
        <v>1619</v>
      </c>
      <c r="E11427" s="2889" t="s">
        <v>217</v>
      </c>
      <c r="F11427" s="2890">
        <v>1.5119219198278302</v>
      </c>
      <c r="G11427" s="2890">
        <v>413.18481786908904</v>
      </c>
    </row>
    <row r="11428" spans="2:7" ht="15" hidden="1" outlineLevel="2">
      <c r="B11428" s="2889" t="s">
        <v>1635</v>
      </c>
      <c r="C11428" s="2889" t="s">
        <v>1622</v>
      </c>
      <c r="D11428" s="2889" t="s">
        <v>1619</v>
      </c>
      <c r="E11428" s="2889" t="s">
        <v>217</v>
      </c>
      <c r="F11428" s="2890">
        <v>9.6816320427786207E-2</v>
      </c>
      <c r="G11428" s="2890">
        <v>106.22956157076491</v>
      </c>
    </row>
    <row r="11429" spans="2:7" ht="15" hidden="1" outlineLevel="2">
      <c r="B11429" s="2889" t="s">
        <v>1635</v>
      </c>
      <c r="C11429" s="2889" t="s">
        <v>1623</v>
      </c>
      <c r="D11429" s="2889" t="s">
        <v>1619</v>
      </c>
      <c r="E11429" s="2889" t="s">
        <v>217</v>
      </c>
      <c r="F11429" s="2890">
        <v>0.24932029311468987</v>
      </c>
      <c r="G11429" s="2890">
        <v>172.91043026300696</v>
      </c>
    </row>
    <row r="11430" spans="2:7" ht="15" hidden="1" outlineLevel="2">
      <c r="B11430" s="2889" t="s">
        <v>1635</v>
      </c>
      <c r="C11430" s="2889" t="s">
        <v>1624</v>
      </c>
      <c r="D11430" s="2889" t="s">
        <v>1619</v>
      </c>
      <c r="E11430" s="2889" t="s">
        <v>217</v>
      </c>
      <c r="F11430" s="2890">
        <v>2.1586542945295277</v>
      </c>
      <c r="G11430" s="2890">
        <v>1843.0009775508097</v>
      </c>
    </row>
    <row r="11431" spans="2:7" ht="15" hidden="1" outlineLevel="2">
      <c r="B11431" s="2889" t="s">
        <v>1635</v>
      </c>
      <c r="C11431" s="2889" t="s">
        <v>1625</v>
      </c>
      <c r="D11431" s="2889" t="s">
        <v>1619</v>
      </c>
      <c r="E11431" s="2889" t="s">
        <v>217</v>
      </c>
      <c r="F11431" s="2890">
        <v>0.46652358436248897</v>
      </c>
      <c r="G11431" s="2890">
        <v>604.31721383640297</v>
      </c>
    </row>
    <row r="11432" spans="2:7" ht="15" hidden="1" outlineLevel="2">
      <c r="B11432" s="2889" t="s">
        <v>1635</v>
      </c>
      <c r="C11432" s="2889" t="s">
        <v>1626</v>
      </c>
      <c r="D11432" s="2889" t="s">
        <v>1619</v>
      </c>
      <c r="E11432" s="2889" t="s">
        <v>217</v>
      </c>
      <c r="F11432" s="2890">
        <v>0.13178971866720832</v>
      </c>
      <c r="G11432" s="2890">
        <v>103.65559872668655</v>
      </c>
    </row>
    <row r="11433" spans="2:7" ht="15" hidden="1" outlineLevel="2">
      <c r="B11433" s="2889" t="s">
        <v>1635</v>
      </c>
      <c r="C11433" s="2889" t="s">
        <v>1627</v>
      </c>
      <c r="D11433" s="2889" t="s">
        <v>1619</v>
      </c>
      <c r="E11433" s="2889" t="s">
        <v>1420</v>
      </c>
      <c r="F11433" s="2890">
        <v>4.2912131950305875E-3</v>
      </c>
      <c r="G11433" s="2890">
        <v>7.1692385698538557</v>
      </c>
    </row>
    <row r="11434" spans="2:7" ht="15" hidden="1" outlineLevel="2">
      <c r="B11434" s="2889" t="s">
        <v>1635</v>
      </c>
      <c r="C11434" s="2889" t="s">
        <v>1628</v>
      </c>
      <c r="D11434" s="2889" t="s">
        <v>1619</v>
      </c>
      <c r="E11434" s="2889" t="s">
        <v>1426</v>
      </c>
      <c r="F11434" s="2891"/>
      <c r="G11434" s="2890">
        <v>142.09373670000505</v>
      </c>
    </row>
    <row r="11435" spans="2:7" ht="15" hidden="1" outlineLevel="2">
      <c r="B11435" s="2889" t="s">
        <v>1635</v>
      </c>
      <c r="C11435" s="2889" t="s">
        <v>1629</v>
      </c>
      <c r="D11435" s="2889" t="s">
        <v>1630</v>
      </c>
      <c r="E11435" s="2889" t="s">
        <v>1426</v>
      </c>
      <c r="F11435" s="2891"/>
      <c r="G11435" s="2890">
        <v>1.3456627778411454E-31</v>
      </c>
    </row>
    <row r="11436" spans="2:7" ht="15" outlineLevel="1" collapsed="1">
      <c r="B11436" s="3042" t="s">
        <v>1705</v>
      </c>
      <c r="C11436" s="2889"/>
      <c r="D11436" s="2889"/>
      <c r="E11436" s="2889"/>
      <c r="F11436" s="2891">
        <f>SUBTOTAL(9,F11225:F11435)</f>
        <v>40.201598509513282</v>
      </c>
      <c r="G11436" s="2890">
        <f>SUBTOTAL(9,G11225:G11435)</f>
        <v>107072.80462765147</v>
      </c>
    </row>
    <row r="11437" spans="2:7" ht="15" hidden="1" outlineLevel="2">
      <c r="B11437" s="2889" t="s">
        <v>1636</v>
      </c>
      <c r="C11437" s="2889" t="s">
        <v>1408</v>
      </c>
      <c r="D11437" s="2889" t="s">
        <v>197</v>
      </c>
      <c r="E11437" s="2889" t="s">
        <v>217</v>
      </c>
      <c r="F11437" s="2890">
        <v>1.5034877391004414E-3</v>
      </c>
      <c r="G11437" s="2890">
        <v>0.91692252117684248</v>
      </c>
    </row>
    <row r="11438" spans="2:7" ht="15" hidden="1" outlineLevel="2">
      <c r="B11438" s="2889" t="s">
        <v>1636</v>
      </c>
      <c r="C11438" s="2889" t="s">
        <v>1409</v>
      </c>
      <c r="D11438" s="2889" t="s">
        <v>197</v>
      </c>
      <c r="E11438" s="2889" t="s">
        <v>217</v>
      </c>
      <c r="F11438" s="2890">
        <v>1.5830305359563134E-3</v>
      </c>
      <c r="G11438" s="2890">
        <v>2.2243248515943104</v>
      </c>
    </row>
    <row r="11439" spans="2:7" ht="15" hidden="1" outlineLevel="2">
      <c r="B11439" s="2889" t="s">
        <v>1636</v>
      </c>
      <c r="C11439" s="2889" t="s">
        <v>1410</v>
      </c>
      <c r="D11439" s="2889" t="s">
        <v>197</v>
      </c>
      <c r="E11439" s="2889" t="s">
        <v>217</v>
      </c>
      <c r="F11439" s="2890">
        <v>2.5289518742556724E-3</v>
      </c>
      <c r="G11439" s="2890">
        <v>8.6547230257102932</v>
      </c>
    </row>
    <row r="11440" spans="2:7" ht="15" hidden="1" outlineLevel="2">
      <c r="B11440" s="2889" t="s">
        <v>1636</v>
      </c>
      <c r="C11440" s="2889" t="s">
        <v>1411</v>
      </c>
      <c r="D11440" s="2889" t="s">
        <v>197</v>
      </c>
      <c r="E11440" s="2889" t="s">
        <v>217</v>
      </c>
      <c r="F11440" s="2890">
        <v>4.1547234773168233E-5</v>
      </c>
      <c r="G11440" s="2890">
        <v>5.4512400616013243E-2</v>
      </c>
    </row>
    <row r="11441" spans="2:7" ht="15" hidden="1" outlineLevel="2">
      <c r="B11441" s="2889" t="s">
        <v>1636</v>
      </c>
      <c r="C11441" s="2889" t="s">
        <v>1412</v>
      </c>
      <c r="D11441" s="2889" t="s">
        <v>197</v>
      </c>
      <c r="E11441" s="2889" t="s">
        <v>217</v>
      </c>
      <c r="F11441" s="2890">
        <v>4.4883742965749623E-3</v>
      </c>
      <c r="G11441" s="2890">
        <v>5.8845196237673356</v>
      </c>
    </row>
    <row r="11442" spans="2:7" ht="15" hidden="1" outlineLevel="2">
      <c r="B11442" s="2889" t="s">
        <v>1636</v>
      </c>
      <c r="C11442" s="2889" t="s">
        <v>1413</v>
      </c>
      <c r="D11442" s="2889" t="s">
        <v>197</v>
      </c>
      <c r="E11442" s="2889" t="s">
        <v>217</v>
      </c>
      <c r="F11442" s="2890">
        <v>1.4783692129691705E-3</v>
      </c>
      <c r="G11442" s="2890">
        <v>1.8432858044636347</v>
      </c>
    </row>
    <row r="11443" spans="2:7" ht="15" hidden="1" outlineLevel="2">
      <c r="B11443" s="2889" t="s">
        <v>1636</v>
      </c>
      <c r="C11443" s="2889" t="s">
        <v>1414</v>
      </c>
      <c r="D11443" s="2889" t="s">
        <v>197</v>
      </c>
      <c r="E11443" s="2889" t="s">
        <v>217</v>
      </c>
      <c r="F11443" s="2890">
        <v>1.9284813428773723E-2</v>
      </c>
      <c r="G11443" s="2890">
        <v>20.023969960715004</v>
      </c>
    </row>
    <row r="11444" spans="2:7" ht="15" hidden="1" outlineLevel="2">
      <c r="B11444" s="2889" t="s">
        <v>1636</v>
      </c>
      <c r="C11444" s="2889" t="s">
        <v>1415</v>
      </c>
      <c r="D11444" s="2889" t="s">
        <v>197</v>
      </c>
      <c r="E11444" s="2889" t="s">
        <v>217</v>
      </c>
      <c r="F11444" s="2890">
        <v>6.3394373353471298E-2</v>
      </c>
      <c r="G11444" s="2890">
        <v>42.921398396968961</v>
      </c>
    </row>
    <row r="11445" spans="2:7" ht="15" hidden="1" outlineLevel="2">
      <c r="B11445" s="2889" t="s">
        <v>1636</v>
      </c>
      <c r="C11445" s="2889" t="s">
        <v>1416</v>
      </c>
      <c r="D11445" s="2889" t="s">
        <v>197</v>
      </c>
      <c r="E11445" s="2889" t="s">
        <v>217</v>
      </c>
      <c r="F11445" s="2890">
        <v>7.1225733854141261E-3</v>
      </c>
      <c r="G11445" s="2890">
        <v>9.3381137691202678</v>
      </c>
    </row>
    <row r="11446" spans="2:7" ht="15" hidden="1" outlineLevel="2">
      <c r="B11446" s="2889" t="s">
        <v>1636</v>
      </c>
      <c r="C11446" s="2889" t="s">
        <v>1417</v>
      </c>
      <c r="D11446" s="2889" t="s">
        <v>197</v>
      </c>
      <c r="E11446" s="2889" t="s">
        <v>217</v>
      </c>
      <c r="F11446" s="2890">
        <v>1.0605546606865548E-2</v>
      </c>
      <c r="G11446" s="2890">
        <v>13.521540582852717</v>
      </c>
    </row>
    <row r="11447" spans="2:7" ht="15" hidden="1" outlineLevel="2">
      <c r="B11447" s="2889" t="s">
        <v>1636</v>
      </c>
      <c r="C11447" s="2889" t="s">
        <v>1418</v>
      </c>
      <c r="D11447" s="2889" t="s">
        <v>197</v>
      </c>
      <c r="E11447" s="2889" t="s">
        <v>217</v>
      </c>
      <c r="F11447" s="2890">
        <v>2.1278104747260501E-3</v>
      </c>
      <c r="G11447" s="2890">
        <v>15.000063888257623</v>
      </c>
    </row>
    <row r="11448" spans="2:7" ht="15" hidden="1" outlineLevel="2">
      <c r="B11448" s="2889" t="s">
        <v>1636</v>
      </c>
      <c r="C11448" s="2889" t="s">
        <v>1419</v>
      </c>
      <c r="D11448" s="2889" t="s">
        <v>197</v>
      </c>
      <c r="E11448" s="2889" t="s">
        <v>1420</v>
      </c>
      <c r="F11448" s="2890">
        <v>5.1667371275658477E-5</v>
      </c>
      <c r="G11448" s="2890">
        <v>8.2097071419455964E-2</v>
      </c>
    </row>
    <row r="11449" spans="2:7" ht="15" hidden="1" outlineLevel="2">
      <c r="B11449" s="2889" t="s">
        <v>1636</v>
      </c>
      <c r="C11449" s="2889" t="s">
        <v>1421</v>
      </c>
      <c r="D11449" s="2889" t="s">
        <v>197</v>
      </c>
      <c r="E11449" s="2889" t="s">
        <v>1420</v>
      </c>
      <c r="F11449" s="2890">
        <v>1.0602038102517792E-5</v>
      </c>
      <c r="G11449" s="2890">
        <v>0.11173309818955129</v>
      </c>
    </row>
    <row r="11450" spans="2:7" ht="15" hidden="1" outlineLevel="2">
      <c r="B11450" s="2889" t="s">
        <v>1636</v>
      </c>
      <c r="C11450" s="2889" t="s">
        <v>1422</v>
      </c>
      <c r="D11450" s="2889" t="s">
        <v>197</v>
      </c>
      <c r="E11450" s="2889" t="s">
        <v>1423</v>
      </c>
      <c r="F11450" s="2890">
        <v>2.0682796276645086E-3</v>
      </c>
      <c r="G11450" s="2890">
        <v>2.1686815434195272E-2</v>
      </c>
    </row>
    <row r="11451" spans="2:7" ht="15" hidden="1" outlineLevel="2">
      <c r="B11451" s="2889" t="s">
        <v>1636</v>
      </c>
      <c r="C11451" s="2889" t="s">
        <v>1424</v>
      </c>
      <c r="D11451" s="2889" t="s">
        <v>197</v>
      </c>
      <c r="E11451" s="2889" t="s">
        <v>1423</v>
      </c>
      <c r="F11451" s="2890">
        <v>6.5648644225652769E-4</v>
      </c>
      <c r="G11451" s="2890">
        <v>6.8814713045801685E-3</v>
      </c>
    </row>
    <row r="11452" spans="2:7" ht="15" hidden="1" outlineLevel="2">
      <c r="B11452" s="2889" t="s">
        <v>1636</v>
      </c>
      <c r="C11452" s="2889" t="s">
        <v>1425</v>
      </c>
      <c r="D11452" s="2889" t="s">
        <v>197</v>
      </c>
      <c r="E11452" s="2889" t="s">
        <v>1426</v>
      </c>
      <c r="F11452" s="2891"/>
      <c r="G11452" s="2890">
        <v>0.16037511920716455</v>
      </c>
    </row>
    <row r="11453" spans="2:7" ht="15" hidden="1" outlineLevel="2">
      <c r="B11453" s="2889" t="s">
        <v>1636</v>
      </c>
      <c r="C11453" s="2889" t="s">
        <v>1427</v>
      </c>
      <c r="D11453" s="2889" t="s">
        <v>197</v>
      </c>
      <c r="E11453" s="2889" t="s">
        <v>1426</v>
      </c>
      <c r="F11453" s="2891"/>
      <c r="G11453" s="2890">
        <v>6933.4004184210798</v>
      </c>
    </row>
    <row r="11454" spans="2:7" ht="15" hidden="1" outlineLevel="2">
      <c r="B11454" s="2889" t="s">
        <v>1636</v>
      </c>
      <c r="C11454" s="2889" t="s">
        <v>1428</v>
      </c>
      <c r="D11454" s="2889" t="s">
        <v>197</v>
      </c>
      <c r="E11454" s="2889" t="s">
        <v>1426</v>
      </c>
      <c r="F11454" s="2891"/>
      <c r="G11454" s="2890">
        <v>622.13768561217785</v>
      </c>
    </row>
    <row r="11455" spans="2:7" ht="15" hidden="1" outlineLevel="2">
      <c r="B11455" s="2889" t="s">
        <v>1636</v>
      </c>
      <c r="C11455" s="2889" t="s">
        <v>1429</v>
      </c>
      <c r="D11455" s="2889" t="s">
        <v>197</v>
      </c>
      <c r="E11455" s="2889" t="s">
        <v>1426</v>
      </c>
      <c r="F11455" s="2891"/>
      <c r="G11455" s="2890">
        <v>3.4582360060621604</v>
      </c>
    </row>
    <row r="11456" spans="2:7" ht="15" hidden="1" outlineLevel="2">
      <c r="B11456" s="2889" t="s">
        <v>1636</v>
      </c>
      <c r="C11456" s="2889" t="s">
        <v>1430</v>
      </c>
      <c r="D11456" s="2889" t="s">
        <v>197</v>
      </c>
      <c r="E11456" s="2889" t="s">
        <v>1426</v>
      </c>
      <c r="F11456" s="2891"/>
      <c r="G11456" s="2890">
        <v>0.70979787596128829</v>
      </c>
    </row>
    <row r="11457" spans="2:7" ht="15" hidden="1" outlineLevel="2">
      <c r="B11457" s="2889" t="s">
        <v>1636</v>
      </c>
      <c r="C11457" s="2889" t="s">
        <v>1431</v>
      </c>
      <c r="D11457" s="2889" t="s">
        <v>197</v>
      </c>
      <c r="E11457" s="2889" t="s">
        <v>1426</v>
      </c>
      <c r="F11457" s="2891"/>
      <c r="G11457" s="2890">
        <v>52.811982925073693</v>
      </c>
    </row>
    <row r="11458" spans="2:7" ht="15" hidden="1" outlineLevel="2">
      <c r="B11458" s="2889" t="s">
        <v>1636</v>
      </c>
      <c r="C11458" s="2889" t="s">
        <v>1432</v>
      </c>
      <c r="D11458" s="2889" t="s">
        <v>197</v>
      </c>
      <c r="E11458" s="2889" t="s">
        <v>1426</v>
      </c>
      <c r="F11458" s="2891"/>
      <c r="G11458" s="2890">
        <v>0.13227460551797254</v>
      </c>
    </row>
    <row r="11459" spans="2:7" ht="15" hidden="1" outlineLevel="2">
      <c r="B11459" s="2889" t="s">
        <v>1636</v>
      </c>
      <c r="C11459" s="2889" t="s">
        <v>1433</v>
      </c>
      <c r="D11459" s="2889" t="s">
        <v>197</v>
      </c>
      <c r="E11459" s="2889" t="s">
        <v>1426</v>
      </c>
      <c r="F11459" s="2891"/>
      <c r="G11459" s="2890">
        <v>48.812736588412648</v>
      </c>
    </row>
    <row r="11460" spans="2:7" ht="15" hidden="1" outlineLevel="2">
      <c r="B11460" s="2889" t="s">
        <v>1636</v>
      </c>
      <c r="C11460" s="2889" t="s">
        <v>1434</v>
      </c>
      <c r="D11460" s="2889" t="s">
        <v>197</v>
      </c>
      <c r="E11460" s="2889" t="s">
        <v>1426</v>
      </c>
      <c r="F11460" s="2891"/>
      <c r="G11460" s="2890">
        <v>135.58891337489544</v>
      </c>
    </row>
    <row r="11461" spans="2:7" ht="15" hidden="1" outlineLevel="2">
      <c r="B11461" s="2889" t="s">
        <v>1636</v>
      </c>
      <c r="C11461" s="2889" t="s">
        <v>1435</v>
      </c>
      <c r="D11461" s="2889" t="s">
        <v>197</v>
      </c>
      <c r="E11461" s="2889" t="s">
        <v>1426</v>
      </c>
      <c r="F11461" s="2891"/>
      <c r="G11461" s="2890">
        <v>99.684272434038448</v>
      </c>
    </row>
    <row r="11462" spans="2:7" ht="15" hidden="1" outlineLevel="2">
      <c r="B11462" s="2889" t="s">
        <v>1636</v>
      </c>
      <c r="C11462" s="2889" t="s">
        <v>1436</v>
      </c>
      <c r="D11462" s="2889" t="s">
        <v>1437</v>
      </c>
      <c r="E11462" s="2889" t="s">
        <v>217</v>
      </c>
      <c r="F11462" s="2890">
        <v>3.8952874951531652E-34</v>
      </c>
      <c r="G11462" s="2890">
        <v>6.1605054560983056E-31</v>
      </c>
    </row>
    <row r="11463" spans="2:7" ht="15" hidden="1" outlineLevel="2">
      <c r="B11463" s="2889" t="s">
        <v>1636</v>
      </c>
      <c r="C11463" s="2889" t="s">
        <v>1438</v>
      </c>
      <c r="D11463" s="2889" t="s">
        <v>1437</v>
      </c>
      <c r="E11463" s="2889" t="s">
        <v>1420</v>
      </c>
      <c r="F11463" s="2890">
        <v>1.6645027218787266E-36</v>
      </c>
      <c r="G11463" s="2890">
        <v>2.4044512537756401E-32</v>
      </c>
    </row>
    <row r="11464" spans="2:7" ht="15" hidden="1" outlineLevel="2">
      <c r="B11464" s="2889" t="s">
        <v>1636</v>
      </c>
      <c r="C11464" s="2889" t="s">
        <v>1439</v>
      </c>
      <c r="D11464" s="2889" t="s">
        <v>1437</v>
      </c>
      <c r="E11464" s="2889" t="s">
        <v>1426</v>
      </c>
      <c r="F11464" s="2891"/>
      <c r="G11464" s="2890">
        <v>2.8862541582913706E-30</v>
      </c>
    </row>
    <row r="11465" spans="2:7" ht="15" hidden="1" outlineLevel="2">
      <c r="B11465" s="2889" t="s">
        <v>1636</v>
      </c>
      <c r="C11465" s="2889" t="s">
        <v>1440</v>
      </c>
      <c r="D11465" s="2889" t="s">
        <v>1105</v>
      </c>
      <c r="E11465" s="2889" t="s">
        <v>217</v>
      </c>
      <c r="F11465" s="2890">
        <v>7.2562928156745515E-3</v>
      </c>
      <c r="G11465" s="2890">
        <v>3.595981245420997</v>
      </c>
    </row>
    <row r="11466" spans="2:7" ht="15" hidden="1" outlineLevel="2">
      <c r="B11466" s="2889" t="s">
        <v>1636</v>
      </c>
      <c r="C11466" s="2889" t="s">
        <v>1441</v>
      </c>
      <c r="D11466" s="2889" t="s">
        <v>1105</v>
      </c>
      <c r="E11466" s="2889" t="s">
        <v>217</v>
      </c>
      <c r="F11466" s="2890">
        <v>4.6367351102704658E-2</v>
      </c>
      <c r="G11466" s="2890">
        <v>23.991243873084002</v>
      </c>
    </row>
    <row r="11467" spans="2:7" ht="15" hidden="1" outlineLevel="2">
      <c r="B11467" s="2889" t="s">
        <v>1636</v>
      </c>
      <c r="C11467" s="2889" t="s">
        <v>1442</v>
      </c>
      <c r="D11467" s="2889" t="s">
        <v>1105</v>
      </c>
      <c r="E11467" s="2889" t="s">
        <v>217</v>
      </c>
      <c r="F11467" s="2890">
        <v>2.0639596932865348E-5</v>
      </c>
      <c r="G11467" s="2890">
        <v>9.2526803380129745E-3</v>
      </c>
    </row>
    <row r="11468" spans="2:7" ht="15" hidden="1" outlineLevel="2">
      <c r="B11468" s="2889" t="s">
        <v>1636</v>
      </c>
      <c r="C11468" s="2889" t="s">
        <v>1443</v>
      </c>
      <c r="D11468" s="2889" t="s">
        <v>1105</v>
      </c>
      <c r="E11468" s="2889" t="s">
        <v>217</v>
      </c>
      <c r="F11468" s="2890">
        <v>3.2476005209238786E-4</v>
      </c>
      <c r="G11468" s="2890">
        <v>0.14558929967250481</v>
      </c>
    </row>
    <row r="11469" spans="2:7" ht="15" hidden="1" outlineLevel="2">
      <c r="B11469" s="2889" t="s">
        <v>1636</v>
      </c>
      <c r="C11469" s="2889" t="s">
        <v>1444</v>
      </c>
      <c r="D11469" s="2889" t="s">
        <v>1105</v>
      </c>
      <c r="E11469" s="2889" t="s">
        <v>217</v>
      </c>
      <c r="F11469" s="2890">
        <v>0.61559558776163514</v>
      </c>
      <c r="G11469" s="2890">
        <v>740.21458407732689</v>
      </c>
    </row>
    <row r="11470" spans="2:7" ht="15" hidden="1" outlineLevel="2">
      <c r="B11470" s="2889" t="s">
        <v>1636</v>
      </c>
      <c r="C11470" s="2889" t="s">
        <v>1445</v>
      </c>
      <c r="D11470" s="2889" t="s">
        <v>1105</v>
      </c>
      <c r="E11470" s="2889" t="s">
        <v>217</v>
      </c>
      <c r="F11470" s="2890">
        <v>0.13250461589580495</v>
      </c>
      <c r="G11470" s="2890">
        <v>185.23145121031641</v>
      </c>
    </row>
    <row r="11471" spans="2:7" ht="15" hidden="1" outlineLevel="2">
      <c r="B11471" s="2889" t="s">
        <v>1636</v>
      </c>
      <c r="C11471" s="2889" t="s">
        <v>1446</v>
      </c>
      <c r="D11471" s="2889" t="s">
        <v>1105</v>
      </c>
      <c r="E11471" s="2889" t="s">
        <v>217</v>
      </c>
      <c r="F11471" s="2890">
        <v>6.1164191227447796E-2</v>
      </c>
      <c r="G11471" s="2890">
        <v>98.22678187904684</v>
      </c>
    </row>
    <row r="11472" spans="2:7" ht="15" hidden="1" outlineLevel="2">
      <c r="B11472" s="2889" t="s">
        <v>1636</v>
      </c>
      <c r="C11472" s="2889" t="s">
        <v>1447</v>
      </c>
      <c r="D11472" s="2889" t="s">
        <v>1105</v>
      </c>
      <c r="E11472" s="2889" t="s">
        <v>217</v>
      </c>
      <c r="F11472" s="2890">
        <v>0.14093893559249601</v>
      </c>
      <c r="G11472" s="2890">
        <v>210.75909828079961</v>
      </c>
    </row>
    <row r="11473" spans="2:7" ht="15" hidden="1" outlineLevel="2">
      <c r="B11473" s="2889" t="s">
        <v>1636</v>
      </c>
      <c r="C11473" s="2889" t="s">
        <v>1448</v>
      </c>
      <c r="D11473" s="2889" t="s">
        <v>1105</v>
      </c>
      <c r="E11473" s="2889" t="s">
        <v>217</v>
      </c>
      <c r="F11473" s="2890">
        <v>0.26618859834949959</v>
      </c>
      <c r="G11473" s="2890">
        <v>332.03260134701856</v>
      </c>
    </row>
    <row r="11474" spans="2:7" ht="15" hidden="1" outlineLevel="2">
      <c r="B11474" s="2889" t="s">
        <v>1636</v>
      </c>
      <c r="C11474" s="2889" t="s">
        <v>1449</v>
      </c>
      <c r="D11474" s="2889" t="s">
        <v>1105</v>
      </c>
      <c r="E11474" s="2889" t="s">
        <v>217</v>
      </c>
      <c r="F11474" s="2890">
        <v>1.1332175635057546E-2</v>
      </c>
      <c r="G11474" s="2890">
        <v>15.616966404101557</v>
      </c>
    </row>
    <row r="11475" spans="2:7" ht="15" hidden="1" outlineLevel="2">
      <c r="B11475" s="2889" t="s">
        <v>1636</v>
      </c>
      <c r="C11475" s="2889" t="s">
        <v>1450</v>
      </c>
      <c r="D11475" s="2889" t="s">
        <v>1105</v>
      </c>
      <c r="E11475" s="2889" t="s">
        <v>1420</v>
      </c>
      <c r="F11475" s="2890">
        <v>3.5824613663857634E-2</v>
      </c>
      <c r="G11475" s="2890">
        <v>98.489164482617952</v>
      </c>
    </row>
    <row r="11476" spans="2:7" ht="15" hidden="1" outlineLevel="2">
      <c r="B11476" s="2889" t="s">
        <v>1636</v>
      </c>
      <c r="C11476" s="2889" t="s">
        <v>1451</v>
      </c>
      <c r="D11476" s="2889" t="s">
        <v>1105</v>
      </c>
      <c r="E11476" s="2889" t="s">
        <v>1420</v>
      </c>
      <c r="F11476" s="2890">
        <v>5.2013488495035688E-3</v>
      </c>
      <c r="G11476" s="2890">
        <v>21.936985538788534</v>
      </c>
    </row>
    <row r="11477" spans="2:7" ht="15" hidden="1" outlineLevel="2">
      <c r="B11477" s="2889" t="s">
        <v>1636</v>
      </c>
      <c r="C11477" s="2889" t="s">
        <v>1452</v>
      </c>
      <c r="D11477" s="2889" t="s">
        <v>1105</v>
      </c>
      <c r="E11477" s="2889" t="s">
        <v>1420</v>
      </c>
      <c r="F11477" s="2890">
        <v>3.8480600808703091E-3</v>
      </c>
      <c r="G11477" s="2890">
        <v>25.714071218799624</v>
      </c>
    </row>
    <row r="11478" spans="2:7" ht="15" hidden="1" outlineLevel="2">
      <c r="B11478" s="2889" t="s">
        <v>1636</v>
      </c>
      <c r="C11478" s="2889" t="s">
        <v>1453</v>
      </c>
      <c r="D11478" s="2889" t="s">
        <v>1105</v>
      </c>
      <c r="E11478" s="2889" t="s">
        <v>1420</v>
      </c>
      <c r="F11478" s="2890">
        <v>6.7403599914786401E-3</v>
      </c>
      <c r="G11478" s="2890">
        <v>31.94330560274031</v>
      </c>
    </row>
    <row r="11479" spans="2:7" ht="15" hidden="1" outlineLevel="2">
      <c r="B11479" s="2889" t="s">
        <v>1636</v>
      </c>
      <c r="C11479" s="2889" t="s">
        <v>1454</v>
      </c>
      <c r="D11479" s="2889" t="s">
        <v>1105</v>
      </c>
      <c r="E11479" s="2889" t="s">
        <v>1420</v>
      </c>
      <c r="F11479" s="2890">
        <v>1.683031077866119E-4</v>
      </c>
      <c r="G11479" s="2890">
        <v>0.43180151628413532</v>
      </c>
    </row>
    <row r="11480" spans="2:7" ht="15" hidden="1" outlineLevel="2">
      <c r="B11480" s="2889" t="s">
        <v>1636</v>
      </c>
      <c r="C11480" s="2889" t="s">
        <v>1455</v>
      </c>
      <c r="D11480" s="2889" t="s">
        <v>1105</v>
      </c>
      <c r="E11480" s="2889" t="s">
        <v>1420</v>
      </c>
      <c r="F11480" s="2890">
        <v>4.9102618847407216E-5</v>
      </c>
      <c r="G11480" s="2890">
        <v>0.40108673210333123</v>
      </c>
    </row>
    <row r="11481" spans="2:7" ht="15" hidden="1" outlineLevel="2">
      <c r="B11481" s="2889" t="s">
        <v>1636</v>
      </c>
      <c r="C11481" s="2889" t="s">
        <v>1456</v>
      </c>
      <c r="D11481" s="2889" t="s">
        <v>1105</v>
      </c>
      <c r="E11481" s="2889" t="s">
        <v>1423</v>
      </c>
      <c r="F11481" s="2890">
        <v>0.79152314227951082</v>
      </c>
      <c r="G11481" s="2890">
        <v>21.979777353708155</v>
      </c>
    </row>
    <row r="11482" spans="2:7" ht="15" hidden="1" outlineLevel="2">
      <c r="B11482" s="2889" t="s">
        <v>1636</v>
      </c>
      <c r="C11482" s="2889" t="s">
        <v>1457</v>
      </c>
      <c r="D11482" s="2889" t="s">
        <v>1105</v>
      </c>
      <c r="E11482" s="2889" t="s">
        <v>1423</v>
      </c>
      <c r="F11482" s="2890">
        <v>3.0345865254220984E-2</v>
      </c>
      <c r="G11482" s="2890">
        <v>1.1031182470573777</v>
      </c>
    </row>
    <row r="11483" spans="2:7" ht="15" hidden="1" outlineLevel="2">
      <c r="B11483" s="2889" t="s">
        <v>1636</v>
      </c>
      <c r="C11483" s="2889" t="s">
        <v>1458</v>
      </c>
      <c r="D11483" s="2889" t="s">
        <v>1105</v>
      </c>
      <c r="E11483" s="2889" t="s">
        <v>1423</v>
      </c>
      <c r="F11483" s="2890">
        <v>2.1786092390987586E-2</v>
      </c>
      <c r="G11483" s="2890">
        <v>1.5280055082165012</v>
      </c>
    </row>
    <row r="11484" spans="2:7" ht="15" hidden="1" outlineLevel="2">
      <c r="B11484" s="2889" t="s">
        <v>1636</v>
      </c>
      <c r="C11484" s="2889" t="s">
        <v>1459</v>
      </c>
      <c r="D11484" s="2889" t="s">
        <v>1105</v>
      </c>
      <c r="E11484" s="2889" t="s">
        <v>1423</v>
      </c>
      <c r="F11484" s="2890">
        <v>0.25523512839652945</v>
      </c>
      <c r="G11484" s="2890">
        <v>53.411924720210095</v>
      </c>
    </row>
    <row r="11485" spans="2:7" ht="15" hidden="1" outlineLevel="2">
      <c r="B11485" s="2889" t="s">
        <v>1636</v>
      </c>
      <c r="C11485" s="2889" t="s">
        <v>1460</v>
      </c>
      <c r="D11485" s="2889" t="s">
        <v>1105</v>
      </c>
      <c r="E11485" s="2889" t="s">
        <v>1426</v>
      </c>
      <c r="F11485" s="2891"/>
      <c r="G11485" s="2890">
        <v>569.56913568653567</v>
      </c>
    </row>
    <row r="11486" spans="2:7" ht="15" hidden="1" outlineLevel="2">
      <c r="B11486" s="2889" t="s">
        <v>1636</v>
      </c>
      <c r="C11486" s="2889" t="s">
        <v>1461</v>
      </c>
      <c r="D11486" s="2889" t="s">
        <v>1105</v>
      </c>
      <c r="E11486" s="2889" t="s">
        <v>1426</v>
      </c>
      <c r="F11486" s="2891"/>
      <c r="G11486" s="2890">
        <v>134.38378850828261</v>
      </c>
    </row>
    <row r="11487" spans="2:7" ht="15" hidden="1" outlineLevel="2">
      <c r="B11487" s="2889" t="s">
        <v>1636</v>
      </c>
      <c r="C11487" s="2889" t="s">
        <v>1462</v>
      </c>
      <c r="D11487" s="2889" t="s">
        <v>1105</v>
      </c>
      <c r="E11487" s="2889" t="s">
        <v>1426</v>
      </c>
      <c r="F11487" s="2891"/>
      <c r="G11487" s="2890">
        <v>372.86296930752854</v>
      </c>
    </row>
    <row r="11488" spans="2:7" ht="15" hidden="1" outlineLevel="2">
      <c r="B11488" s="2889" t="s">
        <v>1636</v>
      </c>
      <c r="C11488" s="2889" t="s">
        <v>1463</v>
      </c>
      <c r="D11488" s="2889" t="s">
        <v>1105</v>
      </c>
      <c r="E11488" s="2889" t="s">
        <v>1426</v>
      </c>
      <c r="F11488" s="2891"/>
      <c r="G11488" s="2890">
        <v>189.327740445486</v>
      </c>
    </row>
    <row r="11489" spans="2:7" ht="15" hidden="1" outlineLevel="2">
      <c r="B11489" s="2889" t="s">
        <v>1636</v>
      </c>
      <c r="C11489" s="2889" t="s">
        <v>1464</v>
      </c>
      <c r="D11489" s="2889" t="s">
        <v>1105</v>
      </c>
      <c r="E11489" s="2889" t="s">
        <v>1426</v>
      </c>
      <c r="F11489" s="2891"/>
      <c r="G11489" s="2890">
        <v>18.188003028591279</v>
      </c>
    </row>
    <row r="11490" spans="2:7" ht="15" hidden="1" outlineLevel="2">
      <c r="B11490" s="2889" t="s">
        <v>1636</v>
      </c>
      <c r="C11490" s="2889" t="s">
        <v>1465</v>
      </c>
      <c r="D11490" s="2889" t="s">
        <v>1105</v>
      </c>
      <c r="E11490" s="2889" t="s">
        <v>1426</v>
      </c>
      <c r="F11490" s="2891"/>
      <c r="G11490" s="2890">
        <v>16.136882733126861</v>
      </c>
    </row>
    <row r="11491" spans="2:7" ht="15" hidden="1" outlineLevel="2">
      <c r="B11491" s="2889" t="s">
        <v>1636</v>
      </c>
      <c r="C11491" s="2889" t="s">
        <v>1466</v>
      </c>
      <c r="D11491" s="2889" t="s">
        <v>1054</v>
      </c>
      <c r="E11491" s="2889" t="s">
        <v>217</v>
      </c>
      <c r="F11491" s="2890">
        <v>2.831409721607598E-2</v>
      </c>
      <c r="G11491" s="2890">
        <v>17.458386212742795</v>
      </c>
    </row>
    <row r="11492" spans="2:7" ht="15" hidden="1" outlineLevel="2">
      <c r="B11492" s="2889" t="s">
        <v>1636</v>
      </c>
      <c r="C11492" s="2889" t="s">
        <v>1467</v>
      </c>
      <c r="D11492" s="2889" t="s">
        <v>1054</v>
      </c>
      <c r="E11492" s="2889" t="s">
        <v>217</v>
      </c>
      <c r="F11492" s="2890">
        <v>2.3399820483735166E-3</v>
      </c>
      <c r="G11492" s="2890">
        <v>1.1323096956475525</v>
      </c>
    </row>
    <row r="11493" spans="2:7" ht="15" hidden="1" outlineLevel="2">
      <c r="B11493" s="2889" t="s">
        <v>1636</v>
      </c>
      <c r="C11493" s="2889" t="s">
        <v>1468</v>
      </c>
      <c r="D11493" s="2889" t="s">
        <v>1054</v>
      </c>
      <c r="E11493" s="2889" t="s">
        <v>217</v>
      </c>
      <c r="F11493" s="2890">
        <v>2.8337853370237467E-3</v>
      </c>
      <c r="G11493" s="2890">
        <v>1.3536104730910752</v>
      </c>
    </row>
    <row r="11494" spans="2:7" ht="15" hidden="1" outlineLevel="2">
      <c r="B11494" s="2889" t="s">
        <v>1636</v>
      </c>
      <c r="C11494" s="2889" t="s">
        <v>1469</v>
      </c>
      <c r="D11494" s="2889" t="s">
        <v>1054</v>
      </c>
      <c r="E11494" s="2889" t="s">
        <v>217</v>
      </c>
      <c r="F11494" s="2890">
        <v>2.2612755307283487E-5</v>
      </c>
      <c r="G11494" s="2890">
        <v>1.0136550015673464E-2</v>
      </c>
    </row>
    <row r="11495" spans="2:7" ht="15" hidden="1" outlineLevel="2">
      <c r="B11495" s="2889" t="s">
        <v>1636</v>
      </c>
      <c r="C11495" s="2889" t="s">
        <v>1470</v>
      </c>
      <c r="D11495" s="2889" t="s">
        <v>1054</v>
      </c>
      <c r="E11495" s="2889" t="s">
        <v>217</v>
      </c>
      <c r="F11495" s="2890">
        <v>8.066580320296686E-2</v>
      </c>
      <c r="G11495" s="2890">
        <v>45.115137225894983</v>
      </c>
    </row>
    <row r="11496" spans="2:7" ht="15" hidden="1" outlineLevel="2">
      <c r="B11496" s="2889" t="s">
        <v>1636</v>
      </c>
      <c r="C11496" s="2889" t="s">
        <v>1471</v>
      </c>
      <c r="D11496" s="2889" t="s">
        <v>1054</v>
      </c>
      <c r="E11496" s="2889" t="s">
        <v>217</v>
      </c>
      <c r="F11496" s="2890">
        <v>5.8881742340065758E-4</v>
      </c>
      <c r="G11496" s="2890">
        <v>0.26394743551868527</v>
      </c>
    </row>
    <row r="11497" spans="2:7" ht="15" hidden="1" outlineLevel="2">
      <c r="B11497" s="2889" t="s">
        <v>1636</v>
      </c>
      <c r="C11497" s="2889" t="s">
        <v>1472</v>
      </c>
      <c r="D11497" s="2889" t="s">
        <v>1054</v>
      </c>
      <c r="E11497" s="2889" t="s">
        <v>217</v>
      </c>
      <c r="F11497" s="2890">
        <v>1.0007392632240202E-2</v>
      </c>
      <c r="G11497" s="2890">
        <v>15.52015097344926</v>
      </c>
    </row>
    <row r="11498" spans="2:7" ht="15" hidden="1" outlineLevel="2">
      <c r="B11498" s="2889" t="s">
        <v>1636</v>
      </c>
      <c r="C11498" s="2889" t="s">
        <v>1473</v>
      </c>
      <c r="D11498" s="2889" t="s">
        <v>1054</v>
      </c>
      <c r="E11498" s="2889" t="s">
        <v>217</v>
      </c>
      <c r="F11498" s="2890">
        <v>8.8643471087347271E-5</v>
      </c>
      <c r="G11498" s="2890">
        <v>0.11468988767337107</v>
      </c>
    </row>
    <row r="11499" spans="2:7" ht="15" hidden="1" outlineLevel="2">
      <c r="B11499" s="2889" t="s">
        <v>1636</v>
      </c>
      <c r="C11499" s="2889" t="s">
        <v>1474</v>
      </c>
      <c r="D11499" s="2889" t="s">
        <v>1054</v>
      </c>
      <c r="E11499" s="2889" t="s">
        <v>217</v>
      </c>
      <c r="F11499" s="2890">
        <v>2.4383560646629374E-2</v>
      </c>
      <c r="G11499" s="2890">
        <v>29.042812974388013</v>
      </c>
    </row>
    <row r="11500" spans="2:7" ht="15" hidden="1" outlineLevel="2">
      <c r="B11500" s="2889" t="s">
        <v>1636</v>
      </c>
      <c r="C11500" s="2889" t="s">
        <v>1475</v>
      </c>
      <c r="D11500" s="2889" t="s">
        <v>1054</v>
      </c>
      <c r="E11500" s="2889" t="s">
        <v>217</v>
      </c>
      <c r="F11500" s="2890">
        <v>1.7465896143108013E-2</v>
      </c>
      <c r="G11500" s="2890">
        <v>27.443679524689365</v>
      </c>
    </row>
    <row r="11501" spans="2:7" ht="15" hidden="1" outlineLevel="2">
      <c r="B11501" s="2889" t="s">
        <v>1636</v>
      </c>
      <c r="C11501" s="2889" t="s">
        <v>1476</v>
      </c>
      <c r="D11501" s="2889" t="s">
        <v>1054</v>
      </c>
      <c r="E11501" s="2889" t="s">
        <v>217</v>
      </c>
      <c r="F11501" s="2890">
        <v>4.3004331263589282E-2</v>
      </c>
      <c r="G11501" s="2890">
        <v>54.622198748411236</v>
      </c>
    </row>
    <row r="11502" spans="2:7" ht="15" hidden="1" outlineLevel="2">
      <c r="B11502" s="2889" t="s">
        <v>1636</v>
      </c>
      <c r="C11502" s="2889" t="s">
        <v>1477</v>
      </c>
      <c r="D11502" s="2889" t="s">
        <v>1054</v>
      </c>
      <c r="E11502" s="2889" t="s">
        <v>217</v>
      </c>
      <c r="F11502" s="2890">
        <v>1.6820883196031849E-2</v>
      </c>
      <c r="G11502" s="2890">
        <v>23.034190320711126</v>
      </c>
    </row>
    <row r="11503" spans="2:7" ht="15" hidden="1" outlineLevel="2">
      <c r="B11503" s="2889" t="s">
        <v>1636</v>
      </c>
      <c r="C11503" s="2889" t="s">
        <v>1478</v>
      </c>
      <c r="D11503" s="2889" t="s">
        <v>1054</v>
      </c>
      <c r="E11503" s="2889" t="s">
        <v>217</v>
      </c>
      <c r="F11503" s="2890">
        <v>9.0647797887975843E-4</v>
      </c>
      <c r="G11503" s="2890">
        <v>1.1959199792526203</v>
      </c>
    </row>
    <row r="11504" spans="2:7" ht="15" hidden="1" outlineLevel="2">
      <c r="B11504" s="2889" t="s">
        <v>1636</v>
      </c>
      <c r="C11504" s="2889" t="s">
        <v>1479</v>
      </c>
      <c r="D11504" s="2889" t="s">
        <v>1054</v>
      </c>
      <c r="E11504" s="2889" t="s">
        <v>217</v>
      </c>
      <c r="F11504" s="2890">
        <v>3.2052119073147284E-2</v>
      </c>
      <c r="G11504" s="2890">
        <v>48.22143993860842</v>
      </c>
    </row>
    <row r="11505" spans="2:7" ht="15" hidden="1" outlineLevel="2">
      <c r="B11505" s="2889" t="s">
        <v>1636</v>
      </c>
      <c r="C11505" s="2889" t="s">
        <v>1480</v>
      </c>
      <c r="D11505" s="2889" t="s">
        <v>1054</v>
      </c>
      <c r="E11505" s="2889" t="s">
        <v>217</v>
      </c>
      <c r="F11505" s="2890">
        <v>1.4429403233470984E-2</v>
      </c>
      <c r="G11505" s="2890">
        <v>16.608240302000493</v>
      </c>
    </row>
    <row r="11506" spans="2:7" ht="15" hidden="1" outlineLevel="2">
      <c r="B11506" s="2889" t="s">
        <v>1636</v>
      </c>
      <c r="C11506" s="2889" t="s">
        <v>1481</v>
      </c>
      <c r="D11506" s="2889" t="s">
        <v>1054</v>
      </c>
      <c r="E11506" s="2889" t="s">
        <v>217</v>
      </c>
      <c r="F11506" s="2890">
        <v>7.1400394219006555E-2</v>
      </c>
      <c r="G11506" s="2890">
        <v>100.43578218781363</v>
      </c>
    </row>
    <row r="11507" spans="2:7" ht="15" hidden="1" outlineLevel="2">
      <c r="B11507" s="2889" t="s">
        <v>1636</v>
      </c>
      <c r="C11507" s="2889" t="s">
        <v>1482</v>
      </c>
      <c r="D11507" s="2889" t="s">
        <v>1054</v>
      </c>
      <c r="E11507" s="2889" t="s">
        <v>217</v>
      </c>
      <c r="F11507" s="2890">
        <v>4.8118997927598522E-2</v>
      </c>
      <c r="G11507" s="2890">
        <v>48.113998625570822</v>
      </c>
    </row>
    <row r="11508" spans="2:7" ht="15" hidden="1" outlineLevel="2">
      <c r="B11508" s="2889" t="s">
        <v>1636</v>
      </c>
      <c r="C11508" s="2889" t="s">
        <v>1483</v>
      </c>
      <c r="D11508" s="2889" t="s">
        <v>1054</v>
      </c>
      <c r="E11508" s="2889" t="s">
        <v>217</v>
      </c>
      <c r="F11508" s="2890">
        <v>2.2862390492979934E-3</v>
      </c>
      <c r="G11508" s="2890">
        <v>3.8354411658239922</v>
      </c>
    </row>
    <row r="11509" spans="2:7" ht="15" hidden="1" outlineLevel="2">
      <c r="B11509" s="2889" t="s">
        <v>1636</v>
      </c>
      <c r="C11509" s="2889" t="s">
        <v>1484</v>
      </c>
      <c r="D11509" s="2889" t="s">
        <v>1054</v>
      </c>
      <c r="E11509" s="2889" t="s">
        <v>217</v>
      </c>
      <c r="F11509" s="2890">
        <v>4.7283028008247175E-3</v>
      </c>
      <c r="G11509" s="2890">
        <v>6.610965881657429</v>
      </c>
    </row>
    <row r="11510" spans="2:7" ht="15" hidden="1" outlineLevel="2">
      <c r="B11510" s="2889" t="s">
        <v>1636</v>
      </c>
      <c r="C11510" s="2889" t="s">
        <v>1485</v>
      </c>
      <c r="D11510" s="2889" t="s">
        <v>1054</v>
      </c>
      <c r="E11510" s="2889" t="s">
        <v>217</v>
      </c>
      <c r="F11510" s="2890">
        <v>2.0654320688585212E-3</v>
      </c>
      <c r="G11510" s="2890">
        <v>5.8277443009287921</v>
      </c>
    </row>
    <row r="11511" spans="2:7" ht="15" hidden="1" outlineLevel="2">
      <c r="B11511" s="2889" t="s">
        <v>1636</v>
      </c>
      <c r="C11511" s="2889" t="s">
        <v>1486</v>
      </c>
      <c r="D11511" s="2889" t="s">
        <v>1054</v>
      </c>
      <c r="E11511" s="2889" t="s">
        <v>217</v>
      </c>
      <c r="F11511" s="2890">
        <v>2.4062703613937737E-3</v>
      </c>
      <c r="G11511" s="2890">
        <v>13.919224995712563</v>
      </c>
    </row>
    <row r="11512" spans="2:7" ht="15" hidden="1" outlineLevel="2">
      <c r="B11512" s="2889" t="s">
        <v>1636</v>
      </c>
      <c r="C11512" s="2889" t="s">
        <v>1487</v>
      </c>
      <c r="D11512" s="2889" t="s">
        <v>1054</v>
      </c>
      <c r="E11512" s="2889" t="s">
        <v>217</v>
      </c>
      <c r="F11512" s="2890">
        <v>2.2764035889633771E-2</v>
      </c>
      <c r="G11512" s="2890">
        <v>32.984942815794071</v>
      </c>
    </row>
    <row r="11513" spans="2:7" ht="15" hidden="1" outlineLevel="2">
      <c r="B11513" s="2889" t="s">
        <v>1636</v>
      </c>
      <c r="C11513" s="2889" t="s">
        <v>1488</v>
      </c>
      <c r="D11513" s="2889" t="s">
        <v>1054</v>
      </c>
      <c r="E11513" s="2889" t="s">
        <v>217</v>
      </c>
      <c r="F11513" s="2890">
        <v>1.4119393301794148E-2</v>
      </c>
      <c r="G11513" s="2890">
        <v>22.638003707105074</v>
      </c>
    </row>
    <row r="11514" spans="2:7" ht="15" hidden="1" outlineLevel="2">
      <c r="B11514" s="2889" t="s">
        <v>1636</v>
      </c>
      <c r="C11514" s="2889" t="s">
        <v>1489</v>
      </c>
      <c r="D11514" s="2889" t="s">
        <v>1054</v>
      </c>
      <c r="E11514" s="2889" t="s">
        <v>217</v>
      </c>
      <c r="F11514" s="2890">
        <v>7.1098522677548988E-3</v>
      </c>
      <c r="G11514" s="2890">
        <v>7.4590178834742922</v>
      </c>
    </row>
    <row r="11515" spans="2:7" ht="15" hidden="1" outlineLevel="2">
      <c r="B11515" s="2889" t="s">
        <v>1636</v>
      </c>
      <c r="C11515" s="2889" t="s">
        <v>1490</v>
      </c>
      <c r="D11515" s="2889" t="s">
        <v>1054</v>
      </c>
      <c r="E11515" s="2889" t="s">
        <v>217</v>
      </c>
      <c r="F11515" s="2890">
        <v>3.3157763943667071E-3</v>
      </c>
      <c r="G11515" s="2890">
        <v>5.2692873499703339</v>
      </c>
    </row>
    <row r="11516" spans="2:7" ht="15" hidden="1" outlineLevel="2">
      <c r="B11516" s="2889" t="s">
        <v>1636</v>
      </c>
      <c r="C11516" s="2889" t="s">
        <v>1491</v>
      </c>
      <c r="D11516" s="2889" t="s">
        <v>1054</v>
      </c>
      <c r="E11516" s="2889" t="s">
        <v>1420</v>
      </c>
      <c r="F11516" s="2890">
        <v>6.3035370887999924E-4</v>
      </c>
      <c r="G11516" s="2890">
        <v>2.9846060372141054</v>
      </c>
    </row>
    <row r="11517" spans="2:7" ht="15" hidden="1" outlineLevel="2">
      <c r="B11517" s="2889" t="s">
        <v>1636</v>
      </c>
      <c r="C11517" s="2889" t="s">
        <v>1492</v>
      </c>
      <c r="D11517" s="2889" t="s">
        <v>1054</v>
      </c>
      <c r="E11517" s="2889" t="s">
        <v>1420</v>
      </c>
      <c r="F11517" s="2890">
        <v>4.6858459907692665E-4</v>
      </c>
      <c r="G11517" s="2890">
        <v>5.0087309989832756</v>
      </c>
    </row>
    <row r="11518" spans="2:7" ht="15" hidden="1" outlineLevel="2">
      <c r="B11518" s="2889" t="s">
        <v>1636</v>
      </c>
      <c r="C11518" s="2889" t="s">
        <v>1493</v>
      </c>
      <c r="D11518" s="2889" t="s">
        <v>1054</v>
      </c>
      <c r="E11518" s="2889" t="s">
        <v>1420</v>
      </c>
      <c r="F11518" s="2890">
        <v>3.4697894077065936E-4</v>
      </c>
      <c r="G11518" s="2890">
        <v>0.8285940199278955</v>
      </c>
    </row>
    <row r="11519" spans="2:7" ht="15" hidden="1" outlineLevel="2">
      <c r="B11519" s="2889" t="s">
        <v>1636</v>
      </c>
      <c r="C11519" s="2889" t="s">
        <v>1494</v>
      </c>
      <c r="D11519" s="2889" t="s">
        <v>1054</v>
      </c>
      <c r="E11519" s="2889" t="s">
        <v>1420</v>
      </c>
      <c r="F11519" s="2890">
        <v>9.461372264385289E-5</v>
      </c>
      <c r="G11519" s="2890">
        <v>0.51921569726230021</v>
      </c>
    </row>
    <row r="11520" spans="2:7" ht="15" hidden="1" outlineLevel="2">
      <c r="B11520" s="2889" t="s">
        <v>1636</v>
      </c>
      <c r="C11520" s="2889" t="s">
        <v>1495</v>
      </c>
      <c r="D11520" s="2889" t="s">
        <v>1054</v>
      </c>
      <c r="E11520" s="2889" t="s">
        <v>1420</v>
      </c>
      <c r="F11520" s="2890">
        <v>2.0475060023723516E-3</v>
      </c>
      <c r="G11520" s="2890">
        <v>9.1883611253191386</v>
      </c>
    </row>
    <row r="11521" spans="2:7" ht="15" hidden="1" outlineLevel="2">
      <c r="B11521" s="2889" t="s">
        <v>1636</v>
      </c>
      <c r="C11521" s="2889" t="s">
        <v>1496</v>
      </c>
      <c r="D11521" s="2889" t="s">
        <v>1054</v>
      </c>
      <c r="E11521" s="2889" t="s">
        <v>1420</v>
      </c>
      <c r="F11521" s="2890">
        <v>1.857560090550146E-3</v>
      </c>
      <c r="G11521" s="2890">
        <v>3.3083396339472642</v>
      </c>
    </row>
    <row r="11522" spans="2:7" ht="15" hidden="1" outlineLevel="2">
      <c r="B11522" s="2889" t="s">
        <v>1636</v>
      </c>
      <c r="C11522" s="2889" t="s">
        <v>1497</v>
      </c>
      <c r="D11522" s="2889" t="s">
        <v>1054</v>
      </c>
      <c r="E11522" s="2889" t="s">
        <v>1420</v>
      </c>
      <c r="F11522" s="2890">
        <v>5.1538724822974618E-4</v>
      </c>
      <c r="G11522" s="2890">
        <v>8.5007086479590672</v>
      </c>
    </row>
    <row r="11523" spans="2:7" ht="15" hidden="1" outlineLevel="2">
      <c r="B11523" s="2889" t="s">
        <v>1636</v>
      </c>
      <c r="C11523" s="2889" t="s">
        <v>1498</v>
      </c>
      <c r="D11523" s="2889" t="s">
        <v>1054</v>
      </c>
      <c r="E11523" s="2889" t="s">
        <v>1420</v>
      </c>
      <c r="F11523" s="2890">
        <v>1.4087937431657128E-3</v>
      </c>
      <c r="G11523" s="2890">
        <v>3.3298057575020943</v>
      </c>
    </row>
    <row r="11524" spans="2:7" ht="15" hidden="1" outlineLevel="2">
      <c r="B11524" s="2889" t="s">
        <v>1636</v>
      </c>
      <c r="C11524" s="2889" t="s">
        <v>1499</v>
      </c>
      <c r="D11524" s="2889" t="s">
        <v>1054</v>
      </c>
      <c r="E11524" s="2889" t="s">
        <v>1420</v>
      </c>
      <c r="F11524" s="2890">
        <v>2.1160673362665279E-4</v>
      </c>
      <c r="G11524" s="2890">
        <v>0.54481524858311581</v>
      </c>
    </row>
    <row r="11525" spans="2:7" ht="15" hidden="1" outlineLevel="2">
      <c r="B11525" s="2889" t="s">
        <v>1636</v>
      </c>
      <c r="C11525" s="2889" t="s">
        <v>1500</v>
      </c>
      <c r="D11525" s="2889" t="s">
        <v>1054</v>
      </c>
      <c r="E11525" s="2889" t="s">
        <v>1420</v>
      </c>
      <c r="F11525" s="2890">
        <v>1.5584547704402592E-3</v>
      </c>
      <c r="G11525" s="2890">
        <v>5.8937138081063516</v>
      </c>
    </row>
    <row r="11526" spans="2:7" ht="15" hidden="1" outlineLevel="2">
      <c r="B11526" s="2889" t="s">
        <v>1636</v>
      </c>
      <c r="C11526" s="2889" t="s">
        <v>1501</v>
      </c>
      <c r="D11526" s="2889" t="s">
        <v>1054</v>
      </c>
      <c r="E11526" s="2889" t="s">
        <v>1420</v>
      </c>
      <c r="F11526" s="2890">
        <v>1.9546397217534875E-3</v>
      </c>
      <c r="G11526" s="2890">
        <v>14.351503685548487</v>
      </c>
    </row>
    <row r="11527" spans="2:7" ht="15" hidden="1" outlineLevel="2">
      <c r="B11527" s="2889" t="s">
        <v>1636</v>
      </c>
      <c r="C11527" s="2889" t="s">
        <v>1502</v>
      </c>
      <c r="D11527" s="2889" t="s">
        <v>1054</v>
      </c>
      <c r="E11527" s="2889" t="s">
        <v>1420</v>
      </c>
      <c r="F11527" s="2890">
        <v>1.3638538311997505E-4</v>
      </c>
      <c r="G11527" s="2890">
        <v>1.4991777156190711</v>
      </c>
    </row>
    <row r="11528" spans="2:7" ht="15" hidden="1" outlineLevel="2">
      <c r="B11528" s="2889" t="s">
        <v>1636</v>
      </c>
      <c r="C11528" s="2889" t="s">
        <v>1503</v>
      </c>
      <c r="D11528" s="2889" t="s">
        <v>1054</v>
      </c>
      <c r="E11528" s="2889" t="s">
        <v>1420</v>
      </c>
      <c r="F11528" s="2890">
        <v>4.4978654958864623E-3</v>
      </c>
      <c r="G11528" s="2890">
        <v>12.418642371629225</v>
      </c>
    </row>
    <row r="11529" spans="2:7" ht="15" hidden="1" outlineLevel="2">
      <c r="B11529" s="2889" t="s">
        <v>1636</v>
      </c>
      <c r="C11529" s="2889" t="s">
        <v>1504</v>
      </c>
      <c r="D11529" s="2889" t="s">
        <v>1054</v>
      </c>
      <c r="E11529" s="2889" t="s">
        <v>1420</v>
      </c>
      <c r="F11529" s="2890">
        <v>2.3201289246222228E-3</v>
      </c>
      <c r="G11529" s="2890">
        <v>5.1356241463332513</v>
      </c>
    </row>
    <row r="11530" spans="2:7" ht="15" hidden="1" outlineLevel="2">
      <c r="B11530" s="2889" t="s">
        <v>1636</v>
      </c>
      <c r="C11530" s="2889" t="s">
        <v>1505</v>
      </c>
      <c r="D11530" s="2889" t="s">
        <v>1054</v>
      </c>
      <c r="E11530" s="2889" t="s">
        <v>1423</v>
      </c>
      <c r="F11530" s="2890">
        <v>6.5793774874574424E-3</v>
      </c>
      <c r="G11530" s="2890">
        <v>0.1628252796547337</v>
      </c>
    </row>
    <row r="11531" spans="2:7" ht="15" hidden="1" outlineLevel="2">
      <c r="B11531" s="2889" t="s">
        <v>1636</v>
      </c>
      <c r="C11531" s="2889" t="s">
        <v>1506</v>
      </c>
      <c r="D11531" s="2889" t="s">
        <v>1054</v>
      </c>
      <c r="E11531" s="2889" t="s">
        <v>1426</v>
      </c>
      <c r="F11531" s="2891"/>
      <c r="G11531" s="2890">
        <v>483.44729608395437</v>
      </c>
    </row>
    <row r="11532" spans="2:7" ht="15" hidden="1" outlineLevel="2">
      <c r="B11532" s="2889" t="s">
        <v>1636</v>
      </c>
      <c r="C11532" s="2889" t="s">
        <v>1507</v>
      </c>
      <c r="D11532" s="2889" t="s">
        <v>1054</v>
      </c>
      <c r="E11532" s="2889" t="s">
        <v>1426</v>
      </c>
      <c r="F11532" s="2891"/>
      <c r="G11532" s="2890">
        <v>0.7880521867316288</v>
      </c>
    </row>
    <row r="11533" spans="2:7" ht="15" hidden="1" outlineLevel="2">
      <c r="B11533" s="2889" t="s">
        <v>1636</v>
      </c>
      <c r="C11533" s="2889" t="s">
        <v>1508</v>
      </c>
      <c r="D11533" s="2889" t="s">
        <v>1054</v>
      </c>
      <c r="E11533" s="2889" t="s">
        <v>1426</v>
      </c>
      <c r="F11533" s="2891"/>
      <c r="G11533" s="2890">
        <v>12.982880868184967</v>
      </c>
    </row>
    <row r="11534" spans="2:7" ht="15" hidden="1" outlineLevel="2">
      <c r="B11534" s="2889" t="s">
        <v>1636</v>
      </c>
      <c r="C11534" s="2889" t="s">
        <v>1509</v>
      </c>
      <c r="D11534" s="2889" t="s">
        <v>1054</v>
      </c>
      <c r="E11534" s="2889" t="s">
        <v>1426</v>
      </c>
      <c r="F11534" s="2891"/>
      <c r="G11534" s="2890">
        <v>1210.1257431736922</v>
      </c>
    </row>
    <row r="11535" spans="2:7" ht="15" hidden="1" outlineLevel="2">
      <c r="B11535" s="2889" t="s">
        <v>1636</v>
      </c>
      <c r="C11535" s="2889" t="s">
        <v>1510</v>
      </c>
      <c r="D11535" s="2889" t="s">
        <v>1054</v>
      </c>
      <c r="E11535" s="2889" t="s">
        <v>1426</v>
      </c>
      <c r="F11535" s="2891"/>
      <c r="G11535" s="2890">
        <v>1316.3619082542227</v>
      </c>
    </row>
    <row r="11536" spans="2:7" ht="15" hidden="1" outlineLevel="2">
      <c r="B11536" s="2889" t="s">
        <v>1636</v>
      </c>
      <c r="C11536" s="2889" t="s">
        <v>1511</v>
      </c>
      <c r="D11536" s="2889" t="s">
        <v>1054</v>
      </c>
      <c r="E11536" s="2889" t="s">
        <v>1426</v>
      </c>
      <c r="F11536" s="2891"/>
      <c r="G11536" s="2890">
        <v>72.522878778626378</v>
      </c>
    </row>
    <row r="11537" spans="2:7" ht="15" hidden="1" outlineLevel="2">
      <c r="B11537" s="2889" t="s">
        <v>1636</v>
      </c>
      <c r="C11537" s="2889" t="s">
        <v>1512</v>
      </c>
      <c r="D11537" s="2889" t="s">
        <v>1054</v>
      </c>
      <c r="E11537" s="2889" t="s">
        <v>1426</v>
      </c>
      <c r="F11537" s="2891"/>
      <c r="G11537" s="2890">
        <v>44.763280068272543</v>
      </c>
    </row>
    <row r="11538" spans="2:7" ht="15" hidden="1" outlineLevel="2">
      <c r="B11538" s="2889" t="s">
        <v>1636</v>
      </c>
      <c r="C11538" s="2889" t="s">
        <v>1513</v>
      </c>
      <c r="D11538" s="2889" t="s">
        <v>1054</v>
      </c>
      <c r="E11538" s="2889" t="s">
        <v>1426</v>
      </c>
      <c r="F11538" s="2891"/>
      <c r="G11538" s="2890">
        <v>133.66089985389405</v>
      </c>
    </row>
    <row r="11539" spans="2:7" ht="15" hidden="1" outlineLevel="2">
      <c r="B11539" s="2889" t="s">
        <v>1636</v>
      </c>
      <c r="C11539" s="2889" t="s">
        <v>1514</v>
      </c>
      <c r="D11539" s="2889" t="s">
        <v>1054</v>
      </c>
      <c r="E11539" s="2889" t="s">
        <v>1426</v>
      </c>
      <c r="F11539" s="2891"/>
      <c r="G11539" s="2890">
        <v>574.0996435655037</v>
      </c>
    </row>
    <row r="11540" spans="2:7" ht="15" hidden="1" outlineLevel="2">
      <c r="B11540" s="2889" t="s">
        <v>1636</v>
      </c>
      <c r="C11540" s="2889" t="s">
        <v>1515</v>
      </c>
      <c r="D11540" s="2889" t="s">
        <v>1054</v>
      </c>
      <c r="E11540" s="2889" t="s">
        <v>1426</v>
      </c>
      <c r="F11540" s="2891"/>
      <c r="G11540" s="2890">
        <v>493.6584463804046</v>
      </c>
    </row>
    <row r="11541" spans="2:7" ht="15" hidden="1" outlineLevel="2">
      <c r="B11541" s="2889" t="s">
        <v>1636</v>
      </c>
      <c r="C11541" s="2889" t="s">
        <v>1516</v>
      </c>
      <c r="D11541" s="2889" t="s">
        <v>1054</v>
      </c>
      <c r="E11541" s="2889" t="s">
        <v>1426</v>
      </c>
      <c r="F11541" s="2891"/>
      <c r="G11541" s="2890">
        <v>4904.1746474850752</v>
      </c>
    </row>
    <row r="11542" spans="2:7" ht="15" hidden="1" outlineLevel="2">
      <c r="B11542" s="2889" t="s">
        <v>1636</v>
      </c>
      <c r="C11542" s="2889" t="s">
        <v>1517</v>
      </c>
      <c r="D11542" s="2889" t="s">
        <v>1054</v>
      </c>
      <c r="E11542" s="2889" t="s">
        <v>1426</v>
      </c>
      <c r="F11542" s="2891"/>
      <c r="G11542" s="2890">
        <v>40.679903894916407</v>
      </c>
    </row>
    <row r="11543" spans="2:7" ht="15" hidden="1" outlineLevel="2">
      <c r="B11543" s="2889" t="s">
        <v>1636</v>
      </c>
      <c r="C11543" s="2889" t="s">
        <v>1518</v>
      </c>
      <c r="D11543" s="2889" t="s">
        <v>1054</v>
      </c>
      <c r="E11543" s="2889" t="s">
        <v>1426</v>
      </c>
      <c r="F11543" s="2891"/>
      <c r="G11543" s="2890">
        <v>19.214977570029937</v>
      </c>
    </row>
    <row r="11544" spans="2:7" ht="15" hidden="1" outlineLevel="2">
      <c r="B11544" s="2889" t="s">
        <v>1636</v>
      </c>
      <c r="C11544" s="2889" t="s">
        <v>1519</v>
      </c>
      <c r="D11544" s="2889" t="s">
        <v>1054</v>
      </c>
      <c r="E11544" s="2889" t="s">
        <v>1426</v>
      </c>
      <c r="F11544" s="2891"/>
      <c r="G11544" s="2890">
        <v>1120.0713702148805</v>
      </c>
    </row>
    <row r="11545" spans="2:7" ht="15" hidden="1" outlineLevel="2">
      <c r="B11545" s="2889" t="s">
        <v>1636</v>
      </c>
      <c r="C11545" s="2889" t="s">
        <v>1520</v>
      </c>
      <c r="D11545" s="2889" t="s">
        <v>1054</v>
      </c>
      <c r="E11545" s="2889" t="s">
        <v>1426</v>
      </c>
      <c r="F11545" s="2891"/>
      <c r="G11545" s="2890">
        <v>1220.1281262823866</v>
      </c>
    </row>
    <row r="11546" spans="2:7" ht="15" hidden="1" outlineLevel="2">
      <c r="B11546" s="2889" t="s">
        <v>1636</v>
      </c>
      <c r="C11546" s="2889" t="s">
        <v>1521</v>
      </c>
      <c r="D11546" s="2889" t="s">
        <v>1054</v>
      </c>
      <c r="E11546" s="2889" t="s">
        <v>1426</v>
      </c>
      <c r="F11546" s="2891"/>
      <c r="G11546" s="2890">
        <v>4194.5096453725764</v>
      </c>
    </row>
    <row r="11547" spans="2:7" ht="15" hidden="1" outlineLevel="2">
      <c r="B11547" s="2889" t="s">
        <v>1636</v>
      </c>
      <c r="C11547" s="2889" t="s">
        <v>1522</v>
      </c>
      <c r="D11547" s="2889" t="s">
        <v>1054</v>
      </c>
      <c r="E11547" s="2889" t="s">
        <v>1426</v>
      </c>
      <c r="F11547" s="2891"/>
      <c r="G11547" s="2890">
        <v>197.47172497482308</v>
      </c>
    </row>
    <row r="11548" spans="2:7" ht="15" hidden="1" outlineLevel="2">
      <c r="B11548" s="2889" t="s">
        <v>1636</v>
      </c>
      <c r="C11548" s="2889" t="s">
        <v>1523</v>
      </c>
      <c r="D11548" s="2889" t="s">
        <v>1054</v>
      </c>
      <c r="E11548" s="2889" t="s">
        <v>1426</v>
      </c>
      <c r="F11548" s="2891"/>
      <c r="G11548" s="2890">
        <v>1569.7676999002151</v>
      </c>
    </row>
    <row r="11549" spans="2:7" ht="15" hidden="1" outlineLevel="2">
      <c r="B11549" s="2889" t="s">
        <v>1636</v>
      </c>
      <c r="C11549" s="2889" t="s">
        <v>1524</v>
      </c>
      <c r="D11549" s="2889" t="s">
        <v>1054</v>
      </c>
      <c r="E11549" s="2889" t="s">
        <v>1426</v>
      </c>
      <c r="F11549" s="2891"/>
      <c r="G11549" s="2890">
        <v>5337.9907409413763</v>
      </c>
    </row>
    <row r="11550" spans="2:7" ht="15" hidden="1" outlineLevel="2">
      <c r="B11550" s="2889" t="s">
        <v>1636</v>
      </c>
      <c r="C11550" s="2889" t="s">
        <v>1525</v>
      </c>
      <c r="D11550" s="2889" t="s">
        <v>1054</v>
      </c>
      <c r="E11550" s="2889" t="s">
        <v>1426</v>
      </c>
      <c r="F11550" s="2891"/>
      <c r="G11550" s="2890">
        <v>3237.1670112440925</v>
      </c>
    </row>
    <row r="11551" spans="2:7" ht="15" hidden="1" outlineLevel="2">
      <c r="B11551" s="2889" t="s">
        <v>1636</v>
      </c>
      <c r="C11551" s="2889" t="s">
        <v>1526</v>
      </c>
      <c r="D11551" s="2889" t="s">
        <v>1054</v>
      </c>
      <c r="E11551" s="2889" t="s">
        <v>1426</v>
      </c>
      <c r="F11551" s="2891"/>
      <c r="G11551" s="2890">
        <v>4885.3036095895077</v>
      </c>
    </row>
    <row r="11552" spans="2:7" ht="15" hidden="1" outlineLevel="2">
      <c r="B11552" s="2889" t="s">
        <v>1636</v>
      </c>
      <c r="C11552" s="2889" t="s">
        <v>1527</v>
      </c>
      <c r="D11552" s="2889" t="s">
        <v>1054</v>
      </c>
      <c r="E11552" s="2889" t="s">
        <v>1426</v>
      </c>
      <c r="F11552" s="2891"/>
      <c r="G11552" s="2890">
        <v>2219.6970039655635</v>
      </c>
    </row>
    <row r="11553" spans="2:7" ht="15" hidden="1" outlineLevel="2">
      <c r="B11553" s="2889" t="s">
        <v>1636</v>
      </c>
      <c r="C11553" s="2889" t="s">
        <v>1528</v>
      </c>
      <c r="D11553" s="2889" t="s">
        <v>1054</v>
      </c>
      <c r="E11553" s="2889" t="s">
        <v>1426</v>
      </c>
      <c r="F11553" s="2891"/>
      <c r="G11553" s="2890">
        <v>525.47264906577186</v>
      </c>
    </row>
    <row r="11554" spans="2:7" ht="15" hidden="1" outlineLevel="2">
      <c r="B11554" s="2889" t="s">
        <v>1636</v>
      </c>
      <c r="C11554" s="2889" t="s">
        <v>1529</v>
      </c>
      <c r="D11554" s="2889" t="s">
        <v>1054</v>
      </c>
      <c r="E11554" s="2889" t="s">
        <v>1426</v>
      </c>
      <c r="F11554" s="2891"/>
      <c r="G11554" s="2890">
        <v>6.8390553675287942</v>
      </c>
    </row>
    <row r="11555" spans="2:7" ht="15" hidden="1" outlineLevel="2">
      <c r="B11555" s="2889" t="s">
        <v>1636</v>
      </c>
      <c r="C11555" s="2889" t="s">
        <v>1530</v>
      </c>
      <c r="D11555" s="2889" t="s">
        <v>1054</v>
      </c>
      <c r="E11555" s="2889" t="s">
        <v>1426</v>
      </c>
      <c r="F11555" s="2891"/>
      <c r="G11555" s="2890">
        <v>503.52775726485152</v>
      </c>
    </row>
    <row r="11556" spans="2:7" ht="15" hidden="1" outlineLevel="2">
      <c r="B11556" s="2889" t="s">
        <v>1636</v>
      </c>
      <c r="C11556" s="2889" t="s">
        <v>1531</v>
      </c>
      <c r="D11556" s="2889" t="s">
        <v>1106</v>
      </c>
      <c r="E11556" s="2889" t="s">
        <v>217</v>
      </c>
      <c r="F11556" s="2890">
        <v>2.9141993244393322E-4</v>
      </c>
      <c r="G11556" s="2890">
        <v>0.13064309690123208</v>
      </c>
    </row>
    <row r="11557" spans="2:7" ht="15" hidden="1" outlineLevel="2">
      <c r="B11557" s="2889" t="s">
        <v>1636</v>
      </c>
      <c r="C11557" s="2889" t="s">
        <v>1532</v>
      </c>
      <c r="D11557" s="2889" t="s">
        <v>1106</v>
      </c>
      <c r="E11557" s="2889" t="s">
        <v>217</v>
      </c>
      <c r="F11557" s="2890">
        <v>2.295190420456418E-5</v>
      </c>
      <c r="G11557" s="2890">
        <v>1.0289286452678259E-2</v>
      </c>
    </row>
    <row r="11558" spans="2:7" ht="15" hidden="1" outlineLevel="2">
      <c r="B11558" s="2889" t="s">
        <v>1636</v>
      </c>
      <c r="C11558" s="2889" t="s">
        <v>1533</v>
      </c>
      <c r="D11558" s="2889" t="s">
        <v>1106</v>
      </c>
      <c r="E11558" s="2889" t="s">
        <v>217</v>
      </c>
      <c r="F11558" s="2890">
        <v>1.49373867446263E-2</v>
      </c>
      <c r="G11558" s="2890">
        <v>15.890699504536363</v>
      </c>
    </row>
    <row r="11559" spans="2:7" ht="15" hidden="1" outlineLevel="2">
      <c r="B11559" s="2889" t="s">
        <v>1636</v>
      </c>
      <c r="C11559" s="2889" t="s">
        <v>1534</v>
      </c>
      <c r="D11559" s="2889" t="s">
        <v>1106</v>
      </c>
      <c r="E11559" s="2889" t="s">
        <v>217</v>
      </c>
      <c r="F11559" s="2890">
        <v>1.358131409967772E-2</v>
      </c>
      <c r="G11559" s="2890">
        <v>47.056671666416712</v>
      </c>
    </row>
    <row r="11560" spans="2:7" ht="15" hidden="1" outlineLevel="2">
      <c r="B11560" s="2889" t="s">
        <v>1636</v>
      </c>
      <c r="C11560" s="2889" t="s">
        <v>1535</v>
      </c>
      <c r="D11560" s="2889" t="s">
        <v>1106</v>
      </c>
      <c r="E11560" s="2889" t="s">
        <v>217</v>
      </c>
      <c r="F11560" s="2890">
        <v>5.0814687674891135E-3</v>
      </c>
      <c r="G11560" s="2890">
        <v>11.884268872043833</v>
      </c>
    </row>
    <row r="11561" spans="2:7" ht="15" hidden="1" outlineLevel="2">
      <c r="B11561" s="2889" t="s">
        <v>1636</v>
      </c>
      <c r="C11561" s="2889" t="s">
        <v>1536</v>
      </c>
      <c r="D11561" s="2889" t="s">
        <v>1106</v>
      </c>
      <c r="E11561" s="2889" t="s">
        <v>217</v>
      </c>
      <c r="F11561" s="2890">
        <v>1.7048754330067015E-2</v>
      </c>
      <c r="G11561" s="2890">
        <v>22.151744844960856</v>
      </c>
    </row>
    <row r="11562" spans="2:7" ht="15" hidden="1" outlineLevel="2">
      <c r="B11562" s="2889" t="s">
        <v>1636</v>
      </c>
      <c r="C11562" s="2889" t="s">
        <v>1537</v>
      </c>
      <c r="D11562" s="2889" t="s">
        <v>1106</v>
      </c>
      <c r="E11562" s="2889" t="s">
        <v>217</v>
      </c>
      <c r="F11562" s="2890">
        <v>9.5428111670386171E-4</v>
      </c>
      <c r="G11562" s="2890">
        <v>1.0883745270054617</v>
      </c>
    </row>
    <row r="11563" spans="2:7" ht="15" hidden="1" outlineLevel="2">
      <c r="B11563" s="2889" t="s">
        <v>1636</v>
      </c>
      <c r="C11563" s="2889" t="s">
        <v>1538</v>
      </c>
      <c r="D11563" s="2889" t="s">
        <v>1106</v>
      </c>
      <c r="E11563" s="2889" t="s">
        <v>217</v>
      </c>
      <c r="F11563" s="2890">
        <v>4.5881660708079288E-4</v>
      </c>
      <c r="G11563" s="2890">
        <v>0.6180898021121467</v>
      </c>
    </row>
    <row r="11564" spans="2:7" ht="15" hidden="1" outlineLevel="2">
      <c r="B11564" s="2889" t="s">
        <v>1636</v>
      </c>
      <c r="C11564" s="2889" t="s">
        <v>1539</v>
      </c>
      <c r="D11564" s="2889" t="s">
        <v>1106</v>
      </c>
      <c r="E11564" s="2889" t="s">
        <v>217</v>
      </c>
      <c r="F11564" s="2890">
        <v>3.7497216011487389E-4</v>
      </c>
      <c r="G11564" s="2890">
        <v>4.7983015515885103</v>
      </c>
    </row>
    <row r="11565" spans="2:7" ht="15" hidden="1" outlineLevel="2">
      <c r="B11565" s="2889" t="s">
        <v>1636</v>
      </c>
      <c r="C11565" s="2889" t="s">
        <v>1540</v>
      </c>
      <c r="D11565" s="2889" t="s">
        <v>1106</v>
      </c>
      <c r="E11565" s="2889" t="s">
        <v>1420</v>
      </c>
      <c r="F11565" s="2890">
        <v>1.6588842660710541E-2</v>
      </c>
      <c r="G11565" s="2890">
        <v>40.255614039022973</v>
      </c>
    </row>
    <row r="11566" spans="2:7" ht="15" hidden="1" outlineLevel="2">
      <c r="B11566" s="2889" t="s">
        <v>1636</v>
      </c>
      <c r="C11566" s="2889" t="s">
        <v>1541</v>
      </c>
      <c r="D11566" s="2889" t="s">
        <v>1106</v>
      </c>
      <c r="E11566" s="2889" t="s">
        <v>1420</v>
      </c>
      <c r="F11566" s="2890">
        <v>0.48343816729823702</v>
      </c>
      <c r="G11566" s="2890">
        <v>3559.2190575800587</v>
      </c>
    </row>
    <row r="11567" spans="2:7" ht="15" hidden="1" outlineLevel="2">
      <c r="B11567" s="2889" t="s">
        <v>1636</v>
      </c>
      <c r="C11567" s="2889" t="s">
        <v>1542</v>
      </c>
      <c r="D11567" s="2889" t="s">
        <v>1106</v>
      </c>
      <c r="E11567" s="2889" t="s">
        <v>1420</v>
      </c>
      <c r="F11567" s="2890">
        <v>2.3514146227456012E-3</v>
      </c>
      <c r="G11567" s="2890">
        <v>26.907772250030781</v>
      </c>
    </row>
    <row r="11568" spans="2:7" ht="15" hidden="1" outlineLevel="2">
      <c r="B11568" s="2889" t="s">
        <v>1636</v>
      </c>
      <c r="C11568" s="2889" t="s">
        <v>1543</v>
      </c>
      <c r="D11568" s="2889" t="s">
        <v>1106</v>
      </c>
      <c r="E11568" s="2889" t="s">
        <v>1420</v>
      </c>
      <c r="F11568" s="2890">
        <v>8.5209500953712584E-4</v>
      </c>
      <c r="G11568" s="2890">
        <v>8.3401602296176041</v>
      </c>
    </row>
    <row r="11569" spans="2:7" ht="15" hidden="1" outlineLevel="2">
      <c r="B11569" s="2889" t="s">
        <v>1636</v>
      </c>
      <c r="C11569" s="2889" t="s">
        <v>1544</v>
      </c>
      <c r="D11569" s="2889" t="s">
        <v>1106</v>
      </c>
      <c r="E11569" s="2889" t="s">
        <v>1420</v>
      </c>
      <c r="F11569" s="2890">
        <v>8.2359878461067454E-4</v>
      </c>
      <c r="G11569" s="2890">
        <v>2.1519070645942646</v>
      </c>
    </row>
    <row r="11570" spans="2:7" ht="15" hidden="1" outlineLevel="2">
      <c r="B11570" s="2889" t="s">
        <v>1636</v>
      </c>
      <c r="C11570" s="2889" t="s">
        <v>1545</v>
      </c>
      <c r="D11570" s="2889" t="s">
        <v>1106</v>
      </c>
      <c r="E11570" s="2889" t="s">
        <v>1420</v>
      </c>
      <c r="F11570" s="2890">
        <v>8.2363361179773774E-4</v>
      </c>
      <c r="G11570" s="2890">
        <v>16.367795561529388</v>
      </c>
    </row>
    <row r="11571" spans="2:7" ht="15" hidden="1" outlineLevel="2">
      <c r="B11571" s="2889" t="s">
        <v>1636</v>
      </c>
      <c r="C11571" s="2889" t="s">
        <v>1546</v>
      </c>
      <c r="D11571" s="2889" t="s">
        <v>1106</v>
      </c>
      <c r="E11571" s="2889" t="s">
        <v>1423</v>
      </c>
      <c r="F11571" s="2890">
        <v>2.4967155539909465</v>
      </c>
      <c r="G11571" s="2890">
        <v>210.11312856061414</v>
      </c>
    </row>
    <row r="11572" spans="2:7" ht="15" hidden="1" outlineLevel="2">
      <c r="B11572" s="2889" t="s">
        <v>1636</v>
      </c>
      <c r="C11572" s="2889" t="s">
        <v>1547</v>
      </c>
      <c r="D11572" s="2889" t="s">
        <v>1106</v>
      </c>
      <c r="E11572" s="2889" t="s">
        <v>1423</v>
      </c>
      <c r="F11572" s="2890">
        <v>2.7270519409397747E-3</v>
      </c>
      <c r="G11572" s="2890">
        <v>0.23880126946794777</v>
      </c>
    </row>
    <row r="11573" spans="2:7" ht="15" hidden="1" outlineLevel="2">
      <c r="B11573" s="2889" t="s">
        <v>1636</v>
      </c>
      <c r="C11573" s="2889" t="s">
        <v>1548</v>
      </c>
      <c r="D11573" s="2889" t="s">
        <v>1106</v>
      </c>
      <c r="E11573" s="2889" t="s">
        <v>1423</v>
      </c>
      <c r="F11573" s="2890">
        <v>1.2724412749742899E-3</v>
      </c>
      <c r="G11573" s="2890">
        <v>0.1304121831264648</v>
      </c>
    </row>
    <row r="11574" spans="2:7" ht="15" hidden="1" outlineLevel="2">
      <c r="B11574" s="2889" t="s">
        <v>1636</v>
      </c>
      <c r="C11574" s="2889" t="s">
        <v>1549</v>
      </c>
      <c r="D11574" s="2889" t="s">
        <v>1106</v>
      </c>
      <c r="E11574" s="2889" t="s">
        <v>1423</v>
      </c>
      <c r="F11574" s="2890">
        <v>5.9251794879892931E-3</v>
      </c>
      <c r="G11574" s="2890">
        <v>0.5834760916552274</v>
      </c>
    </row>
    <row r="11575" spans="2:7" ht="15" hidden="1" outlineLevel="2">
      <c r="B11575" s="2889" t="s">
        <v>1636</v>
      </c>
      <c r="C11575" s="2889" t="s">
        <v>1550</v>
      </c>
      <c r="D11575" s="2889" t="s">
        <v>1106</v>
      </c>
      <c r="E11575" s="2889" t="s">
        <v>1423</v>
      </c>
      <c r="F11575" s="2890">
        <v>4.3332199909993461E-3</v>
      </c>
      <c r="G11575" s="2890">
        <v>0.97444687523748119</v>
      </c>
    </row>
    <row r="11576" spans="2:7" ht="15" hidden="1" outlineLevel="2">
      <c r="B11576" s="2889" t="s">
        <v>1636</v>
      </c>
      <c r="C11576" s="2889" t="s">
        <v>1551</v>
      </c>
      <c r="D11576" s="2889" t="s">
        <v>1106</v>
      </c>
      <c r="E11576" s="2889" t="s">
        <v>1426</v>
      </c>
      <c r="F11576" s="2891"/>
      <c r="G11576" s="2890">
        <v>65.494333771240917</v>
      </c>
    </row>
    <row r="11577" spans="2:7" ht="15" hidden="1" outlineLevel="2">
      <c r="B11577" s="2889" t="s">
        <v>1636</v>
      </c>
      <c r="C11577" s="2889" t="s">
        <v>1552</v>
      </c>
      <c r="D11577" s="2889" t="s">
        <v>1106</v>
      </c>
      <c r="E11577" s="2889" t="s">
        <v>1426</v>
      </c>
      <c r="F11577" s="2891"/>
      <c r="G11577" s="2890">
        <v>950.36023081743861</v>
      </c>
    </row>
    <row r="11578" spans="2:7" ht="15" hidden="1" outlineLevel="2">
      <c r="B11578" s="2889" t="s">
        <v>1636</v>
      </c>
      <c r="C11578" s="2889" t="s">
        <v>1553</v>
      </c>
      <c r="D11578" s="2889" t="s">
        <v>1106</v>
      </c>
      <c r="E11578" s="2889" t="s">
        <v>1426</v>
      </c>
      <c r="F11578" s="2891"/>
      <c r="G11578" s="2890">
        <v>414.80105583686117</v>
      </c>
    </row>
    <row r="11579" spans="2:7" ht="15" hidden="1" outlineLevel="2">
      <c r="B11579" s="2889" t="s">
        <v>1636</v>
      </c>
      <c r="C11579" s="2889" t="s">
        <v>1554</v>
      </c>
      <c r="D11579" s="2889" t="s">
        <v>1106</v>
      </c>
      <c r="E11579" s="2889" t="s">
        <v>1426</v>
      </c>
      <c r="F11579" s="2891"/>
      <c r="G11579" s="2890">
        <v>421.01852841800468</v>
      </c>
    </row>
    <row r="11580" spans="2:7" ht="15" hidden="1" outlineLevel="2">
      <c r="B11580" s="2889" t="s">
        <v>1636</v>
      </c>
      <c r="C11580" s="2889" t="s">
        <v>1555</v>
      </c>
      <c r="D11580" s="2889" t="s">
        <v>1106</v>
      </c>
      <c r="E11580" s="2889" t="s">
        <v>1426</v>
      </c>
      <c r="F11580" s="2891"/>
      <c r="G11580" s="2890">
        <v>16.18545329909329</v>
      </c>
    </row>
    <row r="11581" spans="2:7" ht="15" hidden="1" outlineLevel="2">
      <c r="B11581" s="2889" t="s">
        <v>1636</v>
      </c>
      <c r="C11581" s="2889" t="s">
        <v>1556</v>
      </c>
      <c r="D11581" s="2889" t="s">
        <v>1106</v>
      </c>
      <c r="E11581" s="2889" t="s">
        <v>1426</v>
      </c>
      <c r="F11581" s="2891"/>
      <c r="G11581" s="2890">
        <v>1697.1855198050157</v>
      </c>
    </row>
    <row r="11582" spans="2:7" ht="15" hidden="1" outlineLevel="2">
      <c r="B11582" s="2889" t="s">
        <v>1636</v>
      </c>
      <c r="C11582" s="2889" t="s">
        <v>1557</v>
      </c>
      <c r="D11582" s="2889" t="s">
        <v>1106</v>
      </c>
      <c r="E11582" s="2889" t="s">
        <v>1426</v>
      </c>
      <c r="F11582" s="2891"/>
      <c r="G11582" s="2890">
        <v>598.32503580396838</v>
      </c>
    </row>
    <row r="11583" spans="2:7" ht="15" hidden="1" outlineLevel="2">
      <c r="B11583" s="2889" t="s">
        <v>1636</v>
      </c>
      <c r="C11583" s="2889" t="s">
        <v>1558</v>
      </c>
      <c r="D11583" s="2889" t="s">
        <v>1559</v>
      </c>
      <c r="E11583" s="2889" t="s">
        <v>217</v>
      </c>
      <c r="F11583" s="2890">
        <v>6.6375895025229965E-3</v>
      </c>
      <c r="G11583" s="2890">
        <v>3.6350869764318228</v>
      </c>
    </row>
    <row r="11584" spans="2:7" ht="15" hidden="1" outlineLevel="2">
      <c r="B11584" s="2889" t="s">
        <v>1636</v>
      </c>
      <c r="C11584" s="2889" t="s">
        <v>1560</v>
      </c>
      <c r="D11584" s="2889" t="s">
        <v>1559</v>
      </c>
      <c r="E11584" s="2889" t="s">
        <v>217</v>
      </c>
      <c r="F11584" s="2890">
        <v>1.4317684308860086E-2</v>
      </c>
      <c r="G11584" s="2890">
        <v>7.726850166205379</v>
      </c>
    </row>
    <row r="11585" spans="2:7" ht="15" hidden="1" outlineLevel="2">
      <c r="B11585" s="2889" t="s">
        <v>1636</v>
      </c>
      <c r="C11585" s="2889" t="s">
        <v>1561</v>
      </c>
      <c r="D11585" s="2889" t="s">
        <v>1559</v>
      </c>
      <c r="E11585" s="2889" t="s">
        <v>217</v>
      </c>
      <c r="F11585" s="2890">
        <v>9.5235074282028181E-2</v>
      </c>
      <c r="G11585" s="2890">
        <v>49.658225856263527</v>
      </c>
    </row>
    <row r="11586" spans="2:7" ht="15" hidden="1" outlineLevel="2">
      <c r="B11586" s="2889" t="s">
        <v>1636</v>
      </c>
      <c r="C11586" s="2889" t="s">
        <v>1562</v>
      </c>
      <c r="D11586" s="2889" t="s">
        <v>1559</v>
      </c>
      <c r="E11586" s="2889" t="s">
        <v>217</v>
      </c>
      <c r="F11586" s="2890">
        <v>0.15682649136068019</v>
      </c>
      <c r="G11586" s="2890">
        <v>85.991571458846579</v>
      </c>
    </row>
    <row r="11587" spans="2:7" ht="15" hidden="1" outlineLevel="2">
      <c r="B11587" s="2889" t="s">
        <v>1636</v>
      </c>
      <c r="C11587" s="2889" t="s">
        <v>1563</v>
      </c>
      <c r="D11587" s="2889" t="s">
        <v>1559</v>
      </c>
      <c r="E11587" s="2889" t="s">
        <v>217</v>
      </c>
      <c r="F11587" s="2890">
        <v>0.11742960526167431</v>
      </c>
      <c r="G11587" s="2890">
        <v>69.201194745933918</v>
      </c>
    </row>
    <row r="11588" spans="2:7" ht="15" hidden="1" outlineLevel="2">
      <c r="B11588" s="2889" t="s">
        <v>1636</v>
      </c>
      <c r="C11588" s="2889" t="s">
        <v>1564</v>
      </c>
      <c r="D11588" s="2889" t="s">
        <v>1559</v>
      </c>
      <c r="E11588" s="2889" t="s">
        <v>217</v>
      </c>
      <c r="F11588" s="2890">
        <v>0.14809426589085195</v>
      </c>
      <c r="G11588" s="2890">
        <v>74.983179006339142</v>
      </c>
    </row>
    <row r="11589" spans="2:7" ht="15" hidden="1" outlineLevel="2">
      <c r="B11589" s="2889" t="s">
        <v>1636</v>
      </c>
      <c r="C11589" s="2889" t="s">
        <v>1565</v>
      </c>
      <c r="D11589" s="2889" t="s">
        <v>1559</v>
      </c>
      <c r="E11589" s="2889" t="s">
        <v>217</v>
      </c>
      <c r="F11589" s="2890">
        <v>8.2771768823201822E-2</v>
      </c>
      <c r="G11589" s="2890">
        <v>44.537775668977609</v>
      </c>
    </row>
    <row r="11590" spans="2:7" ht="15" hidden="1" outlineLevel="2">
      <c r="B11590" s="2889" t="s">
        <v>1636</v>
      </c>
      <c r="C11590" s="2889" t="s">
        <v>1566</v>
      </c>
      <c r="D11590" s="2889" t="s">
        <v>1559</v>
      </c>
      <c r="E11590" s="2889" t="s">
        <v>217</v>
      </c>
      <c r="F11590" s="2890">
        <v>0.13070948389985065</v>
      </c>
      <c r="G11590" s="2890">
        <v>70.016445793809979</v>
      </c>
    </row>
    <row r="11591" spans="2:7" ht="15" hidden="1" outlineLevel="2">
      <c r="B11591" s="2889" t="s">
        <v>1636</v>
      </c>
      <c r="C11591" s="2889" t="s">
        <v>1567</v>
      </c>
      <c r="D11591" s="2889" t="s">
        <v>1559</v>
      </c>
      <c r="E11591" s="2889" t="s">
        <v>217</v>
      </c>
      <c r="F11591" s="2890">
        <v>0.14400923034185256</v>
      </c>
      <c r="G11591" s="2890">
        <v>21.197394835948202</v>
      </c>
    </row>
    <row r="11592" spans="2:7" ht="15" hidden="1" outlineLevel="2">
      <c r="B11592" s="2889" t="s">
        <v>1636</v>
      </c>
      <c r="C11592" s="2889" t="s">
        <v>1568</v>
      </c>
      <c r="D11592" s="2889" t="s">
        <v>1559</v>
      </c>
      <c r="E11592" s="2889" t="s">
        <v>217</v>
      </c>
      <c r="F11592" s="2890">
        <v>0.15199872166775952</v>
      </c>
      <c r="G11592" s="2890">
        <v>22.373642561234554</v>
      </c>
    </row>
    <row r="11593" spans="2:7" ht="15" hidden="1" outlineLevel="2">
      <c r="B11593" s="2889" t="s">
        <v>1636</v>
      </c>
      <c r="C11593" s="2889" t="s">
        <v>1569</v>
      </c>
      <c r="D11593" s="2889" t="s">
        <v>1559</v>
      </c>
      <c r="E11593" s="2889" t="s">
        <v>217</v>
      </c>
      <c r="F11593" s="2890">
        <v>6.403495857478837E-5</v>
      </c>
      <c r="G11593" s="2890">
        <v>3.2003425616917602E-2</v>
      </c>
    </row>
    <row r="11594" spans="2:7" ht="15" hidden="1" outlineLevel="2">
      <c r="B11594" s="2889" t="s">
        <v>1636</v>
      </c>
      <c r="C11594" s="2889" t="s">
        <v>1570</v>
      </c>
      <c r="D11594" s="2889" t="s">
        <v>1559</v>
      </c>
      <c r="E11594" s="2889" t="s">
        <v>217</v>
      </c>
      <c r="F11594" s="2890">
        <v>1.002011592574815</v>
      </c>
      <c r="G11594" s="2890">
        <v>620.38203771528606</v>
      </c>
    </row>
    <row r="11595" spans="2:7" ht="15" hidden="1" outlineLevel="2">
      <c r="B11595" s="2889" t="s">
        <v>1636</v>
      </c>
      <c r="C11595" s="2889" t="s">
        <v>1571</v>
      </c>
      <c r="D11595" s="2889" t="s">
        <v>1559</v>
      </c>
      <c r="E11595" s="2889" t="s">
        <v>217</v>
      </c>
      <c r="F11595" s="2890">
        <v>0.18377139851382257</v>
      </c>
      <c r="G11595" s="2890">
        <v>218.5747888909969</v>
      </c>
    </row>
    <row r="11596" spans="2:7" ht="15" hidden="1" outlineLevel="2">
      <c r="B11596" s="2889" t="s">
        <v>1636</v>
      </c>
      <c r="C11596" s="2889" t="s">
        <v>1572</v>
      </c>
      <c r="D11596" s="2889" t="s">
        <v>1559</v>
      </c>
      <c r="E11596" s="2889" t="s">
        <v>217</v>
      </c>
      <c r="F11596" s="2890">
        <v>8.4705299187257527E-2</v>
      </c>
      <c r="G11596" s="2890">
        <v>52.019863971807141</v>
      </c>
    </row>
    <row r="11597" spans="2:7" ht="15" hidden="1" outlineLevel="2">
      <c r="B11597" s="2889" t="s">
        <v>1636</v>
      </c>
      <c r="C11597" s="2889" t="s">
        <v>1573</v>
      </c>
      <c r="D11597" s="2889" t="s">
        <v>1559</v>
      </c>
      <c r="E11597" s="2889" t="s">
        <v>217</v>
      </c>
      <c r="F11597" s="2890">
        <v>0.14895866854300394</v>
      </c>
      <c r="G11597" s="2890">
        <v>111.25659498579671</v>
      </c>
    </row>
    <row r="11598" spans="2:7" ht="15" hidden="1" outlineLevel="2">
      <c r="B11598" s="2889" t="s">
        <v>1636</v>
      </c>
      <c r="C11598" s="2889" t="s">
        <v>1574</v>
      </c>
      <c r="D11598" s="2889" t="s">
        <v>1559</v>
      </c>
      <c r="E11598" s="2889" t="s">
        <v>217</v>
      </c>
      <c r="F11598" s="2890">
        <v>4.5911402718409461E-3</v>
      </c>
      <c r="G11598" s="2890">
        <v>3.4536585158607314</v>
      </c>
    </row>
    <row r="11599" spans="2:7" ht="15" hidden="1" outlineLevel="2">
      <c r="B11599" s="2889" t="s">
        <v>1636</v>
      </c>
      <c r="C11599" s="2889" t="s">
        <v>1575</v>
      </c>
      <c r="D11599" s="2889" t="s">
        <v>1559</v>
      </c>
      <c r="E11599" s="2889" t="s">
        <v>217</v>
      </c>
      <c r="F11599" s="2890">
        <v>4.083815621789005E-3</v>
      </c>
      <c r="G11599" s="2890">
        <v>5.0632577985168288</v>
      </c>
    </row>
    <row r="11600" spans="2:7" ht="15" hidden="1" outlineLevel="2">
      <c r="B11600" s="2889" t="s">
        <v>1636</v>
      </c>
      <c r="C11600" s="2889" t="s">
        <v>1576</v>
      </c>
      <c r="D11600" s="2889" t="s">
        <v>1559</v>
      </c>
      <c r="E11600" s="2889" t="s">
        <v>217</v>
      </c>
      <c r="F11600" s="2890">
        <v>8.7381310020513015E-3</v>
      </c>
      <c r="G11600" s="2890">
        <v>6.5889616972277905</v>
      </c>
    </row>
    <row r="11601" spans="2:7" ht="15" hidden="1" outlineLevel="2">
      <c r="B11601" s="2889" t="s">
        <v>1636</v>
      </c>
      <c r="C11601" s="2889" t="s">
        <v>1577</v>
      </c>
      <c r="D11601" s="2889" t="s">
        <v>1559</v>
      </c>
      <c r="E11601" s="2889" t="s">
        <v>217</v>
      </c>
      <c r="F11601" s="2890">
        <v>0.13406674422057993</v>
      </c>
      <c r="G11601" s="2890">
        <v>208.8854248164123</v>
      </c>
    </row>
    <row r="11602" spans="2:7" ht="15" hidden="1" outlineLevel="2">
      <c r="B11602" s="2889" t="s">
        <v>1636</v>
      </c>
      <c r="C11602" s="2889" t="s">
        <v>1578</v>
      </c>
      <c r="D11602" s="2889" t="s">
        <v>1559</v>
      </c>
      <c r="E11602" s="2889" t="s">
        <v>217</v>
      </c>
      <c r="F11602" s="2890">
        <v>0.12568791349838898</v>
      </c>
      <c r="G11602" s="2890">
        <v>68.485562519634001</v>
      </c>
    </row>
    <row r="11603" spans="2:7" ht="15" hidden="1" outlineLevel="2">
      <c r="B11603" s="2889" t="s">
        <v>1636</v>
      </c>
      <c r="C11603" s="2889" t="s">
        <v>1579</v>
      </c>
      <c r="D11603" s="2889" t="s">
        <v>1559</v>
      </c>
      <c r="E11603" s="2889" t="s">
        <v>217</v>
      </c>
      <c r="F11603" s="2890">
        <v>0.13267653081254621</v>
      </c>
      <c r="G11603" s="2890">
        <v>72.285757447234374</v>
      </c>
    </row>
    <row r="11604" spans="2:7" ht="15" hidden="1" outlineLevel="2">
      <c r="B11604" s="2889" t="s">
        <v>1636</v>
      </c>
      <c r="C11604" s="2889" t="s">
        <v>1580</v>
      </c>
      <c r="D11604" s="2889" t="s">
        <v>1559</v>
      </c>
      <c r="E11604" s="2889" t="s">
        <v>217</v>
      </c>
      <c r="F11604" s="2890">
        <v>9.856198544708232E-2</v>
      </c>
      <c r="G11604" s="2890">
        <v>124.47733764400783</v>
      </c>
    </row>
    <row r="11605" spans="2:7" ht="15" hidden="1" outlineLevel="2">
      <c r="B11605" s="2889" t="s">
        <v>1636</v>
      </c>
      <c r="C11605" s="2889" t="s">
        <v>1581</v>
      </c>
      <c r="D11605" s="2889" t="s">
        <v>1559</v>
      </c>
      <c r="E11605" s="2889" t="s">
        <v>217</v>
      </c>
      <c r="F11605" s="2890">
        <v>1.7123567851558781E-2</v>
      </c>
      <c r="G11605" s="2890">
        <v>24.133145613258186</v>
      </c>
    </row>
    <row r="11606" spans="2:7" ht="15" hidden="1" outlineLevel="2">
      <c r="B11606" s="2889" t="s">
        <v>1636</v>
      </c>
      <c r="C11606" s="2889" t="s">
        <v>1582</v>
      </c>
      <c r="D11606" s="2889" t="s">
        <v>1559</v>
      </c>
      <c r="E11606" s="2889" t="s">
        <v>217</v>
      </c>
      <c r="F11606" s="2890">
        <v>2.4135081813704617E-2</v>
      </c>
      <c r="G11606" s="2890">
        <v>27.468490089060108</v>
      </c>
    </row>
    <row r="11607" spans="2:7" ht="15" hidden="1" outlineLevel="2">
      <c r="B11607" s="2889" t="s">
        <v>1636</v>
      </c>
      <c r="C11607" s="2889" t="s">
        <v>1583</v>
      </c>
      <c r="D11607" s="2889" t="s">
        <v>1559</v>
      </c>
      <c r="E11607" s="2889" t="s">
        <v>217</v>
      </c>
      <c r="F11607" s="2890">
        <v>1.8600090557698519E-2</v>
      </c>
      <c r="G11607" s="2890">
        <v>12.791118413965359</v>
      </c>
    </row>
    <row r="11608" spans="2:7" ht="15" hidden="1" outlineLevel="2">
      <c r="B11608" s="2889" t="s">
        <v>1636</v>
      </c>
      <c r="C11608" s="2889" t="s">
        <v>1584</v>
      </c>
      <c r="D11608" s="2889" t="s">
        <v>1559</v>
      </c>
      <c r="E11608" s="2889" t="s">
        <v>217</v>
      </c>
      <c r="F11608" s="2890">
        <v>1.3179682021477612</v>
      </c>
      <c r="G11608" s="2890">
        <v>1668.5312795365742</v>
      </c>
    </row>
    <row r="11609" spans="2:7" ht="15" hidden="1" outlineLevel="2">
      <c r="B11609" s="2889" t="s">
        <v>1636</v>
      </c>
      <c r="C11609" s="2889" t="s">
        <v>1585</v>
      </c>
      <c r="D11609" s="2889" t="s">
        <v>1559</v>
      </c>
      <c r="E11609" s="2889" t="s">
        <v>217</v>
      </c>
      <c r="F11609" s="2890">
        <v>0.23266843635139792</v>
      </c>
      <c r="G11609" s="2890">
        <v>327.97978264446658</v>
      </c>
    </row>
    <row r="11610" spans="2:7" ht="15" hidden="1" outlineLevel="2">
      <c r="B11610" s="2889" t="s">
        <v>1636</v>
      </c>
      <c r="C11610" s="2889" t="s">
        <v>1586</v>
      </c>
      <c r="D11610" s="2889" t="s">
        <v>1559</v>
      </c>
      <c r="E11610" s="2889" t="s">
        <v>217</v>
      </c>
      <c r="F11610" s="2890">
        <v>2.6193693668600432E-2</v>
      </c>
      <c r="G11610" s="2890">
        <v>54.910670559544528</v>
      </c>
    </row>
    <row r="11611" spans="2:7" ht="15" hidden="1" outlineLevel="2">
      <c r="B11611" s="2889" t="s">
        <v>1636</v>
      </c>
      <c r="C11611" s="2889" t="s">
        <v>1587</v>
      </c>
      <c r="D11611" s="2889" t="s">
        <v>1559</v>
      </c>
      <c r="E11611" s="2889" t="s">
        <v>217</v>
      </c>
      <c r="F11611" s="2890">
        <v>0.72865778340282439</v>
      </c>
      <c r="G11611" s="2890">
        <v>1058.084438920474</v>
      </c>
    </row>
    <row r="11612" spans="2:7" ht="15" hidden="1" outlineLevel="2">
      <c r="B11612" s="2889" t="s">
        <v>1636</v>
      </c>
      <c r="C11612" s="2889" t="s">
        <v>1588</v>
      </c>
      <c r="D11612" s="2889" t="s">
        <v>1559</v>
      </c>
      <c r="E11612" s="2889" t="s">
        <v>217</v>
      </c>
      <c r="F11612" s="2890">
        <v>7.5797849030905862E-2</v>
      </c>
      <c r="G11612" s="2890">
        <v>59.101526911879311</v>
      </c>
    </row>
    <row r="11613" spans="2:7" ht="15" hidden="1" outlineLevel="2">
      <c r="B11613" s="2889" t="s">
        <v>1636</v>
      </c>
      <c r="C11613" s="2889" t="s">
        <v>1589</v>
      </c>
      <c r="D11613" s="2889" t="s">
        <v>1559</v>
      </c>
      <c r="E11613" s="2889" t="s">
        <v>217</v>
      </c>
      <c r="F11613" s="2890">
        <v>4.1495258994724761E-2</v>
      </c>
      <c r="G11613" s="2890">
        <v>32.419269805368188</v>
      </c>
    </row>
    <row r="11614" spans="2:7" ht="15" hidden="1" outlineLevel="2">
      <c r="B11614" s="2889" t="s">
        <v>1636</v>
      </c>
      <c r="C11614" s="2889" t="s">
        <v>1590</v>
      </c>
      <c r="D11614" s="2889" t="s">
        <v>1559</v>
      </c>
      <c r="E11614" s="2889" t="s">
        <v>1420</v>
      </c>
      <c r="F11614" s="2890">
        <v>2.0420170342443163E-3</v>
      </c>
      <c r="G11614" s="2890">
        <v>18.215633151079398</v>
      </c>
    </row>
    <row r="11615" spans="2:7" ht="15" hidden="1" outlineLevel="2">
      <c r="B11615" s="2889" t="s">
        <v>1636</v>
      </c>
      <c r="C11615" s="2889" t="s">
        <v>1591</v>
      </c>
      <c r="D11615" s="2889" t="s">
        <v>1559</v>
      </c>
      <c r="E11615" s="2889" t="s">
        <v>1426</v>
      </c>
      <c r="F11615" s="2891"/>
      <c r="G11615" s="2890">
        <v>2.8315657555904029E-2</v>
      </c>
    </row>
    <row r="11616" spans="2:7" ht="15" hidden="1" outlineLevel="2">
      <c r="B11616" s="2889" t="s">
        <v>1636</v>
      </c>
      <c r="C11616" s="2889" t="s">
        <v>1592</v>
      </c>
      <c r="D11616" s="2889" t="s">
        <v>1559</v>
      </c>
      <c r="E11616" s="2889" t="s">
        <v>1426</v>
      </c>
      <c r="F11616" s="2891"/>
      <c r="G11616" s="2890">
        <v>7.5671357898725056</v>
      </c>
    </row>
    <row r="11617" spans="2:7" ht="15" hidden="1" outlineLevel="2">
      <c r="B11617" s="2889" t="s">
        <v>1636</v>
      </c>
      <c r="C11617" s="2889" t="s">
        <v>1593</v>
      </c>
      <c r="D11617" s="2889" t="s">
        <v>1559</v>
      </c>
      <c r="E11617" s="2889" t="s">
        <v>1426</v>
      </c>
      <c r="F11617" s="2891"/>
      <c r="G11617" s="2890">
        <v>198.00599656117365</v>
      </c>
    </row>
    <row r="11618" spans="2:7" ht="15" hidden="1" outlineLevel="2">
      <c r="B11618" s="2889" t="s">
        <v>1636</v>
      </c>
      <c r="C11618" s="2889" t="s">
        <v>1594</v>
      </c>
      <c r="D11618" s="2889" t="s">
        <v>1559</v>
      </c>
      <c r="E11618" s="2889" t="s">
        <v>1426</v>
      </c>
      <c r="F11618" s="2891"/>
      <c r="G11618" s="2890">
        <v>40.861745300020679</v>
      </c>
    </row>
    <row r="11619" spans="2:7" ht="15" hidden="1" outlineLevel="2">
      <c r="B11619" s="2889" t="s">
        <v>1636</v>
      </c>
      <c r="C11619" s="2889" t="s">
        <v>1595</v>
      </c>
      <c r="D11619" s="2889" t="s">
        <v>1559</v>
      </c>
      <c r="E11619" s="2889" t="s">
        <v>1426</v>
      </c>
      <c r="F11619" s="2891"/>
      <c r="G11619" s="2890">
        <v>269.57999294508249</v>
      </c>
    </row>
    <row r="11620" spans="2:7" ht="15" hidden="1" outlineLevel="2">
      <c r="B11620" s="2889" t="s">
        <v>1636</v>
      </c>
      <c r="C11620" s="2889" t="s">
        <v>1596</v>
      </c>
      <c r="D11620" s="2889" t="s">
        <v>1559</v>
      </c>
      <c r="E11620" s="2889" t="s">
        <v>1426</v>
      </c>
      <c r="F11620" s="2891"/>
      <c r="G11620" s="2890">
        <v>31.785793891183808</v>
      </c>
    </row>
    <row r="11621" spans="2:7" ht="15" hidden="1" outlineLevel="2">
      <c r="B11621" s="2889" t="s">
        <v>1636</v>
      </c>
      <c r="C11621" s="2889" t="s">
        <v>1597</v>
      </c>
      <c r="D11621" s="2889" t="s">
        <v>1559</v>
      </c>
      <c r="E11621" s="2889" t="s">
        <v>1426</v>
      </c>
      <c r="F11621" s="2891"/>
      <c r="G11621" s="2890">
        <v>0.75715760812675015</v>
      </c>
    </row>
    <row r="11622" spans="2:7" ht="15" hidden="1" outlineLevel="2">
      <c r="B11622" s="2889" t="s">
        <v>1636</v>
      </c>
      <c r="C11622" s="2889" t="s">
        <v>1598</v>
      </c>
      <c r="D11622" s="2889" t="s">
        <v>1599</v>
      </c>
      <c r="E11622" s="2889" t="s">
        <v>217</v>
      </c>
      <c r="F11622" s="2890">
        <v>1.4494954078327848E-3</v>
      </c>
      <c r="G11622" s="2890">
        <v>0.83824120321322126</v>
      </c>
    </row>
    <row r="11623" spans="2:7" ht="15" hidden="1" outlineLevel="2">
      <c r="B11623" s="2889" t="s">
        <v>1636</v>
      </c>
      <c r="C11623" s="2889" t="s">
        <v>1600</v>
      </c>
      <c r="D11623" s="2889" t="s">
        <v>1599</v>
      </c>
      <c r="E11623" s="2889" t="s">
        <v>217</v>
      </c>
      <c r="F11623" s="2890">
        <v>1.7046453660849914E-3</v>
      </c>
      <c r="G11623" s="2890">
        <v>1.8874282448024666</v>
      </c>
    </row>
    <row r="11624" spans="2:7" ht="15" hidden="1" outlineLevel="2">
      <c r="B11624" s="2889" t="s">
        <v>1636</v>
      </c>
      <c r="C11624" s="2889" t="s">
        <v>1601</v>
      </c>
      <c r="D11624" s="2889" t="s">
        <v>1599</v>
      </c>
      <c r="E11624" s="2889" t="s">
        <v>217</v>
      </c>
      <c r="F11624" s="2890">
        <v>1.7486093662297707E-5</v>
      </c>
      <c r="G11624" s="2890">
        <v>2.217300846743216E-2</v>
      </c>
    </row>
    <row r="11625" spans="2:7" ht="15" hidden="1" outlineLevel="2">
      <c r="B11625" s="2889" t="s">
        <v>1636</v>
      </c>
      <c r="C11625" s="2889" t="s">
        <v>1602</v>
      </c>
      <c r="D11625" s="2889" t="s">
        <v>1599</v>
      </c>
      <c r="E11625" s="2889" t="s">
        <v>1426</v>
      </c>
      <c r="F11625" s="2891"/>
      <c r="G11625" s="2890">
        <v>25.117736361345759</v>
      </c>
    </row>
    <row r="11626" spans="2:7" ht="15" hidden="1" outlineLevel="2">
      <c r="B11626" s="2889" t="s">
        <v>1636</v>
      </c>
      <c r="C11626" s="2889" t="s">
        <v>1603</v>
      </c>
      <c r="D11626" s="2889" t="s">
        <v>1604</v>
      </c>
      <c r="E11626" s="2889" t="s">
        <v>217</v>
      </c>
      <c r="F11626" s="2890">
        <v>2.8661987182845824E-34</v>
      </c>
      <c r="G11626" s="2890">
        <v>3.3224387853505758E-31</v>
      </c>
    </row>
    <row r="11627" spans="2:7" ht="15" hidden="1" outlineLevel="2">
      <c r="B11627" s="2889" t="s">
        <v>1636</v>
      </c>
      <c r="C11627" s="2889" t="s">
        <v>1605</v>
      </c>
      <c r="D11627" s="2889" t="s">
        <v>1604</v>
      </c>
      <c r="E11627" s="2889" t="s">
        <v>1423</v>
      </c>
      <c r="F11627" s="2890">
        <v>3.136151520901011E-33</v>
      </c>
      <c r="G11627" s="2890">
        <v>7.3601632656396319E-31</v>
      </c>
    </row>
    <row r="11628" spans="2:7" ht="15" hidden="1" outlineLevel="2">
      <c r="B11628" s="2889" t="s">
        <v>1636</v>
      </c>
      <c r="C11628" s="2889" t="s">
        <v>1606</v>
      </c>
      <c r="D11628" s="2889" t="s">
        <v>1604</v>
      </c>
      <c r="E11628" s="2889" t="s">
        <v>1426</v>
      </c>
      <c r="F11628" s="2891"/>
      <c r="G11628" s="2890">
        <v>7.9720101268876722E-32</v>
      </c>
    </row>
    <row r="11629" spans="2:7" ht="15" hidden="1" outlineLevel="2">
      <c r="B11629" s="2889" t="s">
        <v>1636</v>
      </c>
      <c r="C11629" s="2889" t="s">
        <v>1607</v>
      </c>
      <c r="D11629" s="2889" t="s">
        <v>1608</v>
      </c>
      <c r="E11629" s="2889" t="s">
        <v>217</v>
      </c>
      <c r="F11629" s="2890">
        <v>7.0343344674886792</v>
      </c>
      <c r="G11629" s="2890">
        <v>5779.2967433866179</v>
      </c>
    </row>
    <row r="11630" spans="2:7" ht="15" hidden="1" outlineLevel="2">
      <c r="B11630" s="2889" t="s">
        <v>1636</v>
      </c>
      <c r="C11630" s="2889" t="s">
        <v>1609</v>
      </c>
      <c r="D11630" s="2889" t="s">
        <v>1608</v>
      </c>
      <c r="E11630" s="2889" t="s">
        <v>217</v>
      </c>
      <c r="F11630" s="2890">
        <v>3.0630789223590771</v>
      </c>
      <c r="G11630" s="2890">
        <v>2438.8475198854912</v>
      </c>
    </row>
    <row r="11631" spans="2:7" ht="15" hidden="1" outlineLevel="2">
      <c r="B11631" s="2889" t="s">
        <v>1636</v>
      </c>
      <c r="C11631" s="2889" t="s">
        <v>1610</v>
      </c>
      <c r="D11631" s="2889" t="s">
        <v>1608</v>
      </c>
      <c r="E11631" s="2889" t="s">
        <v>217</v>
      </c>
      <c r="F11631" s="2890">
        <v>2.1231589967119904</v>
      </c>
      <c r="G11631" s="2890">
        <v>3299.493271157954</v>
      </c>
    </row>
    <row r="11632" spans="2:7" ht="15" hidden="1" outlineLevel="2">
      <c r="B11632" s="2889" t="s">
        <v>1636</v>
      </c>
      <c r="C11632" s="2889" t="s">
        <v>1611</v>
      </c>
      <c r="D11632" s="2889" t="s">
        <v>1608</v>
      </c>
      <c r="E11632" s="2889" t="s">
        <v>1612</v>
      </c>
      <c r="F11632" s="2891"/>
      <c r="G11632" s="2890">
        <v>2937.753932042579</v>
      </c>
    </row>
    <row r="11633" spans="2:7" ht="15" hidden="1" outlineLevel="2">
      <c r="B11633" s="2889" t="s">
        <v>1636</v>
      </c>
      <c r="C11633" s="2889" t="s">
        <v>1613</v>
      </c>
      <c r="D11633" s="2889" t="s">
        <v>1608</v>
      </c>
      <c r="E11633" s="2889" t="s">
        <v>1612</v>
      </c>
      <c r="F11633" s="2891"/>
      <c r="G11633" s="2890">
        <v>13.534536794501248</v>
      </c>
    </row>
    <row r="11634" spans="2:7" ht="15" hidden="1" outlineLevel="2">
      <c r="B11634" s="2889" t="s">
        <v>1636</v>
      </c>
      <c r="C11634" s="2889" t="s">
        <v>1614</v>
      </c>
      <c r="D11634" s="2889" t="s">
        <v>1615</v>
      </c>
      <c r="E11634" s="2889" t="s">
        <v>1426</v>
      </c>
      <c r="F11634" s="2891"/>
      <c r="G11634" s="2890">
        <v>156.34202811417143</v>
      </c>
    </row>
    <row r="11635" spans="2:7" ht="15" hidden="1" outlineLevel="2">
      <c r="B11635" s="2889" t="s">
        <v>1636</v>
      </c>
      <c r="C11635" s="2889" t="s">
        <v>1616</v>
      </c>
      <c r="D11635" s="2889" t="s">
        <v>1615</v>
      </c>
      <c r="E11635" s="2889" t="s">
        <v>217</v>
      </c>
      <c r="F11635" s="2890">
        <v>4.9571956221965497E-3</v>
      </c>
      <c r="G11635" s="2890">
        <v>6.6959496749326117</v>
      </c>
    </row>
    <row r="11636" spans="2:7" ht="15" hidden="1" outlineLevel="2">
      <c r="B11636" s="2889" t="s">
        <v>1636</v>
      </c>
      <c r="C11636" s="2889" t="s">
        <v>1617</v>
      </c>
      <c r="D11636" s="2889" t="s">
        <v>1615</v>
      </c>
      <c r="E11636" s="2889" t="s">
        <v>1420</v>
      </c>
      <c r="F11636" s="2890">
        <v>7.8722026819418156E-5</v>
      </c>
      <c r="G11636" s="2890">
        <v>0.22786960514242463</v>
      </c>
    </row>
    <row r="11637" spans="2:7" ht="15" hidden="1" outlineLevel="2">
      <c r="B11637" s="2889" t="s">
        <v>1636</v>
      </c>
      <c r="C11637" s="2889" t="s">
        <v>1618</v>
      </c>
      <c r="D11637" s="2889" t="s">
        <v>1619</v>
      </c>
      <c r="E11637" s="2889" t="s">
        <v>217</v>
      </c>
      <c r="F11637" s="2890">
        <v>3.7640427742339102</v>
      </c>
      <c r="G11637" s="2890">
        <v>954.23028225580015</v>
      </c>
    </row>
    <row r="11638" spans="2:7" ht="15" hidden="1" outlineLevel="2">
      <c r="B11638" s="2889" t="s">
        <v>1636</v>
      </c>
      <c r="C11638" s="2889" t="s">
        <v>1620</v>
      </c>
      <c r="D11638" s="2889" t="s">
        <v>1619</v>
      </c>
      <c r="E11638" s="2889" t="s">
        <v>217</v>
      </c>
      <c r="F11638" s="2890">
        <v>2.2012928122670537E-34</v>
      </c>
      <c r="G11638" s="2890">
        <v>2.6839964376933469E-31</v>
      </c>
    </row>
    <row r="11639" spans="2:7" ht="15" hidden="1" outlineLevel="2">
      <c r="B11639" s="2889" t="s">
        <v>1636</v>
      </c>
      <c r="C11639" s="2889" t="s">
        <v>1621</v>
      </c>
      <c r="D11639" s="2889" t="s">
        <v>1619</v>
      </c>
      <c r="E11639" s="2889" t="s">
        <v>217</v>
      </c>
      <c r="F11639" s="2890">
        <v>4.0317920525453079</v>
      </c>
      <c r="G11639" s="2890">
        <v>1101.8254873556698</v>
      </c>
    </row>
    <row r="11640" spans="2:7" ht="15" hidden="1" outlineLevel="2">
      <c r="B11640" s="2889" t="s">
        <v>1636</v>
      </c>
      <c r="C11640" s="2889" t="s">
        <v>1622</v>
      </c>
      <c r="D11640" s="2889" t="s">
        <v>1619</v>
      </c>
      <c r="E11640" s="2889" t="s">
        <v>217</v>
      </c>
      <c r="F11640" s="2890">
        <v>0.25817679020102169</v>
      </c>
      <c r="G11640" s="2890">
        <v>283.27889607704628</v>
      </c>
    </row>
    <row r="11641" spans="2:7" ht="15" hidden="1" outlineLevel="2">
      <c r="B11641" s="2889" t="s">
        <v>1636</v>
      </c>
      <c r="C11641" s="2889" t="s">
        <v>1623</v>
      </c>
      <c r="D11641" s="2889" t="s">
        <v>1619</v>
      </c>
      <c r="E11641" s="2889" t="s">
        <v>217</v>
      </c>
      <c r="F11641" s="2890">
        <v>0.66484700248470152</v>
      </c>
      <c r="G11641" s="2890">
        <v>461.09466113859071</v>
      </c>
    </row>
    <row r="11642" spans="2:7" ht="15" hidden="1" outlineLevel="2">
      <c r="B11642" s="2889" t="s">
        <v>1636</v>
      </c>
      <c r="C11642" s="2889" t="s">
        <v>1624</v>
      </c>
      <c r="D11642" s="2889" t="s">
        <v>1619</v>
      </c>
      <c r="E11642" s="2889" t="s">
        <v>217</v>
      </c>
      <c r="F11642" s="2890">
        <v>5.7563501889331663</v>
      </c>
      <c r="G11642" s="2890">
        <v>4914.6737782423588</v>
      </c>
    </row>
    <row r="11643" spans="2:7" ht="15" hidden="1" outlineLevel="2">
      <c r="B11643" s="2889" t="s">
        <v>1636</v>
      </c>
      <c r="C11643" s="2889" t="s">
        <v>1625</v>
      </c>
      <c r="D11643" s="2889" t="s">
        <v>1619</v>
      </c>
      <c r="E11643" s="2889" t="s">
        <v>217</v>
      </c>
      <c r="F11643" s="2890">
        <v>0.26658176554838353</v>
      </c>
      <c r="G11643" s="2890">
        <v>345.32406459591778</v>
      </c>
    </row>
    <row r="11644" spans="2:7" ht="15" hidden="1" outlineLevel="2">
      <c r="B11644" s="2889" t="s">
        <v>1636</v>
      </c>
      <c r="C11644" s="2889" t="s">
        <v>1626</v>
      </c>
      <c r="D11644" s="2889" t="s">
        <v>1619</v>
      </c>
      <c r="E11644" s="2889" t="s">
        <v>217</v>
      </c>
      <c r="F11644" s="2890">
        <v>0.35143578834822214</v>
      </c>
      <c r="G11644" s="2890">
        <v>276.41502108592425</v>
      </c>
    </row>
    <row r="11645" spans="2:7" ht="15" hidden="1" outlineLevel="2">
      <c r="B11645" s="2889" t="s">
        <v>1636</v>
      </c>
      <c r="C11645" s="2889" t="s">
        <v>1627</v>
      </c>
      <c r="D11645" s="2889" t="s">
        <v>1619</v>
      </c>
      <c r="E11645" s="2889" t="s">
        <v>1420</v>
      </c>
      <c r="F11645" s="2890">
        <v>1.1443235182431401E-2</v>
      </c>
      <c r="G11645" s="2890">
        <v>19.117966778259756</v>
      </c>
    </row>
    <row r="11646" spans="2:7" ht="15" hidden="1" outlineLevel="2">
      <c r="B11646" s="2889" t="s">
        <v>1636</v>
      </c>
      <c r="C11646" s="2889" t="s">
        <v>1628</v>
      </c>
      <c r="D11646" s="2889" t="s">
        <v>1619</v>
      </c>
      <c r="E11646" s="2889" t="s">
        <v>1426</v>
      </c>
      <c r="F11646" s="2891"/>
      <c r="G11646" s="2890">
        <v>378.91666585936753</v>
      </c>
    </row>
    <row r="11647" spans="2:7" ht="15" hidden="1" outlineLevel="2">
      <c r="B11647" s="2889" t="s">
        <v>1636</v>
      </c>
      <c r="C11647" s="2889" t="s">
        <v>1629</v>
      </c>
      <c r="D11647" s="2889" t="s">
        <v>1630</v>
      </c>
      <c r="E11647" s="2889" t="s">
        <v>1426</v>
      </c>
      <c r="F11647" s="2891"/>
      <c r="G11647" s="2890">
        <v>3.0023057417662033E-30</v>
      </c>
    </row>
    <row r="11648" spans="2:7" ht="15" outlineLevel="1" collapsed="1">
      <c r="B11648" s="3042" t="s">
        <v>1706</v>
      </c>
      <c r="C11648" s="2889"/>
      <c r="D11648" s="2889"/>
      <c r="E11648" s="2889"/>
      <c r="F11648" s="2891">
        <f>SUBTOTAL(9,F11437:F11647)</f>
        <v>38.888909058493404</v>
      </c>
      <c r="G11648" s="2890">
        <f>SUBTOTAL(9,G11437:G11647)</f>
        <v>83411.330828221617</v>
      </c>
    </row>
    <row r="11649" spans="2:7" ht="15" hidden="1" outlineLevel="2">
      <c r="B11649" s="2889" t="s">
        <v>1637</v>
      </c>
      <c r="C11649" s="2889" t="s">
        <v>1408</v>
      </c>
      <c r="D11649" s="2889" t="s">
        <v>197</v>
      </c>
      <c r="E11649" s="2889" t="s">
        <v>217</v>
      </c>
      <c r="F11649" s="2890">
        <v>7.067403502474842E-4</v>
      </c>
      <c r="G11649" s="2890">
        <v>0.43101510898029383</v>
      </c>
    </row>
    <row r="11650" spans="2:7" ht="15" hidden="1" outlineLevel="2">
      <c r="B11650" s="2889" t="s">
        <v>1637</v>
      </c>
      <c r="C11650" s="2889" t="s">
        <v>1409</v>
      </c>
      <c r="D11650" s="2889" t="s">
        <v>197</v>
      </c>
      <c r="E11650" s="2889" t="s">
        <v>217</v>
      </c>
      <c r="F11650" s="2890">
        <v>7.419459042913273E-4</v>
      </c>
      <c r="G11650" s="2890">
        <v>1.045581517904945</v>
      </c>
    </row>
    <row r="11651" spans="2:7" ht="15" hidden="1" outlineLevel="2">
      <c r="B11651" s="2889" t="s">
        <v>1637</v>
      </c>
      <c r="C11651" s="2889" t="s">
        <v>1410</v>
      </c>
      <c r="D11651" s="2889" t="s">
        <v>197</v>
      </c>
      <c r="E11651" s="2889" t="s">
        <v>217</v>
      </c>
      <c r="F11651" s="2890">
        <v>1.1855330136133651E-3</v>
      </c>
      <c r="G11651" s="2890">
        <v>4.0683002402015331</v>
      </c>
    </row>
    <row r="11652" spans="2:7" ht="15" hidden="1" outlineLevel="2">
      <c r="B11652" s="2889" t="s">
        <v>1637</v>
      </c>
      <c r="C11652" s="2889" t="s">
        <v>1411</v>
      </c>
      <c r="D11652" s="2889" t="s">
        <v>197</v>
      </c>
      <c r="E11652" s="2889" t="s">
        <v>217</v>
      </c>
      <c r="F11652" s="2890">
        <v>1.9487807655414429E-5</v>
      </c>
      <c r="G11652" s="2890">
        <v>2.5624474645200474E-2</v>
      </c>
    </row>
    <row r="11653" spans="2:7" ht="15" hidden="1" outlineLevel="2">
      <c r="B11653" s="2889" t="s">
        <v>1637</v>
      </c>
      <c r="C11653" s="2889" t="s">
        <v>1412</v>
      </c>
      <c r="D11653" s="2889" t="s">
        <v>197</v>
      </c>
      <c r="E11653" s="2889" t="s">
        <v>217</v>
      </c>
      <c r="F11653" s="2890">
        <v>2.105281549772204E-3</v>
      </c>
      <c r="G11653" s="2890">
        <v>2.7661162586444537</v>
      </c>
    </row>
    <row r="11654" spans="2:7" ht="15" hidden="1" outlineLevel="2">
      <c r="B11654" s="2889" t="s">
        <v>1637</v>
      </c>
      <c r="C11654" s="2889" t="s">
        <v>1413</v>
      </c>
      <c r="D11654" s="2889" t="s">
        <v>197</v>
      </c>
      <c r="E11654" s="2889" t="s">
        <v>217</v>
      </c>
      <c r="F11654" s="2890">
        <v>6.9289266586131256E-4</v>
      </c>
      <c r="G11654" s="2890">
        <v>0.86646796599019815</v>
      </c>
    </row>
    <row r="11655" spans="2:7" ht="15" hidden="1" outlineLevel="2">
      <c r="B11655" s="2889" t="s">
        <v>1637</v>
      </c>
      <c r="C11655" s="2889" t="s">
        <v>1414</v>
      </c>
      <c r="D11655" s="2889" t="s">
        <v>197</v>
      </c>
      <c r="E11655" s="2889" t="s">
        <v>217</v>
      </c>
      <c r="F11655" s="2890">
        <v>9.0403869085305451E-3</v>
      </c>
      <c r="G11655" s="2890">
        <v>9.4126082279582217</v>
      </c>
    </row>
    <row r="11656" spans="2:7" ht="15" hidden="1" outlineLevel="2">
      <c r="B11656" s="2889" t="s">
        <v>1637</v>
      </c>
      <c r="C11656" s="2889" t="s">
        <v>1415</v>
      </c>
      <c r="D11656" s="2889" t="s">
        <v>197</v>
      </c>
      <c r="E11656" s="2889" t="s">
        <v>217</v>
      </c>
      <c r="F11656" s="2890">
        <v>2.9726119619235349E-2</v>
      </c>
      <c r="G11656" s="2890">
        <v>20.175935659371035</v>
      </c>
    </row>
    <row r="11657" spans="2:7" ht="15" hidden="1" outlineLevel="2">
      <c r="B11657" s="2889" t="s">
        <v>1637</v>
      </c>
      <c r="C11657" s="2889" t="s">
        <v>1416</v>
      </c>
      <c r="D11657" s="2889" t="s">
        <v>197</v>
      </c>
      <c r="E11657" s="2889" t="s">
        <v>217</v>
      </c>
      <c r="F11657" s="2890">
        <v>3.3408586747085012E-3</v>
      </c>
      <c r="G11657" s="2890">
        <v>4.3895371853479501</v>
      </c>
    </row>
    <row r="11658" spans="2:7" ht="15" hidden="1" outlineLevel="2">
      <c r="B11658" s="2889" t="s">
        <v>1637</v>
      </c>
      <c r="C11658" s="2889" t="s">
        <v>1417</v>
      </c>
      <c r="D11658" s="2889" t="s">
        <v>197</v>
      </c>
      <c r="E11658" s="2889" t="s">
        <v>217</v>
      </c>
      <c r="F11658" s="2890">
        <v>4.9735003324586488E-3</v>
      </c>
      <c r="G11658" s="2890">
        <v>6.3560321941518616</v>
      </c>
    </row>
    <row r="11659" spans="2:7" ht="15" hidden="1" outlineLevel="2">
      <c r="B11659" s="2889" t="s">
        <v>1637</v>
      </c>
      <c r="C11659" s="2889" t="s">
        <v>1418</v>
      </c>
      <c r="D11659" s="2889" t="s">
        <v>197</v>
      </c>
      <c r="E11659" s="2889" t="s">
        <v>217</v>
      </c>
      <c r="F11659" s="2890">
        <v>9.974506877164697E-4</v>
      </c>
      <c r="G11659" s="2890">
        <v>7.0510309630512324</v>
      </c>
    </row>
    <row r="11660" spans="2:7" ht="15" hidden="1" outlineLevel="2">
      <c r="B11660" s="2889" t="s">
        <v>1637</v>
      </c>
      <c r="C11660" s="2889" t="s">
        <v>1419</v>
      </c>
      <c r="D11660" s="2889" t="s">
        <v>197</v>
      </c>
      <c r="E11660" s="2889" t="s">
        <v>1420</v>
      </c>
      <c r="F11660" s="2890">
        <v>2.4287110741290029E-5</v>
      </c>
      <c r="G11660" s="2890">
        <v>3.8591106505006342E-2</v>
      </c>
    </row>
    <row r="11661" spans="2:7" ht="15" hidden="1" outlineLevel="2">
      <c r="B11661" s="2889" t="s">
        <v>1637</v>
      </c>
      <c r="C11661" s="2889" t="s">
        <v>1421</v>
      </c>
      <c r="D11661" s="2889" t="s">
        <v>197</v>
      </c>
      <c r="E11661" s="2889" t="s">
        <v>1420</v>
      </c>
      <c r="F11661" s="2890">
        <v>4.9836683889197731E-6</v>
      </c>
      <c r="G11661" s="2890">
        <v>5.2522071439770647E-2</v>
      </c>
    </row>
    <row r="11662" spans="2:7" ht="15" hidden="1" outlineLevel="2">
      <c r="B11662" s="2889" t="s">
        <v>1637</v>
      </c>
      <c r="C11662" s="2889" t="s">
        <v>1422</v>
      </c>
      <c r="D11662" s="2889" t="s">
        <v>197</v>
      </c>
      <c r="E11662" s="2889" t="s">
        <v>1423</v>
      </c>
      <c r="F11662" s="2890">
        <v>9.7222965737891152E-4</v>
      </c>
      <c r="G11662" s="2890">
        <v>1.0194253944075232E-2</v>
      </c>
    </row>
    <row r="11663" spans="2:7" ht="15" hidden="1" outlineLevel="2">
      <c r="B11663" s="2889" t="s">
        <v>1637</v>
      </c>
      <c r="C11663" s="2889" t="s">
        <v>1424</v>
      </c>
      <c r="D11663" s="2889" t="s">
        <v>197</v>
      </c>
      <c r="E11663" s="2889" t="s">
        <v>1423</v>
      </c>
      <c r="F11663" s="2890">
        <v>3.085925658816548E-4</v>
      </c>
      <c r="G11663" s="2890">
        <v>3.2347549403924977E-3</v>
      </c>
    </row>
    <row r="11664" spans="2:7" ht="15" hidden="1" outlineLevel="2">
      <c r="B11664" s="2889" t="s">
        <v>1637</v>
      </c>
      <c r="C11664" s="2889" t="s">
        <v>1425</v>
      </c>
      <c r="D11664" s="2889" t="s">
        <v>197</v>
      </c>
      <c r="E11664" s="2889" t="s">
        <v>1426</v>
      </c>
      <c r="F11664" s="2891"/>
      <c r="G11664" s="2890">
        <v>7.5387068535670496E-2</v>
      </c>
    </row>
    <row r="11665" spans="2:7" ht="15" hidden="1" outlineLevel="2">
      <c r="B11665" s="2889" t="s">
        <v>1637</v>
      </c>
      <c r="C11665" s="2889" t="s">
        <v>1427</v>
      </c>
      <c r="D11665" s="2889" t="s">
        <v>197</v>
      </c>
      <c r="E11665" s="2889" t="s">
        <v>1426</v>
      </c>
      <c r="F11665" s="2891"/>
      <c r="G11665" s="2890">
        <v>3259.1625763979682</v>
      </c>
    </row>
    <row r="11666" spans="2:7" ht="15" hidden="1" outlineLevel="2">
      <c r="B11666" s="2889" t="s">
        <v>1637</v>
      </c>
      <c r="C11666" s="2889" t="s">
        <v>1428</v>
      </c>
      <c r="D11666" s="2889" t="s">
        <v>197</v>
      </c>
      <c r="E11666" s="2889" t="s">
        <v>1426</v>
      </c>
      <c r="F11666" s="2891"/>
      <c r="G11666" s="2890">
        <v>292.44630708957425</v>
      </c>
    </row>
    <row r="11667" spans="2:7" ht="15" hidden="1" outlineLevel="2">
      <c r="B11667" s="2889" t="s">
        <v>1637</v>
      </c>
      <c r="C11667" s="2889" t="s">
        <v>1429</v>
      </c>
      <c r="D11667" s="2889" t="s">
        <v>197</v>
      </c>
      <c r="E11667" s="2889" t="s">
        <v>1426</v>
      </c>
      <c r="F11667" s="2891"/>
      <c r="G11667" s="2890">
        <v>1.6256021151539979</v>
      </c>
    </row>
    <row r="11668" spans="2:7" ht="15" hidden="1" outlineLevel="2">
      <c r="B11668" s="2889" t="s">
        <v>1637</v>
      </c>
      <c r="C11668" s="2889" t="s">
        <v>1430</v>
      </c>
      <c r="D11668" s="2889" t="s">
        <v>197</v>
      </c>
      <c r="E11668" s="2889" t="s">
        <v>1426</v>
      </c>
      <c r="F11668" s="2891"/>
      <c r="G11668" s="2890">
        <v>0.33365251807731028</v>
      </c>
    </row>
    <row r="11669" spans="2:7" ht="15" hidden="1" outlineLevel="2">
      <c r="B11669" s="2889" t="s">
        <v>1637</v>
      </c>
      <c r="C11669" s="2889" t="s">
        <v>1431</v>
      </c>
      <c r="D11669" s="2889" t="s">
        <v>197</v>
      </c>
      <c r="E11669" s="2889" t="s">
        <v>1426</v>
      </c>
      <c r="F11669" s="2891"/>
      <c r="G11669" s="2890">
        <v>24.825170243437945</v>
      </c>
    </row>
    <row r="11670" spans="2:7" ht="15" hidden="1" outlineLevel="2">
      <c r="B11670" s="2889" t="s">
        <v>1637</v>
      </c>
      <c r="C11670" s="2889" t="s">
        <v>1432</v>
      </c>
      <c r="D11670" s="2889" t="s">
        <v>197</v>
      </c>
      <c r="E11670" s="2889" t="s">
        <v>1426</v>
      </c>
      <c r="F11670" s="2891"/>
      <c r="G11670" s="2890">
        <v>6.2177938475616625E-2</v>
      </c>
    </row>
    <row r="11671" spans="2:7" ht="15" hidden="1" outlineLevel="2">
      <c r="B11671" s="2889" t="s">
        <v>1637</v>
      </c>
      <c r="C11671" s="2889" t="s">
        <v>1433</v>
      </c>
      <c r="D11671" s="2889" t="s">
        <v>197</v>
      </c>
      <c r="E11671" s="2889" t="s">
        <v>1426</v>
      </c>
      <c r="F11671" s="2891"/>
      <c r="G11671" s="2890">
        <v>22.945239316110879</v>
      </c>
    </row>
    <row r="11672" spans="2:7" ht="15" hidden="1" outlineLevel="2">
      <c r="B11672" s="2889" t="s">
        <v>1637</v>
      </c>
      <c r="C11672" s="2889" t="s">
        <v>1434</v>
      </c>
      <c r="D11672" s="2889" t="s">
        <v>197</v>
      </c>
      <c r="E11672" s="2889" t="s">
        <v>1426</v>
      </c>
      <c r="F11672" s="2891"/>
      <c r="G11672" s="2890">
        <v>63.735870412953133</v>
      </c>
    </row>
    <row r="11673" spans="2:7" ht="15" hidden="1" outlineLevel="2">
      <c r="B11673" s="2889" t="s">
        <v>1637</v>
      </c>
      <c r="C11673" s="2889" t="s">
        <v>1435</v>
      </c>
      <c r="D11673" s="2889" t="s">
        <v>197</v>
      </c>
      <c r="E11673" s="2889" t="s">
        <v>1426</v>
      </c>
      <c r="F11673" s="2891"/>
      <c r="G11673" s="2890">
        <v>46.858281472168187</v>
      </c>
    </row>
    <row r="11674" spans="2:7" ht="15" hidden="1" outlineLevel="2">
      <c r="B11674" s="2889" t="s">
        <v>1637</v>
      </c>
      <c r="C11674" s="2889" t="s">
        <v>1436</v>
      </c>
      <c r="D11674" s="2889" t="s">
        <v>1437</v>
      </c>
      <c r="E11674" s="2889" t="s">
        <v>217</v>
      </c>
      <c r="F11674" s="2890">
        <v>3.6481196869676405E-36</v>
      </c>
      <c r="G11674" s="2890">
        <v>5.1032962245437871E-32</v>
      </c>
    </row>
    <row r="11675" spans="2:7" ht="15" hidden="1" outlineLevel="2">
      <c r="B11675" s="2889" t="s">
        <v>1637</v>
      </c>
      <c r="C11675" s="2889" t="s">
        <v>1438</v>
      </c>
      <c r="D11675" s="2889" t="s">
        <v>1437</v>
      </c>
      <c r="E11675" s="2889" t="s">
        <v>1420</v>
      </c>
      <c r="F11675" s="2890">
        <v>1.6645027218787266E-36</v>
      </c>
      <c r="G11675" s="2890">
        <v>2.4044512537756401E-32</v>
      </c>
    </row>
    <row r="11676" spans="2:7" ht="15" hidden="1" outlineLevel="2">
      <c r="B11676" s="2889" t="s">
        <v>1637</v>
      </c>
      <c r="C11676" s="2889" t="s">
        <v>1439</v>
      </c>
      <c r="D11676" s="2889" t="s">
        <v>1437</v>
      </c>
      <c r="E11676" s="2889" t="s">
        <v>1426</v>
      </c>
      <c r="F11676" s="2891"/>
      <c r="G11676" s="2890">
        <v>2.1486815209001712E-28</v>
      </c>
    </row>
    <row r="11677" spans="2:7" ht="15" hidden="1" outlineLevel="2">
      <c r="B11677" s="2889" t="s">
        <v>1637</v>
      </c>
      <c r="C11677" s="2889" t="s">
        <v>1440</v>
      </c>
      <c r="D11677" s="2889" t="s">
        <v>1105</v>
      </c>
      <c r="E11677" s="2889" t="s">
        <v>217</v>
      </c>
      <c r="F11677" s="2890">
        <v>8.6168472033301118E-3</v>
      </c>
      <c r="G11677" s="2890">
        <v>4.2702288137846818</v>
      </c>
    </row>
    <row r="11678" spans="2:7" ht="15" hidden="1" outlineLevel="2">
      <c r="B11678" s="2889" t="s">
        <v>1637</v>
      </c>
      <c r="C11678" s="2889" t="s">
        <v>1441</v>
      </c>
      <c r="D11678" s="2889" t="s">
        <v>1105</v>
      </c>
      <c r="E11678" s="2889" t="s">
        <v>217</v>
      </c>
      <c r="F11678" s="2890">
        <v>5.5061227858682352E-2</v>
      </c>
      <c r="G11678" s="2890">
        <v>28.489598884659827</v>
      </c>
    </row>
    <row r="11679" spans="2:7" ht="15" hidden="1" outlineLevel="2">
      <c r="B11679" s="2889" t="s">
        <v>1637</v>
      </c>
      <c r="C11679" s="2889" t="s">
        <v>1442</v>
      </c>
      <c r="D11679" s="2889" t="s">
        <v>1105</v>
      </c>
      <c r="E11679" s="2889" t="s">
        <v>217</v>
      </c>
      <c r="F11679" s="2890">
        <v>2.4509524654466707E-5</v>
      </c>
      <c r="G11679" s="2890">
        <v>1.0987585180172909E-2</v>
      </c>
    </row>
    <row r="11680" spans="2:7" ht="15" hidden="1" outlineLevel="2">
      <c r="B11680" s="2889" t="s">
        <v>1637</v>
      </c>
      <c r="C11680" s="2889" t="s">
        <v>1443</v>
      </c>
      <c r="D11680" s="2889" t="s">
        <v>1105</v>
      </c>
      <c r="E11680" s="2889" t="s">
        <v>217</v>
      </c>
      <c r="F11680" s="2890">
        <v>3.8565260945625315E-4</v>
      </c>
      <c r="G11680" s="2890">
        <v>0.17288721684572575</v>
      </c>
    </row>
    <row r="11681" spans="2:7" ht="15" hidden="1" outlineLevel="2">
      <c r="B11681" s="2889" t="s">
        <v>1637</v>
      </c>
      <c r="C11681" s="2889" t="s">
        <v>1444</v>
      </c>
      <c r="D11681" s="2889" t="s">
        <v>1105</v>
      </c>
      <c r="E11681" s="2889" t="s">
        <v>217</v>
      </c>
      <c r="F11681" s="2890">
        <v>0.72747499964226536</v>
      </c>
      <c r="G11681" s="2890">
        <v>879.00518713362874</v>
      </c>
    </row>
    <row r="11682" spans="2:7" ht="15" hidden="1" outlineLevel="2">
      <c r="B11682" s="2889" t="s">
        <v>1637</v>
      </c>
      <c r="C11682" s="2889" t="s">
        <v>1445</v>
      </c>
      <c r="D11682" s="2889" t="s">
        <v>1105</v>
      </c>
      <c r="E11682" s="2889" t="s">
        <v>217</v>
      </c>
      <c r="F11682" s="2890">
        <v>0.15659551811736472</v>
      </c>
      <c r="G11682" s="2890">
        <v>219.96237579573284</v>
      </c>
    </row>
    <row r="11683" spans="2:7" ht="15" hidden="1" outlineLevel="2">
      <c r="B11683" s="2889" t="s">
        <v>1637</v>
      </c>
      <c r="C11683" s="2889" t="s">
        <v>1446</v>
      </c>
      <c r="D11683" s="2889" t="s">
        <v>1105</v>
      </c>
      <c r="E11683" s="2889" t="s">
        <v>217</v>
      </c>
      <c r="F11683" s="2890">
        <v>7.2286021513749632E-2</v>
      </c>
      <c r="G11683" s="2890">
        <v>116.64419679347615</v>
      </c>
    </row>
    <row r="11684" spans="2:7" ht="15" hidden="1" outlineLevel="2">
      <c r="B11684" s="2889" t="s">
        <v>1637</v>
      </c>
      <c r="C11684" s="2889" t="s">
        <v>1447</v>
      </c>
      <c r="D11684" s="2889" t="s">
        <v>1105</v>
      </c>
      <c r="E11684" s="2889" t="s">
        <v>217</v>
      </c>
      <c r="F11684" s="2890">
        <v>0.16656087015012072</v>
      </c>
      <c r="G11684" s="2890">
        <v>250.27638965328114</v>
      </c>
    </row>
    <row r="11685" spans="2:7" ht="15" hidden="1" outlineLevel="2">
      <c r="B11685" s="2889" t="s">
        <v>1637</v>
      </c>
      <c r="C11685" s="2889" t="s">
        <v>1448</v>
      </c>
      <c r="D11685" s="2889" t="s">
        <v>1105</v>
      </c>
      <c r="E11685" s="2889" t="s">
        <v>217</v>
      </c>
      <c r="F11685" s="2890">
        <v>0.31456564551731547</v>
      </c>
      <c r="G11685" s="2890">
        <v>394.28869209894185</v>
      </c>
    </row>
    <row r="11686" spans="2:7" ht="15" hidden="1" outlineLevel="2">
      <c r="B11686" s="2889" t="s">
        <v>1637</v>
      </c>
      <c r="C11686" s="2889" t="s">
        <v>1449</v>
      </c>
      <c r="D11686" s="2889" t="s">
        <v>1105</v>
      </c>
      <c r="E11686" s="2889" t="s">
        <v>217</v>
      </c>
      <c r="F11686" s="2890">
        <v>1.3391730923369885E-2</v>
      </c>
      <c r="G11686" s="2890">
        <v>18.545142022193009</v>
      </c>
    </row>
    <row r="11687" spans="2:7" ht="15" hidden="1" outlineLevel="2">
      <c r="B11687" s="2889" t="s">
        <v>1637</v>
      </c>
      <c r="C11687" s="2889" t="s">
        <v>1450</v>
      </c>
      <c r="D11687" s="2889" t="s">
        <v>1105</v>
      </c>
      <c r="E11687" s="2889" t="s">
        <v>1420</v>
      </c>
      <c r="F11687" s="2890">
        <v>4.254172054770132E-2</v>
      </c>
      <c r="G11687" s="2890">
        <v>116.95588002359445</v>
      </c>
    </row>
    <row r="11688" spans="2:7" ht="15" hidden="1" outlineLevel="2">
      <c r="B11688" s="2889" t="s">
        <v>1637</v>
      </c>
      <c r="C11688" s="2889" t="s">
        <v>1451</v>
      </c>
      <c r="D11688" s="2889" t="s">
        <v>1105</v>
      </c>
      <c r="E11688" s="2889" t="s">
        <v>1420</v>
      </c>
      <c r="F11688" s="2890">
        <v>6.1766014019330219E-3</v>
      </c>
      <c r="G11688" s="2890">
        <v>26.050135857066277</v>
      </c>
    </row>
    <row r="11689" spans="2:7" ht="15" hidden="1" outlineLevel="2">
      <c r="B11689" s="2889" t="s">
        <v>1637</v>
      </c>
      <c r="C11689" s="2889" t="s">
        <v>1452</v>
      </c>
      <c r="D11689" s="2889" t="s">
        <v>1105</v>
      </c>
      <c r="E11689" s="2889" t="s">
        <v>1420</v>
      </c>
      <c r="F11689" s="2890">
        <v>4.5695691928592371E-3</v>
      </c>
      <c r="G11689" s="2890">
        <v>30.535455912716497</v>
      </c>
    </row>
    <row r="11690" spans="2:7" ht="15" hidden="1" outlineLevel="2">
      <c r="B11690" s="2889" t="s">
        <v>1637</v>
      </c>
      <c r="C11690" s="2889" t="s">
        <v>1453</v>
      </c>
      <c r="D11690" s="2889" t="s">
        <v>1105</v>
      </c>
      <c r="E11690" s="2889" t="s">
        <v>1420</v>
      </c>
      <c r="F11690" s="2890">
        <v>8.0041797070417534E-3</v>
      </c>
      <c r="G11690" s="2890">
        <v>37.932690867465752</v>
      </c>
    </row>
    <row r="11691" spans="2:7" ht="15" hidden="1" outlineLevel="2">
      <c r="B11691" s="2889" t="s">
        <v>1637</v>
      </c>
      <c r="C11691" s="2889" t="s">
        <v>1454</v>
      </c>
      <c r="D11691" s="2889" t="s">
        <v>1105</v>
      </c>
      <c r="E11691" s="2889" t="s">
        <v>1420</v>
      </c>
      <c r="F11691" s="2890">
        <v>1.9985973673732941E-4</v>
      </c>
      <c r="G11691" s="2890">
        <v>0.51276428174759381</v>
      </c>
    </row>
    <row r="11692" spans="2:7" ht="15" hidden="1" outlineLevel="2">
      <c r="B11692" s="2889" t="s">
        <v>1637</v>
      </c>
      <c r="C11692" s="2889" t="s">
        <v>1455</v>
      </c>
      <c r="D11692" s="2889" t="s">
        <v>1105</v>
      </c>
      <c r="E11692" s="2889" t="s">
        <v>1420</v>
      </c>
      <c r="F11692" s="2890">
        <v>5.8309334389929612E-5</v>
      </c>
      <c r="G11692" s="2890">
        <v>0.47629031802753474</v>
      </c>
    </row>
    <row r="11693" spans="2:7" ht="15" hidden="1" outlineLevel="2">
      <c r="B11693" s="2889" t="s">
        <v>1637</v>
      </c>
      <c r="C11693" s="2889" t="s">
        <v>1456</v>
      </c>
      <c r="D11693" s="2889" t="s">
        <v>1105</v>
      </c>
      <c r="E11693" s="2889" t="s">
        <v>1423</v>
      </c>
      <c r="F11693" s="2890">
        <v>0.93993347307302555</v>
      </c>
      <c r="G11693" s="2890">
        <v>26.100982031370055</v>
      </c>
    </row>
    <row r="11694" spans="2:7" ht="15" hidden="1" outlineLevel="2">
      <c r="B11694" s="2889" t="s">
        <v>1637</v>
      </c>
      <c r="C11694" s="2889" t="s">
        <v>1457</v>
      </c>
      <c r="D11694" s="2889" t="s">
        <v>1105</v>
      </c>
      <c r="E11694" s="2889" t="s">
        <v>1423</v>
      </c>
      <c r="F11694" s="2890">
        <v>3.6035731103460943E-2</v>
      </c>
      <c r="G11694" s="2890">
        <v>1.3099533293498919</v>
      </c>
    </row>
    <row r="11695" spans="2:7" ht="15" hidden="1" outlineLevel="2">
      <c r="B11695" s="2889" t="s">
        <v>1637</v>
      </c>
      <c r="C11695" s="2889" t="s">
        <v>1458</v>
      </c>
      <c r="D11695" s="2889" t="s">
        <v>1105</v>
      </c>
      <c r="E11695" s="2889" t="s">
        <v>1423</v>
      </c>
      <c r="F11695" s="2890">
        <v>2.5870986359397209E-2</v>
      </c>
      <c r="G11695" s="2890">
        <v>1.8145070878291276</v>
      </c>
    </row>
    <row r="11696" spans="2:7" ht="15" hidden="1" outlineLevel="2">
      <c r="B11696" s="2889" t="s">
        <v>1637</v>
      </c>
      <c r="C11696" s="2889" t="s">
        <v>1459</v>
      </c>
      <c r="D11696" s="2889" t="s">
        <v>1105</v>
      </c>
      <c r="E11696" s="2889" t="s">
        <v>1423</v>
      </c>
      <c r="F11696" s="2890">
        <v>0.30309192013613762</v>
      </c>
      <c r="G11696" s="2890">
        <v>63.42664529103574</v>
      </c>
    </row>
    <row r="11697" spans="2:7" ht="15" hidden="1" outlineLevel="2">
      <c r="B11697" s="2889" t="s">
        <v>1637</v>
      </c>
      <c r="C11697" s="2889" t="s">
        <v>1460</v>
      </c>
      <c r="D11697" s="2889" t="s">
        <v>1105</v>
      </c>
      <c r="E11697" s="2889" t="s">
        <v>1426</v>
      </c>
      <c r="F11697" s="2891"/>
      <c r="G11697" s="2890">
        <v>676.36349042196366</v>
      </c>
    </row>
    <row r="11698" spans="2:7" ht="15" hidden="1" outlineLevel="2">
      <c r="B11698" s="2889" t="s">
        <v>1637</v>
      </c>
      <c r="C11698" s="2889" t="s">
        <v>1461</v>
      </c>
      <c r="D11698" s="2889" t="s">
        <v>1105</v>
      </c>
      <c r="E11698" s="2889" t="s">
        <v>1426</v>
      </c>
      <c r="F11698" s="2891"/>
      <c r="G11698" s="2890">
        <v>159.58069513023406</v>
      </c>
    </row>
    <row r="11699" spans="2:7" ht="15" hidden="1" outlineLevel="2">
      <c r="B11699" s="2889" t="s">
        <v>1637</v>
      </c>
      <c r="C11699" s="2889" t="s">
        <v>1462</v>
      </c>
      <c r="D11699" s="2889" t="s">
        <v>1105</v>
      </c>
      <c r="E11699" s="2889" t="s">
        <v>1426</v>
      </c>
      <c r="F11699" s="2891"/>
      <c r="G11699" s="2890">
        <v>442.77495823612981</v>
      </c>
    </row>
    <row r="11700" spans="2:7" ht="15" hidden="1" outlineLevel="2">
      <c r="B11700" s="2889" t="s">
        <v>1637</v>
      </c>
      <c r="C11700" s="2889" t="s">
        <v>1463</v>
      </c>
      <c r="D11700" s="2889" t="s">
        <v>1105</v>
      </c>
      <c r="E11700" s="2889" t="s">
        <v>1426</v>
      </c>
      <c r="F11700" s="2891"/>
      <c r="G11700" s="2890">
        <v>224.82668286322004</v>
      </c>
    </row>
    <row r="11701" spans="2:7" ht="15" hidden="1" outlineLevel="2">
      <c r="B11701" s="2889" t="s">
        <v>1637</v>
      </c>
      <c r="C11701" s="2889" t="s">
        <v>1464</v>
      </c>
      <c r="D11701" s="2889" t="s">
        <v>1105</v>
      </c>
      <c r="E11701" s="2889" t="s">
        <v>1426</v>
      </c>
      <c r="F11701" s="2891"/>
      <c r="G11701" s="2890">
        <v>21.598254760556177</v>
      </c>
    </row>
    <row r="11702" spans="2:7" ht="15" hidden="1" outlineLevel="2">
      <c r="B11702" s="2889" t="s">
        <v>1637</v>
      </c>
      <c r="C11702" s="2889" t="s">
        <v>1465</v>
      </c>
      <c r="D11702" s="2889" t="s">
        <v>1105</v>
      </c>
      <c r="E11702" s="2889" t="s">
        <v>1426</v>
      </c>
      <c r="F11702" s="2891"/>
      <c r="G11702" s="2890">
        <v>19.16254408592577</v>
      </c>
    </row>
    <row r="11703" spans="2:7" ht="15" hidden="1" outlineLevel="2">
      <c r="B11703" s="2889" t="s">
        <v>1637</v>
      </c>
      <c r="C11703" s="2889" t="s">
        <v>1466</v>
      </c>
      <c r="D11703" s="2889" t="s">
        <v>1054</v>
      </c>
      <c r="E11703" s="2889" t="s">
        <v>217</v>
      </c>
      <c r="F11703" s="2890">
        <v>4.7023004921730199E-2</v>
      </c>
      <c r="G11703" s="2890">
        <v>28.994252933285665</v>
      </c>
    </row>
    <row r="11704" spans="2:7" ht="15" hidden="1" outlineLevel="2">
      <c r="B11704" s="2889" t="s">
        <v>1637</v>
      </c>
      <c r="C11704" s="2889" t="s">
        <v>1467</v>
      </c>
      <c r="D11704" s="2889" t="s">
        <v>1054</v>
      </c>
      <c r="E11704" s="2889" t="s">
        <v>217</v>
      </c>
      <c r="F11704" s="2890">
        <v>3.8861550060538558E-3</v>
      </c>
      <c r="G11704" s="2890">
        <v>1.8804986909237289</v>
      </c>
    </row>
    <row r="11705" spans="2:7" ht="15" hidden="1" outlineLevel="2">
      <c r="B11705" s="2889" t="s">
        <v>1637</v>
      </c>
      <c r="C11705" s="2889" t="s">
        <v>1468</v>
      </c>
      <c r="D11705" s="2889" t="s">
        <v>1054</v>
      </c>
      <c r="E11705" s="2889" t="s">
        <v>217</v>
      </c>
      <c r="F11705" s="2890">
        <v>4.7062498248481438E-3</v>
      </c>
      <c r="G11705" s="2890">
        <v>2.2480263058801304</v>
      </c>
    </row>
    <row r="11706" spans="2:7" ht="15" hidden="1" outlineLevel="2">
      <c r="B11706" s="2889" t="s">
        <v>1637</v>
      </c>
      <c r="C11706" s="2889" t="s">
        <v>1469</v>
      </c>
      <c r="D11706" s="2889" t="s">
        <v>1054</v>
      </c>
      <c r="E11706" s="2889" t="s">
        <v>217</v>
      </c>
      <c r="F11706" s="2890">
        <v>3.7554461960430758E-5</v>
      </c>
      <c r="G11706" s="2890">
        <v>1.6834409662155065E-2</v>
      </c>
    </row>
    <row r="11707" spans="2:7" ht="15" hidden="1" outlineLevel="2">
      <c r="B11707" s="2889" t="s">
        <v>1637</v>
      </c>
      <c r="C11707" s="2889" t="s">
        <v>1470</v>
      </c>
      <c r="D11707" s="2889" t="s">
        <v>1054</v>
      </c>
      <c r="E11707" s="2889" t="s">
        <v>217</v>
      </c>
      <c r="F11707" s="2890">
        <v>0.13396697354560769</v>
      </c>
      <c r="G11707" s="2890">
        <v>74.925622808191093</v>
      </c>
    </row>
    <row r="11708" spans="2:7" ht="15" hidden="1" outlineLevel="2">
      <c r="B11708" s="2889" t="s">
        <v>1637</v>
      </c>
      <c r="C11708" s="2889" t="s">
        <v>1471</v>
      </c>
      <c r="D11708" s="2889" t="s">
        <v>1054</v>
      </c>
      <c r="E11708" s="2889" t="s">
        <v>217</v>
      </c>
      <c r="F11708" s="2890">
        <v>9.7788770933805226E-4</v>
      </c>
      <c r="G11708" s="2890">
        <v>0.43835476858019207</v>
      </c>
    </row>
    <row r="11709" spans="2:7" ht="15" hidden="1" outlineLevel="2">
      <c r="B11709" s="2889" t="s">
        <v>1637</v>
      </c>
      <c r="C11709" s="2889" t="s">
        <v>1472</v>
      </c>
      <c r="D11709" s="2889" t="s">
        <v>1054</v>
      </c>
      <c r="E11709" s="2889" t="s">
        <v>217</v>
      </c>
      <c r="F11709" s="2890">
        <v>1.6548747711023767E-2</v>
      </c>
      <c r="G11709" s="2890">
        <v>25.775314195653873</v>
      </c>
    </row>
    <row r="11710" spans="2:7" ht="15" hidden="1" outlineLevel="2">
      <c r="B11710" s="2889" t="s">
        <v>1637</v>
      </c>
      <c r="C11710" s="2889" t="s">
        <v>1473</v>
      </c>
      <c r="D11710" s="2889" t="s">
        <v>1054</v>
      </c>
      <c r="E11710" s="2889" t="s">
        <v>217</v>
      </c>
      <c r="F11710" s="2890">
        <v>1.4657563741830274E-4</v>
      </c>
      <c r="G11710" s="2890">
        <v>0.19047277494344422</v>
      </c>
    </row>
    <row r="11711" spans="2:7" ht="15" hidden="1" outlineLevel="2">
      <c r="B11711" s="2889" t="s">
        <v>1637</v>
      </c>
      <c r="C11711" s="2889" t="s">
        <v>1474</v>
      </c>
      <c r="D11711" s="2889" t="s">
        <v>1054</v>
      </c>
      <c r="E11711" s="2889" t="s">
        <v>217</v>
      </c>
      <c r="F11711" s="2890">
        <v>4.0319238293233778E-2</v>
      </c>
      <c r="G11711" s="2890">
        <v>48.233243192237964</v>
      </c>
    </row>
    <row r="11712" spans="2:7" ht="15" hidden="1" outlineLevel="2">
      <c r="B11712" s="2889" t="s">
        <v>1637</v>
      </c>
      <c r="C11712" s="2889" t="s">
        <v>1475</v>
      </c>
      <c r="D11712" s="2889" t="s">
        <v>1054</v>
      </c>
      <c r="E11712" s="2889" t="s">
        <v>217</v>
      </c>
      <c r="F11712" s="2890">
        <v>2.8881013566062715E-2</v>
      </c>
      <c r="G11712" s="2890">
        <v>45.577467531895572</v>
      </c>
    </row>
    <row r="11713" spans="2:7" ht="15" hidden="1" outlineLevel="2">
      <c r="B11713" s="2889" t="s">
        <v>1637</v>
      </c>
      <c r="C11713" s="2889" t="s">
        <v>1476</v>
      </c>
      <c r="D11713" s="2889" t="s">
        <v>1054</v>
      </c>
      <c r="E11713" s="2889" t="s">
        <v>217</v>
      </c>
      <c r="F11713" s="2890">
        <v>7.1110251294058915E-2</v>
      </c>
      <c r="G11713" s="2890">
        <v>90.714568777791399</v>
      </c>
    </row>
    <row r="11714" spans="2:7" ht="15" hidden="1" outlineLevel="2">
      <c r="B11714" s="2889" t="s">
        <v>1637</v>
      </c>
      <c r="C11714" s="2889" t="s">
        <v>1477</v>
      </c>
      <c r="D11714" s="2889" t="s">
        <v>1054</v>
      </c>
      <c r="E11714" s="2889" t="s">
        <v>217</v>
      </c>
      <c r="F11714" s="2890">
        <v>2.7814187052841596E-2</v>
      </c>
      <c r="G11714" s="2890">
        <v>38.25434727696355</v>
      </c>
    </row>
    <row r="11715" spans="2:7" ht="15" hidden="1" outlineLevel="2">
      <c r="B11715" s="2889" t="s">
        <v>1637</v>
      </c>
      <c r="C11715" s="2889" t="s">
        <v>1478</v>
      </c>
      <c r="D11715" s="2889" t="s">
        <v>1054</v>
      </c>
      <c r="E11715" s="2889" t="s">
        <v>217</v>
      </c>
      <c r="F11715" s="2890">
        <v>1.4988992031008239E-3</v>
      </c>
      <c r="G11715" s="2890">
        <v>1.9861407444479708</v>
      </c>
    </row>
    <row r="11716" spans="2:7" ht="15" hidden="1" outlineLevel="2">
      <c r="B11716" s="2889" t="s">
        <v>1637</v>
      </c>
      <c r="C11716" s="2889" t="s">
        <v>1479</v>
      </c>
      <c r="D11716" s="2889" t="s">
        <v>1054</v>
      </c>
      <c r="E11716" s="2889" t="s">
        <v>217</v>
      </c>
      <c r="F11716" s="2890">
        <v>5.3003109995902034E-2</v>
      </c>
      <c r="G11716" s="2890">
        <v>80.084420762005664</v>
      </c>
    </row>
    <row r="11717" spans="2:7" ht="15" hidden="1" outlineLevel="2">
      <c r="B11717" s="2889" t="s">
        <v>1637</v>
      </c>
      <c r="C11717" s="2889" t="s">
        <v>1480</v>
      </c>
      <c r="D11717" s="2889" t="s">
        <v>1054</v>
      </c>
      <c r="E11717" s="2889" t="s">
        <v>217</v>
      </c>
      <c r="F11717" s="2890">
        <v>2.3864471139603903E-2</v>
      </c>
      <c r="G11717" s="2890">
        <v>27.58236287768721</v>
      </c>
    </row>
    <row r="11718" spans="2:7" ht="15" hidden="1" outlineLevel="2">
      <c r="B11718" s="2889" t="s">
        <v>1637</v>
      </c>
      <c r="C11718" s="2889" t="s">
        <v>1481</v>
      </c>
      <c r="D11718" s="2889" t="s">
        <v>1054</v>
      </c>
      <c r="E11718" s="2889" t="s">
        <v>217</v>
      </c>
      <c r="F11718" s="2890">
        <v>0.1180636641988477</v>
      </c>
      <c r="G11718" s="2890">
        <v>166.79999001972749</v>
      </c>
    </row>
    <row r="11719" spans="2:7" ht="15" hidden="1" outlineLevel="2">
      <c r="B11719" s="2889" t="s">
        <v>1637</v>
      </c>
      <c r="C11719" s="2889" t="s">
        <v>1482</v>
      </c>
      <c r="D11719" s="2889" t="s">
        <v>1054</v>
      </c>
      <c r="E11719" s="2889" t="s">
        <v>217</v>
      </c>
      <c r="F11719" s="2890">
        <v>7.9567655962265241E-2</v>
      </c>
      <c r="G11719" s="2890">
        <v>79.905997861474361</v>
      </c>
    </row>
    <row r="11720" spans="2:7" ht="15" hidden="1" outlineLevel="2">
      <c r="B11720" s="2889" t="s">
        <v>1637</v>
      </c>
      <c r="C11720" s="2889" t="s">
        <v>1483</v>
      </c>
      <c r="D11720" s="2889" t="s">
        <v>1054</v>
      </c>
      <c r="E11720" s="2889" t="s">
        <v>217</v>
      </c>
      <c r="F11720" s="2890">
        <v>3.7837429430160824E-3</v>
      </c>
      <c r="G11720" s="2890">
        <v>6.3697631192732587</v>
      </c>
    </row>
    <row r="11721" spans="2:7" ht="15" hidden="1" outlineLevel="2">
      <c r="B11721" s="2889" t="s">
        <v>1637</v>
      </c>
      <c r="C11721" s="2889" t="s">
        <v>1484</v>
      </c>
      <c r="D11721" s="2889" t="s">
        <v>1054</v>
      </c>
      <c r="E11721" s="2889" t="s">
        <v>217</v>
      </c>
      <c r="F11721" s="2890">
        <v>7.6886721267976571E-3</v>
      </c>
      <c r="G11721" s="2890">
        <v>10.800822003592536</v>
      </c>
    </row>
    <row r="11722" spans="2:7" ht="15" hidden="1" outlineLevel="2">
      <c r="B11722" s="2889" t="s">
        <v>1637</v>
      </c>
      <c r="C11722" s="2889" t="s">
        <v>1485</v>
      </c>
      <c r="D11722" s="2889" t="s">
        <v>1054</v>
      </c>
      <c r="E11722" s="2889" t="s">
        <v>217</v>
      </c>
      <c r="F11722" s="2890">
        <v>3.4182223827060113E-3</v>
      </c>
      <c r="G11722" s="2890">
        <v>9.6785086683750379</v>
      </c>
    </row>
    <row r="11723" spans="2:7" ht="15" hidden="1" outlineLevel="2">
      <c r="B11723" s="2889" t="s">
        <v>1637</v>
      </c>
      <c r="C11723" s="2889" t="s">
        <v>1486</v>
      </c>
      <c r="D11723" s="2889" t="s">
        <v>1054</v>
      </c>
      <c r="E11723" s="2889" t="s">
        <v>217</v>
      </c>
      <c r="F11723" s="2890">
        <v>3.981139547486837E-3</v>
      </c>
      <c r="G11723" s="2890">
        <v>23.116554286426588</v>
      </c>
    </row>
    <row r="11724" spans="2:7" ht="15" hidden="1" outlineLevel="2">
      <c r="B11724" s="2889" t="s">
        <v>1637</v>
      </c>
      <c r="C11724" s="2889" t="s">
        <v>1487</v>
      </c>
      <c r="D11724" s="2889" t="s">
        <v>1054</v>
      </c>
      <c r="E11724" s="2889" t="s">
        <v>217</v>
      </c>
      <c r="F11724" s="2890">
        <v>3.7641383045452885E-2</v>
      </c>
      <c r="G11724" s="2890">
        <v>54.780258371951433</v>
      </c>
    </row>
    <row r="11725" spans="2:7" ht="15" hidden="1" outlineLevel="2">
      <c r="B11725" s="2889" t="s">
        <v>1637</v>
      </c>
      <c r="C11725" s="2889" t="s">
        <v>1488</v>
      </c>
      <c r="D11725" s="2889" t="s">
        <v>1054</v>
      </c>
      <c r="E11725" s="2889" t="s">
        <v>217</v>
      </c>
      <c r="F11725" s="2890">
        <v>2.3357375775249808E-2</v>
      </c>
      <c r="G11725" s="2890">
        <v>37.596380757625482</v>
      </c>
    </row>
    <row r="11726" spans="2:7" ht="15" hidden="1" outlineLevel="2">
      <c r="B11726" s="2889" t="s">
        <v>1637</v>
      </c>
      <c r="C11726" s="2889" t="s">
        <v>1489</v>
      </c>
      <c r="D11726" s="2889" t="s">
        <v>1054</v>
      </c>
      <c r="E11726" s="2889" t="s">
        <v>217</v>
      </c>
      <c r="F11726" s="2890">
        <v>1.1757368234064111E-2</v>
      </c>
      <c r="G11726" s="2890">
        <v>12.387664284195946</v>
      </c>
    </row>
    <row r="11727" spans="2:7" ht="15" hidden="1" outlineLevel="2">
      <c r="B11727" s="2889" t="s">
        <v>1637</v>
      </c>
      <c r="C11727" s="2889" t="s">
        <v>1490</v>
      </c>
      <c r="D11727" s="2889" t="s">
        <v>1054</v>
      </c>
      <c r="E11727" s="2889" t="s">
        <v>217</v>
      </c>
      <c r="F11727" s="2890">
        <v>5.4887267597359974E-3</v>
      </c>
      <c r="G11727" s="2890">
        <v>8.7510339113744173</v>
      </c>
    </row>
    <row r="11728" spans="2:7" ht="15" hidden="1" outlineLevel="2">
      <c r="B11728" s="2889" t="s">
        <v>1637</v>
      </c>
      <c r="C11728" s="2889" t="s">
        <v>1491</v>
      </c>
      <c r="D11728" s="2889" t="s">
        <v>1054</v>
      </c>
      <c r="E11728" s="2889" t="s">
        <v>1420</v>
      </c>
      <c r="F11728" s="2890">
        <v>1.0468685675725138E-3</v>
      </c>
      <c r="G11728" s="2890">
        <v>4.9567263154733725</v>
      </c>
    </row>
    <row r="11729" spans="2:7" ht="15" hidden="1" outlineLevel="2">
      <c r="B11729" s="2889" t="s">
        <v>1637</v>
      </c>
      <c r="C11729" s="2889" t="s">
        <v>1492</v>
      </c>
      <c r="D11729" s="2889" t="s">
        <v>1054</v>
      </c>
      <c r="E11729" s="2889" t="s">
        <v>1420</v>
      </c>
      <c r="F11729" s="2890">
        <v>7.7820826848781809E-4</v>
      </c>
      <c r="G11729" s="2890">
        <v>8.3183208707594076</v>
      </c>
    </row>
    <row r="11730" spans="2:7" ht="15" hidden="1" outlineLevel="2">
      <c r="B11730" s="2889" t="s">
        <v>1637</v>
      </c>
      <c r="C11730" s="2889" t="s">
        <v>1493</v>
      </c>
      <c r="D11730" s="2889" t="s">
        <v>1054</v>
      </c>
      <c r="E11730" s="2889" t="s">
        <v>1420</v>
      </c>
      <c r="F11730" s="2890">
        <v>5.7625011761688351E-4</v>
      </c>
      <c r="G11730" s="2890">
        <v>1.3760993402650965</v>
      </c>
    </row>
    <row r="11731" spans="2:7" ht="15" hidden="1" outlineLevel="2">
      <c r="B11731" s="2889" t="s">
        <v>1637</v>
      </c>
      <c r="C11731" s="2889" t="s">
        <v>1494</v>
      </c>
      <c r="D11731" s="2889" t="s">
        <v>1054</v>
      </c>
      <c r="E11731" s="2889" t="s">
        <v>1420</v>
      </c>
      <c r="F11731" s="2890">
        <v>1.5713111956916395E-4</v>
      </c>
      <c r="G11731" s="2890">
        <v>0.86229436308473117</v>
      </c>
    </row>
    <row r="11732" spans="2:7" ht="15" hidden="1" outlineLevel="2">
      <c r="B11732" s="2889" t="s">
        <v>1637</v>
      </c>
      <c r="C11732" s="2889" t="s">
        <v>1495</v>
      </c>
      <c r="D11732" s="2889" t="s">
        <v>1054</v>
      </c>
      <c r="E11732" s="2889" t="s">
        <v>1420</v>
      </c>
      <c r="F11732" s="2890">
        <v>3.4004231535545324E-3</v>
      </c>
      <c r="G11732" s="2890">
        <v>15.25969747884319</v>
      </c>
    </row>
    <row r="11733" spans="2:7" ht="15" hidden="1" outlineLevel="2">
      <c r="B11733" s="2889" t="s">
        <v>1637</v>
      </c>
      <c r="C11733" s="2889" t="s">
        <v>1496</v>
      </c>
      <c r="D11733" s="2889" t="s">
        <v>1054</v>
      </c>
      <c r="E11733" s="2889" t="s">
        <v>1420</v>
      </c>
      <c r="F11733" s="2890">
        <v>3.0849679718256071E-3</v>
      </c>
      <c r="G11733" s="2890">
        <v>5.4943682702634584</v>
      </c>
    </row>
    <row r="11734" spans="2:7" ht="15" hidden="1" outlineLevel="2">
      <c r="B11734" s="2889" t="s">
        <v>1637</v>
      </c>
      <c r="C11734" s="2889" t="s">
        <v>1497</v>
      </c>
      <c r="D11734" s="2889" t="s">
        <v>1054</v>
      </c>
      <c r="E11734" s="2889" t="s">
        <v>1420</v>
      </c>
      <c r="F11734" s="2890">
        <v>8.5593718360413794E-4</v>
      </c>
      <c r="G11734" s="2890">
        <v>14.117667403841851</v>
      </c>
    </row>
    <row r="11735" spans="2:7" ht="15" hidden="1" outlineLevel="2">
      <c r="B11735" s="2889" t="s">
        <v>1637</v>
      </c>
      <c r="C11735" s="2889" t="s">
        <v>1498</v>
      </c>
      <c r="D11735" s="2889" t="s">
        <v>1054</v>
      </c>
      <c r="E11735" s="2889" t="s">
        <v>1420</v>
      </c>
      <c r="F11735" s="2890">
        <v>2.3396731575651719E-3</v>
      </c>
      <c r="G11735" s="2890">
        <v>5.6229159543255118</v>
      </c>
    </row>
    <row r="11736" spans="2:7" ht="15" hidden="1" outlineLevel="2">
      <c r="B11736" s="2889" t="s">
        <v>1637</v>
      </c>
      <c r="C11736" s="2889" t="s">
        <v>1499</v>
      </c>
      <c r="D11736" s="2889" t="s">
        <v>1054</v>
      </c>
      <c r="E11736" s="2889" t="s">
        <v>1420</v>
      </c>
      <c r="F11736" s="2890">
        <v>3.5733217891199641E-4</v>
      </c>
      <c r="G11736" s="2890">
        <v>0.90480919734597931</v>
      </c>
    </row>
    <row r="11737" spans="2:7" ht="15" hidden="1" outlineLevel="2">
      <c r="B11737" s="2889" t="s">
        <v>1637</v>
      </c>
      <c r="C11737" s="2889" t="s">
        <v>1500</v>
      </c>
      <c r="D11737" s="2889" t="s">
        <v>1054</v>
      </c>
      <c r="E11737" s="2889" t="s">
        <v>1420</v>
      </c>
      <c r="F11737" s="2890">
        <v>2.5882255354278214E-3</v>
      </c>
      <c r="G11737" s="2890">
        <v>9.7880655307719273</v>
      </c>
    </row>
    <row r="11738" spans="2:7" ht="15" hidden="1" outlineLevel="2">
      <c r="B11738" s="2889" t="s">
        <v>1637</v>
      </c>
      <c r="C11738" s="2889" t="s">
        <v>1501</v>
      </c>
      <c r="D11738" s="2889" t="s">
        <v>1054</v>
      </c>
      <c r="E11738" s="2889" t="s">
        <v>1420</v>
      </c>
      <c r="F11738" s="2890">
        <v>3.2461958749929595E-3</v>
      </c>
      <c r="G11738" s="2890">
        <v>23.834447922980527</v>
      </c>
    </row>
    <row r="11739" spans="2:7" ht="15" hidden="1" outlineLevel="2">
      <c r="B11739" s="2889" t="s">
        <v>1637</v>
      </c>
      <c r="C11739" s="2889" t="s">
        <v>1502</v>
      </c>
      <c r="D11739" s="2889" t="s">
        <v>1054</v>
      </c>
      <c r="E11739" s="2889" t="s">
        <v>1420</v>
      </c>
      <c r="F11739" s="2890">
        <v>2.2650394227638056E-4</v>
      </c>
      <c r="G11739" s="2890">
        <v>2.489780213601521</v>
      </c>
    </row>
    <row r="11740" spans="2:7" ht="15" hidden="1" outlineLevel="2">
      <c r="B11740" s="2889" t="s">
        <v>1637</v>
      </c>
      <c r="C11740" s="2889" t="s">
        <v>1503</v>
      </c>
      <c r="D11740" s="2889" t="s">
        <v>1054</v>
      </c>
      <c r="E11740" s="2889" t="s">
        <v>1420</v>
      </c>
      <c r="F11740" s="2890">
        <v>7.4698920924879024E-3</v>
      </c>
      <c r="G11740" s="2890">
        <v>20.62442563688138</v>
      </c>
    </row>
    <row r="11741" spans="2:7" ht="15" hidden="1" outlineLevel="2">
      <c r="B11741" s="2889" t="s">
        <v>1637</v>
      </c>
      <c r="C11741" s="2889" t="s">
        <v>1504</v>
      </c>
      <c r="D11741" s="2889" t="s">
        <v>1054</v>
      </c>
      <c r="E11741" s="2889" t="s">
        <v>1420</v>
      </c>
      <c r="F11741" s="2890">
        <v>3.8531867722628277E-3</v>
      </c>
      <c r="G11741" s="2890">
        <v>8.5290622387662811</v>
      </c>
    </row>
    <row r="11742" spans="2:7" ht="15" hidden="1" outlineLevel="2">
      <c r="B11742" s="2889" t="s">
        <v>1637</v>
      </c>
      <c r="C11742" s="2889" t="s">
        <v>1505</v>
      </c>
      <c r="D11742" s="2889" t="s">
        <v>1054</v>
      </c>
      <c r="E11742" s="2889" t="s">
        <v>1423</v>
      </c>
      <c r="F11742" s="2890">
        <v>1.0926796589862158E-2</v>
      </c>
      <c r="G11742" s="2890">
        <v>0.27041438970995041</v>
      </c>
    </row>
    <row r="11743" spans="2:7" ht="15" hidden="1" outlineLevel="2">
      <c r="B11743" s="2889" t="s">
        <v>1637</v>
      </c>
      <c r="C11743" s="2889" t="s">
        <v>1506</v>
      </c>
      <c r="D11743" s="2889" t="s">
        <v>1054</v>
      </c>
      <c r="E11743" s="2889" t="s">
        <v>1426</v>
      </c>
      <c r="F11743" s="2891"/>
      <c r="G11743" s="2890">
        <v>802.89173118326619</v>
      </c>
    </row>
    <row r="11744" spans="2:7" ht="15" hidden="1" outlineLevel="2">
      <c r="B11744" s="2889" t="s">
        <v>1637</v>
      </c>
      <c r="C11744" s="2889" t="s">
        <v>1507</v>
      </c>
      <c r="D11744" s="2889" t="s">
        <v>1054</v>
      </c>
      <c r="E11744" s="2889" t="s">
        <v>1426</v>
      </c>
      <c r="F11744" s="2891"/>
      <c r="G11744" s="2890">
        <v>1.3087685247288434</v>
      </c>
    </row>
    <row r="11745" spans="2:7" ht="15" hidden="1" outlineLevel="2">
      <c r="B11745" s="2889" t="s">
        <v>1637</v>
      </c>
      <c r="C11745" s="2889" t="s">
        <v>1508</v>
      </c>
      <c r="D11745" s="2889" t="s">
        <v>1054</v>
      </c>
      <c r="E11745" s="2889" t="s">
        <v>1426</v>
      </c>
      <c r="F11745" s="2891"/>
      <c r="G11745" s="2890">
        <v>21.561494429427956</v>
      </c>
    </row>
    <row r="11746" spans="2:7" ht="15" hidden="1" outlineLevel="2">
      <c r="B11746" s="2889" t="s">
        <v>1637</v>
      </c>
      <c r="C11746" s="2889" t="s">
        <v>1509</v>
      </c>
      <c r="D11746" s="2889" t="s">
        <v>1054</v>
      </c>
      <c r="E11746" s="2889" t="s">
        <v>1426</v>
      </c>
      <c r="F11746" s="2891"/>
      <c r="G11746" s="2890">
        <v>2009.7327424342986</v>
      </c>
    </row>
    <row r="11747" spans="2:7" ht="15" hidden="1" outlineLevel="2">
      <c r="B11747" s="2889" t="s">
        <v>1637</v>
      </c>
      <c r="C11747" s="2889" t="s">
        <v>1510</v>
      </c>
      <c r="D11747" s="2889" t="s">
        <v>1054</v>
      </c>
      <c r="E11747" s="2889" t="s">
        <v>1426</v>
      </c>
      <c r="F11747" s="2891"/>
      <c r="G11747" s="2890">
        <v>2186.1666266778593</v>
      </c>
    </row>
    <row r="11748" spans="2:7" ht="15" hidden="1" outlineLevel="2">
      <c r="B11748" s="2889" t="s">
        <v>1637</v>
      </c>
      <c r="C11748" s="2889" t="s">
        <v>1511</v>
      </c>
      <c r="D11748" s="2889" t="s">
        <v>1054</v>
      </c>
      <c r="E11748" s="2889" t="s">
        <v>1426</v>
      </c>
      <c r="F11748" s="2891"/>
      <c r="G11748" s="2890">
        <v>120.4433514679905</v>
      </c>
    </row>
    <row r="11749" spans="2:7" ht="15" hidden="1" outlineLevel="2">
      <c r="B11749" s="2889" t="s">
        <v>1637</v>
      </c>
      <c r="C11749" s="2889" t="s">
        <v>1512</v>
      </c>
      <c r="D11749" s="2889" t="s">
        <v>1054</v>
      </c>
      <c r="E11749" s="2889" t="s">
        <v>1426</v>
      </c>
      <c r="F11749" s="2891"/>
      <c r="G11749" s="2890">
        <v>74.341238947279678</v>
      </c>
    </row>
    <row r="11750" spans="2:7" ht="15" hidden="1" outlineLevel="2">
      <c r="B11750" s="2889" t="s">
        <v>1637</v>
      </c>
      <c r="C11750" s="2889" t="s">
        <v>1513</v>
      </c>
      <c r="D11750" s="2889" t="s">
        <v>1054</v>
      </c>
      <c r="E11750" s="2889" t="s">
        <v>1426</v>
      </c>
      <c r="F11750" s="2891"/>
      <c r="G11750" s="2890">
        <v>221.97917186101347</v>
      </c>
    </row>
    <row r="11751" spans="2:7" ht="15" hidden="1" outlineLevel="2">
      <c r="B11751" s="2889" t="s">
        <v>1637</v>
      </c>
      <c r="C11751" s="2889" t="s">
        <v>1514</v>
      </c>
      <c r="D11751" s="2889" t="s">
        <v>1054</v>
      </c>
      <c r="E11751" s="2889" t="s">
        <v>1426</v>
      </c>
      <c r="F11751" s="2891"/>
      <c r="G11751" s="2890">
        <v>953.44394057660077</v>
      </c>
    </row>
    <row r="11752" spans="2:7" ht="15" hidden="1" outlineLevel="2">
      <c r="B11752" s="2889" t="s">
        <v>1637</v>
      </c>
      <c r="C11752" s="2889" t="s">
        <v>1515</v>
      </c>
      <c r="D11752" s="2889" t="s">
        <v>1054</v>
      </c>
      <c r="E11752" s="2889" t="s">
        <v>1426</v>
      </c>
      <c r="F11752" s="2891"/>
      <c r="G11752" s="2890">
        <v>819.84991414170076</v>
      </c>
    </row>
    <row r="11753" spans="2:7" ht="15" hidden="1" outlineLevel="2">
      <c r="B11753" s="2889" t="s">
        <v>1637</v>
      </c>
      <c r="C11753" s="2889" t="s">
        <v>1516</v>
      </c>
      <c r="D11753" s="2889" t="s">
        <v>1054</v>
      </c>
      <c r="E11753" s="2889" t="s">
        <v>1426</v>
      </c>
      <c r="F11753" s="2891"/>
      <c r="G11753" s="2890">
        <v>8144.6762145989469</v>
      </c>
    </row>
    <row r="11754" spans="2:7" ht="15" hidden="1" outlineLevel="2">
      <c r="B11754" s="2889" t="s">
        <v>1637</v>
      </c>
      <c r="C11754" s="2889" t="s">
        <v>1517</v>
      </c>
      <c r="D11754" s="2889" t="s">
        <v>1054</v>
      </c>
      <c r="E11754" s="2889" t="s">
        <v>1426</v>
      </c>
      <c r="F11754" s="2891"/>
      <c r="G11754" s="2890">
        <v>67.559722174654482</v>
      </c>
    </row>
    <row r="11755" spans="2:7" ht="15" hidden="1" outlineLevel="2">
      <c r="B11755" s="2889" t="s">
        <v>1637</v>
      </c>
      <c r="C11755" s="2889" t="s">
        <v>1518</v>
      </c>
      <c r="D11755" s="2889" t="s">
        <v>1054</v>
      </c>
      <c r="E11755" s="2889" t="s">
        <v>1426</v>
      </c>
      <c r="F11755" s="2891"/>
      <c r="G11755" s="2890">
        <v>31.911540982111962</v>
      </c>
    </row>
    <row r="11756" spans="2:7" ht="15" hidden="1" outlineLevel="2">
      <c r="B11756" s="2889" t="s">
        <v>1637</v>
      </c>
      <c r="C11756" s="2889" t="s">
        <v>1519</v>
      </c>
      <c r="D11756" s="2889" t="s">
        <v>1054</v>
      </c>
      <c r="E11756" s="2889" t="s">
        <v>1426</v>
      </c>
      <c r="F11756" s="2891"/>
      <c r="G11756" s="2890">
        <v>1860.1735680706904</v>
      </c>
    </row>
    <row r="11757" spans="2:7" ht="15" hidden="1" outlineLevel="2">
      <c r="B11757" s="2889" t="s">
        <v>1637</v>
      </c>
      <c r="C11757" s="2889" t="s">
        <v>1520</v>
      </c>
      <c r="D11757" s="2889" t="s">
        <v>1054</v>
      </c>
      <c r="E11757" s="2889" t="s">
        <v>1426</v>
      </c>
      <c r="F11757" s="2891"/>
      <c r="G11757" s="2890">
        <v>2026.3449241715543</v>
      </c>
    </row>
    <row r="11758" spans="2:7" ht="15" hidden="1" outlineLevel="2">
      <c r="B11758" s="2889" t="s">
        <v>1637</v>
      </c>
      <c r="C11758" s="2889" t="s">
        <v>1521</v>
      </c>
      <c r="D11758" s="2889" t="s">
        <v>1054</v>
      </c>
      <c r="E11758" s="2889" t="s">
        <v>1426</v>
      </c>
      <c r="F11758" s="2891"/>
      <c r="G11758" s="2890">
        <v>6966.0907475788317</v>
      </c>
    </row>
    <row r="11759" spans="2:7" ht="15" hidden="1" outlineLevel="2">
      <c r="B11759" s="2889" t="s">
        <v>1637</v>
      </c>
      <c r="C11759" s="2889" t="s">
        <v>1522</v>
      </c>
      <c r="D11759" s="2889" t="s">
        <v>1054</v>
      </c>
      <c r="E11759" s="2889" t="s">
        <v>1426</v>
      </c>
      <c r="F11759" s="2891"/>
      <c r="G11759" s="2890">
        <v>327.95394574102789</v>
      </c>
    </row>
    <row r="11760" spans="2:7" ht="15" hidden="1" outlineLevel="2">
      <c r="B11760" s="2889" t="s">
        <v>1637</v>
      </c>
      <c r="C11760" s="2889" t="s">
        <v>1523</v>
      </c>
      <c r="D11760" s="2889" t="s">
        <v>1054</v>
      </c>
      <c r="E11760" s="2889" t="s">
        <v>1426</v>
      </c>
      <c r="F11760" s="2891"/>
      <c r="G11760" s="2890">
        <v>2607.0133978148856</v>
      </c>
    </row>
    <row r="11761" spans="2:7" ht="15" hidden="1" outlineLevel="2">
      <c r="B11761" s="2889" t="s">
        <v>1637</v>
      </c>
      <c r="C11761" s="2889" t="s">
        <v>1524</v>
      </c>
      <c r="D11761" s="2889" t="s">
        <v>1054</v>
      </c>
      <c r="E11761" s="2889" t="s">
        <v>1426</v>
      </c>
      <c r="F11761" s="2891"/>
      <c r="G11761" s="2890">
        <v>8865.1392177401758</v>
      </c>
    </row>
    <row r="11762" spans="2:7" ht="15" hidden="1" outlineLevel="2">
      <c r="B11762" s="2889" t="s">
        <v>1637</v>
      </c>
      <c r="C11762" s="2889" t="s">
        <v>1525</v>
      </c>
      <c r="D11762" s="2889" t="s">
        <v>1054</v>
      </c>
      <c r="E11762" s="2889" t="s">
        <v>1426</v>
      </c>
      <c r="F11762" s="2891"/>
      <c r="G11762" s="2890">
        <v>5376.1700710256728</v>
      </c>
    </row>
    <row r="11763" spans="2:7" ht="15" hidden="1" outlineLevel="2">
      <c r="B11763" s="2889" t="s">
        <v>1637</v>
      </c>
      <c r="C11763" s="2889" t="s">
        <v>1526</v>
      </c>
      <c r="D11763" s="2889" t="s">
        <v>1054</v>
      </c>
      <c r="E11763" s="2889" t="s">
        <v>1426</v>
      </c>
      <c r="F11763" s="2891"/>
      <c r="G11763" s="2890">
        <v>8113.3369644978775</v>
      </c>
    </row>
    <row r="11764" spans="2:7" ht="15" hidden="1" outlineLevel="2">
      <c r="B11764" s="2889" t="s">
        <v>1637</v>
      </c>
      <c r="C11764" s="2889" t="s">
        <v>1527</v>
      </c>
      <c r="D11764" s="2889" t="s">
        <v>1054</v>
      </c>
      <c r="E11764" s="2889" t="s">
        <v>1426</v>
      </c>
      <c r="F11764" s="2891"/>
      <c r="G11764" s="2890">
        <v>3686.3919701787195</v>
      </c>
    </row>
    <row r="11765" spans="2:7" ht="15" hidden="1" outlineLevel="2">
      <c r="B11765" s="2889" t="s">
        <v>1637</v>
      </c>
      <c r="C11765" s="2889" t="s">
        <v>1528</v>
      </c>
      <c r="D11765" s="2889" t="s">
        <v>1054</v>
      </c>
      <c r="E11765" s="2889" t="s">
        <v>1426</v>
      </c>
      <c r="F11765" s="2891"/>
      <c r="G11765" s="2890">
        <v>872.68612691120302</v>
      </c>
    </row>
    <row r="11766" spans="2:7" ht="15" hidden="1" outlineLevel="2">
      <c r="B11766" s="2889" t="s">
        <v>1637</v>
      </c>
      <c r="C11766" s="2889" t="s">
        <v>1529</v>
      </c>
      <c r="D11766" s="2889" t="s">
        <v>1054</v>
      </c>
      <c r="E11766" s="2889" t="s">
        <v>1426</v>
      </c>
      <c r="F11766" s="2891"/>
      <c r="G11766" s="2890">
        <v>11.358055354173326</v>
      </c>
    </row>
    <row r="11767" spans="2:7" ht="15" hidden="1" outlineLevel="2">
      <c r="B11767" s="2889" t="s">
        <v>1637</v>
      </c>
      <c r="C11767" s="2889" t="s">
        <v>1530</v>
      </c>
      <c r="D11767" s="2889" t="s">
        <v>1054</v>
      </c>
      <c r="E11767" s="2889" t="s">
        <v>1426</v>
      </c>
      <c r="F11767" s="2891"/>
      <c r="G11767" s="2890">
        <v>836.24074139148729</v>
      </c>
    </row>
    <row r="11768" spans="2:7" ht="15" hidden="1" outlineLevel="2">
      <c r="B11768" s="2889" t="s">
        <v>1637</v>
      </c>
      <c r="C11768" s="2889" t="s">
        <v>1531</v>
      </c>
      <c r="D11768" s="2889" t="s">
        <v>1106</v>
      </c>
      <c r="E11768" s="2889" t="s">
        <v>217</v>
      </c>
      <c r="F11768" s="2890">
        <v>1.0129882113497628E-4</v>
      </c>
      <c r="G11768" s="2890">
        <v>4.5412127678293696E-2</v>
      </c>
    </row>
    <row r="11769" spans="2:7" ht="15" hidden="1" outlineLevel="2">
      <c r="B11769" s="2889" t="s">
        <v>1637</v>
      </c>
      <c r="C11769" s="2889" t="s">
        <v>1532</v>
      </c>
      <c r="D11769" s="2889" t="s">
        <v>1106</v>
      </c>
      <c r="E11769" s="2889" t="s">
        <v>217</v>
      </c>
      <c r="F11769" s="2890">
        <v>7.9781764293924906E-6</v>
      </c>
      <c r="G11769" s="2890">
        <v>3.5766031174506111E-3</v>
      </c>
    </row>
    <row r="11770" spans="2:7" ht="15" hidden="1" outlineLevel="2">
      <c r="B11770" s="2889" t="s">
        <v>1637</v>
      </c>
      <c r="C11770" s="2889" t="s">
        <v>1533</v>
      </c>
      <c r="D11770" s="2889" t="s">
        <v>1106</v>
      </c>
      <c r="E11770" s="2889" t="s">
        <v>217</v>
      </c>
      <c r="F11770" s="2890">
        <v>5.1720938974191806E-3</v>
      </c>
      <c r="G11770" s="2890">
        <v>5.5236816032044196</v>
      </c>
    </row>
    <row r="11771" spans="2:7" ht="15" hidden="1" outlineLevel="2">
      <c r="B11771" s="2889" t="s">
        <v>1637</v>
      </c>
      <c r="C11771" s="2889" t="s">
        <v>1534</v>
      </c>
      <c r="D11771" s="2889" t="s">
        <v>1106</v>
      </c>
      <c r="E11771" s="2889" t="s">
        <v>217</v>
      </c>
      <c r="F11771" s="2890">
        <v>4.7020147561236073E-3</v>
      </c>
      <c r="G11771" s="2890">
        <v>16.357114774187643</v>
      </c>
    </row>
    <row r="11772" spans="2:7" ht="15" hidden="1" outlineLevel="2">
      <c r="B11772" s="2889" t="s">
        <v>1637</v>
      </c>
      <c r="C11772" s="2889" t="s">
        <v>1535</v>
      </c>
      <c r="D11772" s="2889" t="s">
        <v>1106</v>
      </c>
      <c r="E11772" s="2889" t="s">
        <v>217</v>
      </c>
      <c r="F11772" s="2890">
        <v>1.7580310051601271E-3</v>
      </c>
      <c r="G11772" s="2890">
        <v>4.1310255666613829</v>
      </c>
    </row>
    <row r="11773" spans="2:7" ht="15" hidden="1" outlineLevel="2">
      <c r="B11773" s="2889" t="s">
        <v>1637</v>
      </c>
      <c r="C11773" s="2889" t="s">
        <v>1536</v>
      </c>
      <c r="D11773" s="2889" t="s">
        <v>1106</v>
      </c>
      <c r="E11773" s="2889" t="s">
        <v>217</v>
      </c>
      <c r="F11773" s="2890">
        <v>5.8975908706915192E-3</v>
      </c>
      <c r="G11773" s="2890">
        <v>7.7000446571930246</v>
      </c>
    </row>
    <row r="11774" spans="2:7" ht="15" hidden="1" outlineLevel="2">
      <c r="B11774" s="2889" t="s">
        <v>1637</v>
      </c>
      <c r="C11774" s="2889" t="s">
        <v>1537</v>
      </c>
      <c r="D11774" s="2889" t="s">
        <v>1106</v>
      </c>
      <c r="E11774" s="2889" t="s">
        <v>217</v>
      </c>
      <c r="F11774" s="2890">
        <v>3.3038454527298115E-4</v>
      </c>
      <c r="G11774" s="2890">
        <v>0.37832373067709929</v>
      </c>
    </row>
    <row r="11775" spans="2:7" ht="15" hidden="1" outlineLevel="2">
      <c r="B11775" s="2889" t="s">
        <v>1637</v>
      </c>
      <c r="C11775" s="2889" t="s">
        <v>1538</v>
      </c>
      <c r="D11775" s="2889" t="s">
        <v>1106</v>
      </c>
      <c r="E11775" s="2889" t="s">
        <v>217</v>
      </c>
      <c r="F11775" s="2890">
        <v>6.4783684540575717E-4</v>
      </c>
      <c r="G11775" s="2890">
        <v>0.87696995931548771</v>
      </c>
    </row>
    <row r="11776" spans="2:7" ht="15" hidden="1" outlineLevel="2">
      <c r="B11776" s="2889" t="s">
        <v>1637</v>
      </c>
      <c r="C11776" s="2889" t="s">
        <v>1539</v>
      </c>
      <c r="D11776" s="2889" t="s">
        <v>1106</v>
      </c>
      <c r="E11776" s="2889" t="s">
        <v>217</v>
      </c>
      <c r="F11776" s="2890">
        <v>1.2970950753968719E-4</v>
      </c>
      <c r="G11776" s="2890">
        <v>1.667911057742447</v>
      </c>
    </row>
    <row r="11777" spans="2:7" ht="15" hidden="1" outlineLevel="2">
      <c r="B11777" s="2889" t="s">
        <v>1637</v>
      </c>
      <c r="C11777" s="2889" t="s">
        <v>1540</v>
      </c>
      <c r="D11777" s="2889" t="s">
        <v>1106</v>
      </c>
      <c r="E11777" s="2889" t="s">
        <v>1420</v>
      </c>
      <c r="F11777" s="2890">
        <v>5.7663558551410247E-3</v>
      </c>
      <c r="G11777" s="2890">
        <v>13.993033509882629</v>
      </c>
    </row>
    <row r="11778" spans="2:7" ht="15" hidden="1" outlineLevel="2">
      <c r="B11778" s="2889" t="s">
        <v>1637</v>
      </c>
      <c r="C11778" s="2889" t="s">
        <v>1541</v>
      </c>
      <c r="D11778" s="2889" t="s">
        <v>1106</v>
      </c>
      <c r="E11778" s="2889" t="s">
        <v>1420</v>
      </c>
      <c r="F11778" s="2890">
        <v>0.16804520000692319</v>
      </c>
      <c r="G11778" s="2890">
        <v>1237.199990567354</v>
      </c>
    </row>
    <row r="11779" spans="2:7" ht="15" hidden="1" outlineLevel="2">
      <c r="B11779" s="2889" t="s">
        <v>1637</v>
      </c>
      <c r="C11779" s="2889" t="s">
        <v>1542</v>
      </c>
      <c r="D11779" s="2889" t="s">
        <v>1106</v>
      </c>
      <c r="E11779" s="2889" t="s">
        <v>1420</v>
      </c>
      <c r="F11779" s="2890">
        <v>8.173619197144969E-4</v>
      </c>
      <c r="G11779" s="2890">
        <v>9.3532533369181419</v>
      </c>
    </row>
    <row r="11780" spans="2:7" ht="15" hidden="1" outlineLevel="2">
      <c r="B11780" s="2889" t="s">
        <v>1637</v>
      </c>
      <c r="C11780" s="2889" t="s">
        <v>1543</v>
      </c>
      <c r="D11780" s="2889" t="s">
        <v>1106</v>
      </c>
      <c r="E11780" s="2889" t="s">
        <v>1420</v>
      </c>
      <c r="F11780" s="2890">
        <v>2.9619177637818544E-4</v>
      </c>
      <c r="G11780" s="2890">
        <v>2.8990767306870553</v>
      </c>
    </row>
    <row r="11781" spans="2:7" ht="15" hidden="1" outlineLevel="2">
      <c r="B11781" s="2889" t="s">
        <v>1637</v>
      </c>
      <c r="C11781" s="2889" t="s">
        <v>1544</v>
      </c>
      <c r="D11781" s="2889" t="s">
        <v>1106</v>
      </c>
      <c r="E11781" s="2889" t="s">
        <v>1420</v>
      </c>
      <c r="F11781" s="2890">
        <v>2.8628641042086056E-4</v>
      </c>
      <c r="G11781" s="2890">
        <v>0.74801187827796256</v>
      </c>
    </row>
    <row r="11782" spans="2:7" ht="15" hidden="1" outlineLevel="2">
      <c r="B11782" s="2889" t="s">
        <v>1637</v>
      </c>
      <c r="C11782" s="2889" t="s">
        <v>1545</v>
      </c>
      <c r="D11782" s="2889" t="s">
        <v>1106</v>
      </c>
      <c r="E11782" s="2889" t="s">
        <v>1420</v>
      </c>
      <c r="F11782" s="2890">
        <v>2.8629844213809441E-4</v>
      </c>
      <c r="G11782" s="2890">
        <v>5.6895262571402343</v>
      </c>
    </row>
    <row r="11783" spans="2:7" ht="15" hidden="1" outlineLevel="2">
      <c r="B11783" s="2889" t="s">
        <v>1637</v>
      </c>
      <c r="C11783" s="2889" t="s">
        <v>1546</v>
      </c>
      <c r="D11783" s="2889" t="s">
        <v>1106</v>
      </c>
      <c r="E11783" s="2889" t="s">
        <v>1423</v>
      </c>
      <c r="F11783" s="2890">
        <v>0.86786982752524555</v>
      </c>
      <c r="G11783" s="2890">
        <v>73.036230513804767</v>
      </c>
    </row>
    <row r="11784" spans="2:7" ht="15" hidden="1" outlineLevel="2">
      <c r="B11784" s="2889" t="s">
        <v>1637</v>
      </c>
      <c r="C11784" s="2889" t="s">
        <v>1547</v>
      </c>
      <c r="D11784" s="2889" t="s">
        <v>1106</v>
      </c>
      <c r="E11784" s="2889" t="s">
        <v>1423</v>
      </c>
      <c r="F11784" s="2890">
        <v>9.4793575132498488E-4</v>
      </c>
      <c r="G11784" s="2890">
        <v>8.3008300618627268E-2</v>
      </c>
    </row>
    <row r="11785" spans="2:7" ht="15" hidden="1" outlineLevel="2">
      <c r="B11785" s="2889" t="s">
        <v>1637</v>
      </c>
      <c r="C11785" s="2889" t="s">
        <v>1548</v>
      </c>
      <c r="D11785" s="2889" t="s">
        <v>1106</v>
      </c>
      <c r="E11785" s="2889" t="s">
        <v>1423</v>
      </c>
      <c r="F11785" s="2890">
        <v>4.4230605894177188E-4</v>
      </c>
      <c r="G11785" s="2890">
        <v>4.5331826882669485E-2</v>
      </c>
    </row>
    <row r="11786" spans="2:7" ht="15" hidden="1" outlineLevel="2">
      <c r="B11786" s="2889" t="s">
        <v>1637</v>
      </c>
      <c r="C11786" s="2889" t="s">
        <v>1549</v>
      </c>
      <c r="D11786" s="2889" t="s">
        <v>1106</v>
      </c>
      <c r="E11786" s="2889" t="s">
        <v>1423</v>
      </c>
      <c r="F11786" s="2890">
        <v>8.4068897585988442E-3</v>
      </c>
      <c r="G11786" s="2890">
        <v>0.82786003444082434</v>
      </c>
    </row>
    <row r="11787" spans="2:7" ht="15" hidden="1" outlineLevel="2">
      <c r="B11787" s="2889" t="s">
        <v>1637</v>
      </c>
      <c r="C11787" s="2889" t="s">
        <v>1550</v>
      </c>
      <c r="D11787" s="2889" t="s">
        <v>1106</v>
      </c>
      <c r="E11787" s="2889" t="s">
        <v>1423</v>
      </c>
      <c r="F11787" s="2890">
        <v>1.5062470471717943E-3</v>
      </c>
      <c r="G11787" s="2890">
        <v>0.33872230738413489</v>
      </c>
    </row>
    <row r="11788" spans="2:7" ht="15" hidden="1" outlineLevel="2">
      <c r="B11788" s="2889" t="s">
        <v>1637</v>
      </c>
      <c r="C11788" s="2889" t="s">
        <v>1551</v>
      </c>
      <c r="D11788" s="2889" t="s">
        <v>1106</v>
      </c>
      <c r="E11788" s="2889" t="s">
        <v>1426</v>
      </c>
      <c r="F11788" s="2891"/>
      <c r="G11788" s="2890">
        <v>22.766112881333186</v>
      </c>
    </row>
    <row r="11789" spans="2:7" ht="15" hidden="1" outlineLevel="2">
      <c r="B11789" s="2889" t="s">
        <v>1637</v>
      </c>
      <c r="C11789" s="2889" t="s">
        <v>1552</v>
      </c>
      <c r="D11789" s="2889" t="s">
        <v>1106</v>
      </c>
      <c r="E11789" s="2889" t="s">
        <v>1426</v>
      </c>
      <c r="F11789" s="2891"/>
      <c r="G11789" s="2890">
        <v>330.34935218717442</v>
      </c>
    </row>
    <row r="11790" spans="2:7" ht="15" hidden="1" outlineLevel="2">
      <c r="B11790" s="2889" t="s">
        <v>1637</v>
      </c>
      <c r="C11790" s="2889" t="s">
        <v>1553</v>
      </c>
      <c r="D11790" s="2889" t="s">
        <v>1106</v>
      </c>
      <c r="E11790" s="2889" t="s">
        <v>1426</v>
      </c>
      <c r="F11790" s="2891"/>
      <c r="G11790" s="2890">
        <v>144.18660601624151</v>
      </c>
    </row>
    <row r="11791" spans="2:7" ht="15" hidden="1" outlineLevel="2">
      <c r="B11791" s="2889" t="s">
        <v>1637</v>
      </c>
      <c r="C11791" s="2889" t="s">
        <v>1554</v>
      </c>
      <c r="D11791" s="2889" t="s">
        <v>1106</v>
      </c>
      <c r="E11791" s="2889" t="s">
        <v>1426</v>
      </c>
      <c r="F11791" s="2891"/>
      <c r="G11791" s="2890">
        <v>146.34783390126188</v>
      </c>
    </row>
    <row r="11792" spans="2:7" ht="15" hidden="1" outlineLevel="2">
      <c r="B11792" s="2889" t="s">
        <v>1637</v>
      </c>
      <c r="C11792" s="2889" t="s">
        <v>1555</v>
      </c>
      <c r="D11792" s="2889" t="s">
        <v>1106</v>
      </c>
      <c r="E11792" s="2889" t="s">
        <v>1426</v>
      </c>
      <c r="F11792" s="2891"/>
      <c r="G11792" s="2890">
        <v>5.6261341391241579</v>
      </c>
    </row>
    <row r="11793" spans="2:7" ht="15" hidden="1" outlineLevel="2">
      <c r="B11793" s="2889" t="s">
        <v>1637</v>
      </c>
      <c r="C11793" s="2889" t="s">
        <v>1556</v>
      </c>
      <c r="D11793" s="2889" t="s">
        <v>1106</v>
      </c>
      <c r="E11793" s="2889" t="s">
        <v>1426</v>
      </c>
      <c r="F11793" s="2891"/>
      <c r="G11793" s="2890">
        <v>2408.0360283179816</v>
      </c>
    </row>
    <row r="11794" spans="2:7" ht="15" hidden="1" outlineLevel="2">
      <c r="B11794" s="2889" t="s">
        <v>1637</v>
      </c>
      <c r="C11794" s="2889" t="s">
        <v>1557</v>
      </c>
      <c r="D11794" s="2889" t="s">
        <v>1106</v>
      </c>
      <c r="E11794" s="2889" t="s">
        <v>1426</v>
      </c>
      <c r="F11794" s="2891"/>
      <c r="G11794" s="2890">
        <v>207.98024047999135</v>
      </c>
    </row>
    <row r="11795" spans="2:7" ht="15" hidden="1" outlineLevel="2">
      <c r="B11795" s="2889" t="s">
        <v>1637</v>
      </c>
      <c r="C11795" s="2889" t="s">
        <v>1558</v>
      </c>
      <c r="D11795" s="2889" t="s">
        <v>1559</v>
      </c>
      <c r="E11795" s="2889" t="s">
        <v>217</v>
      </c>
      <c r="F11795" s="2890">
        <v>8.5768072969746294E-3</v>
      </c>
      <c r="G11795" s="2890">
        <v>4.6971017599245304</v>
      </c>
    </row>
    <row r="11796" spans="2:7" ht="15" hidden="1" outlineLevel="2">
      <c r="B11796" s="2889" t="s">
        <v>1637</v>
      </c>
      <c r="C11796" s="2889" t="s">
        <v>1560</v>
      </c>
      <c r="D11796" s="2889" t="s">
        <v>1559</v>
      </c>
      <c r="E11796" s="2889" t="s">
        <v>217</v>
      </c>
      <c r="F11796" s="2890">
        <v>3.0091403410875243E-2</v>
      </c>
      <c r="G11796" s="2890">
        <v>16.239480319252213</v>
      </c>
    </row>
    <row r="11797" spans="2:7" ht="15" hidden="1" outlineLevel="2">
      <c r="B11797" s="2889" t="s">
        <v>1637</v>
      </c>
      <c r="C11797" s="2889" t="s">
        <v>1561</v>
      </c>
      <c r="D11797" s="2889" t="s">
        <v>1559</v>
      </c>
      <c r="E11797" s="2889" t="s">
        <v>217</v>
      </c>
      <c r="F11797" s="2890">
        <v>0.12305875093065141</v>
      </c>
      <c r="G11797" s="2890">
        <v>64.166326787783504</v>
      </c>
    </row>
    <row r="11798" spans="2:7" ht="15" hidden="1" outlineLevel="2">
      <c r="B11798" s="2889" t="s">
        <v>1637</v>
      </c>
      <c r="C11798" s="2889" t="s">
        <v>1562</v>
      </c>
      <c r="D11798" s="2889" t="s">
        <v>1559</v>
      </c>
      <c r="E11798" s="2889" t="s">
        <v>217</v>
      </c>
      <c r="F11798" s="2890">
        <v>0.3296014808337831</v>
      </c>
      <c r="G11798" s="2890">
        <v>180.7281132546882</v>
      </c>
    </row>
    <row r="11799" spans="2:7" ht="15" hidden="1" outlineLevel="2">
      <c r="B11799" s="2889" t="s">
        <v>1637</v>
      </c>
      <c r="C11799" s="2889" t="s">
        <v>1563</v>
      </c>
      <c r="D11799" s="2889" t="s">
        <v>1559</v>
      </c>
      <c r="E11799" s="2889" t="s">
        <v>217</v>
      </c>
      <c r="F11799" s="2890">
        <v>0.15173744014584001</v>
      </c>
      <c r="G11799" s="2890">
        <v>89.418835406650558</v>
      </c>
    </row>
    <row r="11800" spans="2:7" ht="15" hidden="1" outlineLevel="2">
      <c r="B11800" s="2889" t="s">
        <v>1637</v>
      </c>
      <c r="C11800" s="2889" t="s">
        <v>1564</v>
      </c>
      <c r="D11800" s="2889" t="s">
        <v>1559</v>
      </c>
      <c r="E11800" s="2889" t="s">
        <v>217</v>
      </c>
      <c r="F11800" s="2890">
        <v>0.3112488984792432</v>
      </c>
      <c r="G11800" s="2890">
        <v>157.59169837484561</v>
      </c>
    </row>
    <row r="11801" spans="2:7" ht="15" hidden="1" outlineLevel="2">
      <c r="B11801" s="2889" t="s">
        <v>1637</v>
      </c>
      <c r="C11801" s="2889" t="s">
        <v>1565</v>
      </c>
      <c r="D11801" s="2889" t="s">
        <v>1559</v>
      </c>
      <c r="E11801" s="2889" t="s">
        <v>217</v>
      </c>
      <c r="F11801" s="2890">
        <v>0.1069541625967861</v>
      </c>
      <c r="G11801" s="2890">
        <v>57.549801655713274</v>
      </c>
    </row>
    <row r="11802" spans="2:7" ht="15" hidden="1" outlineLevel="2">
      <c r="B11802" s="2889" t="s">
        <v>1637</v>
      </c>
      <c r="C11802" s="2889" t="s">
        <v>1566</v>
      </c>
      <c r="D11802" s="2889" t="s">
        <v>1559</v>
      </c>
      <c r="E11802" s="2889" t="s">
        <v>217</v>
      </c>
      <c r="F11802" s="2890">
        <v>0.27471140523035309</v>
      </c>
      <c r="G11802" s="2890">
        <v>147.15320898713574</v>
      </c>
    </row>
    <row r="11803" spans="2:7" ht="15" hidden="1" outlineLevel="2">
      <c r="B11803" s="2889" t="s">
        <v>1637</v>
      </c>
      <c r="C11803" s="2889" t="s">
        <v>1567</v>
      </c>
      <c r="D11803" s="2889" t="s">
        <v>1559</v>
      </c>
      <c r="E11803" s="2889" t="s">
        <v>217</v>
      </c>
      <c r="F11803" s="2890">
        <v>0.18608258845993064</v>
      </c>
      <c r="G11803" s="2890">
        <v>27.390400045116149</v>
      </c>
    </row>
    <row r="11804" spans="2:7" ht="15" hidden="1" outlineLevel="2">
      <c r="B11804" s="2889" t="s">
        <v>1637</v>
      </c>
      <c r="C11804" s="2889" t="s">
        <v>1568</v>
      </c>
      <c r="D11804" s="2889" t="s">
        <v>1559</v>
      </c>
      <c r="E11804" s="2889" t="s">
        <v>217</v>
      </c>
      <c r="F11804" s="2890">
        <v>0.31945480451186631</v>
      </c>
      <c r="G11804" s="2890">
        <v>47.022549875325232</v>
      </c>
    </row>
    <row r="11805" spans="2:7" ht="15" hidden="1" outlineLevel="2">
      <c r="B11805" s="2889" t="s">
        <v>1637</v>
      </c>
      <c r="C11805" s="2889" t="s">
        <v>1569</v>
      </c>
      <c r="D11805" s="2889" t="s">
        <v>1559</v>
      </c>
      <c r="E11805" s="2889" t="s">
        <v>217</v>
      </c>
      <c r="F11805" s="2890">
        <v>1.3458189667558778E-4</v>
      </c>
      <c r="G11805" s="2890">
        <v>6.7261497345630472E-2</v>
      </c>
    </row>
    <row r="11806" spans="2:7" ht="15" hidden="1" outlineLevel="2">
      <c r="B11806" s="2889" t="s">
        <v>1637</v>
      </c>
      <c r="C11806" s="2889" t="s">
        <v>1570</v>
      </c>
      <c r="D11806" s="2889" t="s">
        <v>1559</v>
      </c>
      <c r="E11806" s="2889" t="s">
        <v>217</v>
      </c>
      <c r="F11806" s="2890">
        <v>1.2909933443198975</v>
      </c>
      <c r="G11806" s="2890">
        <v>801.6312234729013</v>
      </c>
    </row>
    <row r="11807" spans="2:7" ht="15" hidden="1" outlineLevel="2">
      <c r="B11807" s="2889" t="s">
        <v>1637</v>
      </c>
      <c r="C11807" s="2889" t="s">
        <v>1571</v>
      </c>
      <c r="D11807" s="2889" t="s">
        <v>1559</v>
      </c>
      <c r="E11807" s="2889" t="s">
        <v>217</v>
      </c>
      <c r="F11807" s="2890">
        <v>0.3850987219207016</v>
      </c>
      <c r="G11807" s="2890">
        <v>459.37769890089885</v>
      </c>
    </row>
    <row r="11808" spans="2:7" ht="15" hidden="1" outlineLevel="2">
      <c r="B11808" s="2889" t="s">
        <v>1637</v>
      </c>
      <c r="C11808" s="2889" t="s">
        <v>1572</v>
      </c>
      <c r="D11808" s="2889" t="s">
        <v>1559</v>
      </c>
      <c r="E11808" s="2889" t="s">
        <v>217</v>
      </c>
      <c r="F11808" s="2890">
        <v>0.10913448927354881</v>
      </c>
      <c r="G11808" s="2890">
        <v>67.217842974182858</v>
      </c>
    </row>
    <row r="11809" spans="2:7" ht="15" hidden="1" outlineLevel="2">
      <c r="B11809" s="2889" t="s">
        <v>1637</v>
      </c>
      <c r="C11809" s="2889" t="s">
        <v>1573</v>
      </c>
      <c r="D11809" s="2889" t="s">
        <v>1559</v>
      </c>
      <c r="E11809" s="2889" t="s">
        <v>217</v>
      </c>
      <c r="F11809" s="2890">
        <v>0.3121478945168803</v>
      </c>
      <c r="G11809" s="2890">
        <v>233.82733557430015</v>
      </c>
    </row>
    <row r="11810" spans="2:7" ht="15" hidden="1" outlineLevel="2">
      <c r="B11810" s="2889" t="s">
        <v>1637</v>
      </c>
      <c r="C11810" s="2889" t="s">
        <v>1574</v>
      </c>
      <c r="D11810" s="2889" t="s">
        <v>1559</v>
      </c>
      <c r="E11810" s="2889" t="s">
        <v>217</v>
      </c>
      <c r="F11810" s="2890">
        <v>5.9152307862599353E-3</v>
      </c>
      <c r="G11810" s="2890">
        <v>4.4626683080922778</v>
      </c>
    </row>
    <row r="11811" spans="2:7" ht="15" hidden="1" outlineLevel="2">
      <c r="B11811" s="2889" t="s">
        <v>1637</v>
      </c>
      <c r="C11811" s="2889" t="s">
        <v>1575</v>
      </c>
      <c r="D11811" s="2889" t="s">
        <v>1559</v>
      </c>
      <c r="E11811" s="2889" t="s">
        <v>217</v>
      </c>
      <c r="F11811" s="2890">
        <v>8.5577683909762274E-3</v>
      </c>
      <c r="G11811" s="2890">
        <v>10.641424192095986</v>
      </c>
    </row>
    <row r="11812" spans="2:7" ht="15" hidden="1" outlineLevel="2">
      <c r="B11812" s="2889" t="s">
        <v>1637</v>
      </c>
      <c r="C11812" s="2889" t="s">
        <v>1576</v>
      </c>
      <c r="D11812" s="2889" t="s">
        <v>1559</v>
      </c>
      <c r="E11812" s="2889" t="s">
        <v>217</v>
      </c>
      <c r="F11812" s="2890">
        <v>1.1258222819641422E-2</v>
      </c>
      <c r="G11812" s="2890">
        <v>8.5139774189503612</v>
      </c>
    </row>
    <row r="11813" spans="2:7" ht="15" hidden="1" outlineLevel="2">
      <c r="B11813" s="2889" t="s">
        <v>1637</v>
      </c>
      <c r="C11813" s="2889" t="s">
        <v>1577</v>
      </c>
      <c r="D11813" s="2889" t="s">
        <v>1559</v>
      </c>
      <c r="E11813" s="2889" t="s">
        <v>217</v>
      </c>
      <c r="F11813" s="2890">
        <v>0.2809564021833541</v>
      </c>
      <c r="G11813" s="2890">
        <v>439.01355547551594</v>
      </c>
    </row>
    <row r="11814" spans="2:7" ht="15" hidden="1" outlineLevel="2">
      <c r="B11814" s="2889" t="s">
        <v>1637</v>
      </c>
      <c r="C11814" s="2889" t="s">
        <v>1578</v>
      </c>
      <c r="D11814" s="2889" t="s">
        <v>1559</v>
      </c>
      <c r="E11814" s="2889" t="s">
        <v>217</v>
      </c>
      <c r="F11814" s="2890">
        <v>0.16104618287691144</v>
      </c>
      <c r="G11814" s="2890">
        <v>88.494067723472384</v>
      </c>
    </row>
    <row r="11815" spans="2:7" ht="15" hidden="1" outlineLevel="2">
      <c r="B11815" s="2889" t="s">
        <v>1637</v>
      </c>
      <c r="C11815" s="2889" t="s">
        <v>1579</v>
      </c>
      <c r="D11815" s="2889" t="s">
        <v>1559</v>
      </c>
      <c r="E11815" s="2889" t="s">
        <v>217</v>
      </c>
      <c r="F11815" s="2890">
        <v>0.27651770406334297</v>
      </c>
      <c r="G11815" s="2890">
        <v>151.9228297789748</v>
      </c>
    </row>
    <row r="11816" spans="2:7" ht="15" hidden="1" outlineLevel="2">
      <c r="B11816" s="2889" t="s">
        <v>1637</v>
      </c>
      <c r="C11816" s="2889" t="s">
        <v>1580</v>
      </c>
      <c r="D11816" s="2889" t="s">
        <v>1559</v>
      </c>
      <c r="E11816" s="2889" t="s">
        <v>217</v>
      </c>
      <c r="F11816" s="2890">
        <v>0.12698746632131813</v>
      </c>
      <c r="G11816" s="2890">
        <v>160.84433535969191</v>
      </c>
    </row>
    <row r="11817" spans="2:7" ht="15" hidden="1" outlineLevel="2">
      <c r="B11817" s="2889" t="s">
        <v>1637</v>
      </c>
      <c r="C11817" s="2889" t="s">
        <v>1581</v>
      </c>
      <c r="D11817" s="2889" t="s">
        <v>1559</v>
      </c>
      <c r="E11817" s="2889" t="s">
        <v>217</v>
      </c>
      <c r="F11817" s="2890">
        <v>3.588300416262722E-2</v>
      </c>
      <c r="G11817" s="2890">
        <v>50.72049882410824</v>
      </c>
    </row>
    <row r="11818" spans="2:7" ht="15" hidden="1" outlineLevel="2">
      <c r="B11818" s="2889" t="s">
        <v>1637</v>
      </c>
      <c r="C11818" s="2889" t="s">
        <v>1582</v>
      </c>
      <c r="D11818" s="2889" t="s">
        <v>1559</v>
      </c>
      <c r="E11818" s="2889" t="s">
        <v>217</v>
      </c>
      <c r="F11818" s="2890">
        <v>5.0576480465292825E-2</v>
      </c>
      <c r="G11818" s="2890">
        <v>57.73036129345271</v>
      </c>
    </row>
    <row r="11819" spans="2:7" ht="15" hidden="1" outlineLevel="2">
      <c r="B11819" s="2889" t="s">
        <v>1637</v>
      </c>
      <c r="C11819" s="2889" t="s">
        <v>1583</v>
      </c>
      <c r="D11819" s="2889" t="s">
        <v>1559</v>
      </c>
      <c r="E11819" s="2889" t="s">
        <v>217</v>
      </c>
      <c r="F11819" s="2890">
        <v>3.8977085233674158E-2</v>
      </c>
      <c r="G11819" s="2890">
        <v>26.883034436553753</v>
      </c>
    </row>
    <row r="11820" spans="2:7" ht="15" hidden="1" outlineLevel="2">
      <c r="B11820" s="2889" t="s">
        <v>1637</v>
      </c>
      <c r="C11820" s="2889" t="s">
        <v>1584</v>
      </c>
      <c r="D11820" s="2889" t="s">
        <v>1559</v>
      </c>
      <c r="E11820" s="2889" t="s">
        <v>217</v>
      </c>
      <c r="F11820" s="2890">
        <v>1.6980726188548483</v>
      </c>
      <c r="G11820" s="2890">
        <v>2156.0060527707142</v>
      </c>
    </row>
    <row r="11821" spans="2:7" ht="15" hidden="1" outlineLevel="2">
      <c r="B11821" s="2889" t="s">
        <v>1637</v>
      </c>
      <c r="C11821" s="2889" t="s">
        <v>1585</v>
      </c>
      <c r="D11821" s="2889" t="s">
        <v>1559</v>
      </c>
      <c r="E11821" s="2889" t="s">
        <v>217</v>
      </c>
      <c r="F11821" s="2890">
        <v>0.48756441859875083</v>
      </c>
      <c r="G11821" s="2890">
        <v>689.31295254540021</v>
      </c>
    </row>
    <row r="11822" spans="2:7" ht="15" hidden="1" outlineLevel="2">
      <c r="B11822" s="2889" t="s">
        <v>1637</v>
      </c>
      <c r="C11822" s="2889" t="s">
        <v>1586</v>
      </c>
      <c r="D11822" s="2889" t="s">
        <v>1559</v>
      </c>
      <c r="E11822" s="2889" t="s">
        <v>217</v>
      </c>
      <c r="F11822" s="2890">
        <v>5.4891951156968939E-2</v>
      </c>
      <c r="G11822" s="2890">
        <v>115.40551068013789</v>
      </c>
    </row>
    <row r="11823" spans="2:7" ht="15" hidden="1" outlineLevel="2">
      <c r="B11823" s="2889" t="s">
        <v>1637</v>
      </c>
      <c r="C11823" s="2889" t="s">
        <v>1587</v>
      </c>
      <c r="D11823" s="2889" t="s">
        <v>1559</v>
      </c>
      <c r="E11823" s="2889" t="s">
        <v>217</v>
      </c>
      <c r="F11823" s="2890">
        <v>1.526925745334281</v>
      </c>
      <c r="G11823" s="2890">
        <v>2223.7698673974814</v>
      </c>
    </row>
    <row r="11824" spans="2:7" ht="15" hidden="1" outlineLevel="2">
      <c r="B11824" s="2889" t="s">
        <v>1637</v>
      </c>
      <c r="C11824" s="2889" t="s">
        <v>1588</v>
      </c>
      <c r="D11824" s="2889" t="s">
        <v>1559</v>
      </c>
      <c r="E11824" s="2889" t="s">
        <v>217</v>
      </c>
      <c r="F11824" s="2890">
        <v>9.7658435921202283E-2</v>
      </c>
      <c r="G11824" s="2890">
        <v>76.368464145855214</v>
      </c>
    </row>
    <row r="11825" spans="2:7" ht="15" hidden="1" outlineLevel="2">
      <c r="B11825" s="2889" t="s">
        <v>1637</v>
      </c>
      <c r="C11825" s="2889" t="s">
        <v>1589</v>
      </c>
      <c r="D11825" s="2889" t="s">
        <v>1559</v>
      </c>
      <c r="E11825" s="2889" t="s">
        <v>217</v>
      </c>
      <c r="F11825" s="2890">
        <v>8.695519286900566E-2</v>
      </c>
      <c r="G11825" s="2890">
        <v>68.135432184299148</v>
      </c>
    </row>
    <row r="11826" spans="2:7" ht="15" hidden="1" outlineLevel="2">
      <c r="B11826" s="2889" t="s">
        <v>1637</v>
      </c>
      <c r="C11826" s="2889" t="s">
        <v>1590</v>
      </c>
      <c r="D11826" s="2889" t="s">
        <v>1559</v>
      </c>
      <c r="E11826" s="2889" t="s">
        <v>1420</v>
      </c>
      <c r="F11826" s="2890">
        <v>4.2916945898793203E-3</v>
      </c>
      <c r="G11826" s="2890">
        <v>38.28371170919128</v>
      </c>
    </row>
    <row r="11827" spans="2:7" ht="15" hidden="1" outlineLevel="2">
      <c r="B11827" s="2889" t="s">
        <v>1637</v>
      </c>
      <c r="C11827" s="2889" t="s">
        <v>1591</v>
      </c>
      <c r="D11827" s="2889" t="s">
        <v>1559</v>
      </c>
      <c r="E11827" s="2889" t="s">
        <v>1426</v>
      </c>
      <c r="F11827" s="2891"/>
      <c r="G11827" s="2890">
        <v>5.951085950432513E-2</v>
      </c>
    </row>
    <row r="11828" spans="2:7" ht="15" hidden="1" outlineLevel="2">
      <c r="B11828" s="2889" t="s">
        <v>1637</v>
      </c>
      <c r="C11828" s="2889" t="s">
        <v>1592</v>
      </c>
      <c r="D11828" s="2889" t="s">
        <v>1559</v>
      </c>
      <c r="E11828" s="2889" t="s">
        <v>1426</v>
      </c>
      <c r="F11828" s="2891"/>
      <c r="G11828" s="2890">
        <v>15.903800947910694</v>
      </c>
    </row>
    <row r="11829" spans="2:7" ht="15" hidden="1" outlineLevel="2">
      <c r="B11829" s="2889" t="s">
        <v>1637</v>
      </c>
      <c r="C11829" s="2889" t="s">
        <v>1593</v>
      </c>
      <c r="D11829" s="2889" t="s">
        <v>1559</v>
      </c>
      <c r="E11829" s="2889" t="s">
        <v>1426</v>
      </c>
      <c r="F11829" s="2891"/>
      <c r="G11829" s="2890">
        <v>416.14820896023201</v>
      </c>
    </row>
    <row r="11830" spans="2:7" ht="15" hidden="1" outlineLevel="2">
      <c r="B11830" s="2889" t="s">
        <v>1637</v>
      </c>
      <c r="C11830" s="2889" t="s">
        <v>1594</v>
      </c>
      <c r="D11830" s="2889" t="s">
        <v>1559</v>
      </c>
      <c r="E11830" s="2889" t="s">
        <v>1426</v>
      </c>
      <c r="F11830" s="2891"/>
      <c r="G11830" s="2890">
        <v>85.878869282056371</v>
      </c>
    </row>
    <row r="11831" spans="2:7" ht="15" hidden="1" outlineLevel="2">
      <c r="B11831" s="2889" t="s">
        <v>1637</v>
      </c>
      <c r="C11831" s="2889" t="s">
        <v>1595</v>
      </c>
      <c r="D11831" s="2889" t="s">
        <v>1559</v>
      </c>
      <c r="E11831" s="2889" t="s">
        <v>1426</v>
      </c>
      <c r="F11831" s="2891"/>
      <c r="G11831" s="2890">
        <v>566.5747892983818</v>
      </c>
    </row>
    <row r="11832" spans="2:7" ht="15" hidden="1" outlineLevel="2">
      <c r="B11832" s="2889" t="s">
        <v>1637</v>
      </c>
      <c r="C11832" s="2889" t="s">
        <v>1596</v>
      </c>
      <c r="D11832" s="2889" t="s">
        <v>1559</v>
      </c>
      <c r="E11832" s="2889" t="s">
        <v>1426</v>
      </c>
      <c r="F11832" s="2891"/>
      <c r="G11832" s="2890">
        <v>66.804051326556987</v>
      </c>
    </row>
    <row r="11833" spans="2:7" ht="15" hidden="1" outlineLevel="2">
      <c r="B11833" s="2889" t="s">
        <v>1637</v>
      </c>
      <c r="C11833" s="2889" t="s">
        <v>1597</v>
      </c>
      <c r="D11833" s="2889" t="s">
        <v>1559</v>
      </c>
      <c r="E11833" s="2889" t="s">
        <v>1426</v>
      </c>
      <c r="F11833" s="2891"/>
      <c r="G11833" s="2890">
        <v>1.5913142809533578</v>
      </c>
    </row>
    <row r="11834" spans="2:7" ht="15" hidden="1" outlineLevel="2">
      <c r="B11834" s="2889" t="s">
        <v>1637</v>
      </c>
      <c r="C11834" s="2889" t="s">
        <v>1598</v>
      </c>
      <c r="D11834" s="2889" t="s">
        <v>1599</v>
      </c>
      <c r="E11834" s="2889" t="s">
        <v>217</v>
      </c>
      <c r="F11834" s="2890">
        <v>5.7043612846435388E-2</v>
      </c>
      <c r="G11834" s="2890">
        <v>32.988225349242114</v>
      </c>
    </row>
    <row r="11835" spans="2:7" ht="15" hidden="1" outlineLevel="2">
      <c r="B11835" s="2889" t="s">
        <v>1637</v>
      </c>
      <c r="C11835" s="2889" t="s">
        <v>1600</v>
      </c>
      <c r="D11835" s="2889" t="s">
        <v>1599</v>
      </c>
      <c r="E11835" s="2889" t="s">
        <v>217</v>
      </c>
      <c r="F11835" s="2890">
        <v>6.6761790859171874E-2</v>
      </c>
      <c r="G11835" s="2890">
        <v>74.278167198310612</v>
      </c>
    </row>
    <row r="11836" spans="2:7" ht="15" hidden="1" outlineLevel="2">
      <c r="B11836" s="2889" t="s">
        <v>1637</v>
      </c>
      <c r="C11836" s="2889" t="s">
        <v>1601</v>
      </c>
      <c r="D11836" s="2889" t="s">
        <v>1599</v>
      </c>
      <c r="E11836" s="2889" t="s">
        <v>217</v>
      </c>
      <c r="F11836" s="2890">
        <v>6.8481112773233124E-4</v>
      </c>
      <c r="G11836" s="2890">
        <v>0.87260008312126625</v>
      </c>
    </row>
    <row r="11837" spans="2:7" ht="15" hidden="1" outlineLevel="2">
      <c r="B11837" s="2889" t="s">
        <v>1637</v>
      </c>
      <c r="C11837" s="2889" t="s">
        <v>1602</v>
      </c>
      <c r="D11837" s="2889" t="s">
        <v>1599</v>
      </c>
      <c r="E11837" s="2889" t="s">
        <v>1426</v>
      </c>
      <c r="F11837" s="2891"/>
      <c r="G11837" s="2890">
        <v>988.48691428226732</v>
      </c>
    </row>
    <row r="11838" spans="2:7" ht="15" hidden="1" outlineLevel="2">
      <c r="B11838" s="2889" t="s">
        <v>1637</v>
      </c>
      <c r="C11838" s="2889" t="s">
        <v>1603</v>
      </c>
      <c r="D11838" s="2889" t="s">
        <v>1604</v>
      </c>
      <c r="E11838" s="2889" t="s">
        <v>217</v>
      </c>
      <c r="F11838" s="2890">
        <v>8.8078438118890436E-35</v>
      </c>
      <c r="G11838" s="2890">
        <v>1.0440683611184075E-31</v>
      </c>
    </row>
    <row r="11839" spans="2:7" ht="15" hidden="1" outlineLevel="2">
      <c r="B11839" s="2889" t="s">
        <v>1637</v>
      </c>
      <c r="C11839" s="2889" t="s">
        <v>1605</v>
      </c>
      <c r="D11839" s="2889" t="s">
        <v>1604</v>
      </c>
      <c r="E11839" s="2889" t="s">
        <v>1423</v>
      </c>
      <c r="F11839" s="2890">
        <v>3.136151520901011E-33</v>
      </c>
      <c r="G11839" s="2890">
        <v>7.3601632656396319E-31</v>
      </c>
    </row>
    <row r="11840" spans="2:7" ht="15" hidden="1" outlineLevel="2">
      <c r="B11840" s="2889" t="s">
        <v>1637</v>
      </c>
      <c r="C11840" s="2889" t="s">
        <v>1606</v>
      </c>
      <c r="D11840" s="2889" t="s">
        <v>1604</v>
      </c>
      <c r="E11840" s="2889" t="s">
        <v>1426</v>
      </c>
      <c r="F11840" s="2891"/>
      <c r="G11840" s="2890">
        <v>7.9720101268876722E-32</v>
      </c>
    </row>
    <row r="11841" spans="2:7" ht="15" hidden="1" outlineLevel="2">
      <c r="B11841" s="2889" t="s">
        <v>1637</v>
      </c>
      <c r="C11841" s="2889" t="s">
        <v>1607</v>
      </c>
      <c r="D11841" s="2889" t="s">
        <v>1608</v>
      </c>
      <c r="E11841" s="2889" t="s">
        <v>217</v>
      </c>
      <c r="F11841" s="2890">
        <v>7.3274306966454112</v>
      </c>
      <c r="G11841" s="2890">
        <v>6020.1000629458349</v>
      </c>
    </row>
    <row r="11842" spans="2:7" ht="15" hidden="1" outlineLevel="2">
      <c r="B11842" s="2889" t="s">
        <v>1637</v>
      </c>
      <c r="C11842" s="2889" t="s">
        <v>1609</v>
      </c>
      <c r="D11842" s="2889" t="s">
        <v>1608</v>
      </c>
      <c r="E11842" s="2889" t="s">
        <v>217</v>
      </c>
      <c r="F11842" s="2890">
        <v>3.1907073927139171</v>
      </c>
      <c r="G11842" s="2890">
        <v>2540.4676175299824</v>
      </c>
    </row>
    <row r="11843" spans="2:7" ht="15" hidden="1" outlineLevel="2">
      <c r="B11843" s="2889" t="s">
        <v>1637</v>
      </c>
      <c r="C11843" s="2889" t="s">
        <v>1610</v>
      </c>
      <c r="D11843" s="2889" t="s">
        <v>1608</v>
      </c>
      <c r="E11843" s="2889" t="s">
        <v>217</v>
      </c>
      <c r="F11843" s="2890">
        <v>3.6442280134271723</v>
      </c>
      <c r="G11843" s="2890">
        <v>5669.8183289864992</v>
      </c>
    </row>
    <row r="11844" spans="2:7" ht="15" hidden="1" outlineLevel="2">
      <c r="B11844" s="2889" t="s">
        <v>1637</v>
      </c>
      <c r="C11844" s="2889" t="s">
        <v>1611</v>
      </c>
      <c r="D11844" s="2889" t="s">
        <v>1608</v>
      </c>
      <c r="E11844" s="2889" t="s">
        <v>1612</v>
      </c>
      <c r="F11844" s="2891"/>
      <c r="G11844" s="2890">
        <v>5048.2065171874438</v>
      </c>
    </row>
    <row r="11845" spans="2:7" ht="15" hidden="1" outlineLevel="2">
      <c r="B11845" s="2889" t="s">
        <v>1637</v>
      </c>
      <c r="C11845" s="2889" t="s">
        <v>1613</v>
      </c>
      <c r="D11845" s="2889" t="s">
        <v>1608</v>
      </c>
      <c r="E11845" s="2889" t="s">
        <v>1612</v>
      </c>
      <c r="F11845" s="2891"/>
      <c r="G11845" s="2890">
        <v>14.098472474098665</v>
      </c>
    </row>
    <row r="11846" spans="2:7" ht="15" hidden="1" outlineLevel="2">
      <c r="B11846" s="2889" t="s">
        <v>1637</v>
      </c>
      <c r="C11846" s="2889" t="s">
        <v>1614</v>
      </c>
      <c r="D11846" s="2889" t="s">
        <v>1615</v>
      </c>
      <c r="E11846" s="2889" t="s">
        <v>1426</v>
      </c>
      <c r="F11846" s="2891"/>
      <c r="G11846" s="2890">
        <v>3.5733218701167044</v>
      </c>
    </row>
    <row r="11847" spans="2:7" ht="15" hidden="1" outlineLevel="2">
      <c r="B11847" s="2889" t="s">
        <v>1637</v>
      </c>
      <c r="C11847" s="2889" t="s">
        <v>1616</v>
      </c>
      <c r="D11847" s="2889" t="s">
        <v>1615</v>
      </c>
      <c r="E11847" s="2889" t="s">
        <v>217</v>
      </c>
      <c r="F11847" s="2890">
        <v>1.1275301803991817E-4</v>
      </c>
      <c r="G11847" s="2890">
        <v>0.15304114882938344</v>
      </c>
    </row>
    <row r="11848" spans="2:7" ht="15" hidden="1" outlineLevel="2">
      <c r="B11848" s="2889" t="s">
        <v>1637</v>
      </c>
      <c r="C11848" s="2889" t="s">
        <v>1617</v>
      </c>
      <c r="D11848" s="2889" t="s">
        <v>1615</v>
      </c>
      <c r="E11848" s="2889" t="s">
        <v>1420</v>
      </c>
      <c r="F11848" s="2890">
        <v>1.7992556344046129E-6</v>
      </c>
      <c r="G11848" s="2890">
        <v>5.2081411352396245E-3</v>
      </c>
    </row>
    <row r="11849" spans="2:7" ht="15" hidden="1" outlineLevel="2">
      <c r="B11849" s="2889" t="s">
        <v>1637</v>
      </c>
      <c r="C11849" s="2889" t="s">
        <v>1618</v>
      </c>
      <c r="D11849" s="2889" t="s">
        <v>1619</v>
      </c>
      <c r="E11849" s="2889" t="s">
        <v>217</v>
      </c>
      <c r="F11849" s="2890">
        <v>1.4115162662922598</v>
      </c>
      <c r="G11849" s="2890">
        <v>357.83638726176002</v>
      </c>
    </row>
    <row r="11850" spans="2:7" ht="15" hidden="1" outlineLevel="2">
      <c r="B11850" s="2889" t="s">
        <v>1637</v>
      </c>
      <c r="C11850" s="2889" t="s">
        <v>1620</v>
      </c>
      <c r="D11850" s="2889" t="s">
        <v>1619</v>
      </c>
      <c r="E11850" s="2889" t="s">
        <v>217</v>
      </c>
      <c r="F11850" s="2890">
        <v>1.220677049326443E-33</v>
      </c>
      <c r="G11850" s="2890">
        <v>1.4883506685854614E-30</v>
      </c>
    </row>
    <row r="11851" spans="2:7" ht="15" hidden="1" outlineLevel="2">
      <c r="B11851" s="2889" t="s">
        <v>1637</v>
      </c>
      <c r="C11851" s="2889" t="s">
        <v>1621</v>
      </c>
      <c r="D11851" s="2889" t="s">
        <v>1619</v>
      </c>
      <c r="E11851" s="2889" t="s">
        <v>217</v>
      </c>
      <c r="F11851" s="2890">
        <v>1.5119219198278302</v>
      </c>
      <c r="G11851" s="2890">
        <v>413.18481786908904</v>
      </c>
    </row>
    <row r="11852" spans="2:7" ht="15" hidden="1" outlineLevel="2">
      <c r="B11852" s="2889" t="s">
        <v>1637</v>
      </c>
      <c r="C11852" s="2889" t="s">
        <v>1622</v>
      </c>
      <c r="D11852" s="2889" t="s">
        <v>1619</v>
      </c>
      <c r="E11852" s="2889" t="s">
        <v>217</v>
      </c>
      <c r="F11852" s="2890">
        <v>9.6816320427786207E-2</v>
      </c>
      <c r="G11852" s="2890">
        <v>106.22956157076491</v>
      </c>
    </row>
    <row r="11853" spans="2:7" ht="15" hidden="1" outlineLevel="2">
      <c r="B11853" s="2889" t="s">
        <v>1637</v>
      </c>
      <c r="C11853" s="2889" t="s">
        <v>1623</v>
      </c>
      <c r="D11853" s="2889" t="s">
        <v>1619</v>
      </c>
      <c r="E11853" s="2889" t="s">
        <v>217</v>
      </c>
      <c r="F11853" s="2890">
        <v>0.24859778283539105</v>
      </c>
      <c r="G11853" s="2890">
        <v>172.91043026300696</v>
      </c>
    </row>
    <row r="11854" spans="2:7" ht="15" hidden="1" outlineLevel="2">
      <c r="B11854" s="2889" t="s">
        <v>1637</v>
      </c>
      <c r="C11854" s="2889" t="s">
        <v>1624</v>
      </c>
      <c r="D11854" s="2889" t="s">
        <v>1619</v>
      </c>
      <c r="E11854" s="2889" t="s">
        <v>217</v>
      </c>
      <c r="F11854" s="2890">
        <v>2.1524488958734298</v>
      </c>
      <c r="G11854" s="2890">
        <v>1843.0009775508097</v>
      </c>
    </row>
    <row r="11855" spans="2:7" ht="15" hidden="1" outlineLevel="2">
      <c r="B11855" s="2889" t="s">
        <v>1637</v>
      </c>
      <c r="C11855" s="2889" t="s">
        <v>1625</v>
      </c>
      <c r="D11855" s="2889" t="s">
        <v>1619</v>
      </c>
      <c r="E11855" s="2889" t="s">
        <v>217</v>
      </c>
      <c r="F11855" s="2890">
        <v>0.1993442843807231</v>
      </c>
      <c r="G11855" s="2890">
        <v>258.99291158072703</v>
      </c>
    </row>
    <row r="11856" spans="2:7" ht="15" hidden="1" outlineLevel="2">
      <c r="B11856" s="2889" t="s">
        <v>1637</v>
      </c>
      <c r="C11856" s="2889" t="s">
        <v>1626</v>
      </c>
      <c r="D11856" s="2889" t="s">
        <v>1619</v>
      </c>
      <c r="E11856" s="2889" t="s">
        <v>217</v>
      </c>
      <c r="F11856" s="2890">
        <v>0.1314425563978556</v>
      </c>
      <c r="G11856" s="2890">
        <v>103.65559872668655</v>
      </c>
    </row>
    <row r="11857" spans="2:7" ht="15" hidden="1" outlineLevel="2">
      <c r="B11857" s="2889" t="s">
        <v>1637</v>
      </c>
      <c r="C11857" s="2889" t="s">
        <v>1627</v>
      </c>
      <c r="D11857" s="2889" t="s">
        <v>1619</v>
      </c>
      <c r="E11857" s="2889" t="s">
        <v>1420</v>
      </c>
      <c r="F11857" s="2890">
        <v>4.2912131950305875E-3</v>
      </c>
      <c r="G11857" s="2890">
        <v>7.1692385698538557</v>
      </c>
    </row>
    <row r="11858" spans="2:7" ht="15" hidden="1" outlineLevel="2">
      <c r="B11858" s="2889" t="s">
        <v>1637</v>
      </c>
      <c r="C11858" s="2889" t="s">
        <v>1628</v>
      </c>
      <c r="D11858" s="2889" t="s">
        <v>1619</v>
      </c>
      <c r="E11858" s="2889" t="s">
        <v>1426</v>
      </c>
      <c r="F11858" s="2891"/>
      <c r="G11858" s="2890">
        <v>142.09373670000505</v>
      </c>
    </row>
    <row r="11859" spans="2:7" ht="15" hidden="1" outlineLevel="2">
      <c r="B11859" s="2889" t="s">
        <v>1637</v>
      </c>
      <c r="C11859" s="2889" t="s">
        <v>1629</v>
      </c>
      <c r="D11859" s="2889" t="s">
        <v>1630</v>
      </c>
      <c r="E11859" s="2889" t="s">
        <v>1426</v>
      </c>
      <c r="F11859" s="2891"/>
      <c r="G11859" s="2890">
        <v>2.6063399786129779E-29</v>
      </c>
    </row>
    <row r="11860" spans="2:7" ht="15" outlineLevel="1" collapsed="1">
      <c r="B11860" s="3042" t="s">
        <v>1707</v>
      </c>
      <c r="C11860" s="2889"/>
      <c r="D11860" s="2889"/>
      <c r="E11860" s="2889"/>
      <c r="F11860" s="2891">
        <f>SUBTOTAL(9,F11649:F11859)</f>
        <v>33.734555853587239</v>
      </c>
      <c r="G11860" s="2890">
        <f>SUBTOTAL(9,G11649:G11859)</f>
        <v>103852.01557663023</v>
      </c>
    </row>
    <row r="11861" spans="2:7" ht="15" hidden="1" outlineLevel="2">
      <c r="B11861" s="2889" t="s">
        <v>1638</v>
      </c>
      <c r="C11861" s="2889" t="s">
        <v>1408</v>
      </c>
      <c r="D11861" s="2889" t="s">
        <v>197</v>
      </c>
      <c r="E11861" s="2889" t="s">
        <v>217</v>
      </c>
      <c r="F11861" s="2890">
        <v>2.4651146391015078E-3</v>
      </c>
      <c r="G11861" s="2890">
        <v>1.5035649757936125</v>
      </c>
    </row>
    <row r="11862" spans="2:7" ht="15" hidden="1" outlineLevel="2">
      <c r="B11862" s="2889" t="s">
        <v>1638</v>
      </c>
      <c r="C11862" s="2889" t="s">
        <v>1409</v>
      </c>
      <c r="D11862" s="2889" t="s">
        <v>197</v>
      </c>
      <c r="E11862" s="2889" t="s">
        <v>217</v>
      </c>
      <c r="F11862" s="2890">
        <v>2.5821108789347768E-3</v>
      </c>
      <c r="G11862" s="2890">
        <v>3.6474341623808386</v>
      </c>
    </row>
    <row r="11863" spans="2:7" ht="15" hidden="1" outlineLevel="2">
      <c r="B11863" s="2889" t="s">
        <v>1638</v>
      </c>
      <c r="C11863" s="2889" t="s">
        <v>1410</v>
      </c>
      <c r="D11863" s="2889" t="s">
        <v>197</v>
      </c>
      <c r="E11863" s="2889" t="s">
        <v>217</v>
      </c>
      <c r="F11863" s="2890">
        <v>4.1265657616612137E-3</v>
      </c>
      <c r="G11863" s="2890">
        <v>14.191960329025109</v>
      </c>
    </row>
    <row r="11864" spans="2:7" ht="15" hidden="1" outlineLevel="2">
      <c r="B11864" s="2889" t="s">
        <v>1638</v>
      </c>
      <c r="C11864" s="2889" t="s">
        <v>1411</v>
      </c>
      <c r="D11864" s="2889" t="s">
        <v>197</v>
      </c>
      <c r="E11864" s="2889" t="s">
        <v>217</v>
      </c>
      <c r="F11864" s="2890">
        <v>6.7863777662427344E-5</v>
      </c>
      <c r="G11864" s="2890">
        <v>8.9389025898029245E-2</v>
      </c>
    </row>
    <row r="11865" spans="2:7" ht="15" hidden="1" outlineLevel="2">
      <c r="B11865" s="2889" t="s">
        <v>1638</v>
      </c>
      <c r="C11865" s="2889" t="s">
        <v>1412</v>
      </c>
      <c r="D11865" s="2889" t="s">
        <v>197</v>
      </c>
      <c r="E11865" s="2889" t="s">
        <v>217</v>
      </c>
      <c r="F11865" s="2890">
        <v>7.33137011268195E-3</v>
      </c>
      <c r="G11865" s="2890">
        <v>9.6493984808816453</v>
      </c>
    </row>
    <row r="11866" spans="2:7" ht="15" hidden="1" outlineLevel="2">
      <c r="B11866" s="2889" t="s">
        <v>1638</v>
      </c>
      <c r="C11866" s="2889" t="s">
        <v>1413</v>
      </c>
      <c r="D11866" s="2889" t="s">
        <v>197</v>
      </c>
      <c r="E11866" s="2889" t="s">
        <v>217</v>
      </c>
      <c r="F11866" s="2890">
        <v>2.411395378397858E-3</v>
      </c>
      <c r="G11866" s="2890">
        <v>3.0226103097630568</v>
      </c>
    </row>
    <row r="11867" spans="2:7" ht="15" hidden="1" outlineLevel="2">
      <c r="B11867" s="2889" t="s">
        <v>1638</v>
      </c>
      <c r="C11867" s="2889" t="s">
        <v>1414</v>
      </c>
      <c r="D11867" s="2889" t="s">
        <v>197</v>
      </c>
      <c r="E11867" s="2889" t="s">
        <v>217</v>
      </c>
      <c r="F11867" s="2890">
        <v>3.1467382306889238E-2</v>
      </c>
      <c r="G11867" s="2890">
        <v>32.835192119010671</v>
      </c>
    </row>
    <row r="11868" spans="2:7" ht="15" hidden="1" outlineLevel="2">
      <c r="B11868" s="2889" t="s">
        <v>1638</v>
      </c>
      <c r="C11868" s="2889" t="s">
        <v>1415</v>
      </c>
      <c r="D11868" s="2889" t="s">
        <v>197</v>
      </c>
      <c r="E11868" s="2889" t="s">
        <v>217</v>
      </c>
      <c r="F11868" s="2890">
        <v>0.10349171854710809</v>
      </c>
      <c r="G11868" s="2890">
        <v>70.382246672353133</v>
      </c>
    </row>
    <row r="11869" spans="2:7" ht="15" hidden="1" outlineLevel="2">
      <c r="B11869" s="2889" t="s">
        <v>1638</v>
      </c>
      <c r="C11869" s="2889" t="s">
        <v>1416</v>
      </c>
      <c r="D11869" s="2889" t="s">
        <v>197</v>
      </c>
      <c r="E11869" s="2889" t="s">
        <v>217</v>
      </c>
      <c r="F11869" s="2890">
        <v>1.1634102916539364E-2</v>
      </c>
      <c r="G11869" s="2890">
        <v>15.312572825631575</v>
      </c>
    </row>
    <row r="11870" spans="2:7" ht="15" hidden="1" outlineLevel="2">
      <c r="B11870" s="2889" t="s">
        <v>1638</v>
      </c>
      <c r="C11870" s="2889" t="s">
        <v>1417</v>
      </c>
      <c r="D11870" s="2889" t="s">
        <v>197</v>
      </c>
      <c r="E11870" s="2889" t="s">
        <v>217</v>
      </c>
      <c r="F11870" s="2890">
        <v>1.7316604904831764E-2</v>
      </c>
      <c r="G11870" s="2890">
        <v>22.172550741020299</v>
      </c>
    </row>
    <row r="11871" spans="2:7" ht="15" hidden="1" outlineLevel="2">
      <c r="B11871" s="2889" t="s">
        <v>1638</v>
      </c>
      <c r="C11871" s="2889" t="s">
        <v>1418</v>
      </c>
      <c r="D11871" s="2889" t="s">
        <v>197</v>
      </c>
      <c r="E11871" s="2889" t="s">
        <v>217</v>
      </c>
      <c r="F11871" s="2890">
        <v>3.4717997838224724E-3</v>
      </c>
      <c r="G11871" s="2890">
        <v>24.596996143310914</v>
      </c>
    </row>
    <row r="11872" spans="2:7" ht="15" hidden="1" outlineLevel="2">
      <c r="B11872" s="2889" t="s">
        <v>1638</v>
      </c>
      <c r="C11872" s="2889" t="s">
        <v>1419</v>
      </c>
      <c r="D11872" s="2889" t="s">
        <v>197</v>
      </c>
      <c r="E11872" s="2889" t="s">
        <v>1420</v>
      </c>
      <c r="F11872" s="2890">
        <v>8.4723838298198404E-5</v>
      </c>
      <c r="G11872" s="2890">
        <v>0.13462218976607512</v>
      </c>
    </row>
    <row r="11873" spans="2:7" ht="15" hidden="1" outlineLevel="2">
      <c r="B11873" s="2889" t="s">
        <v>1638</v>
      </c>
      <c r="C11873" s="2889" t="s">
        <v>1421</v>
      </c>
      <c r="D11873" s="2889" t="s">
        <v>197</v>
      </c>
      <c r="E11873" s="2889" t="s">
        <v>1420</v>
      </c>
      <c r="F11873" s="2890">
        <v>1.7385166571569018E-5</v>
      </c>
      <c r="G11873" s="2890">
        <v>0.18321925637187497</v>
      </c>
    </row>
    <row r="11874" spans="2:7" ht="15" hidden="1" outlineLevel="2">
      <c r="B11874" s="2889" t="s">
        <v>1638</v>
      </c>
      <c r="C11874" s="2889" t="s">
        <v>1422</v>
      </c>
      <c r="D11874" s="2889" t="s">
        <v>197</v>
      </c>
      <c r="E11874" s="2889" t="s">
        <v>1423</v>
      </c>
      <c r="F11874" s="2890">
        <v>3.391552308856796E-3</v>
      </c>
      <c r="G11874" s="2890">
        <v>3.5561874275231255E-2</v>
      </c>
    </row>
    <row r="11875" spans="2:7" ht="15" hidden="1" outlineLevel="2">
      <c r="B11875" s="2889" t="s">
        <v>1638</v>
      </c>
      <c r="C11875" s="2889" t="s">
        <v>1424</v>
      </c>
      <c r="D11875" s="2889" t="s">
        <v>197</v>
      </c>
      <c r="E11875" s="2889" t="s">
        <v>1423</v>
      </c>
      <c r="F11875" s="2890">
        <v>1.076502278820164E-3</v>
      </c>
      <c r="G11875" s="2890">
        <v>1.128420282450621E-2</v>
      </c>
    </row>
    <row r="11876" spans="2:7" ht="15" hidden="1" outlineLevel="2">
      <c r="B11876" s="2889" t="s">
        <v>1638</v>
      </c>
      <c r="C11876" s="2889" t="s">
        <v>1425</v>
      </c>
      <c r="D11876" s="2889" t="s">
        <v>197</v>
      </c>
      <c r="E11876" s="2889" t="s">
        <v>1426</v>
      </c>
      <c r="F11876" s="2891"/>
      <c r="G11876" s="2890">
        <v>0.26298216247193229</v>
      </c>
    </row>
    <row r="11877" spans="2:7" ht="15" hidden="1" outlineLevel="2">
      <c r="B11877" s="2889" t="s">
        <v>1638</v>
      </c>
      <c r="C11877" s="2889" t="s">
        <v>1427</v>
      </c>
      <c r="D11877" s="2889" t="s">
        <v>197</v>
      </c>
      <c r="E11877" s="2889" t="s">
        <v>1426</v>
      </c>
      <c r="F11877" s="2891"/>
      <c r="G11877" s="2890">
        <v>11369.348375419426</v>
      </c>
    </row>
    <row r="11878" spans="2:7" ht="15" hidden="1" outlineLevel="2">
      <c r="B11878" s="2889" t="s">
        <v>1638</v>
      </c>
      <c r="C11878" s="2889" t="s">
        <v>1428</v>
      </c>
      <c r="D11878" s="2889" t="s">
        <v>197</v>
      </c>
      <c r="E11878" s="2889" t="s">
        <v>1426</v>
      </c>
      <c r="F11878" s="2891"/>
      <c r="G11878" s="2890">
        <v>1020.1775000577402</v>
      </c>
    </row>
    <row r="11879" spans="2:7" ht="15" hidden="1" outlineLevel="2">
      <c r="B11879" s="2889" t="s">
        <v>1638</v>
      </c>
      <c r="C11879" s="2889" t="s">
        <v>1429</v>
      </c>
      <c r="D11879" s="2889" t="s">
        <v>197</v>
      </c>
      <c r="E11879" s="2889" t="s">
        <v>1426</v>
      </c>
      <c r="F11879" s="2891"/>
      <c r="G11879" s="2890">
        <v>5.670792286756142</v>
      </c>
    </row>
    <row r="11880" spans="2:7" ht="15" hidden="1" outlineLevel="2">
      <c r="B11880" s="2889" t="s">
        <v>1638</v>
      </c>
      <c r="C11880" s="2889" t="s">
        <v>1430</v>
      </c>
      <c r="D11880" s="2889" t="s">
        <v>197</v>
      </c>
      <c r="E11880" s="2889" t="s">
        <v>1426</v>
      </c>
      <c r="F11880" s="2891"/>
      <c r="G11880" s="2890">
        <v>1.1639219378973105</v>
      </c>
    </row>
    <row r="11881" spans="2:7" ht="15" hidden="1" outlineLevel="2">
      <c r="B11881" s="2889" t="s">
        <v>1638</v>
      </c>
      <c r="C11881" s="2889" t="s">
        <v>1431</v>
      </c>
      <c r="D11881" s="2889" t="s">
        <v>197</v>
      </c>
      <c r="E11881" s="2889" t="s">
        <v>1426</v>
      </c>
      <c r="F11881" s="2891"/>
      <c r="G11881" s="2890">
        <v>86.600760315249133</v>
      </c>
    </row>
    <row r="11882" spans="2:7" ht="15" hidden="1" outlineLevel="2">
      <c r="B11882" s="2889" t="s">
        <v>1638</v>
      </c>
      <c r="C11882" s="2889" t="s">
        <v>1432</v>
      </c>
      <c r="D11882" s="2889" t="s">
        <v>197</v>
      </c>
      <c r="E11882" s="2889" t="s">
        <v>1426</v>
      </c>
      <c r="F11882" s="2891"/>
      <c r="G11882" s="2890">
        <v>0.21690321576909077</v>
      </c>
    </row>
    <row r="11883" spans="2:7" ht="15" hidden="1" outlineLevel="2">
      <c r="B11883" s="2889" t="s">
        <v>1638</v>
      </c>
      <c r="C11883" s="2889" t="s">
        <v>1433</v>
      </c>
      <c r="D11883" s="2889" t="s">
        <v>197</v>
      </c>
      <c r="E11883" s="2889" t="s">
        <v>1426</v>
      </c>
      <c r="F11883" s="2891"/>
      <c r="G11883" s="2890">
        <v>80.04283420745513</v>
      </c>
    </row>
    <row r="11884" spans="2:7" ht="15" hidden="1" outlineLevel="2">
      <c r="B11884" s="2889" t="s">
        <v>1638</v>
      </c>
      <c r="C11884" s="2889" t="s">
        <v>1434</v>
      </c>
      <c r="D11884" s="2889" t="s">
        <v>197</v>
      </c>
      <c r="E11884" s="2889" t="s">
        <v>1426</v>
      </c>
      <c r="F11884" s="2891"/>
      <c r="G11884" s="2890">
        <v>222.33789830256848</v>
      </c>
    </row>
    <row r="11885" spans="2:7" ht="15" hidden="1" outlineLevel="2">
      <c r="B11885" s="2889" t="s">
        <v>1638</v>
      </c>
      <c r="C11885" s="2889" t="s">
        <v>1435</v>
      </c>
      <c r="D11885" s="2889" t="s">
        <v>197</v>
      </c>
      <c r="E11885" s="2889" t="s">
        <v>1426</v>
      </c>
      <c r="F11885" s="2891"/>
      <c r="G11885" s="2890">
        <v>163.46163993283884</v>
      </c>
    </row>
    <row r="11886" spans="2:7" ht="15" hidden="1" outlineLevel="2">
      <c r="B11886" s="2889" t="s">
        <v>1638</v>
      </c>
      <c r="C11886" s="2889" t="s">
        <v>1436</v>
      </c>
      <c r="D11886" s="2889" t="s">
        <v>1437</v>
      </c>
      <c r="E11886" s="2889" t="s">
        <v>217</v>
      </c>
      <c r="F11886" s="2890">
        <v>2.3991914587645556E-6</v>
      </c>
      <c r="G11886" s="2890">
        <v>7.0074351444588375E-3</v>
      </c>
    </row>
    <row r="11887" spans="2:7" ht="15" hidden="1" outlineLevel="2">
      <c r="B11887" s="2889" t="s">
        <v>1638</v>
      </c>
      <c r="C11887" s="2889" t="s">
        <v>1438</v>
      </c>
      <c r="D11887" s="2889" t="s">
        <v>1437</v>
      </c>
      <c r="E11887" s="2889" t="s">
        <v>1420</v>
      </c>
      <c r="F11887" s="2890">
        <v>6.9710630690081591E-7</v>
      </c>
      <c r="G11887" s="2890">
        <v>6.4049429622625486E-3</v>
      </c>
    </row>
    <row r="11888" spans="2:7" ht="15" hidden="1" outlineLevel="2">
      <c r="B11888" s="2889" t="s">
        <v>1638</v>
      </c>
      <c r="C11888" s="2889" t="s">
        <v>1439</v>
      </c>
      <c r="D11888" s="2889" t="s">
        <v>1437</v>
      </c>
      <c r="E11888" s="2889" t="s">
        <v>1426</v>
      </c>
      <c r="F11888" s="2891"/>
      <c r="G11888" s="2890">
        <v>0.44042558424449618</v>
      </c>
    </row>
    <row r="11889" spans="2:7" ht="15" hidden="1" outlineLevel="2">
      <c r="B11889" s="2889" t="s">
        <v>1638</v>
      </c>
      <c r="C11889" s="2889" t="s">
        <v>1440</v>
      </c>
      <c r="D11889" s="2889" t="s">
        <v>1105</v>
      </c>
      <c r="E11889" s="2889" t="s">
        <v>217</v>
      </c>
      <c r="F11889" s="2890">
        <v>5.3292844745707856E-3</v>
      </c>
      <c r="G11889" s="2890">
        <v>2.6407967479482117</v>
      </c>
    </row>
    <row r="11890" spans="2:7" ht="15" hidden="1" outlineLevel="2">
      <c r="B11890" s="2889" t="s">
        <v>1638</v>
      </c>
      <c r="C11890" s="2889" t="s">
        <v>1441</v>
      </c>
      <c r="D11890" s="2889" t="s">
        <v>1105</v>
      </c>
      <c r="E11890" s="2889" t="s">
        <v>217</v>
      </c>
      <c r="F11890" s="2890">
        <v>3.4053908643260168E-2</v>
      </c>
      <c r="G11890" s="2890">
        <v>17.618550520440692</v>
      </c>
    </row>
    <row r="11891" spans="2:7" ht="15" hidden="1" outlineLevel="2">
      <c r="B11891" s="2889" t="s">
        <v>1638</v>
      </c>
      <c r="C11891" s="2889" t="s">
        <v>1442</v>
      </c>
      <c r="D11891" s="2889" t="s">
        <v>1105</v>
      </c>
      <c r="E11891" s="2889" t="s">
        <v>217</v>
      </c>
      <c r="F11891" s="2890">
        <v>1.5158470249126388E-5</v>
      </c>
      <c r="G11891" s="2890">
        <v>6.7949492678398568E-3</v>
      </c>
    </row>
    <row r="11892" spans="2:7" ht="15" hidden="1" outlineLevel="2">
      <c r="B11892" s="2889" t="s">
        <v>1638</v>
      </c>
      <c r="C11892" s="2889" t="s">
        <v>1443</v>
      </c>
      <c r="D11892" s="2889" t="s">
        <v>1105</v>
      </c>
      <c r="E11892" s="2889" t="s">
        <v>217</v>
      </c>
      <c r="F11892" s="2890">
        <v>2.3851567955644995E-4</v>
      </c>
      <c r="G11892" s="2890">
        <v>0.10691709921297737</v>
      </c>
    </row>
    <row r="11893" spans="2:7" ht="15" hidden="1" outlineLevel="2">
      <c r="B11893" s="2889" t="s">
        <v>1638</v>
      </c>
      <c r="C11893" s="2889" t="s">
        <v>1444</v>
      </c>
      <c r="D11893" s="2889" t="s">
        <v>1105</v>
      </c>
      <c r="E11893" s="2889" t="s">
        <v>217</v>
      </c>
      <c r="F11893" s="2890">
        <v>0.44940399512051776</v>
      </c>
      <c r="G11893" s="2890">
        <v>543.59512816606787</v>
      </c>
    </row>
    <row r="11894" spans="2:7" ht="15" hidden="1" outlineLevel="2">
      <c r="B11894" s="2889" t="s">
        <v>1638</v>
      </c>
      <c r="C11894" s="2889" t="s">
        <v>1445</v>
      </c>
      <c r="D11894" s="2889" t="s">
        <v>1105</v>
      </c>
      <c r="E11894" s="2889" t="s">
        <v>217</v>
      </c>
      <c r="F11894" s="2890">
        <v>9.6739513430686278E-2</v>
      </c>
      <c r="G11894" s="2890">
        <v>136.02944878800878</v>
      </c>
    </row>
    <row r="11895" spans="2:7" ht="15" hidden="1" outlineLevel="2">
      <c r="B11895" s="2889" t="s">
        <v>1638</v>
      </c>
      <c r="C11895" s="2889" t="s">
        <v>1446</v>
      </c>
      <c r="D11895" s="2889" t="s">
        <v>1105</v>
      </c>
      <c r="E11895" s="2889" t="s">
        <v>217</v>
      </c>
      <c r="F11895" s="2890">
        <v>4.4656108838234801E-2</v>
      </c>
      <c r="G11895" s="2890">
        <v>72.135289792686592</v>
      </c>
    </row>
    <row r="11896" spans="2:7" ht="15" hidden="1" outlineLevel="2">
      <c r="B11896" s="2889" t="s">
        <v>1638</v>
      </c>
      <c r="C11896" s="2889" t="s">
        <v>1447</v>
      </c>
      <c r="D11896" s="2889" t="s">
        <v>1105</v>
      </c>
      <c r="E11896" s="2889" t="s">
        <v>217</v>
      </c>
      <c r="F11896" s="2890">
        <v>0.10289544200947633</v>
      </c>
      <c r="G11896" s="2890">
        <v>154.77617555257081</v>
      </c>
    </row>
    <row r="11897" spans="2:7" ht="15" hidden="1" outlineLevel="2">
      <c r="B11897" s="2889" t="s">
        <v>1638</v>
      </c>
      <c r="C11897" s="2889" t="s">
        <v>1448</v>
      </c>
      <c r="D11897" s="2889" t="s">
        <v>1105</v>
      </c>
      <c r="E11897" s="2889" t="s">
        <v>217</v>
      </c>
      <c r="F11897" s="2890">
        <v>0.19432560743005151</v>
      </c>
      <c r="G11897" s="2890">
        <v>243.83653898268093</v>
      </c>
    </row>
    <row r="11898" spans="2:7" ht="15" hidden="1" outlineLevel="2">
      <c r="B11898" s="2889" t="s">
        <v>1638</v>
      </c>
      <c r="C11898" s="2889" t="s">
        <v>1449</v>
      </c>
      <c r="D11898" s="2889" t="s">
        <v>1105</v>
      </c>
      <c r="E11898" s="2889" t="s">
        <v>217</v>
      </c>
      <c r="F11898" s="2890">
        <v>8.2728634297405054E-3</v>
      </c>
      <c r="G11898" s="2890">
        <v>11.46870366904267</v>
      </c>
    </row>
    <row r="11899" spans="2:7" ht="15" hidden="1" outlineLevel="2">
      <c r="B11899" s="2889" t="s">
        <v>1638</v>
      </c>
      <c r="C11899" s="2889" t="s">
        <v>1450</v>
      </c>
      <c r="D11899" s="2889" t="s">
        <v>1105</v>
      </c>
      <c r="E11899" s="2889" t="s">
        <v>1420</v>
      </c>
      <c r="F11899" s="2890">
        <v>2.6308709422878548E-2</v>
      </c>
      <c r="G11899" s="2890">
        <v>72.327962091847823</v>
      </c>
    </row>
    <row r="11900" spans="2:7" ht="15" hidden="1" outlineLevel="2">
      <c r="B11900" s="2889" t="s">
        <v>1638</v>
      </c>
      <c r="C11900" s="2889" t="s">
        <v>1451</v>
      </c>
      <c r="D11900" s="2889" t="s">
        <v>1105</v>
      </c>
      <c r="E11900" s="2889" t="s">
        <v>1420</v>
      </c>
      <c r="F11900" s="2890">
        <v>3.8197387245930015E-3</v>
      </c>
      <c r="G11900" s="2890">
        <v>16.109958528361226</v>
      </c>
    </row>
    <row r="11901" spans="2:7" ht="15" hidden="1" outlineLevel="2">
      <c r="B11901" s="2889" t="s">
        <v>1638</v>
      </c>
      <c r="C11901" s="2889" t="s">
        <v>1452</v>
      </c>
      <c r="D11901" s="2889" t="s">
        <v>1105</v>
      </c>
      <c r="E11901" s="2889" t="s">
        <v>1420</v>
      </c>
      <c r="F11901" s="2890">
        <v>2.8259171894739529E-3</v>
      </c>
      <c r="G11901" s="2890">
        <v>18.883761940652953</v>
      </c>
    </row>
    <row r="11902" spans="2:7" ht="15" hidden="1" outlineLevel="2">
      <c r="B11902" s="2889" t="s">
        <v>1638</v>
      </c>
      <c r="C11902" s="2889" t="s">
        <v>1453</v>
      </c>
      <c r="D11902" s="2889" t="s">
        <v>1105</v>
      </c>
      <c r="E11902" s="2889" t="s">
        <v>1420</v>
      </c>
      <c r="F11902" s="2890">
        <v>4.9499528738813367E-3</v>
      </c>
      <c r="G11902" s="2890">
        <v>23.458376829344239</v>
      </c>
    </row>
    <row r="11903" spans="2:7" ht="15" hidden="1" outlineLevel="2">
      <c r="B11903" s="2889" t="s">
        <v>1638</v>
      </c>
      <c r="C11903" s="2889" t="s">
        <v>1454</v>
      </c>
      <c r="D11903" s="2889" t="s">
        <v>1105</v>
      </c>
      <c r="E11903" s="2889" t="s">
        <v>1420</v>
      </c>
      <c r="F11903" s="2890">
        <v>1.2359750964284618E-4</v>
      </c>
      <c r="G11903" s="2890">
        <v>0.31710418957673447</v>
      </c>
    </row>
    <row r="11904" spans="2:7" ht="15" hidden="1" outlineLevel="2">
      <c r="B11904" s="2889" t="s">
        <v>1638</v>
      </c>
      <c r="C11904" s="2889" t="s">
        <v>1455</v>
      </c>
      <c r="D11904" s="2889" t="s">
        <v>1105</v>
      </c>
      <c r="E11904" s="2889" t="s">
        <v>1420</v>
      </c>
      <c r="F11904" s="2890">
        <v>3.6059739073114789E-5</v>
      </c>
      <c r="G11904" s="2890">
        <v>0.29454797516755449</v>
      </c>
    </row>
    <row r="11905" spans="2:7" ht="15" hidden="1" outlineLevel="2">
      <c r="B11905" s="2889" t="s">
        <v>1638</v>
      </c>
      <c r="C11905" s="2889" t="s">
        <v>1456</v>
      </c>
      <c r="D11905" s="2889" t="s">
        <v>1105</v>
      </c>
      <c r="E11905" s="2889" t="s">
        <v>1423</v>
      </c>
      <c r="F11905" s="2890">
        <v>0.58127444167930864</v>
      </c>
      <c r="G11905" s="2890">
        <v>16.141390455217483</v>
      </c>
    </row>
    <row r="11906" spans="2:7" ht="15" hidden="1" outlineLevel="2">
      <c r="B11906" s="2889" t="s">
        <v>1638</v>
      </c>
      <c r="C11906" s="2889" t="s">
        <v>1457</v>
      </c>
      <c r="D11906" s="2889" t="s">
        <v>1105</v>
      </c>
      <c r="E11906" s="2889" t="s">
        <v>1423</v>
      </c>
      <c r="F11906" s="2890">
        <v>2.2285249245554545E-2</v>
      </c>
      <c r="G11906" s="2890">
        <v>0.81010283897226931</v>
      </c>
    </row>
    <row r="11907" spans="2:7" ht="15" hidden="1" outlineLevel="2">
      <c r="B11907" s="2889" t="s">
        <v>1638</v>
      </c>
      <c r="C11907" s="2889" t="s">
        <v>1458</v>
      </c>
      <c r="D11907" s="2889" t="s">
        <v>1105</v>
      </c>
      <c r="E11907" s="2889" t="s">
        <v>1423</v>
      </c>
      <c r="F11907" s="2890">
        <v>1.5999167104088559E-2</v>
      </c>
      <c r="G11907" s="2890">
        <v>1.1221293777027717</v>
      </c>
    </row>
    <row r="11908" spans="2:7" ht="15" hidden="1" outlineLevel="2">
      <c r="B11908" s="2889" t="s">
        <v>1638</v>
      </c>
      <c r="C11908" s="2889" t="s">
        <v>1459</v>
      </c>
      <c r="D11908" s="2889" t="s">
        <v>1105</v>
      </c>
      <c r="E11908" s="2889" t="s">
        <v>1423</v>
      </c>
      <c r="F11908" s="2890">
        <v>0.18743832256555615</v>
      </c>
      <c r="G11908" s="2890">
        <v>39.22438184348573</v>
      </c>
    </row>
    <row r="11909" spans="2:7" ht="15" hidden="1" outlineLevel="2">
      <c r="B11909" s="2889" t="s">
        <v>1638</v>
      </c>
      <c r="C11909" s="2889" t="s">
        <v>1460</v>
      </c>
      <c r="D11909" s="2889" t="s">
        <v>1105</v>
      </c>
      <c r="E11909" s="2889" t="s">
        <v>1426</v>
      </c>
      <c r="F11909" s="2891"/>
      <c r="G11909" s="2890">
        <v>418.27734181256534</v>
      </c>
    </row>
    <row r="11910" spans="2:7" ht="15" hidden="1" outlineLevel="2">
      <c r="B11910" s="2889" t="s">
        <v>1638</v>
      </c>
      <c r="C11910" s="2889" t="s">
        <v>1461</v>
      </c>
      <c r="D11910" s="2889" t="s">
        <v>1105</v>
      </c>
      <c r="E11910" s="2889" t="s">
        <v>1426</v>
      </c>
      <c r="F11910" s="2891"/>
      <c r="G11910" s="2890">
        <v>98.68811954218009</v>
      </c>
    </row>
    <row r="11911" spans="2:7" ht="15" hidden="1" outlineLevel="2">
      <c r="B11911" s="2889" t="s">
        <v>1638</v>
      </c>
      <c r="C11911" s="2889" t="s">
        <v>1462</v>
      </c>
      <c r="D11911" s="2889" t="s">
        <v>1105</v>
      </c>
      <c r="E11911" s="2889" t="s">
        <v>1426</v>
      </c>
      <c r="F11911" s="2891"/>
      <c r="G11911" s="2890">
        <v>273.82127446328212</v>
      </c>
    </row>
    <row r="11912" spans="2:7" ht="15" hidden="1" outlineLevel="2">
      <c r="B11912" s="2889" t="s">
        <v>1638</v>
      </c>
      <c r="C11912" s="2889" t="s">
        <v>1463</v>
      </c>
      <c r="D11912" s="2889" t="s">
        <v>1105</v>
      </c>
      <c r="E11912" s="2889" t="s">
        <v>1426</v>
      </c>
      <c r="F11912" s="2891"/>
      <c r="G11912" s="2890">
        <v>139.03752008417314</v>
      </c>
    </row>
    <row r="11913" spans="2:7" ht="15" hidden="1" outlineLevel="2">
      <c r="B11913" s="2889" t="s">
        <v>1638</v>
      </c>
      <c r="C11913" s="2889" t="s">
        <v>1464</v>
      </c>
      <c r="D11913" s="2889" t="s">
        <v>1105</v>
      </c>
      <c r="E11913" s="2889" t="s">
        <v>1426</v>
      </c>
      <c r="F11913" s="2891"/>
      <c r="G11913" s="2890">
        <v>13.356816101550981</v>
      </c>
    </row>
    <row r="11914" spans="2:7" ht="15" hidden="1" outlineLevel="2">
      <c r="B11914" s="2889" t="s">
        <v>1638</v>
      </c>
      <c r="C11914" s="2889" t="s">
        <v>1465</v>
      </c>
      <c r="D11914" s="2889" t="s">
        <v>1105</v>
      </c>
      <c r="E11914" s="2889" t="s">
        <v>1426</v>
      </c>
      <c r="F11914" s="2891"/>
      <c r="G11914" s="2890">
        <v>11.850521449572073</v>
      </c>
    </row>
    <row r="11915" spans="2:7" ht="15" hidden="1" outlineLevel="2">
      <c r="B11915" s="2889" t="s">
        <v>1638</v>
      </c>
      <c r="C11915" s="2889" t="s">
        <v>1466</v>
      </c>
      <c r="D11915" s="2889" t="s">
        <v>1054</v>
      </c>
      <c r="E11915" s="2889" t="s">
        <v>217</v>
      </c>
      <c r="F11915" s="2890">
        <v>6.1381652320116314E-3</v>
      </c>
      <c r="G11915" s="2890">
        <v>3.7846042591765872</v>
      </c>
    </row>
    <row r="11916" spans="2:7" ht="15" hidden="1" outlineLevel="2">
      <c r="B11916" s="2889" t="s">
        <v>1638</v>
      </c>
      <c r="C11916" s="2889" t="s">
        <v>1467</v>
      </c>
      <c r="D11916" s="2889" t="s">
        <v>1054</v>
      </c>
      <c r="E11916" s="2889" t="s">
        <v>217</v>
      </c>
      <c r="F11916" s="2890">
        <v>5.0728000224050187E-4</v>
      </c>
      <c r="G11916" s="2890">
        <v>0.24546074132132004</v>
      </c>
    </row>
    <row r="11917" spans="2:7" ht="15" hidden="1" outlineLevel="2">
      <c r="B11917" s="2889" t="s">
        <v>1638</v>
      </c>
      <c r="C11917" s="2889" t="s">
        <v>1468</v>
      </c>
      <c r="D11917" s="2889" t="s">
        <v>1054</v>
      </c>
      <c r="E11917" s="2889" t="s">
        <v>217</v>
      </c>
      <c r="F11917" s="2890">
        <v>6.143311872427806E-4</v>
      </c>
      <c r="G11917" s="2890">
        <v>0.29343393742941043</v>
      </c>
    </row>
    <row r="11918" spans="2:7" ht="15" hidden="1" outlineLevel="2">
      <c r="B11918" s="2889" t="s">
        <v>1638</v>
      </c>
      <c r="C11918" s="2889" t="s">
        <v>1469</v>
      </c>
      <c r="D11918" s="2889" t="s">
        <v>1054</v>
      </c>
      <c r="E11918" s="2889" t="s">
        <v>217</v>
      </c>
      <c r="F11918" s="2890">
        <v>4.9021773039386317E-6</v>
      </c>
      <c r="G11918" s="2890">
        <v>2.1973888000769012E-3</v>
      </c>
    </row>
    <row r="11919" spans="2:7" ht="15" hidden="1" outlineLevel="2">
      <c r="B11919" s="2889" t="s">
        <v>1638</v>
      </c>
      <c r="C11919" s="2889" t="s">
        <v>1470</v>
      </c>
      <c r="D11919" s="2889" t="s">
        <v>1054</v>
      </c>
      <c r="E11919" s="2889" t="s">
        <v>217</v>
      </c>
      <c r="F11919" s="2890">
        <v>1.74874059340288E-2</v>
      </c>
      <c r="G11919" s="2890">
        <v>9.7800182991624212</v>
      </c>
    </row>
    <row r="11920" spans="2:7" ht="15" hidden="1" outlineLevel="2">
      <c r="B11920" s="2889" t="s">
        <v>1638</v>
      </c>
      <c r="C11920" s="2889" t="s">
        <v>1471</v>
      </c>
      <c r="D11920" s="2889" t="s">
        <v>1054</v>
      </c>
      <c r="E11920" s="2889" t="s">
        <v>217</v>
      </c>
      <c r="F11920" s="2890">
        <v>1.2764873835052315E-4</v>
      </c>
      <c r="G11920" s="2890">
        <v>5.7218228240652383E-2</v>
      </c>
    </row>
    <row r="11921" spans="2:7" ht="15" hidden="1" outlineLevel="2">
      <c r="B11921" s="2889" t="s">
        <v>1638</v>
      </c>
      <c r="C11921" s="2889" t="s">
        <v>1472</v>
      </c>
      <c r="D11921" s="2889" t="s">
        <v>1054</v>
      </c>
      <c r="E11921" s="2889" t="s">
        <v>217</v>
      </c>
      <c r="F11921" s="2890">
        <v>2.1573097177111865E-3</v>
      </c>
      <c r="G11921" s="2890">
        <v>3.3644402293941886</v>
      </c>
    </row>
    <row r="11922" spans="2:7" ht="15" hidden="1" outlineLevel="2">
      <c r="B11922" s="2889" t="s">
        <v>1638</v>
      </c>
      <c r="C11922" s="2889" t="s">
        <v>1473</v>
      </c>
      <c r="D11922" s="2889" t="s">
        <v>1054</v>
      </c>
      <c r="E11922" s="2889" t="s">
        <v>217</v>
      </c>
      <c r="F11922" s="2890">
        <v>1.9107355517366003E-5</v>
      </c>
      <c r="G11922" s="2890">
        <v>2.4862328077750715E-2</v>
      </c>
    </row>
    <row r="11923" spans="2:7" ht="15" hidden="1" outlineLevel="2">
      <c r="B11923" s="2889" t="s">
        <v>1638</v>
      </c>
      <c r="C11923" s="2889" t="s">
        <v>1474</v>
      </c>
      <c r="D11923" s="2889" t="s">
        <v>1054</v>
      </c>
      <c r="E11923" s="2889" t="s">
        <v>217</v>
      </c>
      <c r="F11923" s="2890">
        <v>5.2559479231985458E-3</v>
      </c>
      <c r="G11923" s="2890">
        <v>6.2958651449687562</v>
      </c>
    </row>
    <row r="11924" spans="2:7" ht="15" hidden="1" outlineLevel="2">
      <c r="B11924" s="2889" t="s">
        <v>1638</v>
      </c>
      <c r="C11924" s="2889" t="s">
        <v>1475</v>
      </c>
      <c r="D11924" s="2889" t="s">
        <v>1054</v>
      </c>
      <c r="E11924" s="2889" t="s">
        <v>217</v>
      </c>
      <c r="F11924" s="2890">
        <v>3.7648992049191532E-3</v>
      </c>
      <c r="G11924" s="2890">
        <v>5.9492075329649357</v>
      </c>
    </row>
    <row r="11925" spans="2:7" ht="15" hidden="1" outlineLevel="2">
      <c r="B11925" s="2889" t="s">
        <v>1638</v>
      </c>
      <c r="C11925" s="2889" t="s">
        <v>1476</v>
      </c>
      <c r="D11925" s="2889" t="s">
        <v>1054</v>
      </c>
      <c r="E11925" s="2889" t="s">
        <v>217</v>
      </c>
      <c r="F11925" s="2890">
        <v>9.2698445902685191E-3</v>
      </c>
      <c r="G11925" s="2890">
        <v>11.840934173497095</v>
      </c>
    </row>
    <row r="11926" spans="2:7" ht="15" hidden="1" outlineLevel="2">
      <c r="B11926" s="2889" t="s">
        <v>1638</v>
      </c>
      <c r="C11926" s="2889" t="s">
        <v>1477</v>
      </c>
      <c r="D11926" s="2889" t="s">
        <v>1054</v>
      </c>
      <c r="E11926" s="2889" t="s">
        <v>217</v>
      </c>
      <c r="F11926" s="2890">
        <v>3.6258153567567653E-3</v>
      </c>
      <c r="G11926" s="2890">
        <v>4.9933229396703203</v>
      </c>
    </row>
    <row r="11927" spans="2:7" ht="15" hidden="1" outlineLevel="2">
      <c r="B11927" s="2889" t="s">
        <v>1638</v>
      </c>
      <c r="C11927" s="2889" t="s">
        <v>1478</v>
      </c>
      <c r="D11927" s="2889" t="s">
        <v>1054</v>
      </c>
      <c r="E11927" s="2889" t="s">
        <v>217</v>
      </c>
      <c r="F11927" s="2890">
        <v>1.9539388939575217E-4</v>
      </c>
      <c r="G11927" s="2890">
        <v>0.2592500348223517</v>
      </c>
    </row>
    <row r="11928" spans="2:7" ht="15" hidden="1" outlineLevel="2">
      <c r="B11928" s="2889" t="s">
        <v>1638</v>
      </c>
      <c r="C11928" s="2889" t="s">
        <v>1479</v>
      </c>
      <c r="D11928" s="2889" t="s">
        <v>1054</v>
      </c>
      <c r="E11928" s="2889" t="s">
        <v>217</v>
      </c>
      <c r="F11928" s="2890">
        <v>6.909539159596861E-3</v>
      </c>
      <c r="G11928" s="2890">
        <v>10.453387497717284</v>
      </c>
    </row>
    <row r="11929" spans="2:7" ht="15" hidden="1" outlineLevel="2">
      <c r="B11929" s="2889" t="s">
        <v>1638</v>
      </c>
      <c r="C11929" s="2889" t="s">
        <v>1480</v>
      </c>
      <c r="D11929" s="2889" t="s">
        <v>1054</v>
      </c>
      <c r="E11929" s="2889" t="s">
        <v>217</v>
      </c>
      <c r="F11929" s="2890">
        <v>3.1111236783028747E-3</v>
      </c>
      <c r="G11929" s="2890">
        <v>3.6003139777926267</v>
      </c>
    </row>
    <row r="11930" spans="2:7" ht="15" hidden="1" outlineLevel="2">
      <c r="B11930" s="2889" t="s">
        <v>1638</v>
      </c>
      <c r="C11930" s="2889" t="s">
        <v>1481</v>
      </c>
      <c r="D11930" s="2889" t="s">
        <v>1054</v>
      </c>
      <c r="E11930" s="2889" t="s">
        <v>217</v>
      </c>
      <c r="F11930" s="2890">
        <v>1.539058869578485E-2</v>
      </c>
      <c r="G11930" s="2890">
        <v>21.772344660952559</v>
      </c>
    </row>
    <row r="11931" spans="2:7" ht="15" hidden="1" outlineLevel="2">
      <c r="B11931" s="2889" t="s">
        <v>1638</v>
      </c>
      <c r="C11931" s="2889" t="s">
        <v>1482</v>
      </c>
      <c r="D11931" s="2889" t="s">
        <v>1054</v>
      </c>
      <c r="E11931" s="2889" t="s">
        <v>217</v>
      </c>
      <c r="F11931" s="2890">
        <v>1.0372338274581111E-2</v>
      </c>
      <c r="G11931" s="2890">
        <v>10.430094043917002</v>
      </c>
    </row>
    <row r="11932" spans="2:7" ht="15" hidden="1" outlineLevel="2">
      <c r="B11932" s="2889" t="s">
        <v>1638</v>
      </c>
      <c r="C11932" s="2889" t="s">
        <v>1483</v>
      </c>
      <c r="D11932" s="2889" t="s">
        <v>1054</v>
      </c>
      <c r="E11932" s="2889" t="s">
        <v>217</v>
      </c>
      <c r="F11932" s="2890">
        <v>4.9337425256974743E-4</v>
      </c>
      <c r="G11932" s="2890">
        <v>0.83144255785814802</v>
      </c>
    </row>
    <row r="11933" spans="2:7" ht="15" hidden="1" outlineLevel="2">
      <c r="B11933" s="2889" t="s">
        <v>1638</v>
      </c>
      <c r="C11933" s="2889" t="s">
        <v>1484</v>
      </c>
      <c r="D11933" s="2889" t="s">
        <v>1054</v>
      </c>
      <c r="E11933" s="2889" t="s">
        <v>217</v>
      </c>
      <c r="F11933" s="2890">
        <v>1.0023021527877714E-3</v>
      </c>
      <c r="G11933" s="2890">
        <v>1.4098264359678729</v>
      </c>
    </row>
    <row r="11934" spans="2:7" ht="15" hidden="1" outlineLevel="2">
      <c r="B11934" s="2889" t="s">
        <v>1638</v>
      </c>
      <c r="C11934" s="2889" t="s">
        <v>1485</v>
      </c>
      <c r="D11934" s="2889" t="s">
        <v>1054</v>
      </c>
      <c r="E11934" s="2889" t="s">
        <v>217</v>
      </c>
      <c r="F11934" s="2890">
        <v>4.4570980062055236E-4</v>
      </c>
      <c r="G11934" s="2890">
        <v>1.2633311126752076</v>
      </c>
    </row>
    <row r="11935" spans="2:7" ht="15" hidden="1" outlineLevel="2">
      <c r="B11935" s="2889" t="s">
        <v>1638</v>
      </c>
      <c r="C11935" s="2889" t="s">
        <v>1486</v>
      </c>
      <c r="D11935" s="2889" t="s">
        <v>1054</v>
      </c>
      <c r="E11935" s="2889" t="s">
        <v>217</v>
      </c>
      <c r="F11935" s="2890">
        <v>5.1906412412780782E-4</v>
      </c>
      <c r="G11935" s="2890">
        <v>3.0173933740784671</v>
      </c>
    </row>
    <row r="11936" spans="2:7" ht="15" hidden="1" outlineLevel="2">
      <c r="B11936" s="2889" t="s">
        <v>1638</v>
      </c>
      <c r="C11936" s="2889" t="s">
        <v>1487</v>
      </c>
      <c r="D11936" s="2889" t="s">
        <v>1054</v>
      </c>
      <c r="E11936" s="2889" t="s">
        <v>217</v>
      </c>
      <c r="F11936" s="2890">
        <v>4.90687233416292E-3</v>
      </c>
      <c r="G11936" s="2890">
        <v>7.1504389892337761</v>
      </c>
    </row>
    <row r="11937" spans="2:7" ht="15" hidden="1" outlineLevel="2">
      <c r="B11937" s="2889" t="s">
        <v>1638</v>
      </c>
      <c r="C11937" s="2889" t="s">
        <v>1488</v>
      </c>
      <c r="D11937" s="2889" t="s">
        <v>1054</v>
      </c>
      <c r="E11937" s="2889" t="s">
        <v>217</v>
      </c>
      <c r="F11937" s="2890">
        <v>3.0452370802144259E-3</v>
      </c>
      <c r="G11937" s="2890">
        <v>4.9074391607036425</v>
      </c>
    </row>
    <row r="11938" spans="2:7" ht="15" hidden="1" outlineLevel="2">
      <c r="B11938" s="2889" t="s">
        <v>1638</v>
      </c>
      <c r="C11938" s="2889" t="s">
        <v>1489</v>
      </c>
      <c r="D11938" s="2889" t="s">
        <v>1054</v>
      </c>
      <c r="E11938" s="2889" t="s">
        <v>217</v>
      </c>
      <c r="F11938" s="2890">
        <v>1.5327084604590581E-3</v>
      </c>
      <c r="G11938" s="2890">
        <v>1.6169568228253335</v>
      </c>
    </row>
    <row r="11939" spans="2:7" ht="15" hidden="1" outlineLevel="2">
      <c r="B11939" s="2889" t="s">
        <v>1638</v>
      </c>
      <c r="C11939" s="2889" t="s">
        <v>1490</v>
      </c>
      <c r="D11939" s="2889" t="s">
        <v>1054</v>
      </c>
      <c r="E11939" s="2889" t="s">
        <v>217</v>
      </c>
      <c r="F11939" s="2890">
        <v>7.1573546444358722E-4</v>
      </c>
      <c r="G11939" s="2890">
        <v>1.1422702605344375</v>
      </c>
    </row>
    <row r="11940" spans="2:7" ht="15" hidden="1" outlineLevel="2">
      <c r="B11940" s="2889" t="s">
        <v>1638</v>
      </c>
      <c r="C11940" s="2889" t="s">
        <v>1491</v>
      </c>
      <c r="D11940" s="2889" t="s">
        <v>1054</v>
      </c>
      <c r="E11940" s="2889" t="s">
        <v>1420</v>
      </c>
      <c r="F11940" s="2890">
        <v>1.3664726924562321E-4</v>
      </c>
      <c r="G11940" s="2890">
        <v>0.64699937685515652</v>
      </c>
    </row>
    <row r="11941" spans="2:7" ht="15" hidden="1" outlineLevel="2">
      <c r="B11941" s="2889" t="s">
        <v>1638</v>
      </c>
      <c r="C11941" s="2889" t="s">
        <v>1492</v>
      </c>
      <c r="D11941" s="2889" t="s">
        <v>1054</v>
      </c>
      <c r="E11941" s="2889" t="s">
        <v>1420</v>
      </c>
      <c r="F11941" s="2890">
        <v>1.0157919226015414E-4</v>
      </c>
      <c r="G11941" s="2890">
        <v>1.0857866984202986</v>
      </c>
    </row>
    <row r="11942" spans="2:7" ht="15" hidden="1" outlineLevel="2">
      <c r="B11942" s="2889" t="s">
        <v>1638</v>
      </c>
      <c r="C11942" s="2889" t="s">
        <v>1493</v>
      </c>
      <c r="D11942" s="2889" t="s">
        <v>1054</v>
      </c>
      <c r="E11942" s="2889" t="s">
        <v>1420</v>
      </c>
      <c r="F11942" s="2890">
        <v>7.5217689267648811E-5</v>
      </c>
      <c r="G11942" s="2890">
        <v>0.17962161239839833</v>
      </c>
    </row>
    <row r="11943" spans="2:7" ht="15" hidden="1" outlineLevel="2">
      <c r="B11943" s="2889" t="s">
        <v>1638</v>
      </c>
      <c r="C11943" s="2889" t="s">
        <v>1494</v>
      </c>
      <c r="D11943" s="2889" t="s">
        <v>1054</v>
      </c>
      <c r="E11943" s="2889" t="s">
        <v>1420</v>
      </c>
      <c r="F11943" s="2890">
        <v>2.0510255393466448E-5</v>
      </c>
      <c r="G11943" s="2890">
        <v>0.1125549813190045</v>
      </c>
    </row>
    <row r="11944" spans="2:7" ht="15" hidden="1" outlineLevel="2">
      <c r="B11944" s="2889" t="s">
        <v>1638</v>
      </c>
      <c r="C11944" s="2889" t="s">
        <v>1495</v>
      </c>
      <c r="D11944" s="2889" t="s">
        <v>1054</v>
      </c>
      <c r="E11944" s="2889" t="s">
        <v>1420</v>
      </c>
      <c r="F11944" s="2890">
        <v>4.43855809655459E-4</v>
      </c>
      <c r="G11944" s="2890">
        <v>1.9918421817186147</v>
      </c>
    </row>
    <row r="11945" spans="2:7" ht="15" hidden="1" outlineLevel="2">
      <c r="B11945" s="2889" t="s">
        <v>1638</v>
      </c>
      <c r="C11945" s="2889" t="s">
        <v>1496</v>
      </c>
      <c r="D11945" s="2889" t="s">
        <v>1054</v>
      </c>
      <c r="E11945" s="2889" t="s">
        <v>1420</v>
      </c>
      <c r="F11945" s="2890">
        <v>4.0267954055890664E-4</v>
      </c>
      <c r="G11945" s="2890">
        <v>0.71717783882943131</v>
      </c>
    </row>
    <row r="11946" spans="2:7" ht="15" hidden="1" outlineLevel="2">
      <c r="B11946" s="2889" t="s">
        <v>1638</v>
      </c>
      <c r="C11946" s="2889" t="s">
        <v>1497</v>
      </c>
      <c r="D11946" s="2889" t="s">
        <v>1054</v>
      </c>
      <c r="E11946" s="2889" t="s">
        <v>1420</v>
      </c>
      <c r="F11946" s="2890">
        <v>1.1172508900300163E-4</v>
      </c>
      <c r="G11946" s="2890">
        <v>1.842773250616915</v>
      </c>
    </row>
    <row r="11947" spans="2:7" ht="15" hidden="1" outlineLevel="2">
      <c r="B11947" s="2889" t="s">
        <v>1638</v>
      </c>
      <c r="C11947" s="2889" t="s">
        <v>1498</v>
      </c>
      <c r="D11947" s="2889" t="s">
        <v>1054</v>
      </c>
      <c r="E11947" s="2889" t="s">
        <v>1420</v>
      </c>
      <c r="F11947" s="2890">
        <v>3.0539654689813647E-4</v>
      </c>
      <c r="G11947" s="2890">
        <v>0.73395690135890856</v>
      </c>
    </row>
    <row r="11948" spans="2:7" ht="15" hidden="1" outlineLevel="2">
      <c r="B11948" s="2889" t="s">
        <v>1638</v>
      </c>
      <c r="C11948" s="2889" t="s">
        <v>1499</v>
      </c>
      <c r="D11948" s="2889" t="s">
        <v>1054</v>
      </c>
      <c r="E11948" s="2889" t="s">
        <v>1420</v>
      </c>
      <c r="F11948" s="2890">
        <v>4.6642425040518683E-5</v>
      </c>
      <c r="G11948" s="2890">
        <v>0.11810441694945482</v>
      </c>
    </row>
    <row r="11949" spans="2:7" ht="15" hidden="1" outlineLevel="2">
      <c r="B11949" s="2889" t="s">
        <v>1638</v>
      </c>
      <c r="C11949" s="2889" t="s">
        <v>1500</v>
      </c>
      <c r="D11949" s="2889" t="s">
        <v>1054</v>
      </c>
      <c r="E11949" s="2889" t="s">
        <v>1420</v>
      </c>
      <c r="F11949" s="2890">
        <v>3.3784004127753256E-4</v>
      </c>
      <c r="G11949" s="2890">
        <v>1.2776323886423049</v>
      </c>
    </row>
    <row r="11950" spans="2:7" ht="15" hidden="1" outlineLevel="2">
      <c r="B11950" s="2889" t="s">
        <v>1638</v>
      </c>
      <c r="C11950" s="2889" t="s">
        <v>1501</v>
      </c>
      <c r="D11950" s="2889" t="s">
        <v>1054</v>
      </c>
      <c r="E11950" s="2889" t="s">
        <v>1420</v>
      </c>
      <c r="F11950" s="2890">
        <v>4.2372463146505911E-4</v>
      </c>
      <c r="G11950" s="2890">
        <v>3.111100461850655</v>
      </c>
    </row>
    <row r="11951" spans="2:7" ht="15" hidden="1" outlineLevel="2">
      <c r="B11951" s="2889" t="s">
        <v>1638</v>
      </c>
      <c r="C11951" s="2889" t="s">
        <v>1502</v>
      </c>
      <c r="D11951" s="2889" t="s">
        <v>1054</v>
      </c>
      <c r="E11951" s="2889" t="s">
        <v>1420</v>
      </c>
      <c r="F11951" s="2890">
        <v>2.9565467424393095E-5</v>
      </c>
      <c r="G11951" s="2890">
        <v>0.32498986067897845</v>
      </c>
    </row>
    <row r="11952" spans="2:7" ht="15" hidden="1" outlineLevel="2">
      <c r="B11952" s="2889" t="s">
        <v>1638</v>
      </c>
      <c r="C11952" s="2889" t="s">
        <v>1503</v>
      </c>
      <c r="D11952" s="2889" t="s">
        <v>1054</v>
      </c>
      <c r="E11952" s="2889" t="s">
        <v>1420</v>
      </c>
      <c r="F11952" s="2890">
        <v>9.7504183512891194E-4</v>
      </c>
      <c r="G11952" s="2890">
        <v>2.6920984114286202</v>
      </c>
    </row>
    <row r="11953" spans="2:7" ht="15" hidden="1" outlineLevel="2">
      <c r="B11953" s="2889" t="s">
        <v>1638</v>
      </c>
      <c r="C11953" s="2889" t="s">
        <v>1504</v>
      </c>
      <c r="D11953" s="2889" t="s">
        <v>1054</v>
      </c>
      <c r="E11953" s="2889" t="s">
        <v>1420</v>
      </c>
      <c r="F11953" s="2890">
        <v>5.0295461325746934E-4</v>
      </c>
      <c r="G11953" s="2890">
        <v>1.1132944830208209</v>
      </c>
    </row>
    <row r="11954" spans="2:7" ht="15" hidden="1" outlineLevel="2">
      <c r="B11954" s="2889" t="s">
        <v>1638</v>
      </c>
      <c r="C11954" s="2889" t="s">
        <v>1505</v>
      </c>
      <c r="D11954" s="2889" t="s">
        <v>1054</v>
      </c>
      <c r="E11954" s="2889" t="s">
        <v>1423</v>
      </c>
      <c r="F11954" s="2890">
        <v>1.4262689421798693E-3</v>
      </c>
      <c r="G11954" s="2890">
        <v>3.52970905472434E-2</v>
      </c>
    </row>
    <row r="11955" spans="2:7" ht="15" hidden="1" outlineLevel="2">
      <c r="B11955" s="2889" t="s">
        <v>1638</v>
      </c>
      <c r="C11955" s="2889" t="s">
        <v>1506</v>
      </c>
      <c r="D11955" s="2889" t="s">
        <v>1054</v>
      </c>
      <c r="E11955" s="2889" t="s">
        <v>1426</v>
      </c>
      <c r="F11955" s="2891"/>
      <c r="G11955" s="2890">
        <v>104.8011144571137</v>
      </c>
    </row>
    <row r="11956" spans="2:7" ht="15" hidden="1" outlineLevel="2">
      <c r="B11956" s="2889" t="s">
        <v>1638</v>
      </c>
      <c r="C11956" s="2889" t="s">
        <v>1507</v>
      </c>
      <c r="D11956" s="2889" t="s">
        <v>1054</v>
      </c>
      <c r="E11956" s="2889" t="s">
        <v>1426</v>
      </c>
      <c r="F11956" s="2891"/>
      <c r="G11956" s="2890">
        <v>0.1708329668738004</v>
      </c>
    </row>
    <row r="11957" spans="2:7" ht="15" hidden="1" outlineLevel="2">
      <c r="B11957" s="2889" t="s">
        <v>1638</v>
      </c>
      <c r="C11957" s="2889" t="s">
        <v>1508</v>
      </c>
      <c r="D11957" s="2889" t="s">
        <v>1054</v>
      </c>
      <c r="E11957" s="2889" t="s">
        <v>1426</v>
      </c>
      <c r="F11957" s="2891"/>
      <c r="G11957" s="2890">
        <v>2.8144126943632424</v>
      </c>
    </row>
    <row r="11958" spans="2:7" ht="15" hidden="1" outlineLevel="2">
      <c r="B11958" s="2889" t="s">
        <v>1638</v>
      </c>
      <c r="C11958" s="2889" t="s">
        <v>1509</v>
      </c>
      <c r="D11958" s="2889" t="s">
        <v>1054</v>
      </c>
      <c r="E11958" s="2889" t="s">
        <v>1426</v>
      </c>
      <c r="F11958" s="2891"/>
      <c r="G11958" s="2890">
        <v>262.32954611814</v>
      </c>
    </row>
    <row r="11959" spans="2:7" ht="15" hidden="1" outlineLevel="2">
      <c r="B11959" s="2889" t="s">
        <v>1638</v>
      </c>
      <c r="C11959" s="2889" t="s">
        <v>1510</v>
      </c>
      <c r="D11959" s="2889" t="s">
        <v>1054</v>
      </c>
      <c r="E11959" s="2889" t="s">
        <v>1426</v>
      </c>
      <c r="F11959" s="2891"/>
      <c r="G11959" s="2890">
        <v>285.35936805910882</v>
      </c>
    </row>
    <row r="11960" spans="2:7" ht="15" hidden="1" outlineLevel="2">
      <c r="B11960" s="2889" t="s">
        <v>1638</v>
      </c>
      <c r="C11960" s="2889" t="s">
        <v>1511</v>
      </c>
      <c r="D11960" s="2889" t="s">
        <v>1054</v>
      </c>
      <c r="E11960" s="2889" t="s">
        <v>1426</v>
      </c>
      <c r="F11960" s="2891"/>
      <c r="G11960" s="2890">
        <v>15.721421172273477</v>
      </c>
    </row>
    <row r="11961" spans="2:7" ht="15" hidden="1" outlineLevel="2">
      <c r="B11961" s="2889" t="s">
        <v>1638</v>
      </c>
      <c r="C11961" s="2889" t="s">
        <v>1512</v>
      </c>
      <c r="D11961" s="2889" t="s">
        <v>1054</v>
      </c>
      <c r="E11961" s="2889" t="s">
        <v>1426</v>
      </c>
      <c r="F11961" s="2891"/>
      <c r="G11961" s="2890">
        <v>9.8229266689795338</v>
      </c>
    </row>
    <row r="11962" spans="2:7" ht="15" hidden="1" outlineLevel="2">
      <c r="B11962" s="2889" t="s">
        <v>1638</v>
      </c>
      <c r="C11962" s="2889" t="s">
        <v>1513</v>
      </c>
      <c r="D11962" s="2889" t="s">
        <v>1054</v>
      </c>
      <c r="E11962" s="2889" t="s">
        <v>1426</v>
      </c>
      <c r="F11962" s="2891"/>
      <c r="G11962" s="2890">
        <v>29.330773858277432</v>
      </c>
    </row>
    <row r="11963" spans="2:7" ht="15" hidden="1" outlineLevel="2">
      <c r="B11963" s="2889" t="s">
        <v>1638</v>
      </c>
      <c r="C11963" s="2889" t="s">
        <v>1514</v>
      </c>
      <c r="D11963" s="2889" t="s">
        <v>1054</v>
      </c>
      <c r="E11963" s="2889" t="s">
        <v>1426</v>
      </c>
      <c r="F11963" s="2891"/>
      <c r="G11963" s="2890">
        <v>125.98137069606663</v>
      </c>
    </row>
    <row r="11964" spans="2:7" ht="15" hidden="1" outlineLevel="2">
      <c r="B11964" s="2889" t="s">
        <v>1638</v>
      </c>
      <c r="C11964" s="2889" t="s">
        <v>1515</v>
      </c>
      <c r="D11964" s="2889" t="s">
        <v>1054</v>
      </c>
      <c r="E11964" s="2889" t="s">
        <v>1426</v>
      </c>
      <c r="F11964" s="2891"/>
      <c r="G11964" s="2890">
        <v>108.32920486335803</v>
      </c>
    </row>
    <row r="11965" spans="2:7" ht="15" hidden="1" outlineLevel="2">
      <c r="B11965" s="2889" t="s">
        <v>1638</v>
      </c>
      <c r="C11965" s="2889" t="s">
        <v>1516</v>
      </c>
      <c r="D11965" s="2889" t="s">
        <v>1054</v>
      </c>
      <c r="E11965" s="2889" t="s">
        <v>1426</v>
      </c>
      <c r="F11965" s="2891"/>
      <c r="G11965" s="2890">
        <v>1076.1805032918564</v>
      </c>
    </row>
    <row r="11966" spans="2:7" ht="15" hidden="1" outlineLevel="2">
      <c r="B11966" s="2889" t="s">
        <v>1638</v>
      </c>
      <c r="C11966" s="2889" t="s">
        <v>1517</v>
      </c>
      <c r="D11966" s="2889" t="s">
        <v>1054</v>
      </c>
      <c r="E11966" s="2889" t="s">
        <v>1426</v>
      </c>
      <c r="F11966" s="2891"/>
      <c r="G11966" s="2890">
        <v>8.9268667098563004</v>
      </c>
    </row>
    <row r="11967" spans="2:7" ht="15" hidden="1" outlineLevel="2">
      <c r="B11967" s="2889" t="s">
        <v>1638</v>
      </c>
      <c r="C11967" s="2889" t="s">
        <v>1518</v>
      </c>
      <c r="D11967" s="2889" t="s">
        <v>1054</v>
      </c>
      <c r="E11967" s="2889" t="s">
        <v>1426</v>
      </c>
      <c r="F11967" s="2891"/>
      <c r="G11967" s="2890">
        <v>4.2165663011762788</v>
      </c>
    </row>
    <row r="11968" spans="2:7" ht="15" hidden="1" outlineLevel="2">
      <c r="B11968" s="2889" t="s">
        <v>1638</v>
      </c>
      <c r="C11968" s="2889" t="s">
        <v>1519</v>
      </c>
      <c r="D11968" s="2889" t="s">
        <v>1054</v>
      </c>
      <c r="E11968" s="2889" t="s">
        <v>1426</v>
      </c>
      <c r="F11968" s="2891"/>
      <c r="G11968" s="2890">
        <v>245.79025829335535</v>
      </c>
    </row>
    <row r="11969" spans="2:7" ht="15" hidden="1" outlineLevel="2">
      <c r="B11969" s="2889" t="s">
        <v>1638</v>
      </c>
      <c r="C11969" s="2889" t="s">
        <v>1520</v>
      </c>
      <c r="D11969" s="2889" t="s">
        <v>1054</v>
      </c>
      <c r="E11969" s="2889" t="s">
        <v>1426</v>
      </c>
      <c r="F11969" s="2891"/>
      <c r="G11969" s="2890">
        <v>267.74702838063985</v>
      </c>
    </row>
    <row r="11970" spans="2:7" ht="15" hidden="1" outlineLevel="2">
      <c r="B11970" s="2889" t="s">
        <v>1638</v>
      </c>
      <c r="C11970" s="2889" t="s">
        <v>1521</v>
      </c>
      <c r="D11970" s="2889" t="s">
        <v>1054</v>
      </c>
      <c r="E11970" s="2889" t="s">
        <v>1426</v>
      </c>
      <c r="F11970" s="2891"/>
      <c r="G11970" s="2890">
        <v>920.45028336297241</v>
      </c>
    </row>
    <row r="11971" spans="2:7" ht="15" hidden="1" outlineLevel="2">
      <c r="B11971" s="2889" t="s">
        <v>1638</v>
      </c>
      <c r="C11971" s="2889" t="s">
        <v>1522</v>
      </c>
      <c r="D11971" s="2889" t="s">
        <v>1054</v>
      </c>
      <c r="E11971" s="2889" t="s">
        <v>1426</v>
      </c>
      <c r="F11971" s="2891"/>
      <c r="G11971" s="2890">
        <v>43.333524456583156</v>
      </c>
    </row>
    <row r="11972" spans="2:7" ht="15" hidden="1" outlineLevel="2">
      <c r="B11972" s="2889" t="s">
        <v>1638</v>
      </c>
      <c r="C11972" s="2889" t="s">
        <v>1523</v>
      </c>
      <c r="D11972" s="2889" t="s">
        <v>1054</v>
      </c>
      <c r="E11972" s="2889" t="s">
        <v>1426</v>
      </c>
      <c r="F11972" s="2891"/>
      <c r="G11972" s="2890">
        <v>344.472402802418</v>
      </c>
    </row>
    <row r="11973" spans="2:7" ht="15" hidden="1" outlineLevel="2">
      <c r="B11973" s="2889" t="s">
        <v>1638</v>
      </c>
      <c r="C11973" s="2889" t="s">
        <v>1524</v>
      </c>
      <c r="D11973" s="2889" t="s">
        <v>1054</v>
      </c>
      <c r="E11973" s="2889" t="s">
        <v>1426</v>
      </c>
      <c r="F11973" s="2891"/>
      <c r="G11973" s="2890">
        <v>1171.3773798133486</v>
      </c>
    </row>
    <row r="11974" spans="2:7" ht="15" hidden="1" outlineLevel="2">
      <c r="B11974" s="2889" t="s">
        <v>1638</v>
      </c>
      <c r="C11974" s="2889" t="s">
        <v>1525</v>
      </c>
      <c r="D11974" s="2889" t="s">
        <v>1054</v>
      </c>
      <c r="E11974" s="2889" t="s">
        <v>1426</v>
      </c>
      <c r="F11974" s="2891"/>
      <c r="G11974" s="2890">
        <v>710.36934371129007</v>
      </c>
    </row>
    <row r="11975" spans="2:7" ht="15" hidden="1" outlineLevel="2">
      <c r="B11975" s="2889" t="s">
        <v>1638</v>
      </c>
      <c r="C11975" s="2889" t="s">
        <v>1526</v>
      </c>
      <c r="D11975" s="2889" t="s">
        <v>1054</v>
      </c>
      <c r="E11975" s="2889" t="s">
        <v>1426</v>
      </c>
      <c r="F11975" s="2891"/>
      <c r="G11975" s="2890">
        <v>1072.0395672172824</v>
      </c>
    </row>
    <row r="11976" spans="2:7" ht="15" hidden="1" outlineLevel="2">
      <c r="B11976" s="2889" t="s">
        <v>1638</v>
      </c>
      <c r="C11976" s="2889" t="s">
        <v>1527</v>
      </c>
      <c r="D11976" s="2889" t="s">
        <v>1054</v>
      </c>
      <c r="E11976" s="2889" t="s">
        <v>1426</v>
      </c>
      <c r="F11976" s="2891"/>
      <c r="G11976" s="2890">
        <v>487.0939659270993</v>
      </c>
    </row>
    <row r="11977" spans="2:7" ht="15" hidden="1" outlineLevel="2">
      <c r="B11977" s="2889" t="s">
        <v>1638</v>
      </c>
      <c r="C11977" s="2889" t="s">
        <v>1528</v>
      </c>
      <c r="D11977" s="2889" t="s">
        <v>1054</v>
      </c>
      <c r="E11977" s="2889" t="s">
        <v>1426</v>
      </c>
      <c r="F11977" s="2891"/>
      <c r="G11977" s="2890">
        <v>115.31058815306388</v>
      </c>
    </row>
    <row r="11978" spans="2:7" ht="15" hidden="1" outlineLevel="2">
      <c r="B11978" s="2889" t="s">
        <v>1638</v>
      </c>
      <c r="C11978" s="2889" t="s">
        <v>1529</v>
      </c>
      <c r="D11978" s="2889" t="s">
        <v>1054</v>
      </c>
      <c r="E11978" s="2889" t="s">
        <v>1426</v>
      </c>
      <c r="F11978" s="2891"/>
      <c r="G11978" s="2890">
        <v>1.500773950107698</v>
      </c>
    </row>
    <row r="11979" spans="2:7" ht="15" hidden="1" outlineLevel="2">
      <c r="B11979" s="2889" t="s">
        <v>1638</v>
      </c>
      <c r="C11979" s="2889" t="s">
        <v>1530</v>
      </c>
      <c r="D11979" s="2889" t="s">
        <v>1054</v>
      </c>
      <c r="E11979" s="2889" t="s">
        <v>1426</v>
      </c>
      <c r="F11979" s="2891"/>
      <c r="G11979" s="2890">
        <v>110.4949498773678</v>
      </c>
    </row>
    <row r="11980" spans="2:7" ht="15" hidden="1" outlineLevel="2">
      <c r="B11980" s="2889" t="s">
        <v>1638</v>
      </c>
      <c r="C11980" s="2889" t="s">
        <v>1531</v>
      </c>
      <c r="D11980" s="2889" t="s">
        <v>1106</v>
      </c>
      <c r="E11980" s="2889" t="s">
        <v>217</v>
      </c>
      <c r="F11980" s="2890">
        <v>2.1039844666956932E-4</v>
      </c>
      <c r="G11980" s="2890">
        <v>9.4314264080385332E-2</v>
      </c>
    </row>
    <row r="11981" spans="2:7" ht="15" hidden="1" outlineLevel="2">
      <c r="B11981" s="2889" t="s">
        <v>1638</v>
      </c>
      <c r="C11981" s="2889" t="s">
        <v>1532</v>
      </c>
      <c r="D11981" s="2889" t="s">
        <v>1106</v>
      </c>
      <c r="E11981" s="2889" t="s">
        <v>217</v>
      </c>
      <c r="F11981" s="2890">
        <v>1.6570740832769542E-5</v>
      </c>
      <c r="G11981" s="2890">
        <v>7.4280665505126421E-3</v>
      </c>
    </row>
    <row r="11982" spans="2:7" ht="15" hidden="1" outlineLevel="2">
      <c r="B11982" s="2889" t="s">
        <v>1638</v>
      </c>
      <c r="C11982" s="2889" t="s">
        <v>1533</v>
      </c>
      <c r="D11982" s="2889" t="s">
        <v>1106</v>
      </c>
      <c r="E11982" s="2889" t="s">
        <v>217</v>
      </c>
      <c r="F11982" s="2890">
        <v>1.0731384687763731E-2</v>
      </c>
      <c r="G11982" s="2890">
        <v>11.324895939563417</v>
      </c>
    </row>
    <row r="11983" spans="2:7" ht="15" hidden="1" outlineLevel="2">
      <c r="B11983" s="2889" t="s">
        <v>1638</v>
      </c>
      <c r="C11983" s="2889" t="s">
        <v>1534</v>
      </c>
      <c r="D11983" s="2889" t="s">
        <v>1106</v>
      </c>
      <c r="E11983" s="2889" t="s">
        <v>217</v>
      </c>
      <c r="F11983" s="2890">
        <v>9.6317589134150977E-3</v>
      </c>
      <c r="G11983" s="2890">
        <v>33.100828733274916</v>
      </c>
    </row>
    <row r="11984" spans="2:7" ht="15" hidden="1" outlineLevel="2">
      <c r="B11984" s="2889" t="s">
        <v>1638</v>
      </c>
      <c r="C11984" s="2889" t="s">
        <v>1535</v>
      </c>
      <c r="D11984" s="2889" t="s">
        <v>1106</v>
      </c>
      <c r="E11984" s="2889" t="s">
        <v>217</v>
      </c>
      <c r="F11984" s="2890">
        <v>3.5543625130006634E-3</v>
      </c>
      <c r="G11984" s="2890">
        <v>8.3596919916953247</v>
      </c>
    </row>
    <row r="11985" spans="2:7" ht="15" hidden="1" outlineLevel="2">
      <c r="B11985" s="2889" t="s">
        <v>1638</v>
      </c>
      <c r="C11985" s="2889" t="s">
        <v>1536</v>
      </c>
      <c r="D11985" s="2889" t="s">
        <v>1106</v>
      </c>
      <c r="E11985" s="2889" t="s">
        <v>217</v>
      </c>
      <c r="F11985" s="2890">
        <v>1.1923381103485139E-2</v>
      </c>
      <c r="G11985" s="2890">
        <v>15.582086099554557</v>
      </c>
    </row>
    <row r="11986" spans="2:7" ht="15" hidden="1" outlineLevel="2">
      <c r="B11986" s="2889" t="s">
        <v>1638</v>
      </c>
      <c r="C11986" s="2889" t="s">
        <v>1537</v>
      </c>
      <c r="D11986" s="2889" t="s">
        <v>1106</v>
      </c>
      <c r="E11986" s="2889" t="s">
        <v>217</v>
      </c>
      <c r="F11986" s="2890">
        <v>6.6805890681650884E-4</v>
      </c>
      <c r="G11986" s="2890">
        <v>0.76558987320213279</v>
      </c>
    </row>
    <row r="11987" spans="2:7" ht="15" hidden="1" outlineLevel="2">
      <c r="B11987" s="2889" t="s">
        <v>1638</v>
      </c>
      <c r="C11987" s="2889" t="s">
        <v>1538</v>
      </c>
      <c r="D11987" s="2889" t="s">
        <v>1106</v>
      </c>
      <c r="E11987" s="2889" t="s">
        <v>217</v>
      </c>
      <c r="F11987" s="2890">
        <v>1.5051906425468127E-4</v>
      </c>
      <c r="G11987" s="2890">
        <v>0.20392672490648989</v>
      </c>
    </row>
    <row r="11988" spans="2:7" ht="15" hidden="1" outlineLevel="2">
      <c r="B11988" s="2889" t="s">
        <v>1638</v>
      </c>
      <c r="C11988" s="2889" t="s">
        <v>1539</v>
      </c>
      <c r="D11988" s="2889" t="s">
        <v>1106</v>
      </c>
      <c r="E11988" s="2889" t="s">
        <v>217</v>
      </c>
      <c r="F11988" s="2890">
        <v>2.6223767078717669E-4</v>
      </c>
      <c r="G11988" s="2890">
        <v>3.375244095325832</v>
      </c>
    </row>
    <row r="11989" spans="2:7" ht="15" hidden="1" outlineLevel="2">
      <c r="B11989" s="2889" t="s">
        <v>1638</v>
      </c>
      <c r="C11989" s="2889" t="s">
        <v>1540</v>
      </c>
      <c r="D11989" s="2889" t="s">
        <v>1106</v>
      </c>
      <c r="E11989" s="2889" t="s">
        <v>1420</v>
      </c>
      <c r="F11989" s="2890">
        <v>1.1669009559080155E-2</v>
      </c>
      <c r="G11989" s="2890">
        <v>28.31680961693684</v>
      </c>
    </row>
    <row r="11990" spans="2:7" ht="15" hidden="1" outlineLevel="2">
      <c r="B11990" s="2889" t="s">
        <v>1638</v>
      </c>
      <c r="C11990" s="2889" t="s">
        <v>1541</v>
      </c>
      <c r="D11990" s="2889" t="s">
        <v>1106</v>
      </c>
      <c r="E11990" s="2889" t="s">
        <v>1420</v>
      </c>
      <c r="F11990" s="2890">
        <v>0.34006254006987363</v>
      </c>
      <c r="G11990" s="2890">
        <v>2503.6424056226451</v>
      </c>
    </row>
    <row r="11991" spans="2:7" ht="15" hidden="1" outlineLevel="2">
      <c r="B11991" s="2889" t="s">
        <v>1638</v>
      </c>
      <c r="C11991" s="2889" t="s">
        <v>1542</v>
      </c>
      <c r="D11991" s="2889" t="s">
        <v>1106</v>
      </c>
      <c r="E11991" s="2889" t="s">
        <v>1420</v>
      </c>
      <c r="F11991" s="2890">
        <v>1.6757923809407552E-3</v>
      </c>
      <c r="G11991" s="2890">
        <v>19.176478209783888</v>
      </c>
    </row>
    <row r="11992" spans="2:7" ht="15" hidden="1" outlineLevel="2">
      <c r="B11992" s="2889" t="s">
        <v>1638</v>
      </c>
      <c r="C11992" s="2889" t="s">
        <v>1543</v>
      </c>
      <c r="D11992" s="2889" t="s">
        <v>1106</v>
      </c>
      <c r="E11992" s="2889" t="s">
        <v>1420</v>
      </c>
      <c r="F11992" s="2890">
        <v>6.0726603593287427E-4</v>
      </c>
      <c r="G11992" s="2890">
        <v>5.9438144746150563</v>
      </c>
    </row>
    <row r="11993" spans="2:7" ht="15" hidden="1" outlineLevel="2">
      <c r="B11993" s="2889" t="s">
        <v>1638</v>
      </c>
      <c r="C11993" s="2889" t="s">
        <v>1544</v>
      </c>
      <c r="D11993" s="2889" t="s">
        <v>1106</v>
      </c>
      <c r="E11993" s="2889" t="s">
        <v>1420</v>
      </c>
      <c r="F11993" s="2890">
        <v>5.8695671903938025E-4</v>
      </c>
      <c r="G11993" s="2890">
        <v>1.5336071117364756</v>
      </c>
    </row>
    <row r="11994" spans="2:7" ht="15" hidden="1" outlineLevel="2">
      <c r="B11994" s="2889" t="s">
        <v>1638</v>
      </c>
      <c r="C11994" s="2889" t="s">
        <v>1545</v>
      </c>
      <c r="D11994" s="2889" t="s">
        <v>1106</v>
      </c>
      <c r="E11994" s="2889" t="s">
        <v>1420</v>
      </c>
      <c r="F11994" s="2890">
        <v>5.8698158685239056E-4</v>
      </c>
      <c r="G11994" s="2890">
        <v>11.664898398821192</v>
      </c>
    </row>
    <row r="11995" spans="2:7" ht="15" hidden="1" outlineLevel="2">
      <c r="B11995" s="2889" t="s">
        <v>1638</v>
      </c>
      <c r="C11995" s="2889" t="s">
        <v>1546</v>
      </c>
      <c r="D11995" s="2889" t="s">
        <v>1106</v>
      </c>
      <c r="E11995" s="2889" t="s">
        <v>1423</v>
      </c>
      <c r="F11995" s="2890">
        <v>1.7793456327241908</v>
      </c>
      <c r="G11995" s="2890">
        <v>149.7420988733648</v>
      </c>
    </row>
    <row r="11996" spans="2:7" ht="15" hidden="1" outlineLevel="2">
      <c r="B11996" s="2889" t="s">
        <v>1638</v>
      </c>
      <c r="C11996" s="2889" t="s">
        <v>1547</v>
      </c>
      <c r="D11996" s="2889" t="s">
        <v>1106</v>
      </c>
      <c r="E11996" s="2889" t="s">
        <v>1423</v>
      </c>
      <c r="F11996" s="2890">
        <v>1.9434997358692458E-3</v>
      </c>
      <c r="G11996" s="2890">
        <v>0.1701873180705688</v>
      </c>
    </row>
    <row r="11997" spans="2:7" ht="15" hidden="1" outlineLevel="2">
      <c r="B11997" s="2889" t="s">
        <v>1638</v>
      </c>
      <c r="C11997" s="2889" t="s">
        <v>1548</v>
      </c>
      <c r="D11997" s="2889" t="s">
        <v>1106</v>
      </c>
      <c r="E11997" s="2889" t="s">
        <v>1423</v>
      </c>
      <c r="F11997" s="2890">
        <v>9.0683578067557295E-4</v>
      </c>
      <c r="G11997" s="2890">
        <v>9.2941240945229986E-2</v>
      </c>
    </row>
    <row r="11998" spans="2:7" ht="15" hidden="1" outlineLevel="2">
      <c r="B11998" s="2889" t="s">
        <v>1638</v>
      </c>
      <c r="C11998" s="2889" t="s">
        <v>1549</v>
      </c>
      <c r="D11998" s="2889" t="s">
        <v>1106</v>
      </c>
      <c r="E11998" s="2889" t="s">
        <v>1423</v>
      </c>
      <c r="F11998" s="2890">
        <v>1.9994510529634402E-3</v>
      </c>
      <c r="G11998" s="2890">
        <v>0.19689411026007353</v>
      </c>
    </row>
    <row r="11999" spans="2:7" ht="15" hidden="1" outlineLevel="2">
      <c r="B11999" s="2889" t="s">
        <v>1638</v>
      </c>
      <c r="C11999" s="2889" t="s">
        <v>1550</v>
      </c>
      <c r="D11999" s="2889" t="s">
        <v>1106</v>
      </c>
      <c r="E11999" s="2889" t="s">
        <v>1423</v>
      </c>
      <c r="F11999" s="2890">
        <v>3.0881733472456993E-3</v>
      </c>
      <c r="G11999" s="2890">
        <v>0.69446336971687661</v>
      </c>
    </row>
    <row r="12000" spans="2:7" ht="15" hidden="1" outlineLevel="2">
      <c r="B12000" s="2889" t="s">
        <v>1638</v>
      </c>
      <c r="C12000" s="2889" t="s">
        <v>1551</v>
      </c>
      <c r="D12000" s="2889" t="s">
        <v>1106</v>
      </c>
      <c r="E12000" s="2889" t="s">
        <v>1426</v>
      </c>
      <c r="F12000" s="2891"/>
      <c r="G12000" s="2890">
        <v>46.676075608131285</v>
      </c>
    </row>
    <row r="12001" spans="2:7" ht="15" hidden="1" outlineLevel="2">
      <c r="B12001" s="2889" t="s">
        <v>1638</v>
      </c>
      <c r="C12001" s="2889" t="s">
        <v>1552</v>
      </c>
      <c r="D12001" s="2889" t="s">
        <v>1106</v>
      </c>
      <c r="E12001" s="2889" t="s">
        <v>1426</v>
      </c>
      <c r="F12001" s="2891"/>
      <c r="G12001" s="2890">
        <v>677.29722689060475</v>
      </c>
    </row>
    <row r="12002" spans="2:7" ht="15" hidden="1" outlineLevel="2">
      <c r="B12002" s="2889" t="s">
        <v>1638</v>
      </c>
      <c r="C12002" s="2889" t="s">
        <v>1553</v>
      </c>
      <c r="D12002" s="2889" t="s">
        <v>1106</v>
      </c>
      <c r="E12002" s="2889" t="s">
        <v>1426</v>
      </c>
      <c r="F12002" s="2891"/>
      <c r="G12002" s="2890">
        <v>295.61780605150955</v>
      </c>
    </row>
    <row r="12003" spans="2:7" ht="15" hidden="1" outlineLevel="2">
      <c r="B12003" s="2889" t="s">
        <v>1638</v>
      </c>
      <c r="C12003" s="2889" t="s">
        <v>1554</v>
      </c>
      <c r="D12003" s="2889" t="s">
        <v>1106</v>
      </c>
      <c r="E12003" s="2889" t="s">
        <v>1426</v>
      </c>
      <c r="F12003" s="2891"/>
      <c r="G12003" s="2890">
        <v>300.04889109156073</v>
      </c>
    </row>
    <row r="12004" spans="2:7" ht="15" hidden="1" outlineLevel="2">
      <c r="B12004" s="2889" t="s">
        <v>1638</v>
      </c>
      <c r="C12004" s="2889" t="s">
        <v>1555</v>
      </c>
      <c r="D12004" s="2889" t="s">
        <v>1106</v>
      </c>
      <c r="E12004" s="2889" t="s">
        <v>1426</v>
      </c>
      <c r="F12004" s="2891"/>
      <c r="G12004" s="2890">
        <v>11.534946771070983</v>
      </c>
    </row>
    <row r="12005" spans="2:7" ht="15" hidden="1" outlineLevel="2">
      <c r="B12005" s="2889" t="s">
        <v>1638</v>
      </c>
      <c r="C12005" s="2889" t="s">
        <v>1556</v>
      </c>
      <c r="D12005" s="2889" t="s">
        <v>1106</v>
      </c>
      <c r="E12005" s="2889" t="s">
        <v>1426</v>
      </c>
      <c r="F12005" s="2891"/>
      <c r="G12005" s="2890">
        <v>572.7152177249485</v>
      </c>
    </row>
    <row r="12006" spans="2:7" ht="15" hidden="1" outlineLevel="2">
      <c r="B12006" s="2889" t="s">
        <v>1638</v>
      </c>
      <c r="C12006" s="2889" t="s">
        <v>1557</v>
      </c>
      <c r="D12006" s="2889" t="s">
        <v>1106</v>
      </c>
      <c r="E12006" s="2889" t="s">
        <v>1426</v>
      </c>
      <c r="F12006" s="2891"/>
      <c r="G12006" s="2890">
        <v>426.41071783502503</v>
      </c>
    </row>
    <row r="12007" spans="2:7" ht="15" hidden="1" outlineLevel="2">
      <c r="B12007" s="2889" t="s">
        <v>1638</v>
      </c>
      <c r="C12007" s="2889" t="s">
        <v>1558</v>
      </c>
      <c r="D12007" s="2889" t="s">
        <v>1559</v>
      </c>
      <c r="E12007" s="2889" t="s">
        <v>217</v>
      </c>
      <c r="F12007" s="2890">
        <v>2.7119016322127614E-3</v>
      </c>
      <c r="G12007" s="2890">
        <v>1.4853531006150751</v>
      </c>
    </row>
    <row r="12008" spans="2:7" ht="15" hidden="1" outlineLevel="2">
      <c r="B12008" s="2889" t="s">
        <v>1638</v>
      </c>
      <c r="C12008" s="2889" t="s">
        <v>1560</v>
      </c>
      <c r="D12008" s="2889" t="s">
        <v>1559</v>
      </c>
      <c r="E12008" s="2889" t="s">
        <v>217</v>
      </c>
      <c r="F12008" s="2890">
        <v>3.8822982438088259E-2</v>
      </c>
      <c r="G12008" s="2890">
        <v>20.954179891075828</v>
      </c>
    </row>
    <row r="12009" spans="2:7" ht="15" hidden="1" outlineLevel="2">
      <c r="B12009" s="2889" t="s">
        <v>1638</v>
      </c>
      <c r="C12009" s="2889" t="s">
        <v>1561</v>
      </c>
      <c r="D12009" s="2889" t="s">
        <v>1559</v>
      </c>
      <c r="E12009" s="2889" t="s">
        <v>217</v>
      </c>
      <c r="F12009" s="2890">
        <v>3.8917971321611615E-2</v>
      </c>
      <c r="G12009" s="2890">
        <v>20.291149644466142</v>
      </c>
    </row>
    <row r="12010" spans="2:7" ht="15" hidden="1" outlineLevel="2">
      <c r="B12010" s="2889" t="s">
        <v>1638</v>
      </c>
      <c r="C12010" s="2889" t="s">
        <v>1562</v>
      </c>
      <c r="D12010" s="2889" t="s">
        <v>1559</v>
      </c>
      <c r="E12010" s="2889" t="s">
        <v>217</v>
      </c>
      <c r="F12010" s="2890">
        <v>0.42532804486223497</v>
      </c>
      <c r="G12010" s="2890">
        <v>233.19761041169184</v>
      </c>
    </row>
    <row r="12011" spans="2:7" ht="15" hidden="1" outlineLevel="2">
      <c r="B12011" s="2889" t="s">
        <v>1638</v>
      </c>
      <c r="C12011" s="2889" t="s">
        <v>1563</v>
      </c>
      <c r="D12011" s="2889" t="s">
        <v>1559</v>
      </c>
      <c r="E12011" s="2889" t="s">
        <v>217</v>
      </c>
      <c r="F12011" s="2890">
        <v>4.7977879290904801E-2</v>
      </c>
      <c r="G12011" s="2890">
        <v>28.276715208600169</v>
      </c>
    </row>
    <row r="12012" spans="2:7" ht="15" hidden="1" outlineLevel="2">
      <c r="B12012" s="2889" t="s">
        <v>1638</v>
      </c>
      <c r="C12012" s="2889" t="s">
        <v>1564</v>
      </c>
      <c r="D12012" s="2889" t="s">
        <v>1559</v>
      </c>
      <c r="E12012" s="2889" t="s">
        <v>217</v>
      </c>
      <c r="F12012" s="2890">
        <v>0.40156348182353258</v>
      </c>
      <c r="G12012" s="2890">
        <v>203.3441980538646</v>
      </c>
    </row>
    <row r="12013" spans="2:7" ht="15" hidden="1" outlineLevel="2">
      <c r="B12013" s="2889" t="s">
        <v>1638</v>
      </c>
      <c r="C12013" s="2889" t="s">
        <v>1565</v>
      </c>
      <c r="D12013" s="2889" t="s">
        <v>1559</v>
      </c>
      <c r="E12013" s="2889" t="s">
        <v>217</v>
      </c>
      <c r="F12013" s="2890">
        <v>3.3817845280865538E-2</v>
      </c>
      <c r="G12013" s="2890">
        <v>18.198832612451138</v>
      </c>
    </row>
    <row r="12014" spans="2:7" ht="15" hidden="1" outlineLevel="2">
      <c r="B12014" s="2889" t="s">
        <v>1638</v>
      </c>
      <c r="C12014" s="2889" t="s">
        <v>1566</v>
      </c>
      <c r="D12014" s="2889" t="s">
        <v>1559</v>
      </c>
      <c r="E12014" s="2889" t="s">
        <v>217</v>
      </c>
      <c r="F12014" s="2890">
        <v>0.35442395053111242</v>
      </c>
      <c r="G12014" s="2890">
        <v>189.87493253649592</v>
      </c>
    </row>
    <row r="12015" spans="2:7" ht="15" hidden="1" outlineLevel="2">
      <c r="B12015" s="2889" t="s">
        <v>1638</v>
      </c>
      <c r="C12015" s="2889" t="s">
        <v>1567</v>
      </c>
      <c r="D12015" s="2889" t="s">
        <v>1559</v>
      </c>
      <c r="E12015" s="2889" t="s">
        <v>217</v>
      </c>
      <c r="F12015" s="2890">
        <v>4.5555325274805243E-32</v>
      </c>
      <c r="G12015" s="2890">
        <v>6.699639315255911E-30</v>
      </c>
    </row>
    <row r="12016" spans="2:7" ht="15" hidden="1" outlineLevel="2">
      <c r="B12016" s="2889" t="s">
        <v>1638</v>
      </c>
      <c r="C12016" s="2889" t="s">
        <v>1568</v>
      </c>
      <c r="D12016" s="2889" t="s">
        <v>1559</v>
      </c>
      <c r="E12016" s="2889" t="s">
        <v>217</v>
      </c>
      <c r="F12016" s="2890">
        <v>7.1053686662659441E-32</v>
      </c>
      <c r="G12016" s="2890">
        <v>1.0449945038557977E-29</v>
      </c>
    </row>
    <row r="12017" spans="2:7" ht="15" hidden="1" outlineLevel="2">
      <c r="B12017" s="2889" t="s">
        <v>1638</v>
      </c>
      <c r="C12017" s="2889" t="s">
        <v>1569</v>
      </c>
      <c r="D12017" s="2889" t="s">
        <v>1559</v>
      </c>
      <c r="E12017" s="2889" t="s">
        <v>217</v>
      </c>
      <c r="F12017" s="2890">
        <v>1.7363324094411424E-4</v>
      </c>
      <c r="G12017" s="2890">
        <v>8.6789034897465062E-2</v>
      </c>
    </row>
    <row r="12018" spans="2:7" ht="15" hidden="1" outlineLevel="2">
      <c r="B12018" s="2889" t="s">
        <v>1638</v>
      </c>
      <c r="C12018" s="2889" t="s">
        <v>1570</v>
      </c>
      <c r="D12018" s="2889" t="s">
        <v>1559</v>
      </c>
      <c r="E12018" s="2889" t="s">
        <v>217</v>
      </c>
      <c r="F12018" s="2890">
        <v>0.40728147722490798</v>
      </c>
      <c r="G12018" s="2890">
        <v>253.49785178084431</v>
      </c>
    </row>
    <row r="12019" spans="2:7" ht="15" hidden="1" outlineLevel="2">
      <c r="B12019" s="2889" t="s">
        <v>1638</v>
      </c>
      <c r="C12019" s="2889" t="s">
        <v>1571</v>
      </c>
      <c r="D12019" s="2889" t="s">
        <v>1559</v>
      </c>
      <c r="E12019" s="2889" t="s">
        <v>217</v>
      </c>
      <c r="F12019" s="2890">
        <v>0.49572748868863015</v>
      </c>
      <c r="G12019" s="2890">
        <v>592.74535199045658</v>
      </c>
    </row>
    <row r="12020" spans="2:7" ht="15" hidden="1" outlineLevel="2">
      <c r="B12020" s="2889" t="s">
        <v>1638</v>
      </c>
      <c r="C12020" s="2889" t="s">
        <v>1572</v>
      </c>
      <c r="D12020" s="2889" t="s">
        <v>1559</v>
      </c>
      <c r="E12020" s="2889" t="s">
        <v>217</v>
      </c>
      <c r="F12020" s="2890">
        <v>3.4429655133726388E-2</v>
      </c>
      <c r="G12020" s="2890">
        <v>21.256143205017676</v>
      </c>
    </row>
    <row r="12021" spans="2:7" ht="15" hidden="1" outlineLevel="2">
      <c r="B12021" s="2889" t="s">
        <v>1638</v>
      </c>
      <c r="C12021" s="2889" t="s">
        <v>1573</v>
      </c>
      <c r="D12021" s="2889" t="s">
        <v>1559</v>
      </c>
      <c r="E12021" s="2889" t="s">
        <v>217</v>
      </c>
      <c r="F12021" s="2890">
        <v>0.40181975119570262</v>
      </c>
      <c r="G12021" s="2890">
        <v>301.71281792980062</v>
      </c>
    </row>
    <row r="12022" spans="2:7" ht="15" hidden="1" outlineLevel="2">
      <c r="B12022" s="2889" t="s">
        <v>1638</v>
      </c>
      <c r="C12022" s="2889" t="s">
        <v>1574</v>
      </c>
      <c r="D12022" s="2889" t="s">
        <v>1559</v>
      </c>
      <c r="E12022" s="2889" t="s">
        <v>217</v>
      </c>
      <c r="F12022" s="2890">
        <v>1.866132254513324E-3</v>
      </c>
      <c r="G12022" s="2890">
        <v>1.4112185830425306</v>
      </c>
    </row>
    <row r="12023" spans="2:7" ht="15" hidden="1" outlineLevel="2">
      <c r="B12023" s="2889" t="s">
        <v>1638</v>
      </c>
      <c r="C12023" s="2889" t="s">
        <v>1575</v>
      </c>
      <c r="D12023" s="2889" t="s">
        <v>1559</v>
      </c>
      <c r="E12023" s="2889" t="s">
        <v>217</v>
      </c>
      <c r="F12023" s="2890">
        <v>1.1016191768539615E-2</v>
      </c>
      <c r="G12023" s="2890">
        <v>13.730869005468239</v>
      </c>
    </row>
    <row r="12024" spans="2:7" ht="15" hidden="1" outlineLevel="2">
      <c r="B12024" s="2889" t="s">
        <v>1638</v>
      </c>
      <c r="C12024" s="2889" t="s">
        <v>1576</v>
      </c>
      <c r="D12024" s="2889" t="s">
        <v>1559</v>
      </c>
      <c r="E12024" s="2889" t="s">
        <v>217</v>
      </c>
      <c r="F12024" s="2890">
        <v>3.5517338888386846E-3</v>
      </c>
      <c r="G12024" s="2890">
        <v>2.6923538218325271</v>
      </c>
    </row>
    <row r="12025" spans="2:7" ht="15" hidden="1" outlineLevel="2">
      <c r="B12025" s="2889" t="s">
        <v>1638</v>
      </c>
      <c r="C12025" s="2889" t="s">
        <v>1577</v>
      </c>
      <c r="D12025" s="2889" t="s">
        <v>1559</v>
      </c>
      <c r="E12025" s="2889" t="s">
        <v>217</v>
      </c>
      <c r="F12025" s="2890">
        <v>0.36168351279990529</v>
      </c>
      <c r="G12025" s="2890">
        <v>566.46829167564181</v>
      </c>
    </row>
    <row r="12026" spans="2:7" ht="15" hidden="1" outlineLevel="2">
      <c r="B12026" s="2889" t="s">
        <v>1638</v>
      </c>
      <c r="C12026" s="2889" t="s">
        <v>1578</v>
      </c>
      <c r="D12026" s="2889" t="s">
        <v>1559</v>
      </c>
      <c r="E12026" s="2889" t="s">
        <v>217</v>
      </c>
      <c r="F12026" s="2890">
        <v>4.926109764354625E-35</v>
      </c>
      <c r="G12026" s="2890">
        <v>2.6967279111944965E-32</v>
      </c>
    </row>
    <row r="12027" spans="2:7" ht="15" hidden="1" outlineLevel="2">
      <c r="B12027" s="2889" t="s">
        <v>1638</v>
      </c>
      <c r="C12027" s="2889" t="s">
        <v>1579</v>
      </c>
      <c r="D12027" s="2889" t="s">
        <v>1559</v>
      </c>
      <c r="E12027" s="2889" t="s">
        <v>217</v>
      </c>
      <c r="F12027" s="2890">
        <v>4.2542909981863441E-32</v>
      </c>
      <c r="G12027" s="2890">
        <v>2.3290931510745778E-29</v>
      </c>
    </row>
    <row r="12028" spans="2:7" ht="15" hidden="1" outlineLevel="2">
      <c r="B12028" s="2889" t="s">
        <v>1638</v>
      </c>
      <c r="C12028" s="2889" t="s">
        <v>1580</v>
      </c>
      <c r="D12028" s="2889" t="s">
        <v>1559</v>
      </c>
      <c r="E12028" s="2889" t="s">
        <v>217</v>
      </c>
      <c r="F12028" s="2890">
        <v>4.006191567012915E-2</v>
      </c>
      <c r="G12028" s="2890">
        <v>50.863388300478491</v>
      </c>
    </row>
    <row r="12029" spans="2:7" ht="15" hidden="1" outlineLevel="2">
      <c r="B12029" s="2889" t="s">
        <v>1638</v>
      </c>
      <c r="C12029" s="2889" t="s">
        <v>1581</v>
      </c>
      <c r="D12029" s="2889" t="s">
        <v>1559</v>
      </c>
      <c r="E12029" s="2889" t="s">
        <v>217</v>
      </c>
      <c r="F12029" s="2890">
        <v>4.6191246574305116E-2</v>
      </c>
      <c r="G12029" s="2890">
        <v>65.445767438112313</v>
      </c>
    </row>
    <row r="12030" spans="2:7" ht="15" hidden="1" outlineLevel="2">
      <c r="B12030" s="2889" t="s">
        <v>1638</v>
      </c>
      <c r="C12030" s="2889" t="s">
        <v>1582</v>
      </c>
      <c r="D12030" s="2889" t="s">
        <v>1559</v>
      </c>
      <c r="E12030" s="2889" t="s">
        <v>217</v>
      </c>
      <c r="F12030" s="2890">
        <v>6.5106435671112461E-2</v>
      </c>
      <c r="G12030" s="2890">
        <v>74.490775807123867</v>
      </c>
    </row>
    <row r="12031" spans="2:7" ht="15" hidden="1" outlineLevel="2">
      <c r="B12031" s="2889" t="s">
        <v>1638</v>
      </c>
      <c r="C12031" s="2889" t="s">
        <v>1583</v>
      </c>
      <c r="D12031" s="2889" t="s">
        <v>1559</v>
      </c>
      <c r="E12031" s="2889" t="s">
        <v>217</v>
      </c>
      <c r="F12031" s="2890">
        <v>5.0174180879656687E-2</v>
      </c>
      <c r="G12031" s="2890">
        <v>34.68778783790745</v>
      </c>
    </row>
    <row r="12032" spans="2:7" ht="15" hidden="1" outlineLevel="2">
      <c r="B12032" s="2889" t="s">
        <v>1638</v>
      </c>
      <c r="C12032" s="2889" t="s">
        <v>1584</v>
      </c>
      <c r="D12032" s="2889" t="s">
        <v>1559</v>
      </c>
      <c r="E12032" s="2889" t="s">
        <v>217</v>
      </c>
      <c r="F12032" s="2890">
        <v>0.53570644194286676</v>
      </c>
      <c r="G12032" s="2890">
        <v>681.7885846632546</v>
      </c>
    </row>
    <row r="12033" spans="2:7" ht="15" hidden="1" outlineLevel="2">
      <c r="B12033" s="2889" t="s">
        <v>1638</v>
      </c>
      <c r="C12033" s="2889" t="s">
        <v>1585</v>
      </c>
      <c r="D12033" s="2889" t="s">
        <v>1559</v>
      </c>
      <c r="E12033" s="2889" t="s">
        <v>217</v>
      </c>
      <c r="F12033" s="2890">
        <v>0.62762888049849674</v>
      </c>
      <c r="G12033" s="2890">
        <v>889.43679942306335</v>
      </c>
    </row>
    <row r="12034" spans="2:7" ht="15" hidden="1" outlineLevel="2">
      <c r="B12034" s="2889" t="s">
        <v>1638</v>
      </c>
      <c r="C12034" s="2889" t="s">
        <v>1586</v>
      </c>
      <c r="D12034" s="2889" t="s">
        <v>1559</v>
      </c>
      <c r="E12034" s="2889" t="s">
        <v>217</v>
      </c>
      <c r="F12034" s="2890">
        <v>7.0663275943811707E-2</v>
      </c>
      <c r="G12034" s="2890">
        <v>148.91035375745594</v>
      </c>
    </row>
    <row r="12035" spans="2:7" ht="15" hidden="1" outlineLevel="2">
      <c r="B12035" s="2889" t="s">
        <v>1638</v>
      </c>
      <c r="C12035" s="2889" t="s">
        <v>1587</v>
      </c>
      <c r="D12035" s="2889" t="s">
        <v>1559</v>
      </c>
      <c r="E12035" s="2889" t="s">
        <v>217</v>
      </c>
      <c r="F12035" s="2890">
        <v>1.9655724865476574</v>
      </c>
      <c r="G12035" s="2890">
        <v>2869.3802728110709</v>
      </c>
    </row>
    <row r="12036" spans="2:7" ht="15" hidden="1" outlineLevel="2">
      <c r="B12036" s="2889" t="s">
        <v>1638</v>
      </c>
      <c r="C12036" s="2889" t="s">
        <v>1588</v>
      </c>
      <c r="D12036" s="2889" t="s">
        <v>1559</v>
      </c>
      <c r="E12036" s="2889" t="s">
        <v>217</v>
      </c>
      <c r="F12036" s="2890">
        <v>3.0809297293550322E-2</v>
      </c>
      <c r="G12036" s="2890">
        <v>24.149826207886115</v>
      </c>
    </row>
    <row r="12037" spans="2:7" ht="15" hidden="1" outlineLevel="2">
      <c r="B12037" s="2889" t="s">
        <v>1638</v>
      </c>
      <c r="C12037" s="2889" t="s">
        <v>1589</v>
      </c>
      <c r="D12037" s="2889" t="s">
        <v>1559</v>
      </c>
      <c r="E12037" s="2889" t="s">
        <v>217</v>
      </c>
      <c r="F12037" s="2890">
        <v>0.1119356299376375</v>
      </c>
      <c r="G12037" s="2890">
        <v>87.916678724866927</v>
      </c>
    </row>
    <row r="12038" spans="2:7" ht="15" hidden="1" outlineLevel="2">
      <c r="B12038" s="2889" t="s">
        <v>1638</v>
      </c>
      <c r="C12038" s="2889" t="s">
        <v>1590</v>
      </c>
      <c r="D12038" s="2889" t="s">
        <v>1559</v>
      </c>
      <c r="E12038" s="2889" t="s">
        <v>1420</v>
      </c>
      <c r="F12038" s="2890">
        <v>5.5376705961839787E-3</v>
      </c>
      <c r="G12038" s="2890">
        <v>49.398333068900506</v>
      </c>
    </row>
    <row r="12039" spans="2:7" ht="15" hidden="1" outlineLevel="2">
      <c r="B12039" s="2889" t="s">
        <v>1638</v>
      </c>
      <c r="C12039" s="2889" t="s">
        <v>1591</v>
      </c>
      <c r="D12039" s="2889" t="s">
        <v>1559</v>
      </c>
      <c r="E12039" s="2889" t="s">
        <v>1426</v>
      </c>
      <c r="F12039" s="2891"/>
      <c r="G12039" s="2890">
        <v>7.6788212773714171E-2</v>
      </c>
    </row>
    <row r="12040" spans="2:7" ht="15" hidden="1" outlineLevel="2">
      <c r="B12040" s="2889" t="s">
        <v>1638</v>
      </c>
      <c r="C12040" s="2889" t="s">
        <v>1592</v>
      </c>
      <c r="D12040" s="2889" t="s">
        <v>1559</v>
      </c>
      <c r="E12040" s="2889" t="s">
        <v>1426</v>
      </c>
      <c r="F12040" s="2891"/>
      <c r="G12040" s="2890">
        <v>2.6021645822646068E-29</v>
      </c>
    </row>
    <row r="12041" spans="2:7" ht="15" hidden="1" outlineLevel="2">
      <c r="B12041" s="2889" t="s">
        <v>1638</v>
      </c>
      <c r="C12041" s="2889" t="s">
        <v>1593</v>
      </c>
      <c r="D12041" s="2889" t="s">
        <v>1559</v>
      </c>
      <c r="E12041" s="2889" t="s">
        <v>1426</v>
      </c>
      <c r="F12041" s="2891"/>
      <c r="G12041" s="2890">
        <v>536.96546391625645</v>
      </c>
    </row>
    <row r="12042" spans="2:7" ht="15" hidden="1" outlineLevel="2">
      <c r="B12042" s="2889" t="s">
        <v>1638</v>
      </c>
      <c r="C12042" s="2889" t="s">
        <v>1594</v>
      </c>
      <c r="D12042" s="2889" t="s">
        <v>1559</v>
      </c>
      <c r="E12042" s="2889" t="s">
        <v>1426</v>
      </c>
      <c r="F12042" s="2891"/>
      <c r="G12042" s="2890">
        <v>110.8115112461734</v>
      </c>
    </row>
    <row r="12043" spans="2:7" ht="15" hidden="1" outlineLevel="2">
      <c r="B12043" s="2889" t="s">
        <v>1638</v>
      </c>
      <c r="C12043" s="2889" t="s">
        <v>1595</v>
      </c>
      <c r="D12043" s="2889" t="s">
        <v>1559</v>
      </c>
      <c r="E12043" s="2889" t="s">
        <v>1426</v>
      </c>
      <c r="F12043" s="2891"/>
      <c r="G12043" s="2890">
        <v>731.06431952941193</v>
      </c>
    </row>
    <row r="12044" spans="2:7" ht="15" hidden="1" outlineLevel="2">
      <c r="B12044" s="2889" t="s">
        <v>1638</v>
      </c>
      <c r="C12044" s="2889" t="s">
        <v>1596</v>
      </c>
      <c r="D12044" s="2889" t="s">
        <v>1559</v>
      </c>
      <c r="E12044" s="2889" t="s">
        <v>1426</v>
      </c>
      <c r="F12044" s="2891"/>
      <c r="G12044" s="2890">
        <v>86.198779994437501</v>
      </c>
    </row>
    <row r="12045" spans="2:7" ht="15" hidden="1" outlineLevel="2">
      <c r="B12045" s="2889" t="s">
        <v>1638</v>
      </c>
      <c r="C12045" s="2889" t="s">
        <v>1597</v>
      </c>
      <c r="D12045" s="2889" t="s">
        <v>1559</v>
      </c>
      <c r="E12045" s="2889" t="s">
        <v>1426</v>
      </c>
      <c r="F12045" s="2891"/>
      <c r="G12045" s="2890">
        <v>2.0533084642688482</v>
      </c>
    </row>
    <row r="12046" spans="2:7" ht="15" hidden="1" outlineLevel="2">
      <c r="B12046" s="2889" t="s">
        <v>1638</v>
      </c>
      <c r="C12046" s="2889" t="s">
        <v>1598</v>
      </c>
      <c r="D12046" s="2889" t="s">
        <v>1599</v>
      </c>
      <c r="E12046" s="2889" t="s">
        <v>217</v>
      </c>
      <c r="F12046" s="2890">
        <v>4.7019428847847981E-2</v>
      </c>
      <c r="G12046" s="2890">
        <v>27.189001094996215</v>
      </c>
    </row>
    <row r="12047" spans="2:7" ht="15" hidden="1" outlineLevel="2">
      <c r="B12047" s="2889" t="s">
        <v>1638</v>
      </c>
      <c r="C12047" s="2889" t="s">
        <v>1600</v>
      </c>
      <c r="D12047" s="2889" t="s">
        <v>1599</v>
      </c>
      <c r="E12047" s="2889" t="s">
        <v>217</v>
      </c>
      <c r="F12047" s="2890">
        <v>5.4966730400959472E-2</v>
      </c>
      <c r="G12047" s="2890">
        <v>61.220242182149455</v>
      </c>
    </row>
    <row r="12048" spans="2:7" ht="15" hidden="1" outlineLevel="2">
      <c r="B12048" s="2889" t="s">
        <v>1638</v>
      </c>
      <c r="C12048" s="2889" t="s">
        <v>1601</v>
      </c>
      <c r="D12048" s="2889" t="s">
        <v>1599</v>
      </c>
      <c r="E12048" s="2889" t="s">
        <v>217</v>
      </c>
      <c r="F12048" s="2890">
        <v>5.6381861580635643E-4</v>
      </c>
      <c r="G12048" s="2890">
        <v>0.71919917025353108</v>
      </c>
    </row>
    <row r="12049" spans="2:7" ht="15" hidden="1" outlineLevel="2">
      <c r="B12049" s="2889" t="s">
        <v>1638</v>
      </c>
      <c r="C12049" s="2889" t="s">
        <v>1602</v>
      </c>
      <c r="D12049" s="2889" t="s">
        <v>1599</v>
      </c>
      <c r="E12049" s="2889" t="s">
        <v>1426</v>
      </c>
      <c r="F12049" s="2891"/>
      <c r="G12049" s="2890">
        <v>814.71378933249014</v>
      </c>
    </row>
    <row r="12050" spans="2:7" ht="15" hidden="1" outlineLevel="2">
      <c r="B12050" s="2889" t="s">
        <v>1638</v>
      </c>
      <c r="C12050" s="2889" t="s">
        <v>1603</v>
      </c>
      <c r="D12050" s="2889" t="s">
        <v>1604</v>
      </c>
      <c r="E12050" s="2889" t="s">
        <v>217</v>
      </c>
      <c r="F12050" s="2890">
        <v>1.3847646596244949E-33</v>
      </c>
      <c r="G12050" s="2890">
        <v>1.6437961088360134E-30</v>
      </c>
    </row>
    <row r="12051" spans="2:7" ht="15" hidden="1" outlineLevel="2">
      <c r="B12051" s="2889" t="s">
        <v>1638</v>
      </c>
      <c r="C12051" s="2889" t="s">
        <v>1605</v>
      </c>
      <c r="D12051" s="2889" t="s">
        <v>1604</v>
      </c>
      <c r="E12051" s="2889" t="s">
        <v>1423</v>
      </c>
      <c r="F12051" s="2890">
        <v>3.136151520901011E-33</v>
      </c>
      <c r="G12051" s="2890">
        <v>7.3601632656396319E-31</v>
      </c>
    </row>
    <row r="12052" spans="2:7" ht="15" hidden="1" outlineLevel="2">
      <c r="B12052" s="2889" t="s">
        <v>1638</v>
      </c>
      <c r="C12052" s="2889" t="s">
        <v>1606</v>
      </c>
      <c r="D12052" s="2889" t="s">
        <v>1604</v>
      </c>
      <c r="E12052" s="2889" t="s">
        <v>1426</v>
      </c>
      <c r="F12052" s="2891"/>
      <c r="G12052" s="2890">
        <v>7.9720101268876722E-32</v>
      </c>
    </row>
    <row r="12053" spans="2:7" ht="15" hidden="1" outlineLevel="2">
      <c r="B12053" s="2889" t="s">
        <v>1638</v>
      </c>
      <c r="C12053" s="2889" t="s">
        <v>1607</v>
      </c>
      <c r="D12053" s="2889" t="s">
        <v>1608</v>
      </c>
      <c r="E12053" s="2889" t="s">
        <v>217</v>
      </c>
      <c r="F12053" s="2890">
        <v>23.004115641085797</v>
      </c>
      <c r="G12053" s="2890">
        <v>18903.113341444572</v>
      </c>
    </row>
    <row r="12054" spans="2:7" ht="15" hidden="1" outlineLevel="2">
      <c r="B12054" s="2889" t="s">
        <v>1638</v>
      </c>
      <c r="C12054" s="2889" t="s">
        <v>1609</v>
      </c>
      <c r="D12054" s="2889" t="s">
        <v>1608</v>
      </c>
      <c r="E12054" s="2889" t="s">
        <v>217</v>
      </c>
      <c r="F12054" s="2890">
        <v>10.017068120120912</v>
      </c>
      <c r="G12054" s="2890">
        <v>7977.066758033774</v>
      </c>
    </row>
    <row r="12055" spans="2:7" ht="15" hidden="1" outlineLevel="2">
      <c r="B12055" s="2889" t="s">
        <v>1638</v>
      </c>
      <c r="C12055" s="2889" t="s">
        <v>1610</v>
      </c>
      <c r="D12055" s="2889" t="s">
        <v>1608</v>
      </c>
      <c r="E12055" s="2889" t="s">
        <v>217</v>
      </c>
      <c r="F12055" s="2890">
        <v>9.3601044426790345</v>
      </c>
      <c r="G12055" s="2890">
        <v>14601.202317451567</v>
      </c>
    </row>
    <row r="12056" spans="2:7" ht="15" hidden="1" outlineLevel="2">
      <c r="B12056" s="2889" t="s">
        <v>1638</v>
      </c>
      <c r="C12056" s="2889" t="s">
        <v>1611</v>
      </c>
      <c r="D12056" s="2889" t="s">
        <v>1608</v>
      </c>
      <c r="E12056" s="2889" t="s">
        <v>1612</v>
      </c>
      <c r="F12056" s="2891"/>
      <c r="G12056" s="2890">
        <v>13000.404044962432</v>
      </c>
    </row>
    <row r="12057" spans="2:7" ht="15" hidden="1" outlineLevel="2">
      <c r="B12057" s="2889" t="s">
        <v>1638</v>
      </c>
      <c r="C12057" s="2889" t="s">
        <v>1613</v>
      </c>
      <c r="D12057" s="2889" t="s">
        <v>1608</v>
      </c>
      <c r="E12057" s="2889" t="s">
        <v>1612</v>
      </c>
      <c r="F12057" s="2891"/>
      <c r="G12057" s="2890">
        <v>44.269196335862809</v>
      </c>
    </row>
    <row r="12058" spans="2:7" ht="15" hidden="1" outlineLevel="2">
      <c r="B12058" s="2889" t="s">
        <v>1638</v>
      </c>
      <c r="C12058" s="2889" t="s">
        <v>1614</v>
      </c>
      <c r="D12058" s="2889" t="s">
        <v>1615</v>
      </c>
      <c r="E12058" s="2889" t="s">
        <v>1426</v>
      </c>
      <c r="F12058" s="2891"/>
      <c r="G12058" s="2890">
        <v>1.2436048323365563E-30</v>
      </c>
    </row>
    <row r="12059" spans="2:7" ht="15" hidden="1" outlineLevel="2">
      <c r="B12059" s="2889" t="s">
        <v>1638</v>
      </c>
      <c r="C12059" s="2889" t="s">
        <v>1616</v>
      </c>
      <c r="D12059" s="2889" t="s">
        <v>1615</v>
      </c>
      <c r="E12059" s="2889" t="s">
        <v>217</v>
      </c>
      <c r="F12059" s="2890">
        <v>1.4296641266448002E-35</v>
      </c>
      <c r="G12059" s="2890">
        <v>1.9649166645629601E-32</v>
      </c>
    </row>
    <row r="12060" spans="2:7" ht="15" hidden="1" outlineLevel="2">
      <c r="B12060" s="2889" t="s">
        <v>1638</v>
      </c>
      <c r="C12060" s="2889" t="s">
        <v>1617</v>
      </c>
      <c r="D12060" s="2889" t="s">
        <v>1615</v>
      </c>
      <c r="E12060" s="2889" t="s">
        <v>1420</v>
      </c>
      <c r="F12060" s="2890">
        <v>1.3212207888560816E-40</v>
      </c>
      <c r="G12060" s="2890">
        <v>3.8274928299855921E-37</v>
      </c>
    </row>
    <row r="12061" spans="2:7" ht="15" hidden="1" outlineLevel="2">
      <c r="B12061" s="2889" t="s">
        <v>1638</v>
      </c>
      <c r="C12061" s="2889" t="s">
        <v>1618</v>
      </c>
      <c r="D12061" s="2889" t="s">
        <v>1619</v>
      </c>
      <c r="E12061" s="2889" t="s">
        <v>217</v>
      </c>
      <c r="F12061" s="2890">
        <v>0.47047698372110658</v>
      </c>
      <c r="G12061" s="2890">
        <v>119.27879467744539</v>
      </c>
    </row>
    <row r="12062" spans="2:7" ht="15" hidden="1" outlineLevel="2">
      <c r="B12062" s="2889" t="s">
        <v>1638</v>
      </c>
      <c r="C12062" s="2889" t="s">
        <v>1620</v>
      </c>
      <c r="D12062" s="2889" t="s">
        <v>1619</v>
      </c>
      <c r="E12062" s="2889" t="s">
        <v>217</v>
      </c>
      <c r="F12062" s="2890">
        <v>1.3055530020460593E-33</v>
      </c>
      <c r="G12062" s="2890">
        <v>1.5904447834644856E-30</v>
      </c>
    </row>
    <row r="12063" spans="2:7" ht="15" hidden="1" outlineLevel="2">
      <c r="B12063" s="2889" t="s">
        <v>1638</v>
      </c>
      <c r="C12063" s="2889" t="s">
        <v>1621</v>
      </c>
      <c r="D12063" s="2889" t="s">
        <v>1619</v>
      </c>
      <c r="E12063" s="2889" t="s">
        <v>217</v>
      </c>
      <c r="F12063" s="2890">
        <v>0.50394366596309903</v>
      </c>
      <c r="G12063" s="2890">
        <v>137.72835295817683</v>
      </c>
    </row>
    <row r="12064" spans="2:7" ht="15" hidden="1" outlineLevel="2">
      <c r="B12064" s="2889" t="s">
        <v>1638</v>
      </c>
      <c r="C12064" s="2889" t="s">
        <v>1622</v>
      </c>
      <c r="D12064" s="2889" t="s">
        <v>1619</v>
      </c>
      <c r="E12064" s="2889" t="s">
        <v>217</v>
      </c>
      <c r="F12064" s="2890">
        <v>3.2270168844169445E-2</v>
      </c>
      <c r="G12064" s="2890">
        <v>35.409863596027456</v>
      </c>
    </row>
    <row r="12065" spans="2:7" ht="15" hidden="1" outlineLevel="2">
      <c r="B12065" s="2889" t="s">
        <v>1638</v>
      </c>
      <c r="C12065" s="2889" t="s">
        <v>1623</v>
      </c>
      <c r="D12065" s="2889" t="s">
        <v>1619</v>
      </c>
      <c r="E12065" s="2889" t="s">
        <v>217</v>
      </c>
      <c r="F12065" s="2890">
        <v>8.2709384545418693E-2</v>
      </c>
      <c r="G12065" s="2890">
        <v>57.636762957816472</v>
      </c>
    </row>
    <row r="12066" spans="2:7" ht="15" hidden="1" outlineLevel="2">
      <c r="B12066" s="2889" t="s">
        <v>1638</v>
      </c>
      <c r="C12066" s="2889" t="s">
        <v>1624</v>
      </c>
      <c r="D12066" s="2889" t="s">
        <v>1619</v>
      </c>
      <c r="E12066" s="2889" t="s">
        <v>217</v>
      </c>
      <c r="F12066" s="2890">
        <v>0.71613904397250361</v>
      </c>
      <c r="G12066" s="2890">
        <v>614.33370561554136</v>
      </c>
    </row>
    <row r="12067" spans="2:7" ht="15" hidden="1" outlineLevel="2">
      <c r="B12067" s="2889" t="s">
        <v>1638</v>
      </c>
      <c r="C12067" s="2889" t="s">
        <v>1625</v>
      </c>
      <c r="D12067" s="2889" t="s">
        <v>1619</v>
      </c>
      <c r="E12067" s="2889" t="s">
        <v>217</v>
      </c>
      <c r="F12067" s="2890">
        <v>0.1326387723974263</v>
      </c>
      <c r="G12067" s="2890">
        <v>172.66211907688304</v>
      </c>
    </row>
    <row r="12068" spans="2:7" ht="15" hidden="1" outlineLevel="2">
      <c r="B12068" s="2889" t="s">
        <v>1638</v>
      </c>
      <c r="C12068" s="2889" t="s">
        <v>1626</v>
      </c>
      <c r="D12068" s="2889" t="s">
        <v>1619</v>
      </c>
      <c r="E12068" s="2889" t="s">
        <v>217</v>
      </c>
      <c r="F12068" s="2890">
        <v>4.3738992516351945E-2</v>
      </c>
      <c r="G12068" s="2890">
        <v>34.551876961557582</v>
      </c>
    </row>
    <row r="12069" spans="2:7" ht="15" hidden="1" outlineLevel="2">
      <c r="B12069" s="2889" t="s">
        <v>1638</v>
      </c>
      <c r="C12069" s="2889" t="s">
        <v>1627</v>
      </c>
      <c r="D12069" s="2889" t="s">
        <v>1619</v>
      </c>
      <c r="E12069" s="2889" t="s">
        <v>1420</v>
      </c>
      <c r="F12069" s="2890">
        <v>1.4304042678230688E-3</v>
      </c>
      <c r="G12069" s="2890">
        <v>2.389745619463544</v>
      </c>
    </row>
    <row r="12070" spans="2:7" ht="15" hidden="1" outlineLevel="2">
      <c r="B12070" s="2889" t="s">
        <v>1638</v>
      </c>
      <c r="C12070" s="2889" t="s">
        <v>1628</v>
      </c>
      <c r="D12070" s="2889" t="s">
        <v>1619</v>
      </c>
      <c r="E12070" s="2889" t="s">
        <v>1426</v>
      </c>
      <c r="F12070" s="2891"/>
      <c r="G12070" s="2890">
        <v>47.364569184419921</v>
      </c>
    </row>
    <row r="12071" spans="2:7" ht="15" hidden="1" outlineLevel="2">
      <c r="B12071" s="2889" t="s">
        <v>1638</v>
      </c>
      <c r="C12071" s="2889" t="s">
        <v>1629</v>
      </c>
      <c r="D12071" s="2889" t="s">
        <v>1630</v>
      </c>
      <c r="E12071" s="2889" t="s">
        <v>1426</v>
      </c>
      <c r="F12071" s="2891"/>
      <c r="G12071" s="2890">
        <v>3.0680674812669762E-29</v>
      </c>
    </row>
    <row r="12072" spans="2:7" ht="15" outlineLevel="1" collapsed="1">
      <c r="B12072" s="3042" t="s">
        <v>1708</v>
      </c>
      <c r="C12072" s="2889"/>
      <c r="D12072" s="2889"/>
      <c r="E12072" s="2889"/>
      <c r="F12072" s="2891">
        <f>SUBTOTAL(9,F11861:F12071)</f>
        <v>55.332190640562615</v>
      </c>
      <c r="G12072" s="2890">
        <f>SUBTOTAL(9,G11861:G12071)</f>
        <v>93816.282525442832</v>
      </c>
    </row>
    <row r="12073" spans="2:7" ht="15" hidden="1" outlineLevel="2">
      <c r="B12073" s="2889" t="s">
        <v>1639</v>
      </c>
      <c r="C12073" s="2889" t="s">
        <v>1408</v>
      </c>
      <c r="D12073" s="2889" t="s">
        <v>197</v>
      </c>
      <c r="E12073" s="2889" t="s">
        <v>217</v>
      </c>
      <c r="F12073" s="2890">
        <v>3.7617713225847867E-3</v>
      </c>
      <c r="G12073" s="2890">
        <v>2.2941701573355466</v>
      </c>
    </row>
    <row r="12074" spans="2:7" ht="15" hidden="1" outlineLevel="2">
      <c r="B12074" s="2889" t="s">
        <v>1639</v>
      </c>
      <c r="C12074" s="2889" t="s">
        <v>1409</v>
      </c>
      <c r="D12074" s="2889" t="s">
        <v>197</v>
      </c>
      <c r="E12074" s="2889" t="s">
        <v>217</v>
      </c>
      <c r="F12074" s="2890">
        <v>3.9491636078358879E-3</v>
      </c>
      <c r="G12074" s="2890">
        <v>5.5653279925763899</v>
      </c>
    </row>
    <row r="12075" spans="2:7" ht="15" hidden="1" outlineLevel="2">
      <c r="B12075" s="2889" t="s">
        <v>1639</v>
      </c>
      <c r="C12075" s="2889" t="s">
        <v>1410</v>
      </c>
      <c r="D12075" s="2889" t="s">
        <v>197</v>
      </c>
      <c r="E12075" s="2889" t="s">
        <v>217</v>
      </c>
      <c r="F12075" s="2890">
        <v>6.3102457595637538E-3</v>
      </c>
      <c r="G12075" s="2890">
        <v>21.654365801222575</v>
      </c>
    </row>
    <row r="12076" spans="2:7" ht="15" hidden="1" outlineLevel="2">
      <c r="B12076" s="2889" t="s">
        <v>1639</v>
      </c>
      <c r="C12076" s="2889" t="s">
        <v>1411</v>
      </c>
      <c r="D12076" s="2889" t="s">
        <v>197</v>
      </c>
      <c r="E12076" s="2889" t="s">
        <v>217</v>
      </c>
      <c r="F12076" s="2890">
        <v>1.0372797624424983E-4</v>
      </c>
      <c r="G12076" s="2890">
        <v>0.13639168997419962</v>
      </c>
    </row>
    <row r="12077" spans="2:7" ht="15" hidden="1" outlineLevel="2">
      <c r="B12077" s="2889" t="s">
        <v>1639</v>
      </c>
      <c r="C12077" s="2889" t="s">
        <v>1412</v>
      </c>
      <c r="D12077" s="2889" t="s">
        <v>197</v>
      </c>
      <c r="E12077" s="2889" t="s">
        <v>217</v>
      </c>
      <c r="F12077" s="2890">
        <v>1.1205801430358134E-2</v>
      </c>
      <c r="G12077" s="2890">
        <v>14.723232600856754</v>
      </c>
    </row>
    <row r="12078" spans="2:7" ht="15" hidden="1" outlineLevel="2">
      <c r="B12078" s="2889" t="s">
        <v>1639</v>
      </c>
      <c r="C12078" s="2889" t="s">
        <v>1413</v>
      </c>
      <c r="D12078" s="2889" t="s">
        <v>197</v>
      </c>
      <c r="E12078" s="2889" t="s">
        <v>217</v>
      </c>
      <c r="F12078" s="2890">
        <v>3.6880659413534686E-3</v>
      </c>
      <c r="G12078" s="2890">
        <v>4.6119565112335579</v>
      </c>
    </row>
    <row r="12079" spans="2:7" ht="15" hidden="1" outlineLevel="2">
      <c r="B12079" s="2889" t="s">
        <v>1639</v>
      </c>
      <c r="C12079" s="2889" t="s">
        <v>1414</v>
      </c>
      <c r="D12079" s="2889" t="s">
        <v>197</v>
      </c>
      <c r="E12079" s="2889" t="s">
        <v>217</v>
      </c>
      <c r="F12079" s="2890">
        <v>4.8119341281874339E-2</v>
      </c>
      <c r="G12079" s="2890">
        <v>50.100572749177601</v>
      </c>
    </row>
    <row r="12080" spans="2:7" ht="15" hidden="1" outlineLevel="2">
      <c r="B12080" s="2889" t="s">
        <v>1639</v>
      </c>
      <c r="C12080" s="2889" t="s">
        <v>1415</v>
      </c>
      <c r="D12080" s="2889" t="s">
        <v>197</v>
      </c>
      <c r="E12080" s="2889" t="s">
        <v>217</v>
      </c>
      <c r="F12080" s="2890">
        <v>0.15822353263029929</v>
      </c>
      <c r="G12080" s="2890">
        <v>107.39060647665133</v>
      </c>
    </row>
    <row r="12081" spans="2:7" ht="15" hidden="1" outlineLevel="2">
      <c r="B12081" s="2889" t="s">
        <v>1639</v>
      </c>
      <c r="C12081" s="2889" t="s">
        <v>1416</v>
      </c>
      <c r="D12081" s="2889" t="s">
        <v>197</v>
      </c>
      <c r="E12081" s="2889" t="s">
        <v>217</v>
      </c>
      <c r="F12081" s="2890">
        <v>1.7782416882123453E-2</v>
      </c>
      <c r="G12081" s="2890">
        <v>23.364221528448127</v>
      </c>
    </row>
    <row r="12082" spans="2:7" ht="15" hidden="1" outlineLevel="2">
      <c r="B12082" s="2889" t="s">
        <v>1639</v>
      </c>
      <c r="C12082" s="2889" t="s">
        <v>1417</v>
      </c>
      <c r="D12082" s="2889" t="s">
        <v>197</v>
      </c>
      <c r="E12082" s="2889" t="s">
        <v>217</v>
      </c>
      <c r="F12082" s="2890">
        <v>2.6472490329112645E-2</v>
      </c>
      <c r="G12082" s="2890">
        <v>33.831321364383861</v>
      </c>
    </row>
    <row r="12083" spans="2:7" ht="15" hidden="1" outlineLevel="2">
      <c r="B12083" s="2889" t="s">
        <v>1639</v>
      </c>
      <c r="C12083" s="2889" t="s">
        <v>1418</v>
      </c>
      <c r="D12083" s="2889" t="s">
        <v>197</v>
      </c>
      <c r="E12083" s="2889" t="s">
        <v>217</v>
      </c>
      <c r="F12083" s="2890">
        <v>5.3091400005009642E-3</v>
      </c>
      <c r="G12083" s="2890">
        <v>37.530605524804635</v>
      </c>
    </row>
    <row r="12084" spans="2:7" ht="15" hidden="1" outlineLevel="2">
      <c r="B12084" s="2889" t="s">
        <v>1639</v>
      </c>
      <c r="C12084" s="2889" t="s">
        <v>1419</v>
      </c>
      <c r="D12084" s="2889" t="s">
        <v>197</v>
      </c>
      <c r="E12084" s="2889" t="s">
        <v>1420</v>
      </c>
      <c r="F12084" s="2890">
        <v>1.292732924574455E-4</v>
      </c>
      <c r="G12084" s="2890">
        <v>0.20540928011448684</v>
      </c>
    </row>
    <row r="12085" spans="2:7" ht="15" hidden="1" outlineLevel="2">
      <c r="B12085" s="2889" t="s">
        <v>1639</v>
      </c>
      <c r="C12085" s="2889" t="s">
        <v>1421</v>
      </c>
      <c r="D12085" s="2889" t="s">
        <v>197</v>
      </c>
      <c r="E12085" s="2889" t="s">
        <v>1420</v>
      </c>
      <c r="F12085" s="2890">
        <v>2.6526633712871366E-5</v>
      </c>
      <c r="G12085" s="2890">
        <v>0.27955997862242954</v>
      </c>
    </row>
    <row r="12086" spans="2:7" ht="15" hidden="1" outlineLevel="2">
      <c r="B12086" s="2889" t="s">
        <v>1639</v>
      </c>
      <c r="C12086" s="2889" t="s">
        <v>1422</v>
      </c>
      <c r="D12086" s="2889" t="s">
        <v>197</v>
      </c>
      <c r="E12086" s="2889" t="s">
        <v>1423</v>
      </c>
      <c r="F12086" s="2890">
        <v>5.1748950403822198E-3</v>
      </c>
      <c r="G12086" s="2890">
        <v>5.4261097359322816E-2</v>
      </c>
    </row>
    <row r="12087" spans="2:7" ht="15" hidden="1" outlineLevel="2">
      <c r="B12087" s="2889" t="s">
        <v>1639</v>
      </c>
      <c r="C12087" s="2889" t="s">
        <v>1424</v>
      </c>
      <c r="D12087" s="2889" t="s">
        <v>197</v>
      </c>
      <c r="E12087" s="2889" t="s">
        <v>1423</v>
      </c>
      <c r="F12087" s="2890">
        <v>1.6425478012366643E-3</v>
      </c>
      <c r="G12087" s="2890">
        <v>1.7217656209220562E-2</v>
      </c>
    </row>
    <row r="12088" spans="2:7" ht="15" hidden="1" outlineLevel="2">
      <c r="B12088" s="2889" t="s">
        <v>1639</v>
      </c>
      <c r="C12088" s="2889" t="s">
        <v>1425</v>
      </c>
      <c r="D12088" s="2889" t="s">
        <v>197</v>
      </c>
      <c r="E12088" s="2889" t="s">
        <v>1426</v>
      </c>
      <c r="F12088" s="2891"/>
      <c r="G12088" s="2890">
        <v>0.40126335285226877</v>
      </c>
    </row>
    <row r="12089" spans="2:7" ht="15" hidden="1" outlineLevel="2">
      <c r="B12089" s="2889" t="s">
        <v>1639</v>
      </c>
      <c r="C12089" s="2889" t="s">
        <v>1427</v>
      </c>
      <c r="D12089" s="2889" t="s">
        <v>197</v>
      </c>
      <c r="E12089" s="2889" t="s">
        <v>1426</v>
      </c>
      <c r="F12089" s="2891"/>
      <c r="G12089" s="2890">
        <v>17347.577280931982</v>
      </c>
    </row>
    <row r="12090" spans="2:7" ht="15" hidden="1" outlineLevel="2">
      <c r="B12090" s="2889" t="s">
        <v>1639</v>
      </c>
      <c r="C12090" s="2889" t="s">
        <v>1428</v>
      </c>
      <c r="D12090" s="2889" t="s">
        <v>197</v>
      </c>
      <c r="E12090" s="2889" t="s">
        <v>1426</v>
      </c>
      <c r="F12090" s="2891"/>
      <c r="G12090" s="2890">
        <v>1556.6072194200224</v>
      </c>
    </row>
    <row r="12091" spans="2:7" ht="15" hidden="1" outlineLevel="2">
      <c r="B12091" s="2889" t="s">
        <v>1639</v>
      </c>
      <c r="C12091" s="2889" t="s">
        <v>1429</v>
      </c>
      <c r="D12091" s="2889" t="s">
        <v>197</v>
      </c>
      <c r="E12091" s="2889" t="s">
        <v>1426</v>
      </c>
      <c r="F12091" s="2891"/>
      <c r="G12091" s="2890">
        <v>8.6526060550124022</v>
      </c>
    </row>
    <row r="12092" spans="2:7" ht="15" hidden="1" outlineLevel="2">
      <c r="B12092" s="2889" t="s">
        <v>1639</v>
      </c>
      <c r="C12092" s="2889" t="s">
        <v>1430</v>
      </c>
      <c r="D12092" s="2889" t="s">
        <v>197</v>
      </c>
      <c r="E12092" s="2889" t="s">
        <v>1426</v>
      </c>
      <c r="F12092" s="2891"/>
      <c r="G12092" s="2890">
        <v>1.7759351343787664</v>
      </c>
    </row>
    <row r="12093" spans="2:7" ht="15" hidden="1" outlineLevel="2">
      <c r="B12093" s="2889" t="s">
        <v>1639</v>
      </c>
      <c r="C12093" s="2889" t="s">
        <v>1431</v>
      </c>
      <c r="D12093" s="2889" t="s">
        <v>197</v>
      </c>
      <c r="E12093" s="2889" t="s">
        <v>1426</v>
      </c>
      <c r="F12093" s="2891"/>
      <c r="G12093" s="2890">
        <v>132.13713834145312</v>
      </c>
    </row>
    <row r="12094" spans="2:7" ht="15" hidden="1" outlineLevel="2">
      <c r="B12094" s="2889" t="s">
        <v>1639</v>
      </c>
      <c r="C12094" s="2889" t="s">
        <v>1432</v>
      </c>
      <c r="D12094" s="2889" t="s">
        <v>197</v>
      </c>
      <c r="E12094" s="2889" t="s">
        <v>1426</v>
      </c>
      <c r="F12094" s="2891"/>
      <c r="G12094" s="2890">
        <v>0.3309550391823185</v>
      </c>
    </row>
    <row r="12095" spans="2:7" ht="15" hidden="1" outlineLevel="2">
      <c r="B12095" s="2889" t="s">
        <v>1639</v>
      </c>
      <c r="C12095" s="2889" t="s">
        <v>1433</v>
      </c>
      <c r="D12095" s="2889" t="s">
        <v>197</v>
      </c>
      <c r="E12095" s="2889" t="s">
        <v>1426</v>
      </c>
      <c r="F12095" s="2891"/>
      <c r="G12095" s="2890">
        <v>122.13090888575901</v>
      </c>
    </row>
    <row r="12096" spans="2:7" ht="15" hidden="1" outlineLevel="2">
      <c r="B12096" s="2889" t="s">
        <v>1639</v>
      </c>
      <c r="C12096" s="2889" t="s">
        <v>1434</v>
      </c>
      <c r="D12096" s="2889" t="s">
        <v>197</v>
      </c>
      <c r="E12096" s="2889" t="s">
        <v>1426</v>
      </c>
      <c r="F12096" s="2891"/>
      <c r="G12096" s="2890">
        <v>339.24754148615511</v>
      </c>
    </row>
    <row r="12097" spans="2:7" ht="15" hidden="1" outlineLevel="2">
      <c r="B12097" s="2889" t="s">
        <v>1639</v>
      </c>
      <c r="C12097" s="2889" t="s">
        <v>1435</v>
      </c>
      <c r="D12097" s="2889" t="s">
        <v>197</v>
      </c>
      <c r="E12097" s="2889" t="s">
        <v>1426</v>
      </c>
      <c r="F12097" s="2891"/>
      <c r="G12097" s="2890">
        <v>249.41300317907019</v>
      </c>
    </row>
    <row r="12098" spans="2:7" ht="15" hidden="1" outlineLevel="2">
      <c r="B12098" s="2889" t="s">
        <v>1639</v>
      </c>
      <c r="C12098" s="2889" t="s">
        <v>1436</v>
      </c>
      <c r="D12098" s="2889" t="s">
        <v>1437</v>
      </c>
      <c r="E12098" s="2889" t="s">
        <v>217</v>
      </c>
      <c r="F12098" s="2890">
        <v>3.0242949543144318E-5</v>
      </c>
      <c r="G12098" s="2890">
        <v>8.8241725961892573E-2</v>
      </c>
    </row>
    <row r="12099" spans="2:7" ht="15" hidden="1" outlineLevel="2">
      <c r="B12099" s="2889" t="s">
        <v>1639</v>
      </c>
      <c r="C12099" s="2889" t="s">
        <v>1438</v>
      </c>
      <c r="D12099" s="2889" t="s">
        <v>1437</v>
      </c>
      <c r="E12099" s="2889" t="s">
        <v>1420</v>
      </c>
      <c r="F12099" s="2890">
        <v>8.7783771228476728E-6</v>
      </c>
      <c r="G12099" s="2890">
        <v>8.0654710859250106E-2</v>
      </c>
    </row>
    <row r="12100" spans="2:7" ht="15" hidden="1" outlineLevel="2">
      <c r="B12100" s="2889" t="s">
        <v>1639</v>
      </c>
      <c r="C12100" s="2889" t="s">
        <v>1439</v>
      </c>
      <c r="D12100" s="2889" t="s">
        <v>1437</v>
      </c>
      <c r="E12100" s="2889" t="s">
        <v>1426</v>
      </c>
      <c r="F12100" s="2891"/>
      <c r="G12100" s="2890">
        <v>5.5460958861494731</v>
      </c>
    </row>
    <row r="12101" spans="2:7" ht="15" hidden="1" outlineLevel="2">
      <c r="B12101" s="2889" t="s">
        <v>1639</v>
      </c>
      <c r="C12101" s="2889" t="s">
        <v>1440</v>
      </c>
      <c r="D12101" s="2889" t="s">
        <v>1105</v>
      </c>
      <c r="E12101" s="2889" t="s">
        <v>217</v>
      </c>
      <c r="F12101" s="2890">
        <v>2.6530826814721863E-2</v>
      </c>
      <c r="G12101" s="2890">
        <v>13.147799718327935</v>
      </c>
    </row>
    <row r="12102" spans="2:7" ht="15" hidden="1" outlineLevel="2">
      <c r="B12102" s="2889" t="s">
        <v>1639</v>
      </c>
      <c r="C12102" s="2889" t="s">
        <v>1441</v>
      </c>
      <c r="D12102" s="2889" t="s">
        <v>1105</v>
      </c>
      <c r="E12102" s="2889" t="s">
        <v>217</v>
      </c>
      <c r="F12102" s="2890">
        <v>0.16953059311605337</v>
      </c>
      <c r="G12102" s="2890">
        <v>87.717933652295898</v>
      </c>
    </row>
    <row r="12103" spans="2:7" ht="15" hidden="1" outlineLevel="2">
      <c r="B12103" s="2889" t="s">
        <v>1639</v>
      </c>
      <c r="C12103" s="2889" t="s">
        <v>1442</v>
      </c>
      <c r="D12103" s="2889" t="s">
        <v>1105</v>
      </c>
      <c r="E12103" s="2889" t="s">
        <v>217</v>
      </c>
      <c r="F12103" s="2890">
        <v>7.5463544015662737E-5</v>
      </c>
      <c r="G12103" s="2890">
        <v>3.3830153933795341E-2</v>
      </c>
    </row>
    <row r="12104" spans="2:7" ht="15" hidden="1" outlineLevel="2">
      <c r="B12104" s="2889" t="s">
        <v>1639</v>
      </c>
      <c r="C12104" s="2889" t="s">
        <v>1443</v>
      </c>
      <c r="D12104" s="2889" t="s">
        <v>1105</v>
      </c>
      <c r="E12104" s="2889" t="s">
        <v>217</v>
      </c>
      <c r="F12104" s="2890">
        <v>1.1874040040779851E-3</v>
      </c>
      <c r="G12104" s="2890">
        <v>0.53231069499156025</v>
      </c>
    </row>
    <row r="12105" spans="2:7" ht="15" hidden="1" outlineLevel="2">
      <c r="B12105" s="2889" t="s">
        <v>1639</v>
      </c>
      <c r="C12105" s="2889" t="s">
        <v>1444</v>
      </c>
      <c r="D12105" s="2889" t="s">
        <v>1105</v>
      </c>
      <c r="E12105" s="2889" t="s">
        <v>217</v>
      </c>
      <c r="F12105" s="2890">
        <v>2.239856582100658</v>
      </c>
      <c r="G12105" s="2890">
        <v>2706.4098410537913</v>
      </c>
    </row>
    <row r="12106" spans="2:7" ht="15" hidden="1" outlineLevel="2">
      <c r="B12106" s="2889" t="s">
        <v>1639</v>
      </c>
      <c r="C12106" s="2889" t="s">
        <v>1445</v>
      </c>
      <c r="D12106" s="2889" t="s">
        <v>1105</v>
      </c>
      <c r="E12106" s="2889" t="s">
        <v>217</v>
      </c>
      <c r="F12106" s="2890">
        <v>0.48214943366195656</v>
      </c>
      <c r="G12106" s="2890">
        <v>677.25202512335488</v>
      </c>
    </row>
    <row r="12107" spans="2:7" ht="15" hidden="1" outlineLevel="2">
      <c r="B12107" s="2889" t="s">
        <v>1639</v>
      </c>
      <c r="C12107" s="2889" t="s">
        <v>1446</v>
      </c>
      <c r="D12107" s="2889" t="s">
        <v>1105</v>
      </c>
      <c r="E12107" s="2889" t="s">
        <v>217</v>
      </c>
      <c r="F12107" s="2890">
        <v>0.22256491920155413</v>
      </c>
      <c r="G12107" s="2890">
        <v>359.14144837552897</v>
      </c>
    </row>
    <row r="12108" spans="2:7" ht="15" hidden="1" outlineLevel="2">
      <c r="B12108" s="2889" t="s">
        <v>1639</v>
      </c>
      <c r="C12108" s="2889" t="s">
        <v>1447</v>
      </c>
      <c r="D12108" s="2889" t="s">
        <v>1105</v>
      </c>
      <c r="E12108" s="2889" t="s">
        <v>217</v>
      </c>
      <c r="F12108" s="2890">
        <v>0.51283233404281592</v>
      </c>
      <c r="G12108" s="2890">
        <v>770.58814050435888</v>
      </c>
    </row>
    <row r="12109" spans="2:7" ht="15" hidden="1" outlineLevel="2">
      <c r="B12109" s="2889" t="s">
        <v>1639</v>
      </c>
      <c r="C12109" s="2889" t="s">
        <v>1448</v>
      </c>
      <c r="D12109" s="2889" t="s">
        <v>1105</v>
      </c>
      <c r="E12109" s="2889" t="s">
        <v>217</v>
      </c>
      <c r="F12109" s="2890">
        <v>0.96853124357559817</v>
      </c>
      <c r="G12109" s="2890">
        <v>1213.9942719704384</v>
      </c>
    </row>
    <row r="12110" spans="2:7" ht="15" hidden="1" outlineLevel="2">
      <c r="B12110" s="2889" t="s">
        <v>1639</v>
      </c>
      <c r="C12110" s="2889" t="s">
        <v>1449</v>
      </c>
      <c r="D12110" s="2889" t="s">
        <v>1105</v>
      </c>
      <c r="E12110" s="2889" t="s">
        <v>217</v>
      </c>
      <c r="F12110" s="2890">
        <v>4.1232440009336686E-2</v>
      </c>
      <c r="G12110" s="2890">
        <v>57.099512826849697</v>
      </c>
    </row>
    <row r="12111" spans="2:7" ht="15" hidden="1" outlineLevel="2">
      <c r="B12111" s="2889" t="s">
        <v>1639</v>
      </c>
      <c r="C12111" s="2889" t="s">
        <v>1450</v>
      </c>
      <c r="D12111" s="2889" t="s">
        <v>1105</v>
      </c>
      <c r="E12111" s="2889" t="s">
        <v>1420</v>
      </c>
      <c r="F12111" s="2890">
        <v>0.13098369234738819</v>
      </c>
      <c r="G12111" s="2890">
        <v>360.10105081448398</v>
      </c>
    </row>
    <row r="12112" spans="2:7" ht="15" hidden="1" outlineLevel="2">
      <c r="B12112" s="2889" t="s">
        <v>1639</v>
      </c>
      <c r="C12112" s="2889" t="s">
        <v>1451</v>
      </c>
      <c r="D12112" s="2889" t="s">
        <v>1105</v>
      </c>
      <c r="E12112" s="2889" t="s">
        <v>1420</v>
      </c>
      <c r="F12112" s="2890">
        <v>1.9017429874520476E-2</v>
      </c>
      <c r="G12112" s="2890">
        <v>80.207008365566054</v>
      </c>
    </row>
    <row r="12113" spans="2:7" ht="15" hidden="1" outlineLevel="2">
      <c r="B12113" s="2889" t="s">
        <v>1639</v>
      </c>
      <c r="C12113" s="2889" t="s">
        <v>1452</v>
      </c>
      <c r="D12113" s="2889" t="s">
        <v>1105</v>
      </c>
      <c r="E12113" s="2889" t="s">
        <v>1420</v>
      </c>
      <c r="F12113" s="2890">
        <v>1.4069465547469446E-2</v>
      </c>
      <c r="G12113" s="2890">
        <v>94.016956601532954</v>
      </c>
    </row>
    <row r="12114" spans="2:7" ht="15" hidden="1" outlineLevel="2">
      <c r="B12114" s="2889" t="s">
        <v>1639</v>
      </c>
      <c r="C12114" s="2889" t="s">
        <v>1453</v>
      </c>
      <c r="D12114" s="2889" t="s">
        <v>1105</v>
      </c>
      <c r="E12114" s="2889" t="s">
        <v>1420</v>
      </c>
      <c r="F12114" s="2890">
        <v>2.4644418818184098E-2</v>
      </c>
      <c r="G12114" s="2890">
        <v>116.79278747660922</v>
      </c>
    </row>
    <row r="12115" spans="2:7" ht="15" hidden="1" outlineLevel="2">
      <c r="B12115" s="2889" t="s">
        <v>1639</v>
      </c>
      <c r="C12115" s="2889" t="s">
        <v>1454</v>
      </c>
      <c r="D12115" s="2889" t="s">
        <v>1105</v>
      </c>
      <c r="E12115" s="2889" t="s">
        <v>1420</v>
      </c>
      <c r="F12115" s="2890">
        <v>6.153578796533755E-4</v>
      </c>
      <c r="G12115" s="2890">
        <v>1.5787762698812735</v>
      </c>
    </row>
    <row r="12116" spans="2:7" ht="15" hidden="1" outlineLevel="2">
      <c r="B12116" s="2889" t="s">
        <v>1639</v>
      </c>
      <c r="C12116" s="2889" t="s">
        <v>1455</v>
      </c>
      <c r="D12116" s="2889" t="s">
        <v>1105</v>
      </c>
      <c r="E12116" s="2889" t="s">
        <v>1420</v>
      </c>
      <c r="F12116" s="2890">
        <v>1.7953141964670663E-4</v>
      </c>
      <c r="G12116" s="2890">
        <v>1.4664735264849904</v>
      </c>
    </row>
    <row r="12117" spans="2:7" ht="15" hidden="1" outlineLevel="2">
      <c r="B12117" s="2889" t="s">
        <v>1639</v>
      </c>
      <c r="C12117" s="2889" t="s">
        <v>1456</v>
      </c>
      <c r="D12117" s="2889" t="s">
        <v>1105</v>
      </c>
      <c r="E12117" s="2889" t="s">
        <v>1423</v>
      </c>
      <c r="F12117" s="2890">
        <v>2.8940065278472278</v>
      </c>
      <c r="G12117" s="2890">
        <v>80.363539269096719</v>
      </c>
    </row>
    <row r="12118" spans="2:7" ht="15" hidden="1" outlineLevel="2">
      <c r="B12118" s="2889" t="s">
        <v>1639</v>
      </c>
      <c r="C12118" s="2889" t="s">
        <v>1457</v>
      </c>
      <c r="D12118" s="2889" t="s">
        <v>1105</v>
      </c>
      <c r="E12118" s="2889" t="s">
        <v>1423</v>
      </c>
      <c r="F12118" s="2890">
        <v>0.11095210001795748</v>
      </c>
      <c r="G12118" s="2890">
        <v>4.0332771965903778</v>
      </c>
    </row>
    <row r="12119" spans="2:7" ht="15" hidden="1" outlineLevel="2">
      <c r="B12119" s="2889" t="s">
        <v>1639</v>
      </c>
      <c r="C12119" s="2889" t="s">
        <v>1458</v>
      </c>
      <c r="D12119" s="2889" t="s">
        <v>1105</v>
      </c>
      <c r="E12119" s="2889" t="s">
        <v>1423</v>
      </c>
      <c r="F12119" s="2890">
        <v>7.9655401992502456E-2</v>
      </c>
      <c r="G12119" s="2890">
        <v>5.5867712213196885</v>
      </c>
    </row>
    <row r="12120" spans="2:7" ht="15" hidden="1" outlineLevel="2">
      <c r="B12120" s="2889" t="s">
        <v>1639</v>
      </c>
      <c r="C12120" s="2889" t="s">
        <v>1459</v>
      </c>
      <c r="D12120" s="2889" t="s">
        <v>1105</v>
      </c>
      <c r="E12120" s="2889" t="s">
        <v>1423</v>
      </c>
      <c r="F12120" s="2890">
        <v>0.93320323895943269</v>
      </c>
      <c r="G12120" s="2890">
        <v>195.28737619111058</v>
      </c>
    </row>
    <row r="12121" spans="2:7" ht="15" hidden="1" outlineLevel="2">
      <c r="B12121" s="2889" t="s">
        <v>1639</v>
      </c>
      <c r="C12121" s="2889" t="s">
        <v>1460</v>
      </c>
      <c r="D12121" s="2889" t="s">
        <v>1105</v>
      </c>
      <c r="E12121" s="2889" t="s">
        <v>1426</v>
      </c>
      <c r="F12121" s="2891"/>
      <c r="G12121" s="2890">
        <v>2082.4869279698496</v>
      </c>
    </row>
    <row r="12122" spans="2:7" ht="15" hidden="1" outlineLevel="2">
      <c r="B12122" s="2889" t="s">
        <v>1639</v>
      </c>
      <c r="C12122" s="2889" t="s">
        <v>1461</v>
      </c>
      <c r="D12122" s="2889" t="s">
        <v>1105</v>
      </c>
      <c r="E12122" s="2889" t="s">
        <v>1426</v>
      </c>
      <c r="F12122" s="2891"/>
      <c r="G12122" s="2890">
        <v>491.3408042023928</v>
      </c>
    </row>
    <row r="12123" spans="2:7" ht="15" hidden="1" outlineLevel="2">
      <c r="B12123" s="2889" t="s">
        <v>1639</v>
      </c>
      <c r="C12123" s="2889" t="s">
        <v>1462</v>
      </c>
      <c r="D12123" s="2889" t="s">
        <v>1105</v>
      </c>
      <c r="E12123" s="2889" t="s">
        <v>1426</v>
      </c>
      <c r="F12123" s="2891"/>
      <c r="G12123" s="2890">
        <v>1363.280257736601</v>
      </c>
    </row>
    <row r="12124" spans="2:7" ht="15" hidden="1" outlineLevel="2">
      <c r="B12124" s="2889" t="s">
        <v>1639</v>
      </c>
      <c r="C12124" s="2889" t="s">
        <v>1463</v>
      </c>
      <c r="D12124" s="2889" t="s">
        <v>1105</v>
      </c>
      <c r="E12124" s="2889" t="s">
        <v>1426</v>
      </c>
      <c r="F12124" s="2891"/>
      <c r="G12124" s="2890">
        <v>692.22962385077051</v>
      </c>
    </row>
    <row r="12125" spans="2:7" ht="15" hidden="1" outlineLevel="2">
      <c r="B12125" s="2889" t="s">
        <v>1639</v>
      </c>
      <c r="C12125" s="2889" t="s">
        <v>1464</v>
      </c>
      <c r="D12125" s="2889" t="s">
        <v>1105</v>
      </c>
      <c r="E12125" s="2889" t="s">
        <v>1426</v>
      </c>
      <c r="F12125" s="2891"/>
      <c r="G12125" s="2890">
        <v>66.499899586583794</v>
      </c>
    </row>
    <row r="12126" spans="2:7" ht="15" hidden="1" outlineLevel="2">
      <c r="B12126" s="2889" t="s">
        <v>1639</v>
      </c>
      <c r="C12126" s="2889" t="s">
        <v>1465</v>
      </c>
      <c r="D12126" s="2889" t="s">
        <v>1105</v>
      </c>
      <c r="E12126" s="2889" t="s">
        <v>1426</v>
      </c>
      <c r="F12126" s="2891"/>
      <c r="G12126" s="2890">
        <v>59.000459302741575</v>
      </c>
    </row>
    <row r="12127" spans="2:7" ht="15" hidden="1" outlineLevel="2">
      <c r="B12127" s="2889" t="s">
        <v>1639</v>
      </c>
      <c r="C12127" s="2889" t="s">
        <v>1466</v>
      </c>
      <c r="D12127" s="2889" t="s">
        <v>1054</v>
      </c>
      <c r="E12127" s="2889" t="s">
        <v>217</v>
      </c>
      <c r="F12127" s="2890">
        <v>5.6432016791064001E-2</v>
      </c>
      <c r="G12127" s="2890">
        <v>34.79579389867969</v>
      </c>
    </row>
    <row r="12128" spans="2:7" ht="15" hidden="1" outlineLevel="2">
      <c r="B12128" s="2889" t="s">
        <v>1639</v>
      </c>
      <c r="C12128" s="2889" t="s">
        <v>1467</v>
      </c>
      <c r="D12128" s="2889" t="s">
        <v>1054</v>
      </c>
      <c r="E12128" s="2889" t="s">
        <v>217</v>
      </c>
      <c r="F12128" s="2890">
        <v>4.6637487505090044E-3</v>
      </c>
      <c r="G12128" s="2890">
        <v>2.2567726403499706</v>
      </c>
    </row>
    <row r="12129" spans="2:7" ht="15" hidden="1" outlineLevel="2">
      <c r="B12129" s="2889" t="s">
        <v>1639</v>
      </c>
      <c r="C12129" s="2889" t="s">
        <v>1468</v>
      </c>
      <c r="D12129" s="2889" t="s">
        <v>1054</v>
      </c>
      <c r="E12129" s="2889" t="s">
        <v>217</v>
      </c>
      <c r="F12129" s="2890">
        <v>5.6479332725819118E-3</v>
      </c>
      <c r="G12129" s="2890">
        <v>2.6978405243683277</v>
      </c>
    </row>
    <row r="12130" spans="2:7" ht="15" hidden="1" outlineLevel="2">
      <c r="B12130" s="2889" t="s">
        <v>1639</v>
      </c>
      <c r="C12130" s="2889" t="s">
        <v>1469</v>
      </c>
      <c r="D12130" s="2889" t="s">
        <v>1054</v>
      </c>
      <c r="E12130" s="2889" t="s">
        <v>217</v>
      </c>
      <c r="F12130" s="2890">
        <v>4.5068812018824153E-5</v>
      </c>
      <c r="G12130" s="2890">
        <v>2.0202845517011805E-2</v>
      </c>
    </row>
    <row r="12131" spans="2:7" ht="15" hidden="1" outlineLevel="2">
      <c r="B12131" s="2889" t="s">
        <v>1639</v>
      </c>
      <c r="C12131" s="2889" t="s">
        <v>1470</v>
      </c>
      <c r="D12131" s="2889" t="s">
        <v>1054</v>
      </c>
      <c r="E12131" s="2889" t="s">
        <v>217</v>
      </c>
      <c r="F12131" s="2890">
        <v>0.16077267047925806</v>
      </c>
      <c r="G12131" s="2890">
        <v>89.917736403567531</v>
      </c>
    </row>
    <row r="12132" spans="2:7" ht="15" hidden="1" outlineLevel="2">
      <c r="B12132" s="2889" t="s">
        <v>1639</v>
      </c>
      <c r="C12132" s="2889" t="s">
        <v>1471</v>
      </c>
      <c r="D12132" s="2889" t="s">
        <v>1054</v>
      </c>
      <c r="E12132" s="2889" t="s">
        <v>217</v>
      </c>
      <c r="F12132" s="2890">
        <v>1.1735549565864952E-3</v>
      </c>
      <c r="G12132" s="2890">
        <v>0.52606513456475912</v>
      </c>
    </row>
    <row r="12133" spans="2:7" ht="15" hidden="1" outlineLevel="2">
      <c r="B12133" s="2889" t="s">
        <v>1639</v>
      </c>
      <c r="C12133" s="2889" t="s">
        <v>1472</v>
      </c>
      <c r="D12133" s="2889" t="s">
        <v>1054</v>
      </c>
      <c r="E12133" s="2889" t="s">
        <v>217</v>
      </c>
      <c r="F12133" s="2890">
        <v>1.986003369175577E-2</v>
      </c>
      <c r="G12133" s="2890">
        <v>30.932756537300893</v>
      </c>
    </row>
    <row r="12134" spans="2:7" ht="15" hidden="1" outlineLevel="2">
      <c r="B12134" s="2889" t="s">
        <v>1639</v>
      </c>
      <c r="C12134" s="2889" t="s">
        <v>1473</v>
      </c>
      <c r="D12134" s="2889" t="s">
        <v>1054</v>
      </c>
      <c r="E12134" s="2889" t="s">
        <v>217</v>
      </c>
      <c r="F12134" s="2890">
        <v>1.7590439120521558E-4</v>
      </c>
      <c r="G12134" s="2890">
        <v>0.22858495217807082</v>
      </c>
    </row>
    <row r="12135" spans="2:7" ht="15" hidden="1" outlineLevel="2">
      <c r="B12135" s="2889" t="s">
        <v>1639</v>
      </c>
      <c r="C12135" s="2889" t="s">
        <v>1474</v>
      </c>
      <c r="D12135" s="2889" t="s">
        <v>1054</v>
      </c>
      <c r="E12135" s="2889" t="s">
        <v>217</v>
      </c>
      <c r="F12135" s="2890">
        <v>4.8386811525431665E-2</v>
      </c>
      <c r="G12135" s="2890">
        <v>57.884366198126052</v>
      </c>
    </row>
    <row r="12136" spans="2:7" ht="15" hidden="1" outlineLevel="2">
      <c r="B12136" s="2889" t="s">
        <v>1639</v>
      </c>
      <c r="C12136" s="2889" t="s">
        <v>1475</v>
      </c>
      <c r="D12136" s="2889" t="s">
        <v>1054</v>
      </c>
      <c r="E12136" s="2889" t="s">
        <v>217</v>
      </c>
      <c r="F12136" s="2890">
        <v>3.465989307498922E-2</v>
      </c>
      <c r="G12136" s="2890">
        <v>54.697172684154495</v>
      </c>
    </row>
    <row r="12137" spans="2:7" ht="15" hidden="1" outlineLevel="2">
      <c r="B12137" s="2889" t="s">
        <v>1639</v>
      </c>
      <c r="C12137" s="2889" t="s">
        <v>1476</v>
      </c>
      <c r="D12137" s="2889" t="s">
        <v>1054</v>
      </c>
      <c r="E12137" s="2889" t="s">
        <v>217</v>
      </c>
      <c r="F12137" s="2890">
        <v>8.5338891266215147E-2</v>
      </c>
      <c r="G12137" s="2890">
        <v>108.86586558904753</v>
      </c>
    </row>
    <row r="12138" spans="2:7" ht="15" hidden="1" outlineLevel="2">
      <c r="B12138" s="2889" t="s">
        <v>1639</v>
      </c>
      <c r="C12138" s="2889" t="s">
        <v>1477</v>
      </c>
      <c r="D12138" s="2889" t="s">
        <v>1054</v>
      </c>
      <c r="E12138" s="2889" t="s">
        <v>217</v>
      </c>
      <c r="F12138" s="2890">
        <v>3.3379590943408637E-2</v>
      </c>
      <c r="G12138" s="2890">
        <v>45.90875483761787</v>
      </c>
    </row>
    <row r="12139" spans="2:7" ht="15" hidden="1" outlineLevel="2">
      <c r="B12139" s="2889" t="s">
        <v>1639</v>
      </c>
      <c r="C12139" s="2889" t="s">
        <v>1478</v>
      </c>
      <c r="D12139" s="2889" t="s">
        <v>1054</v>
      </c>
      <c r="E12139" s="2889" t="s">
        <v>217</v>
      </c>
      <c r="F12139" s="2890">
        <v>1.7988174938507319E-3</v>
      </c>
      <c r="G12139" s="2890">
        <v>2.3835522322157363</v>
      </c>
    </row>
    <row r="12140" spans="2:7" ht="15" hidden="1" outlineLevel="2">
      <c r="B12140" s="2889" t="s">
        <v>1639</v>
      </c>
      <c r="C12140" s="2889" t="s">
        <v>1479</v>
      </c>
      <c r="D12140" s="2889" t="s">
        <v>1054</v>
      </c>
      <c r="E12140" s="2889" t="s">
        <v>217</v>
      </c>
      <c r="F12140" s="2890">
        <v>6.3608655322207261E-2</v>
      </c>
      <c r="G12140" s="2890">
        <v>96.108742032228008</v>
      </c>
    </row>
    <row r="12141" spans="2:7" ht="15" hidden="1" outlineLevel="2">
      <c r="B12141" s="2889" t="s">
        <v>1639</v>
      </c>
      <c r="C12141" s="2889" t="s">
        <v>1480</v>
      </c>
      <c r="D12141" s="2889" t="s">
        <v>1054</v>
      </c>
      <c r="E12141" s="2889" t="s">
        <v>217</v>
      </c>
      <c r="F12141" s="2890">
        <v>2.8639583510906463E-2</v>
      </c>
      <c r="G12141" s="2890">
        <v>33.101394135101515</v>
      </c>
    </row>
    <row r="12142" spans="2:7" ht="15" hidden="1" outlineLevel="2">
      <c r="B12142" s="2889" t="s">
        <v>1639</v>
      </c>
      <c r="C12142" s="2889" t="s">
        <v>1481</v>
      </c>
      <c r="D12142" s="2889" t="s">
        <v>1054</v>
      </c>
      <c r="E12142" s="2889" t="s">
        <v>217</v>
      </c>
      <c r="F12142" s="2890">
        <v>0.14168732654455896</v>
      </c>
      <c r="G12142" s="2890">
        <v>200.17553285541766</v>
      </c>
    </row>
    <row r="12143" spans="2:7" ht="15" hidden="1" outlineLevel="2">
      <c r="B12143" s="2889" t="s">
        <v>1639</v>
      </c>
      <c r="C12143" s="2889" t="s">
        <v>1482</v>
      </c>
      <c r="D12143" s="2889" t="s">
        <v>1054</v>
      </c>
      <c r="E12143" s="2889" t="s">
        <v>217</v>
      </c>
      <c r="F12143" s="2890">
        <v>9.5488532887982466E-2</v>
      </c>
      <c r="G12143" s="2890">
        <v>95.894613702032757</v>
      </c>
    </row>
    <row r="12144" spans="2:7" ht="15" hidden="1" outlineLevel="2">
      <c r="B12144" s="2889" t="s">
        <v>1639</v>
      </c>
      <c r="C12144" s="2889" t="s">
        <v>1483</v>
      </c>
      <c r="D12144" s="2889" t="s">
        <v>1054</v>
      </c>
      <c r="E12144" s="2889" t="s">
        <v>217</v>
      </c>
      <c r="F12144" s="2890">
        <v>4.5408403373922261E-3</v>
      </c>
      <c r="G12144" s="2890">
        <v>7.6443069678658704</v>
      </c>
    </row>
    <row r="12145" spans="2:7" ht="15" hidden="1" outlineLevel="2">
      <c r="B12145" s="2889" t="s">
        <v>1639</v>
      </c>
      <c r="C12145" s="2889" t="s">
        <v>1484</v>
      </c>
      <c r="D12145" s="2889" t="s">
        <v>1054</v>
      </c>
      <c r="E12145" s="2889" t="s">
        <v>217</v>
      </c>
      <c r="F12145" s="2890">
        <v>9.2271153617651605E-3</v>
      </c>
      <c r="G12145" s="2890">
        <v>12.96198031772764</v>
      </c>
    </row>
    <row r="12146" spans="2:7" ht="15" hidden="1" outlineLevel="2">
      <c r="B12146" s="2889" t="s">
        <v>1639</v>
      </c>
      <c r="C12146" s="2889" t="s">
        <v>1485</v>
      </c>
      <c r="D12146" s="2889" t="s">
        <v>1054</v>
      </c>
      <c r="E12146" s="2889" t="s">
        <v>217</v>
      </c>
      <c r="F12146" s="2890">
        <v>4.1021840453118255E-3</v>
      </c>
      <c r="G12146" s="2890">
        <v>11.61511280779415</v>
      </c>
    </row>
    <row r="12147" spans="2:7" ht="15" hidden="1" outlineLevel="2">
      <c r="B12147" s="2889" t="s">
        <v>1639</v>
      </c>
      <c r="C12147" s="2889" t="s">
        <v>1486</v>
      </c>
      <c r="D12147" s="2889" t="s">
        <v>1054</v>
      </c>
      <c r="E12147" s="2889" t="s">
        <v>217</v>
      </c>
      <c r="F12147" s="2890">
        <v>4.7777358822459421E-3</v>
      </c>
      <c r="G12147" s="2890">
        <v>27.742011109926803</v>
      </c>
    </row>
    <row r="12148" spans="2:7" ht="15" hidden="1" outlineLevel="2">
      <c r="B12148" s="2889" t="s">
        <v>1639</v>
      </c>
      <c r="C12148" s="2889" t="s">
        <v>1487</v>
      </c>
      <c r="D12148" s="2889" t="s">
        <v>1054</v>
      </c>
      <c r="E12148" s="2889" t="s">
        <v>217</v>
      </c>
      <c r="F12148" s="2890">
        <v>4.5173201193825528E-2</v>
      </c>
      <c r="G12148" s="2890">
        <v>65.74130502562582</v>
      </c>
    </row>
    <row r="12149" spans="2:7" ht="15" hidden="1" outlineLevel="2">
      <c r="B12149" s="2889" t="s">
        <v>1639</v>
      </c>
      <c r="C12149" s="2889" t="s">
        <v>1488</v>
      </c>
      <c r="D12149" s="2889" t="s">
        <v>1054</v>
      </c>
      <c r="E12149" s="2889" t="s">
        <v>217</v>
      </c>
      <c r="F12149" s="2890">
        <v>2.8031019134722203E-2</v>
      </c>
      <c r="G12149" s="2890">
        <v>45.119141515557111</v>
      </c>
    </row>
    <row r="12150" spans="2:7" ht="15" hidden="1" outlineLevel="2">
      <c r="B12150" s="2889" t="s">
        <v>1639</v>
      </c>
      <c r="C12150" s="2889" t="s">
        <v>1489</v>
      </c>
      <c r="D12150" s="2889" t="s">
        <v>1054</v>
      </c>
      <c r="E12150" s="2889" t="s">
        <v>217</v>
      </c>
      <c r="F12150" s="2890">
        <v>1.4109939860902176E-2</v>
      </c>
      <c r="G12150" s="2890">
        <v>14.866340683713981</v>
      </c>
    </row>
    <row r="12151" spans="2:7" ht="15" hidden="1" outlineLevel="2">
      <c r="B12151" s="2889" t="s">
        <v>1639</v>
      </c>
      <c r="C12151" s="2889" t="s">
        <v>1490</v>
      </c>
      <c r="D12151" s="2889" t="s">
        <v>1054</v>
      </c>
      <c r="E12151" s="2889" t="s">
        <v>217</v>
      </c>
      <c r="F12151" s="2890">
        <v>6.5869802633671554E-3</v>
      </c>
      <c r="G12151" s="2890">
        <v>10.502063640684286</v>
      </c>
    </row>
    <row r="12152" spans="2:7" ht="15" hidden="1" outlineLevel="2">
      <c r="B12152" s="2889" t="s">
        <v>1639</v>
      </c>
      <c r="C12152" s="2889" t="s">
        <v>1491</v>
      </c>
      <c r="D12152" s="2889" t="s">
        <v>1054</v>
      </c>
      <c r="E12152" s="2889" t="s">
        <v>1420</v>
      </c>
      <c r="F12152" s="2890">
        <v>1.2563388776244007E-3</v>
      </c>
      <c r="G12152" s="2890">
        <v>5.9485304918367419</v>
      </c>
    </row>
    <row r="12153" spans="2:7" ht="15" hidden="1" outlineLevel="2">
      <c r="B12153" s="2889" t="s">
        <v>1639</v>
      </c>
      <c r="C12153" s="2889" t="s">
        <v>1492</v>
      </c>
      <c r="D12153" s="2889" t="s">
        <v>1054</v>
      </c>
      <c r="E12153" s="2889" t="s">
        <v>1420</v>
      </c>
      <c r="F12153" s="2890">
        <v>9.3392202024349721E-4</v>
      </c>
      <c r="G12153" s="2890">
        <v>9.9827509121441853</v>
      </c>
    </row>
    <row r="12154" spans="2:7" ht="15" hidden="1" outlineLevel="2">
      <c r="B12154" s="2889" t="s">
        <v>1639</v>
      </c>
      <c r="C12154" s="2889" t="s">
        <v>1493</v>
      </c>
      <c r="D12154" s="2889" t="s">
        <v>1054</v>
      </c>
      <c r="E12154" s="2889" t="s">
        <v>1420</v>
      </c>
      <c r="F12154" s="2890">
        <v>6.9155352134421001E-4</v>
      </c>
      <c r="G12154" s="2890">
        <v>1.6514472222388212</v>
      </c>
    </row>
    <row r="12155" spans="2:7" ht="15" hidden="1" outlineLevel="2">
      <c r="B12155" s="2889" t="s">
        <v>1639</v>
      </c>
      <c r="C12155" s="2889" t="s">
        <v>1494</v>
      </c>
      <c r="D12155" s="2889" t="s">
        <v>1054</v>
      </c>
      <c r="E12155" s="2889" t="s">
        <v>1420</v>
      </c>
      <c r="F12155" s="2890">
        <v>1.8857181640860945E-4</v>
      </c>
      <c r="G12155" s="2890">
        <v>1.0348336099008859</v>
      </c>
    </row>
    <row r="12156" spans="2:7" ht="15" hidden="1" outlineLevel="2">
      <c r="B12156" s="2889" t="s">
        <v>1639</v>
      </c>
      <c r="C12156" s="2889" t="s">
        <v>1495</v>
      </c>
      <c r="D12156" s="2889" t="s">
        <v>1054</v>
      </c>
      <c r="E12156" s="2889" t="s">
        <v>1420</v>
      </c>
      <c r="F12156" s="2890">
        <v>4.0808233031935691E-3</v>
      </c>
      <c r="G12156" s="2890">
        <v>18.313047344589354</v>
      </c>
    </row>
    <row r="12157" spans="2:7" ht="15" hidden="1" outlineLevel="2">
      <c r="B12157" s="2889" t="s">
        <v>1639</v>
      </c>
      <c r="C12157" s="2889" t="s">
        <v>1496</v>
      </c>
      <c r="D12157" s="2889" t="s">
        <v>1054</v>
      </c>
      <c r="E12157" s="2889" t="s">
        <v>1420</v>
      </c>
      <c r="F12157" s="2890">
        <v>3.7022471679474221E-3</v>
      </c>
      <c r="G12157" s="2890">
        <v>6.5937521591186243</v>
      </c>
    </row>
    <row r="12158" spans="2:7" ht="15" hidden="1" outlineLevel="2">
      <c r="B12158" s="2889" t="s">
        <v>1639</v>
      </c>
      <c r="C12158" s="2889" t="s">
        <v>1497</v>
      </c>
      <c r="D12158" s="2889" t="s">
        <v>1054</v>
      </c>
      <c r="E12158" s="2889" t="s">
        <v>1420</v>
      </c>
      <c r="F12158" s="2890">
        <v>1.0272031955651021E-3</v>
      </c>
      <c r="G12158" s="2890">
        <v>16.942511363142351</v>
      </c>
    </row>
    <row r="12159" spans="2:7" ht="15" hidden="1" outlineLevel="2">
      <c r="B12159" s="2889" t="s">
        <v>1639</v>
      </c>
      <c r="C12159" s="2889" t="s">
        <v>1498</v>
      </c>
      <c r="D12159" s="2889" t="s">
        <v>1054</v>
      </c>
      <c r="E12159" s="2889" t="s">
        <v>1420</v>
      </c>
      <c r="F12159" s="2890">
        <v>2.8078241829473821E-3</v>
      </c>
      <c r="G12159" s="2890">
        <v>6.7480209334450594</v>
      </c>
    </row>
    <row r="12160" spans="2:7" ht="15" hidden="1" outlineLevel="2">
      <c r="B12160" s="2889" t="s">
        <v>1639</v>
      </c>
      <c r="C12160" s="2889" t="s">
        <v>1499</v>
      </c>
      <c r="D12160" s="2889" t="s">
        <v>1054</v>
      </c>
      <c r="E12160" s="2889" t="s">
        <v>1420</v>
      </c>
      <c r="F12160" s="2890">
        <v>4.2883166759629223E-4</v>
      </c>
      <c r="G12160" s="2890">
        <v>1.0858552198073586</v>
      </c>
    </row>
    <row r="12161" spans="2:7" ht="15" hidden="1" outlineLevel="2">
      <c r="B12161" s="2889" t="s">
        <v>1639</v>
      </c>
      <c r="C12161" s="2889" t="s">
        <v>1500</v>
      </c>
      <c r="D12161" s="2889" t="s">
        <v>1054</v>
      </c>
      <c r="E12161" s="2889" t="s">
        <v>1420</v>
      </c>
      <c r="F12161" s="2890">
        <v>3.106110388361053E-3</v>
      </c>
      <c r="G12161" s="2890">
        <v>11.746587015665447</v>
      </c>
    </row>
    <row r="12162" spans="2:7" ht="15" hidden="1" outlineLevel="2">
      <c r="B12162" s="2889" t="s">
        <v>1639</v>
      </c>
      <c r="C12162" s="2889" t="s">
        <v>1501</v>
      </c>
      <c r="D12162" s="2889" t="s">
        <v>1054</v>
      </c>
      <c r="E12162" s="2889" t="s">
        <v>1420</v>
      </c>
      <c r="F12162" s="2890">
        <v>3.8957360662861765E-3</v>
      </c>
      <c r="G12162" s="2890">
        <v>28.603542226911873</v>
      </c>
    </row>
    <row r="12163" spans="2:7" ht="15" hidden="1" outlineLevel="2">
      <c r="B12163" s="2889" t="s">
        <v>1639</v>
      </c>
      <c r="C12163" s="2889" t="s">
        <v>1502</v>
      </c>
      <c r="D12163" s="2889" t="s">
        <v>1054</v>
      </c>
      <c r="E12163" s="2889" t="s">
        <v>1420</v>
      </c>
      <c r="F12163" s="2890">
        <v>2.7182573988675305E-4</v>
      </c>
      <c r="G12163" s="2890">
        <v>2.9879665168966354</v>
      </c>
    </row>
    <row r="12164" spans="2:7" ht="15" hidden="1" outlineLevel="2">
      <c r="B12164" s="2889" t="s">
        <v>1639</v>
      </c>
      <c r="C12164" s="2889" t="s">
        <v>1503</v>
      </c>
      <c r="D12164" s="2889" t="s">
        <v>1054</v>
      </c>
      <c r="E12164" s="2889" t="s">
        <v>1420</v>
      </c>
      <c r="F12164" s="2890">
        <v>8.9645614501096867E-3</v>
      </c>
      <c r="G12164" s="2890">
        <v>24.751223381194901</v>
      </c>
    </row>
    <row r="12165" spans="2:7" ht="15" hidden="1" outlineLevel="2">
      <c r="B12165" s="2889" t="s">
        <v>1639</v>
      </c>
      <c r="C12165" s="2889" t="s">
        <v>1504</v>
      </c>
      <c r="D12165" s="2889" t="s">
        <v>1054</v>
      </c>
      <c r="E12165" s="2889" t="s">
        <v>1420</v>
      </c>
      <c r="F12165" s="2890">
        <v>4.6241793579882796E-3</v>
      </c>
      <c r="G12165" s="2890">
        <v>10.235659276976234</v>
      </c>
    </row>
    <row r="12166" spans="2:7" ht="15" hidden="1" outlineLevel="2">
      <c r="B12166" s="2889" t="s">
        <v>1639</v>
      </c>
      <c r="C12166" s="2889" t="s">
        <v>1505</v>
      </c>
      <c r="D12166" s="2889" t="s">
        <v>1054</v>
      </c>
      <c r="E12166" s="2889" t="s">
        <v>1423</v>
      </c>
      <c r="F12166" s="2890">
        <v>1.3113157268405772E-2</v>
      </c>
      <c r="G12166" s="2890">
        <v>0.32452230721329678</v>
      </c>
    </row>
    <row r="12167" spans="2:7" ht="15" hidden="1" outlineLevel="2">
      <c r="B12167" s="2889" t="s">
        <v>1639</v>
      </c>
      <c r="C12167" s="2889" t="s">
        <v>1506</v>
      </c>
      <c r="D12167" s="2889" t="s">
        <v>1054</v>
      </c>
      <c r="E12167" s="2889" t="s">
        <v>1426</v>
      </c>
      <c r="F12167" s="2891"/>
      <c r="G12167" s="2890">
        <v>963.54446895641991</v>
      </c>
    </row>
    <row r="12168" spans="2:7" ht="15" hidden="1" outlineLevel="2">
      <c r="B12168" s="2889" t="s">
        <v>1639</v>
      </c>
      <c r="C12168" s="2889" t="s">
        <v>1507</v>
      </c>
      <c r="D12168" s="2889" t="s">
        <v>1054</v>
      </c>
      <c r="E12168" s="2889" t="s">
        <v>1426</v>
      </c>
      <c r="F12168" s="2891"/>
      <c r="G12168" s="2890">
        <v>1.5706431951414932</v>
      </c>
    </row>
    <row r="12169" spans="2:7" ht="15" hidden="1" outlineLevel="2">
      <c r="B12169" s="2889" t="s">
        <v>1639</v>
      </c>
      <c r="C12169" s="2889" t="s">
        <v>1508</v>
      </c>
      <c r="D12169" s="2889" t="s">
        <v>1054</v>
      </c>
      <c r="E12169" s="2889" t="s">
        <v>1426</v>
      </c>
      <c r="F12169" s="2891"/>
      <c r="G12169" s="2890">
        <v>25.875793057513835</v>
      </c>
    </row>
    <row r="12170" spans="2:7" ht="15" hidden="1" outlineLevel="2">
      <c r="B12170" s="2889" t="s">
        <v>1639</v>
      </c>
      <c r="C12170" s="2889" t="s">
        <v>1509</v>
      </c>
      <c r="D12170" s="2889" t="s">
        <v>1054</v>
      </c>
      <c r="E12170" s="2889" t="s">
        <v>1426</v>
      </c>
      <c r="F12170" s="2891"/>
      <c r="G12170" s="2890">
        <v>2411.8658127272233</v>
      </c>
    </row>
    <row r="12171" spans="2:7" ht="15" hidden="1" outlineLevel="2">
      <c r="B12171" s="2889" t="s">
        <v>1639</v>
      </c>
      <c r="C12171" s="2889" t="s">
        <v>1510</v>
      </c>
      <c r="D12171" s="2889" t="s">
        <v>1054</v>
      </c>
      <c r="E12171" s="2889" t="s">
        <v>1426</v>
      </c>
      <c r="F12171" s="2891"/>
      <c r="G12171" s="2890">
        <v>2623.6022907252782</v>
      </c>
    </row>
    <row r="12172" spans="2:7" ht="15" hidden="1" outlineLevel="2">
      <c r="B12172" s="2889" t="s">
        <v>1639</v>
      </c>
      <c r="C12172" s="2889" t="s">
        <v>1511</v>
      </c>
      <c r="D12172" s="2889" t="s">
        <v>1054</v>
      </c>
      <c r="E12172" s="2889" t="s">
        <v>1426</v>
      </c>
      <c r="F12172" s="2891"/>
      <c r="G12172" s="2890">
        <v>144.54318271372466</v>
      </c>
    </row>
    <row r="12173" spans="2:7" ht="15" hidden="1" outlineLevel="2">
      <c r="B12173" s="2889" t="s">
        <v>1639</v>
      </c>
      <c r="C12173" s="2889" t="s">
        <v>1512</v>
      </c>
      <c r="D12173" s="2889" t="s">
        <v>1054</v>
      </c>
      <c r="E12173" s="2889" t="s">
        <v>1426</v>
      </c>
      <c r="F12173" s="2891"/>
      <c r="G12173" s="2890">
        <v>89.216370446838951</v>
      </c>
    </row>
    <row r="12174" spans="2:7" ht="15" hidden="1" outlineLevel="2">
      <c r="B12174" s="2889" t="s">
        <v>1639</v>
      </c>
      <c r="C12174" s="2889" t="s">
        <v>1513</v>
      </c>
      <c r="D12174" s="2889" t="s">
        <v>1054</v>
      </c>
      <c r="E12174" s="2889" t="s">
        <v>1426</v>
      </c>
      <c r="F12174" s="2891"/>
      <c r="G12174" s="2890">
        <v>266.39555730348502</v>
      </c>
    </row>
    <row r="12175" spans="2:7" ht="15" hidden="1" outlineLevel="2">
      <c r="B12175" s="2889" t="s">
        <v>1639</v>
      </c>
      <c r="C12175" s="2889" t="s">
        <v>1514</v>
      </c>
      <c r="D12175" s="2889" t="s">
        <v>1054</v>
      </c>
      <c r="E12175" s="2889" t="s">
        <v>1426</v>
      </c>
      <c r="F12175" s="2891"/>
      <c r="G12175" s="2890">
        <v>1144.2207892246702</v>
      </c>
    </row>
    <row r="12176" spans="2:7" ht="15" hidden="1" outlineLevel="2">
      <c r="B12176" s="2889" t="s">
        <v>1639</v>
      </c>
      <c r="C12176" s="2889" t="s">
        <v>1515</v>
      </c>
      <c r="D12176" s="2889" t="s">
        <v>1054</v>
      </c>
      <c r="E12176" s="2889" t="s">
        <v>1426</v>
      </c>
      <c r="F12176" s="2891"/>
      <c r="G12176" s="2890">
        <v>983.89595584660606</v>
      </c>
    </row>
    <row r="12177" spans="2:7" ht="15" hidden="1" outlineLevel="2">
      <c r="B12177" s="2889" t="s">
        <v>1639</v>
      </c>
      <c r="C12177" s="2889" t="s">
        <v>1516</v>
      </c>
      <c r="D12177" s="2889" t="s">
        <v>1054</v>
      </c>
      <c r="E12177" s="2889" t="s">
        <v>1426</v>
      </c>
      <c r="F12177" s="2891"/>
      <c r="G12177" s="2890">
        <v>9774.3651755865849</v>
      </c>
    </row>
    <row r="12178" spans="2:7" ht="15" hidden="1" outlineLevel="2">
      <c r="B12178" s="2889" t="s">
        <v>1639</v>
      </c>
      <c r="C12178" s="2889" t="s">
        <v>1517</v>
      </c>
      <c r="D12178" s="2889" t="s">
        <v>1054</v>
      </c>
      <c r="E12178" s="2889" t="s">
        <v>1426</v>
      </c>
      <c r="F12178" s="2891"/>
      <c r="G12178" s="2890">
        <v>81.077906605157622</v>
      </c>
    </row>
    <row r="12179" spans="2:7" ht="15" hidden="1" outlineLevel="2">
      <c r="B12179" s="2889" t="s">
        <v>1639</v>
      </c>
      <c r="C12179" s="2889" t="s">
        <v>1518</v>
      </c>
      <c r="D12179" s="2889" t="s">
        <v>1054</v>
      </c>
      <c r="E12179" s="2889" t="s">
        <v>1426</v>
      </c>
      <c r="F12179" s="2891"/>
      <c r="G12179" s="2890">
        <v>38.296799701512882</v>
      </c>
    </row>
    <row r="12180" spans="2:7" ht="15" hidden="1" outlineLevel="2">
      <c r="B12180" s="2889" t="s">
        <v>1639</v>
      </c>
      <c r="C12180" s="2889" t="s">
        <v>1519</v>
      </c>
      <c r="D12180" s="2889" t="s">
        <v>1054</v>
      </c>
      <c r="E12180" s="2889" t="s">
        <v>1426</v>
      </c>
      <c r="F12180" s="2891"/>
      <c r="G12180" s="2890">
        <v>2232.3809065374803</v>
      </c>
    </row>
    <row r="12181" spans="2:7" ht="15" hidden="1" outlineLevel="2">
      <c r="B12181" s="2889" t="s">
        <v>1639</v>
      </c>
      <c r="C12181" s="2889" t="s">
        <v>1520</v>
      </c>
      <c r="D12181" s="2889" t="s">
        <v>1054</v>
      </c>
      <c r="E12181" s="2889" t="s">
        <v>1426</v>
      </c>
      <c r="F12181" s="2891"/>
      <c r="G12181" s="2890">
        <v>2431.8014225963807</v>
      </c>
    </row>
    <row r="12182" spans="2:7" ht="15" hidden="1" outlineLevel="2">
      <c r="B12182" s="2889" t="s">
        <v>1639</v>
      </c>
      <c r="C12182" s="2889" t="s">
        <v>1521</v>
      </c>
      <c r="D12182" s="2889" t="s">
        <v>1054</v>
      </c>
      <c r="E12182" s="2889" t="s">
        <v>1426</v>
      </c>
      <c r="F12182" s="2891"/>
      <c r="G12182" s="2890">
        <v>8359.9532351176986</v>
      </c>
    </row>
    <row r="12183" spans="2:7" ht="15" hidden="1" outlineLevel="2">
      <c r="B12183" s="2889" t="s">
        <v>1639</v>
      </c>
      <c r="C12183" s="2889" t="s">
        <v>1522</v>
      </c>
      <c r="D12183" s="2889" t="s">
        <v>1054</v>
      </c>
      <c r="E12183" s="2889" t="s">
        <v>1426</v>
      </c>
      <c r="F12183" s="2891"/>
      <c r="G12183" s="2890">
        <v>393.57501861418763</v>
      </c>
    </row>
    <row r="12184" spans="2:7" ht="15" hidden="1" outlineLevel="2">
      <c r="B12184" s="2889" t="s">
        <v>1639</v>
      </c>
      <c r="C12184" s="2889" t="s">
        <v>1523</v>
      </c>
      <c r="D12184" s="2889" t="s">
        <v>1054</v>
      </c>
      <c r="E12184" s="2889" t="s">
        <v>1426</v>
      </c>
      <c r="F12184" s="2891"/>
      <c r="G12184" s="2890">
        <v>3128.6573147968729</v>
      </c>
    </row>
    <row r="12185" spans="2:7" ht="15" hidden="1" outlineLevel="2">
      <c r="B12185" s="2889" t="s">
        <v>1639</v>
      </c>
      <c r="C12185" s="2889" t="s">
        <v>1524</v>
      </c>
      <c r="D12185" s="2889" t="s">
        <v>1054</v>
      </c>
      <c r="E12185" s="2889" t="s">
        <v>1426</v>
      </c>
      <c r="F12185" s="2891"/>
      <c r="G12185" s="2890">
        <v>10638.989753470927</v>
      </c>
    </row>
    <row r="12186" spans="2:7" ht="15" hidden="1" outlineLevel="2">
      <c r="B12186" s="2889" t="s">
        <v>1639</v>
      </c>
      <c r="C12186" s="2889" t="s">
        <v>1525</v>
      </c>
      <c r="D12186" s="2889" t="s">
        <v>1054</v>
      </c>
      <c r="E12186" s="2889" t="s">
        <v>1426</v>
      </c>
      <c r="F12186" s="2891"/>
      <c r="G12186" s="2890">
        <v>6451.902498893226</v>
      </c>
    </row>
    <row r="12187" spans="2:7" ht="15" hidden="1" outlineLevel="2">
      <c r="B12187" s="2889" t="s">
        <v>1639</v>
      </c>
      <c r="C12187" s="2889" t="s">
        <v>1526</v>
      </c>
      <c r="D12187" s="2889" t="s">
        <v>1054</v>
      </c>
      <c r="E12187" s="2889" t="s">
        <v>1426</v>
      </c>
      <c r="F12187" s="2891"/>
      <c r="G12187" s="2890">
        <v>9736.756087752241</v>
      </c>
    </row>
    <row r="12188" spans="2:7" ht="15" hidden="1" outlineLevel="2">
      <c r="B12188" s="2889" t="s">
        <v>1639</v>
      </c>
      <c r="C12188" s="2889" t="s">
        <v>1527</v>
      </c>
      <c r="D12188" s="2889" t="s">
        <v>1054</v>
      </c>
      <c r="E12188" s="2889" t="s">
        <v>1426</v>
      </c>
      <c r="F12188" s="2891"/>
      <c r="G12188" s="2890">
        <v>4424.0127053586548</v>
      </c>
    </row>
    <row r="12189" spans="2:7" ht="15" hidden="1" outlineLevel="2">
      <c r="B12189" s="2889" t="s">
        <v>1639</v>
      </c>
      <c r="C12189" s="2889" t="s">
        <v>1528</v>
      </c>
      <c r="D12189" s="2889" t="s">
        <v>1054</v>
      </c>
      <c r="E12189" s="2889" t="s">
        <v>1426</v>
      </c>
      <c r="F12189" s="2891"/>
      <c r="G12189" s="2890">
        <v>1047.3039033366958</v>
      </c>
    </row>
    <row r="12190" spans="2:7" ht="15" hidden="1" outlineLevel="2">
      <c r="B12190" s="2889" t="s">
        <v>1639</v>
      </c>
      <c r="C12190" s="2889" t="s">
        <v>1529</v>
      </c>
      <c r="D12190" s="2889" t="s">
        <v>1054</v>
      </c>
      <c r="E12190" s="2889" t="s">
        <v>1426</v>
      </c>
      <c r="F12190" s="2891"/>
      <c r="G12190" s="2890">
        <v>13.630717413467906</v>
      </c>
    </row>
    <row r="12191" spans="2:7" ht="15" hidden="1" outlineLevel="2">
      <c r="B12191" s="2889" t="s">
        <v>1639</v>
      </c>
      <c r="C12191" s="2889" t="s">
        <v>1530</v>
      </c>
      <c r="D12191" s="2889" t="s">
        <v>1054</v>
      </c>
      <c r="E12191" s="2889" t="s">
        <v>1426</v>
      </c>
      <c r="F12191" s="2891"/>
      <c r="G12191" s="2890">
        <v>1003.5664325977467</v>
      </c>
    </row>
    <row r="12192" spans="2:7" ht="15" hidden="1" outlineLevel="2">
      <c r="B12192" s="2889" t="s">
        <v>1639</v>
      </c>
      <c r="C12192" s="2889" t="s">
        <v>1531</v>
      </c>
      <c r="D12192" s="2889" t="s">
        <v>1106</v>
      </c>
      <c r="E12192" s="2889" t="s">
        <v>217</v>
      </c>
      <c r="F12192" s="2890">
        <v>7.7318718026721852E-4</v>
      </c>
      <c r="G12192" s="2890">
        <v>0.34661795878326984</v>
      </c>
    </row>
    <row r="12193" spans="2:7" ht="15" hidden="1" outlineLevel="2">
      <c r="B12193" s="2889" t="s">
        <v>1639</v>
      </c>
      <c r="C12193" s="2889" t="s">
        <v>1532</v>
      </c>
      <c r="D12193" s="2889" t="s">
        <v>1106</v>
      </c>
      <c r="E12193" s="2889" t="s">
        <v>217</v>
      </c>
      <c r="F12193" s="2890">
        <v>6.0895253519162761E-5</v>
      </c>
      <c r="G12193" s="2890">
        <v>2.7299226367133687E-2</v>
      </c>
    </row>
    <row r="12194" spans="2:7" ht="15" hidden="1" outlineLevel="2">
      <c r="B12194" s="2889" t="s">
        <v>1639</v>
      </c>
      <c r="C12194" s="2889" t="s">
        <v>1533</v>
      </c>
      <c r="D12194" s="2889" t="s">
        <v>1106</v>
      </c>
      <c r="E12194" s="2889" t="s">
        <v>217</v>
      </c>
      <c r="F12194" s="2890">
        <v>3.9477167613563027E-2</v>
      </c>
      <c r="G12194" s="2890">
        <v>42.160711308315491</v>
      </c>
    </row>
    <row r="12195" spans="2:7" ht="15" hidden="1" outlineLevel="2">
      <c r="B12195" s="2889" t="s">
        <v>1639</v>
      </c>
      <c r="C12195" s="2889" t="s">
        <v>1534</v>
      </c>
      <c r="D12195" s="2889" t="s">
        <v>1106</v>
      </c>
      <c r="E12195" s="2889" t="s">
        <v>217</v>
      </c>
      <c r="F12195" s="2890">
        <v>3.5889180268609953E-2</v>
      </c>
      <c r="G12195" s="2890">
        <v>124.84930689731237</v>
      </c>
    </row>
    <row r="12196" spans="2:7" ht="15" hidden="1" outlineLevel="2">
      <c r="B12196" s="2889" t="s">
        <v>1639</v>
      </c>
      <c r="C12196" s="2889" t="s">
        <v>1535</v>
      </c>
      <c r="D12196" s="2889" t="s">
        <v>1106</v>
      </c>
      <c r="E12196" s="2889" t="s">
        <v>217</v>
      </c>
      <c r="F12196" s="2890">
        <v>1.3418562802643193E-2</v>
      </c>
      <c r="G12196" s="2890">
        <v>31.530962023474466</v>
      </c>
    </row>
    <row r="12197" spans="2:7" ht="15" hidden="1" outlineLevel="2">
      <c r="B12197" s="2889" t="s">
        <v>1639</v>
      </c>
      <c r="C12197" s="2889" t="s">
        <v>1536</v>
      </c>
      <c r="D12197" s="2889" t="s">
        <v>1106</v>
      </c>
      <c r="E12197" s="2889" t="s">
        <v>217</v>
      </c>
      <c r="F12197" s="2890">
        <v>4.5014687786055219E-2</v>
      </c>
      <c r="G12197" s="2890">
        <v>58.772315563183156</v>
      </c>
    </row>
    <row r="12198" spans="2:7" ht="15" hidden="1" outlineLevel="2">
      <c r="B12198" s="2889" t="s">
        <v>1639</v>
      </c>
      <c r="C12198" s="2889" t="s">
        <v>1537</v>
      </c>
      <c r="D12198" s="2889" t="s">
        <v>1106</v>
      </c>
      <c r="E12198" s="2889" t="s">
        <v>217</v>
      </c>
      <c r="F12198" s="2890">
        <v>2.5217348310018865E-3</v>
      </c>
      <c r="G12198" s="2890">
        <v>2.8876427350069234</v>
      </c>
    </row>
    <row r="12199" spans="2:7" ht="15" hidden="1" outlineLevel="2">
      <c r="B12199" s="2889" t="s">
        <v>1639</v>
      </c>
      <c r="C12199" s="2889" t="s">
        <v>1538</v>
      </c>
      <c r="D12199" s="2889" t="s">
        <v>1106</v>
      </c>
      <c r="E12199" s="2889" t="s">
        <v>217</v>
      </c>
      <c r="F12199" s="2890">
        <v>1.0565435987852298E-3</v>
      </c>
      <c r="G12199" s="2890">
        <v>1.4302329961680744</v>
      </c>
    </row>
    <row r="12200" spans="2:7" ht="15" hidden="1" outlineLevel="2">
      <c r="B12200" s="2889" t="s">
        <v>1639</v>
      </c>
      <c r="C12200" s="2889" t="s">
        <v>1539</v>
      </c>
      <c r="D12200" s="2889" t="s">
        <v>1106</v>
      </c>
      <c r="E12200" s="2889" t="s">
        <v>217</v>
      </c>
      <c r="F12200" s="2890">
        <v>9.9003711282573403E-4</v>
      </c>
      <c r="G12200" s="2890">
        <v>12.730700426417775</v>
      </c>
    </row>
    <row r="12201" spans="2:7" ht="15" hidden="1" outlineLevel="2">
      <c r="B12201" s="2889" t="s">
        <v>1639</v>
      </c>
      <c r="C12201" s="2889" t="s">
        <v>1540</v>
      </c>
      <c r="D12201" s="2889" t="s">
        <v>1106</v>
      </c>
      <c r="E12201" s="2889" t="s">
        <v>1420</v>
      </c>
      <c r="F12201" s="2890">
        <v>4.4013011623678155E-2</v>
      </c>
      <c r="G12201" s="2890">
        <v>106.80496310097892</v>
      </c>
    </row>
    <row r="12202" spans="2:7" ht="15" hidden="1" outlineLevel="2">
      <c r="B12202" s="2889" t="s">
        <v>1639</v>
      </c>
      <c r="C12202" s="2889" t="s">
        <v>1541</v>
      </c>
      <c r="D12202" s="2889" t="s">
        <v>1106</v>
      </c>
      <c r="E12202" s="2889" t="s">
        <v>1420</v>
      </c>
      <c r="F12202" s="2890">
        <v>1.2826429374488209</v>
      </c>
      <c r="G12202" s="2890">
        <v>9443.204891356505</v>
      </c>
    </row>
    <row r="12203" spans="2:7" ht="15" hidden="1" outlineLevel="2">
      <c r="B12203" s="2889" t="s">
        <v>1639</v>
      </c>
      <c r="C12203" s="2889" t="s">
        <v>1542</v>
      </c>
      <c r="D12203" s="2889" t="s">
        <v>1106</v>
      </c>
      <c r="E12203" s="2889" t="s">
        <v>1420</v>
      </c>
      <c r="F12203" s="2890">
        <v>6.2387013173175561E-3</v>
      </c>
      <c r="G12203" s="2890">
        <v>71.390835777169869</v>
      </c>
    </row>
    <row r="12204" spans="2:7" ht="15" hidden="1" outlineLevel="2">
      <c r="B12204" s="2889" t="s">
        <v>1639</v>
      </c>
      <c r="C12204" s="2889" t="s">
        <v>1543</v>
      </c>
      <c r="D12204" s="2889" t="s">
        <v>1106</v>
      </c>
      <c r="E12204" s="2889" t="s">
        <v>1420</v>
      </c>
      <c r="F12204" s="2890">
        <v>2.2607525413261232E-3</v>
      </c>
      <c r="G12204" s="2890">
        <v>22.127855621367129</v>
      </c>
    </row>
    <row r="12205" spans="2:7" ht="15" hidden="1" outlineLevel="2">
      <c r="B12205" s="2889" t="s">
        <v>1639</v>
      </c>
      <c r="C12205" s="2889" t="s">
        <v>1544</v>
      </c>
      <c r="D12205" s="2889" t="s">
        <v>1106</v>
      </c>
      <c r="E12205" s="2889" t="s">
        <v>1420</v>
      </c>
      <c r="F12205" s="2890">
        <v>2.1851440458377238E-3</v>
      </c>
      <c r="G12205" s="2890">
        <v>5.7093725881125676</v>
      </c>
    </row>
    <row r="12206" spans="2:7" ht="15" hidden="1" outlineLevel="2">
      <c r="B12206" s="2889" t="s">
        <v>1639</v>
      </c>
      <c r="C12206" s="2889" t="s">
        <v>1545</v>
      </c>
      <c r="D12206" s="2889" t="s">
        <v>1106</v>
      </c>
      <c r="E12206" s="2889" t="s">
        <v>1420</v>
      </c>
      <c r="F12206" s="2890">
        <v>2.1852365845793603E-3</v>
      </c>
      <c r="G12206" s="2890">
        <v>43.426483639736063</v>
      </c>
    </row>
    <row r="12207" spans="2:7" ht="15" hidden="1" outlineLevel="2">
      <c r="B12207" s="2889" t="s">
        <v>1639</v>
      </c>
      <c r="C12207" s="2889" t="s">
        <v>1546</v>
      </c>
      <c r="D12207" s="2889" t="s">
        <v>1106</v>
      </c>
      <c r="E12207" s="2889" t="s">
        <v>1423</v>
      </c>
      <c r="F12207" s="2890">
        <v>6.6242104081908568</v>
      </c>
      <c r="G12207" s="2890">
        <v>557.46516693808098</v>
      </c>
    </row>
    <row r="12208" spans="2:7" ht="15" hidden="1" outlineLevel="2">
      <c r="B12208" s="2889" t="s">
        <v>1639</v>
      </c>
      <c r="C12208" s="2889" t="s">
        <v>1547</v>
      </c>
      <c r="D12208" s="2889" t="s">
        <v>1106</v>
      </c>
      <c r="E12208" s="2889" t="s">
        <v>1423</v>
      </c>
      <c r="F12208" s="2890">
        <v>7.2353318277866771E-3</v>
      </c>
      <c r="G12208" s="2890">
        <v>0.6335799022069778</v>
      </c>
    </row>
    <row r="12209" spans="2:7" ht="15" hidden="1" outlineLevel="2">
      <c r="B12209" s="2889" t="s">
        <v>1639</v>
      </c>
      <c r="C12209" s="2889" t="s">
        <v>1548</v>
      </c>
      <c r="D12209" s="2889" t="s">
        <v>1106</v>
      </c>
      <c r="E12209" s="2889" t="s">
        <v>1423</v>
      </c>
      <c r="F12209" s="2890">
        <v>3.3759997027468227E-3</v>
      </c>
      <c r="G12209" s="2890">
        <v>0.34600521616470009</v>
      </c>
    </row>
    <row r="12210" spans="2:7" ht="15" hidden="1" outlineLevel="2">
      <c r="B12210" s="2889" t="s">
        <v>1639</v>
      </c>
      <c r="C12210" s="2889" t="s">
        <v>1549</v>
      </c>
      <c r="D12210" s="2889" t="s">
        <v>1106</v>
      </c>
      <c r="E12210" s="2889" t="s">
        <v>1423</v>
      </c>
      <c r="F12210" s="2890">
        <v>1.37106111878736E-2</v>
      </c>
      <c r="G12210" s="2890">
        <v>1.350138312110257</v>
      </c>
    </row>
    <row r="12211" spans="2:7" ht="15" hidden="1" outlineLevel="2">
      <c r="B12211" s="2889" t="s">
        <v>1639</v>
      </c>
      <c r="C12211" s="2889" t="s">
        <v>1550</v>
      </c>
      <c r="D12211" s="2889" t="s">
        <v>1106</v>
      </c>
      <c r="E12211" s="2889" t="s">
        <v>1423</v>
      </c>
      <c r="F12211" s="2890">
        <v>1.1496760275128923E-2</v>
      </c>
      <c r="G12211" s="2890">
        <v>2.5853714809949087</v>
      </c>
    </row>
    <row r="12212" spans="2:7" ht="15" hidden="1" outlineLevel="2">
      <c r="B12212" s="2889" t="s">
        <v>1639</v>
      </c>
      <c r="C12212" s="2889" t="s">
        <v>1551</v>
      </c>
      <c r="D12212" s="2889" t="s">
        <v>1106</v>
      </c>
      <c r="E12212" s="2889" t="s">
        <v>1426</v>
      </c>
      <c r="F12212" s="2891"/>
      <c r="G12212" s="2890">
        <v>173.76750183652769</v>
      </c>
    </row>
    <row r="12213" spans="2:7" ht="15" hidden="1" outlineLevel="2">
      <c r="B12213" s="2889" t="s">
        <v>1639</v>
      </c>
      <c r="C12213" s="2889" t="s">
        <v>1552</v>
      </c>
      <c r="D12213" s="2889" t="s">
        <v>1106</v>
      </c>
      <c r="E12213" s="2889" t="s">
        <v>1426</v>
      </c>
      <c r="F12213" s="2891"/>
      <c r="G12213" s="2890">
        <v>2521.4658784254534</v>
      </c>
    </row>
    <row r="12214" spans="2:7" ht="15" hidden="1" outlineLevel="2">
      <c r="B12214" s="2889" t="s">
        <v>1639</v>
      </c>
      <c r="C12214" s="2889" t="s">
        <v>1553</v>
      </c>
      <c r="D12214" s="2889" t="s">
        <v>1106</v>
      </c>
      <c r="E12214" s="2889" t="s">
        <v>1426</v>
      </c>
      <c r="F12214" s="2891"/>
      <c r="G12214" s="2890">
        <v>1100.5367875009249</v>
      </c>
    </row>
    <row r="12215" spans="2:7" ht="15" hidden="1" outlineLevel="2">
      <c r="B12215" s="2889" t="s">
        <v>1639</v>
      </c>
      <c r="C12215" s="2889" t="s">
        <v>1554</v>
      </c>
      <c r="D12215" s="2889" t="s">
        <v>1106</v>
      </c>
      <c r="E12215" s="2889" t="s">
        <v>1426</v>
      </c>
      <c r="F12215" s="2891"/>
      <c r="G12215" s="2890">
        <v>1117.0329701713424</v>
      </c>
    </row>
    <row r="12216" spans="2:7" ht="15" hidden="1" outlineLevel="2">
      <c r="B12216" s="2889" t="s">
        <v>1639</v>
      </c>
      <c r="C12216" s="2889" t="s">
        <v>1555</v>
      </c>
      <c r="D12216" s="2889" t="s">
        <v>1106</v>
      </c>
      <c r="E12216" s="2889" t="s">
        <v>1426</v>
      </c>
      <c r="F12216" s="2891"/>
      <c r="G12216" s="2890">
        <v>42.942735560875029</v>
      </c>
    </row>
    <row r="12217" spans="2:7" ht="15" hidden="1" outlineLevel="2">
      <c r="B12217" s="2889" t="s">
        <v>1639</v>
      </c>
      <c r="C12217" s="2889" t="s">
        <v>1556</v>
      </c>
      <c r="D12217" s="2889" t="s">
        <v>1106</v>
      </c>
      <c r="E12217" s="2889" t="s">
        <v>1426</v>
      </c>
      <c r="F12217" s="2891"/>
      <c r="G12217" s="2890">
        <v>3927.2117245516311</v>
      </c>
    </row>
    <row r="12218" spans="2:7" ht="15" hidden="1" outlineLevel="2">
      <c r="B12218" s="2889" t="s">
        <v>1639</v>
      </c>
      <c r="C12218" s="2889" t="s">
        <v>1557</v>
      </c>
      <c r="D12218" s="2889" t="s">
        <v>1106</v>
      </c>
      <c r="E12218" s="2889" t="s">
        <v>1426</v>
      </c>
      <c r="F12218" s="2891"/>
      <c r="G12218" s="2890">
        <v>1587.4564197371226</v>
      </c>
    </row>
    <row r="12219" spans="2:7" ht="15" hidden="1" outlineLevel="2">
      <c r="B12219" s="2889" t="s">
        <v>1639</v>
      </c>
      <c r="C12219" s="2889" t="s">
        <v>1558</v>
      </c>
      <c r="D12219" s="2889" t="s">
        <v>1559</v>
      </c>
      <c r="E12219" s="2889" t="s">
        <v>217</v>
      </c>
      <c r="F12219" s="2890">
        <v>1.4336148526013288E-2</v>
      </c>
      <c r="G12219" s="2890">
        <v>7.8512138076507441</v>
      </c>
    </row>
    <row r="12220" spans="2:7" ht="15" hidden="1" outlineLevel="2">
      <c r="B12220" s="2889" t="s">
        <v>1639</v>
      </c>
      <c r="C12220" s="2889" t="s">
        <v>1560</v>
      </c>
      <c r="D12220" s="2889" t="s">
        <v>1559</v>
      </c>
      <c r="E12220" s="2889" t="s">
        <v>217</v>
      </c>
      <c r="F12220" s="2890">
        <v>0.18297514716162203</v>
      </c>
      <c r="G12220" s="2890">
        <v>98.74655625194616</v>
      </c>
    </row>
    <row r="12221" spans="2:7" ht="15" hidden="1" outlineLevel="2">
      <c r="B12221" s="2889" t="s">
        <v>1639</v>
      </c>
      <c r="C12221" s="2889" t="s">
        <v>1561</v>
      </c>
      <c r="D12221" s="2889" t="s">
        <v>1559</v>
      </c>
      <c r="E12221" s="2889" t="s">
        <v>217</v>
      </c>
      <c r="F12221" s="2890">
        <v>0.20569284316595038</v>
      </c>
      <c r="G12221" s="2890">
        <v>107.25392952876894</v>
      </c>
    </row>
    <row r="12222" spans="2:7" ht="15" hidden="1" outlineLevel="2">
      <c r="B12222" s="2889" t="s">
        <v>1639</v>
      </c>
      <c r="C12222" s="2889" t="s">
        <v>1562</v>
      </c>
      <c r="D12222" s="2889" t="s">
        <v>1559</v>
      </c>
      <c r="E12222" s="2889" t="s">
        <v>217</v>
      </c>
      <c r="F12222" s="2890">
        <v>2.0041899857860717</v>
      </c>
      <c r="G12222" s="2890">
        <v>1098.9435032258195</v>
      </c>
    </row>
    <row r="12223" spans="2:7" ht="15" hidden="1" outlineLevel="2">
      <c r="B12223" s="2889" t="s">
        <v>1639</v>
      </c>
      <c r="C12223" s="2889" t="s">
        <v>1563</v>
      </c>
      <c r="D12223" s="2889" t="s">
        <v>1559</v>
      </c>
      <c r="E12223" s="2889" t="s">
        <v>217</v>
      </c>
      <c r="F12223" s="2890">
        <v>0.25362937591336115</v>
      </c>
      <c r="G12223" s="2890">
        <v>149.46369545743215</v>
      </c>
    </row>
    <row r="12224" spans="2:7" ht="15" hidden="1" outlineLevel="2">
      <c r="B12224" s="2889" t="s">
        <v>1639</v>
      </c>
      <c r="C12224" s="2889" t="s">
        <v>1564</v>
      </c>
      <c r="D12224" s="2889" t="s">
        <v>1559</v>
      </c>
      <c r="E12224" s="2889" t="s">
        <v>217</v>
      </c>
      <c r="F12224" s="2890">
        <v>1.8925941612634065</v>
      </c>
      <c r="G12224" s="2890">
        <v>958.25978614907149</v>
      </c>
    </row>
    <row r="12225" spans="2:7" ht="15" hidden="1" outlineLevel="2">
      <c r="B12225" s="2889" t="s">
        <v>1639</v>
      </c>
      <c r="C12225" s="2889" t="s">
        <v>1565</v>
      </c>
      <c r="D12225" s="2889" t="s">
        <v>1559</v>
      </c>
      <c r="E12225" s="2889" t="s">
        <v>217</v>
      </c>
      <c r="F12225" s="2890">
        <v>0.17877393350564746</v>
      </c>
      <c r="G12225" s="2890">
        <v>96.194494516443513</v>
      </c>
    </row>
    <row r="12226" spans="2:7" ht="15" hidden="1" outlineLevel="2">
      <c r="B12226" s="2889" t="s">
        <v>1639</v>
      </c>
      <c r="C12226" s="2889" t="s">
        <v>1566</v>
      </c>
      <c r="D12226" s="2889" t="s">
        <v>1559</v>
      </c>
      <c r="E12226" s="2889" t="s">
        <v>217</v>
      </c>
      <c r="F12226" s="2890">
        <v>1.6704233816576537</v>
      </c>
      <c r="G12226" s="2890">
        <v>894.78594013127713</v>
      </c>
    </row>
    <row r="12227" spans="2:7" ht="15" hidden="1" outlineLevel="2">
      <c r="B12227" s="2889" t="s">
        <v>1639</v>
      </c>
      <c r="C12227" s="2889" t="s">
        <v>1567</v>
      </c>
      <c r="D12227" s="2889" t="s">
        <v>1559</v>
      </c>
      <c r="E12227" s="2889" t="s">
        <v>217</v>
      </c>
      <c r="F12227" s="2890">
        <v>0.31103717630931699</v>
      </c>
      <c r="G12227" s="2890">
        <v>45.783072881988964</v>
      </c>
    </row>
    <row r="12228" spans="2:7" ht="15" hidden="1" outlineLevel="2">
      <c r="B12228" s="2889" t="s">
        <v>1639</v>
      </c>
      <c r="C12228" s="2889" t="s">
        <v>1568</v>
      </c>
      <c r="D12228" s="2889" t="s">
        <v>1559</v>
      </c>
      <c r="E12228" s="2889" t="s">
        <v>217</v>
      </c>
      <c r="F12228" s="2890">
        <v>1.9424922564786755</v>
      </c>
      <c r="G12228" s="2890">
        <v>285.92764987247313</v>
      </c>
    </row>
    <row r="12229" spans="2:7" ht="15" hidden="1" outlineLevel="2">
      <c r="B12229" s="2889" t="s">
        <v>1639</v>
      </c>
      <c r="C12229" s="2889" t="s">
        <v>1569</v>
      </c>
      <c r="D12229" s="2889" t="s">
        <v>1559</v>
      </c>
      <c r="E12229" s="2889" t="s">
        <v>217</v>
      </c>
      <c r="F12229" s="2890">
        <v>8.1834464093759839E-4</v>
      </c>
      <c r="G12229" s="2890">
        <v>0.40899306828313209</v>
      </c>
    </row>
    <row r="12230" spans="2:7" ht="15" hidden="1" outlineLevel="2">
      <c r="B12230" s="2889" t="s">
        <v>1639</v>
      </c>
      <c r="C12230" s="2889" t="s">
        <v>1570</v>
      </c>
      <c r="D12230" s="2889" t="s">
        <v>1559</v>
      </c>
      <c r="E12230" s="2889" t="s">
        <v>217</v>
      </c>
      <c r="F12230" s="2890">
        <v>2.1578966875864363</v>
      </c>
      <c r="G12230" s="2890">
        <v>1339.9273685202074</v>
      </c>
    </row>
    <row r="12231" spans="2:7" ht="15" hidden="1" outlineLevel="2">
      <c r="B12231" s="2889" t="s">
        <v>1639</v>
      </c>
      <c r="C12231" s="2889" t="s">
        <v>1571</v>
      </c>
      <c r="D12231" s="2889" t="s">
        <v>1559</v>
      </c>
      <c r="E12231" s="2889" t="s">
        <v>217</v>
      </c>
      <c r="F12231" s="2890">
        <v>2.3416497467892468</v>
      </c>
      <c r="G12231" s="2890">
        <v>2793.3113830240013</v>
      </c>
    </row>
    <row r="12232" spans="2:7" ht="15" hidden="1" outlineLevel="2">
      <c r="B12232" s="2889" t="s">
        <v>1639</v>
      </c>
      <c r="C12232" s="2889" t="s">
        <v>1572</v>
      </c>
      <c r="D12232" s="2889" t="s">
        <v>1559</v>
      </c>
      <c r="E12232" s="2889" t="s">
        <v>217</v>
      </c>
      <c r="F12232" s="2890">
        <v>0.18241840558724184</v>
      </c>
      <c r="G12232" s="2890">
        <v>112.35472646643153</v>
      </c>
    </row>
    <row r="12233" spans="2:7" ht="15" hidden="1" outlineLevel="2">
      <c r="B12233" s="2889" t="s">
        <v>1639</v>
      </c>
      <c r="C12233" s="2889" t="s">
        <v>1573</v>
      </c>
      <c r="D12233" s="2889" t="s">
        <v>1559</v>
      </c>
      <c r="E12233" s="2889" t="s">
        <v>217</v>
      </c>
      <c r="F12233" s="2890">
        <v>1.8980596209081346</v>
      </c>
      <c r="G12233" s="2890">
        <v>1421.8207519742837</v>
      </c>
    </row>
    <row r="12234" spans="2:7" ht="15" hidden="1" outlineLevel="2">
      <c r="B12234" s="2889" t="s">
        <v>1639</v>
      </c>
      <c r="C12234" s="2889" t="s">
        <v>1574</v>
      </c>
      <c r="D12234" s="2889" t="s">
        <v>1559</v>
      </c>
      <c r="E12234" s="2889" t="s">
        <v>217</v>
      </c>
      <c r="F12234" s="2890">
        <v>9.8873205812754043E-3</v>
      </c>
      <c r="G12234" s="2890">
        <v>7.4593548632208346</v>
      </c>
    </row>
    <row r="12235" spans="2:7" ht="15" hidden="1" outlineLevel="2">
      <c r="B12235" s="2889" t="s">
        <v>1639</v>
      </c>
      <c r="C12235" s="2889" t="s">
        <v>1575</v>
      </c>
      <c r="D12235" s="2889" t="s">
        <v>1559</v>
      </c>
      <c r="E12235" s="2889" t="s">
        <v>217</v>
      </c>
      <c r="F12235" s="2890">
        <v>5.2036749005345335E-2</v>
      </c>
      <c r="G12235" s="2890">
        <v>64.70670103121563</v>
      </c>
    </row>
    <row r="12236" spans="2:7" ht="15" hidden="1" outlineLevel="2">
      <c r="B12236" s="2889" t="s">
        <v>1639</v>
      </c>
      <c r="C12236" s="2889" t="s">
        <v>1576</v>
      </c>
      <c r="D12236" s="2889" t="s">
        <v>1559</v>
      </c>
      <c r="E12236" s="2889" t="s">
        <v>217</v>
      </c>
      <c r="F12236" s="2890">
        <v>1.8818128543833797E-2</v>
      </c>
      <c r="G12236" s="2890">
        <v>14.231125342373938</v>
      </c>
    </row>
    <row r="12237" spans="2:7" ht="15" hidden="1" outlineLevel="2">
      <c r="B12237" s="2889" t="s">
        <v>1639</v>
      </c>
      <c r="C12237" s="2889" t="s">
        <v>1577</v>
      </c>
      <c r="D12237" s="2889" t="s">
        <v>1559</v>
      </c>
      <c r="E12237" s="2889" t="s">
        <v>217</v>
      </c>
      <c r="F12237" s="2890">
        <v>1.7083959673845046</v>
      </c>
      <c r="G12237" s="2890">
        <v>2669.4845263913116</v>
      </c>
    </row>
    <row r="12238" spans="2:7" ht="15" hidden="1" outlineLevel="2">
      <c r="B12238" s="2889" t="s">
        <v>1639</v>
      </c>
      <c r="C12238" s="2889" t="s">
        <v>1578</v>
      </c>
      <c r="D12238" s="2889" t="s">
        <v>1559</v>
      </c>
      <c r="E12238" s="2889" t="s">
        <v>217</v>
      </c>
      <c r="F12238" s="2890">
        <v>0.26918847484459324</v>
      </c>
      <c r="G12238" s="2890">
        <v>147.91797758700082</v>
      </c>
    </row>
    <row r="12239" spans="2:7" ht="15" hidden="1" outlineLevel="2">
      <c r="B12239" s="2889" t="s">
        <v>1639</v>
      </c>
      <c r="C12239" s="2889" t="s">
        <v>1579</v>
      </c>
      <c r="D12239" s="2889" t="s">
        <v>1559</v>
      </c>
      <c r="E12239" s="2889" t="s">
        <v>217</v>
      </c>
      <c r="F12239" s="2890">
        <v>1.6814036878707881</v>
      </c>
      <c r="G12239" s="2890">
        <v>923.78734075693308</v>
      </c>
    </row>
    <row r="12240" spans="2:7" ht="15" hidden="1" outlineLevel="2">
      <c r="B12240" s="2889" t="s">
        <v>1639</v>
      </c>
      <c r="C12240" s="2889" t="s">
        <v>1580</v>
      </c>
      <c r="D12240" s="2889" t="s">
        <v>1559</v>
      </c>
      <c r="E12240" s="2889" t="s">
        <v>217</v>
      </c>
      <c r="F12240" s="2890">
        <v>0.21225980786290205</v>
      </c>
      <c r="G12240" s="2890">
        <v>268.85142034310883</v>
      </c>
    </row>
    <row r="12241" spans="2:7" ht="15" hidden="1" outlineLevel="2">
      <c r="B12241" s="2889" t="s">
        <v>1639</v>
      </c>
      <c r="C12241" s="2889" t="s">
        <v>1581</v>
      </c>
      <c r="D12241" s="2889" t="s">
        <v>1559</v>
      </c>
      <c r="E12241" s="2889" t="s">
        <v>217</v>
      </c>
      <c r="F12241" s="2890">
        <v>0.2181918792529248</v>
      </c>
      <c r="G12241" s="2890">
        <v>308.41335729708044</v>
      </c>
    </row>
    <row r="12242" spans="2:7" ht="15" hidden="1" outlineLevel="2">
      <c r="B12242" s="2889" t="s">
        <v>1639</v>
      </c>
      <c r="C12242" s="2889" t="s">
        <v>1582</v>
      </c>
      <c r="D12242" s="2889" t="s">
        <v>1559</v>
      </c>
      <c r="E12242" s="2889" t="s">
        <v>217</v>
      </c>
      <c r="F12242" s="2890">
        <v>0.30753758794839586</v>
      </c>
      <c r="G12242" s="2890">
        <v>351.03778338959728</v>
      </c>
    </row>
    <row r="12243" spans="2:7" ht="15" hidden="1" outlineLevel="2">
      <c r="B12243" s="2889" t="s">
        <v>1639</v>
      </c>
      <c r="C12243" s="2889" t="s">
        <v>1583</v>
      </c>
      <c r="D12243" s="2889" t="s">
        <v>1559</v>
      </c>
      <c r="E12243" s="2889" t="s">
        <v>217</v>
      </c>
      <c r="F12243" s="2890">
        <v>0.23700582270768891</v>
      </c>
      <c r="G12243" s="2890">
        <v>163.46629571107277</v>
      </c>
    </row>
    <row r="12244" spans="2:7" ht="15" hidden="1" outlineLevel="2">
      <c r="B12244" s="2889" t="s">
        <v>1639</v>
      </c>
      <c r="C12244" s="2889" t="s">
        <v>1584</v>
      </c>
      <c r="D12244" s="2889" t="s">
        <v>1559</v>
      </c>
      <c r="E12244" s="2889" t="s">
        <v>217</v>
      </c>
      <c r="F12244" s="2890">
        <v>2.8383300247772962</v>
      </c>
      <c r="G12244" s="2890">
        <v>3603.7668443362363</v>
      </c>
    </row>
    <row r="12245" spans="2:7" ht="15" hidden="1" outlineLevel="2">
      <c r="B12245" s="2889" t="s">
        <v>1639</v>
      </c>
      <c r="C12245" s="2889" t="s">
        <v>1585</v>
      </c>
      <c r="D12245" s="2889" t="s">
        <v>1559</v>
      </c>
      <c r="E12245" s="2889" t="s">
        <v>217</v>
      </c>
      <c r="F12245" s="2890">
        <v>2.9647062438839535</v>
      </c>
      <c r="G12245" s="2890">
        <v>4191.4732417448495</v>
      </c>
    </row>
    <row r="12246" spans="2:7" ht="15" hidden="1" outlineLevel="2">
      <c r="B12246" s="2889" t="s">
        <v>1639</v>
      </c>
      <c r="C12246" s="2889" t="s">
        <v>1586</v>
      </c>
      <c r="D12246" s="2889" t="s">
        <v>1559</v>
      </c>
      <c r="E12246" s="2889" t="s">
        <v>217</v>
      </c>
      <c r="F12246" s="2890">
        <v>0.33377839603271947</v>
      </c>
      <c r="G12246" s="2890">
        <v>701.73982459826391</v>
      </c>
    </row>
    <row r="12247" spans="2:7" ht="15" hidden="1" outlineLevel="2">
      <c r="B12247" s="2889" t="s">
        <v>1639</v>
      </c>
      <c r="C12247" s="2889" t="s">
        <v>1587</v>
      </c>
      <c r="D12247" s="2889" t="s">
        <v>1559</v>
      </c>
      <c r="E12247" s="2889" t="s">
        <v>217</v>
      </c>
      <c r="F12247" s="2890">
        <v>9.2846954933479999</v>
      </c>
      <c r="G12247" s="2890">
        <v>13521.951504251236</v>
      </c>
    </row>
    <row r="12248" spans="2:7" ht="15" hidden="1" outlineLevel="2">
      <c r="B12248" s="2889" t="s">
        <v>1639</v>
      </c>
      <c r="C12248" s="2889" t="s">
        <v>1588</v>
      </c>
      <c r="D12248" s="2889" t="s">
        <v>1559</v>
      </c>
      <c r="E12248" s="2889" t="s">
        <v>217</v>
      </c>
      <c r="F12248" s="2890">
        <v>0.16323620283234916</v>
      </c>
      <c r="G12248" s="2890">
        <v>127.64991021435769</v>
      </c>
    </row>
    <row r="12249" spans="2:7" ht="15" hidden="1" outlineLevel="2">
      <c r="B12249" s="2889" t="s">
        <v>1639</v>
      </c>
      <c r="C12249" s="2889" t="s">
        <v>1589</v>
      </c>
      <c r="D12249" s="2889" t="s">
        <v>1559</v>
      </c>
      <c r="E12249" s="2889" t="s">
        <v>217</v>
      </c>
      <c r="F12249" s="2890">
        <v>0.52874358683701306</v>
      </c>
      <c r="G12249" s="2890">
        <v>414.30732598064066</v>
      </c>
    </row>
    <row r="12250" spans="2:7" ht="15" hidden="1" outlineLevel="2">
      <c r="B12250" s="2889" t="s">
        <v>1639</v>
      </c>
      <c r="C12250" s="2889" t="s">
        <v>1590</v>
      </c>
      <c r="D12250" s="2889" t="s">
        <v>1559</v>
      </c>
      <c r="E12250" s="2889" t="s">
        <v>1420</v>
      </c>
      <c r="F12250" s="2890">
        <v>2.6096272259928648E-2</v>
      </c>
      <c r="G12250" s="2890">
        <v>232.78971354233801</v>
      </c>
    </row>
    <row r="12251" spans="2:7" ht="15" hidden="1" outlineLevel="2">
      <c r="B12251" s="2889" t="s">
        <v>1639</v>
      </c>
      <c r="C12251" s="2889" t="s">
        <v>1591</v>
      </c>
      <c r="D12251" s="2889" t="s">
        <v>1559</v>
      </c>
      <c r="E12251" s="2889" t="s">
        <v>1426</v>
      </c>
      <c r="F12251" s="2891"/>
      <c r="G12251" s="2890">
        <v>0.36186459385038555</v>
      </c>
    </row>
    <row r="12252" spans="2:7" ht="15" hidden="1" outlineLevel="2">
      <c r="B12252" s="2889" t="s">
        <v>1639</v>
      </c>
      <c r="C12252" s="2889" t="s">
        <v>1592</v>
      </c>
      <c r="D12252" s="2889" t="s">
        <v>1559</v>
      </c>
      <c r="E12252" s="2889" t="s">
        <v>1426</v>
      </c>
      <c r="F12252" s="2891"/>
      <c r="G12252" s="2890">
        <v>96.705362551070351</v>
      </c>
    </row>
    <row r="12253" spans="2:7" ht="15" hidden="1" outlineLevel="2">
      <c r="B12253" s="2889" t="s">
        <v>1639</v>
      </c>
      <c r="C12253" s="2889" t="s">
        <v>1593</v>
      </c>
      <c r="D12253" s="2889" t="s">
        <v>1559</v>
      </c>
      <c r="E12253" s="2889" t="s">
        <v>1426</v>
      </c>
      <c r="F12253" s="2891"/>
      <c r="G12253" s="2890">
        <v>2530.4496440769017</v>
      </c>
    </row>
    <row r="12254" spans="2:7" ht="15" hidden="1" outlineLevel="2">
      <c r="B12254" s="2889" t="s">
        <v>1639</v>
      </c>
      <c r="C12254" s="2889" t="s">
        <v>1594</v>
      </c>
      <c r="D12254" s="2889" t="s">
        <v>1559</v>
      </c>
      <c r="E12254" s="2889" t="s">
        <v>1426</v>
      </c>
      <c r="F12254" s="2891"/>
      <c r="G12254" s="2890">
        <v>522.19909663467911</v>
      </c>
    </row>
    <row r="12255" spans="2:7" ht="15" hidden="1" outlineLevel="2">
      <c r="B12255" s="2889" t="s">
        <v>1639</v>
      </c>
      <c r="C12255" s="2889" t="s">
        <v>1595</v>
      </c>
      <c r="D12255" s="2889" t="s">
        <v>1559</v>
      </c>
      <c r="E12255" s="2889" t="s">
        <v>1426</v>
      </c>
      <c r="F12255" s="2891"/>
      <c r="G12255" s="2890">
        <v>3445.1403425478238</v>
      </c>
    </row>
    <row r="12256" spans="2:7" ht="15" hidden="1" outlineLevel="2">
      <c r="B12256" s="2889" t="s">
        <v>1639</v>
      </c>
      <c r="C12256" s="2889" t="s">
        <v>1596</v>
      </c>
      <c r="D12256" s="2889" t="s">
        <v>1559</v>
      </c>
      <c r="E12256" s="2889" t="s">
        <v>1426</v>
      </c>
      <c r="F12256" s="2891"/>
      <c r="G12256" s="2890">
        <v>406.2117401866999</v>
      </c>
    </row>
    <row r="12257" spans="2:7" ht="15" hidden="1" outlineLevel="2">
      <c r="B12257" s="2889" t="s">
        <v>1639</v>
      </c>
      <c r="C12257" s="2889" t="s">
        <v>1597</v>
      </c>
      <c r="D12257" s="2889" t="s">
        <v>1559</v>
      </c>
      <c r="E12257" s="2889" t="s">
        <v>1426</v>
      </c>
      <c r="F12257" s="2891"/>
      <c r="G12257" s="2890">
        <v>9.67621731830301</v>
      </c>
    </row>
    <row r="12258" spans="2:7" ht="15" hidden="1" outlineLevel="2">
      <c r="B12258" s="2889" t="s">
        <v>1639</v>
      </c>
      <c r="C12258" s="2889" t="s">
        <v>1598</v>
      </c>
      <c r="D12258" s="2889" t="s">
        <v>1599</v>
      </c>
      <c r="E12258" s="2889" t="s">
        <v>217</v>
      </c>
      <c r="F12258" s="2890">
        <v>8.0103692061474704E-3</v>
      </c>
      <c r="G12258" s="2890">
        <v>4.6323745468273385</v>
      </c>
    </row>
    <row r="12259" spans="2:7" ht="15" hidden="1" outlineLevel="2">
      <c r="B12259" s="2889" t="s">
        <v>1639</v>
      </c>
      <c r="C12259" s="2889" t="s">
        <v>1600</v>
      </c>
      <c r="D12259" s="2889" t="s">
        <v>1599</v>
      </c>
      <c r="E12259" s="2889" t="s">
        <v>217</v>
      </c>
      <c r="F12259" s="2890">
        <v>9.3750397099323906E-3</v>
      </c>
      <c r="G12259" s="2890">
        <v>10.430526808111262</v>
      </c>
    </row>
    <row r="12260" spans="2:7" ht="15" hidden="1" outlineLevel="2">
      <c r="B12260" s="2889" t="s">
        <v>1639</v>
      </c>
      <c r="C12260" s="2889" t="s">
        <v>1601</v>
      </c>
      <c r="D12260" s="2889" t="s">
        <v>1599</v>
      </c>
      <c r="E12260" s="2889" t="s">
        <v>217</v>
      </c>
      <c r="F12260" s="2890">
        <v>9.6164850911426304E-5</v>
      </c>
      <c r="G12260" s="2890">
        <v>0.12253502307584513</v>
      </c>
    </row>
    <row r="12261" spans="2:7" ht="15" hidden="1" outlineLevel="2">
      <c r="B12261" s="2889" t="s">
        <v>1639</v>
      </c>
      <c r="C12261" s="2889" t="s">
        <v>1602</v>
      </c>
      <c r="D12261" s="2889" t="s">
        <v>1599</v>
      </c>
      <c r="E12261" s="2889" t="s">
        <v>1426</v>
      </c>
      <c r="F12261" s="2891"/>
      <c r="G12261" s="2890">
        <v>138.8085835261833</v>
      </c>
    </row>
    <row r="12262" spans="2:7" ht="15" hidden="1" outlineLevel="2">
      <c r="B12262" s="2889" t="s">
        <v>1639</v>
      </c>
      <c r="C12262" s="2889" t="s">
        <v>1603</v>
      </c>
      <c r="D12262" s="2889" t="s">
        <v>1604</v>
      </c>
      <c r="E12262" s="2889" t="s">
        <v>217</v>
      </c>
      <c r="F12262" s="2890">
        <v>8.5993545433003732E-35</v>
      </c>
      <c r="G12262" s="2890">
        <v>1.0190821488480301E-31</v>
      </c>
    </row>
    <row r="12263" spans="2:7" ht="15" hidden="1" outlineLevel="2">
      <c r="B12263" s="2889" t="s">
        <v>1639</v>
      </c>
      <c r="C12263" s="2889" t="s">
        <v>1605</v>
      </c>
      <c r="D12263" s="2889" t="s">
        <v>1604</v>
      </c>
      <c r="E12263" s="2889" t="s">
        <v>1423</v>
      </c>
      <c r="F12263" s="2890">
        <v>3.136151520901011E-33</v>
      </c>
      <c r="G12263" s="2890">
        <v>7.3601632656396319E-31</v>
      </c>
    </row>
    <row r="12264" spans="2:7" ht="15" hidden="1" outlineLevel="2">
      <c r="B12264" s="2889" t="s">
        <v>1639</v>
      </c>
      <c r="C12264" s="2889" t="s">
        <v>1606</v>
      </c>
      <c r="D12264" s="2889" t="s">
        <v>1604</v>
      </c>
      <c r="E12264" s="2889" t="s">
        <v>1426</v>
      </c>
      <c r="F12264" s="2891"/>
      <c r="G12264" s="2890">
        <v>7.9720101268876722E-32</v>
      </c>
    </row>
    <row r="12265" spans="2:7" ht="15" hidden="1" outlineLevel="2">
      <c r="B12265" s="2889" t="s">
        <v>1639</v>
      </c>
      <c r="C12265" s="2889" t="s">
        <v>1607</v>
      </c>
      <c r="D12265" s="2889" t="s">
        <v>1608</v>
      </c>
      <c r="E12265" s="2889" t="s">
        <v>217</v>
      </c>
      <c r="F12265" s="2890">
        <v>0.87929188289685734</v>
      </c>
      <c r="G12265" s="2890">
        <v>722.41218389483186</v>
      </c>
    </row>
    <row r="12266" spans="2:7" ht="15" hidden="1" outlineLevel="2">
      <c r="B12266" s="2889" t="s">
        <v>1639</v>
      </c>
      <c r="C12266" s="2889" t="s">
        <v>1609</v>
      </c>
      <c r="D12266" s="2889" t="s">
        <v>1608</v>
      </c>
      <c r="E12266" s="2889" t="s">
        <v>217</v>
      </c>
      <c r="F12266" s="2890">
        <v>0.38288492219890946</v>
      </c>
      <c r="G12266" s="2890">
        <v>304.85604972604676</v>
      </c>
    </row>
    <row r="12267" spans="2:7" ht="15" hidden="1" outlineLevel="2">
      <c r="B12267" s="2889" t="s">
        <v>1639</v>
      </c>
      <c r="C12267" s="2889" t="s">
        <v>1610</v>
      </c>
      <c r="D12267" s="2889" t="s">
        <v>1608</v>
      </c>
      <c r="E12267" s="2889" t="s">
        <v>217</v>
      </c>
      <c r="F12267" s="2890">
        <v>0.14625669141683662</v>
      </c>
      <c r="G12267" s="2890">
        <v>227.55128585916324</v>
      </c>
    </row>
    <row r="12268" spans="2:7" ht="15" hidden="1" outlineLevel="2">
      <c r="B12268" s="2889" t="s">
        <v>1639</v>
      </c>
      <c r="C12268" s="2889" t="s">
        <v>1611</v>
      </c>
      <c r="D12268" s="2889" t="s">
        <v>1608</v>
      </c>
      <c r="E12268" s="2889" t="s">
        <v>1612</v>
      </c>
      <c r="F12268" s="2891"/>
      <c r="G12268" s="2890">
        <v>202.60371446705682</v>
      </c>
    </row>
    <row r="12269" spans="2:7" ht="15" hidden="1" outlineLevel="2">
      <c r="B12269" s="2889" t="s">
        <v>1639</v>
      </c>
      <c r="C12269" s="2889" t="s">
        <v>1613</v>
      </c>
      <c r="D12269" s="2889" t="s">
        <v>1608</v>
      </c>
      <c r="E12269" s="2889" t="s">
        <v>1612</v>
      </c>
      <c r="F12269" s="2891"/>
      <c r="G12269" s="2890">
        <v>1.6918163883910575</v>
      </c>
    </row>
    <row r="12270" spans="2:7" ht="15" hidden="1" outlineLevel="2">
      <c r="B12270" s="2889" t="s">
        <v>1639</v>
      </c>
      <c r="C12270" s="2889" t="s">
        <v>1614</v>
      </c>
      <c r="D12270" s="2889" t="s">
        <v>1615</v>
      </c>
      <c r="E12270" s="2889" t="s">
        <v>1426</v>
      </c>
      <c r="F12270" s="2891"/>
      <c r="G12270" s="2890">
        <v>363.24167628879417</v>
      </c>
    </row>
    <row r="12271" spans="2:7" ht="15" hidden="1" outlineLevel="2">
      <c r="B12271" s="2889" t="s">
        <v>1639</v>
      </c>
      <c r="C12271" s="2889" t="s">
        <v>1616</v>
      </c>
      <c r="D12271" s="2889" t="s">
        <v>1615</v>
      </c>
      <c r="E12271" s="2889" t="s">
        <v>217</v>
      </c>
      <c r="F12271" s="2890">
        <v>1.1461768754320322E-2</v>
      </c>
      <c r="G12271" s="2890">
        <v>15.557212689125251</v>
      </c>
    </row>
    <row r="12272" spans="2:7" ht="15" hidden="1" outlineLevel="2">
      <c r="B12272" s="2889" t="s">
        <v>1639</v>
      </c>
      <c r="C12272" s="2889" t="s">
        <v>1617</v>
      </c>
      <c r="D12272" s="2889" t="s">
        <v>1615</v>
      </c>
      <c r="E12272" s="2889" t="s">
        <v>1420</v>
      </c>
      <c r="F12272" s="2890">
        <v>1.8290120817266112E-4</v>
      </c>
      <c r="G12272" s="2890">
        <v>0.52942731005747823</v>
      </c>
    </row>
    <row r="12273" spans="2:7" ht="15" hidden="1" outlineLevel="2">
      <c r="B12273" s="2889" t="s">
        <v>1639</v>
      </c>
      <c r="C12273" s="2889" t="s">
        <v>1618</v>
      </c>
      <c r="D12273" s="2889" t="s">
        <v>1619</v>
      </c>
      <c r="E12273" s="2889" t="s">
        <v>217</v>
      </c>
      <c r="F12273" s="2890">
        <v>1.4115162662922598</v>
      </c>
      <c r="G12273" s="2890">
        <v>357.83638726176002</v>
      </c>
    </row>
    <row r="12274" spans="2:7" ht="15" hidden="1" outlineLevel="2">
      <c r="B12274" s="2889" t="s">
        <v>1639</v>
      </c>
      <c r="C12274" s="2889" t="s">
        <v>1620</v>
      </c>
      <c r="D12274" s="2889" t="s">
        <v>1619</v>
      </c>
      <c r="E12274" s="2889" t="s">
        <v>217</v>
      </c>
      <c r="F12274" s="2890">
        <v>1.220677049326443E-33</v>
      </c>
      <c r="G12274" s="2890">
        <v>1.4883506685854614E-30</v>
      </c>
    </row>
    <row r="12275" spans="2:7" ht="15" hidden="1" outlineLevel="2">
      <c r="B12275" s="2889" t="s">
        <v>1639</v>
      </c>
      <c r="C12275" s="2889" t="s">
        <v>1621</v>
      </c>
      <c r="D12275" s="2889" t="s">
        <v>1619</v>
      </c>
      <c r="E12275" s="2889" t="s">
        <v>217</v>
      </c>
      <c r="F12275" s="2890">
        <v>1.5119219198278302</v>
      </c>
      <c r="G12275" s="2890">
        <v>413.18481786908904</v>
      </c>
    </row>
    <row r="12276" spans="2:7" ht="15" hidden="1" outlineLevel="2">
      <c r="B12276" s="2889" t="s">
        <v>1639</v>
      </c>
      <c r="C12276" s="2889" t="s">
        <v>1622</v>
      </c>
      <c r="D12276" s="2889" t="s">
        <v>1619</v>
      </c>
      <c r="E12276" s="2889" t="s">
        <v>217</v>
      </c>
      <c r="F12276" s="2890">
        <v>9.6816320427786207E-2</v>
      </c>
      <c r="G12276" s="2890">
        <v>106.22956157076491</v>
      </c>
    </row>
    <row r="12277" spans="2:7" ht="15" hidden="1" outlineLevel="2">
      <c r="B12277" s="2889" t="s">
        <v>1639</v>
      </c>
      <c r="C12277" s="2889" t="s">
        <v>1623</v>
      </c>
      <c r="D12277" s="2889" t="s">
        <v>1619</v>
      </c>
      <c r="E12277" s="2889" t="s">
        <v>217</v>
      </c>
      <c r="F12277" s="2890">
        <v>0.24859778283539105</v>
      </c>
      <c r="G12277" s="2890">
        <v>172.91043026300696</v>
      </c>
    </row>
    <row r="12278" spans="2:7" ht="15" hidden="1" outlineLevel="2">
      <c r="B12278" s="2889" t="s">
        <v>1639</v>
      </c>
      <c r="C12278" s="2889" t="s">
        <v>1624</v>
      </c>
      <c r="D12278" s="2889" t="s">
        <v>1619</v>
      </c>
      <c r="E12278" s="2889" t="s">
        <v>217</v>
      </c>
      <c r="F12278" s="2890">
        <v>2.1524488958734298</v>
      </c>
      <c r="G12278" s="2890">
        <v>1843.0009775508097</v>
      </c>
    </row>
    <row r="12279" spans="2:7" ht="15" hidden="1" outlineLevel="2">
      <c r="B12279" s="2889" t="s">
        <v>1639</v>
      </c>
      <c r="C12279" s="2889" t="s">
        <v>1625</v>
      </c>
      <c r="D12279" s="2889" t="s">
        <v>1619</v>
      </c>
      <c r="E12279" s="2889" t="s">
        <v>217</v>
      </c>
      <c r="F12279" s="2890">
        <v>0.86382521715261185</v>
      </c>
      <c r="G12279" s="2890">
        <v>1122.3022796764401</v>
      </c>
    </row>
    <row r="12280" spans="2:7" ht="15" hidden="1" outlineLevel="2">
      <c r="B12280" s="2889" t="s">
        <v>1639</v>
      </c>
      <c r="C12280" s="2889" t="s">
        <v>1626</v>
      </c>
      <c r="D12280" s="2889" t="s">
        <v>1619</v>
      </c>
      <c r="E12280" s="2889" t="s">
        <v>217</v>
      </c>
      <c r="F12280" s="2890">
        <v>0.1314425563978556</v>
      </c>
      <c r="G12280" s="2890">
        <v>103.65559872668655</v>
      </c>
    </row>
    <row r="12281" spans="2:7" ht="15" hidden="1" outlineLevel="2">
      <c r="B12281" s="2889" t="s">
        <v>1639</v>
      </c>
      <c r="C12281" s="2889" t="s">
        <v>1627</v>
      </c>
      <c r="D12281" s="2889" t="s">
        <v>1619</v>
      </c>
      <c r="E12281" s="2889" t="s">
        <v>1420</v>
      </c>
      <c r="F12281" s="2890">
        <v>4.2912131950305875E-3</v>
      </c>
      <c r="G12281" s="2890">
        <v>7.1692385698538557</v>
      </c>
    </row>
    <row r="12282" spans="2:7" ht="15" hidden="1" outlineLevel="2">
      <c r="B12282" s="2889" t="s">
        <v>1639</v>
      </c>
      <c r="C12282" s="2889" t="s">
        <v>1628</v>
      </c>
      <c r="D12282" s="2889" t="s">
        <v>1619</v>
      </c>
      <c r="E12282" s="2889" t="s">
        <v>1426</v>
      </c>
      <c r="F12282" s="2891"/>
      <c r="G12282" s="2890">
        <v>142.09373670000505</v>
      </c>
    </row>
    <row r="12283" spans="2:7" ht="15" hidden="1" outlineLevel="2">
      <c r="B12283" s="2889" t="s">
        <v>1639</v>
      </c>
      <c r="C12283" s="2889" t="s">
        <v>1629</v>
      </c>
      <c r="D12283" s="2889" t="s">
        <v>1630</v>
      </c>
      <c r="E12283" s="2889" t="s">
        <v>1426</v>
      </c>
      <c r="F12283" s="2891"/>
      <c r="G12283" s="2890">
        <v>1.3149400217429464E-31</v>
      </c>
    </row>
    <row r="12284" spans="2:7" ht="15" outlineLevel="1" collapsed="1">
      <c r="B12284" s="3042" t="s">
        <v>1709</v>
      </c>
      <c r="C12284" s="2889"/>
      <c r="D12284" s="2889"/>
      <c r="E12284" s="2889"/>
      <c r="F12284" s="2891">
        <f>SUBTOTAL(9,F12073:F12283)</f>
        <v>62.199632966539774</v>
      </c>
      <c r="G12284" s="2890">
        <f>SUBTOTAL(9,G12073:G12283)</f>
        <v>172652.30263577614</v>
      </c>
    </row>
    <row r="12285" spans="2:7" ht="15" hidden="1" outlineLevel="2">
      <c r="B12285" s="2889" t="s">
        <v>1640</v>
      </c>
      <c r="C12285" s="2889" t="s">
        <v>1408</v>
      </c>
      <c r="D12285" s="2889" t="s">
        <v>197</v>
      </c>
      <c r="E12285" s="2889" t="s">
        <v>217</v>
      </c>
      <c r="F12285" s="2890">
        <v>1.1504759885282523E-3</v>
      </c>
      <c r="G12285" s="2890">
        <v>0.70171731050919905</v>
      </c>
    </row>
    <row r="12286" spans="2:7" ht="15" hidden="1" outlineLevel="2">
      <c r="B12286" s="2889" t="s">
        <v>1640</v>
      </c>
      <c r="C12286" s="2889" t="s">
        <v>1409</v>
      </c>
      <c r="D12286" s="2889" t="s">
        <v>197</v>
      </c>
      <c r="E12286" s="2889" t="s">
        <v>217</v>
      </c>
      <c r="F12286" s="2890">
        <v>1.213250737124487E-3</v>
      </c>
      <c r="G12286" s="2890">
        <v>1.7022669932022918</v>
      </c>
    </row>
    <row r="12287" spans="2:7" ht="15" hidden="1" outlineLevel="2">
      <c r="B12287" s="2889" t="s">
        <v>1640</v>
      </c>
      <c r="C12287" s="2889" t="s">
        <v>1410</v>
      </c>
      <c r="D12287" s="2889" t="s">
        <v>197</v>
      </c>
      <c r="E12287" s="2889" t="s">
        <v>217</v>
      </c>
      <c r="F12287" s="2890">
        <v>1.9380152422837592E-3</v>
      </c>
      <c r="G12287" s="2890">
        <v>6.6234241203993509</v>
      </c>
    </row>
    <row r="12288" spans="2:7" ht="15" hidden="1" outlineLevel="2">
      <c r="B12288" s="2889" t="s">
        <v>1640</v>
      </c>
      <c r="C12288" s="2889" t="s">
        <v>1411</v>
      </c>
      <c r="D12288" s="2889" t="s">
        <v>197</v>
      </c>
      <c r="E12288" s="2889" t="s">
        <v>217</v>
      </c>
      <c r="F12288" s="2890">
        <v>3.182996479893862E-5</v>
      </c>
      <c r="G12288" s="2890">
        <v>4.1718125737179965E-2</v>
      </c>
    </row>
    <row r="12289" spans="2:7" ht="15" hidden="1" outlineLevel="2">
      <c r="B12289" s="2889" t="s">
        <v>1640</v>
      </c>
      <c r="C12289" s="2889" t="s">
        <v>1412</v>
      </c>
      <c r="D12289" s="2889" t="s">
        <v>197</v>
      </c>
      <c r="E12289" s="2889" t="s">
        <v>217</v>
      </c>
      <c r="F12289" s="2890">
        <v>3.4386115687616583E-3</v>
      </c>
      <c r="G12289" s="2890">
        <v>4.5033994958714061</v>
      </c>
    </row>
    <row r="12290" spans="2:7" ht="15" hidden="1" outlineLevel="2">
      <c r="B12290" s="2889" t="s">
        <v>1640</v>
      </c>
      <c r="C12290" s="2889" t="s">
        <v>1413</v>
      </c>
      <c r="D12290" s="2889" t="s">
        <v>197</v>
      </c>
      <c r="E12290" s="2889" t="s">
        <v>217</v>
      </c>
      <c r="F12290" s="2890">
        <v>1.1330365830021247E-3</v>
      </c>
      <c r="G12290" s="2890">
        <v>1.4106599890349791</v>
      </c>
    </row>
    <row r="12291" spans="2:7" ht="15" hidden="1" outlineLevel="2">
      <c r="B12291" s="2889" t="s">
        <v>1640</v>
      </c>
      <c r="C12291" s="2889" t="s">
        <v>1414</v>
      </c>
      <c r="D12291" s="2889" t="s">
        <v>197</v>
      </c>
      <c r="E12291" s="2889" t="s">
        <v>217</v>
      </c>
      <c r="F12291" s="2890">
        <v>1.4778583799093805E-2</v>
      </c>
      <c r="G12291" s="2890">
        <v>15.324270609494237</v>
      </c>
    </row>
    <row r="12292" spans="2:7" ht="15" hidden="1" outlineLevel="2">
      <c r="B12292" s="2889" t="s">
        <v>1640</v>
      </c>
      <c r="C12292" s="2889" t="s">
        <v>1415</v>
      </c>
      <c r="D12292" s="2889" t="s">
        <v>197</v>
      </c>
      <c r="E12292" s="2889" t="s">
        <v>217</v>
      </c>
      <c r="F12292" s="2890">
        <v>4.857477310507187E-2</v>
      </c>
      <c r="G12292" s="2890">
        <v>32.847597261163898</v>
      </c>
    </row>
    <row r="12293" spans="2:7" ht="15" hidden="1" outlineLevel="2">
      <c r="B12293" s="2889" t="s">
        <v>1640</v>
      </c>
      <c r="C12293" s="2889" t="s">
        <v>1416</v>
      </c>
      <c r="D12293" s="2889" t="s">
        <v>197</v>
      </c>
      <c r="E12293" s="2889" t="s">
        <v>217</v>
      </c>
      <c r="F12293" s="2890">
        <v>5.4567147002255326E-3</v>
      </c>
      <c r="G12293" s="2890">
        <v>7.1464210982750052</v>
      </c>
    </row>
    <row r="12294" spans="2:7" ht="15" hidden="1" outlineLevel="2">
      <c r="B12294" s="2889" t="s">
        <v>1640</v>
      </c>
      <c r="C12294" s="2889" t="s">
        <v>1417</v>
      </c>
      <c r="D12294" s="2889" t="s">
        <v>197</v>
      </c>
      <c r="E12294" s="2889" t="s">
        <v>217</v>
      </c>
      <c r="F12294" s="2890">
        <v>8.1259207032454359E-3</v>
      </c>
      <c r="G12294" s="2890">
        <v>10.347987776003336</v>
      </c>
    </row>
    <row r="12295" spans="2:7" ht="15" hidden="1" outlineLevel="2">
      <c r="B12295" s="2889" t="s">
        <v>1640</v>
      </c>
      <c r="C12295" s="2889" t="s">
        <v>1418</v>
      </c>
      <c r="D12295" s="2889" t="s">
        <v>197</v>
      </c>
      <c r="E12295" s="2889" t="s">
        <v>217</v>
      </c>
      <c r="F12295" s="2890">
        <v>1.6306349034603403E-3</v>
      </c>
      <c r="G12295" s="2890">
        <v>11.479493797516158</v>
      </c>
    </row>
    <row r="12296" spans="2:7" ht="15" hidden="1" outlineLevel="2">
      <c r="B12296" s="2889" t="s">
        <v>1640</v>
      </c>
      <c r="C12296" s="2889" t="s">
        <v>1419</v>
      </c>
      <c r="D12296" s="2889" t="s">
        <v>197</v>
      </c>
      <c r="E12296" s="2889" t="s">
        <v>1420</v>
      </c>
      <c r="F12296" s="2890">
        <v>3.9540837300622429E-5</v>
      </c>
      <c r="G12296" s="2890">
        <v>6.282856885325952E-2</v>
      </c>
    </row>
    <row r="12297" spans="2:7" ht="15" hidden="1" outlineLevel="2">
      <c r="B12297" s="2889" t="s">
        <v>1640</v>
      </c>
      <c r="C12297" s="2889" t="s">
        <v>1421</v>
      </c>
      <c r="D12297" s="2889" t="s">
        <v>197</v>
      </c>
      <c r="E12297" s="2889" t="s">
        <v>1420</v>
      </c>
      <c r="F12297" s="2890">
        <v>8.1137048188707239E-6</v>
      </c>
      <c r="G12297" s="2890">
        <v>8.5508910053561121E-2</v>
      </c>
    </row>
    <row r="12298" spans="2:7" ht="15" hidden="1" outlineLevel="2">
      <c r="B12298" s="2889" t="s">
        <v>1640</v>
      </c>
      <c r="C12298" s="2889" t="s">
        <v>1422</v>
      </c>
      <c r="D12298" s="2889" t="s">
        <v>197</v>
      </c>
      <c r="E12298" s="2889" t="s">
        <v>1423</v>
      </c>
      <c r="F12298" s="2890">
        <v>1.5828463196395886E-3</v>
      </c>
      <c r="G12298" s="2890">
        <v>1.6596837648040048E-2</v>
      </c>
    </row>
    <row r="12299" spans="2:7" ht="15" hidden="1" outlineLevel="2">
      <c r="B12299" s="2889" t="s">
        <v>1640</v>
      </c>
      <c r="C12299" s="2889" t="s">
        <v>1424</v>
      </c>
      <c r="D12299" s="2889" t="s">
        <v>197</v>
      </c>
      <c r="E12299" s="2889" t="s">
        <v>1423</v>
      </c>
      <c r="F12299" s="2890">
        <v>5.0240652197165985E-4</v>
      </c>
      <c r="G12299" s="2890">
        <v>5.2663669447277871E-3</v>
      </c>
    </row>
    <row r="12300" spans="2:7" ht="15" hidden="1" outlineLevel="2">
      <c r="B12300" s="2889" t="s">
        <v>1640</v>
      </c>
      <c r="C12300" s="2889" t="s">
        <v>1425</v>
      </c>
      <c r="D12300" s="2889" t="s">
        <v>197</v>
      </c>
      <c r="E12300" s="2889" t="s">
        <v>1426</v>
      </c>
      <c r="F12300" s="2891"/>
      <c r="G12300" s="2890">
        <v>0.12273453443120345</v>
      </c>
    </row>
    <row r="12301" spans="2:7" ht="15" hidden="1" outlineLevel="2">
      <c r="B12301" s="2889" t="s">
        <v>1640</v>
      </c>
      <c r="C12301" s="2889" t="s">
        <v>1427</v>
      </c>
      <c r="D12301" s="2889" t="s">
        <v>197</v>
      </c>
      <c r="E12301" s="2889" t="s">
        <v>1426</v>
      </c>
      <c r="F12301" s="2891"/>
      <c r="G12301" s="2890">
        <v>5306.1047393930148</v>
      </c>
    </row>
    <row r="12302" spans="2:7" ht="15" hidden="1" outlineLevel="2">
      <c r="B12302" s="2889" t="s">
        <v>1640</v>
      </c>
      <c r="C12302" s="2889" t="s">
        <v>1428</v>
      </c>
      <c r="D12302" s="2889" t="s">
        <v>197</v>
      </c>
      <c r="E12302" s="2889" t="s">
        <v>1426</v>
      </c>
      <c r="F12302" s="2891"/>
      <c r="G12302" s="2890">
        <v>476.11956555469538</v>
      </c>
    </row>
    <row r="12303" spans="2:7" ht="15" hidden="1" outlineLevel="2">
      <c r="B12303" s="2889" t="s">
        <v>1640</v>
      </c>
      <c r="C12303" s="2889" t="s">
        <v>1429</v>
      </c>
      <c r="D12303" s="2889" t="s">
        <v>197</v>
      </c>
      <c r="E12303" s="2889" t="s">
        <v>1426</v>
      </c>
      <c r="F12303" s="2891"/>
      <c r="G12303" s="2890">
        <v>2.6465752012736274</v>
      </c>
    </row>
    <row r="12304" spans="2:7" ht="15" hidden="1" outlineLevel="2">
      <c r="B12304" s="2889" t="s">
        <v>1640</v>
      </c>
      <c r="C12304" s="2889" t="s">
        <v>1430</v>
      </c>
      <c r="D12304" s="2889" t="s">
        <v>197</v>
      </c>
      <c r="E12304" s="2889" t="s">
        <v>1426</v>
      </c>
      <c r="F12304" s="2891"/>
      <c r="G12304" s="2890">
        <v>0.54320566562483918</v>
      </c>
    </row>
    <row r="12305" spans="2:7" ht="15" hidden="1" outlineLevel="2">
      <c r="B12305" s="2889" t="s">
        <v>1640</v>
      </c>
      <c r="C12305" s="2889" t="s">
        <v>1431</v>
      </c>
      <c r="D12305" s="2889" t="s">
        <v>197</v>
      </c>
      <c r="E12305" s="2889" t="s">
        <v>1426</v>
      </c>
      <c r="F12305" s="2891"/>
      <c r="G12305" s="2890">
        <v>40.416800485362387</v>
      </c>
    </row>
    <row r="12306" spans="2:7" ht="15" hidden="1" outlineLevel="2">
      <c r="B12306" s="2889" t="s">
        <v>1640</v>
      </c>
      <c r="C12306" s="2889" t="s">
        <v>1432</v>
      </c>
      <c r="D12306" s="2889" t="s">
        <v>197</v>
      </c>
      <c r="E12306" s="2889" t="s">
        <v>1426</v>
      </c>
      <c r="F12306" s="2891"/>
      <c r="G12306" s="2890">
        <v>0.1012292817848494</v>
      </c>
    </row>
    <row r="12307" spans="2:7" ht="15" hidden="1" outlineLevel="2">
      <c r="B12307" s="2889" t="s">
        <v>1640</v>
      </c>
      <c r="C12307" s="2889" t="s">
        <v>1433</v>
      </c>
      <c r="D12307" s="2889" t="s">
        <v>197</v>
      </c>
      <c r="E12307" s="2889" t="s">
        <v>1426</v>
      </c>
      <c r="F12307" s="2891"/>
      <c r="G12307" s="2890">
        <v>37.356185970564724</v>
      </c>
    </row>
    <row r="12308" spans="2:7" ht="15" hidden="1" outlineLevel="2">
      <c r="B12308" s="2889" t="s">
        <v>1640</v>
      </c>
      <c r="C12308" s="2889" t="s">
        <v>1434</v>
      </c>
      <c r="D12308" s="2889" t="s">
        <v>197</v>
      </c>
      <c r="E12308" s="2889" t="s">
        <v>1426</v>
      </c>
      <c r="F12308" s="2891"/>
      <c r="G12308" s="2890">
        <v>103.76568813498633</v>
      </c>
    </row>
    <row r="12309" spans="2:7" ht="15" hidden="1" outlineLevel="2">
      <c r="B12309" s="2889" t="s">
        <v>1640</v>
      </c>
      <c r="C12309" s="2889" t="s">
        <v>1435</v>
      </c>
      <c r="D12309" s="2889" t="s">
        <v>197</v>
      </c>
      <c r="E12309" s="2889" t="s">
        <v>1426</v>
      </c>
      <c r="F12309" s="2891"/>
      <c r="G12309" s="2890">
        <v>76.287978081635359</v>
      </c>
    </row>
    <row r="12310" spans="2:7" ht="15" hidden="1" outlineLevel="2">
      <c r="B12310" s="2889" t="s">
        <v>1640</v>
      </c>
      <c r="C12310" s="2889" t="s">
        <v>1436</v>
      </c>
      <c r="D12310" s="2889" t="s">
        <v>1437</v>
      </c>
      <c r="E12310" s="2889" t="s">
        <v>217</v>
      </c>
      <c r="F12310" s="2890">
        <v>1.7957041227941505E-6</v>
      </c>
      <c r="G12310" s="2890">
        <v>5.190695610299445E-3</v>
      </c>
    </row>
    <row r="12311" spans="2:7" ht="15" hidden="1" outlineLevel="2">
      <c r="B12311" s="2889" t="s">
        <v>1640</v>
      </c>
      <c r="C12311" s="2889" t="s">
        <v>1438</v>
      </c>
      <c r="D12311" s="2889" t="s">
        <v>1437</v>
      </c>
      <c r="E12311" s="2889" t="s">
        <v>1420</v>
      </c>
      <c r="F12311" s="2890">
        <v>5.16374994401465E-7</v>
      </c>
      <c r="G12311" s="2890">
        <v>4.7443911325303094E-3</v>
      </c>
    </row>
    <row r="12312" spans="2:7" ht="15" hidden="1" outlineLevel="2">
      <c r="B12312" s="2889" t="s">
        <v>1640</v>
      </c>
      <c r="C12312" s="2889" t="s">
        <v>1439</v>
      </c>
      <c r="D12312" s="2889" t="s">
        <v>1437</v>
      </c>
      <c r="E12312" s="2889" t="s">
        <v>1426</v>
      </c>
      <c r="F12312" s="2891"/>
      <c r="G12312" s="2890">
        <v>0.32624110103422671</v>
      </c>
    </row>
    <row r="12313" spans="2:7" ht="15" hidden="1" outlineLevel="2">
      <c r="B12313" s="2889" t="s">
        <v>1640</v>
      </c>
      <c r="C12313" s="2889" t="s">
        <v>1440</v>
      </c>
      <c r="D12313" s="2889" t="s">
        <v>1105</v>
      </c>
      <c r="E12313" s="2889" t="s">
        <v>217</v>
      </c>
      <c r="F12313" s="2890">
        <v>3.9686179640344233E-3</v>
      </c>
      <c r="G12313" s="2890">
        <v>1.9665525247125553</v>
      </c>
    </row>
    <row r="12314" spans="2:7" ht="15" hidden="1" outlineLevel="2">
      <c r="B12314" s="2889" t="s">
        <v>1640</v>
      </c>
      <c r="C12314" s="2889" t="s">
        <v>1441</v>
      </c>
      <c r="D12314" s="2889" t="s">
        <v>1105</v>
      </c>
      <c r="E12314" s="2889" t="s">
        <v>217</v>
      </c>
      <c r="F12314" s="2890">
        <v>2.5359284373134679E-2</v>
      </c>
      <c r="G12314" s="2890">
        <v>13.120213711142764</v>
      </c>
    </row>
    <row r="12315" spans="2:7" ht="15" hidden="1" outlineLevel="2">
      <c r="B12315" s="2889" t="s">
        <v>1640</v>
      </c>
      <c r="C12315" s="2889" t="s">
        <v>1442</v>
      </c>
      <c r="D12315" s="2889" t="s">
        <v>1105</v>
      </c>
      <c r="E12315" s="2889" t="s">
        <v>217</v>
      </c>
      <c r="F12315" s="2890">
        <v>1.1288222090369281E-5</v>
      </c>
      <c r="G12315" s="2890">
        <v>5.0600634642477124E-3</v>
      </c>
    </row>
    <row r="12316" spans="2:7" ht="15" hidden="1" outlineLevel="2">
      <c r="B12316" s="2889" t="s">
        <v>1640</v>
      </c>
      <c r="C12316" s="2889" t="s">
        <v>1443</v>
      </c>
      <c r="D12316" s="2889" t="s">
        <v>1105</v>
      </c>
      <c r="E12316" s="2889" t="s">
        <v>217</v>
      </c>
      <c r="F12316" s="2890">
        <v>1.7761805677803837E-4</v>
      </c>
      <c r="G12316" s="2890">
        <v>7.9619164738370565E-2</v>
      </c>
    </row>
    <row r="12317" spans="2:7" ht="15" hidden="1" outlineLevel="2">
      <c r="B12317" s="2889" t="s">
        <v>1640</v>
      </c>
      <c r="C12317" s="2889" t="s">
        <v>1444</v>
      </c>
      <c r="D12317" s="2889" t="s">
        <v>1105</v>
      </c>
      <c r="E12317" s="2889" t="s">
        <v>217</v>
      </c>
      <c r="F12317" s="2890">
        <v>0.33828954759941277</v>
      </c>
      <c r="G12317" s="2890">
        <v>404.80491708942435</v>
      </c>
    </row>
    <row r="12318" spans="2:7" ht="15" hidden="1" outlineLevel="2">
      <c r="B12318" s="2889" t="s">
        <v>1640</v>
      </c>
      <c r="C12318" s="2889" t="s">
        <v>1445</v>
      </c>
      <c r="D12318" s="2889" t="s">
        <v>1105</v>
      </c>
      <c r="E12318" s="2889" t="s">
        <v>217</v>
      </c>
      <c r="F12318" s="2890">
        <v>7.2811237666009221E-2</v>
      </c>
      <c r="G12318" s="2890">
        <v>101.29843723796694</v>
      </c>
    </row>
    <row r="12319" spans="2:7" ht="15" hidden="1" outlineLevel="2">
      <c r="B12319" s="2889" t="s">
        <v>1640</v>
      </c>
      <c r="C12319" s="2889" t="s">
        <v>1446</v>
      </c>
      <c r="D12319" s="2889" t="s">
        <v>1105</v>
      </c>
      <c r="E12319" s="2889" t="s">
        <v>217</v>
      </c>
      <c r="F12319" s="2890">
        <v>3.3609021293821942E-2</v>
      </c>
      <c r="G12319" s="2890">
        <v>53.717778350960415</v>
      </c>
    </row>
    <row r="12320" spans="2:7" ht="15" hidden="1" outlineLevel="2">
      <c r="B12320" s="2889" t="s">
        <v>1640</v>
      </c>
      <c r="C12320" s="2889" t="s">
        <v>1447</v>
      </c>
      <c r="D12320" s="2889" t="s">
        <v>1105</v>
      </c>
      <c r="E12320" s="2889" t="s">
        <v>217</v>
      </c>
      <c r="F12320" s="2890">
        <v>7.7447056589120711E-2</v>
      </c>
      <c r="G12320" s="2890">
        <v>115.2589278892364</v>
      </c>
    </row>
    <row r="12321" spans="2:7" ht="15" hidden="1" outlineLevel="2">
      <c r="B12321" s="2889" t="s">
        <v>1640</v>
      </c>
      <c r="C12321" s="2889" t="s">
        <v>1448</v>
      </c>
      <c r="D12321" s="2889" t="s">
        <v>1105</v>
      </c>
      <c r="E12321" s="2889" t="s">
        <v>217</v>
      </c>
      <c r="F12321" s="2890">
        <v>0.14627938465953266</v>
      </c>
      <c r="G12321" s="2890">
        <v>181.5803948812293</v>
      </c>
    </row>
    <row r="12322" spans="2:7" ht="15" hidden="1" outlineLevel="2">
      <c r="B12322" s="2889" t="s">
        <v>1640</v>
      </c>
      <c r="C12322" s="2889" t="s">
        <v>1449</v>
      </c>
      <c r="D12322" s="2889" t="s">
        <v>1105</v>
      </c>
      <c r="E12322" s="2889" t="s">
        <v>217</v>
      </c>
      <c r="F12322" s="2890">
        <v>6.2273813898424974E-3</v>
      </c>
      <c r="G12322" s="2890">
        <v>8.5405242930944851</v>
      </c>
    </row>
    <row r="12323" spans="2:7" ht="15" hidden="1" outlineLevel="2">
      <c r="B12323" s="2889" t="s">
        <v>1640</v>
      </c>
      <c r="C12323" s="2889" t="s">
        <v>1450</v>
      </c>
      <c r="D12323" s="2889" t="s">
        <v>1105</v>
      </c>
      <c r="E12323" s="2889" t="s">
        <v>1420</v>
      </c>
      <c r="F12323" s="2890">
        <v>1.9591568265605448E-2</v>
      </c>
      <c r="G12323" s="2890">
        <v>53.861272720595693</v>
      </c>
    </row>
    <row r="12324" spans="2:7" ht="15" hidden="1" outlineLevel="2">
      <c r="B12324" s="2889" t="s">
        <v>1640</v>
      </c>
      <c r="C12324" s="2889" t="s">
        <v>1451</v>
      </c>
      <c r="D12324" s="2889" t="s">
        <v>1105</v>
      </c>
      <c r="E12324" s="2889" t="s">
        <v>1420</v>
      </c>
      <c r="F12324" s="2890">
        <v>2.8444862441340305E-3</v>
      </c>
      <c r="G12324" s="2890">
        <v>11.996764677313619</v>
      </c>
    </row>
    <row r="12325" spans="2:7" ht="15" hidden="1" outlineLevel="2">
      <c r="B12325" s="2889" t="s">
        <v>1640</v>
      </c>
      <c r="C12325" s="2889" t="s">
        <v>1452</v>
      </c>
      <c r="D12325" s="2889" t="s">
        <v>1105</v>
      </c>
      <c r="E12325" s="2889" t="s">
        <v>1420</v>
      </c>
      <c r="F12325" s="2890">
        <v>2.1044068912638215E-3</v>
      </c>
      <c r="G12325" s="2890">
        <v>14.062372371045388</v>
      </c>
    </row>
    <row r="12326" spans="2:7" ht="15" hidden="1" outlineLevel="2">
      <c r="B12326" s="2889" t="s">
        <v>1640</v>
      </c>
      <c r="C12326" s="2889" t="s">
        <v>1453</v>
      </c>
      <c r="D12326" s="2889" t="s">
        <v>1105</v>
      </c>
      <c r="E12326" s="2889" t="s">
        <v>1420</v>
      </c>
      <c r="F12326" s="2890">
        <v>3.6861342594498594E-3</v>
      </c>
      <c r="G12326" s="2890">
        <v>17.468984397627455</v>
      </c>
    </row>
    <row r="12327" spans="2:7" ht="15" hidden="1" outlineLevel="2">
      <c r="B12327" s="2889" t="s">
        <v>1640</v>
      </c>
      <c r="C12327" s="2889" t="s">
        <v>1454</v>
      </c>
      <c r="D12327" s="2889" t="s">
        <v>1105</v>
      </c>
      <c r="E12327" s="2889" t="s">
        <v>1420</v>
      </c>
      <c r="F12327" s="2890">
        <v>9.2040668484160272E-5</v>
      </c>
      <c r="G12327" s="2890">
        <v>0.23614155974119244</v>
      </c>
    </row>
    <row r="12328" spans="2:7" ht="15" hidden="1" outlineLevel="2">
      <c r="B12328" s="2889" t="s">
        <v>1640</v>
      </c>
      <c r="C12328" s="2889" t="s">
        <v>1455</v>
      </c>
      <c r="D12328" s="2889" t="s">
        <v>1105</v>
      </c>
      <c r="E12328" s="2889" t="s">
        <v>1420</v>
      </c>
      <c r="F12328" s="2890">
        <v>2.6852991774017796E-5</v>
      </c>
      <c r="G12328" s="2890">
        <v>0.21934441288145931</v>
      </c>
    </row>
    <row r="12329" spans="2:7" ht="15" hidden="1" outlineLevel="2">
      <c r="B12329" s="2889" t="s">
        <v>1640</v>
      </c>
      <c r="C12329" s="2889" t="s">
        <v>1456</v>
      </c>
      <c r="D12329" s="2889" t="s">
        <v>1105</v>
      </c>
      <c r="E12329" s="2889" t="s">
        <v>1423</v>
      </c>
      <c r="F12329" s="2890">
        <v>0.43286396927672166</v>
      </c>
      <c r="G12329" s="2890">
        <v>12.020187405879009</v>
      </c>
    </row>
    <row r="12330" spans="2:7" ht="15" hidden="1" outlineLevel="2">
      <c r="B12330" s="2889" t="s">
        <v>1640</v>
      </c>
      <c r="C12330" s="2889" t="s">
        <v>1457</v>
      </c>
      <c r="D12330" s="2889" t="s">
        <v>1105</v>
      </c>
      <c r="E12330" s="2889" t="s">
        <v>1423</v>
      </c>
      <c r="F12330" s="2890">
        <v>1.65953890168536E-2</v>
      </c>
      <c r="G12330" s="2890">
        <v>0.60326811648002643</v>
      </c>
    </row>
    <row r="12331" spans="2:7" ht="15" hidden="1" outlineLevel="2">
      <c r="B12331" s="2889" t="s">
        <v>1640</v>
      </c>
      <c r="C12331" s="2889" t="s">
        <v>1458</v>
      </c>
      <c r="D12331" s="2889" t="s">
        <v>1105</v>
      </c>
      <c r="E12331" s="2889" t="s">
        <v>1423</v>
      </c>
      <c r="F12331" s="2890">
        <v>1.1914278289997571E-2</v>
      </c>
      <c r="G12331" s="2890">
        <v>0.83562722800012534</v>
      </c>
    </row>
    <row r="12332" spans="2:7" ht="15" hidden="1" outlineLevel="2">
      <c r="B12332" s="2889" t="s">
        <v>1640</v>
      </c>
      <c r="C12332" s="2889" t="s">
        <v>1459</v>
      </c>
      <c r="D12332" s="2889" t="s">
        <v>1105</v>
      </c>
      <c r="E12332" s="2889" t="s">
        <v>1423</v>
      </c>
      <c r="F12332" s="2890">
        <v>0.13958170785634988</v>
      </c>
      <c r="G12332" s="2890">
        <v>29.209630368554183</v>
      </c>
    </row>
    <row r="12333" spans="2:7" ht="15" hidden="1" outlineLevel="2">
      <c r="B12333" s="2889" t="s">
        <v>1640</v>
      </c>
      <c r="C12333" s="2889" t="s">
        <v>1460</v>
      </c>
      <c r="D12333" s="2889" t="s">
        <v>1105</v>
      </c>
      <c r="E12333" s="2889" t="s">
        <v>1426</v>
      </c>
      <c r="F12333" s="2891"/>
      <c r="G12333" s="2890">
        <v>311.48317081668608</v>
      </c>
    </row>
    <row r="12334" spans="2:7" ht="15" hidden="1" outlineLevel="2">
      <c r="B12334" s="2889" t="s">
        <v>1640</v>
      </c>
      <c r="C12334" s="2889" t="s">
        <v>1461</v>
      </c>
      <c r="D12334" s="2889" t="s">
        <v>1105</v>
      </c>
      <c r="E12334" s="2889" t="s">
        <v>1426</v>
      </c>
      <c r="F12334" s="2891"/>
      <c r="G12334" s="2890">
        <v>73.491148968531419</v>
      </c>
    </row>
    <row r="12335" spans="2:7" ht="15" hidden="1" outlineLevel="2">
      <c r="B12335" s="2889" t="s">
        <v>1640</v>
      </c>
      <c r="C12335" s="2889" t="s">
        <v>1462</v>
      </c>
      <c r="D12335" s="2889" t="s">
        <v>1105</v>
      </c>
      <c r="E12335" s="2889" t="s">
        <v>1426</v>
      </c>
      <c r="F12335" s="2891"/>
      <c r="G12335" s="2890">
        <v>203.90948627354223</v>
      </c>
    </row>
    <row r="12336" spans="2:7" ht="15" hidden="1" outlineLevel="2">
      <c r="B12336" s="2889" t="s">
        <v>1640</v>
      </c>
      <c r="C12336" s="2889" t="s">
        <v>1463</v>
      </c>
      <c r="D12336" s="2889" t="s">
        <v>1105</v>
      </c>
      <c r="E12336" s="2889" t="s">
        <v>1426</v>
      </c>
      <c r="F12336" s="2891"/>
      <c r="G12336" s="2890">
        <v>103.53859250606941</v>
      </c>
    </row>
    <row r="12337" spans="2:7" ht="15" hidden="1" outlineLevel="2">
      <c r="B12337" s="2889" t="s">
        <v>1640</v>
      </c>
      <c r="C12337" s="2889" t="s">
        <v>1464</v>
      </c>
      <c r="D12337" s="2889" t="s">
        <v>1105</v>
      </c>
      <c r="E12337" s="2889" t="s">
        <v>1426</v>
      </c>
      <c r="F12337" s="2891"/>
      <c r="G12337" s="2890">
        <v>9.9465641343640279</v>
      </c>
    </row>
    <row r="12338" spans="2:7" ht="15" hidden="1" outlineLevel="2">
      <c r="B12338" s="2889" t="s">
        <v>1640</v>
      </c>
      <c r="C12338" s="2889" t="s">
        <v>1465</v>
      </c>
      <c r="D12338" s="2889" t="s">
        <v>1105</v>
      </c>
      <c r="E12338" s="2889" t="s">
        <v>1426</v>
      </c>
      <c r="F12338" s="2891"/>
      <c r="G12338" s="2890">
        <v>8.8248573131628305</v>
      </c>
    </row>
    <row r="12339" spans="2:7" ht="15" hidden="1" outlineLevel="2">
      <c r="B12339" s="2889" t="s">
        <v>1640</v>
      </c>
      <c r="C12339" s="2889" t="s">
        <v>1466</v>
      </c>
      <c r="D12339" s="2889" t="s">
        <v>1054</v>
      </c>
      <c r="E12339" s="2889" t="s">
        <v>217</v>
      </c>
      <c r="F12339" s="2890">
        <v>1.32682386388562E-2</v>
      </c>
      <c r="G12339" s="2890">
        <v>8.1807958750023744</v>
      </c>
    </row>
    <row r="12340" spans="2:7" ht="15" hidden="1" outlineLevel="2">
      <c r="B12340" s="2889" t="s">
        <v>1640</v>
      </c>
      <c r="C12340" s="2889" t="s">
        <v>1467</v>
      </c>
      <c r="D12340" s="2889" t="s">
        <v>1054</v>
      </c>
      <c r="E12340" s="2889" t="s">
        <v>217</v>
      </c>
      <c r="F12340" s="2890">
        <v>1.0965351104998881E-3</v>
      </c>
      <c r="G12340" s="2890">
        <v>0.5305870703047566</v>
      </c>
    </row>
    <row r="12341" spans="2:7" ht="15" hidden="1" outlineLevel="2">
      <c r="B12341" s="2889" t="s">
        <v>1640</v>
      </c>
      <c r="C12341" s="2889" t="s">
        <v>1468</v>
      </c>
      <c r="D12341" s="2889" t="s">
        <v>1054</v>
      </c>
      <c r="E12341" s="2889" t="s">
        <v>217</v>
      </c>
      <c r="F12341" s="2890">
        <v>1.3279353571128522E-3</v>
      </c>
      <c r="G12341" s="2890">
        <v>0.63428543019629435</v>
      </c>
    </row>
    <row r="12342" spans="2:7" ht="15" hidden="1" outlineLevel="2">
      <c r="B12342" s="2889" t="s">
        <v>1640</v>
      </c>
      <c r="C12342" s="2889" t="s">
        <v>1469</v>
      </c>
      <c r="D12342" s="2889" t="s">
        <v>1054</v>
      </c>
      <c r="E12342" s="2889" t="s">
        <v>217</v>
      </c>
      <c r="F12342" s="2890">
        <v>1.0596524500070237E-5</v>
      </c>
      <c r="G12342" s="2890">
        <v>4.7498633042904817E-3</v>
      </c>
    </row>
    <row r="12343" spans="2:7" ht="15" hidden="1" outlineLevel="2">
      <c r="B12343" s="2889" t="s">
        <v>1640</v>
      </c>
      <c r="C12343" s="2889" t="s">
        <v>1470</v>
      </c>
      <c r="D12343" s="2889" t="s">
        <v>1054</v>
      </c>
      <c r="E12343" s="2889" t="s">
        <v>217</v>
      </c>
      <c r="F12343" s="2890">
        <v>3.7800699208375324E-2</v>
      </c>
      <c r="G12343" s="2890">
        <v>21.140434039674268</v>
      </c>
    </row>
    <row r="12344" spans="2:7" ht="15" hidden="1" outlineLevel="2">
      <c r="B12344" s="2889" t="s">
        <v>1640</v>
      </c>
      <c r="C12344" s="2889" t="s">
        <v>1471</v>
      </c>
      <c r="D12344" s="2889" t="s">
        <v>1054</v>
      </c>
      <c r="E12344" s="2889" t="s">
        <v>217</v>
      </c>
      <c r="F12344" s="2890">
        <v>2.75924848458388E-4</v>
      </c>
      <c r="G12344" s="2890">
        <v>0.12368264548977599</v>
      </c>
    </row>
    <row r="12345" spans="2:7" ht="15" hidden="1" outlineLevel="2">
      <c r="B12345" s="2889" t="s">
        <v>1640</v>
      </c>
      <c r="C12345" s="2889" t="s">
        <v>1472</v>
      </c>
      <c r="D12345" s="2889" t="s">
        <v>1054</v>
      </c>
      <c r="E12345" s="2889" t="s">
        <v>217</v>
      </c>
      <c r="F12345" s="2890">
        <v>4.708324519139797E-3</v>
      </c>
      <c r="G12345" s="2890">
        <v>7.2725589261660737</v>
      </c>
    </row>
    <row r="12346" spans="2:7" ht="15" hidden="1" outlineLevel="2">
      <c r="B12346" s="2889" t="s">
        <v>1640</v>
      </c>
      <c r="C12346" s="2889" t="s">
        <v>1473</v>
      </c>
      <c r="D12346" s="2889" t="s">
        <v>1054</v>
      </c>
      <c r="E12346" s="2889" t="s">
        <v>217</v>
      </c>
      <c r="F12346" s="2890">
        <v>4.1708009499922951E-5</v>
      </c>
      <c r="G12346" s="2890">
        <v>5.3742322782852493E-2</v>
      </c>
    </row>
    <row r="12347" spans="2:7" ht="15" hidden="1" outlineLevel="2">
      <c r="B12347" s="2889" t="s">
        <v>1640</v>
      </c>
      <c r="C12347" s="2889" t="s">
        <v>1474</v>
      </c>
      <c r="D12347" s="2889" t="s">
        <v>1054</v>
      </c>
      <c r="E12347" s="2889" t="s">
        <v>217</v>
      </c>
      <c r="F12347" s="2890">
        <v>1.1472813796787384E-2</v>
      </c>
      <c r="G12347" s="2890">
        <v>13.609107124397132</v>
      </c>
    </row>
    <row r="12348" spans="2:7" ht="15" hidden="1" outlineLevel="2">
      <c r="B12348" s="2889" t="s">
        <v>1640</v>
      </c>
      <c r="C12348" s="2889" t="s">
        <v>1475</v>
      </c>
      <c r="D12348" s="2889" t="s">
        <v>1054</v>
      </c>
      <c r="E12348" s="2889" t="s">
        <v>217</v>
      </c>
      <c r="F12348" s="2890">
        <v>8.2178360258584066E-3</v>
      </c>
      <c r="G12348" s="2890">
        <v>12.859775460473136</v>
      </c>
    </row>
    <row r="12349" spans="2:7" ht="15" hidden="1" outlineLevel="2">
      <c r="B12349" s="2889" t="s">
        <v>1640</v>
      </c>
      <c r="C12349" s="2889" t="s">
        <v>1476</v>
      </c>
      <c r="D12349" s="2889" t="s">
        <v>1054</v>
      </c>
      <c r="E12349" s="2889" t="s">
        <v>217</v>
      </c>
      <c r="F12349" s="2890">
        <v>2.0233915421044916E-2</v>
      </c>
      <c r="G12349" s="2890">
        <v>25.59530263978786</v>
      </c>
    </row>
    <row r="12350" spans="2:7" ht="15" hidden="1" outlineLevel="2">
      <c r="B12350" s="2889" t="s">
        <v>1640</v>
      </c>
      <c r="C12350" s="2889" t="s">
        <v>1477</v>
      </c>
      <c r="D12350" s="2889" t="s">
        <v>1054</v>
      </c>
      <c r="E12350" s="2889" t="s">
        <v>217</v>
      </c>
      <c r="F12350" s="2890">
        <v>7.9144158356947731E-3</v>
      </c>
      <c r="G12350" s="2890">
        <v>10.793553862974365</v>
      </c>
    </row>
    <row r="12351" spans="2:7" ht="15" hidden="1" outlineLevel="2">
      <c r="B12351" s="2889" t="s">
        <v>1640</v>
      </c>
      <c r="C12351" s="2889" t="s">
        <v>1478</v>
      </c>
      <c r="D12351" s="2889" t="s">
        <v>1054</v>
      </c>
      <c r="E12351" s="2889" t="s">
        <v>217</v>
      </c>
      <c r="F12351" s="2890">
        <v>4.2651075606968056E-4</v>
      </c>
      <c r="G12351" s="2890">
        <v>0.56039386362490407</v>
      </c>
    </row>
    <row r="12352" spans="2:7" ht="15" hidden="1" outlineLevel="2">
      <c r="B12352" s="2889" t="s">
        <v>1640</v>
      </c>
      <c r="C12352" s="2889" t="s">
        <v>1479</v>
      </c>
      <c r="D12352" s="2889" t="s">
        <v>1054</v>
      </c>
      <c r="E12352" s="2889" t="s">
        <v>217</v>
      </c>
      <c r="F12352" s="2890">
        <v>1.5080007604084037E-2</v>
      </c>
      <c r="G12352" s="2890">
        <v>22.595998245146657</v>
      </c>
    </row>
    <row r="12353" spans="2:7" ht="15" hidden="1" outlineLevel="2">
      <c r="B12353" s="2889" t="s">
        <v>1640</v>
      </c>
      <c r="C12353" s="2889" t="s">
        <v>1480</v>
      </c>
      <c r="D12353" s="2889" t="s">
        <v>1054</v>
      </c>
      <c r="E12353" s="2889" t="s">
        <v>217</v>
      </c>
      <c r="F12353" s="2890">
        <v>6.7879412410316456E-3</v>
      </c>
      <c r="G12353" s="2890">
        <v>7.7824231388208034</v>
      </c>
    </row>
    <row r="12354" spans="2:7" ht="15" hidden="1" outlineLevel="2">
      <c r="B12354" s="2889" t="s">
        <v>1640</v>
      </c>
      <c r="C12354" s="2889" t="s">
        <v>1481</v>
      </c>
      <c r="D12354" s="2889" t="s">
        <v>1054</v>
      </c>
      <c r="E12354" s="2889" t="s">
        <v>217</v>
      </c>
      <c r="F12354" s="2890">
        <v>3.3594857959301214E-2</v>
      </c>
      <c r="G12354" s="2890">
        <v>47.063000818418864</v>
      </c>
    </row>
    <row r="12355" spans="2:7" ht="15" hidden="1" outlineLevel="2">
      <c r="B12355" s="2889" t="s">
        <v>1640</v>
      </c>
      <c r="C12355" s="2889" t="s">
        <v>1482</v>
      </c>
      <c r="D12355" s="2889" t="s">
        <v>1054</v>
      </c>
      <c r="E12355" s="2889" t="s">
        <v>217</v>
      </c>
      <c r="F12355" s="2890">
        <v>2.2640437548126838E-2</v>
      </c>
      <c r="G12355" s="2890">
        <v>22.545640257950499</v>
      </c>
    </row>
    <row r="12356" spans="2:7" ht="15" hidden="1" outlineLevel="2">
      <c r="B12356" s="2889" t="s">
        <v>1640</v>
      </c>
      <c r="C12356" s="2889" t="s">
        <v>1483</v>
      </c>
      <c r="D12356" s="2889" t="s">
        <v>1054</v>
      </c>
      <c r="E12356" s="2889" t="s">
        <v>217</v>
      </c>
      <c r="F12356" s="2890">
        <v>1.0748136184895712E-3</v>
      </c>
      <c r="G12356" s="2890">
        <v>1.7972425642460244</v>
      </c>
    </row>
    <row r="12357" spans="2:7" ht="15" hidden="1" outlineLevel="2">
      <c r="B12357" s="2889" t="s">
        <v>1640</v>
      </c>
      <c r="C12357" s="2889" t="s">
        <v>1484</v>
      </c>
      <c r="D12357" s="2889" t="s">
        <v>1054</v>
      </c>
      <c r="E12357" s="2889" t="s">
        <v>217</v>
      </c>
      <c r="F12357" s="2890">
        <v>2.1875304683466519E-3</v>
      </c>
      <c r="G12357" s="2890">
        <v>3.0474743407191718</v>
      </c>
    </row>
    <row r="12358" spans="2:7" ht="15" hidden="1" outlineLevel="2">
      <c r="B12358" s="2889" t="s">
        <v>1640</v>
      </c>
      <c r="C12358" s="2889" t="s">
        <v>1485</v>
      </c>
      <c r="D12358" s="2889" t="s">
        <v>1054</v>
      </c>
      <c r="E12358" s="2889" t="s">
        <v>217</v>
      </c>
      <c r="F12358" s="2890">
        <v>9.7102902920359363E-4</v>
      </c>
      <c r="G12358" s="2890">
        <v>2.7308114339759579</v>
      </c>
    </row>
    <row r="12359" spans="2:7" ht="15" hidden="1" outlineLevel="2">
      <c r="B12359" s="2889" t="s">
        <v>1640</v>
      </c>
      <c r="C12359" s="2889" t="s">
        <v>1486</v>
      </c>
      <c r="D12359" s="2889" t="s">
        <v>1054</v>
      </c>
      <c r="E12359" s="2889" t="s">
        <v>217</v>
      </c>
      <c r="F12359" s="2890">
        <v>1.1315780640607921E-3</v>
      </c>
      <c r="G12359" s="2890">
        <v>6.5223846203098654</v>
      </c>
    </row>
    <row r="12360" spans="2:7" ht="15" hidden="1" outlineLevel="2">
      <c r="B12360" s="2889" t="s">
        <v>1640</v>
      </c>
      <c r="C12360" s="2889" t="s">
        <v>1487</v>
      </c>
      <c r="D12360" s="2889" t="s">
        <v>1054</v>
      </c>
      <c r="E12360" s="2889" t="s">
        <v>217</v>
      </c>
      <c r="F12360" s="2890">
        <v>1.0710773256576338E-2</v>
      </c>
      <c r="G12360" s="2890">
        <v>15.456357520948826</v>
      </c>
    </row>
    <row r="12361" spans="2:7" ht="15" hidden="1" outlineLevel="2">
      <c r="B12361" s="2889" t="s">
        <v>1640</v>
      </c>
      <c r="C12361" s="2889" t="s">
        <v>1488</v>
      </c>
      <c r="D12361" s="2889" t="s">
        <v>1054</v>
      </c>
      <c r="E12361" s="2889" t="s">
        <v>217</v>
      </c>
      <c r="F12361" s="2890">
        <v>6.6406083486204841E-3</v>
      </c>
      <c r="G12361" s="2890">
        <v>10.607896345828177</v>
      </c>
    </row>
    <row r="12362" spans="2:7" ht="15" hidden="1" outlineLevel="2">
      <c r="B12362" s="2889" t="s">
        <v>1640</v>
      </c>
      <c r="C12362" s="2889" t="s">
        <v>1489</v>
      </c>
      <c r="D12362" s="2889" t="s">
        <v>1054</v>
      </c>
      <c r="E12362" s="2889" t="s">
        <v>217</v>
      </c>
      <c r="F12362" s="2890">
        <v>3.3450330753355428E-3</v>
      </c>
      <c r="G12362" s="2890">
        <v>3.4952073605644891</v>
      </c>
    </row>
    <row r="12363" spans="2:7" ht="15" hidden="1" outlineLevel="2">
      <c r="B12363" s="2889" t="s">
        <v>1640</v>
      </c>
      <c r="C12363" s="2889" t="s">
        <v>1490</v>
      </c>
      <c r="D12363" s="2889" t="s">
        <v>1054</v>
      </c>
      <c r="E12363" s="2889" t="s">
        <v>217</v>
      </c>
      <c r="F12363" s="2890">
        <v>1.5585316636509891E-3</v>
      </c>
      <c r="G12363" s="2890">
        <v>2.4691239449128535</v>
      </c>
    </row>
    <row r="12364" spans="2:7" ht="15" hidden="1" outlineLevel="2">
      <c r="B12364" s="2889" t="s">
        <v>1640</v>
      </c>
      <c r="C12364" s="2889" t="s">
        <v>1491</v>
      </c>
      <c r="D12364" s="2889" t="s">
        <v>1054</v>
      </c>
      <c r="E12364" s="2889" t="s">
        <v>1420</v>
      </c>
      <c r="F12364" s="2890">
        <v>2.9537619237653725E-4</v>
      </c>
      <c r="G12364" s="2890">
        <v>1.3985514635914611</v>
      </c>
    </row>
    <row r="12365" spans="2:7" ht="15" hidden="1" outlineLevel="2">
      <c r="B12365" s="2889" t="s">
        <v>1640</v>
      </c>
      <c r="C12365" s="2889" t="s">
        <v>1492</v>
      </c>
      <c r="D12365" s="2889" t="s">
        <v>1054</v>
      </c>
      <c r="E12365" s="2889" t="s">
        <v>1420</v>
      </c>
      <c r="F12365" s="2890">
        <v>2.195731276639831E-4</v>
      </c>
      <c r="G12365" s="2890">
        <v>2.3470318924262781</v>
      </c>
    </row>
    <row r="12366" spans="2:7" ht="15" hidden="1" outlineLevel="2">
      <c r="B12366" s="2889" t="s">
        <v>1640</v>
      </c>
      <c r="C12366" s="2889" t="s">
        <v>1493</v>
      </c>
      <c r="D12366" s="2889" t="s">
        <v>1054</v>
      </c>
      <c r="E12366" s="2889" t="s">
        <v>1420</v>
      </c>
      <c r="F12366" s="2890">
        <v>1.6259025144889448E-4</v>
      </c>
      <c r="G12366" s="2890">
        <v>0.3882694257251329</v>
      </c>
    </row>
    <row r="12367" spans="2:7" ht="15" hidden="1" outlineLevel="2">
      <c r="B12367" s="2889" t="s">
        <v>1640</v>
      </c>
      <c r="C12367" s="2889" t="s">
        <v>1494</v>
      </c>
      <c r="D12367" s="2889" t="s">
        <v>1054</v>
      </c>
      <c r="E12367" s="2889" t="s">
        <v>1420</v>
      </c>
      <c r="F12367" s="2890">
        <v>4.433486884162038E-5</v>
      </c>
      <c r="G12367" s="2890">
        <v>0.24329823428661518</v>
      </c>
    </row>
    <row r="12368" spans="2:7" ht="15" hidden="1" outlineLevel="2">
      <c r="B12368" s="2889" t="s">
        <v>1640</v>
      </c>
      <c r="C12368" s="2889" t="s">
        <v>1495</v>
      </c>
      <c r="D12368" s="2889" t="s">
        <v>1054</v>
      </c>
      <c r="E12368" s="2889" t="s">
        <v>1420</v>
      </c>
      <c r="F12368" s="2890">
        <v>9.5943685812261694E-4</v>
      </c>
      <c r="G12368" s="2890">
        <v>4.3055558079881671</v>
      </c>
    </row>
    <row r="12369" spans="2:7" ht="15" hidden="1" outlineLevel="2">
      <c r="B12369" s="2889" t="s">
        <v>1640</v>
      </c>
      <c r="C12369" s="2889" t="s">
        <v>1496</v>
      </c>
      <c r="D12369" s="2889" t="s">
        <v>1054</v>
      </c>
      <c r="E12369" s="2889" t="s">
        <v>1420</v>
      </c>
      <c r="F12369" s="2890">
        <v>8.7043106745456999E-4</v>
      </c>
      <c r="G12369" s="2890">
        <v>1.5502490137128364</v>
      </c>
    </row>
    <row r="12370" spans="2:7" ht="15" hidden="1" outlineLevel="2">
      <c r="B12370" s="2889" t="s">
        <v>1640</v>
      </c>
      <c r="C12370" s="2889" t="s">
        <v>1497</v>
      </c>
      <c r="D12370" s="2889" t="s">
        <v>1054</v>
      </c>
      <c r="E12370" s="2889" t="s">
        <v>1420</v>
      </c>
      <c r="F12370" s="2890">
        <v>2.4150436061693724E-4</v>
      </c>
      <c r="G12370" s="2890">
        <v>3.9833312563131358</v>
      </c>
    </row>
    <row r="12371" spans="2:7" ht="15" hidden="1" outlineLevel="2">
      <c r="B12371" s="2889" t="s">
        <v>1640</v>
      </c>
      <c r="C12371" s="2889" t="s">
        <v>1498</v>
      </c>
      <c r="D12371" s="2889" t="s">
        <v>1054</v>
      </c>
      <c r="E12371" s="2889" t="s">
        <v>1420</v>
      </c>
      <c r="F12371" s="2890">
        <v>6.6014365236063922E-4</v>
      </c>
      <c r="G12371" s="2890">
        <v>1.5865184614993781</v>
      </c>
    </row>
    <row r="12372" spans="2:7" ht="15" hidden="1" outlineLevel="2">
      <c r="B12372" s="2889" t="s">
        <v>1640</v>
      </c>
      <c r="C12372" s="2889" t="s">
        <v>1499</v>
      </c>
      <c r="D12372" s="2889" t="s">
        <v>1054</v>
      </c>
      <c r="E12372" s="2889" t="s">
        <v>1420</v>
      </c>
      <c r="F12372" s="2890">
        <v>1.0082198689260377E-4</v>
      </c>
      <c r="G12372" s="2890">
        <v>0.25529393872532447</v>
      </c>
    </row>
    <row r="12373" spans="2:7" ht="15" hidden="1" outlineLevel="2">
      <c r="B12373" s="2889" t="s">
        <v>1640</v>
      </c>
      <c r="C12373" s="2889" t="s">
        <v>1500</v>
      </c>
      <c r="D12373" s="2889" t="s">
        <v>1054</v>
      </c>
      <c r="E12373" s="2889" t="s">
        <v>1420</v>
      </c>
      <c r="F12373" s="2890">
        <v>7.3027389725954979E-4</v>
      </c>
      <c r="G12373" s="2890">
        <v>2.7617234846437051</v>
      </c>
    </row>
    <row r="12374" spans="2:7" ht="15" hidden="1" outlineLevel="2">
      <c r="B12374" s="2889" t="s">
        <v>1640</v>
      </c>
      <c r="C12374" s="2889" t="s">
        <v>1501</v>
      </c>
      <c r="D12374" s="2889" t="s">
        <v>1054</v>
      </c>
      <c r="E12374" s="2889" t="s">
        <v>1420</v>
      </c>
      <c r="F12374" s="2890">
        <v>9.1592141229117493E-4</v>
      </c>
      <c r="G12374" s="2890">
        <v>6.7249405773358175</v>
      </c>
    </row>
    <row r="12375" spans="2:7" ht="15" hidden="1" outlineLevel="2">
      <c r="B12375" s="2889" t="s">
        <v>1640</v>
      </c>
      <c r="C12375" s="2889" t="s">
        <v>1502</v>
      </c>
      <c r="D12375" s="2889" t="s">
        <v>1054</v>
      </c>
      <c r="E12375" s="2889" t="s">
        <v>1420</v>
      </c>
      <c r="F12375" s="2890">
        <v>6.3908601644696789E-5</v>
      </c>
      <c r="G12375" s="2890">
        <v>0.70249692597257596</v>
      </c>
    </row>
    <row r="12376" spans="2:7" ht="15" hidden="1" outlineLevel="2">
      <c r="B12376" s="2889" t="s">
        <v>1640</v>
      </c>
      <c r="C12376" s="2889" t="s">
        <v>1503</v>
      </c>
      <c r="D12376" s="2889" t="s">
        <v>1054</v>
      </c>
      <c r="E12376" s="2889" t="s">
        <v>1420</v>
      </c>
      <c r="F12376" s="2890">
        <v>2.1076457417873347E-3</v>
      </c>
      <c r="G12376" s="2890">
        <v>5.8192276201211088</v>
      </c>
    </row>
    <row r="12377" spans="2:7" ht="15" hidden="1" outlineLevel="2">
      <c r="B12377" s="2889" t="s">
        <v>1640</v>
      </c>
      <c r="C12377" s="2889" t="s">
        <v>1504</v>
      </c>
      <c r="D12377" s="2889" t="s">
        <v>1054</v>
      </c>
      <c r="E12377" s="2889" t="s">
        <v>1420</v>
      </c>
      <c r="F12377" s="2890">
        <v>1.0871847357242694E-3</v>
      </c>
      <c r="G12377" s="2890">
        <v>2.406493336467733</v>
      </c>
    </row>
    <row r="12378" spans="2:7" ht="15" hidden="1" outlineLevel="2">
      <c r="B12378" s="2889" t="s">
        <v>1640</v>
      </c>
      <c r="C12378" s="2889" t="s">
        <v>1505</v>
      </c>
      <c r="D12378" s="2889" t="s">
        <v>1054</v>
      </c>
      <c r="E12378" s="2889" t="s">
        <v>1423</v>
      </c>
      <c r="F12378" s="2890">
        <v>3.0830178309566867E-3</v>
      </c>
      <c r="G12378" s="2890">
        <v>7.6298037165207291E-2</v>
      </c>
    </row>
    <row r="12379" spans="2:7" ht="15" hidden="1" outlineLevel="2">
      <c r="B12379" s="2889" t="s">
        <v>1640</v>
      </c>
      <c r="C12379" s="2889" t="s">
        <v>1506</v>
      </c>
      <c r="D12379" s="2889" t="s">
        <v>1054</v>
      </c>
      <c r="E12379" s="2889" t="s">
        <v>1426</v>
      </c>
      <c r="F12379" s="2891"/>
      <c r="G12379" s="2890">
        <v>226.53770376503471</v>
      </c>
    </row>
    <row r="12380" spans="2:7" ht="15" hidden="1" outlineLevel="2">
      <c r="B12380" s="2889" t="s">
        <v>1640</v>
      </c>
      <c r="C12380" s="2889" t="s">
        <v>1507</v>
      </c>
      <c r="D12380" s="2889" t="s">
        <v>1054</v>
      </c>
      <c r="E12380" s="2889" t="s">
        <v>1426</v>
      </c>
      <c r="F12380" s="2891"/>
      <c r="G12380" s="2890">
        <v>0.36927186949696766</v>
      </c>
    </row>
    <row r="12381" spans="2:7" ht="15" hidden="1" outlineLevel="2">
      <c r="B12381" s="2889" t="s">
        <v>1640</v>
      </c>
      <c r="C12381" s="2889" t="s">
        <v>1508</v>
      </c>
      <c r="D12381" s="2889" t="s">
        <v>1054</v>
      </c>
      <c r="E12381" s="2889" t="s">
        <v>1426</v>
      </c>
      <c r="F12381" s="2891"/>
      <c r="G12381" s="2890">
        <v>6.0836219398820734</v>
      </c>
    </row>
    <row r="12382" spans="2:7" ht="15" hidden="1" outlineLevel="2">
      <c r="B12382" s="2889" t="s">
        <v>1640</v>
      </c>
      <c r="C12382" s="2889" t="s">
        <v>1509</v>
      </c>
      <c r="D12382" s="2889" t="s">
        <v>1054</v>
      </c>
      <c r="E12382" s="2889" t="s">
        <v>1426</v>
      </c>
      <c r="F12382" s="2891"/>
      <c r="G12382" s="2890">
        <v>567.05042575436164</v>
      </c>
    </row>
    <row r="12383" spans="2:7" ht="15" hidden="1" outlineLevel="2">
      <c r="B12383" s="2889" t="s">
        <v>1640</v>
      </c>
      <c r="C12383" s="2889" t="s">
        <v>1510</v>
      </c>
      <c r="D12383" s="2889" t="s">
        <v>1054</v>
      </c>
      <c r="E12383" s="2889" t="s">
        <v>1426</v>
      </c>
      <c r="F12383" s="2891"/>
      <c r="G12383" s="2890">
        <v>616.8317315608117</v>
      </c>
    </row>
    <row r="12384" spans="2:7" ht="15" hidden="1" outlineLevel="2">
      <c r="B12384" s="2889" t="s">
        <v>1640</v>
      </c>
      <c r="C12384" s="2889" t="s">
        <v>1511</v>
      </c>
      <c r="D12384" s="2889" t="s">
        <v>1054</v>
      </c>
      <c r="E12384" s="2889" t="s">
        <v>1426</v>
      </c>
      <c r="F12384" s="2891"/>
      <c r="G12384" s="2890">
        <v>33.983356105972206</v>
      </c>
    </row>
    <row r="12385" spans="2:7" ht="15" hidden="1" outlineLevel="2">
      <c r="B12385" s="2889" t="s">
        <v>1640</v>
      </c>
      <c r="C12385" s="2889" t="s">
        <v>1512</v>
      </c>
      <c r="D12385" s="2889" t="s">
        <v>1054</v>
      </c>
      <c r="E12385" s="2889" t="s">
        <v>1426</v>
      </c>
      <c r="F12385" s="2891"/>
      <c r="G12385" s="2890">
        <v>20.975539936122637</v>
      </c>
    </row>
    <row r="12386" spans="2:7" ht="15" hidden="1" outlineLevel="2">
      <c r="B12386" s="2889" t="s">
        <v>1640</v>
      </c>
      <c r="C12386" s="2889" t="s">
        <v>1513</v>
      </c>
      <c r="D12386" s="2889" t="s">
        <v>1054</v>
      </c>
      <c r="E12386" s="2889" t="s">
        <v>1426</v>
      </c>
      <c r="F12386" s="2891"/>
      <c r="G12386" s="2890">
        <v>62.631890164390526</v>
      </c>
    </row>
    <row r="12387" spans="2:7" ht="15" hidden="1" outlineLevel="2">
      <c r="B12387" s="2889" t="s">
        <v>1640</v>
      </c>
      <c r="C12387" s="2889" t="s">
        <v>1514</v>
      </c>
      <c r="D12387" s="2889" t="s">
        <v>1054</v>
      </c>
      <c r="E12387" s="2889" t="s">
        <v>1426</v>
      </c>
      <c r="F12387" s="2891"/>
      <c r="G12387" s="2890">
        <v>269.01621623863792</v>
      </c>
    </row>
    <row r="12388" spans="2:7" ht="15" hidden="1" outlineLevel="2">
      <c r="B12388" s="2889" t="s">
        <v>1640</v>
      </c>
      <c r="C12388" s="2889" t="s">
        <v>1515</v>
      </c>
      <c r="D12388" s="2889" t="s">
        <v>1054</v>
      </c>
      <c r="E12388" s="2889" t="s">
        <v>1426</v>
      </c>
      <c r="F12388" s="2891"/>
      <c r="G12388" s="2890">
        <v>231.32246617037765</v>
      </c>
    </row>
    <row r="12389" spans="2:7" ht="15" hidden="1" outlineLevel="2">
      <c r="B12389" s="2889" t="s">
        <v>1640</v>
      </c>
      <c r="C12389" s="2889" t="s">
        <v>1516</v>
      </c>
      <c r="D12389" s="2889" t="s">
        <v>1054</v>
      </c>
      <c r="E12389" s="2889" t="s">
        <v>1426</v>
      </c>
      <c r="F12389" s="2891"/>
      <c r="G12389" s="2890">
        <v>2298.0382541926901</v>
      </c>
    </row>
    <row r="12390" spans="2:7" ht="15" hidden="1" outlineLevel="2">
      <c r="B12390" s="2889" t="s">
        <v>1640</v>
      </c>
      <c r="C12390" s="2889" t="s">
        <v>1517</v>
      </c>
      <c r="D12390" s="2889" t="s">
        <v>1054</v>
      </c>
      <c r="E12390" s="2889" t="s">
        <v>1426</v>
      </c>
      <c r="F12390" s="2891"/>
      <c r="G12390" s="2890">
        <v>19.062123356059161</v>
      </c>
    </row>
    <row r="12391" spans="2:7" ht="15" hidden="1" outlineLevel="2">
      <c r="B12391" s="2889" t="s">
        <v>1640</v>
      </c>
      <c r="C12391" s="2889" t="s">
        <v>1518</v>
      </c>
      <c r="D12391" s="2889" t="s">
        <v>1054</v>
      </c>
      <c r="E12391" s="2889" t="s">
        <v>1426</v>
      </c>
      <c r="F12391" s="2891"/>
      <c r="G12391" s="2890">
        <v>9.0039094704240874</v>
      </c>
    </row>
    <row r="12392" spans="2:7" ht="15" hidden="1" outlineLevel="2">
      <c r="B12392" s="2889" t="s">
        <v>1640</v>
      </c>
      <c r="C12392" s="2889" t="s">
        <v>1519</v>
      </c>
      <c r="D12392" s="2889" t="s">
        <v>1054</v>
      </c>
      <c r="E12392" s="2889" t="s">
        <v>1426</v>
      </c>
      <c r="F12392" s="2891"/>
      <c r="G12392" s="2890">
        <v>524.85214111391281</v>
      </c>
    </row>
    <row r="12393" spans="2:7" ht="15" hidden="1" outlineLevel="2">
      <c r="B12393" s="2889" t="s">
        <v>1640</v>
      </c>
      <c r="C12393" s="2889" t="s">
        <v>1520</v>
      </c>
      <c r="D12393" s="2889" t="s">
        <v>1054</v>
      </c>
      <c r="E12393" s="2889" t="s">
        <v>1426</v>
      </c>
      <c r="F12393" s="2891"/>
      <c r="G12393" s="2890">
        <v>571.73751750604401</v>
      </c>
    </row>
    <row r="12394" spans="2:7" ht="15" hidden="1" outlineLevel="2">
      <c r="B12394" s="2889" t="s">
        <v>1640</v>
      </c>
      <c r="C12394" s="2889" t="s">
        <v>1521</v>
      </c>
      <c r="D12394" s="2889" t="s">
        <v>1054</v>
      </c>
      <c r="E12394" s="2889" t="s">
        <v>1426</v>
      </c>
      <c r="F12394" s="2891"/>
      <c r="G12394" s="2890">
        <v>1965.4972484286566</v>
      </c>
    </row>
    <row r="12395" spans="2:7" ht="15" hidden="1" outlineLevel="2">
      <c r="B12395" s="2889" t="s">
        <v>1640</v>
      </c>
      <c r="C12395" s="2889" t="s">
        <v>1522</v>
      </c>
      <c r="D12395" s="2889" t="s">
        <v>1054</v>
      </c>
      <c r="E12395" s="2889" t="s">
        <v>1426</v>
      </c>
      <c r="F12395" s="2891"/>
      <c r="G12395" s="2890">
        <v>92.532917147203321</v>
      </c>
    </row>
    <row r="12396" spans="2:7" ht="15" hidden="1" outlineLevel="2">
      <c r="B12396" s="2889" t="s">
        <v>1640</v>
      </c>
      <c r="C12396" s="2889" t="s">
        <v>1523</v>
      </c>
      <c r="D12396" s="2889" t="s">
        <v>1054</v>
      </c>
      <c r="E12396" s="2889" t="s">
        <v>1426</v>
      </c>
      <c r="F12396" s="2891"/>
      <c r="G12396" s="2890">
        <v>735.57449620109674</v>
      </c>
    </row>
    <row r="12397" spans="2:7" ht="15" hidden="1" outlineLevel="2">
      <c r="B12397" s="2889" t="s">
        <v>1640</v>
      </c>
      <c r="C12397" s="2889" t="s">
        <v>1524</v>
      </c>
      <c r="D12397" s="2889" t="s">
        <v>1054</v>
      </c>
      <c r="E12397" s="2889" t="s">
        <v>1426</v>
      </c>
      <c r="F12397" s="2891"/>
      <c r="G12397" s="2890">
        <v>2501.318714545032</v>
      </c>
    </row>
    <row r="12398" spans="2:7" ht="15" hidden="1" outlineLevel="2">
      <c r="B12398" s="2889" t="s">
        <v>1640</v>
      </c>
      <c r="C12398" s="2889" t="s">
        <v>1525</v>
      </c>
      <c r="D12398" s="2889" t="s">
        <v>1054</v>
      </c>
      <c r="E12398" s="2889" t="s">
        <v>1426</v>
      </c>
      <c r="F12398" s="2891"/>
      <c r="G12398" s="2890">
        <v>1516.8980036245698</v>
      </c>
    </row>
    <row r="12399" spans="2:7" ht="15" hidden="1" outlineLevel="2">
      <c r="B12399" s="2889" t="s">
        <v>1640</v>
      </c>
      <c r="C12399" s="2889" t="s">
        <v>1526</v>
      </c>
      <c r="D12399" s="2889" t="s">
        <v>1054</v>
      </c>
      <c r="E12399" s="2889" t="s">
        <v>1426</v>
      </c>
      <c r="F12399" s="2891"/>
      <c r="G12399" s="2890">
        <v>2289.1958027329906</v>
      </c>
    </row>
    <row r="12400" spans="2:7" ht="15" hidden="1" outlineLevel="2">
      <c r="B12400" s="2889" t="s">
        <v>1640</v>
      </c>
      <c r="C12400" s="2889" t="s">
        <v>1527</v>
      </c>
      <c r="D12400" s="2889" t="s">
        <v>1054</v>
      </c>
      <c r="E12400" s="2889" t="s">
        <v>1426</v>
      </c>
      <c r="F12400" s="2891"/>
      <c r="G12400" s="2890">
        <v>1040.1237123150113</v>
      </c>
    </row>
    <row r="12401" spans="2:7" ht="15" hidden="1" outlineLevel="2">
      <c r="B12401" s="2889" t="s">
        <v>1640</v>
      </c>
      <c r="C12401" s="2889" t="s">
        <v>1528</v>
      </c>
      <c r="D12401" s="2889" t="s">
        <v>1054</v>
      </c>
      <c r="E12401" s="2889" t="s">
        <v>1426</v>
      </c>
      <c r="F12401" s="2891"/>
      <c r="G12401" s="2890">
        <v>246.23028477909577</v>
      </c>
    </row>
    <row r="12402" spans="2:7" ht="15" hidden="1" outlineLevel="2">
      <c r="B12402" s="2889" t="s">
        <v>1640</v>
      </c>
      <c r="C12402" s="2889" t="s">
        <v>1529</v>
      </c>
      <c r="D12402" s="2889" t="s">
        <v>1054</v>
      </c>
      <c r="E12402" s="2889" t="s">
        <v>1426</v>
      </c>
      <c r="F12402" s="2891"/>
      <c r="G12402" s="2890">
        <v>3.2046997148982777</v>
      </c>
    </row>
    <row r="12403" spans="2:7" ht="15" hidden="1" outlineLevel="2">
      <c r="B12403" s="2889" t="s">
        <v>1640</v>
      </c>
      <c r="C12403" s="2889" t="s">
        <v>1530</v>
      </c>
      <c r="D12403" s="2889" t="s">
        <v>1054</v>
      </c>
      <c r="E12403" s="2889" t="s">
        <v>1426</v>
      </c>
      <c r="F12403" s="2891"/>
      <c r="G12403" s="2890">
        <v>235.94708598026583</v>
      </c>
    </row>
    <row r="12404" spans="2:7" ht="15" hidden="1" outlineLevel="2">
      <c r="B12404" s="2889" t="s">
        <v>1640</v>
      </c>
      <c r="C12404" s="2889" t="s">
        <v>1531</v>
      </c>
      <c r="D12404" s="2889" t="s">
        <v>1106</v>
      </c>
      <c r="E12404" s="2889" t="s">
        <v>217</v>
      </c>
      <c r="F12404" s="2890">
        <v>7.5991805414344333E-5</v>
      </c>
      <c r="G12404" s="2890">
        <v>3.4064119873605872E-2</v>
      </c>
    </row>
    <row r="12405" spans="2:7" ht="15" hidden="1" outlineLevel="2">
      <c r="B12405" s="2889" t="s">
        <v>1640</v>
      </c>
      <c r="C12405" s="2889" t="s">
        <v>1532</v>
      </c>
      <c r="D12405" s="2889" t="s">
        <v>1106</v>
      </c>
      <c r="E12405" s="2889" t="s">
        <v>217</v>
      </c>
      <c r="F12405" s="2890">
        <v>5.9850298343740954E-6</v>
      </c>
      <c r="G12405" s="2890">
        <v>2.6828521999823812E-3</v>
      </c>
    </row>
    <row r="12406" spans="2:7" ht="15" hidden="1" outlineLevel="2">
      <c r="B12406" s="2889" t="s">
        <v>1640</v>
      </c>
      <c r="C12406" s="2889" t="s">
        <v>1533</v>
      </c>
      <c r="D12406" s="2889" t="s">
        <v>1106</v>
      </c>
      <c r="E12406" s="2889" t="s">
        <v>217</v>
      </c>
      <c r="F12406" s="2890">
        <v>3.9099877627100724E-3</v>
      </c>
      <c r="G12406" s="2890">
        <v>4.143372622936031</v>
      </c>
    </row>
    <row r="12407" spans="2:7" ht="15" hidden="1" outlineLevel="2">
      <c r="B12407" s="2889" t="s">
        <v>1640</v>
      </c>
      <c r="C12407" s="2889" t="s">
        <v>1534</v>
      </c>
      <c r="D12407" s="2889" t="s">
        <v>1106</v>
      </c>
      <c r="E12407" s="2889" t="s">
        <v>217</v>
      </c>
      <c r="F12407" s="2890">
        <v>3.5554288136190855E-3</v>
      </c>
      <c r="G12407" s="2890">
        <v>12.269647567082133</v>
      </c>
    </row>
    <row r="12408" spans="2:7" ht="15" hidden="1" outlineLevel="2">
      <c r="B12408" s="2889" t="s">
        <v>1640</v>
      </c>
      <c r="C12408" s="2889" t="s">
        <v>1535</v>
      </c>
      <c r="D12408" s="2889" t="s">
        <v>1106</v>
      </c>
      <c r="E12408" s="2889" t="s">
        <v>217</v>
      </c>
      <c r="F12408" s="2890">
        <v>1.3311976172046759E-3</v>
      </c>
      <c r="G12408" s="2890">
        <v>3.0987280323529909</v>
      </c>
    </row>
    <row r="12409" spans="2:7" ht="15" hidden="1" outlineLevel="2">
      <c r="B12409" s="2889" t="s">
        <v>1640</v>
      </c>
      <c r="C12409" s="2889" t="s">
        <v>1536</v>
      </c>
      <c r="D12409" s="2889" t="s">
        <v>1106</v>
      </c>
      <c r="E12409" s="2889" t="s">
        <v>217</v>
      </c>
      <c r="F12409" s="2890">
        <v>4.4668432620313938E-3</v>
      </c>
      <c r="G12409" s="2890">
        <v>5.7758866780994964</v>
      </c>
    </row>
    <row r="12410" spans="2:7" ht="15" hidden="1" outlineLevel="2">
      <c r="B12410" s="2889" t="s">
        <v>1640</v>
      </c>
      <c r="C12410" s="2889" t="s">
        <v>1537</v>
      </c>
      <c r="D12410" s="2889" t="s">
        <v>1106</v>
      </c>
      <c r="E12410" s="2889" t="s">
        <v>217</v>
      </c>
      <c r="F12410" s="2890">
        <v>2.4981884992341578E-4</v>
      </c>
      <c r="G12410" s="2890">
        <v>0.28378500069178342</v>
      </c>
    </row>
    <row r="12411" spans="2:7" ht="15" hidden="1" outlineLevel="2">
      <c r="B12411" s="2889" t="s">
        <v>1640</v>
      </c>
      <c r="C12411" s="2889" t="s">
        <v>1538</v>
      </c>
      <c r="D12411" s="2889" t="s">
        <v>1106</v>
      </c>
      <c r="E12411" s="2889" t="s">
        <v>217</v>
      </c>
      <c r="F12411" s="2890">
        <v>1.5262594972066825E-4</v>
      </c>
      <c r="G12411" s="2890">
        <v>0.20461396624474662</v>
      </c>
    </row>
    <row r="12412" spans="2:7" ht="15" hidden="1" outlineLevel="2">
      <c r="B12412" s="2889" t="s">
        <v>1640</v>
      </c>
      <c r="C12412" s="2889" t="s">
        <v>1539</v>
      </c>
      <c r="D12412" s="2889" t="s">
        <v>1106</v>
      </c>
      <c r="E12412" s="2889" t="s">
        <v>217</v>
      </c>
      <c r="F12412" s="2890">
        <v>9.824621602482957E-5</v>
      </c>
      <c r="G12412" s="2890">
        <v>1.2511181936089173</v>
      </c>
    </row>
    <row r="12413" spans="2:7" ht="15" hidden="1" outlineLevel="2">
      <c r="B12413" s="2889" t="s">
        <v>1640</v>
      </c>
      <c r="C12413" s="2889" t="s">
        <v>1540</v>
      </c>
      <c r="D12413" s="2889" t="s">
        <v>1106</v>
      </c>
      <c r="E12413" s="2889" t="s">
        <v>1420</v>
      </c>
      <c r="F12413" s="2890">
        <v>4.3254081799267013E-3</v>
      </c>
      <c r="G12413" s="2890">
        <v>10.496336026259673</v>
      </c>
    </row>
    <row r="12414" spans="2:7" ht="15" hidden="1" outlineLevel="2">
      <c r="B12414" s="2889" t="s">
        <v>1640</v>
      </c>
      <c r="C12414" s="2889" t="s">
        <v>1541</v>
      </c>
      <c r="D12414" s="2889" t="s">
        <v>1106</v>
      </c>
      <c r="E12414" s="2889" t="s">
        <v>1420</v>
      </c>
      <c r="F12414" s="2890">
        <v>0.12605253904340688</v>
      </c>
      <c r="G12414" s="2890">
        <v>928.03727143853496</v>
      </c>
    </row>
    <row r="12415" spans="2:7" ht="15" hidden="1" outlineLevel="2">
      <c r="B12415" s="2889" t="s">
        <v>1640</v>
      </c>
      <c r="C12415" s="2889" t="s">
        <v>1542</v>
      </c>
      <c r="D12415" s="2889" t="s">
        <v>1106</v>
      </c>
      <c r="E12415" s="2889" t="s">
        <v>1420</v>
      </c>
      <c r="F12415" s="2890">
        <v>6.1311264292078331E-4</v>
      </c>
      <c r="G12415" s="2890">
        <v>7.0159816734079632</v>
      </c>
    </row>
    <row r="12416" spans="2:7" ht="15" hidden="1" outlineLevel="2">
      <c r="B12416" s="2889" t="s">
        <v>1640</v>
      </c>
      <c r="C12416" s="2889" t="s">
        <v>1543</v>
      </c>
      <c r="D12416" s="2889" t="s">
        <v>1106</v>
      </c>
      <c r="E12416" s="2889" t="s">
        <v>1420</v>
      </c>
      <c r="F12416" s="2890">
        <v>2.2217695737063707E-4</v>
      </c>
      <c r="G12416" s="2890">
        <v>2.1746295248166079</v>
      </c>
    </row>
    <row r="12417" spans="2:7" ht="15" hidden="1" outlineLevel="2">
      <c r="B12417" s="2889" t="s">
        <v>1640</v>
      </c>
      <c r="C12417" s="2889" t="s">
        <v>1544</v>
      </c>
      <c r="D12417" s="2889" t="s">
        <v>1106</v>
      </c>
      <c r="E12417" s="2889" t="s">
        <v>1420</v>
      </c>
      <c r="F12417" s="2890">
        <v>2.147465100487325E-4</v>
      </c>
      <c r="G12417" s="2890">
        <v>0.56109197482939177</v>
      </c>
    </row>
    <row r="12418" spans="2:7" ht="15" hidden="1" outlineLevel="2">
      <c r="B12418" s="2889" t="s">
        <v>1640</v>
      </c>
      <c r="C12418" s="2889" t="s">
        <v>1545</v>
      </c>
      <c r="D12418" s="2889" t="s">
        <v>1106</v>
      </c>
      <c r="E12418" s="2889" t="s">
        <v>1420</v>
      </c>
      <c r="F12418" s="2890">
        <v>2.1475557877762697E-4</v>
      </c>
      <c r="G12418" s="2890">
        <v>4.2677682937306862</v>
      </c>
    </row>
    <row r="12419" spans="2:7" ht="15" hidden="1" outlineLevel="2">
      <c r="B12419" s="2889" t="s">
        <v>1640</v>
      </c>
      <c r="C12419" s="2889" t="s">
        <v>1546</v>
      </c>
      <c r="D12419" s="2889" t="s">
        <v>1106</v>
      </c>
      <c r="E12419" s="2889" t="s">
        <v>1423</v>
      </c>
      <c r="F12419" s="2890">
        <v>0.65099898777861498</v>
      </c>
      <c r="G12419" s="2890">
        <v>54.785345111895403</v>
      </c>
    </row>
    <row r="12420" spans="2:7" ht="15" hidden="1" outlineLevel="2">
      <c r="B12420" s="2889" t="s">
        <v>1640</v>
      </c>
      <c r="C12420" s="2889" t="s">
        <v>1547</v>
      </c>
      <c r="D12420" s="2889" t="s">
        <v>1106</v>
      </c>
      <c r="E12420" s="2889" t="s">
        <v>1423</v>
      </c>
      <c r="F12420" s="2890">
        <v>7.110573162100941E-4</v>
      </c>
      <c r="G12420" s="2890">
        <v>6.2265501264602507E-2</v>
      </c>
    </row>
    <row r="12421" spans="2:7" ht="15" hidden="1" outlineLevel="2">
      <c r="B12421" s="2889" t="s">
        <v>1640</v>
      </c>
      <c r="C12421" s="2889" t="s">
        <v>1548</v>
      </c>
      <c r="D12421" s="2889" t="s">
        <v>1106</v>
      </c>
      <c r="E12421" s="2889" t="s">
        <v>1423</v>
      </c>
      <c r="F12421" s="2890">
        <v>3.3177862541556262E-4</v>
      </c>
      <c r="G12421" s="2890">
        <v>3.4003886235259705E-2</v>
      </c>
    </row>
    <row r="12422" spans="2:7" ht="15" hidden="1" outlineLevel="2">
      <c r="B12422" s="2889" t="s">
        <v>1640</v>
      </c>
      <c r="C12422" s="2889" t="s">
        <v>1549</v>
      </c>
      <c r="D12422" s="2889" t="s">
        <v>1106</v>
      </c>
      <c r="E12422" s="2889" t="s">
        <v>1423</v>
      </c>
      <c r="F12422" s="2890">
        <v>1.9614883757351816E-3</v>
      </c>
      <c r="G12422" s="2890">
        <v>0.19315559212488764</v>
      </c>
    </row>
    <row r="12423" spans="2:7" ht="15" hidden="1" outlineLevel="2">
      <c r="B12423" s="2889" t="s">
        <v>1640</v>
      </c>
      <c r="C12423" s="2889" t="s">
        <v>1550</v>
      </c>
      <c r="D12423" s="2889" t="s">
        <v>1106</v>
      </c>
      <c r="E12423" s="2889" t="s">
        <v>1423</v>
      </c>
      <c r="F12423" s="2890">
        <v>1.1298534715402395E-3</v>
      </c>
      <c r="G12423" s="2890">
        <v>0.25407949195764584</v>
      </c>
    </row>
    <row r="12424" spans="2:7" ht="15" hidden="1" outlineLevel="2">
      <c r="B12424" s="2889" t="s">
        <v>1640</v>
      </c>
      <c r="C12424" s="2889" t="s">
        <v>1551</v>
      </c>
      <c r="D12424" s="2889" t="s">
        <v>1106</v>
      </c>
      <c r="E12424" s="2889" t="s">
        <v>1426</v>
      </c>
      <c r="F12424" s="2891"/>
      <c r="G12424" s="2890">
        <v>17.077114647904835</v>
      </c>
    </row>
    <row r="12425" spans="2:7" ht="15" hidden="1" outlineLevel="2">
      <c r="B12425" s="2889" t="s">
        <v>1640</v>
      </c>
      <c r="C12425" s="2889" t="s">
        <v>1552</v>
      </c>
      <c r="D12425" s="2889" t="s">
        <v>1106</v>
      </c>
      <c r="E12425" s="2889" t="s">
        <v>1426</v>
      </c>
      <c r="F12425" s="2891"/>
      <c r="G12425" s="2890">
        <v>247.7989172770869</v>
      </c>
    </row>
    <row r="12426" spans="2:7" ht="15" hidden="1" outlineLevel="2">
      <c r="B12426" s="2889" t="s">
        <v>1640</v>
      </c>
      <c r="C12426" s="2889" t="s">
        <v>1553</v>
      </c>
      <c r="D12426" s="2889" t="s">
        <v>1106</v>
      </c>
      <c r="E12426" s="2889" t="s">
        <v>1426</v>
      </c>
      <c r="F12426" s="2891"/>
      <c r="G12426" s="2890">
        <v>108.15597380165377</v>
      </c>
    </row>
    <row r="12427" spans="2:7" ht="15" hidden="1" outlineLevel="2">
      <c r="B12427" s="2889" t="s">
        <v>1640</v>
      </c>
      <c r="C12427" s="2889" t="s">
        <v>1554</v>
      </c>
      <c r="D12427" s="2889" t="s">
        <v>1106</v>
      </c>
      <c r="E12427" s="2889" t="s">
        <v>1426</v>
      </c>
      <c r="F12427" s="2891"/>
      <c r="G12427" s="2890">
        <v>109.77711108783986</v>
      </c>
    </row>
    <row r="12428" spans="2:7" ht="15" hidden="1" outlineLevel="2">
      <c r="B12428" s="2889" t="s">
        <v>1640</v>
      </c>
      <c r="C12428" s="2889" t="s">
        <v>1555</v>
      </c>
      <c r="D12428" s="2889" t="s">
        <v>1106</v>
      </c>
      <c r="E12428" s="2889" t="s">
        <v>1426</v>
      </c>
      <c r="F12428" s="2891"/>
      <c r="G12428" s="2890">
        <v>4.2202248348910976</v>
      </c>
    </row>
    <row r="12429" spans="2:7" ht="15" hidden="1" outlineLevel="2">
      <c r="B12429" s="2889" t="s">
        <v>1640</v>
      </c>
      <c r="C12429" s="2889" t="s">
        <v>1556</v>
      </c>
      <c r="D12429" s="2889" t="s">
        <v>1106</v>
      </c>
      <c r="E12429" s="2889" t="s">
        <v>1426</v>
      </c>
      <c r="F12429" s="2891"/>
      <c r="G12429" s="2890">
        <v>561.84073363483833</v>
      </c>
    </row>
    <row r="12430" spans="2:7" ht="15" hidden="1" outlineLevel="2">
      <c r="B12430" s="2889" t="s">
        <v>1640</v>
      </c>
      <c r="C12430" s="2889" t="s">
        <v>1557</v>
      </c>
      <c r="D12430" s="2889" t="s">
        <v>1106</v>
      </c>
      <c r="E12430" s="2889" t="s">
        <v>1426</v>
      </c>
      <c r="F12430" s="2891"/>
      <c r="G12430" s="2890">
        <v>156.00837594152705</v>
      </c>
    </row>
    <row r="12431" spans="2:7" ht="15" hidden="1" outlineLevel="2">
      <c r="B12431" s="2889" t="s">
        <v>1640</v>
      </c>
      <c r="C12431" s="2889" t="s">
        <v>1558</v>
      </c>
      <c r="D12431" s="2889" t="s">
        <v>1559</v>
      </c>
      <c r="E12431" s="2889" t="s">
        <v>217</v>
      </c>
      <c r="F12431" s="2890">
        <v>3.1499634864433552E-3</v>
      </c>
      <c r="G12431" s="2890">
        <v>1.7252874328141172</v>
      </c>
    </row>
    <row r="12432" spans="2:7" ht="15" hidden="1" outlineLevel="2">
      <c r="B12432" s="2889" t="s">
        <v>1640</v>
      </c>
      <c r="C12432" s="2889" t="s">
        <v>1560</v>
      </c>
      <c r="D12432" s="2889" t="s">
        <v>1559</v>
      </c>
      <c r="E12432" s="2889" t="s">
        <v>217</v>
      </c>
      <c r="F12432" s="2890">
        <v>3.9065624016866592E-2</v>
      </c>
      <c r="G12432" s="2890">
        <v>21.085133820802639</v>
      </c>
    </row>
    <row r="12433" spans="2:7" ht="15" hidden="1" outlineLevel="2">
      <c r="B12433" s="2889" t="s">
        <v>1640</v>
      </c>
      <c r="C12433" s="2889" t="s">
        <v>1561</v>
      </c>
      <c r="D12433" s="2889" t="s">
        <v>1559</v>
      </c>
      <c r="E12433" s="2889" t="s">
        <v>217</v>
      </c>
      <c r="F12433" s="2890">
        <v>4.5204497572062102E-2</v>
      </c>
      <c r="G12433" s="2890">
        <v>23.568847667500346</v>
      </c>
    </row>
    <row r="12434" spans="2:7" ht="15" hidden="1" outlineLevel="2">
      <c r="B12434" s="2889" t="s">
        <v>1640</v>
      </c>
      <c r="C12434" s="2889" t="s">
        <v>1562</v>
      </c>
      <c r="D12434" s="2889" t="s">
        <v>1559</v>
      </c>
      <c r="E12434" s="2889" t="s">
        <v>217</v>
      </c>
      <c r="F12434" s="2890">
        <v>0.42798640112190539</v>
      </c>
      <c r="G12434" s="2890">
        <v>234.65493805739698</v>
      </c>
    </row>
    <row r="12435" spans="2:7" ht="15" hidden="1" outlineLevel="2">
      <c r="B12435" s="2889" t="s">
        <v>1640</v>
      </c>
      <c r="C12435" s="2889" t="s">
        <v>1563</v>
      </c>
      <c r="D12435" s="2889" t="s">
        <v>1559</v>
      </c>
      <c r="E12435" s="2889" t="s">
        <v>217</v>
      </c>
      <c r="F12435" s="2890">
        <v>5.5727905760071986E-2</v>
      </c>
      <c r="G12435" s="2890">
        <v>32.844324334965805</v>
      </c>
    </row>
    <row r="12436" spans="2:7" ht="15" hidden="1" outlineLevel="2">
      <c r="B12436" s="2889" t="s">
        <v>1640</v>
      </c>
      <c r="C12436" s="2889" t="s">
        <v>1564</v>
      </c>
      <c r="D12436" s="2889" t="s">
        <v>1559</v>
      </c>
      <c r="E12436" s="2889" t="s">
        <v>217</v>
      </c>
      <c r="F12436" s="2890">
        <v>0.40407305556923873</v>
      </c>
      <c r="G12436" s="2890">
        <v>204.61511726444061</v>
      </c>
    </row>
    <row r="12437" spans="2:7" ht="15" hidden="1" outlineLevel="2">
      <c r="B12437" s="2889" t="s">
        <v>1640</v>
      </c>
      <c r="C12437" s="2889" t="s">
        <v>1565</v>
      </c>
      <c r="D12437" s="2889" t="s">
        <v>1559</v>
      </c>
      <c r="E12437" s="2889" t="s">
        <v>217</v>
      </c>
      <c r="F12437" s="2890">
        <v>3.9280523714084803E-2</v>
      </c>
      <c r="G12437" s="2890">
        <v>21.13854605479051</v>
      </c>
    </row>
    <row r="12438" spans="2:7" ht="15" hidden="1" outlineLevel="2">
      <c r="B12438" s="2889" t="s">
        <v>1640</v>
      </c>
      <c r="C12438" s="2889" t="s">
        <v>1566</v>
      </c>
      <c r="D12438" s="2889" t="s">
        <v>1559</v>
      </c>
      <c r="E12438" s="2889" t="s">
        <v>217</v>
      </c>
      <c r="F12438" s="2890">
        <v>0.35663897917856452</v>
      </c>
      <c r="G12438" s="2890">
        <v>191.06180248909658</v>
      </c>
    </row>
    <row r="12439" spans="2:7" ht="15" hidden="1" outlineLevel="2">
      <c r="B12439" s="2889" t="s">
        <v>1640</v>
      </c>
      <c r="C12439" s="2889" t="s">
        <v>1567</v>
      </c>
      <c r="D12439" s="2889" t="s">
        <v>1559</v>
      </c>
      <c r="E12439" s="2889" t="s">
        <v>217</v>
      </c>
      <c r="F12439" s="2890">
        <v>6.8409625214587377E-2</v>
      </c>
      <c r="G12439" s="2890">
        <v>10.060733253109849</v>
      </c>
    </row>
    <row r="12440" spans="2:7" ht="15" hidden="1" outlineLevel="2">
      <c r="B12440" s="2889" t="s">
        <v>1640</v>
      </c>
      <c r="C12440" s="2889" t="s">
        <v>1568</v>
      </c>
      <c r="D12440" s="2889" t="s">
        <v>1559</v>
      </c>
      <c r="E12440" s="2889" t="s">
        <v>217</v>
      </c>
      <c r="F12440" s="2890">
        <v>0.31456917153550812</v>
      </c>
      <c r="G12440" s="2890">
        <v>46.264150599182017</v>
      </c>
    </row>
    <row r="12441" spans="2:7" ht="15" hidden="1" outlineLevel="2">
      <c r="B12441" s="2889" t="s">
        <v>1640</v>
      </c>
      <c r="C12441" s="2889" t="s">
        <v>1569</v>
      </c>
      <c r="D12441" s="2889" t="s">
        <v>1559</v>
      </c>
      <c r="E12441" s="2889" t="s">
        <v>217</v>
      </c>
      <c r="F12441" s="2890">
        <v>1.7471834919243742E-4</v>
      </c>
      <c r="G12441" s="2890">
        <v>8.7331409108793806E-2</v>
      </c>
    </row>
    <row r="12442" spans="2:7" ht="15" hidden="1" outlineLevel="2">
      <c r="B12442" s="2889" t="s">
        <v>1640</v>
      </c>
      <c r="C12442" s="2889" t="s">
        <v>1570</v>
      </c>
      <c r="D12442" s="2889" t="s">
        <v>1559</v>
      </c>
      <c r="E12442" s="2889" t="s">
        <v>217</v>
      </c>
      <c r="F12442" s="2890">
        <v>0.47626977056805614</v>
      </c>
      <c r="G12442" s="2890">
        <v>294.44627041435342</v>
      </c>
    </row>
    <row r="12443" spans="2:7" ht="15" hidden="1" outlineLevel="2">
      <c r="B12443" s="2889" t="s">
        <v>1640</v>
      </c>
      <c r="C12443" s="2889" t="s">
        <v>1571</v>
      </c>
      <c r="D12443" s="2889" t="s">
        <v>1559</v>
      </c>
      <c r="E12443" s="2889" t="s">
        <v>217</v>
      </c>
      <c r="F12443" s="2890">
        <v>0.50220790528260972</v>
      </c>
      <c r="G12443" s="2890">
        <v>596.45022914984884</v>
      </c>
    </row>
    <row r="12444" spans="2:7" ht="15" hidden="1" outlineLevel="2">
      <c r="B12444" s="2889" t="s">
        <v>1640</v>
      </c>
      <c r="C12444" s="2889" t="s">
        <v>1572</v>
      </c>
      <c r="D12444" s="2889" t="s">
        <v>1559</v>
      </c>
      <c r="E12444" s="2889" t="s">
        <v>217</v>
      </c>
      <c r="F12444" s="2890">
        <v>4.0261590493761511E-2</v>
      </c>
      <c r="G12444" s="2890">
        <v>24.689717185154581</v>
      </c>
    </row>
    <row r="12445" spans="2:7" ht="15" hidden="1" outlineLevel="2">
      <c r="B12445" s="2889" t="s">
        <v>1640</v>
      </c>
      <c r="C12445" s="2889" t="s">
        <v>1573</v>
      </c>
      <c r="D12445" s="2889" t="s">
        <v>1559</v>
      </c>
      <c r="E12445" s="2889" t="s">
        <v>217</v>
      </c>
      <c r="F12445" s="2890">
        <v>0.40707215265289987</v>
      </c>
      <c r="G12445" s="2890">
        <v>303.59851290387462</v>
      </c>
    </row>
    <row r="12446" spans="2:7" ht="15" hidden="1" outlineLevel="2">
      <c r="B12446" s="2889" t="s">
        <v>1640</v>
      </c>
      <c r="C12446" s="2889" t="s">
        <v>1574</v>
      </c>
      <c r="D12446" s="2889" t="s">
        <v>1559</v>
      </c>
      <c r="E12446" s="2889" t="s">
        <v>217</v>
      </c>
      <c r="F12446" s="2890">
        <v>2.1822313280790984E-3</v>
      </c>
      <c r="G12446" s="2890">
        <v>1.6391783187954665</v>
      </c>
    </row>
    <row r="12447" spans="2:7" ht="15" hidden="1" outlineLevel="2">
      <c r="B12447" s="2889" t="s">
        <v>1640</v>
      </c>
      <c r="C12447" s="2889" t="s">
        <v>1575</v>
      </c>
      <c r="D12447" s="2889" t="s">
        <v>1559</v>
      </c>
      <c r="E12447" s="2889" t="s">
        <v>217</v>
      </c>
      <c r="F12447" s="2890">
        <v>1.1160194965785405E-2</v>
      </c>
      <c r="G12447" s="2890">
        <v>13.816686375781579</v>
      </c>
    </row>
    <row r="12448" spans="2:7" ht="15" hidden="1" outlineLevel="2">
      <c r="B12448" s="2889" t="s">
        <v>1640</v>
      </c>
      <c r="C12448" s="2889" t="s">
        <v>1576</v>
      </c>
      <c r="D12448" s="2889" t="s">
        <v>1559</v>
      </c>
      <c r="E12448" s="2889" t="s">
        <v>217</v>
      </c>
      <c r="F12448" s="2890">
        <v>4.1533536899511217E-3</v>
      </c>
      <c r="G12448" s="2890">
        <v>3.127259386108395</v>
      </c>
    </row>
    <row r="12449" spans="2:7" ht="15" hidden="1" outlineLevel="2">
      <c r="B12449" s="2889" t="s">
        <v>1640</v>
      </c>
      <c r="C12449" s="2889" t="s">
        <v>1577</v>
      </c>
      <c r="D12449" s="2889" t="s">
        <v>1559</v>
      </c>
      <c r="E12449" s="2889" t="s">
        <v>217</v>
      </c>
      <c r="F12449" s="2890">
        <v>0.36636593179894078</v>
      </c>
      <c r="G12449" s="2890">
        <v>570.00982972123791</v>
      </c>
    </row>
    <row r="12450" spans="2:7" ht="15" hidden="1" outlineLevel="2">
      <c r="B12450" s="2889" t="s">
        <v>1640</v>
      </c>
      <c r="C12450" s="2889" t="s">
        <v>1578</v>
      </c>
      <c r="D12450" s="2889" t="s">
        <v>1559</v>
      </c>
      <c r="E12450" s="2889" t="s">
        <v>217</v>
      </c>
      <c r="F12450" s="2890">
        <v>6.0479441619014168E-2</v>
      </c>
      <c r="G12450" s="2890">
        <v>32.504665878505016</v>
      </c>
    </row>
    <row r="12451" spans="2:7" ht="15" hidden="1" outlineLevel="2">
      <c r="B12451" s="2889" t="s">
        <v>1640</v>
      </c>
      <c r="C12451" s="2889" t="s">
        <v>1579</v>
      </c>
      <c r="D12451" s="2889" t="s">
        <v>1559</v>
      </c>
      <c r="E12451" s="2889" t="s">
        <v>217</v>
      </c>
      <c r="F12451" s="2890">
        <v>0.27808848736790559</v>
      </c>
      <c r="G12451" s="2890">
        <v>149.47205772964566</v>
      </c>
    </row>
    <row r="12452" spans="2:7" ht="15" hidden="1" outlineLevel="2">
      <c r="B12452" s="2889" t="s">
        <v>1640</v>
      </c>
      <c r="C12452" s="2889" t="s">
        <v>1580</v>
      </c>
      <c r="D12452" s="2889" t="s">
        <v>1559</v>
      </c>
      <c r="E12452" s="2889" t="s">
        <v>217</v>
      </c>
      <c r="F12452" s="2890">
        <v>4.6847838437631295E-2</v>
      </c>
      <c r="G12452" s="2890">
        <v>59.079533733075046</v>
      </c>
    </row>
    <row r="12453" spans="2:7" ht="15" hidden="1" outlineLevel="2">
      <c r="B12453" s="2889" t="s">
        <v>1640</v>
      </c>
      <c r="C12453" s="2889" t="s">
        <v>1581</v>
      </c>
      <c r="D12453" s="2889" t="s">
        <v>1559</v>
      </c>
      <c r="E12453" s="2889" t="s">
        <v>217</v>
      </c>
      <c r="F12453" s="2890">
        <v>4.6795073879666998E-2</v>
      </c>
      <c r="G12453" s="2890">
        <v>65.854844090840189</v>
      </c>
    </row>
    <row r="12454" spans="2:7" ht="15" hidden="1" outlineLevel="2">
      <c r="B12454" s="2889" t="s">
        <v>1640</v>
      </c>
      <c r="C12454" s="2889" t="s">
        <v>1582</v>
      </c>
      <c r="D12454" s="2889" t="s">
        <v>1559</v>
      </c>
      <c r="E12454" s="2889" t="s">
        <v>217</v>
      </c>
      <c r="F12454" s="2890">
        <v>6.5955597108701317E-2</v>
      </c>
      <c r="G12454" s="2890">
        <v>74.956371908910569</v>
      </c>
    </row>
    <row r="12455" spans="2:7" ht="15" hidden="1" outlineLevel="2">
      <c r="B12455" s="2889" t="s">
        <v>1640</v>
      </c>
      <c r="C12455" s="2889" t="s">
        <v>1583</v>
      </c>
      <c r="D12455" s="2889" t="s">
        <v>1559</v>
      </c>
      <c r="E12455" s="2889" t="s">
        <v>217</v>
      </c>
      <c r="F12455" s="2890">
        <v>5.0830057737976247E-2</v>
      </c>
      <c r="G12455" s="2890">
        <v>34.904591492195131</v>
      </c>
    </row>
    <row r="12456" spans="2:7" ht="15" hidden="1" outlineLevel="2">
      <c r="B12456" s="2889" t="s">
        <v>1640</v>
      </c>
      <c r="C12456" s="2889" t="s">
        <v>1584</v>
      </c>
      <c r="D12456" s="2889" t="s">
        <v>1559</v>
      </c>
      <c r="E12456" s="2889" t="s">
        <v>217</v>
      </c>
      <c r="F12456" s="2890">
        <v>0.62644835476493144</v>
      </c>
      <c r="G12456" s="2890">
        <v>791.92024624533917</v>
      </c>
    </row>
    <row r="12457" spans="2:7" ht="15" hidden="1" outlineLevel="2">
      <c r="B12457" s="2889" t="s">
        <v>1640</v>
      </c>
      <c r="C12457" s="2889" t="s">
        <v>1585</v>
      </c>
      <c r="D12457" s="2889" t="s">
        <v>1559</v>
      </c>
      <c r="E12457" s="2889" t="s">
        <v>217</v>
      </c>
      <c r="F12457" s="2890">
        <v>0.63583311339246396</v>
      </c>
      <c r="G12457" s="2890">
        <v>894.99592647328836</v>
      </c>
    </row>
    <row r="12458" spans="2:7" ht="15" hidden="1" outlineLevel="2">
      <c r="B12458" s="2889" t="s">
        <v>1640</v>
      </c>
      <c r="C12458" s="2889" t="s">
        <v>1586</v>
      </c>
      <c r="D12458" s="2889" t="s">
        <v>1559</v>
      </c>
      <c r="E12458" s="2889" t="s">
        <v>217</v>
      </c>
      <c r="F12458" s="2890">
        <v>7.1580345296223938E-2</v>
      </c>
      <c r="G12458" s="2890">
        <v>149.84093283548589</v>
      </c>
    </row>
    <row r="12459" spans="2:7" ht="15" hidden="1" outlineLevel="2">
      <c r="B12459" s="2889" t="s">
        <v>1640</v>
      </c>
      <c r="C12459" s="2889" t="s">
        <v>1587</v>
      </c>
      <c r="D12459" s="2889" t="s">
        <v>1559</v>
      </c>
      <c r="E12459" s="2889" t="s">
        <v>217</v>
      </c>
      <c r="F12459" s="2890">
        <v>1.9912658343330922</v>
      </c>
      <c r="G12459" s="2890">
        <v>2887.3139194418413</v>
      </c>
    </row>
    <row r="12460" spans="2:7" ht="15" hidden="1" outlineLevel="2">
      <c r="B12460" s="2889" t="s">
        <v>1640</v>
      </c>
      <c r="C12460" s="2889" t="s">
        <v>1588</v>
      </c>
      <c r="D12460" s="2889" t="s">
        <v>1559</v>
      </c>
      <c r="E12460" s="2889" t="s">
        <v>217</v>
      </c>
      <c r="F12460" s="2890">
        <v>3.6027682897020401E-2</v>
      </c>
      <c r="G12460" s="2890">
        <v>28.050810472310857</v>
      </c>
    </row>
    <row r="12461" spans="2:7" ht="15" hidden="1" outlineLevel="2">
      <c r="B12461" s="2889" t="s">
        <v>1640</v>
      </c>
      <c r="C12461" s="2889" t="s">
        <v>1589</v>
      </c>
      <c r="D12461" s="2889" t="s">
        <v>1559</v>
      </c>
      <c r="E12461" s="2889" t="s">
        <v>217</v>
      </c>
      <c r="F12461" s="2890">
        <v>0.11339734447697494</v>
      </c>
      <c r="G12461" s="2890">
        <v>88.466132832786045</v>
      </c>
    </row>
    <row r="12462" spans="2:7" ht="15" hidden="1" outlineLevel="2">
      <c r="B12462" s="2889" t="s">
        <v>1640</v>
      </c>
      <c r="C12462" s="2889" t="s">
        <v>1590</v>
      </c>
      <c r="D12462" s="2889" t="s">
        <v>1559</v>
      </c>
      <c r="E12462" s="2889" t="s">
        <v>1420</v>
      </c>
      <c r="F12462" s="2890">
        <v>5.5722816769299107E-3</v>
      </c>
      <c r="G12462" s="2890">
        <v>49.707055612193848</v>
      </c>
    </row>
    <row r="12463" spans="2:7" ht="15" hidden="1" outlineLevel="2">
      <c r="B12463" s="2889" t="s">
        <v>1640</v>
      </c>
      <c r="C12463" s="2889" t="s">
        <v>1591</v>
      </c>
      <c r="D12463" s="2889" t="s">
        <v>1559</v>
      </c>
      <c r="E12463" s="2889" t="s">
        <v>1426</v>
      </c>
      <c r="F12463" s="2891"/>
      <c r="G12463" s="2890">
        <v>7.7268149244829012E-2</v>
      </c>
    </row>
    <row r="12464" spans="2:7" ht="15" hidden="1" outlineLevel="2">
      <c r="B12464" s="2889" t="s">
        <v>1640</v>
      </c>
      <c r="C12464" s="2889" t="s">
        <v>1592</v>
      </c>
      <c r="D12464" s="2889" t="s">
        <v>1559</v>
      </c>
      <c r="E12464" s="2889" t="s">
        <v>1426</v>
      </c>
      <c r="F12464" s="2891"/>
      <c r="G12464" s="2890">
        <v>15.647293957154277</v>
      </c>
    </row>
    <row r="12465" spans="2:7" ht="15" hidden="1" outlineLevel="2">
      <c r="B12465" s="2889" t="s">
        <v>1640</v>
      </c>
      <c r="C12465" s="2889" t="s">
        <v>1593</v>
      </c>
      <c r="D12465" s="2889" t="s">
        <v>1559</v>
      </c>
      <c r="E12465" s="2889" t="s">
        <v>1426</v>
      </c>
      <c r="F12465" s="2891"/>
      <c r="G12465" s="2890">
        <v>540.32149599598881</v>
      </c>
    </row>
    <row r="12466" spans="2:7" ht="15" hidden="1" outlineLevel="2">
      <c r="B12466" s="2889" t="s">
        <v>1640</v>
      </c>
      <c r="C12466" s="2889" t="s">
        <v>1594</v>
      </c>
      <c r="D12466" s="2889" t="s">
        <v>1559</v>
      </c>
      <c r="E12466" s="2889" t="s">
        <v>1426</v>
      </c>
      <c r="F12466" s="2891"/>
      <c r="G12466" s="2890">
        <v>111.50406737889084</v>
      </c>
    </row>
    <row r="12467" spans="2:7" ht="15" hidden="1" outlineLevel="2">
      <c r="B12467" s="2889" t="s">
        <v>1640</v>
      </c>
      <c r="C12467" s="2889" t="s">
        <v>1595</v>
      </c>
      <c r="D12467" s="2889" t="s">
        <v>1559</v>
      </c>
      <c r="E12467" s="2889" t="s">
        <v>1426</v>
      </c>
      <c r="F12467" s="2891"/>
      <c r="G12467" s="2890">
        <v>735.63337552939686</v>
      </c>
    </row>
    <row r="12468" spans="2:7" ht="15" hidden="1" outlineLevel="2">
      <c r="B12468" s="2889" t="s">
        <v>1640</v>
      </c>
      <c r="C12468" s="2889" t="s">
        <v>1596</v>
      </c>
      <c r="D12468" s="2889" t="s">
        <v>1559</v>
      </c>
      <c r="E12468" s="2889" t="s">
        <v>1426</v>
      </c>
      <c r="F12468" s="2891"/>
      <c r="G12468" s="2890">
        <v>86.737528034707111</v>
      </c>
    </row>
    <row r="12469" spans="2:7" ht="15" hidden="1" outlineLevel="2">
      <c r="B12469" s="2889" t="s">
        <v>1640</v>
      </c>
      <c r="C12469" s="2889" t="s">
        <v>1597</v>
      </c>
      <c r="D12469" s="2889" t="s">
        <v>1559</v>
      </c>
      <c r="E12469" s="2889" t="s">
        <v>1426</v>
      </c>
      <c r="F12469" s="2891"/>
      <c r="G12469" s="2890">
        <v>2.0661424734008036</v>
      </c>
    </row>
    <row r="12470" spans="2:7" ht="15" hidden="1" outlineLevel="2">
      <c r="B12470" s="2889" t="s">
        <v>1640</v>
      </c>
      <c r="C12470" s="2889" t="s">
        <v>1598</v>
      </c>
      <c r="D12470" s="2889" t="s">
        <v>1599</v>
      </c>
      <c r="E12470" s="2889" t="s">
        <v>217</v>
      </c>
      <c r="F12470" s="2890">
        <v>8.1448494848124386E-2</v>
      </c>
      <c r="G12470" s="2890">
        <v>47.0974543975289</v>
      </c>
    </row>
    <row r="12471" spans="2:7" ht="15" hidden="1" outlineLevel="2">
      <c r="B12471" s="2889" t="s">
        <v>1640</v>
      </c>
      <c r="C12471" s="2889" t="s">
        <v>1600</v>
      </c>
      <c r="D12471" s="2889" t="s">
        <v>1599</v>
      </c>
      <c r="E12471" s="2889" t="s">
        <v>217</v>
      </c>
      <c r="F12471" s="2890">
        <v>9.6239845148255843E-2</v>
      </c>
      <c r="G12471" s="2890">
        <v>106.04759075359736</v>
      </c>
    </row>
    <row r="12472" spans="2:7" ht="15" hidden="1" outlineLevel="2">
      <c r="B12472" s="2889" t="s">
        <v>1640</v>
      </c>
      <c r="C12472" s="2889" t="s">
        <v>1601</v>
      </c>
      <c r="D12472" s="2889" t="s">
        <v>1599</v>
      </c>
      <c r="E12472" s="2889" t="s">
        <v>217</v>
      </c>
      <c r="F12472" s="2890">
        <v>9.8725345452104906E-4</v>
      </c>
      <c r="G12472" s="2890">
        <v>1.2458187384261799</v>
      </c>
    </row>
    <row r="12473" spans="2:7" ht="15" hidden="1" outlineLevel="2">
      <c r="B12473" s="2889" t="s">
        <v>1640</v>
      </c>
      <c r="C12473" s="2889" t="s">
        <v>1602</v>
      </c>
      <c r="D12473" s="2889" t="s">
        <v>1599</v>
      </c>
      <c r="E12473" s="2889" t="s">
        <v>1426</v>
      </c>
      <c r="F12473" s="2891"/>
      <c r="G12473" s="2890">
        <v>1411.2711801671114</v>
      </c>
    </row>
    <row r="12474" spans="2:7" ht="15" hidden="1" outlineLevel="2">
      <c r="B12474" s="2889" t="s">
        <v>1640</v>
      </c>
      <c r="C12474" s="2889" t="s">
        <v>1603</v>
      </c>
      <c r="D12474" s="2889" t="s">
        <v>1604</v>
      </c>
      <c r="E12474" s="2889" t="s">
        <v>217</v>
      </c>
      <c r="F12474" s="2890">
        <v>6.406622441749647E-37</v>
      </c>
      <c r="G12474" s="2890">
        <v>7.6822854802757556E-34</v>
      </c>
    </row>
    <row r="12475" spans="2:7" ht="15" hidden="1" outlineLevel="2">
      <c r="B12475" s="2889" t="s">
        <v>1640</v>
      </c>
      <c r="C12475" s="2889" t="s">
        <v>1605</v>
      </c>
      <c r="D12475" s="2889" t="s">
        <v>1604</v>
      </c>
      <c r="E12475" s="2889" t="s">
        <v>1423</v>
      </c>
      <c r="F12475" s="2890">
        <v>3.136151520901011E-33</v>
      </c>
      <c r="G12475" s="2890">
        <v>7.3601632656396319E-31</v>
      </c>
    </row>
    <row r="12476" spans="2:7" ht="15" hidden="1" outlineLevel="2">
      <c r="B12476" s="2889" t="s">
        <v>1640</v>
      </c>
      <c r="C12476" s="2889" t="s">
        <v>1606</v>
      </c>
      <c r="D12476" s="2889" t="s">
        <v>1604</v>
      </c>
      <c r="E12476" s="2889" t="s">
        <v>1426</v>
      </c>
      <c r="F12476" s="2891"/>
      <c r="G12476" s="2890">
        <v>7.9720101268876722E-32</v>
      </c>
    </row>
    <row r="12477" spans="2:7" ht="15" hidden="1" outlineLevel="2">
      <c r="B12477" s="2889" t="s">
        <v>1640</v>
      </c>
      <c r="C12477" s="2889" t="s">
        <v>1607</v>
      </c>
      <c r="D12477" s="2889" t="s">
        <v>1608</v>
      </c>
      <c r="E12477" s="2889" t="s">
        <v>217</v>
      </c>
      <c r="F12477" s="2890">
        <v>1.5384917242285603</v>
      </c>
      <c r="G12477" s="2890">
        <v>1264.221425508676</v>
      </c>
    </row>
    <row r="12478" spans="2:7" ht="15" hidden="1" outlineLevel="2">
      <c r="B12478" s="2889" t="s">
        <v>1640</v>
      </c>
      <c r="C12478" s="2889" t="s">
        <v>1609</v>
      </c>
      <c r="D12478" s="2889" t="s">
        <v>1608</v>
      </c>
      <c r="E12478" s="2889" t="s">
        <v>217</v>
      </c>
      <c r="F12478" s="2890">
        <v>0.66993133104476443</v>
      </c>
      <c r="G12478" s="2890">
        <v>533.49793345347916</v>
      </c>
    </row>
    <row r="12479" spans="2:7" ht="15" hidden="1" outlineLevel="2">
      <c r="B12479" s="2889" t="s">
        <v>1640</v>
      </c>
      <c r="C12479" s="2889" t="s">
        <v>1610</v>
      </c>
      <c r="D12479" s="2889" t="s">
        <v>1608</v>
      </c>
      <c r="E12479" s="2889" t="s">
        <v>217</v>
      </c>
      <c r="F12479" s="2890">
        <v>0.25612021791110795</v>
      </c>
      <c r="G12479" s="2890">
        <v>398.21466700189478</v>
      </c>
    </row>
    <row r="12480" spans="2:7" ht="15" hidden="1" outlineLevel="2">
      <c r="B12480" s="2889" t="s">
        <v>1640</v>
      </c>
      <c r="C12480" s="2889" t="s">
        <v>1611</v>
      </c>
      <c r="D12480" s="2889" t="s">
        <v>1608</v>
      </c>
      <c r="E12480" s="2889" t="s">
        <v>1612</v>
      </c>
      <c r="F12480" s="2891"/>
      <c r="G12480" s="2890">
        <v>354.55638444842185</v>
      </c>
    </row>
    <row r="12481" spans="2:7" ht="15" hidden="1" outlineLevel="2">
      <c r="B12481" s="2889" t="s">
        <v>1640</v>
      </c>
      <c r="C12481" s="2889" t="s">
        <v>1613</v>
      </c>
      <c r="D12481" s="2889" t="s">
        <v>1608</v>
      </c>
      <c r="E12481" s="2889" t="s">
        <v>1612</v>
      </c>
      <c r="F12481" s="2891"/>
      <c r="G12481" s="2890">
        <v>2.9606800407310416</v>
      </c>
    </row>
    <row r="12482" spans="2:7" ht="15" hidden="1" outlineLevel="2">
      <c r="B12482" s="2889" t="s">
        <v>1640</v>
      </c>
      <c r="C12482" s="2889" t="s">
        <v>1614</v>
      </c>
      <c r="D12482" s="2889" t="s">
        <v>1615</v>
      </c>
      <c r="E12482" s="2889" t="s">
        <v>1426</v>
      </c>
      <c r="F12482" s="2891"/>
      <c r="G12482" s="2890">
        <v>19.584352636609502</v>
      </c>
    </row>
    <row r="12483" spans="2:7" ht="15" hidden="1" outlineLevel="2">
      <c r="B12483" s="2889" t="s">
        <v>1640</v>
      </c>
      <c r="C12483" s="2889" t="s">
        <v>1616</v>
      </c>
      <c r="D12483" s="2889" t="s">
        <v>1615</v>
      </c>
      <c r="E12483" s="2889" t="s">
        <v>217</v>
      </c>
      <c r="F12483" s="2890">
        <v>6.2397171240423572E-4</v>
      </c>
      <c r="G12483" s="2890">
        <v>0.83877504476520182</v>
      </c>
    </row>
    <row r="12484" spans="2:7" ht="15" hidden="1" outlineLevel="2">
      <c r="B12484" s="2889" t="s">
        <v>1640</v>
      </c>
      <c r="C12484" s="2889" t="s">
        <v>1617</v>
      </c>
      <c r="D12484" s="2889" t="s">
        <v>1615</v>
      </c>
      <c r="E12484" s="2889" t="s">
        <v>1420</v>
      </c>
      <c r="F12484" s="2890">
        <v>9.8612117992862046E-6</v>
      </c>
      <c r="G12484" s="2890">
        <v>2.8544329065728707E-2</v>
      </c>
    </row>
    <row r="12485" spans="2:7" ht="15" hidden="1" outlineLevel="2">
      <c r="B12485" s="2889" t="s">
        <v>1640</v>
      </c>
      <c r="C12485" s="2889" t="s">
        <v>1618</v>
      </c>
      <c r="D12485" s="2889" t="s">
        <v>1619</v>
      </c>
      <c r="E12485" s="2889" t="s">
        <v>217</v>
      </c>
      <c r="F12485" s="2890">
        <v>1.411431061829955</v>
      </c>
      <c r="G12485" s="2890">
        <v>357.83638726176002</v>
      </c>
    </row>
    <row r="12486" spans="2:7" ht="15" hidden="1" outlineLevel="2">
      <c r="B12486" s="2889" t="s">
        <v>1640</v>
      </c>
      <c r="C12486" s="2889" t="s">
        <v>1620</v>
      </c>
      <c r="D12486" s="2889" t="s">
        <v>1619</v>
      </c>
      <c r="E12486" s="2889" t="s">
        <v>217</v>
      </c>
      <c r="F12486" s="2890">
        <v>0.71736616966103828</v>
      </c>
      <c r="G12486" s="2890">
        <v>873.90651490484379</v>
      </c>
    </row>
    <row r="12487" spans="2:7" ht="15" hidden="1" outlineLevel="2">
      <c r="B12487" s="2889" t="s">
        <v>1640</v>
      </c>
      <c r="C12487" s="2889" t="s">
        <v>1621</v>
      </c>
      <c r="D12487" s="2889" t="s">
        <v>1619</v>
      </c>
      <c r="E12487" s="2889" t="s">
        <v>217</v>
      </c>
      <c r="F12487" s="2890">
        <v>1.5118312018812359</v>
      </c>
      <c r="G12487" s="2890">
        <v>413.18481786908904</v>
      </c>
    </row>
    <row r="12488" spans="2:7" ht="15" hidden="1" outlineLevel="2">
      <c r="B12488" s="2889" t="s">
        <v>1640</v>
      </c>
      <c r="C12488" s="2889" t="s">
        <v>1622</v>
      </c>
      <c r="D12488" s="2889" t="s">
        <v>1619</v>
      </c>
      <c r="E12488" s="2889" t="s">
        <v>217</v>
      </c>
      <c r="F12488" s="2890">
        <v>9.6810498399260481E-2</v>
      </c>
      <c r="G12488" s="2890">
        <v>106.22956157076491</v>
      </c>
    </row>
    <row r="12489" spans="2:7" ht="15" hidden="1" outlineLevel="2">
      <c r="B12489" s="2889" t="s">
        <v>1640</v>
      </c>
      <c r="C12489" s="2889" t="s">
        <v>1623</v>
      </c>
      <c r="D12489" s="2889" t="s">
        <v>1619</v>
      </c>
      <c r="E12489" s="2889" t="s">
        <v>217</v>
      </c>
      <c r="F12489" s="2890">
        <v>0.24980878770086723</v>
      </c>
      <c r="G12489" s="2890">
        <v>172.91043026300696</v>
      </c>
    </row>
    <row r="12490" spans="2:7" ht="15" hidden="1" outlineLevel="2">
      <c r="B12490" s="2889" t="s">
        <v>1640</v>
      </c>
      <c r="C12490" s="2889" t="s">
        <v>1624</v>
      </c>
      <c r="D12490" s="2889" t="s">
        <v>1619</v>
      </c>
      <c r="E12490" s="2889" t="s">
        <v>217</v>
      </c>
      <c r="F12490" s="2890">
        <v>2.1628506190706775</v>
      </c>
      <c r="G12490" s="2890">
        <v>1843.0009775508097</v>
      </c>
    </row>
    <row r="12491" spans="2:7" ht="15" hidden="1" outlineLevel="2">
      <c r="B12491" s="2889" t="s">
        <v>1640</v>
      </c>
      <c r="C12491" s="2889" t="s">
        <v>1625</v>
      </c>
      <c r="D12491" s="2889" t="s">
        <v>1619</v>
      </c>
      <c r="E12491" s="2889" t="s">
        <v>217</v>
      </c>
      <c r="F12491" s="2890">
        <v>6.678011246689064E-2</v>
      </c>
      <c r="G12491" s="2890">
        <v>86.330920114526606</v>
      </c>
    </row>
    <row r="12492" spans="2:7" ht="15" hidden="1" outlineLevel="2">
      <c r="B12492" s="2889" t="s">
        <v>1640</v>
      </c>
      <c r="C12492" s="2889" t="s">
        <v>1626</v>
      </c>
      <c r="D12492" s="2889" t="s">
        <v>1619</v>
      </c>
      <c r="E12492" s="2889" t="s">
        <v>217</v>
      </c>
      <c r="F12492" s="2890">
        <v>0.1320244259675516</v>
      </c>
      <c r="G12492" s="2890">
        <v>103.65559872668655</v>
      </c>
    </row>
    <row r="12493" spans="2:7" ht="15" hidden="1" outlineLevel="2">
      <c r="B12493" s="2889" t="s">
        <v>1640</v>
      </c>
      <c r="C12493" s="2889" t="s">
        <v>1627</v>
      </c>
      <c r="D12493" s="2889" t="s">
        <v>1619</v>
      </c>
      <c r="E12493" s="2889" t="s">
        <v>1420</v>
      </c>
      <c r="F12493" s="2890">
        <v>4.2912131950305875E-3</v>
      </c>
      <c r="G12493" s="2890">
        <v>7.1692385698538557</v>
      </c>
    </row>
    <row r="12494" spans="2:7" ht="15" hidden="1" outlineLevel="2">
      <c r="B12494" s="2889" t="s">
        <v>1640</v>
      </c>
      <c r="C12494" s="2889" t="s">
        <v>1628</v>
      </c>
      <c r="D12494" s="2889" t="s">
        <v>1619</v>
      </c>
      <c r="E12494" s="2889" t="s">
        <v>1426</v>
      </c>
      <c r="F12494" s="2891"/>
      <c r="G12494" s="2890">
        <v>142.09373670000505</v>
      </c>
    </row>
    <row r="12495" spans="2:7" ht="15" hidden="1" outlineLevel="2">
      <c r="B12495" s="2889" t="s">
        <v>1640</v>
      </c>
      <c r="C12495" s="2889" t="s">
        <v>1629</v>
      </c>
      <c r="D12495" s="2889" t="s">
        <v>1630</v>
      </c>
      <c r="E12495" s="2889" t="s">
        <v>1426</v>
      </c>
      <c r="F12495" s="2891"/>
      <c r="G12495" s="2890">
        <v>3129.9053258562585</v>
      </c>
    </row>
    <row r="12496" spans="2:7" ht="15" outlineLevel="1" collapsed="1">
      <c r="B12496" s="3042" t="s">
        <v>1710</v>
      </c>
      <c r="C12496" s="2889"/>
      <c r="D12496" s="2889"/>
      <c r="E12496" s="2889"/>
      <c r="F12496" s="2891">
        <f>SUBTOTAL(9,F12285:F12495)</f>
        <v>19.03789296765266</v>
      </c>
      <c r="G12496" s="2890">
        <f>SUBTOTAL(9,G12285:G12495)</f>
        <v>47243.771568818695</v>
      </c>
    </row>
    <row r="12497" spans="2:7" ht="15" hidden="1" outlineLevel="2">
      <c r="B12497" s="2889" t="s">
        <v>1641</v>
      </c>
      <c r="C12497" s="2889" t="s">
        <v>1408</v>
      </c>
      <c r="D12497" s="2889" t="s">
        <v>197</v>
      </c>
      <c r="E12497" s="2889" t="s">
        <v>217</v>
      </c>
      <c r="F12497" s="2890">
        <v>1.4084296352669344E-3</v>
      </c>
      <c r="G12497" s="2890">
        <v>0.85895051878247175</v>
      </c>
    </row>
    <row r="12498" spans="2:7" ht="15" hidden="1" outlineLevel="2">
      <c r="B12498" s="2889" t="s">
        <v>1641</v>
      </c>
      <c r="C12498" s="2889" t="s">
        <v>1409</v>
      </c>
      <c r="D12498" s="2889" t="s">
        <v>197</v>
      </c>
      <c r="E12498" s="2889" t="s">
        <v>217</v>
      </c>
      <c r="F12498" s="2890">
        <v>1.4831093445569496E-3</v>
      </c>
      <c r="G12498" s="2890">
        <v>2.0836912360586655</v>
      </c>
    </row>
    <row r="12499" spans="2:7" ht="15" hidden="1" outlineLevel="2">
      <c r="B12499" s="2889" t="s">
        <v>1641</v>
      </c>
      <c r="C12499" s="2889" t="s">
        <v>1410</v>
      </c>
      <c r="D12499" s="2889" t="s">
        <v>197</v>
      </c>
      <c r="E12499" s="2889" t="s">
        <v>217</v>
      </c>
      <c r="F12499" s="2890">
        <v>2.3693045376474648E-3</v>
      </c>
      <c r="G12499" s="2890">
        <v>8.1075292361021845</v>
      </c>
    </row>
    <row r="12500" spans="2:7" ht="15" hidden="1" outlineLevel="2">
      <c r="B12500" s="2889" t="s">
        <v>1641</v>
      </c>
      <c r="C12500" s="2889" t="s">
        <v>1411</v>
      </c>
      <c r="D12500" s="2889" t="s">
        <v>197</v>
      </c>
      <c r="E12500" s="2889" t="s">
        <v>217</v>
      </c>
      <c r="F12500" s="2890">
        <v>3.8923610385818956E-5</v>
      </c>
      <c r="G12500" s="2890">
        <v>5.1065834882100439E-2</v>
      </c>
    </row>
    <row r="12501" spans="2:7" ht="15" hidden="1" outlineLevel="2">
      <c r="B12501" s="2889" t="s">
        <v>1641</v>
      </c>
      <c r="C12501" s="2889" t="s">
        <v>1412</v>
      </c>
      <c r="D12501" s="2889" t="s">
        <v>197</v>
      </c>
      <c r="E12501" s="2889" t="s">
        <v>217</v>
      </c>
      <c r="F12501" s="2890">
        <v>4.2049426131352593E-3</v>
      </c>
      <c r="G12501" s="2890">
        <v>5.5124692555893899</v>
      </c>
    </row>
    <row r="12502" spans="2:7" ht="15" hidden="1" outlineLevel="2">
      <c r="B12502" s="2889" t="s">
        <v>1641</v>
      </c>
      <c r="C12502" s="2889" t="s">
        <v>1413</v>
      </c>
      <c r="D12502" s="2889" t="s">
        <v>197</v>
      </c>
      <c r="E12502" s="2889" t="s">
        <v>217</v>
      </c>
      <c r="F12502" s="2890">
        <v>1.3850541045637521E-3</v>
      </c>
      <c r="G12502" s="2890">
        <v>1.7267445394132335</v>
      </c>
    </row>
    <row r="12503" spans="2:7" ht="15" hidden="1" outlineLevel="2">
      <c r="B12503" s="2889" t="s">
        <v>1641</v>
      </c>
      <c r="C12503" s="2889" t="s">
        <v>1414</v>
      </c>
      <c r="D12503" s="2889" t="s">
        <v>197</v>
      </c>
      <c r="E12503" s="2889" t="s">
        <v>217</v>
      </c>
      <c r="F12503" s="2890">
        <v>1.8067410270553891E-2</v>
      </c>
      <c r="G12503" s="2890">
        <v>18.757949143869368</v>
      </c>
    </row>
    <row r="12504" spans="2:7" ht="15" hidden="1" outlineLevel="2">
      <c r="B12504" s="2889" t="s">
        <v>1641</v>
      </c>
      <c r="C12504" s="2889" t="s">
        <v>1415</v>
      </c>
      <c r="D12504" s="2889" t="s">
        <v>197</v>
      </c>
      <c r="E12504" s="2889" t="s">
        <v>217</v>
      </c>
      <c r="F12504" s="2890">
        <v>5.9391841985835227E-2</v>
      </c>
      <c r="G12504" s="2890">
        <v>40.207691991214887</v>
      </c>
    </row>
    <row r="12505" spans="2:7" ht="15" hidden="1" outlineLevel="2">
      <c r="B12505" s="2889" t="s">
        <v>1641</v>
      </c>
      <c r="C12505" s="2889" t="s">
        <v>1416</v>
      </c>
      <c r="D12505" s="2889" t="s">
        <v>197</v>
      </c>
      <c r="E12505" s="2889" t="s">
        <v>217</v>
      </c>
      <c r="F12505" s="2890">
        <v>6.6727953699173021E-3</v>
      </c>
      <c r="G12505" s="2890">
        <v>8.7477080344205067</v>
      </c>
    </row>
    <row r="12506" spans="2:7" ht="15" hidden="1" outlineLevel="2">
      <c r="B12506" s="2889" t="s">
        <v>1641</v>
      </c>
      <c r="C12506" s="2889" t="s">
        <v>1417</v>
      </c>
      <c r="D12506" s="2889" t="s">
        <v>197</v>
      </c>
      <c r="E12506" s="2889" t="s">
        <v>217</v>
      </c>
      <c r="F12506" s="2890">
        <v>9.9359073527342783E-3</v>
      </c>
      <c r="G12506" s="2890">
        <v>12.666645351755795</v>
      </c>
    </row>
    <row r="12507" spans="2:7" ht="15" hidden="1" outlineLevel="2">
      <c r="B12507" s="2889" t="s">
        <v>1641</v>
      </c>
      <c r="C12507" s="2889" t="s">
        <v>1418</v>
      </c>
      <c r="D12507" s="2889" t="s">
        <v>197</v>
      </c>
      <c r="E12507" s="2889" t="s">
        <v>217</v>
      </c>
      <c r="F12507" s="2890">
        <v>1.9934896140208127E-3</v>
      </c>
      <c r="G12507" s="2890">
        <v>14.051677346743503</v>
      </c>
    </row>
    <row r="12508" spans="2:7" ht="15" hidden="1" outlineLevel="2">
      <c r="B12508" s="2889" t="s">
        <v>1641</v>
      </c>
      <c r="C12508" s="2889" t="s">
        <v>1419</v>
      </c>
      <c r="D12508" s="2889" t="s">
        <v>197</v>
      </c>
      <c r="E12508" s="2889" t="s">
        <v>1420</v>
      </c>
      <c r="F12508" s="2890">
        <v>4.8400662451561153E-5</v>
      </c>
      <c r="G12508" s="2890">
        <v>7.690645260499239E-2</v>
      </c>
    </row>
    <row r="12509" spans="2:7" ht="15" hidden="1" outlineLevel="2">
      <c r="B12509" s="2889" t="s">
        <v>1641</v>
      </c>
      <c r="C12509" s="2889" t="s">
        <v>1421</v>
      </c>
      <c r="D12509" s="2889" t="s">
        <v>197</v>
      </c>
      <c r="E12509" s="2889" t="s">
        <v>1420</v>
      </c>
      <c r="F12509" s="2890">
        <v>9.9317332196545104E-6</v>
      </c>
      <c r="G12509" s="2890">
        <v>0.10466876257594039</v>
      </c>
    </row>
    <row r="12510" spans="2:7" ht="15" hidden="1" outlineLevel="2">
      <c r="B12510" s="2889" t="s">
        <v>1641</v>
      </c>
      <c r="C12510" s="2889" t="s">
        <v>1422</v>
      </c>
      <c r="D12510" s="2889" t="s">
        <v>197</v>
      </c>
      <c r="E12510" s="2889" t="s">
        <v>1423</v>
      </c>
      <c r="F12510" s="2890">
        <v>1.9375120688498867E-3</v>
      </c>
      <c r="G12510" s="2890">
        <v>2.0315657061078053E-2</v>
      </c>
    </row>
    <row r="12511" spans="2:7" ht="15" hidden="1" outlineLevel="2">
      <c r="B12511" s="2889" t="s">
        <v>1641</v>
      </c>
      <c r="C12511" s="2889" t="s">
        <v>1424</v>
      </c>
      <c r="D12511" s="2889" t="s">
        <v>197</v>
      </c>
      <c r="E12511" s="2889" t="s">
        <v>1423</v>
      </c>
      <c r="F12511" s="2890">
        <v>6.149799093528519E-4</v>
      </c>
      <c r="G12511" s="2890">
        <v>6.4463958634388314E-3</v>
      </c>
    </row>
    <row r="12512" spans="2:7" ht="15" hidden="1" outlineLevel="2">
      <c r="B12512" s="2889" t="s">
        <v>1641</v>
      </c>
      <c r="C12512" s="2889" t="s">
        <v>1425</v>
      </c>
      <c r="D12512" s="2889" t="s">
        <v>197</v>
      </c>
      <c r="E12512" s="2889" t="s">
        <v>1426</v>
      </c>
      <c r="F12512" s="2891"/>
      <c r="G12512" s="2890">
        <v>0.1502354616987146</v>
      </c>
    </row>
    <row r="12513" spans="2:7" ht="15" hidden="1" outlineLevel="2">
      <c r="B12513" s="2889" t="s">
        <v>1641</v>
      </c>
      <c r="C12513" s="2889" t="s">
        <v>1427</v>
      </c>
      <c r="D12513" s="2889" t="s">
        <v>197</v>
      </c>
      <c r="E12513" s="2889" t="s">
        <v>1426</v>
      </c>
      <c r="F12513" s="2891"/>
      <c r="G12513" s="2890">
        <v>6495.0351823221745</v>
      </c>
    </row>
    <row r="12514" spans="2:7" ht="15" hidden="1" outlineLevel="2">
      <c r="B12514" s="2889" t="s">
        <v>1641</v>
      </c>
      <c r="C12514" s="2889" t="s">
        <v>1428</v>
      </c>
      <c r="D12514" s="2889" t="s">
        <v>197</v>
      </c>
      <c r="E12514" s="2889" t="s">
        <v>1426</v>
      </c>
      <c r="F12514" s="2891"/>
      <c r="G12514" s="2890">
        <v>582.80278300850466</v>
      </c>
    </row>
    <row r="12515" spans="2:7" ht="15" hidden="1" outlineLevel="2">
      <c r="B12515" s="2889" t="s">
        <v>1641</v>
      </c>
      <c r="C12515" s="2889" t="s">
        <v>1429</v>
      </c>
      <c r="D12515" s="2889" t="s">
        <v>197</v>
      </c>
      <c r="E12515" s="2889" t="s">
        <v>1426</v>
      </c>
      <c r="F12515" s="2891"/>
      <c r="G12515" s="2890">
        <v>3.239588224031074</v>
      </c>
    </row>
    <row r="12516" spans="2:7" ht="15" hidden="1" outlineLevel="2">
      <c r="B12516" s="2889" t="s">
        <v>1641</v>
      </c>
      <c r="C12516" s="2889" t="s">
        <v>1430</v>
      </c>
      <c r="D12516" s="2889" t="s">
        <v>197</v>
      </c>
      <c r="E12516" s="2889" t="s">
        <v>1426</v>
      </c>
      <c r="F12516" s="2891"/>
      <c r="G12516" s="2890">
        <v>0.66492070588807461</v>
      </c>
    </row>
    <row r="12517" spans="2:7" ht="15" hidden="1" outlineLevel="2">
      <c r="B12517" s="2889" t="s">
        <v>1641</v>
      </c>
      <c r="C12517" s="2889" t="s">
        <v>1431</v>
      </c>
      <c r="D12517" s="2889" t="s">
        <v>197</v>
      </c>
      <c r="E12517" s="2889" t="s">
        <v>1426</v>
      </c>
      <c r="F12517" s="2891"/>
      <c r="G12517" s="2890">
        <v>49.472926876175698</v>
      </c>
    </row>
    <row r="12518" spans="2:7" ht="15" hidden="1" outlineLevel="2">
      <c r="B12518" s="2889" t="s">
        <v>1641</v>
      </c>
      <c r="C12518" s="2889" t="s">
        <v>1432</v>
      </c>
      <c r="D12518" s="2889" t="s">
        <v>197</v>
      </c>
      <c r="E12518" s="2889" t="s">
        <v>1426</v>
      </c>
      <c r="F12518" s="2891"/>
      <c r="G12518" s="2890">
        <v>0.12391157534506413</v>
      </c>
    </row>
    <row r="12519" spans="2:7" ht="15" hidden="1" outlineLevel="2">
      <c r="B12519" s="2889" t="s">
        <v>1641</v>
      </c>
      <c r="C12519" s="2889" t="s">
        <v>1433</v>
      </c>
      <c r="D12519" s="2889" t="s">
        <v>197</v>
      </c>
      <c r="E12519" s="2889" t="s">
        <v>1426</v>
      </c>
      <c r="F12519" s="2891"/>
      <c r="G12519" s="2890">
        <v>45.726534127736457</v>
      </c>
    </row>
    <row r="12520" spans="2:7" ht="15" hidden="1" outlineLevel="2">
      <c r="B12520" s="2889" t="s">
        <v>1641</v>
      </c>
      <c r="C12520" s="2889" t="s">
        <v>1434</v>
      </c>
      <c r="D12520" s="2889" t="s">
        <v>197</v>
      </c>
      <c r="E12520" s="2889" t="s">
        <v>1426</v>
      </c>
      <c r="F12520" s="2891"/>
      <c r="G12520" s="2890">
        <v>127.01629420824636</v>
      </c>
    </row>
    <row r="12521" spans="2:7" ht="15" hidden="1" outlineLevel="2">
      <c r="B12521" s="2889" t="s">
        <v>1641</v>
      </c>
      <c r="C12521" s="2889" t="s">
        <v>1435</v>
      </c>
      <c r="D12521" s="2889" t="s">
        <v>197</v>
      </c>
      <c r="E12521" s="2889" t="s">
        <v>1426</v>
      </c>
      <c r="F12521" s="2891"/>
      <c r="G12521" s="2890">
        <v>93.381703617299223</v>
      </c>
    </row>
    <row r="12522" spans="2:7" ht="15" hidden="1" outlineLevel="2">
      <c r="B12522" s="2889" t="s">
        <v>1641</v>
      </c>
      <c r="C12522" s="2889" t="s">
        <v>1436</v>
      </c>
      <c r="D12522" s="2889" t="s">
        <v>1437</v>
      </c>
      <c r="E12522" s="2889" t="s">
        <v>217</v>
      </c>
      <c r="F12522" s="2890">
        <v>9.7425381139052297E-34</v>
      </c>
      <c r="G12522" s="2890">
        <v>6.5488706385837996E-30</v>
      </c>
    </row>
    <row r="12523" spans="2:7" ht="15" hidden="1" outlineLevel="2">
      <c r="B12523" s="2889" t="s">
        <v>1641</v>
      </c>
      <c r="C12523" s="2889" t="s">
        <v>1438</v>
      </c>
      <c r="D12523" s="2889" t="s">
        <v>1437</v>
      </c>
      <c r="E12523" s="2889" t="s">
        <v>1420</v>
      </c>
      <c r="F12523" s="2890">
        <v>1.6645027218787266E-36</v>
      </c>
      <c r="G12523" s="2890">
        <v>2.4044512537756401E-32</v>
      </c>
    </row>
    <row r="12524" spans="2:7" ht="15" hidden="1" outlineLevel="2">
      <c r="B12524" s="2889" t="s">
        <v>1641</v>
      </c>
      <c r="C12524" s="2889" t="s">
        <v>1439</v>
      </c>
      <c r="D12524" s="2889" t="s">
        <v>1437</v>
      </c>
      <c r="E12524" s="2889" t="s">
        <v>1426</v>
      </c>
      <c r="F12524" s="2891"/>
      <c r="G12524" s="2890">
        <v>2.6166589767479464E-28</v>
      </c>
    </row>
    <row r="12525" spans="2:7" ht="15" hidden="1" outlineLevel="2">
      <c r="B12525" s="2889" t="s">
        <v>1641</v>
      </c>
      <c r="C12525" s="2889" t="s">
        <v>1440</v>
      </c>
      <c r="D12525" s="2889" t="s">
        <v>1105</v>
      </c>
      <c r="E12525" s="2889" t="s">
        <v>217</v>
      </c>
      <c r="F12525" s="2890">
        <v>2.5510404275937572E-2</v>
      </c>
      <c r="G12525" s="2890">
        <v>12.642120976729831</v>
      </c>
    </row>
    <row r="12526" spans="2:7" ht="15" hidden="1" outlineLevel="2">
      <c r="B12526" s="2889" t="s">
        <v>1641</v>
      </c>
      <c r="C12526" s="2889" t="s">
        <v>1441</v>
      </c>
      <c r="D12526" s="2889" t="s">
        <v>1105</v>
      </c>
      <c r="E12526" s="2889" t="s">
        <v>217</v>
      </c>
      <c r="F12526" s="2890">
        <v>0.16301022934064394</v>
      </c>
      <c r="G12526" s="2890">
        <v>84.344238214335633</v>
      </c>
    </row>
    <row r="12527" spans="2:7" ht="15" hidden="1" outlineLevel="2">
      <c r="B12527" s="2889" t="s">
        <v>1641</v>
      </c>
      <c r="C12527" s="2889" t="s">
        <v>1442</v>
      </c>
      <c r="D12527" s="2889" t="s">
        <v>1105</v>
      </c>
      <c r="E12527" s="2889" t="s">
        <v>217</v>
      </c>
      <c r="F12527" s="2890">
        <v>7.2561067701919861E-5</v>
      </c>
      <c r="G12527" s="2890">
        <v>3.2528965415809977E-2</v>
      </c>
    </row>
    <row r="12528" spans="2:7" ht="15" hidden="1" outlineLevel="2">
      <c r="B12528" s="2889" t="s">
        <v>1641</v>
      </c>
      <c r="C12528" s="2889" t="s">
        <v>1443</v>
      </c>
      <c r="D12528" s="2889" t="s">
        <v>1105</v>
      </c>
      <c r="E12528" s="2889" t="s">
        <v>217</v>
      </c>
      <c r="F12528" s="2890">
        <v>1.1417342750837532E-3</v>
      </c>
      <c r="G12528" s="2890">
        <v>0.51183748470087342</v>
      </c>
    </row>
    <row r="12529" spans="2:7" ht="15" hidden="1" outlineLevel="2">
      <c r="B12529" s="2889" t="s">
        <v>1641</v>
      </c>
      <c r="C12529" s="2889" t="s">
        <v>1444</v>
      </c>
      <c r="D12529" s="2889" t="s">
        <v>1105</v>
      </c>
      <c r="E12529" s="2889" t="s">
        <v>217</v>
      </c>
      <c r="F12529" s="2890">
        <v>2.1644044118430013</v>
      </c>
      <c r="G12529" s="2890">
        <v>2602.3189237116594</v>
      </c>
    </row>
    <row r="12530" spans="2:7" ht="15" hidden="1" outlineLevel="2">
      <c r="B12530" s="2889" t="s">
        <v>1641</v>
      </c>
      <c r="C12530" s="2889" t="s">
        <v>1445</v>
      </c>
      <c r="D12530" s="2889" t="s">
        <v>1105</v>
      </c>
      <c r="E12530" s="2889" t="s">
        <v>217</v>
      </c>
      <c r="F12530" s="2890">
        <v>0.46587932309584934</v>
      </c>
      <c r="G12530" s="2890">
        <v>651.20414578015641</v>
      </c>
    </row>
    <row r="12531" spans="2:7" ht="15" hidden="1" outlineLevel="2">
      <c r="B12531" s="2889" t="s">
        <v>1641</v>
      </c>
      <c r="C12531" s="2889" t="s">
        <v>1446</v>
      </c>
      <c r="D12531" s="2889" t="s">
        <v>1105</v>
      </c>
      <c r="E12531" s="2889" t="s">
        <v>217</v>
      </c>
      <c r="F12531" s="2890">
        <v>0.21505005314771897</v>
      </c>
      <c r="G12531" s="2890">
        <v>345.32852670924314</v>
      </c>
    </row>
    <row r="12532" spans="2:7" ht="15" hidden="1" outlineLevel="2">
      <c r="B12532" s="2889" t="s">
        <v>1641</v>
      </c>
      <c r="C12532" s="2889" t="s">
        <v>1447</v>
      </c>
      <c r="D12532" s="2889" t="s">
        <v>1105</v>
      </c>
      <c r="E12532" s="2889" t="s">
        <v>217</v>
      </c>
      <c r="F12532" s="2890">
        <v>0.49553419167077961</v>
      </c>
      <c r="G12532" s="2890">
        <v>740.94993506092646</v>
      </c>
    </row>
    <row r="12533" spans="2:7" ht="15" hidden="1" outlineLevel="2">
      <c r="B12533" s="2889" t="s">
        <v>1641</v>
      </c>
      <c r="C12533" s="2889" t="s">
        <v>1448</v>
      </c>
      <c r="D12533" s="2889" t="s">
        <v>1105</v>
      </c>
      <c r="E12533" s="2889" t="s">
        <v>217</v>
      </c>
      <c r="F12533" s="2890">
        <v>0.93590642091496123</v>
      </c>
      <c r="G12533" s="2890">
        <v>1167.3019448411928</v>
      </c>
    </row>
    <row r="12534" spans="2:7" ht="15" hidden="1" outlineLevel="2">
      <c r="B12534" s="2889" t="s">
        <v>1641</v>
      </c>
      <c r="C12534" s="2889" t="s">
        <v>1449</v>
      </c>
      <c r="D12534" s="2889" t="s">
        <v>1105</v>
      </c>
      <c r="E12534" s="2889" t="s">
        <v>217</v>
      </c>
      <c r="F12534" s="2890">
        <v>3.9843379563300828E-2</v>
      </c>
      <c r="G12534" s="2890">
        <v>54.903380383993714</v>
      </c>
    </row>
    <row r="12535" spans="2:7" ht="15" hidden="1" outlineLevel="2">
      <c r="B12535" s="2889" t="s">
        <v>1641</v>
      </c>
      <c r="C12535" s="2889" t="s">
        <v>1450</v>
      </c>
      <c r="D12535" s="2889" t="s">
        <v>1105</v>
      </c>
      <c r="E12535" s="2889" t="s">
        <v>1420</v>
      </c>
      <c r="F12535" s="2890">
        <v>0.12594586760984561</v>
      </c>
      <c r="G12535" s="2890">
        <v>346.25099284528926</v>
      </c>
    </row>
    <row r="12536" spans="2:7" ht="15" hidden="1" outlineLevel="2">
      <c r="B12536" s="2889" t="s">
        <v>1641</v>
      </c>
      <c r="C12536" s="2889" t="s">
        <v>1451</v>
      </c>
      <c r="D12536" s="2889" t="s">
        <v>1105</v>
      </c>
      <c r="E12536" s="2889" t="s">
        <v>1420</v>
      </c>
      <c r="F12536" s="2890">
        <v>1.8285988177867463E-2</v>
      </c>
      <c r="G12536" s="2890">
        <v>77.12215228113547</v>
      </c>
    </row>
    <row r="12537" spans="2:7" ht="15" hidden="1" outlineLevel="2">
      <c r="B12537" s="2889" t="s">
        <v>1641</v>
      </c>
      <c r="C12537" s="2889" t="s">
        <v>1452</v>
      </c>
      <c r="D12537" s="2889" t="s">
        <v>1105</v>
      </c>
      <c r="E12537" s="2889" t="s">
        <v>1420</v>
      </c>
      <c r="F12537" s="2890">
        <v>1.3528335643395643E-2</v>
      </c>
      <c r="G12537" s="2890">
        <v>90.401026543620958</v>
      </c>
    </row>
    <row r="12538" spans="2:7" ht="15" hidden="1" outlineLevel="2">
      <c r="B12538" s="2889" t="s">
        <v>1641</v>
      </c>
      <c r="C12538" s="2889" t="s">
        <v>1453</v>
      </c>
      <c r="D12538" s="2889" t="s">
        <v>1105</v>
      </c>
      <c r="E12538" s="2889" t="s">
        <v>1420</v>
      </c>
      <c r="F12538" s="2890">
        <v>2.3696574642381348E-2</v>
      </c>
      <c r="G12538" s="2890">
        <v>112.30064206016809</v>
      </c>
    </row>
    <row r="12539" spans="2:7" ht="15" hidden="1" outlineLevel="2">
      <c r="B12539" s="2889" t="s">
        <v>1641</v>
      </c>
      <c r="C12539" s="2889" t="s">
        <v>1454</v>
      </c>
      <c r="D12539" s="2889" t="s">
        <v>1105</v>
      </c>
      <c r="E12539" s="2889" t="s">
        <v>1420</v>
      </c>
      <c r="F12539" s="2890">
        <v>5.9169028018920666E-4</v>
      </c>
      <c r="G12539" s="2890">
        <v>1.518051074964208</v>
      </c>
    </row>
    <row r="12540" spans="2:7" ht="15" hidden="1" outlineLevel="2">
      <c r="B12540" s="2889" t="s">
        <v>1641</v>
      </c>
      <c r="C12540" s="2889" t="s">
        <v>1455</v>
      </c>
      <c r="D12540" s="2889" t="s">
        <v>1105</v>
      </c>
      <c r="E12540" s="2889" t="s">
        <v>1420</v>
      </c>
      <c r="F12540" s="2890">
        <v>1.7262627052776994E-4</v>
      </c>
      <c r="G12540" s="2890">
        <v>1.410071292642699</v>
      </c>
    </row>
    <row r="12541" spans="2:7" ht="15" hidden="1" outlineLevel="2">
      <c r="B12541" s="2889" t="s">
        <v>1641</v>
      </c>
      <c r="C12541" s="2889" t="s">
        <v>1456</v>
      </c>
      <c r="D12541" s="2889" t="s">
        <v>1105</v>
      </c>
      <c r="E12541" s="2889" t="s">
        <v>1423</v>
      </c>
      <c r="F12541" s="2890">
        <v>2.7826968199379243</v>
      </c>
      <c r="G12541" s="2890">
        <v>77.272648231711429</v>
      </c>
    </row>
    <row r="12542" spans="2:7" ht="15" hidden="1" outlineLevel="2">
      <c r="B12542" s="2889" t="s">
        <v>1641</v>
      </c>
      <c r="C12542" s="2889" t="s">
        <v>1457</v>
      </c>
      <c r="D12542" s="2889" t="s">
        <v>1105</v>
      </c>
      <c r="E12542" s="2889" t="s">
        <v>1423</v>
      </c>
      <c r="F12542" s="2890">
        <v>0.10668472970592245</v>
      </c>
      <c r="G12542" s="2890">
        <v>3.8781524742745832</v>
      </c>
    </row>
    <row r="12543" spans="2:7" ht="15" hidden="1" outlineLevel="2">
      <c r="B12543" s="2889" t="s">
        <v>1641</v>
      </c>
      <c r="C12543" s="2889" t="s">
        <v>1458</v>
      </c>
      <c r="D12543" s="2889" t="s">
        <v>1105</v>
      </c>
      <c r="E12543" s="2889" t="s">
        <v>1423</v>
      </c>
      <c r="F12543" s="2890">
        <v>7.6591716168153481E-2</v>
      </c>
      <c r="G12543" s="2890">
        <v>5.3718982900224015</v>
      </c>
    </row>
    <row r="12544" spans="2:7" ht="15" hidden="1" outlineLevel="2">
      <c r="B12544" s="2889" t="s">
        <v>1641</v>
      </c>
      <c r="C12544" s="2889" t="s">
        <v>1459</v>
      </c>
      <c r="D12544" s="2889" t="s">
        <v>1105</v>
      </c>
      <c r="E12544" s="2889" t="s">
        <v>1423</v>
      </c>
      <c r="F12544" s="2890">
        <v>0.89731112300669391</v>
      </c>
      <c r="G12544" s="2890">
        <v>187.77625373243035</v>
      </c>
    </row>
    <row r="12545" spans="2:7" ht="15" hidden="1" outlineLevel="2">
      <c r="B12545" s="2889" t="s">
        <v>1641</v>
      </c>
      <c r="C12545" s="2889" t="s">
        <v>1460</v>
      </c>
      <c r="D12545" s="2889" t="s">
        <v>1105</v>
      </c>
      <c r="E12545" s="2889" t="s">
        <v>1426</v>
      </c>
      <c r="F12545" s="2891"/>
      <c r="G12545" s="2890">
        <v>2002.3915727239646</v>
      </c>
    </row>
    <row r="12546" spans="2:7" ht="15" hidden="1" outlineLevel="2">
      <c r="B12546" s="2889" t="s">
        <v>1641</v>
      </c>
      <c r="C12546" s="2889" t="s">
        <v>1461</v>
      </c>
      <c r="D12546" s="2889" t="s">
        <v>1105</v>
      </c>
      <c r="E12546" s="2889" t="s">
        <v>1426</v>
      </c>
      <c r="F12546" s="2891"/>
      <c r="G12546" s="2890">
        <v>472.44289235975748</v>
      </c>
    </row>
    <row r="12547" spans="2:7" ht="15" hidden="1" outlineLevel="2">
      <c r="B12547" s="2889" t="s">
        <v>1641</v>
      </c>
      <c r="C12547" s="2889" t="s">
        <v>1462</v>
      </c>
      <c r="D12547" s="2889" t="s">
        <v>1105</v>
      </c>
      <c r="E12547" s="2889" t="s">
        <v>1426</v>
      </c>
      <c r="F12547" s="2891"/>
      <c r="G12547" s="2890">
        <v>1310.846653498279</v>
      </c>
    </row>
    <row r="12548" spans="2:7" ht="15" hidden="1" outlineLevel="2">
      <c r="B12548" s="2889" t="s">
        <v>1641</v>
      </c>
      <c r="C12548" s="2889" t="s">
        <v>1463</v>
      </c>
      <c r="D12548" s="2889" t="s">
        <v>1105</v>
      </c>
      <c r="E12548" s="2889" t="s">
        <v>1426</v>
      </c>
      <c r="F12548" s="2891"/>
      <c r="G12548" s="2890">
        <v>665.60550651228209</v>
      </c>
    </row>
    <row r="12549" spans="2:7" ht="15" hidden="1" outlineLevel="2">
      <c r="B12549" s="2889" t="s">
        <v>1641</v>
      </c>
      <c r="C12549" s="2889" t="s">
        <v>1464</v>
      </c>
      <c r="D12549" s="2889" t="s">
        <v>1105</v>
      </c>
      <c r="E12549" s="2889" t="s">
        <v>1426</v>
      </c>
      <c r="F12549" s="2891"/>
      <c r="G12549" s="2890">
        <v>63.942195893677592</v>
      </c>
    </row>
    <row r="12550" spans="2:7" ht="15" hidden="1" outlineLevel="2">
      <c r="B12550" s="2889" t="s">
        <v>1641</v>
      </c>
      <c r="C12550" s="2889" t="s">
        <v>1465</v>
      </c>
      <c r="D12550" s="2889" t="s">
        <v>1105</v>
      </c>
      <c r="E12550" s="2889" t="s">
        <v>1426</v>
      </c>
      <c r="F12550" s="2891"/>
      <c r="G12550" s="2890">
        <v>56.731206658947208</v>
      </c>
    </row>
    <row r="12551" spans="2:7" ht="15" hidden="1" outlineLevel="2">
      <c r="B12551" s="2889" t="s">
        <v>1641</v>
      </c>
      <c r="C12551" s="2889" t="s">
        <v>1466</v>
      </c>
      <c r="D12551" s="2889" t="s">
        <v>1054</v>
      </c>
      <c r="E12551" s="2889" t="s">
        <v>217</v>
      </c>
      <c r="F12551" s="2890">
        <v>6.7961842942288839E-2</v>
      </c>
      <c r="G12551" s="2890">
        <v>41.904982176211163</v>
      </c>
    </row>
    <row r="12552" spans="2:7" ht="15" hidden="1" outlineLevel="2">
      <c r="B12552" s="2889" t="s">
        <v>1641</v>
      </c>
      <c r="C12552" s="2889" t="s">
        <v>1467</v>
      </c>
      <c r="D12552" s="2889" t="s">
        <v>1054</v>
      </c>
      <c r="E12552" s="2889" t="s">
        <v>217</v>
      </c>
      <c r="F12552" s="2890">
        <v>5.6166115686636583E-3</v>
      </c>
      <c r="G12552" s="2890">
        <v>2.7178603956773437</v>
      </c>
    </row>
    <row r="12553" spans="2:7" ht="15" hidden="1" outlineLevel="2">
      <c r="B12553" s="2889" t="s">
        <v>1641</v>
      </c>
      <c r="C12553" s="2889" t="s">
        <v>1468</v>
      </c>
      <c r="D12553" s="2889" t="s">
        <v>1054</v>
      </c>
      <c r="E12553" s="2889" t="s">
        <v>217</v>
      </c>
      <c r="F12553" s="2890">
        <v>6.8018803120296276E-3</v>
      </c>
      <c r="G12553" s="2890">
        <v>3.2490445916957351</v>
      </c>
    </row>
    <row r="12554" spans="2:7" ht="15" hidden="1" outlineLevel="2">
      <c r="B12554" s="2889" t="s">
        <v>1641</v>
      </c>
      <c r="C12554" s="2889" t="s">
        <v>1469</v>
      </c>
      <c r="D12554" s="2889" t="s">
        <v>1054</v>
      </c>
      <c r="E12554" s="2889" t="s">
        <v>217</v>
      </c>
      <c r="F12554" s="2890">
        <v>5.4276949246530487E-5</v>
      </c>
      <c r="G12554" s="2890">
        <v>2.4330548023878712E-2</v>
      </c>
    </row>
    <row r="12555" spans="2:7" ht="15" hidden="1" outlineLevel="2">
      <c r="B12555" s="2889" t="s">
        <v>1641</v>
      </c>
      <c r="C12555" s="2889" t="s">
        <v>1470</v>
      </c>
      <c r="D12555" s="2889" t="s">
        <v>1054</v>
      </c>
      <c r="E12555" s="2889" t="s">
        <v>217</v>
      </c>
      <c r="F12555" s="2890">
        <v>0.19362058970817891</v>
      </c>
      <c r="G12555" s="2890">
        <v>108.2890947054308</v>
      </c>
    </row>
    <row r="12556" spans="2:7" ht="15" hidden="1" outlineLevel="2">
      <c r="B12556" s="2889" t="s">
        <v>1641</v>
      </c>
      <c r="C12556" s="2889" t="s">
        <v>1471</v>
      </c>
      <c r="D12556" s="2889" t="s">
        <v>1054</v>
      </c>
      <c r="E12556" s="2889" t="s">
        <v>217</v>
      </c>
      <c r="F12556" s="2890">
        <v>1.4133277522784698E-3</v>
      </c>
      <c r="G12556" s="2890">
        <v>0.63354736748174578</v>
      </c>
    </row>
    <row r="12557" spans="2:7" ht="15" hidden="1" outlineLevel="2">
      <c r="B12557" s="2889" t="s">
        <v>1641</v>
      </c>
      <c r="C12557" s="2889" t="s">
        <v>1472</v>
      </c>
      <c r="D12557" s="2889" t="s">
        <v>1054</v>
      </c>
      <c r="E12557" s="2889" t="s">
        <v>217</v>
      </c>
      <c r="F12557" s="2890">
        <v>2.4022709963786602E-2</v>
      </c>
      <c r="G12557" s="2890">
        <v>37.252715297635433</v>
      </c>
    </row>
    <row r="12558" spans="2:7" ht="15" hidden="1" outlineLevel="2">
      <c r="B12558" s="2889" t="s">
        <v>1641</v>
      </c>
      <c r="C12558" s="2889" t="s">
        <v>1473</v>
      </c>
      <c r="D12558" s="2889" t="s">
        <v>1054</v>
      </c>
      <c r="E12558" s="2889" t="s">
        <v>217</v>
      </c>
      <c r="F12558" s="2890">
        <v>2.127886342053579E-4</v>
      </c>
      <c r="G12558" s="2890">
        <v>0.27528774813832041</v>
      </c>
    </row>
    <row r="12559" spans="2:7" ht="15" hidden="1" outlineLevel="2">
      <c r="B12559" s="2889" t="s">
        <v>1641</v>
      </c>
      <c r="C12559" s="2889" t="s">
        <v>1474</v>
      </c>
      <c r="D12559" s="2889" t="s">
        <v>1054</v>
      </c>
      <c r="E12559" s="2889" t="s">
        <v>217</v>
      </c>
      <c r="F12559" s="2890">
        <v>5.853274717683845E-2</v>
      </c>
      <c r="G12559" s="2890">
        <v>69.710886573539142</v>
      </c>
    </row>
    <row r="12560" spans="2:7" ht="15" hidden="1" outlineLevel="2">
      <c r="B12560" s="2889" t="s">
        <v>1641</v>
      </c>
      <c r="C12560" s="2889" t="s">
        <v>1475</v>
      </c>
      <c r="D12560" s="2889" t="s">
        <v>1054</v>
      </c>
      <c r="E12560" s="2889" t="s">
        <v>217</v>
      </c>
      <c r="F12560" s="2890">
        <v>4.1926859331536594E-2</v>
      </c>
      <c r="G12560" s="2890">
        <v>65.872507198967327</v>
      </c>
    </row>
    <row r="12561" spans="2:7" ht="15" hidden="1" outlineLevel="2">
      <c r="B12561" s="2889" t="s">
        <v>1641</v>
      </c>
      <c r="C12561" s="2889" t="s">
        <v>1476</v>
      </c>
      <c r="D12561" s="2889" t="s">
        <v>1054</v>
      </c>
      <c r="E12561" s="2889" t="s">
        <v>217</v>
      </c>
      <c r="F12561" s="2890">
        <v>0.10323182860594592</v>
      </c>
      <c r="G12561" s="2890">
        <v>131.10856538658672</v>
      </c>
    </row>
    <row r="12562" spans="2:7" ht="15" hidden="1" outlineLevel="2">
      <c r="B12562" s="2889" t="s">
        <v>1641</v>
      </c>
      <c r="C12562" s="2889" t="s">
        <v>1477</v>
      </c>
      <c r="D12562" s="2889" t="s">
        <v>1054</v>
      </c>
      <c r="E12562" s="2889" t="s">
        <v>217</v>
      </c>
      <c r="F12562" s="2890">
        <v>4.0378498797049113E-2</v>
      </c>
      <c r="G12562" s="2890">
        <v>55.288508255864208</v>
      </c>
    </row>
    <row r="12563" spans="2:7" ht="15" hidden="1" outlineLevel="2">
      <c r="B12563" s="2889" t="s">
        <v>1641</v>
      </c>
      <c r="C12563" s="2889" t="s">
        <v>1478</v>
      </c>
      <c r="D12563" s="2889" t="s">
        <v>1054</v>
      </c>
      <c r="E12563" s="2889" t="s">
        <v>217</v>
      </c>
      <c r="F12563" s="2890">
        <v>2.1760004173757433E-3</v>
      </c>
      <c r="G12563" s="2890">
        <v>2.8705424742670442</v>
      </c>
    </row>
    <row r="12564" spans="2:7" ht="15" hidden="1" outlineLevel="2">
      <c r="B12564" s="2889" t="s">
        <v>1641</v>
      </c>
      <c r="C12564" s="2889" t="s">
        <v>1479</v>
      </c>
      <c r="D12564" s="2889" t="s">
        <v>1054</v>
      </c>
      <c r="E12564" s="2889" t="s">
        <v>217</v>
      </c>
      <c r="F12564" s="2890">
        <v>7.6940981517430382E-2</v>
      </c>
      <c r="G12564" s="2890">
        <v>115.74499382138103</v>
      </c>
    </row>
    <row r="12565" spans="2:7" ht="15" hidden="1" outlineLevel="2">
      <c r="B12565" s="2889" t="s">
        <v>1641</v>
      </c>
      <c r="C12565" s="2889" t="s">
        <v>1480</v>
      </c>
      <c r="D12565" s="2889" t="s">
        <v>1054</v>
      </c>
      <c r="E12565" s="2889" t="s">
        <v>217</v>
      </c>
      <c r="F12565" s="2890">
        <v>3.4637629925918852E-2</v>
      </c>
      <c r="G12565" s="2890">
        <v>39.864429912580718</v>
      </c>
    </row>
    <row r="12566" spans="2:7" ht="15" hidden="1" outlineLevel="2">
      <c r="B12566" s="2889" t="s">
        <v>1641</v>
      </c>
      <c r="C12566" s="2889" t="s">
        <v>1481</v>
      </c>
      <c r="D12566" s="2889" t="s">
        <v>1054</v>
      </c>
      <c r="E12566" s="2889" t="s">
        <v>217</v>
      </c>
      <c r="F12566" s="2890">
        <v>0.17139657414471449</v>
      </c>
      <c r="G12566" s="2890">
        <v>241.07398724205689</v>
      </c>
    </row>
    <row r="12567" spans="2:7" ht="15" hidden="1" outlineLevel="2">
      <c r="B12567" s="2889" t="s">
        <v>1641</v>
      </c>
      <c r="C12567" s="2889" t="s">
        <v>1482</v>
      </c>
      <c r="D12567" s="2889" t="s">
        <v>1054</v>
      </c>
      <c r="E12567" s="2889" t="s">
        <v>217</v>
      </c>
      <c r="F12567" s="2890">
        <v>0.1155095778696419</v>
      </c>
      <c r="G12567" s="2890">
        <v>115.48711905502971</v>
      </c>
    </row>
    <row r="12568" spans="2:7" ht="15" hidden="1" outlineLevel="2">
      <c r="B12568" s="2889" t="s">
        <v>1641</v>
      </c>
      <c r="C12568" s="2889" t="s">
        <v>1483</v>
      </c>
      <c r="D12568" s="2889" t="s">
        <v>1054</v>
      </c>
      <c r="E12568" s="2889" t="s">
        <v>217</v>
      </c>
      <c r="F12568" s="2890">
        <v>5.4880132209896033E-3</v>
      </c>
      <c r="G12568" s="2890">
        <v>9.2061378740414863</v>
      </c>
    </row>
    <row r="12569" spans="2:7" ht="15" hidden="1" outlineLevel="2">
      <c r="B12569" s="2889" t="s">
        <v>1641</v>
      </c>
      <c r="C12569" s="2889" t="s">
        <v>1484</v>
      </c>
      <c r="D12569" s="2889" t="s">
        <v>1054</v>
      </c>
      <c r="E12569" s="2889" t="s">
        <v>217</v>
      </c>
      <c r="F12569" s="2890">
        <v>1.1161146858374897E-2</v>
      </c>
      <c r="G12569" s="2890">
        <v>15.610280952334666</v>
      </c>
    </row>
    <row r="12570" spans="2:7" ht="15" hidden="1" outlineLevel="2">
      <c r="B12570" s="2889" t="s">
        <v>1641</v>
      </c>
      <c r="C12570" s="2889" t="s">
        <v>1485</v>
      </c>
      <c r="D12570" s="2889" t="s">
        <v>1054</v>
      </c>
      <c r="E12570" s="2889" t="s">
        <v>217</v>
      </c>
      <c r="F12570" s="2890">
        <v>4.9579801850298836E-3</v>
      </c>
      <c r="G12570" s="2890">
        <v>13.988222920148392</v>
      </c>
    </row>
    <row r="12571" spans="2:7" ht="15" hidden="1" outlineLevel="2">
      <c r="B12571" s="2889" t="s">
        <v>1641</v>
      </c>
      <c r="C12571" s="2889" t="s">
        <v>1486</v>
      </c>
      <c r="D12571" s="2889" t="s">
        <v>1054</v>
      </c>
      <c r="E12571" s="2889" t="s">
        <v>217</v>
      </c>
      <c r="F12571" s="2890">
        <v>5.7761812455473299E-3</v>
      </c>
      <c r="G12571" s="2890">
        <v>33.41005399229411</v>
      </c>
    </row>
    <row r="12572" spans="2:7" ht="15" hidden="1" outlineLevel="2">
      <c r="B12572" s="2889" t="s">
        <v>1641</v>
      </c>
      <c r="C12572" s="2889" t="s">
        <v>1487</v>
      </c>
      <c r="D12572" s="2889" t="s">
        <v>1054</v>
      </c>
      <c r="E12572" s="2889" t="s">
        <v>217</v>
      </c>
      <c r="F12572" s="2890">
        <v>5.4645117107831986E-2</v>
      </c>
      <c r="G12572" s="2890">
        <v>79.173203367900669</v>
      </c>
    </row>
    <row r="12573" spans="2:7" ht="15" hidden="1" outlineLevel="2">
      <c r="B12573" s="2889" t="s">
        <v>1641</v>
      </c>
      <c r="C12573" s="2889" t="s">
        <v>1488</v>
      </c>
      <c r="D12573" s="2889" t="s">
        <v>1054</v>
      </c>
      <c r="E12573" s="2889" t="s">
        <v>217</v>
      </c>
      <c r="F12573" s="2890">
        <v>3.3893286407440375E-2</v>
      </c>
      <c r="G12573" s="2890">
        <v>54.337547976930551</v>
      </c>
    </row>
    <row r="12574" spans="2:7" ht="15" hidden="1" outlineLevel="2">
      <c r="B12574" s="2889" t="s">
        <v>1641</v>
      </c>
      <c r="C12574" s="2889" t="s">
        <v>1489</v>
      </c>
      <c r="D12574" s="2889" t="s">
        <v>1054</v>
      </c>
      <c r="E12574" s="2889" t="s">
        <v>217</v>
      </c>
      <c r="F12574" s="2890">
        <v>1.7067163441156136E-2</v>
      </c>
      <c r="G12574" s="2890">
        <v>17.903729312556393</v>
      </c>
    </row>
    <row r="12575" spans="2:7" ht="15" hidden="1" outlineLevel="2">
      <c r="B12575" s="2889" t="s">
        <v>1641</v>
      </c>
      <c r="C12575" s="2889" t="s">
        <v>1490</v>
      </c>
      <c r="D12575" s="2889" t="s">
        <v>1054</v>
      </c>
      <c r="E12575" s="2889" t="s">
        <v>217</v>
      </c>
      <c r="F12575" s="2890">
        <v>7.9593406719046036E-3</v>
      </c>
      <c r="G12575" s="2890">
        <v>12.647765756651916</v>
      </c>
    </row>
    <row r="12576" spans="2:7" ht="15" hidden="1" outlineLevel="2">
      <c r="B12576" s="2889" t="s">
        <v>1641</v>
      </c>
      <c r="C12576" s="2889" t="s">
        <v>1491</v>
      </c>
      <c r="D12576" s="2889" t="s">
        <v>1054</v>
      </c>
      <c r="E12576" s="2889" t="s">
        <v>1420</v>
      </c>
      <c r="F12576" s="2890">
        <v>1.5130262354407058E-3</v>
      </c>
      <c r="G12576" s="2890">
        <v>7.1638924642857136</v>
      </c>
    </row>
    <row r="12577" spans="2:7" ht="15" hidden="1" outlineLevel="2">
      <c r="B12577" s="2889" t="s">
        <v>1641</v>
      </c>
      <c r="C12577" s="2889" t="s">
        <v>1492</v>
      </c>
      <c r="D12577" s="2889" t="s">
        <v>1054</v>
      </c>
      <c r="E12577" s="2889" t="s">
        <v>1420</v>
      </c>
      <c r="F12577" s="2890">
        <v>1.1247343896218461E-3</v>
      </c>
      <c r="G12577" s="2890">
        <v>12.022362132269512</v>
      </c>
    </row>
    <row r="12578" spans="2:7" ht="15" hidden="1" outlineLevel="2">
      <c r="B12578" s="2889" t="s">
        <v>1641</v>
      </c>
      <c r="C12578" s="2889" t="s">
        <v>1493</v>
      </c>
      <c r="D12578" s="2889" t="s">
        <v>1054</v>
      </c>
      <c r="E12578" s="2889" t="s">
        <v>1420</v>
      </c>
      <c r="F12578" s="2890">
        <v>8.3284729768302803E-4</v>
      </c>
      <c r="G12578" s="2890">
        <v>1.9888586877675323</v>
      </c>
    </row>
    <row r="12579" spans="2:7" ht="15" hidden="1" outlineLevel="2">
      <c r="B12579" s="2889" t="s">
        <v>1641</v>
      </c>
      <c r="C12579" s="2889" t="s">
        <v>1494</v>
      </c>
      <c r="D12579" s="2889" t="s">
        <v>1054</v>
      </c>
      <c r="E12579" s="2889" t="s">
        <v>1420</v>
      </c>
      <c r="F12579" s="2890">
        <v>2.2709946775811602E-4</v>
      </c>
      <c r="G12579" s="2890">
        <v>1.2462636425712066</v>
      </c>
    </row>
    <row r="12580" spans="2:7" ht="15" hidden="1" outlineLevel="2">
      <c r="B12580" s="2889" t="s">
        <v>1641</v>
      </c>
      <c r="C12580" s="2889" t="s">
        <v>1495</v>
      </c>
      <c r="D12580" s="2889" t="s">
        <v>1054</v>
      </c>
      <c r="E12580" s="2889" t="s">
        <v>1420</v>
      </c>
      <c r="F12580" s="2890">
        <v>4.9145871474715348E-3</v>
      </c>
      <c r="G12580" s="2890">
        <v>22.054640761238225</v>
      </c>
    </row>
    <row r="12581" spans="2:7" ht="15" hidden="1" outlineLevel="2">
      <c r="B12581" s="2889" t="s">
        <v>1641</v>
      </c>
      <c r="C12581" s="2889" t="s">
        <v>1496</v>
      </c>
      <c r="D12581" s="2889" t="s">
        <v>1054</v>
      </c>
      <c r="E12581" s="2889" t="s">
        <v>1420</v>
      </c>
      <c r="F12581" s="2890">
        <v>4.4586651636066652E-3</v>
      </c>
      <c r="G12581" s="2890">
        <v>7.9409400726807311</v>
      </c>
    </row>
    <row r="12582" spans="2:7" ht="15" hidden="1" outlineLevel="2">
      <c r="B12582" s="2889" t="s">
        <v>1641</v>
      </c>
      <c r="C12582" s="2889" t="s">
        <v>1497</v>
      </c>
      <c r="D12582" s="2889" t="s">
        <v>1054</v>
      </c>
      <c r="E12582" s="2889" t="s">
        <v>1420</v>
      </c>
      <c r="F12582" s="2890">
        <v>1.2370740350387294E-3</v>
      </c>
      <c r="G12582" s="2890">
        <v>20.404074122770382</v>
      </c>
    </row>
    <row r="12583" spans="2:7" ht="15" hidden="1" outlineLevel="2">
      <c r="B12583" s="2889" t="s">
        <v>1641</v>
      </c>
      <c r="C12583" s="2889" t="s">
        <v>1498</v>
      </c>
      <c r="D12583" s="2889" t="s">
        <v>1054</v>
      </c>
      <c r="E12583" s="2889" t="s">
        <v>1420</v>
      </c>
      <c r="F12583" s="2890">
        <v>3.3814995732835158E-3</v>
      </c>
      <c r="G12583" s="2890">
        <v>8.1267285344898497</v>
      </c>
    </row>
    <row r="12584" spans="2:7" ht="15" hidden="1" outlineLevel="2">
      <c r="B12584" s="2889" t="s">
        <v>1641</v>
      </c>
      <c r="C12584" s="2889" t="s">
        <v>1499</v>
      </c>
      <c r="D12584" s="2889" t="s">
        <v>1054</v>
      </c>
      <c r="E12584" s="2889" t="s">
        <v>1420</v>
      </c>
      <c r="F12584" s="2890">
        <v>5.1644756675154897E-4</v>
      </c>
      <c r="G12584" s="2890">
        <v>1.307709499402848</v>
      </c>
    </row>
    <row r="12585" spans="2:7" ht="15" hidden="1" outlineLevel="2">
      <c r="B12585" s="2889" t="s">
        <v>1641</v>
      </c>
      <c r="C12585" s="2889" t="s">
        <v>1500</v>
      </c>
      <c r="D12585" s="2889" t="s">
        <v>1054</v>
      </c>
      <c r="E12585" s="2889" t="s">
        <v>1420</v>
      </c>
      <c r="F12585" s="2890">
        <v>3.7407303370075124E-3</v>
      </c>
      <c r="G12585" s="2890">
        <v>14.146565452900001</v>
      </c>
    </row>
    <row r="12586" spans="2:7" ht="15" hidden="1" outlineLevel="2">
      <c r="B12586" s="2889" t="s">
        <v>1641</v>
      </c>
      <c r="C12586" s="2889" t="s">
        <v>1501</v>
      </c>
      <c r="D12586" s="2889" t="s">
        <v>1054</v>
      </c>
      <c r="E12586" s="2889" t="s">
        <v>1420</v>
      </c>
      <c r="F12586" s="2890">
        <v>4.6916856699225134E-3</v>
      </c>
      <c r="G12586" s="2890">
        <v>34.447614323168551</v>
      </c>
    </row>
    <row r="12587" spans="2:7" ht="15" hidden="1" outlineLevel="2">
      <c r="B12587" s="2889" t="s">
        <v>1641</v>
      </c>
      <c r="C12587" s="2889" t="s">
        <v>1502</v>
      </c>
      <c r="D12587" s="2889" t="s">
        <v>1054</v>
      </c>
      <c r="E12587" s="2889" t="s">
        <v>1420</v>
      </c>
      <c r="F12587" s="2890">
        <v>3.2736315883036997E-4</v>
      </c>
      <c r="G12587" s="2890">
        <v>3.5984452966113158</v>
      </c>
    </row>
    <row r="12588" spans="2:7" ht="15" hidden="1" outlineLevel="2">
      <c r="B12588" s="2889" t="s">
        <v>1641</v>
      </c>
      <c r="C12588" s="2889" t="s">
        <v>1503</v>
      </c>
      <c r="D12588" s="2889" t="s">
        <v>1054</v>
      </c>
      <c r="E12588" s="2889" t="s">
        <v>1420</v>
      </c>
      <c r="F12588" s="2890">
        <v>1.0796137447477575E-2</v>
      </c>
      <c r="G12588" s="2890">
        <v>29.808220795102628</v>
      </c>
    </row>
    <row r="12589" spans="2:7" ht="15" hidden="1" outlineLevel="2">
      <c r="B12589" s="2889" t="s">
        <v>1641</v>
      </c>
      <c r="C12589" s="2889" t="s">
        <v>1504</v>
      </c>
      <c r="D12589" s="2889" t="s">
        <v>1054</v>
      </c>
      <c r="E12589" s="2889" t="s">
        <v>1420</v>
      </c>
      <c r="F12589" s="2890">
        <v>5.5689581247559423E-3</v>
      </c>
      <c r="G12589" s="2890">
        <v>12.326947350576637</v>
      </c>
    </row>
    <row r="12590" spans="2:7" ht="15" hidden="1" outlineLevel="2">
      <c r="B12590" s="2889" t="s">
        <v>1641</v>
      </c>
      <c r="C12590" s="2889" t="s">
        <v>1505</v>
      </c>
      <c r="D12590" s="2889" t="s">
        <v>1054</v>
      </c>
      <c r="E12590" s="2889" t="s">
        <v>1423</v>
      </c>
      <c r="F12590" s="2890">
        <v>1.5792349637501455E-2</v>
      </c>
      <c r="G12590" s="2890">
        <v>0.39082648490303912</v>
      </c>
    </row>
    <row r="12591" spans="2:7" ht="15" hidden="1" outlineLevel="2">
      <c r="B12591" s="2889" t="s">
        <v>1641</v>
      </c>
      <c r="C12591" s="2889" t="s">
        <v>1506</v>
      </c>
      <c r="D12591" s="2889" t="s">
        <v>1054</v>
      </c>
      <c r="E12591" s="2889" t="s">
        <v>1426</v>
      </c>
      <c r="F12591" s="2891"/>
      <c r="G12591" s="2890">
        <v>1160.40916776105</v>
      </c>
    </row>
    <row r="12592" spans="2:7" ht="15" hidden="1" outlineLevel="2">
      <c r="B12592" s="2889" t="s">
        <v>1641</v>
      </c>
      <c r="C12592" s="2889" t="s">
        <v>1507</v>
      </c>
      <c r="D12592" s="2889" t="s">
        <v>1054</v>
      </c>
      <c r="E12592" s="2889" t="s">
        <v>1426</v>
      </c>
      <c r="F12592" s="2891"/>
      <c r="G12592" s="2890">
        <v>1.8915456825712469</v>
      </c>
    </row>
    <row r="12593" spans="2:7" ht="15" hidden="1" outlineLevel="2">
      <c r="B12593" s="2889" t="s">
        <v>1641</v>
      </c>
      <c r="C12593" s="2889" t="s">
        <v>1508</v>
      </c>
      <c r="D12593" s="2889" t="s">
        <v>1054</v>
      </c>
      <c r="E12593" s="2889" t="s">
        <v>1426</v>
      </c>
      <c r="F12593" s="2891"/>
      <c r="G12593" s="2890">
        <v>31.162552686777417</v>
      </c>
    </row>
    <row r="12594" spans="2:7" ht="15" hidden="1" outlineLevel="2">
      <c r="B12594" s="2889" t="s">
        <v>1641</v>
      </c>
      <c r="C12594" s="2889" t="s">
        <v>1509</v>
      </c>
      <c r="D12594" s="2889" t="s">
        <v>1054</v>
      </c>
      <c r="E12594" s="2889" t="s">
        <v>1426</v>
      </c>
      <c r="F12594" s="2891"/>
      <c r="G12594" s="2890">
        <v>2904.640285784425</v>
      </c>
    </row>
    <row r="12595" spans="2:7" ht="15" hidden="1" outlineLevel="2">
      <c r="B12595" s="2889" t="s">
        <v>1641</v>
      </c>
      <c r="C12595" s="2889" t="s">
        <v>1510</v>
      </c>
      <c r="D12595" s="2889" t="s">
        <v>1054</v>
      </c>
      <c r="E12595" s="2889" t="s">
        <v>1426</v>
      </c>
      <c r="F12595" s="2891"/>
      <c r="G12595" s="2890">
        <v>3159.6383806230751</v>
      </c>
    </row>
    <row r="12596" spans="2:7" ht="15" hidden="1" outlineLevel="2">
      <c r="B12596" s="2889" t="s">
        <v>1641</v>
      </c>
      <c r="C12596" s="2889" t="s">
        <v>1511</v>
      </c>
      <c r="D12596" s="2889" t="s">
        <v>1054</v>
      </c>
      <c r="E12596" s="2889" t="s">
        <v>1426</v>
      </c>
      <c r="F12596" s="2891"/>
      <c r="G12596" s="2890">
        <v>174.07522543603619</v>
      </c>
    </row>
    <row r="12597" spans="2:7" ht="15" hidden="1" outlineLevel="2">
      <c r="B12597" s="2889" t="s">
        <v>1641</v>
      </c>
      <c r="C12597" s="2889" t="s">
        <v>1512</v>
      </c>
      <c r="D12597" s="2889" t="s">
        <v>1054</v>
      </c>
      <c r="E12597" s="2889" t="s">
        <v>1426</v>
      </c>
      <c r="F12597" s="2891"/>
      <c r="G12597" s="2890">
        <v>107.44442346760717</v>
      </c>
    </row>
    <row r="12598" spans="2:7" ht="15" hidden="1" outlineLevel="2">
      <c r="B12598" s="2889" t="s">
        <v>1641</v>
      </c>
      <c r="C12598" s="2889" t="s">
        <v>1513</v>
      </c>
      <c r="D12598" s="2889" t="s">
        <v>1054</v>
      </c>
      <c r="E12598" s="2889" t="s">
        <v>1426</v>
      </c>
      <c r="F12598" s="2891"/>
      <c r="G12598" s="2890">
        <v>320.82367647194184</v>
      </c>
    </row>
    <row r="12599" spans="2:7" ht="15" hidden="1" outlineLevel="2">
      <c r="B12599" s="2889" t="s">
        <v>1641</v>
      </c>
      <c r="C12599" s="2889" t="s">
        <v>1514</v>
      </c>
      <c r="D12599" s="2889" t="s">
        <v>1054</v>
      </c>
      <c r="E12599" s="2889" t="s">
        <v>1426</v>
      </c>
      <c r="F12599" s="2891"/>
      <c r="G12599" s="2890">
        <v>1377.9998850884388</v>
      </c>
    </row>
    <row r="12600" spans="2:7" ht="15" hidden="1" outlineLevel="2">
      <c r="B12600" s="2889" t="s">
        <v>1641</v>
      </c>
      <c r="C12600" s="2889" t="s">
        <v>1515</v>
      </c>
      <c r="D12600" s="2889" t="s">
        <v>1054</v>
      </c>
      <c r="E12600" s="2889" t="s">
        <v>1426</v>
      </c>
      <c r="F12600" s="2891"/>
      <c r="G12600" s="2890">
        <v>1184.9186179475223</v>
      </c>
    </row>
    <row r="12601" spans="2:7" ht="15" hidden="1" outlineLevel="2">
      <c r="B12601" s="2889" t="s">
        <v>1641</v>
      </c>
      <c r="C12601" s="2889" t="s">
        <v>1516</v>
      </c>
      <c r="D12601" s="2889" t="s">
        <v>1054</v>
      </c>
      <c r="E12601" s="2889" t="s">
        <v>1426</v>
      </c>
      <c r="F12601" s="2891"/>
      <c r="G12601" s="2890">
        <v>11771.397969823965</v>
      </c>
    </row>
    <row r="12602" spans="2:7" ht="15" hidden="1" outlineLevel="2">
      <c r="B12602" s="2889" t="s">
        <v>1641</v>
      </c>
      <c r="C12602" s="2889" t="s">
        <v>1517</v>
      </c>
      <c r="D12602" s="2889" t="s">
        <v>1054</v>
      </c>
      <c r="E12602" s="2889" t="s">
        <v>1426</v>
      </c>
      <c r="F12602" s="2891"/>
      <c r="G12602" s="2890">
        <v>97.643179566578894</v>
      </c>
    </row>
    <row r="12603" spans="2:7" ht="15" hidden="1" outlineLevel="2">
      <c r="B12603" s="2889" t="s">
        <v>1641</v>
      </c>
      <c r="C12603" s="2889" t="s">
        <v>1518</v>
      </c>
      <c r="D12603" s="2889" t="s">
        <v>1054</v>
      </c>
      <c r="E12603" s="2889" t="s">
        <v>1426</v>
      </c>
      <c r="F12603" s="2891"/>
      <c r="G12603" s="2890">
        <v>46.121336151582284</v>
      </c>
    </row>
    <row r="12604" spans="2:7" ht="15" hidden="1" outlineLevel="2">
      <c r="B12604" s="2889" t="s">
        <v>1641</v>
      </c>
      <c r="C12604" s="2889" t="s">
        <v>1519</v>
      </c>
      <c r="D12604" s="2889" t="s">
        <v>1054</v>
      </c>
      <c r="E12604" s="2889" t="s">
        <v>1426</v>
      </c>
      <c r="F12604" s="2891"/>
      <c r="G12604" s="2890">
        <v>2688.4852431611257</v>
      </c>
    </row>
    <row r="12605" spans="2:7" ht="15" hidden="1" outlineLevel="2">
      <c r="B12605" s="2889" t="s">
        <v>1641</v>
      </c>
      <c r="C12605" s="2889" t="s">
        <v>1520</v>
      </c>
      <c r="D12605" s="2889" t="s">
        <v>1054</v>
      </c>
      <c r="E12605" s="2889" t="s">
        <v>1426</v>
      </c>
      <c r="F12605" s="2891"/>
      <c r="G12605" s="2890">
        <v>2928.6491964408356</v>
      </c>
    </row>
    <row r="12606" spans="2:7" ht="15" hidden="1" outlineLevel="2">
      <c r="B12606" s="2889" t="s">
        <v>1641</v>
      </c>
      <c r="C12606" s="2889" t="s">
        <v>1521</v>
      </c>
      <c r="D12606" s="2889" t="s">
        <v>1054</v>
      </c>
      <c r="E12606" s="2889" t="s">
        <v>1426</v>
      </c>
      <c r="F12606" s="2891"/>
      <c r="G12606" s="2890">
        <v>10068.000191282936</v>
      </c>
    </row>
    <row r="12607" spans="2:7" ht="15" hidden="1" outlineLevel="2">
      <c r="B12607" s="2889" t="s">
        <v>1641</v>
      </c>
      <c r="C12607" s="2889" t="s">
        <v>1522</v>
      </c>
      <c r="D12607" s="2889" t="s">
        <v>1054</v>
      </c>
      <c r="E12607" s="2889" t="s">
        <v>1426</v>
      </c>
      <c r="F12607" s="2891"/>
      <c r="G12607" s="2890">
        <v>473.98756264287744</v>
      </c>
    </row>
    <row r="12608" spans="2:7" ht="15" hidden="1" outlineLevel="2">
      <c r="B12608" s="2889" t="s">
        <v>1641</v>
      </c>
      <c r="C12608" s="2889" t="s">
        <v>1523</v>
      </c>
      <c r="D12608" s="2889" t="s">
        <v>1054</v>
      </c>
      <c r="E12608" s="2889" t="s">
        <v>1426</v>
      </c>
      <c r="F12608" s="2891"/>
      <c r="G12608" s="2890">
        <v>3767.8820646535496</v>
      </c>
    </row>
    <row r="12609" spans="2:7" ht="15" hidden="1" outlineLevel="2">
      <c r="B12609" s="2889" t="s">
        <v>1641</v>
      </c>
      <c r="C12609" s="2889" t="s">
        <v>1524</v>
      </c>
      <c r="D12609" s="2889" t="s">
        <v>1054</v>
      </c>
      <c r="E12609" s="2889" t="s">
        <v>1426</v>
      </c>
      <c r="F12609" s="2891"/>
      <c r="G12609" s="2890">
        <v>12812.673110270667</v>
      </c>
    </row>
    <row r="12610" spans="2:7" ht="15" hidden="1" outlineLevel="2">
      <c r="B12610" s="2889" t="s">
        <v>1641</v>
      </c>
      <c r="C12610" s="2889" t="s">
        <v>1525</v>
      </c>
      <c r="D12610" s="2889" t="s">
        <v>1054</v>
      </c>
      <c r="E12610" s="2889" t="s">
        <v>1426</v>
      </c>
      <c r="F12610" s="2891"/>
      <c r="G12610" s="2890">
        <v>7770.1093539595249</v>
      </c>
    </row>
    <row r="12611" spans="2:7" ht="15" hidden="1" outlineLevel="2">
      <c r="B12611" s="2889" t="s">
        <v>1641</v>
      </c>
      <c r="C12611" s="2889" t="s">
        <v>1526</v>
      </c>
      <c r="D12611" s="2889" t="s">
        <v>1054</v>
      </c>
      <c r="E12611" s="2889" t="s">
        <v>1426</v>
      </c>
      <c r="F12611" s="2891"/>
      <c r="G12611" s="2890">
        <v>11726.100566564326</v>
      </c>
    </row>
    <row r="12612" spans="2:7" ht="15" hidden="1" outlineLevel="2">
      <c r="B12612" s="2889" t="s">
        <v>1641</v>
      </c>
      <c r="C12612" s="2889" t="s">
        <v>1527</v>
      </c>
      <c r="D12612" s="2889" t="s">
        <v>1054</v>
      </c>
      <c r="E12612" s="2889" t="s">
        <v>1426</v>
      </c>
      <c r="F12612" s="2891"/>
      <c r="G12612" s="2890">
        <v>5327.8942050405531</v>
      </c>
    </row>
    <row r="12613" spans="2:7" ht="15" hidden="1" outlineLevel="2">
      <c r="B12613" s="2889" t="s">
        <v>1641</v>
      </c>
      <c r="C12613" s="2889" t="s">
        <v>1528</v>
      </c>
      <c r="D12613" s="2889" t="s">
        <v>1054</v>
      </c>
      <c r="E12613" s="2889" t="s">
        <v>1426</v>
      </c>
      <c r="F12613" s="2891"/>
      <c r="G12613" s="2890">
        <v>1261.2818437877168</v>
      </c>
    </row>
    <row r="12614" spans="2:7" ht="15" hidden="1" outlineLevel="2">
      <c r="B12614" s="2889" t="s">
        <v>1641</v>
      </c>
      <c r="C12614" s="2889" t="s">
        <v>1529</v>
      </c>
      <c r="D12614" s="2889" t="s">
        <v>1054</v>
      </c>
      <c r="E12614" s="2889" t="s">
        <v>1426</v>
      </c>
      <c r="F12614" s="2891"/>
      <c r="G12614" s="2890">
        <v>16.415649059560497</v>
      </c>
    </row>
    <row r="12615" spans="2:7" ht="15" hidden="1" outlineLevel="2">
      <c r="B12615" s="2889" t="s">
        <v>1641</v>
      </c>
      <c r="C12615" s="2889" t="s">
        <v>1530</v>
      </c>
      <c r="D12615" s="2889" t="s">
        <v>1054</v>
      </c>
      <c r="E12615" s="2889" t="s">
        <v>1426</v>
      </c>
      <c r="F12615" s="2891"/>
      <c r="G12615" s="2890">
        <v>1208.607596974706</v>
      </c>
    </row>
    <row r="12616" spans="2:7" ht="15" hidden="1" outlineLevel="2">
      <c r="B12616" s="2889" t="s">
        <v>1641</v>
      </c>
      <c r="C12616" s="2889" t="s">
        <v>1531</v>
      </c>
      <c r="D12616" s="2889" t="s">
        <v>1106</v>
      </c>
      <c r="E12616" s="2889" t="s">
        <v>217</v>
      </c>
      <c r="F12616" s="2890">
        <v>5.1599826808181363E-4</v>
      </c>
      <c r="G12616" s="2890">
        <v>0.23132099884656371</v>
      </c>
    </row>
    <row r="12617" spans="2:7" ht="15" hidden="1" outlineLevel="2">
      <c r="B12617" s="2889" t="s">
        <v>1641</v>
      </c>
      <c r="C12617" s="2889" t="s">
        <v>1532</v>
      </c>
      <c r="D12617" s="2889" t="s">
        <v>1106</v>
      </c>
      <c r="E12617" s="2889" t="s">
        <v>217</v>
      </c>
      <c r="F12617" s="2890">
        <v>4.0639423225723539E-5</v>
      </c>
      <c r="G12617" s="2890">
        <v>1.8218558563448183E-2</v>
      </c>
    </row>
    <row r="12618" spans="2:7" ht="15" hidden="1" outlineLevel="2">
      <c r="B12618" s="2889" t="s">
        <v>1641</v>
      </c>
      <c r="C12618" s="2889" t="s">
        <v>1533</v>
      </c>
      <c r="D12618" s="2889" t="s">
        <v>1106</v>
      </c>
      <c r="E12618" s="2889" t="s">
        <v>217</v>
      </c>
      <c r="F12618" s="2890">
        <v>2.645061454633274E-2</v>
      </c>
      <c r="G12618" s="2890">
        <v>28.136632427405448</v>
      </c>
    </row>
    <row r="12619" spans="2:7" ht="15" hidden="1" outlineLevel="2">
      <c r="B12619" s="2889" t="s">
        <v>1641</v>
      </c>
      <c r="C12619" s="2889" t="s">
        <v>1534</v>
      </c>
      <c r="D12619" s="2889" t="s">
        <v>1106</v>
      </c>
      <c r="E12619" s="2889" t="s">
        <v>217</v>
      </c>
      <c r="F12619" s="2890">
        <v>2.4049372059505834E-2</v>
      </c>
      <c r="G12619" s="2890">
        <v>83.3201407745008</v>
      </c>
    </row>
    <row r="12620" spans="2:7" ht="15" hidden="1" outlineLevel="2">
      <c r="B12620" s="2889" t="s">
        <v>1641</v>
      </c>
      <c r="C12620" s="2889" t="s">
        <v>1535</v>
      </c>
      <c r="D12620" s="2889" t="s">
        <v>1106</v>
      </c>
      <c r="E12620" s="2889" t="s">
        <v>217</v>
      </c>
      <c r="F12620" s="2890">
        <v>8.9982292301437564E-3</v>
      </c>
      <c r="G12620" s="2890">
        <v>21.042678982774646</v>
      </c>
    </row>
    <row r="12621" spans="2:7" ht="15" hidden="1" outlineLevel="2">
      <c r="B12621" s="2889" t="s">
        <v>1641</v>
      </c>
      <c r="C12621" s="2889" t="s">
        <v>1536</v>
      </c>
      <c r="D12621" s="2889" t="s">
        <v>1106</v>
      </c>
      <c r="E12621" s="2889" t="s">
        <v>217</v>
      </c>
      <c r="F12621" s="2890">
        <v>3.0189895123715473E-2</v>
      </c>
      <c r="G12621" s="2890">
        <v>39.222631885138789</v>
      </c>
    </row>
    <row r="12622" spans="2:7" ht="15" hidden="1" outlineLevel="2">
      <c r="B12622" s="2889" t="s">
        <v>1641</v>
      </c>
      <c r="C12622" s="2889" t="s">
        <v>1537</v>
      </c>
      <c r="D12622" s="2889" t="s">
        <v>1106</v>
      </c>
      <c r="E12622" s="2889" t="s">
        <v>217</v>
      </c>
      <c r="F12622" s="2890">
        <v>1.6898121503503016E-3</v>
      </c>
      <c r="G12622" s="2890">
        <v>1.9271134739456643</v>
      </c>
    </row>
    <row r="12623" spans="2:7" ht="15" hidden="1" outlineLevel="2">
      <c r="B12623" s="2889" t="s">
        <v>1641</v>
      </c>
      <c r="C12623" s="2889" t="s">
        <v>1538</v>
      </c>
      <c r="D12623" s="2889" t="s">
        <v>1106</v>
      </c>
      <c r="E12623" s="2889" t="s">
        <v>217</v>
      </c>
      <c r="F12623" s="2890">
        <v>1.1544859187757458E-3</v>
      </c>
      <c r="G12623" s="2890">
        <v>1.5551150217003011</v>
      </c>
    </row>
    <row r="12624" spans="2:7" ht="15" hidden="1" outlineLevel="2">
      <c r="B12624" s="2889" t="s">
        <v>1641</v>
      </c>
      <c r="C12624" s="2889" t="s">
        <v>1539</v>
      </c>
      <c r="D12624" s="2889" t="s">
        <v>1106</v>
      </c>
      <c r="E12624" s="2889" t="s">
        <v>217</v>
      </c>
      <c r="F12624" s="2890">
        <v>6.6400027421077538E-4</v>
      </c>
      <c r="G12624" s="2890">
        <v>8.4960343084771068</v>
      </c>
    </row>
    <row r="12625" spans="2:7" ht="15" hidden="1" outlineLevel="2">
      <c r="B12625" s="2889" t="s">
        <v>1641</v>
      </c>
      <c r="C12625" s="2889" t="s">
        <v>1540</v>
      </c>
      <c r="D12625" s="2889" t="s">
        <v>1106</v>
      </c>
      <c r="E12625" s="2889" t="s">
        <v>1420</v>
      </c>
      <c r="F12625" s="2890">
        <v>2.9372781034484555E-2</v>
      </c>
      <c r="G12625" s="2890">
        <v>71.277985785095211</v>
      </c>
    </row>
    <row r="12626" spans="2:7" ht="15" hidden="1" outlineLevel="2">
      <c r="B12626" s="2889" t="s">
        <v>1641</v>
      </c>
      <c r="C12626" s="2889" t="s">
        <v>1541</v>
      </c>
      <c r="D12626" s="2889" t="s">
        <v>1106</v>
      </c>
      <c r="E12626" s="2889" t="s">
        <v>1420</v>
      </c>
      <c r="F12626" s="2890">
        <v>0.85599163135381018</v>
      </c>
      <c r="G12626" s="2890">
        <v>6302.0711690303615</v>
      </c>
    </row>
    <row r="12627" spans="2:7" ht="15" hidden="1" outlineLevel="2">
      <c r="B12627" s="2889" t="s">
        <v>1641</v>
      </c>
      <c r="C12627" s="2889" t="s">
        <v>1542</v>
      </c>
      <c r="D12627" s="2889" t="s">
        <v>1106</v>
      </c>
      <c r="E12627" s="2889" t="s">
        <v>1420</v>
      </c>
      <c r="F12627" s="2890">
        <v>4.1634972241179251E-3</v>
      </c>
      <c r="G12627" s="2890">
        <v>47.643789211216948</v>
      </c>
    </row>
    <row r="12628" spans="2:7" ht="15" hidden="1" outlineLevel="2">
      <c r="B12628" s="2889" t="s">
        <v>1641</v>
      </c>
      <c r="C12628" s="2889" t="s">
        <v>1543</v>
      </c>
      <c r="D12628" s="2889" t="s">
        <v>1106</v>
      </c>
      <c r="E12628" s="2889" t="s">
        <v>1420</v>
      </c>
      <c r="F12628" s="2890">
        <v>1.5087482904487047E-3</v>
      </c>
      <c r="G12628" s="2890">
        <v>14.767377802840413</v>
      </c>
    </row>
    <row r="12629" spans="2:7" ht="15" hidden="1" outlineLevel="2">
      <c r="B12629" s="2889" t="s">
        <v>1641</v>
      </c>
      <c r="C12629" s="2889" t="s">
        <v>1544</v>
      </c>
      <c r="D12629" s="2889" t="s">
        <v>1106</v>
      </c>
      <c r="E12629" s="2889" t="s">
        <v>1420</v>
      </c>
      <c r="F12629" s="2890">
        <v>1.458291565600433E-3</v>
      </c>
      <c r="G12629" s="2890">
        <v>3.8102376035363026</v>
      </c>
    </row>
    <row r="12630" spans="2:7" ht="15" hidden="1" outlineLevel="2">
      <c r="B12630" s="2889" t="s">
        <v>1641</v>
      </c>
      <c r="C12630" s="2889" t="s">
        <v>1545</v>
      </c>
      <c r="D12630" s="2889" t="s">
        <v>1106</v>
      </c>
      <c r="E12630" s="2889" t="s">
        <v>1420</v>
      </c>
      <c r="F12630" s="2890">
        <v>1.4583524987696963E-3</v>
      </c>
      <c r="G12630" s="2890">
        <v>28.981351014036559</v>
      </c>
    </row>
    <row r="12631" spans="2:7" ht="15" hidden="1" outlineLevel="2">
      <c r="B12631" s="2889" t="s">
        <v>1641</v>
      </c>
      <c r="C12631" s="2889" t="s">
        <v>1546</v>
      </c>
      <c r="D12631" s="2889" t="s">
        <v>1106</v>
      </c>
      <c r="E12631" s="2889" t="s">
        <v>1423</v>
      </c>
      <c r="F12631" s="2890">
        <v>4.4207684572623789</v>
      </c>
      <c r="G12631" s="2890">
        <v>372.0332355345929</v>
      </c>
    </row>
    <row r="12632" spans="2:7" ht="15" hidden="1" outlineLevel="2">
      <c r="B12632" s="2889" t="s">
        <v>1641</v>
      </c>
      <c r="C12632" s="2889" t="s">
        <v>1547</v>
      </c>
      <c r="D12632" s="2889" t="s">
        <v>1106</v>
      </c>
      <c r="E12632" s="2889" t="s">
        <v>1423</v>
      </c>
      <c r="F12632" s="2890">
        <v>4.8286152461180206E-3</v>
      </c>
      <c r="G12632" s="2890">
        <v>0.42282894972852297</v>
      </c>
    </row>
    <row r="12633" spans="2:7" ht="15" hidden="1" outlineLevel="2">
      <c r="B12633" s="2889" t="s">
        <v>1641</v>
      </c>
      <c r="C12633" s="2889" t="s">
        <v>1548</v>
      </c>
      <c r="D12633" s="2889" t="s">
        <v>1106</v>
      </c>
      <c r="E12633" s="2889" t="s">
        <v>1423</v>
      </c>
      <c r="F12633" s="2890">
        <v>2.2530262438766172E-3</v>
      </c>
      <c r="G12633" s="2890">
        <v>0.23091195476091103</v>
      </c>
    </row>
    <row r="12634" spans="2:7" ht="15" hidden="1" outlineLevel="2">
      <c r="B12634" s="2889" t="s">
        <v>1641</v>
      </c>
      <c r="C12634" s="2889" t="s">
        <v>1549</v>
      </c>
      <c r="D12634" s="2889" t="s">
        <v>1106</v>
      </c>
      <c r="E12634" s="2889" t="s">
        <v>1423</v>
      </c>
      <c r="F12634" s="2890">
        <v>1.4907752687707899E-2</v>
      </c>
      <c r="G12634" s="2890">
        <v>1.4680272332954276</v>
      </c>
    </row>
    <row r="12635" spans="2:7" ht="15" hidden="1" outlineLevel="2">
      <c r="B12635" s="2889" t="s">
        <v>1641</v>
      </c>
      <c r="C12635" s="2889" t="s">
        <v>1550</v>
      </c>
      <c r="D12635" s="2889" t="s">
        <v>1106</v>
      </c>
      <c r="E12635" s="2889" t="s">
        <v>1423</v>
      </c>
      <c r="F12635" s="2890">
        <v>7.6725515794938727E-3</v>
      </c>
      <c r="G12635" s="2890">
        <v>1.7253894890159618</v>
      </c>
    </row>
    <row r="12636" spans="2:7" ht="15" hidden="1" outlineLevel="2">
      <c r="B12636" s="2889" t="s">
        <v>1641</v>
      </c>
      <c r="C12636" s="2889" t="s">
        <v>1551</v>
      </c>
      <c r="D12636" s="2889" t="s">
        <v>1106</v>
      </c>
      <c r="E12636" s="2889" t="s">
        <v>1426</v>
      </c>
      <c r="F12636" s="2891"/>
      <c r="G12636" s="2890">
        <v>115.9664730093467</v>
      </c>
    </row>
    <row r="12637" spans="2:7" ht="15" hidden="1" outlineLevel="2">
      <c r="B12637" s="2889" t="s">
        <v>1641</v>
      </c>
      <c r="C12637" s="2889" t="s">
        <v>1552</v>
      </c>
      <c r="D12637" s="2889" t="s">
        <v>1106</v>
      </c>
      <c r="E12637" s="2889" t="s">
        <v>1426</v>
      </c>
      <c r="F12637" s="2891"/>
      <c r="G12637" s="2890">
        <v>1682.7400805883935</v>
      </c>
    </row>
    <row r="12638" spans="2:7" ht="15" hidden="1" outlineLevel="2">
      <c r="B12638" s="2889" t="s">
        <v>1641</v>
      </c>
      <c r="C12638" s="2889" t="s">
        <v>1553</v>
      </c>
      <c r="D12638" s="2889" t="s">
        <v>1106</v>
      </c>
      <c r="E12638" s="2889" t="s">
        <v>1426</v>
      </c>
      <c r="F12638" s="2891"/>
      <c r="G12638" s="2890">
        <v>734.4606577538533</v>
      </c>
    </row>
    <row r="12639" spans="2:7" ht="15" hidden="1" outlineLevel="2">
      <c r="B12639" s="2889" t="s">
        <v>1641</v>
      </c>
      <c r="C12639" s="2889" t="s">
        <v>1554</v>
      </c>
      <c r="D12639" s="2889" t="s">
        <v>1106</v>
      </c>
      <c r="E12639" s="2889" t="s">
        <v>1426</v>
      </c>
      <c r="F12639" s="2891"/>
      <c r="G12639" s="2890">
        <v>745.46927106436704</v>
      </c>
    </row>
    <row r="12640" spans="2:7" ht="15" hidden="1" outlineLevel="2">
      <c r="B12640" s="2889" t="s">
        <v>1641</v>
      </c>
      <c r="C12640" s="2889" t="s">
        <v>1555</v>
      </c>
      <c r="D12640" s="2889" t="s">
        <v>1106</v>
      </c>
      <c r="E12640" s="2889" t="s">
        <v>1426</v>
      </c>
      <c r="F12640" s="2891"/>
      <c r="G12640" s="2890">
        <v>28.658502356218367</v>
      </c>
    </row>
    <row r="12641" spans="2:7" ht="15" hidden="1" outlineLevel="2">
      <c r="B12641" s="2889" t="s">
        <v>1641</v>
      </c>
      <c r="C12641" s="2889" t="s">
        <v>1556</v>
      </c>
      <c r="D12641" s="2889" t="s">
        <v>1106</v>
      </c>
      <c r="E12641" s="2889" t="s">
        <v>1426</v>
      </c>
      <c r="F12641" s="2891"/>
      <c r="G12641" s="2890">
        <v>4270.1208080855749</v>
      </c>
    </row>
    <row r="12642" spans="2:7" ht="15" hidden="1" outlineLevel="2">
      <c r="B12642" s="2889" t="s">
        <v>1641</v>
      </c>
      <c r="C12642" s="2889" t="s">
        <v>1557</v>
      </c>
      <c r="D12642" s="2889" t="s">
        <v>1106</v>
      </c>
      <c r="E12642" s="2889" t="s">
        <v>1426</v>
      </c>
      <c r="F12642" s="2891"/>
      <c r="G12642" s="2890">
        <v>1059.4140776082343</v>
      </c>
    </row>
    <row r="12643" spans="2:7" ht="15" hidden="1" outlineLevel="2">
      <c r="B12643" s="2889" t="s">
        <v>1641</v>
      </c>
      <c r="C12643" s="2889" t="s">
        <v>1558</v>
      </c>
      <c r="D12643" s="2889" t="s">
        <v>1559</v>
      </c>
      <c r="E12643" s="2889" t="s">
        <v>217</v>
      </c>
      <c r="F12643" s="2890">
        <v>1.5952622606024133E-2</v>
      </c>
      <c r="G12643" s="2890">
        <v>8.7364784624170646</v>
      </c>
    </row>
    <row r="12644" spans="2:7" ht="15" hidden="1" outlineLevel="2">
      <c r="B12644" s="2889" t="s">
        <v>1641</v>
      </c>
      <c r="C12644" s="2889" t="s">
        <v>1560</v>
      </c>
      <c r="D12644" s="2889" t="s">
        <v>1559</v>
      </c>
      <c r="E12644" s="2889" t="s">
        <v>217</v>
      </c>
      <c r="F12644" s="2890">
        <v>8.0324625755776063E-2</v>
      </c>
      <c r="G12644" s="2890">
        <v>43.348956699352343</v>
      </c>
    </row>
    <row r="12645" spans="2:7" ht="15" hidden="1" outlineLevel="2">
      <c r="B12645" s="2889" t="s">
        <v>1641</v>
      </c>
      <c r="C12645" s="2889" t="s">
        <v>1561</v>
      </c>
      <c r="D12645" s="2889" t="s">
        <v>1559</v>
      </c>
      <c r="E12645" s="2889" t="s">
        <v>217</v>
      </c>
      <c r="F12645" s="2890">
        <v>0.22888577791907611</v>
      </c>
      <c r="G12645" s="2890">
        <v>119.3475241537588</v>
      </c>
    </row>
    <row r="12646" spans="2:7" ht="15" hidden="1" outlineLevel="2">
      <c r="B12646" s="2889" t="s">
        <v>1641</v>
      </c>
      <c r="C12646" s="2889" t="s">
        <v>1562</v>
      </c>
      <c r="D12646" s="2889" t="s">
        <v>1559</v>
      </c>
      <c r="E12646" s="2889" t="s">
        <v>217</v>
      </c>
      <c r="F12646" s="2890">
        <v>0.87982313677781809</v>
      </c>
      <c r="G12646" s="2890">
        <v>482.42756643922843</v>
      </c>
    </row>
    <row r="12647" spans="2:7" ht="15" hidden="1" outlineLevel="2">
      <c r="B12647" s="2889" t="s">
        <v>1641</v>
      </c>
      <c r="C12647" s="2889" t="s">
        <v>1563</v>
      </c>
      <c r="D12647" s="2889" t="s">
        <v>1559</v>
      </c>
      <c r="E12647" s="2889" t="s">
        <v>217</v>
      </c>
      <c r="F12647" s="2890">
        <v>0.28222735063658472</v>
      </c>
      <c r="G12647" s="2890">
        <v>166.31656606306547</v>
      </c>
    </row>
    <row r="12648" spans="2:7" ht="15" hidden="1" outlineLevel="2">
      <c r="B12648" s="2889" t="s">
        <v>1641</v>
      </c>
      <c r="C12648" s="2889" t="s">
        <v>1564</v>
      </c>
      <c r="D12648" s="2889" t="s">
        <v>1559</v>
      </c>
      <c r="E12648" s="2889" t="s">
        <v>217</v>
      </c>
      <c r="F12648" s="2890">
        <v>0.83083387869847658</v>
      </c>
      <c r="G12648" s="2890">
        <v>420.66841930600651</v>
      </c>
    </row>
    <row r="12649" spans="2:7" ht="15" hidden="1" outlineLevel="2">
      <c r="B12649" s="2889" t="s">
        <v>1641</v>
      </c>
      <c r="C12649" s="2889" t="s">
        <v>1565</v>
      </c>
      <c r="D12649" s="2889" t="s">
        <v>1559</v>
      </c>
      <c r="E12649" s="2889" t="s">
        <v>217</v>
      </c>
      <c r="F12649" s="2890">
        <v>0.19893173516141682</v>
      </c>
      <c r="G12649" s="2890">
        <v>107.04097688539052</v>
      </c>
    </row>
    <row r="12650" spans="2:7" ht="15" hidden="1" outlineLevel="2">
      <c r="B12650" s="2889" t="s">
        <v>1641</v>
      </c>
      <c r="C12650" s="2889" t="s">
        <v>1566</v>
      </c>
      <c r="D12650" s="2889" t="s">
        <v>1559</v>
      </c>
      <c r="E12650" s="2889" t="s">
        <v>217</v>
      </c>
      <c r="F12650" s="2890">
        <v>0.7333021530320657</v>
      </c>
      <c r="G12650" s="2890">
        <v>392.80398754151156</v>
      </c>
    </row>
    <row r="12651" spans="2:7" ht="15" hidden="1" outlineLevel="2">
      <c r="B12651" s="2889" t="s">
        <v>1641</v>
      </c>
      <c r="C12651" s="2889" t="s">
        <v>1567</v>
      </c>
      <c r="D12651" s="2889" t="s">
        <v>1559</v>
      </c>
      <c r="E12651" s="2889" t="s">
        <v>217</v>
      </c>
      <c r="F12651" s="2890">
        <v>0.34610834897943032</v>
      </c>
      <c r="G12651" s="2890">
        <v>50.945365110676093</v>
      </c>
    </row>
    <row r="12652" spans="2:7" ht="15" hidden="1" outlineLevel="2">
      <c r="B12652" s="2889" t="s">
        <v>1641</v>
      </c>
      <c r="C12652" s="2889" t="s">
        <v>1568</v>
      </c>
      <c r="D12652" s="2889" t="s">
        <v>1559</v>
      </c>
      <c r="E12652" s="2889" t="s">
        <v>217</v>
      </c>
      <c r="F12652" s="2890">
        <v>0.85273848081784132</v>
      </c>
      <c r="G12652" s="2890">
        <v>125.51978880390985</v>
      </c>
    </row>
    <row r="12653" spans="2:7" ht="15" hidden="1" outlineLevel="2">
      <c r="B12653" s="2889" t="s">
        <v>1641</v>
      </c>
      <c r="C12653" s="2889" t="s">
        <v>1569</v>
      </c>
      <c r="D12653" s="2889" t="s">
        <v>1559</v>
      </c>
      <c r="E12653" s="2889" t="s">
        <v>217</v>
      </c>
      <c r="F12653" s="2890">
        <v>3.5924657043586176E-4</v>
      </c>
      <c r="G12653" s="2890">
        <v>0.17954472285777612</v>
      </c>
    </row>
    <row r="12654" spans="2:7" ht="15" hidden="1" outlineLevel="2">
      <c r="B12654" s="2889" t="s">
        <v>1641</v>
      </c>
      <c r="C12654" s="2889" t="s">
        <v>1570</v>
      </c>
      <c r="D12654" s="2889" t="s">
        <v>1559</v>
      </c>
      <c r="E12654" s="2889" t="s">
        <v>217</v>
      </c>
      <c r="F12654" s="2890">
        <v>2.4084748319945444</v>
      </c>
      <c r="G12654" s="2890">
        <v>1491.011237677865</v>
      </c>
    </row>
    <row r="12655" spans="2:7" ht="15" hidden="1" outlineLevel="2">
      <c r="B12655" s="2889" t="s">
        <v>1641</v>
      </c>
      <c r="C12655" s="2889" t="s">
        <v>1571</v>
      </c>
      <c r="D12655" s="2889" t="s">
        <v>1559</v>
      </c>
      <c r="E12655" s="2889" t="s">
        <v>217</v>
      </c>
      <c r="F12655" s="2890">
        <v>1.0311035924969092</v>
      </c>
      <c r="G12655" s="2890">
        <v>1226.241488383562</v>
      </c>
    </row>
    <row r="12656" spans="2:7" ht="15" hidden="1" outlineLevel="2">
      <c r="B12656" s="2889" t="s">
        <v>1641</v>
      </c>
      <c r="C12656" s="2889" t="s">
        <v>1572</v>
      </c>
      <c r="D12656" s="2889" t="s">
        <v>1559</v>
      </c>
      <c r="E12656" s="2889" t="s">
        <v>217</v>
      </c>
      <c r="F12656" s="2890">
        <v>0.20360107491506871</v>
      </c>
      <c r="G12656" s="2890">
        <v>125.02334947688469</v>
      </c>
    </row>
    <row r="12657" spans="2:7" ht="15" hidden="1" outlineLevel="2">
      <c r="B12657" s="2889" t="s">
        <v>1641</v>
      </c>
      <c r="C12657" s="2889" t="s">
        <v>1573</v>
      </c>
      <c r="D12657" s="2889" t="s">
        <v>1559</v>
      </c>
      <c r="E12657" s="2889" t="s">
        <v>217</v>
      </c>
      <c r="F12657" s="2890">
        <v>0.83577667961559543</v>
      </c>
      <c r="G12657" s="2890">
        <v>624.1679443607826</v>
      </c>
    </row>
    <row r="12658" spans="2:7" ht="15" hidden="1" outlineLevel="2">
      <c r="B12658" s="2889" t="s">
        <v>1641</v>
      </c>
      <c r="C12658" s="2889" t="s">
        <v>1574</v>
      </c>
      <c r="D12658" s="2889" t="s">
        <v>1559</v>
      </c>
      <c r="E12658" s="2889" t="s">
        <v>217</v>
      </c>
      <c r="F12658" s="2890">
        <v>1.103544757040619E-2</v>
      </c>
      <c r="G12658" s="2890">
        <v>8.3004362067055588</v>
      </c>
    </row>
    <row r="12659" spans="2:7" ht="15" hidden="1" outlineLevel="2">
      <c r="B12659" s="2889" t="s">
        <v>1641</v>
      </c>
      <c r="C12659" s="2889" t="s">
        <v>1575</v>
      </c>
      <c r="D12659" s="2889" t="s">
        <v>1559</v>
      </c>
      <c r="E12659" s="2889" t="s">
        <v>217</v>
      </c>
      <c r="F12659" s="2890">
        <v>2.2913451305979479E-2</v>
      </c>
      <c r="G12659" s="2890">
        <v>28.40573250943946</v>
      </c>
    </row>
    <row r="12660" spans="2:7" ht="15" hidden="1" outlineLevel="2">
      <c r="B12660" s="2889" t="s">
        <v>1641</v>
      </c>
      <c r="C12660" s="2889" t="s">
        <v>1576</v>
      </c>
      <c r="D12660" s="2889" t="s">
        <v>1559</v>
      </c>
      <c r="E12660" s="2889" t="s">
        <v>217</v>
      </c>
      <c r="F12660" s="2890">
        <v>2.100331964854869E-2</v>
      </c>
      <c r="G12660" s="2890">
        <v>15.835758656513894</v>
      </c>
    </row>
    <row r="12661" spans="2:7" ht="15" hidden="1" outlineLevel="2">
      <c r="B12661" s="2889" t="s">
        <v>1641</v>
      </c>
      <c r="C12661" s="2889" t="s">
        <v>1577</v>
      </c>
      <c r="D12661" s="2889" t="s">
        <v>1559</v>
      </c>
      <c r="E12661" s="2889" t="s">
        <v>217</v>
      </c>
      <c r="F12661" s="2890">
        <v>0.75221986867351565</v>
      </c>
      <c r="G12661" s="2890">
        <v>1171.8829781388706</v>
      </c>
    </row>
    <row r="12662" spans="2:7" ht="15" hidden="1" outlineLevel="2">
      <c r="B12662" s="2889" t="s">
        <v>1641</v>
      </c>
      <c r="C12662" s="2889" t="s">
        <v>1578</v>
      </c>
      <c r="D12662" s="2889" t="s">
        <v>1559</v>
      </c>
      <c r="E12662" s="2889" t="s">
        <v>217</v>
      </c>
      <c r="F12662" s="2890">
        <v>0.30193257215287922</v>
      </c>
      <c r="G12662" s="2890">
        <v>164.59647704621688</v>
      </c>
    </row>
    <row r="12663" spans="2:7" ht="15" hidden="1" outlineLevel="2">
      <c r="B12663" s="2889" t="s">
        <v>1641</v>
      </c>
      <c r="C12663" s="2889" t="s">
        <v>1579</v>
      </c>
      <c r="D12663" s="2889" t="s">
        <v>1559</v>
      </c>
      <c r="E12663" s="2889" t="s">
        <v>217</v>
      </c>
      <c r="F12663" s="2890">
        <v>0.7440087796508823</v>
      </c>
      <c r="G12663" s="2890">
        <v>405.5352792533298</v>
      </c>
    </row>
    <row r="12664" spans="2:7" ht="15" hidden="1" outlineLevel="2">
      <c r="B12664" s="2889" t="s">
        <v>1641</v>
      </c>
      <c r="C12664" s="2889" t="s">
        <v>1580</v>
      </c>
      <c r="D12664" s="2889" t="s">
        <v>1559</v>
      </c>
      <c r="E12664" s="2889" t="s">
        <v>217</v>
      </c>
      <c r="F12664" s="2890">
        <v>0.23690754717201495</v>
      </c>
      <c r="G12664" s="2890">
        <v>299.16579975151268</v>
      </c>
    </row>
    <row r="12665" spans="2:7" ht="15" hidden="1" outlineLevel="2">
      <c r="B12665" s="2889" t="s">
        <v>1641</v>
      </c>
      <c r="C12665" s="2889" t="s">
        <v>1581</v>
      </c>
      <c r="D12665" s="2889" t="s">
        <v>1559</v>
      </c>
      <c r="E12665" s="2889" t="s">
        <v>217</v>
      </c>
      <c r="F12665" s="2890">
        <v>9.6076896025881403E-2</v>
      </c>
      <c r="G12665" s="2890">
        <v>135.39105714105921</v>
      </c>
    </row>
    <row r="12666" spans="2:7" ht="15" hidden="1" outlineLevel="2">
      <c r="B12666" s="2889" t="s">
        <v>1641</v>
      </c>
      <c r="C12666" s="2889" t="s">
        <v>1582</v>
      </c>
      <c r="D12666" s="2889" t="s">
        <v>1559</v>
      </c>
      <c r="E12666" s="2889" t="s">
        <v>217</v>
      </c>
      <c r="F12666" s="2890">
        <v>0.13541697316793816</v>
      </c>
      <c r="G12666" s="2890">
        <v>154.10280049238017</v>
      </c>
    </row>
    <row r="12667" spans="2:7" ht="15" hidden="1" outlineLevel="2">
      <c r="B12667" s="2889" t="s">
        <v>1641</v>
      </c>
      <c r="C12667" s="2889" t="s">
        <v>1583</v>
      </c>
      <c r="D12667" s="2889" t="s">
        <v>1559</v>
      </c>
      <c r="E12667" s="2889" t="s">
        <v>217</v>
      </c>
      <c r="F12667" s="2890">
        <v>0.10436131972655602</v>
      </c>
      <c r="G12667" s="2890">
        <v>71.760375104417676</v>
      </c>
    </row>
    <row r="12668" spans="2:7" ht="15" hidden="1" outlineLevel="2">
      <c r="B12668" s="2889" t="s">
        <v>1641</v>
      </c>
      <c r="C12668" s="2889" t="s">
        <v>1584</v>
      </c>
      <c r="D12668" s="2889" t="s">
        <v>1559</v>
      </c>
      <c r="E12668" s="2889" t="s">
        <v>217</v>
      </c>
      <c r="F12668" s="2890">
        <v>3.1679213214483326</v>
      </c>
      <c r="G12668" s="2890">
        <v>4010.1103225238126</v>
      </c>
    </row>
    <row r="12669" spans="2:7" ht="15" hidden="1" outlineLevel="2">
      <c r="B12669" s="2889" t="s">
        <v>1641</v>
      </c>
      <c r="C12669" s="2889" t="s">
        <v>1585</v>
      </c>
      <c r="D12669" s="2889" t="s">
        <v>1559</v>
      </c>
      <c r="E12669" s="2889" t="s">
        <v>217</v>
      </c>
      <c r="F12669" s="2890">
        <v>1.3054550236245357</v>
      </c>
      <c r="G12669" s="2890">
        <v>1840.0212644375199</v>
      </c>
    </row>
    <row r="12670" spans="2:7" ht="15" hidden="1" outlineLevel="2">
      <c r="B12670" s="2889" t="s">
        <v>1641</v>
      </c>
      <c r="C12670" s="2889" t="s">
        <v>1586</v>
      </c>
      <c r="D12670" s="2889" t="s">
        <v>1559</v>
      </c>
      <c r="E12670" s="2889" t="s">
        <v>217</v>
      </c>
      <c r="F12670" s="2890">
        <v>0.14696726950226877</v>
      </c>
      <c r="G12670" s="2890">
        <v>308.0581255130312</v>
      </c>
    </row>
    <row r="12671" spans="2:7" ht="15" hidden="1" outlineLevel="2">
      <c r="B12671" s="2889" t="s">
        <v>1641</v>
      </c>
      <c r="C12671" s="2889" t="s">
        <v>1587</v>
      </c>
      <c r="D12671" s="2889" t="s">
        <v>1559</v>
      </c>
      <c r="E12671" s="2889" t="s">
        <v>217</v>
      </c>
      <c r="F12671" s="2890">
        <v>4.0883491321572016</v>
      </c>
      <c r="G12671" s="2890">
        <v>5936.0305185143961</v>
      </c>
    </row>
    <row r="12672" spans="2:7" ht="15" hidden="1" outlineLevel="2">
      <c r="B12672" s="2889" t="s">
        <v>1641</v>
      </c>
      <c r="C12672" s="2889" t="s">
        <v>1588</v>
      </c>
      <c r="D12672" s="2889" t="s">
        <v>1559</v>
      </c>
      <c r="E12672" s="2889" t="s">
        <v>217</v>
      </c>
      <c r="F12672" s="2890">
        <v>0.18219070078210148</v>
      </c>
      <c r="G12672" s="2890">
        <v>142.04320846524183</v>
      </c>
    </row>
    <row r="12673" spans="2:7" ht="15" hidden="1" outlineLevel="2">
      <c r="B12673" s="2889" t="s">
        <v>1641</v>
      </c>
      <c r="C12673" s="2889" t="s">
        <v>1589</v>
      </c>
      <c r="D12673" s="2889" t="s">
        <v>1559</v>
      </c>
      <c r="E12673" s="2889" t="s">
        <v>217</v>
      </c>
      <c r="F12673" s="2890">
        <v>0.23282140248356795</v>
      </c>
      <c r="G12673" s="2890">
        <v>181.87756906277161</v>
      </c>
    </row>
    <row r="12674" spans="2:7" ht="15" hidden="1" outlineLevel="2">
      <c r="B12674" s="2889" t="s">
        <v>1641</v>
      </c>
      <c r="C12674" s="2889" t="s">
        <v>1590</v>
      </c>
      <c r="D12674" s="2889" t="s">
        <v>1559</v>
      </c>
      <c r="E12674" s="2889" t="s">
        <v>1420</v>
      </c>
      <c r="F12674" s="2890">
        <v>1.1456055584795809E-2</v>
      </c>
      <c r="G12674" s="2890">
        <v>102.19286779150525</v>
      </c>
    </row>
    <row r="12675" spans="2:7" ht="15" hidden="1" outlineLevel="2">
      <c r="B12675" s="2889" t="s">
        <v>1641</v>
      </c>
      <c r="C12675" s="2889" t="s">
        <v>1591</v>
      </c>
      <c r="D12675" s="2889" t="s">
        <v>1559</v>
      </c>
      <c r="E12675" s="2889" t="s">
        <v>1426</v>
      </c>
      <c r="F12675" s="2891"/>
      <c r="G12675" s="2890">
        <v>0.15885563780174566</v>
      </c>
    </row>
    <row r="12676" spans="2:7" ht="15" hidden="1" outlineLevel="2">
      <c r="B12676" s="2889" t="s">
        <v>1641</v>
      </c>
      <c r="C12676" s="2889" t="s">
        <v>1592</v>
      </c>
      <c r="D12676" s="2889" t="s">
        <v>1559</v>
      </c>
      <c r="E12676" s="2889" t="s">
        <v>1426</v>
      </c>
      <c r="F12676" s="2891"/>
      <c r="G12676" s="2890">
        <v>42.452909528431597</v>
      </c>
    </row>
    <row r="12677" spans="2:7" ht="15" hidden="1" outlineLevel="2">
      <c r="B12677" s="2889" t="s">
        <v>1641</v>
      </c>
      <c r="C12677" s="2889" t="s">
        <v>1593</v>
      </c>
      <c r="D12677" s="2889" t="s">
        <v>1559</v>
      </c>
      <c r="E12677" s="2889" t="s">
        <v>1426</v>
      </c>
      <c r="F12677" s="2891"/>
      <c r="G12677" s="2890">
        <v>1110.8472381772367</v>
      </c>
    </row>
    <row r="12678" spans="2:7" ht="15" hidden="1" outlineLevel="2">
      <c r="B12678" s="2889" t="s">
        <v>1641</v>
      </c>
      <c r="C12678" s="2889" t="s">
        <v>1594</v>
      </c>
      <c r="D12678" s="2889" t="s">
        <v>1559</v>
      </c>
      <c r="E12678" s="2889" t="s">
        <v>1426</v>
      </c>
      <c r="F12678" s="2891"/>
      <c r="G12678" s="2890">
        <v>229.24122842607429</v>
      </c>
    </row>
    <row r="12679" spans="2:7" ht="15" hidden="1" outlineLevel="2">
      <c r="B12679" s="2889" t="s">
        <v>1641</v>
      </c>
      <c r="C12679" s="2889" t="s">
        <v>1595</v>
      </c>
      <c r="D12679" s="2889" t="s">
        <v>1559</v>
      </c>
      <c r="E12679" s="2889" t="s">
        <v>1426</v>
      </c>
      <c r="F12679" s="2891"/>
      <c r="G12679" s="2890">
        <v>1512.3893477226566</v>
      </c>
    </row>
    <row r="12680" spans="2:7" ht="15" hidden="1" outlineLevel="2">
      <c r="B12680" s="2889" t="s">
        <v>1641</v>
      </c>
      <c r="C12680" s="2889" t="s">
        <v>1596</v>
      </c>
      <c r="D12680" s="2889" t="s">
        <v>1559</v>
      </c>
      <c r="E12680" s="2889" t="s">
        <v>1426</v>
      </c>
      <c r="F12680" s="2891"/>
      <c r="G12680" s="2890">
        <v>178.32370929753625</v>
      </c>
    </row>
    <row r="12681" spans="2:7" ht="15" hidden="1" outlineLevel="2">
      <c r="B12681" s="2889" t="s">
        <v>1641</v>
      </c>
      <c r="C12681" s="2889" t="s">
        <v>1597</v>
      </c>
      <c r="D12681" s="2889" t="s">
        <v>1559</v>
      </c>
      <c r="E12681" s="2889" t="s">
        <v>1426</v>
      </c>
      <c r="F12681" s="2891"/>
      <c r="G12681" s="2890">
        <v>4.2477832515043072</v>
      </c>
    </row>
    <row r="12682" spans="2:7" ht="15" hidden="1" outlineLevel="2">
      <c r="B12682" s="2889" t="s">
        <v>1641</v>
      </c>
      <c r="C12682" s="2889" t="s">
        <v>1598</v>
      </c>
      <c r="D12682" s="2889" t="s">
        <v>1599</v>
      </c>
      <c r="E12682" s="2889" t="s">
        <v>217</v>
      </c>
      <c r="F12682" s="2890">
        <v>2.1545831379566286E-2</v>
      </c>
      <c r="G12682" s="2890">
        <v>12.459912357300331</v>
      </c>
    </row>
    <row r="12683" spans="2:7" ht="15" hidden="1" outlineLevel="2">
      <c r="B12683" s="2889" t="s">
        <v>1641</v>
      </c>
      <c r="C12683" s="2889" t="s">
        <v>1600</v>
      </c>
      <c r="D12683" s="2889" t="s">
        <v>1599</v>
      </c>
      <c r="E12683" s="2889" t="s">
        <v>217</v>
      </c>
      <c r="F12683" s="2890">
        <v>2.5340829349000948E-2</v>
      </c>
      <c r="G12683" s="2890">
        <v>28.055431404671388</v>
      </c>
    </row>
    <row r="12684" spans="2:7" ht="15" hidden="1" outlineLevel="2">
      <c r="B12684" s="2889" t="s">
        <v>1641</v>
      </c>
      <c r="C12684" s="2889" t="s">
        <v>1601</v>
      </c>
      <c r="D12684" s="2889" t="s">
        <v>1599</v>
      </c>
      <c r="E12684" s="2889" t="s">
        <v>217</v>
      </c>
      <c r="F12684" s="2890">
        <v>2.5994387737406229E-4</v>
      </c>
      <c r="G12684" s="2890">
        <v>0.32958794679184233</v>
      </c>
    </row>
    <row r="12685" spans="2:7" ht="15" hidden="1" outlineLevel="2">
      <c r="B12685" s="2889" t="s">
        <v>1641</v>
      </c>
      <c r="C12685" s="2889" t="s">
        <v>1602</v>
      </c>
      <c r="D12685" s="2889" t="s">
        <v>1599</v>
      </c>
      <c r="E12685" s="2889" t="s">
        <v>1426</v>
      </c>
      <c r="F12685" s="2891"/>
      <c r="G12685" s="2890">
        <v>373.35943868605199</v>
      </c>
    </row>
    <row r="12686" spans="2:7" ht="15" hidden="1" outlineLevel="2">
      <c r="B12686" s="2889" t="s">
        <v>1641</v>
      </c>
      <c r="C12686" s="2889" t="s">
        <v>1603</v>
      </c>
      <c r="D12686" s="2889" t="s">
        <v>1604</v>
      </c>
      <c r="E12686" s="2889" t="s">
        <v>217</v>
      </c>
      <c r="F12686" s="2890">
        <v>7.5844068785508633E-3</v>
      </c>
      <c r="G12686" s="2890">
        <v>9.1310573255514811</v>
      </c>
    </row>
    <row r="12687" spans="2:7" ht="15" hidden="1" outlineLevel="2">
      <c r="B12687" s="2889" t="s">
        <v>1641</v>
      </c>
      <c r="C12687" s="2889" t="s">
        <v>1605</v>
      </c>
      <c r="D12687" s="2889" t="s">
        <v>1604</v>
      </c>
      <c r="E12687" s="2889" t="s">
        <v>1423</v>
      </c>
      <c r="F12687" s="2890">
        <v>2.7131161235763937E-2</v>
      </c>
      <c r="G12687" s="2890">
        <v>6.204061191161367</v>
      </c>
    </row>
    <row r="12688" spans="2:7" ht="15" hidden="1" outlineLevel="2">
      <c r="B12688" s="2889" t="s">
        <v>1641</v>
      </c>
      <c r="C12688" s="2889" t="s">
        <v>1606</v>
      </c>
      <c r="D12688" s="2889" t="s">
        <v>1604</v>
      </c>
      <c r="E12688" s="2889" t="s">
        <v>1426</v>
      </c>
      <c r="F12688" s="2891"/>
      <c r="G12688" s="2890">
        <v>32.894184444489994</v>
      </c>
    </row>
    <row r="12689" spans="2:7" ht="15" hidden="1" outlineLevel="2">
      <c r="B12689" s="2889" t="s">
        <v>1641</v>
      </c>
      <c r="C12689" s="2889" t="s">
        <v>1607</v>
      </c>
      <c r="D12689" s="2889" t="s">
        <v>1608</v>
      </c>
      <c r="E12689" s="2889" t="s">
        <v>217</v>
      </c>
      <c r="F12689" s="2890">
        <v>5.4222999331956645</v>
      </c>
      <c r="G12689" s="2890">
        <v>4454.8750399629271</v>
      </c>
    </row>
    <row r="12690" spans="2:7" ht="15" hidden="1" outlineLevel="2">
      <c r="B12690" s="2889" t="s">
        <v>1641</v>
      </c>
      <c r="C12690" s="2889" t="s">
        <v>1609</v>
      </c>
      <c r="D12690" s="2889" t="s">
        <v>1608</v>
      </c>
      <c r="E12690" s="2889" t="s">
        <v>217</v>
      </c>
      <c r="F12690" s="2890">
        <v>2.3611231345648216</v>
      </c>
      <c r="G12690" s="2890">
        <v>1879.9455050463882</v>
      </c>
    </row>
    <row r="12691" spans="2:7" ht="15" hidden="1" outlineLevel="2">
      <c r="B12691" s="2889" t="s">
        <v>1641</v>
      </c>
      <c r="C12691" s="2889" t="s">
        <v>1610</v>
      </c>
      <c r="D12691" s="2889" t="s">
        <v>1608</v>
      </c>
      <c r="E12691" s="2889" t="s">
        <v>217</v>
      </c>
      <c r="F12691" s="2890">
        <v>2.0375406560530274</v>
      </c>
      <c r="G12691" s="2890">
        <v>3166.7553217182731</v>
      </c>
    </row>
    <row r="12692" spans="2:7" ht="15" hidden="1" outlineLevel="2">
      <c r="B12692" s="2889" t="s">
        <v>1641</v>
      </c>
      <c r="C12692" s="2889" t="s">
        <v>1611</v>
      </c>
      <c r="D12692" s="2889" t="s">
        <v>1608</v>
      </c>
      <c r="E12692" s="2889" t="s">
        <v>1612</v>
      </c>
      <c r="F12692" s="2891"/>
      <c r="G12692" s="2890">
        <v>2819.5677720888239</v>
      </c>
    </row>
    <row r="12693" spans="2:7" ht="15" hidden="1" outlineLevel="2">
      <c r="B12693" s="2889" t="s">
        <v>1641</v>
      </c>
      <c r="C12693" s="2889" t="s">
        <v>1613</v>
      </c>
      <c r="D12693" s="2889" t="s">
        <v>1608</v>
      </c>
      <c r="E12693" s="2889" t="s">
        <v>1612</v>
      </c>
      <c r="F12693" s="2891"/>
      <c r="G12693" s="2890">
        <v>10.432872683380964</v>
      </c>
    </row>
    <row r="12694" spans="2:7" ht="15" hidden="1" outlineLevel="2">
      <c r="B12694" s="2889" t="s">
        <v>1641</v>
      </c>
      <c r="C12694" s="2889" t="s">
        <v>1614</v>
      </c>
      <c r="D12694" s="2889" t="s">
        <v>1615</v>
      </c>
      <c r="E12694" s="2889" t="s">
        <v>1426</v>
      </c>
      <c r="F12694" s="2891"/>
      <c r="G12694" s="2890">
        <v>157.62616095091926</v>
      </c>
    </row>
    <row r="12695" spans="2:7" ht="15" hidden="1" outlineLevel="2">
      <c r="B12695" s="2889" t="s">
        <v>1641</v>
      </c>
      <c r="C12695" s="2889" t="s">
        <v>1616</v>
      </c>
      <c r="D12695" s="2889" t="s">
        <v>1615</v>
      </c>
      <c r="E12695" s="2889" t="s">
        <v>217</v>
      </c>
      <c r="F12695" s="2890">
        <v>4.998382277272298E-3</v>
      </c>
      <c r="G12695" s="2890">
        <v>6.750932011967139</v>
      </c>
    </row>
    <row r="12696" spans="2:7" ht="15" hidden="1" outlineLevel="2">
      <c r="B12696" s="2889" t="s">
        <v>1641</v>
      </c>
      <c r="C12696" s="2889" t="s">
        <v>1617</v>
      </c>
      <c r="D12696" s="2889" t="s">
        <v>1615</v>
      </c>
      <c r="E12696" s="2889" t="s">
        <v>1420</v>
      </c>
      <c r="F12696" s="2890">
        <v>7.9368761745345176E-5</v>
      </c>
      <c r="G12696" s="2890">
        <v>0.22974137420610094</v>
      </c>
    </row>
    <row r="12697" spans="2:7" ht="15" hidden="1" outlineLevel="2">
      <c r="B12697" s="2889" t="s">
        <v>1641</v>
      </c>
      <c r="C12697" s="2889" t="s">
        <v>1618</v>
      </c>
      <c r="D12697" s="2889" t="s">
        <v>1619</v>
      </c>
      <c r="E12697" s="2889" t="s">
        <v>217</v>
      </c>
      <c r="F12697" s="2890">
        <v>2.3525272841134837</v>
      </c>
      <c r="G12697" s="2890">
        <v>596.39401624814002</v>
      </c>
    </row>
    <row r="12698" spans="2:7" ht="15" hidden="1" outlineLevel="2">
      <c r="B12698" s="2889" t="s">
        <v>1641</v>
      </c>
      <c r="C12698" s="2889" t="s">
        <v>1620</v>
      </c>
      <c r="D12698" s="2889" t="s">
        <v>1619</v>
      </c>
      <c r="E12698" s="2889" t="s">
        <v>217</v>
      </c>
      <c r="F12698" s="2890">
        <v>1.1430547029828198E-33</v>
      </c>
      <c r="G12698" s="2890">
        <v>1.3937069903059726E-30</v>
      </c>
    </row>
    <row r="12699" spans="2:7" ht="15" hidden="1" outlineLevel="2">
      <c r="B12699" s="2889" t="s">
        <v>1641</v>
      </c>
      <c r="C12699" s="2889" t="s">
        <v>1621</v>
      </c>
      <c r="D12699" s="2889" t="s">
        <v>1619</v>
      </c>
      <c r="E12699" s="2889" t="s">
        <v>217</v>
      </c>
      <c r="F12699" s="2890">
        <v>2.51986940727451</v>
      </c>
      <c r="G12699" s="2890">
        <v>688.64149439337996</v>
      </c>
    </row>
    <row r="12700" spans="2:7" ht="15" hidden="1" outlineLevel="2">
      <c r="B12700" s="2889" t="s">
        <v>1641</v>
      </c>
      <c r="C12700" s="2889" t="s">
        <v>1622</v>
      </c>
      <c r="D12700" s="2889" t="s">
        <v>1619</v>
      </c>
      <c r="E12700" s="2889" t="s">
        <v>217</v>
      </c>
      <c r="F12700" s="2890">
        <v>0.16136052086180849</v>
      </c>
      <c r="G12700" s="2890">
        <v>177.049330128191</v>
      </c>
    </row>
    <row r="12701" spans="2:7" ht="15" hidden="1" outlineLevel="2">
      <c r="B12701" s="2889" t="s">
        <v>1641</v>
      </c>
      <c r="C12701" s="2889" t="s">
        <v>1623</v>
      </c>
      <c r="D12701" s="2889" t="s">
        <v>1619</v>
      </c>
      <c r="E12701" s="2889" t="s">
        <v>217</v>
      </c>
      <c r="F12701" s="2890">
        <v>0.41553378424287818</v>
      </c>
      <c r="G12701" s="2890">
        <v>288.18382816427936</v>
      </c>
    </row>
    <row r="12702" spans="2:7" ht="15" hidden="1" outlineLevel="2">
      <c r="B12702" s="2889" t="s">
        <v>1641</v>
      </c>
      <c r="C12702" s="2889" t="s">
        <v>1624</v>
      </c>
      <c r="D12702" s="2889" t="s">
        <v>1619</v>
      </c>
      <c r="E12702" s="2889" t="s">
        <v>217</v>
      </c>
      <c r="F12702" s="2890">
        <v>3.5977583247504477</v>
      </c>
      <c r="G12702" s="2890">
        <v>3071.6686967914197</v>
      </c>
    </row>
    <row r="12703" spans="2:7" ht="15" hidden="1" outlineLevel="2">
      <c r="B12703" s="2889" t="s">
        <v>1641</v>
      </c>
      <c r="C12703" s="2889" t="s">
        <v>1625</v>
      </c>
      <c r="D12703" s="2889" t="s">
        <v>1619</v>
      </c>
      <c r="E12703" s="2889" t="s">
        <v>217</v>
      </c>
      <c r="F12703" s="2890">
        <v>0.5998158455319319</v>
      </c>
      <c r="G12703" s="2890">
        <v>776.97910231520143</v>
      </c>
    </row>
    <row r="12704" spans="2:7" ht="15" hidden="1" outlineLevel="2">
      <c r="B12704" s="2889" t="s">
        <v>1641</v>
      </c>
      <c r="C12704" s="2889" t="s">
        <v>1626</v>
      </c>
      <c r="D12704" s="2889" t="s">
        <v>1619</v>
      </c>
      <c r="E12704" s="2889" t="s">
        <v>217</v>
      </c>
      <c r="F12704" s="2890">
        <v>0.21964949668623643</v>
      </c>
      <c r="G12704" s="2890">
        <v>172.75935659987795</v>
      </c>
    </row>
    <row r="12705" spans="2:7" ht="15" hidden="1" outlineLevel="2">
      <c r="B12705" s="2889" t="s">
        <v>1641</v>
      </c>
      <c r="C12705" s="2889" t="s">
        <v>1627</v>
      </c>
      <c r="D12705" s="2889" t="s">
        <v>1619</v>
      </c>
      <c r="E12705" s="2889" t="s">
        <v>1420</v>
      </c>
      <c r="F12705" s="2890">
        <v>7.1520215805905268E-3</v>
      </c>
      <c r="G12705" s="2890">
        <v>11.948725799974781</v>
      </c>
    </row>
    <row r="12706" spans="2:7" ht="15" hidden="1" outlineLevel="2">
      <c r="B12706" s="2889" t="s">
        <v>1641</v>
      </c>
      <c r="C12706" s="2889" t="s">
        <v>1628</v>
      </c>
      <c r="D12706" s="2889" t="s">
        <v>1619</v>
      </c>
      <c r="E12706" s="2889" t="s">
        <v>1426</v>
      </c>
      <c r="F12706" s="2891"/>
      <c r="G12706" s="2890">
        <v>236.8229042114578</v>
      </c>
    </row>
    <row r="12707" spans="2:7" ht="15" hidden="1" outlineLevel="2">
      <c r="B12707" s="2889" t="s">
        <v>1641</v>
      </c>
      <c r="C12707" s="2889" t="s">
        <v>1629</v>
      </c>
      <c r="D12707" s="2889" t="s">
        <v>1630</v>
      </c>
      <c r="E12707" s="2889" t="s">
        <v>1426</v>
      </c>
      <c r="F12707" s="2891"/>
      <c r="G12707" s="2890">
        <v>3.0023057417662033E-30</v>
      </c>
    </row>
    <row r="12708" spans="2:7" ht="15" outlineLevel="1" collapsed="1">
      <c r="B12708" s="3042" t="s">
        <v>1711</v>
      </c>
      <c r="C12708" s="2889"/>
      <c r="D12708" s="2889"/>
      <c r="E12708" s="2889"/>
      <c r="F12708" s="2891">
        <f>SUBTOTAL(9,F12497:F12707)</f>
        <v>55.515114074708215</v>
      </c>
      <c r="G12708" s="2890">
        <f>SUBTOTAL(9,G12497:G12707)</f>
        <v>160559.29367442761</v>
      </c>
    </row>
    <row r="12709" spans="2:7" ht="15" hidden="1" outlineLevel="2">
      <c r="B12709" s="2889" t="s">
        <v>1642</v>
      </c>
      <c r="C12709" s="2889" t="s">
        <v>1408</v>
      </c>
      <c r="D12709" s="2889" t="s">
        <v>197</v>
      </c>
      <c r="E12709" s="2889" t="s">
        <v>217</v>
      </c>
      <c r="F12709" s="2890">
        <v>6.3891657182191936E-4</v>
      </c>
      <c r="G12709" s="2890">
        <v>0.3896519280581171</v>
      </c>
    </row>
    <row r="12710" spans="2:7" ht="15" hidden="1" outlineLevel="2">
      <c r="B12710" s="2889" t="s">
        <v>1642</v>
      </c>
      <c r="C12710" s="2889" t="s">
        <v>1409</v>
      </c>
      <c r="D12710" s="2889" t="s">
        <v>197</v>
      </c>
      <c r="E12710" s="2889" t="s">
        <v>217</v>
      </c>
      <c r="F12710" s="2890">
        <v>6.7279425870099042E-4</v>
      </c>
      <c r="G12710" s="2890">
        <v>0.94524102416381095</v>
      </c>
    </row>
    <row r="12711" spans="2:7" ht="15" hidden="1" outlineLevel="2">
      <c r="B12711" s="2889" t="s">
        <v>1642</v>
      </c>
      <c r="C12711" s="2889" t="s">
        <v>1410</v>
      </c>
      <c r="D12711" s="2889" t="s">
        <v>197</v>
      </c>
      <c r="E12711" s="2889" t="s">
        <v>217</v>
      </c>
      <c r="F12711" s="2890">
        <v>1.0748056115748523E-3</v>
      </c>
      <c r="G12711" s="2890">
        <v>3.6778772791046763</v>
      </c>
    </row>
    <row r="12712" spans="2:7" ht="15" hidden="1" outlineLevel="2">
      <c r="B12712" s="2889" t="s">
        <v>1642</v>
      </c>
      <c r="C12712" s="2889" t="s">
        <v>1411</v>
      </c>
      <c r="D12712" s="2889" t="s">
        <v>197</v>
      </c>
      <c r="E12712" s="2889" t="s">
        <v>217</v>
      </c>
      <c r="F12712" s="2890">
        <v>1.7657206550038633E-5</v>
      </c>
      <c r="G12712" s="2890">
        <v>2.3165368847043403E-2</v>
      </c>
    </row>
    <row r="12713" spans="2:7" ht="15" hidden="1" outlineLevel="2">
      <c r="B12713" s="2889" t="s">
        <v>1642</v>
      </c>
      <c r="C12713" s="2889" t="s">
        <v>1412</v>
      </c>
      <c r="D12713" s="2889" t="s">
        <v>197</v>
      </c>
      <c r="E12713" s="2889" t="s">
        <v>217</v>
      </c>
      <c r="F12713" s="2890">
        <v>1.907519745497433E-3</v>
      </c>
      <c r="G12713" s="2890">
        <v>2.5006632126576469</v>
      </c>
    </row>
    <row r="12714" spans="2:7" ht="15" hidden="1" outlineLevel="2">
      <c r="B12714" s="2889" t="s">
        <v>1642</v>
      </c>
      <c r="C12714" s="2889" t="s">
        <v>1413</v>
      </c>
      <c r="D12714" s="2889" t="s">
        <v>197</v>
      </c>
      <c r="E12714" s="2889" t="s">
        <v>217</v>
      </c>
      <c r="F12714" s="2890">
        <v>6.2831250648130287E-4</v>
      </c>
      <c r="G12714" s="2890">
        <v>0.7833156219153764</v>
      </c>
    </row>
    <row r="12715" spans="2:7" ht="15" hidden="1" outlineLevel="2">
      <c r="B12715" s="2889" t="s">
        <v>1642</v>
      </c>
      <c r="C12715" s="2889" t="s">
        <v>1414</v>
      </c>
      <c r="D12715" s="2889" t="s">
        <v>197</v>
      </c>
      <c r="E12715" s="2889" t="s">
        <v>217</v>
      </c>
      <c r="F12715" s="2890">
        <v>8.1960559538365729E-3</v>
      </c>
      <c r="G12715" s="2890">
        <v>8.5093134761534923</v>
      </c>
    </row>
    <row r="12716" spans="2:7" ht="15" hidden="1" outlineLevel="2">
      <c r="B12716" s="2889" t="s">
        <v>1642</v>
      </c>
      <c r="C12716" s="2889" t="s">
        <v>1415</v>
      </c>
      <c r="D12716" s="2889" t="s">
        <v>197</v>
      </c>
      <c r="E12716" s="2889" t="s">
        <v>217</v>
      </c>
      <c r="F12716" s="2890">
        <v>2.6942356916585523E-2</v>
      </c>
      <c r="G12716" s="2890">
        <v>18.239721171412143</v>
      </c>
    </row>
    <row r="12717" spans="2:7" ht="15" hidden="1" outlineLevel="2">
      <c r="B12717" s="2889" t="s">
        <v>1642</v>
      </c>
      <c r="C12717" s="2889" t="s">
        <v>1416</v>
      </c>
      <c r="D12717" s="2889" t="s">
        <v>197</v>
      </c>
      <c r="E12717" s="2889" t="s">
        <v>217</v>
      </c>
      <c r="F12717" s="2890">
        <v>3.0270320949908449E-3</v>
      </c>
      <c r="G12717" s="2890">
        <v>3.9682871461072908</v>
      </c>
    </row>
    <row r="12718" spans="2:7" ht="15" hidden="1" outlineLevel="2">
      <c r="B12718" s="2889" t="s">
        <v>1642</v>
      </c>
      <c r="C12718" s="2889" t="s">
        <v>1417</v>
      </c>
      <c r="D12718" s="2889" t="s">
        <v>197</v>
      </c>
      <c r="E12718" s="2889" t="s">
        <v>217</v>
      </c>
      <c r="F12718" s="2890">
        <v>4.5072996671934751E-3</v>
      </c>
      <c r="G12718" s="2890">
        <v>5.7460663877013589</v>
      </c>
    </row>
    <row r="12719" spans="2:7" ht="15" hidden="1" outlineLevel="2">
      <c r="B12719" s="2889" t="s">
        <v>1642</v>
      </c>
      <c r="C12719" s="2889" t="s">
        <v>1418</v>
      </c>
      <c r="D12719" s="2889" t="s">
        <v>197</v>
      </c>
      <c r="E12719" s="2889" t="s">
        <v>217</v>
      </c>
      <c r="F12719" s="2890">
        <v>9.0432163889985883E-4</v>
      </c>
      <c r="G12719" s="2890">
        <v>6.3743677794465228</v>
      </c>
    </row>
    <row r="12720" spans="2:7" ht="15" hidden="1" outlineLevel="2">
      <c r="B12720" s="2889" t="s">
        <v>1642</v>
      </c>
      <c r="C12720" s="2889" t="s">
        <v>1419</v>
      </c>
      <c r="D12720" s="2889" t="s">
        <v>197</v>
      </c>
      <c r="E12720" s="2889" t="s">
        <v>1420</v>
      </c>
      <c r="F12720" s="2890">
        <v>2.1956358547836675E-5</v>
      </c>
      <c r="G12720" s="2890">
        <v>3.4887629233067527E-2</v>
      </c>
    </row>
    <row r="12721" spans="2:7" ht="15" hidden="1" outlineLevel="2">
      <c r="B12721" s="2889" t="s">
        <v>1642</v>
      </c>
      <c r="C12721" s="2889" t="s">
        <v>1421</v>
      </c>
      <c r="D12721" s="2889" t="s">
        <v>197</v>
      </c>
      <c r="E12721" s="2889" t="s">
        <v>1420</v>
      </c>
      <c r="F12721" s="2890">
        <v>4.5054049639941511E-6</v>
      </c>
      <c r="G12721" s="2890">
        <v>4.7481713655202692E-2</v>
      </c>
    </row>
    <row r="12722" spans="2:7" ht="15" hidden="1" outlineLevel="2">
      <c r="B12722" s="2889" t="s">
        <v>1642</v>
      </c>
      <c r="C12722" s="2889" t="s">
        <v>1422</v>
      </c>
      <c r="D12722" s="2889" t="s">
        <v>197</v>
      </c>
      <c r="E12722" s="2889" t="s">
        <v>1423</v>
      </c>
      <c r="F12722" s="2890">
        <v>8.78927474647749E-4</v>
      </c>
      <c r="G12722" s="2890">
        <v>9.2159480498441235E-3</v>
      </c>
    </row>
    <row r="12723" spans="2:7" ht="15" hidden="1" outlineLevel="2">
      <c r="B12723" s="2889" t="s">
        <v>1642</v>
      </c>
      <c r="C12723" s="2889" t="s">
        <v>1424</v>
      </c>
      <c r="D12723" s="2889" t="s">
        <v>197</v>
      </c>
      <c r="E12723" s="2889" t="s">
        <v>1423</v>
      </c>
      <c r="F12723" s="2890">
        <v>2.7897788547375608E-4</v>
      </c>
      <c r="G12723" s="2890">
        <v>2.9243257256889184E-3</v>
      </c>
    </row>
    <row r="12724" spans="2:7" ht="15" hidden="1" outlineLevel="2">
      <c r="B12724" s="2889" t="s">
        <v>1642</v>
      </c>
      <c r="C12724" s="2889" t="s">
        <v>1425</v>
      </c>
      <c r="D12724" s="2889" t="s">
        <v>197</v>
      </c>
      <c r="E12724" s="2889" t="s">
        <v>1426</v>
      </c>
      <c r="F12724" s="2891"/>
      <c r="G12724" s="2890">
        <v>6.8152440307595152E-2</v>
      </c>
    </row>
    <row r="12725" spans="2:7" ht="15" hidden="1" outlineLevel="2">
      <c r="B12725" s="2889" t="s">
        <v>1642</v>
      </c>
      <c r="C12725" s="2889" t="s">
        <v>1427</v>
      </c>
      <c r="D12725" s="2889" t="s">
        <v>197</v>
      </c>
      <c r="E12725" s="2889" t="s">
        <v>1426</v>
      </c>
      <c r="F12725" s="2891"/>
      <c r="G12725" s="2890">
        <v>2946.3912625322996</v>
      </c>
    </row>
    <row r="12726" spans="2:7" ht="15" hidden="1" outlineLevel="2">
      <c r="B12726" s="2889" t="s">
        <v>1642</v>
      </c>
      <c r="C12726" s="2889" t="s">
        <v>1428</v>
      </c>
      <c r="D12726" s="2889" t="s">
        <v>197</v>
      </c>
      <c r="E12726" s="2889" t="s">
        <v>1426</v>
      </c>
      <c r="F12726" s="2891"/>
      <c r="G12726" s="2890">
        <v>264.38133759925324</v>
      </c>
    </row>
    <row r="12727" spans="2:7" ht="15" hidden="1" outlineLevel="2">
      <c r="B12727" s="2889" t="s">
        <v>1642</v>
      </c>
      <c r="C12727" s="2889" t="s">
        <v>1429</v>
      </c>
      <c r="D12727" s="2889" t="s">
        <v>197</v>
      </c>
      <c r="E12727" s="2889" t="s">
        <v>1426</v>
      </c>
      <c r="F12727" s="2891"/>
      <c r="G12727" s="2890">
        <v>1.4695985608535682</v>
      </c>
    </row>
    <row r="12728" spans="2:7" ht="15" hidden="1" outlineLevel="2">
      <c r="B12728" s="2889" t="s">
        <v>1642</v>
      </c>
      <c r="C12728" s="2889" t="s">
        <v>1430</v>
      </c>
      <c r="D12728" s="2889" t="s">
        <v>197</v>
      </c>
      <c r="E12728" s="2889" t="s">
        <v>1426</v>
      </c>
      <c r="F12728" s="2891"/>
      <c r="G12728" s="2890">
        <v>0.30163304895824067</v>
      </c>
    </row>
    <row r="12729" spans="2:7" ht="15" hidden="1" outlineLevel="2">
      <c r="B12729" s="2889" t="s">
        <v>1642</v>
      </c>
      <c r="C12729" s="2889" t="s">
        <v>1431</v>
      </c>
      <c r="D12729" s="2889" t="s">
        <v>197</v>
      </c>
      <c r="E12729" s="2889" t="s">
        <v>1426</v>
      </c>
      <c r="F12729" s="2891"/>
      <c r="G12729" s="2890">
        <v>22.442780075340124</v>
      </c>
    </row>
    <row r="12730" spans="2:7" ht="15" hidden="1" outlineLevel="2">
      <c r="B12730" s="2889" t="s">
        <v>1642</v>
      </c>
      <c r="C12730" s="2889" t="s">
        <v>1432</v>
      </c>
      <c r="D12730" s="2889" t="s">
        <v>197</v>
      </c>
      <c r="E12730" s="2889" t="s">
        <v>1426</v>
      </c>
      <c r="F12730" s="2891"/>
      <c r="G12730" s="2890">
        <v>5.62109184706708E-2</v>
      </c>
    </row>
    <row r="12731" spans="2:7" ht="15" hidden="1" outlineLevel="2">
      <c r="B12731" s="2889" t="s">
        <v>1642</v>
      </c>
      <c r="C12731" s="2889" t="s">
        <v>1433</v>
      </c>
      <c r="D12731" s="2889" t="s">
        <v>197</v>
      </c>
      <c r="E12731" s="2889" t="s">
        <v>1426</v>
      </c>
      <c r="F12731" s="2891"/>
      <c r="G12731" s="2890">
        <v>20.743272270349735</v>
      </c>
    </row>
    <row r="12732" spans="2:7" ht="15" hidden="1" outlineLevel="2">
      <c r="B12732" s="2889" t="s">
        <v>1642</v>
      </c>
      <c r="C12732" s="2889" t="s">
        <v>1434</v>
      </c>
      <c r="D12732" s="2889" t="s">
        <v>197</v>
      </c>
      <c r="E12732" s="2889" t="s">
        <v>1426</v>
      </c>
      <c r="F12732" s="2891"/>
      <c r="G12732" s="2890">
        <v>57.619350256299974</v>
      </c>
    </row>
    <row r="12733" spans="2:7" ht="15" hidden="1" outlineLevel="2">
      <c r="B12733" s="2889" t="s">
        <v>1642</v>
      </c>
      <c r="C12733" s="2889" t="s">
        <v>1435</v>
      </c>
      <c r="D12733" s="2889" t="s">
        <v>197</v>
      </c>
      <c r="E12733" s="2889" t="s">
        <v>1426</v>
      </c>
      <c r="F12733" s="2891"/>
      <c r="G12733" s="2890">
        <v>42.361451300908016</v>
      </c>
    </row>
    <row r="12734" spans="2:7" ht="15" hidden="1" outlineLevel="2">
      <c r="B12734" s="2889" t="s">
        <v>1642</v>
      </c>
      <c r="C12734" s="2889" t="s">
        <v>1436</v>
      </c>
      <c r="D12734" s="2889" t="s">
        <v>1437</v>
      </c>
      <c r="E12734" s="2889" t="s">
        <v>217</v>
      </c>
      <c r="F12734" s="2890">
        <v>2.6842632411043145E-34</v>
      </c>
      <c r="G12734" s="2890">
        <v>1.4108141940538616E-30</v>
      </c>
    </row>
    <row r="12735" spans="2:7" ht="15" hidden="1" outlineLevel="2">
      <c r="B12735" s="2889" t="s">
        <v>1642</v>
      </c>
      <c r="C12735" s="2889" t="s">
        <v>1438</v>
      </c>
      <c r="D12735" s="2889" t="s">
        <v>1437</v>
      </c>
      <c r="E12735" s="2889" t="s">
        <v>1420</v>
      </c>
      <c r="F12735" s="2890">
        <v>1.6645027218787266E-36</v>
      </c>
      <c r="G12735" s="2890">
        <v>2.4044512537756401E-32</v>
      </c>
    </row>
    <row r="12736" spans="2:7" ht="15" hidden="1" outlineLevel="2">
      <c r="B12736" s="2889" t="s">
        <v>1642</v>
      </c>
      <c r="C12736" s="2889" t="s">
        <v>1439</v>
      </c>
      <c r="D12736" s="2889" t="s">
        <v>1437</v>
      </c>
      <c r="E12736" s="2889" t="s">
        <v>1426</v>
      </c>
      <c r="F12736" s="2891"/>
      <c r="G12736" s="2890">
        <v>1.2545998713324452E-28</v>
      </c>
    </row>
    <row r="12737" spans="2:7" ht="15" hidden="1" outlineLevel="2">
      <c r="B12737" s="2889" t="s">
        <v>1642</v>
      </c>
      <c r="C12737" s="2889" t="s">
        <v>1440</v>
      </c>
      <c r="D12737" s="2889" t="s">
        <v>1105</v>
      </c>
      <c r="E12737" s="2889" t="s">
        <v>217</v>
      </c>
      <c r="F12737" s="2890">
        <v>6.7800992555511225E-2</v>
      </c>
      <c r="G12737" s="2890">
        <v>33.599961387218762</v>
      </c>
    </row>
    <row r="12738" spans="2:7" ht="15" hidden="1" outlineLevel="2">
      <c r="B12738" s="2889" t="s">
        <v>1642</v>
      </c>
      <c r="C12738" s="2889" t="s">
        <v>1441</v>
      </c>
      <c r="D12738" s="2889" t="s">
        <v>1105</v>
      </c>
      <c r="E12738" s="2889" t="s">
        <v>217</v>
      </c>
      <c r="F12738" s="2890">
        <v>0.43324512348042482</v>
      </c>
      <c r="G12738" s="2890">
        <v>224.16789432742456</v>
      </c>
    </row>
    <row r="12739" spans="2:7" ht="15" hidden="1" outlineLevel="2">
      <c r="B12739" s="2889" t="s">
        <v>1642</v>
      </c>
      <c r="C12739" s="2889" t="s">
        <v>1442</v>
      </c>
      <c r="D12739" s="2889" t="s">
        <v>1105</v>
      </c>
      <c r="E12739" s="2889" t="s">
        <v>217</v>
      </c>
      <c r="F12739" s="2890">
        <v>1.9285126535993871E-4</v>
      </c>
      <c r="G12739" s="2890">
        <v>8.6454807736710465E-2</v>
      </c>
    </row>
    <row r="12740" spans="2:7" ht="15" hidden="1" outlineLevel="2">
      <c r="B12740" s="2889" t="s">
        <v>1642</v>
      </c>
      <c r="C12740" s="2889" t="s">
        <v>1443</v>
      </c>
      <c r="D12740" s="2889" t="s">
        <v>1105</v>
      </c>
      <c r="E12740" s="2889" t="s">
        <v>217</v>
      </c>
      <c r="F12740" s="2890">
        <v>3.034475998306065E-3</v>
      </c>
      <c r="G12740" s="2890">
        <v>1.3603492825938501</v>
      </c>
    </row>
    <row r="12741" spans="2:7" ht="15" hidden="1" outlineLevel="2">
      <c r="B12741" s="2889" t="s">
        <v>1642</v>
      </c>
      <c r="C12741" s="2889" t="s">
        <v>1444</v>
      </c>
      <c r="D12741" s="2889" t="s">
        <v>1105</v>
      </c>
      <c r="E12741" s="2889" t="s">
        <v>217</v>
      </c>
      <c r="F12741" s="2890">
        <v>5.7525051347264373</v>
      </c>
      <c r="G12741" s="2890">
        <v>6916.3820597916174</v>
      </c>
    </row>
    <row r="12742" spans="2:7" ht="15" hidden="1" outlineLevel="2">
      <c r="B12742" s="2889" t="s">
        <v>1642</v>
      </c>
      <c r="C12742" s="2889" t="s">
        <v>1445</v>
      </c>
      <c r="D12742" s="2889" t="s">
        <v>1105</v>
      </c>
      <c r="E12742" s="2889" t="s">
        <v>217</v>
      </c>
      <c r="F12742" s="2890">
        <v>1.2382039938822023</v>
      </c>
      <c r="G12742" s="2890">
        <v>1730.7553653662535</v>
      </c>
    </row>
    <row r="12743" spans="2:7" ht="15" hidden="1" outlineLevel="2">
      <c r="B12743" s="2889" t="s">
        <v>1642</v>
      </c>
      <c r="C12743" s="2889" t="s">
        <v>1446</v>
      </c>
      <c r="D12743" s="2889" t="s">
        <v>1105</v>
      </c>
      <c r="E12743" s="2889" t="s">
        <v>217</v>
      </c>
      <c r="F12743" s="2890">
        <v>0.57155510546904886</v>
      </c>
      <c r="G12743" s="2890">
        <v>917.80655488408775</v>
      </c>
    </row>
    <row r="12744" spans="2:7" ht="15" hidden="1" outlineLevel="2">
      <c r="B12744" s="2889" t="s">
        <v>1642</v>
      </c>
      <c r="C12744" s="2889" t="s">
        <v>1447</v>
      </c>
      <c r="D12744" s="2889" t="s">
        <v>1105</v>
      </c>
      <c r="E12744" s="2889" t="s">
        <v>217</v>
      </c>
      <c r="F12744" s="2890">
        <v>1.317020106687121</v>
      </c>
      <c r="G12744" s="2890">
        <v>1969.2802490318973</v>
      </c>
    </row>
    <row r="12745" spans="2:7" ht="15" hidden="1" outlineLevel="2">
      <c r="B12745" s="2889" t="s">
        <v>1642</v>
      </c>
      <c r="C12745" s="2889" t="s">
        <v>1448</v>
      </c>
      <c r="D12745" s="2889" t="s">
        <v>1105</v>
      </c>
      <c r="E12745" s="2889" t="s">
        <v>217</v>
      </c>
      <c r="F12745" s="2890">
        <v>2.4874314326763627</v>
      </c>
      <c r="G12745" s="2890">
        <v>3102.4304220529284</v>
      </c>
    </row>
    <row r="12746" spans="2:7" ht="15" hidden="1" outlineLevel="2">
      <c r="B12746" s="2889" t="s">
        <v>1642</v>
      </c>
      <c r="C12746" s="2889" t="s">
        <v>1449</v>
      </c>
      <c r="D12746" s="2889" t="s">
        <v>1105</v>
      </c>
      <c r="E12746" s="2889" t="s">
        <v>217</v>
      </c>
      <c r="F12746" s="2890">
        <v>0.10589484503523743</v>
      </c>
      <c r="G12746" s="2890">
        <v>145.92091777535475</v>
      </c>
    </row>
    <row r="12747" spans="2:7" ht="15" hidden="1" outlineLevel="2">
      <c r="B12747" s="2889" t="s">
        <v>1642</v>
      </c>
      <c r="C12747" s="2889" t="s">
        <v>1450</v>
      </c>
      <c r="D12747" s="2889" t="s">
        <v>1105</v>
      </c>
      <c r="E12747" s="2889" t="s">
        <v>1420</v>
      </c>
      <c r="F12747" s="2890">
        <v>0.33473606048260102</v>
      </c>
      <c r="G12747" s="2890">
        <v>920.25825443787141</v>
      </c>
    </row>
    <row r="12748" spans="2:7" ht="15" hidden="1" outlineLevel="2">
      <c r="B12748" s="2889" t="s">
        <v>1642</v>
      </c>
      <c r="C12748" s="2889" t="s">
        <v>1451</v>
      </c>
      <c r="D12748" s="2889" t="s">
        <v>1105</v>
      </c>
      <c r="E12748" s="2889" t="s">
        <v>1420</v>
      </c>
      <c r="F12748" s="2890">
        <v>4.8600102456009361E-2</v>
      </c>
      <c r="G12748" s="2890">
        <v>204.97350177503944</v>
      </c>
    </row>
    <row r="12749" spans="2:7" ht="15" hidden="1" outlineLevel="2">
      <c r="B12749" s="2889" t="s">
        <v>1642</v>
      </c>
      <c r="C12749" s="2889" t="s">
        <v>1452</v>
      </c>
      <c r="D12749" s="2889" t="s">
        <v>1105</v>
      </c>
      <c r="E12749" s="2889" t="s">
        <v>1420</v>
      </c>
      <c r="F12749" s="2890">
        <v>3.5955287988522461E-2</v>
      </c>
      <c r="G12749" s="2890">
        <v>240.26573656140948</v>
      </c>
    </row>
    <row r="12750" spans="2:7" ht="15" hidden="1" outlineLevel="2">
      <c r="B12750" s="2889" t="s">
        <v>1642</v>
      </c>
      <c r="C12750" s="2889" t="s">
        <v>1453</v>
      </c>
      <c r="D12750" s="2889" t="s">
        <v>1105</v>
      </c>
      <c r="E12750" s="2889" t="s">
        <v>1420</v>
      </c>
      <c r="F12750" s="2890">
        <v>6.2980223819647158E-2</v>
      </c>
      <c r="G12750" s="2890">
        <v>298.47021150601103</v>
      </c>
    </row>
    <row r="12751" spans="2:7" ht="15" hidden="1" outlineLevel="2">
      <c r="B12751" s="2889" t="s">
        <v>1642</v>
      </c>
      <c r="C12751" s="2889" t="s">
        <v>1454</v>
      </c>
      <c r="D12751" s="2889" t="s">
        <v>1105</v>
      </c>
      <c r="E12751" s="2889" t="s">
        <v>1420</v>
      </c>
      <c r="F12751" s="2890">
        <v>1.5725802603472057E-3</v>
      </c>
      <c r="G12751" s="2890">
        <v>4.0346453919292884</v>
      </c>
    </row>
    <row r="12752" spans="2:7" ht="15" hidden="1" outlineLevel="2">
      <c r="B12752" s="2889" t="s">
        <v>1642</v>
      </c>
      <c r="C12752" s="2889" t="s">
        <v>1455</v>
      </c>
      <c r="D12752" s="2889" t="s">
        <v>1105</v>
      </c>
      <c r="E12752" s="2889" t="s">
        <v>1420</v>
      </c>
      <c r="F12752" s="2890">
        <v>4.5880242657735657E-4</v>
      </c>
      <c r="G12752" s="2890">
        <v>3.7476537851210465</v>
      </c>
    </row>
    <row r="12753" spans="2:7" ht="15" hidden="1" outlineLevel="2">
      <c r="B12753" s="2889" t="s">
        <v>1642</v>
      </c>
      <c r="C12753" s="2889" t="s">
        <v>1456</v>
      </c>
      <c r="D12753" s="2889" t="s">
        <v>1105</v>
      </c>
      <c r="E12753" s="2889" t="s">
        <v>1423</v>
      </c>
      <c r="F12753" s="2890">
        <v>7.3957932096994758</v>
      </c>
      <c r="G12753" s="2890">
        <v>205.37351360308639</v>
      </c>
    </row>
    <row r="12754" spans="2:7" ht="15" hidden="1" outlineLevel="2">
      <c r="B12754" s="2889" t="s">
        <v>1642</v>
      </c>
      <c r="C12754" s="2889" t="s">
        <v>1457</v>
      </c>
      <c r="D12754" s="2889" t="s">
        <v>1105</v>
      </c>
      <c r="E12754" s="2889" t="s">
        <v>1423</v>
      </c>
      <c r="F12754" s="2890">
        <v>0.28354423042470622</v>
      </c>
      <c r="G12754" s="2890">
        <v>10.307266369421551</v>
      </c>
    </row>
    <row r="12755" spans="2:7" ht="15" hidden="1" outlineLevel="2">
      <c r="B12755" s="2889" t="s">
        <v>1642</v>
      </c>
      <c r="C12755" s="2889" t="s">
        <v>1458</v>
      </c>
      <c r="D12755" s="2889" t="s">
        <v>1105</v>
      </c>
      <c r="E12755" s="2889" t="s">
        <v>1423</v>
      </c>
      <c r="F12755" s="2890">
        <v>0.2035638211704178</v>
      </c>
      <c r="G12755" s="2890">
        <v>14.277294563293603</v>
      </c>
    </row>
    <row r="12756" spans="2:7" ht="15" hidden="1" outlineLevel="2">
      <c r="B12756" s="2889" t="s">
        <v>1642</v>
      </c>
      <c r="C12756" s="2889" t="s">
        <v>1459</v>
      </c>
      <c r="D12756" s="2889" t="s">
        <v>1105</v>
      </c>
      <c r="E12756" s="2889" t="s">
        <v>1423</v>
      </c>
      <c r="F12756" s="2890">
        <v>2.3848521572137651</v>
      </c>
      <c r="G12756" s="2890">
        <v>499.06767720562118</v>
      </c>
    </row>
    <row r="12757" spans="2:7" ht="15" hidden="1" outlineLevel="2">
      <c r="B12757" s="2889" t="s">
        <v>1642</v>
      </c>
      <c r="C12757" s="2889" t="s">
        <v>1460</v>
      </c>
      <c r="D12757" s="2889" t="s">
        <v>1105</v>
      </c>
      <c r="E12757" s="2889" t="s">
        <v>1426</v>
      </c>
      <c r="F12757" s="2891"/>
      <c r="G12757" s="2890">
        <v>5321.9118384811973</v>
      </c>
    </row>
    <row r="12758" spans="2:7" ht="15" hidden="1" outlineLevel="2">
      <c r="B12758" s="2889" t="s">
        <v>1642</v>
      </c>
      <c r="C12758" s="2889" t="s">
        <v>1461</v>
      </c>
      <c r="D12758" s="2889" t="s">
        <v>1105</v>
      </c>
      <c r="E12758" s="2889" t="s">
        <v>1426</v>
      </c>
      <c r="F12758" s="2891"/>
      <c r="G12758" s="2890">
        <v>1255.6486070370242</v>
      </c>
    </row>
    <row r="12759" spans="2:7" ht="15" hidden="1" outlineLevel="2">
      <c r="B12759" s="2889" t="s">
        <v>1642</v>
      </c>
      <c r="C12759" s="2889" t="s">
        <v>1462</v>
      </c>
      <c r="D12759" s="2889" t="s">
        <v>1105</v>
      </c>
      <c r="E12759" s="2889" t="s">
        <v>1426</v>
      </c>
      <c r="F12759" s="2891"/>
      <c r="G12759" s="2890">
        <v>3483.9394782910499</v>
      </c>
    </row>
    <row r="12760" spans="2:7" ht="15" hidden="1" outlineLevel="2">
      <c r="B12760" s="2889" t="s">
        <v>1642</v>
      </c>
      <c r="C12760" s="2889" t="s">
        <v>1463</v>
      </c>
      <c r="D12760" s="2889" t="s">
        <v>1105</v>
      </c>
      <c r="E12760" s="2889" t="s">
        <v>1426</v>
      </c>
      <c r="F12760" s="2891"/>
      <c r="G12760" s="2890">
        <v>1769.0311974163974</v>
      </c>
    </row>
    <row r="12761" spans="2:7" ht="15" hidden="1" outlineLevel="2">
      <c r="B12761" s="2889" t="s">
        <v>1642</v>
      </c>
      <c r="C12761" s="2889" t="s">
        <v>1464</v>
      </c>
      <c r="D12761" s="2889" t="s">
        <v>1105</v>
      </c>
      <c r="E12761" s="2889" t="s">
        <v>1426</v>
      </c>
      <c r="F12761" s="2891"/>
      <c r="G12761" s="2890">
        <v>169.94413547383414</v>
      </c>
    </row>
    <row r="12762" spans="2:7" ht="15" hidden="1" outlineLevel="2">
      <c r="B12762" s="2889" t="s">
        <v>1642</v>
      </c>
      <c r="C12762" s="2889" t="s">
        <v>1465</v>
      </c>
      <c r="D12762" s="2889" t="s">
        <v>1105</v>
      </c>
      <c r="E12762" s="2889" t="s">
        <v>1426</v>
      </c>
      <c r="F12762" s="2891"/>
      <c r="G12762" s="2890">
        <v>150.77900616723082</v>
      </c>
    </row>
    <row r="12763" spans="2:7" ht="15" hidden="1" outlineLevel="2">
      <c r="B12763" s="2889" t="s">
        <v>1642</v>
      </c>
      <c r="C12763" s="2889" t="s">
        <v>1466</v>
      </c>
      <c r="D12763" s="2889" t="s">
        <v>1054</v>
      </c>
      <c r="E12763" s="2889" t="s">
        <v>217</v>
      </c>
      <c r="F12763" s="2890">
        <v>4.9618769245660173E-2</v>
      </c>
      <c r="G12763" s="2890">
        <v>30.59442219638921</v>
      </c>
    </row>
    <row r="12764" spans="2:7" ht="15" hidden="1" outlineLevel="2">
      <c r="B12764" s="2889" t="s">
        <v>1642</v>
      </c>
      <c r="C12764" s="2889" t="s">
        <v>1467</v>
      </c>
      <c r="D12764" s="2889" t="s">
        <v>1054</v>
      </c>
      <c r="E12764" s="2889" t="s">
        <v>217</v>
      </c>
      <c r="F12764" s="2890">
        <v>4.100675207601834E-3</v>
      </c>
      <c r="G12764" s="2890">
        <v>1.950838716154796</v>
      </c>
    </row>
    <row r="12765" spans="2:7" ht="15" hidden="1" outlineLevel="2">
      <c r="B12765" s="2889" t="s">
        <v>1642</v>
      </c>
      <c r="C12765" s="2889" t="s">
        <v>1468</v>
      </c>
      <c r="D12765" s="2889" t="s">
        <v>1054</v>
      </c>
      <c r="E12765" s="2889" t="s">
        <v>217</v>
      </c>
      <c r="F12765" s="2890">
        <v>4.8822887855141878E-3</v>
      </c>
      <c r="G12765" s="2890">
        <v>2.3321135738375212</v>
      </c>
    </row>
    <row r="12766" spans="2:7" ht="15" hidden="1" outlineLevel="2">
      <c r="B12766" s="2889" t="s">
        <v>1642</v>
      </c>
      <c r="C12766" s="2889" t="s">
        <v>1469</v>
      </c>
      <c r="D12766" s="2889" t="s">
        <v>1054</v>
      </c>
      <c r="E12766" s="2889" t="s">
        <v>217</v>
      </c>
      <c r="F12766" s="2890">
        <v>3.8959156024615297E-5</v>
      </c>
      <c r="G12766" s="2890">
        <v>1.7464107267778705E-2</v>
      </c>
    </row>
    <row r="12767" spans="2:7" ht="15" hidden="1" outlineLevel="2">
      <c r="B12767" s="2889" t="s">
        <v>1642</v>
      </c>
      <c r="C12767" s="2889" t="s">
        <v>1470</v>
      </c>
      <c r="D12767" s="2889" t="s">
        <v>1054</v>
      </c>
      <c r="E12767" s="2889" t="s">
        <v>217</v>
      </c>
      <c r="F12767" s="2890">
        <v>0.13897785165893886</v>
      </c>
      <c r="G12767" s="2890">
        <v>76.395791630971502</v>
      </c>
    </row>
    <row r="12768" spans="2:7" ht="15" hidden="1" outlineLevel="2">
      <c r="B12768" s="2889" t="s">
        <v>1642</v>
      </c>
      <c r="C12768" s="2889" t="s">
        <v>1471</v>
      </c>
      <c r="D12768" s="2889" t="s">
        <v>1054</v>
      </c>
      <c r="E12768" s="2889" t="s">
        <v>217</v>
      </c>
      <c r="F12768" s="2890">
        <v>9.970630249448722E-4</v>
      </c>
      <c r="G12768" s="2890">
        <v>0.44695539398671513</v>
      </c>
    </row>
    <row r="12769" spans="2:7" ht="15" hidden="1" outlineLevel="2">
      <c r="B12769" s="2889" t="s">
        <v>1642</v>
      </c>
      <c r="C12769" s="2889" t="s">
        <v>1472</v>
      </c>
      <c r="D12769" s="2889" t="s">
        <v>1054</v>
      </c>
      <c r="E12769" s="2889" t="s">
        <v>217</v>
      </c>
      <c r="F12769" s="2890">
        <v>1.6957192169592721E-2</v>
      </c>
      <c r="G12769" s="2890">
        <v>26.281025477820023</v>
      </c>
    </row>
    <row r="12770" spans="2:7" ht="15" hidden="1" outlineLevel="2">
      <c r="B12770" s="2889" t="s">
        <v>1642</v>
      </c>
      <c r="C12770" s="2889" t="s">
        <v>1473</v>
      </c>
      <c r="D12770" s="2889" t="s">
        <v>1054</v>
      </c>
      <c r="E12770" s="2889" t="s">
        <v>217</v>
      </c>
      <c r="F12770" s="2890">
        <v>1.5020501724367951E-4</v>
      </c>
      <c r="G12770" s="2890">
        <v>0.19421000857109755</v>
      </c>
    </row>
    <row r="12771" spans="2:7" ht="15" hidden="1" outlineLevel="2">
      <c r="B12771" s="2889" t="s">
        <v>1642</v>
      </c>
      <c r="C12771" s="2889" t="s">
        <v>1474</v>
      </c>
      <c r="D12771" s="2889" t="s">
        <v>1054</v>
      </c>
      <c r="E12771" s="2889" t="s">
        <v>217</v>
      </c>
      <c r="F12771" s="2890">
        <v>4.1317554326148309E-2</v>
      </c>
      <c r="G12771" s="2890">
        <v>49.179632655655737</v>
      </c>
    </row>
    <row r="12772" spans="2:7" ht="15" hidden="1" outlineLevel="2">
      <c r="B12772" s="2889" t="s">
        <v>1642</v>
      </c>
      <c r="C12772" s="2889" t="s">
        <v>1475</v>
      </c>
      <c r="D12772" s="2889" t="s">
        <v>1054</v>
      </c>
      <c r="E12772" s="2889" t="s">
        <v>217</v>
      </c>
      <c r="F12772" s="2890">
        <v>2.9595609959814029E-2</v>
      </c>
      <c r="G12772" s="2890">
        <v>46.471736343095998</v>
      </c>
    </row>
    <row r="12773" spans="2:7" ht="15" hidden="1" outlineLevel="2">
      <c r="B12773" s="2889" t="s">
        <v>1642</v>
      </c>
      <c r="C12773" s="2889" t="s">
        <v>1476</v>
      </c>
      <c r="D12773" s="2889" t="s">
        <v>1054</v>
      </c>
      <c r="E12773" s="2889" t="s">
        <v>217</v>
      </c>
      <c r="F12773" s="2890">
        <v>7.287000000126477E-2</v>
      </c>
      <c r="G12773" s="2890">
        <v>94.107736875199265</v>
      </c>
    </row>
    <row r="12774" spans="2:7" ht="15" hidden="1" outlineLevel="2">
      <c r="B12774" s="2889" t="s">
        <v>1642</v>
      </c>
      <c r="C12774" s="2889" t="s">
        <v>1477</v>
      </c>
      <c r="D12774" s="2889" t="s">
        <v>1054</v>
      </c>
      <c r="E12774" s="2889" t="s">
        <v>217</v>
      </c>
      <c r="F12774" s="2890">
        <v>2.8983074227351861E-2</v>
      </c>
      <c r="G12774" s="2890">
        <v>39.685244809252723</v>
      </c>
    </row>
    <row r="12775" spans="2:7" ht="15" hidden="1" outlineLevel="2">
      <c r="B12775" s="2889" t="s">
        <v>1642</v>
      </c>
      <c r="C12775" s="2889" t="s">
        <v>1478</v>
      </c>
      <c r="D12775" s="2889" t="s">
        <v>1054</v>
      </c>
      <c r="E12775" s="2889" t="s">
        <v>217</v>
      </c>
      <c r="F12775" s="2890">
        <v>1.5618994148667948E-3</v>
      </c>
      <c r="G12775" s="2890">
        <v>2.0604313156162117</v>
      </c>
    </row>
    <row r="12776" spans="2:7" ht="15" hidden="1" outlineLevel="2">
      <c r="B12776" s="2889" t="s">
        <v>1642</v>
      </c>
      <c r="C12776" s="2889" t="s">
        <v>1479</v>
      </c>
      <c r="D12776" s="2889" t="s">
        <v>1054</v>
      </c>
      <c r="E12776" s="2889" t="s">
        <v>217</v>
      </c>
      <c r="F12776" s="2890">
        <v>5.5227058949910118E-2</v>
      </c>
      <c r="G12776" s="2890">
        <v>83.079966785053074</v>
      </c>
    </row>
    <row r="12777" spans="2:7" ht="15" hidden="1" outlineLevel="2">
      <c r="B12777" s="2889" t="s">
        <v>1642</v>
      </c>
      <c r="C12777" s="2889" t="s">
        <v>1480</v>
      </c>
      <c r="D12777" s="2889" t="s">
        <v>1054</v>
      </c>
      <c r="E12777" s="2889" t="s">
        <v>217</v>
      </c>
      <c r="F12777" s="2890">
        <v>2.4862365144279249E-2</v>
      </c>
      <c r="G12777" s="2890">
        <v>28.614078743321212</v>
      </c>
    </row>
    <row r="12778" spans="2:7" ht="15" hidden="1" outlineLevel="2">
      <c r="B12778" s="2889" t="s">
        <v>1642</v>
      </c>
      <c r="C12778" s="2889" t="s">
        <v>1481</v>
      </c>
      <c r="D12778" s="2889" t="s">
        <v>1054</v>
      </c>
      <c r="E12778" s="2889" t="s">
        <v>217</v>
      </c>
      <c r="F12778" s="2890">
        <v>0.12302582255976917</v>
      </c>
      <c r="G12778" s="2890">
        <v>173.03917063000512</v>
      </c>
    </row>
    <row r="12779" spans="2:7" ht="15" hidden="1" outlineLevel="2">
      <c r="B12779" s="2889" t="s">
        <v>1642</v>
      </c>
      <c r="C12779" s="2889" t="s">
        <v>1482</v>
      </c>
      <c r="D12779" s="2889" t="s">
        <v>1054</v>
      </c>
      <c r="E12779" s="2889" t="s">
        <v>217</v>
      </c>
      <c r="F12779" s="2890">
        <v>8.2911039314939025E-2</v>
      </c>
      <c r="G12779" s="2890">
        <v>82.894866255710355</v>
      </c>
    </row>
    <row r="12780" spans="2:7" ht="15" hidden="1" outlineLevel="2">
      <c r="B12780" s="2889" t="s">
        <v>1642</v>
      </c>
      <c r="C12780" s="2889" t="s">
        <v>1483</v>
      </c>
      <c r="D12780" s="2889" t="s">
        <v>1054</v>
      </c>
      <c r="E12780" s="2889" t="s">
        <v>217</v>
      </c>
      <c r="F12780" s="2890">
        <v>3.9392111619041201E-3</v>
      </c>
      <c r="G12780" s="2890">
        <v>6.608024508841785</v>
      </c>
    </row>
    <row r="12781" spans="2:7" ht="15" hidden="1" outlineLevel="2">
      <c r="B12781" s="2889" t="s">
        <v>1642</v>
      </c>
      <c r="C12781" s="2889" t="s">
        <v>1484</v>
      </c>
      <c r="D12781" s="2889" t="s">
        <v>1054</v>
      </c>
      <c r="E12781" s="2889" t="s">
        <v>217</v>
      </c>
      <c r="F12781" s="2890">
        <v>8.0113033315182876E-3</v>
      </c>
      <c r="G12781" s="2890">
        <v>11.204820651015494</v>
      </c>
    </row>
    <row r="12782" spans="2:7" ht="15" hidden="1" outlineLevel="2">
      <c r="B12782" s="2889" t="s">
        <v>1642</v>
      </c>
      <c r="C12782" s="2889" t="s">
        <v>1485</v>
      </c>
      <c r="D12782" s="2889" t="s">
        <v>1054</v>
      </c>
      <c r="E12782" s="2889" t="s">
        <v>217</v>
      </c>
      <c r="F12782" s="2890">
        <v>3.5587614778928509E-3</v>
      </c>
      <c r="G12782" s="2890">
        <v>10.040531045450034</v>
      </c>
    </row>
    <row r="12783" spans="2:7" ht="15" hidden="1" outlineLevel="2">
      <c r="B12783" s="2889" t="s">
        <v>1642</v>
      </c>
      <c r="C12783" s="2889" t="s">
        <v>1486</v>
      </c>
      <c r="D12783" s="2889" t="s">
        <v>1054</v>
      </c>
      <c r="E12783" s="2889" t="s">
        <v>217</v>
      </c>
      <c r="F12783" s="2890">
        <v>4.1460553240648757E-3</v>
      </c>
      <c r="G12783" s="2890">
        <v>23.981224897833314</v>
      </c>
    </row>
    <row r="12784" spans="2:7" ht="15" hidden="1" outlineLevel="2">
      <c r="B12784" s="2889" t="s">
        <v>1642</v>
      </c>
      <c r="C12784" s="2889" t="s">
        <v>1487</v>
      </c>
      <c r="D12784" s="2889" t="s">
        <v>1054</v>
      </c>
      <c r="E12784" s="2889" t="s">
        <v>217</v>
      </c>
      <c r="F12784" s="2890">
        <v>3.9223408472152776E-2</v>
      </c>
      <c r="G12784" s="2890">
        <v>56.829239228527484</v>
      </c>
    </row>
    <row r="12785" spans="2:7" ht="15" hidden="1" outlineLevel="2">
      <c r="B12785" s="2889" t="s">
        <v>1642</v>
      </c>
      <c r="C12785" s="2889" t="s">
        <v>1488</v>
      </c>
      <c r="D12785" s="2889" t="s">
        <v>1054</v>
      </c>
      <c r="E12785" s="2889" t="s">
        <v>217</v>
      </c>
      <c r="F12785" s="2890">
        <v>2.4328082004007268E-2</v>
      </c>
      <c r="G12785" s="2890">
        <v>39.002672018541062</v>
      </c>
    </row>
    <row r="12786" spans="2:7" ht="15" hidden="1" outlineLevel="2">
      <c r="B12786" s="2889" t="s">
        <v>1642</v>
      </c>
      <c r="C12786" s="2889" t="s">
        <v>1489</v>
      </c>
      <c r="D12786" s="2889" t="s">
        <v>1054</v>
      </c>
      <c r="E12786" s="2889" t="s">
        <v>217</v>
      </c>
      <c r="F12786" s="2890">
        <v>1.2250554028453707E-2</v>
      </c>
      <c r="G12786" s="2890">
        <v>12.85101702751423</v>
      </c>
    </row>
    <row r="12787" spans="2:7" ht="15" hidden="1" outlineLevel="2">
      <c r="B12787" s="2889" t="s">
        <v>1642</v>
      </c>
      <c r="C12787" s="2889" t="s">
        <v>1490</v>
      </c>
      <c r="D12787" s="2889" t="s">
        <v>1054</v>
      </c>
      <c r="E12787" s="2889" t="s">
        <v>217</v>
      </c>
      <c r="F12787" s="2890">
        <v>5.7130946191812949E-3</v>
      </c>
      <c r="G12787" s="2890">
        <v>9.0783724197196118</v>
      </c>
    </row>
    <row r="12788" spans="2:7" ht="15" hidden="1" outlineLevel="2">
      <c r="B12788" s="2889" t="s">
        <v>1642</v>
      </c>
      <c r="C12788" s="2889" t="s">
        <v>1491</v>
      </c>
      <c r="D12788" s="2889" t="s">
        <v>1054</v>
      </c>
      <c r="E12788" s="2889" t="s">
        <v>1420</v>
      </c>
      <c r="F12788" s="2890">
        <v>1.0860266367174324E-3</v>
      </c>
      <c r="G12788" s="2890">
        <v>5.1421316035408235</v>
      </c>
    </row>
    <row r="12789" spans="2:7" ht="15" hidden="1" outlineLevel="2">
      <c r="B12789" s="2889" t="s">
        <v>1642</v>
      </c>
      <c r="C12789" s="2889" t="s">
        <v>1492</v>
      </c>
      <c r="D12789" s="2889" t="s">
        <v>1054</v>
      </c>
      <c r="E12789" s="2889" t="s">
        <v>1420</v>
      </c>
      <c r="F12789" s="2890">
        <v>8.07317167463835E-4</v>
      </c>
      <c r="G12789" s="2890">
        <v>8.6294668810548778</v>
      </c>
    </row>
    <row r="12790" spans="2:7" ht="15" hidden="1" outlineLevel="2">
      <c r="B12790" s="2889" t="s">
        <v>1642</v>
      </c>
      <c r="C12790" s="2889" t="s">
        <v>1493</v>
      </c>
      <c r="D12790" s="2889" t="s">
        <v>1054</v>
      </c>
      <c r="E12790" s="2889" t="s">
        <v>1420</v>
      </c>
      <c r="F12790" s="2890">
        <v>5.9780462467077383E-4</v>
      </c>
      <c r="G12790" s="2890">
        <v>1.4275724310949889</v>
      </c>
    </row>
    <row r="12791" spans="2:7" ht="15" hidden="1" outlineLevel="2">
      <c r="B12791" s="2889" t="s">
        <v>1642</v>
      </c>
      <c r="C12791" s="2889" t="s">
        <v>1494</v>
      </c>
      <c r="D12791" s="2889" t="s">
        <v>1054</v>
      </c>
      <c r="E12791" s="2889" t="s">
        <v>1420</v>
      </c>
      <c r="F12791" s="2890">
        <v>1.630086186425722E-4</v>
      </c>
      <c r="G12791" s="2890">
        <v>0.89454877247612841</v>
      </c>
    </row>
    <row r="12792" spans="2:7" ht="15" hidden="1" outlineLevel="2">
      <c r="B12792" s="2889" t="s">
        <v>1642</v>
      </c>
      <c r="C12792" s="2889" t="s">
        <v>1495</v>
      </c>
      <c r="D12792" s="2889" t="s">
        <v>1054</v>
      </c>
      <c r="E12792" s="2889" t="s">
        <v>1420</v>
      </c>
      <c r="F12792" s="2890">
        <v>3.5276153784559502E-3</v>
      </c>
      <c r="G12792" s="2890">
        <v>15.830488440696387</v>
      </c>
    </row>
    <row r="12793" spans="2:7" ht="15" hidden="1" outlineLevel="2">
      <c r="B12793" s="2889" t="s">
        <v>1642</v>
      </c>
      <c r="C12793" s="2889" t="s">
        <v>1496</v>
      </c>
      <c r="D12793" s="2889" t="s">
        <v>1054</v>
      </c>
      <c r="E12793" s="2889" t="s">
        <v>1420</v>
      </c>
      <c r="F12793" s="2890">
        <v>3.200361539108723E-3</v>
      </c>
      <c r="G12793" s="2890">
        <v>5.6998865179857141</v>
      </c>
    </row>
    <row r="12794" spans="2:7" ht="15" hidden="1" outlineLevel="2">
      <c r="B12794" s="2889" t="s">
        <v>1642</v>
      </c>
      <c r="C12794" s="2889" t="s">
        <v>1497</v>
      </c>
      <c r="D12794" s="2889" t="s">
        <v>1054</v>
      </c>
      <c r="E12794" s="2889" t="s">
        <v>1420</v>
      </c>
      <c r="F12794" s="2890">
        <v>8.8795248524781449E-4</v>
      </c>
      <c r="G12794" s="2890">
        <v>14.645735117544724</v>
      </c>
    </row>
    <row r="12795" spans="2:7" ht="15" hidden="1" outlineLevel="2">
      <c r="B12795" s="2889" t="s">
        <v>1642</v>
      </c>
      <c r="C12795" s="2889" t="s">
        <v>1498</v>
      </c>
      <c r="D12795" s="2889" t="s">
        <v>1054</v>
      </c>
      <c r="E12795" s="2889" t="s">
        <v>1420</v>
      </c>
      <c r="F12795" s="2890">
        <v>2.427188819656007E-3</v>
      </c>
      <c r="G12795" s="2890">
        <v>5.8332406334452145</v>
      </c>
    </row>
    <row r="12796" spans="2:7" ht="15" hidden="1" outlineLevel="2">
      <c r="B12796" s="2889" t="s">
        <v>1642</v>
      </c>
      <c r="C12796" s="2889" t="s">
        <v>1499</v>
      </c>
      <c r="D12796" s="2889" t="s">
        <v>1054</v>
      </c>
      <c r="E12796" s="2889" t="s">
        <v>1420</v>
      </c>
      <c r="F12796" s="2890">
        <v>3.7069818280237348E-4</v>
      </c>
      <c r="G12796" s="2890">
        <v>0.93865392355230381</v>
      </c>
    </row>
    <row r="12797" spans="2:7" ht="15" hidden="1" outlineLevel="2">
      <c r="B12797" s="2889" t="s">
        <v>1642</v>
      </c>
      <c r="C12797" s="2889" t="s">
        <v>1500</v>
      </c>
      <c r="D12797" s="2889" t="s">
        <v>1054</v>
      </c>
      <c r="E12797" s="2889" t="s">
        <v>1420</v>
      </c>
      <c r="F12797" s="2890">
        <v>2.6850381020046498E-3</v>
      </c>
      <c r="G12797" s="2890">
        <v>10.154186140490271</v>
      </c>
    </row>
    <row r="12798" spans="2:7" ht="15" hidden="1" outlineLevel="2">
      <c r="B12798" s="2889" t="s">
        <v>1642</v>
      </c>
      <c r="C12798" s="2889" t="s">
        <v>1501</v>
      </c>
      <c r="D12798" s="2889" t="s">
        <v>1054</v>
      </c>
      <c r="E12798" s="2889" t="s">
        <v>1420</v>
      </c>
      <c r="F12798" s="2890">
        <v>3.3676192295026049E-3</v>
      </c>
      <c r="G12798" s="2890">
        <v>24.725970665304938</v>
      </c>
    </row>
    <row r="12799" spans="2:7" ht="15" hidden="1" outlineLevel="2">
      <c r="B12799" s="2889" t="s">
        <v>1642</v>
      </c>
      <c r="C12799" s="2889" t="s">
        <v>1502</v>
      </c>
      <c r="D12799" s="2889" t="s">
        <v>1054</v>
      </c>
      <c r="E12799" s="2889" t="s">
        <v>1420</v>
      </c>
      <c r="F12799" s="2890">
        <v>2.3497622658381412E-4</v>
      </c>
      <c r="G12799" s="2890">
        <v>2.5829094474643943</v>
      </c>
    </row>
    <row r="12800" spans="2:7" ht="15" hidden="1" outlineLevel="2">
      <c r="B12800" s="2889" t="s">
        <v>1642</v>
      </c>
      <c r="C12800" s="2889" t="s">
        <v>1503</v>
      </c>
      <c r="D12800" s="2889" t="s">
        <v>1054</v>
      </c>
      <c r="E12800" s="2889" t="s">
        <v>1420</v>
      </c>
      <c r="F12800" s="2890">
        <v>7.7493027594397173E-3</v>
      </c>
      <c r="G12800" s="2890">
        <v>21.39588338591885</v>
      </c>
    </row>
    <row r="12801" spans="2:7" ht="15" hidden="1" outlineLevel="2">
      <c r="B12801" s="2889" t="s">
        <v>1642</v>
      </c>
      <c r="C12801" s="2889" t="s">
        <v>1504</v>
      </c>
      <c r="D12801" s="2889" t="s">
        <v>1054</v>
      </c>
      <c r="E12801" s="2889" t="s">
        <v>1420</v>
      </c>
      <c r="F12801" s="2890">
        <v>3.9973129307513833E-3</v>
      </c>
      <c r="G12801" s="2890">
        <v>8.8480900073985023</v>
      </c>
    </row>
    <row r="12802" spans="2:7" ht="15" hidden="1" outlineLevel="2">
      <c r="B12802" s="2889" t="s">
        <v>1642</v>
      </c>
      <c r="C12802" s="2889" t="s">
        <v>1505</v>
      </c>
      <c r="D12802" s="2889" t="s">
        <v>1054</v>
      </c>
      <c r="E12802" s="2889" t="s">
        <v>1423</v>
      </c>
      <c r="F12802" s="2890">
        <v>1.1335508399852772E-2</v>
      </c>
      <c r="G12802" s="2890">
        <v>0.28052916827264052</v>
      </c>
    </row>
    <row r="12803" spans="2:7" ht="15" hidden="1" outlineLevel="2">
      <c r="B12803" s="2889" t="s">
        <v>1642</v>
      </c>
      <c r="C12803" s="2889" t="s">
        <v>1506</v>
      </c>
      <c r="D12803" s="2889" t="s">
        <v>1054</v>
      </c>
      <c r="E12803" s="2889" t="s">
        <v>1426</v>
      </c>
      <c r="F12803" s="2891"/>
      <c r="G12803" s="2890">
        <v>832.92381542593853</v>
      </c>
    </row>
    <row r="12804" spans="2:7" ht="15" hidden="1" outlineLevel="2">
      <c r="B12804" s="2889" t="s">
        <v>1642</v>
      </c>
      <c r="C12804" s="2889" t="s">
        <v>1507</v>
      </c>
      <c r="D12804" s="2889" t="s">
        <v>1054</v>
      </c>
      <c r="E12804" s="2889" t="s">
        <v>1426</v>
      </c>
      <c r="F12804" s="2891"/>
      <c r="G12804" s="2890">
        <v>1.357722794414665</v>
      </c>
    </row>
    <row r="12805" spans="2:7" ht="15" hidden="1" outlineLevel="2">
      <c r="B12805" s="2889" t="s">
        <v>1642</v>
      </c>
      <c r="C12805" s="2889" t="s">
        <v>1508</v>
      </c>
      <c r="D12805" s="2889" t="s">
        <v>1054</v>
      </c>
      <c r="E12805" s="2889" t="s">
        <v>1426</v>
      </c>
      <c r="F12805" s="2891"/>
      <c r="G12805" s="2890">
        <v>22.36800184520596</v>
      </c>
    </row>
    <row r="12806" spans="2:7" ht="15" hidden="1" outlineLevel="2">
      <c r="B12806" s="2889" t="s">
        <v>1642</v>
      </c>
      <c r="C12806" s="2889" t="s">
        <v>1509</v>
      </c>
      <c r="D12806" s="2889" t="s">
        <v>1054</v>
      </c>
      <c r="E12806" s="2889" t="s">
        <v>1426</v>
      </c>
      <c r="F12806" s="2891"/>
      <c r="G12806" s="2890">
        <v>2084.9066631256774</v>
      </c>
    </row>
    <row r="12807" spans="2:7" ht="15" hidden="1" outlineLevel="2">
      <c r="B12807" s="2889" t="s">
        <v>1642</v>
      </c>
      <c r="C12807" s="2889" t="s">
        <v>1510</v>
      </c>
      <c r="D12807" s="2889" t="s">
        <v>1054</v>
      </c>
      <c r="E12807" s="2889" t="s">
        <v>1426</v>
      </c>
      <c r="F12807" s="2891"/>
      <c r="G12807" s="2890">
        <v>2267.9394626048952</v>
      </c>
    </row>
    <row r="12808" spans="2:7" ht="15" hidden="1" outlineLevel="2">
      <c r="B12808" s="2889" t="s">
        <v>1642</v>
      </c>
      <c r="C12808" s="2889" t="s">
        <v>1511</v>
      </c>
      <c r="D12808" s="2889" t="s">
        <v>1054</v>
      </c>
      <c r="E12808" s="2889" t="s">
        <v>1426</v>
      </c>
      <c r="F12808" s="2891"/>
      <c r="G12808" s="2890">
        <v>124.9485137819272</v>
      </c>
    </row>
    <row r="12809" spans="2:7" ht="15" hidden="1" outlineLevel="2">
      <c r="B12809" s="2889" t="s">
        <v>1642</v>
      </c>
      <c r="C12809" s="2889" t="s">
        <v>1512</v>
      </c>
      <c r="D12809" s="2889" t="s">
        <v>1054</v>
      </c>
      <c r="E12809" s="2889" t="s">
        <v>1426</v>
      </c>
      <c r="F12809" s="2891"/>
      <c r="G12809" s="2890">
        <v>77.121963701916073</v>
      </c>
    </row>
    <row r="12810" spans="2:7" ht="15" hidden="1" outlineLevel="2">
      <c r="B12810" s="2889" t="s">
        <v>1642</v>
      </c>
      <c r="C12810" s="2889" t="s">
        <v>1513</v>
      </c>
      <c r="D12810" s="2889" t="s">
        <v>1054</v>
      </c>
      <c r="E12810" s="2889" t="s">
        <v>1426</v>
      </c>
      <c r="F12810" s="2891"/>
      <c r="G12810" s="2890">
        <v>230.2822464098368</v>
      </c>
    </row>
    <row r="12811" spans="2:7" ht="15" hidden="1" outlineLevel="2">
      <c r="B12811" s="2889" t="s">
        <v>1642</v>
      </c>
      <c r="C12811" s="2889" t="s">
        <v>1514</v>
      </c>
      <c r="D12811" s="2889" t="s">
        <v>1054</v>
      </c>
      <c r="E12811" s="2889" t="s">
        <v>1426</v>
      </c>
      <c r="F12811" s="2891"/>
      <c r="G12811" s="2890">
        <v>989.10738658671119</v>
      </c>
    </row>
    <row r="12812" spans="2:7" ht="15" hidden="1" outlineLevel="2">
      <c r="B12812" s="2889" t="s">
        <v>1642</v>
      </c>
      <c r="C12812" s="2889" t="s">
        <v>1515</v>
      </c>
      <c r="D12812" s="2889" t="s">
        <v>1054</v>
      </c>
      <c r="E12812" s="2889" t="s">
        <v>1426</v>
      </c>
      <c r="F12812" s="2891"/>
      <c r="G12812" s="2890">
        <v>850.51635841913765</v>
      </c>
    </row>
    <row r="12813" spans="2:7" ht="15" hidden="1" outlineLevel="2">
      <c r="B12813" s="2889" t="s">
        <v>1642</v>
      </c>
      <c r="C12813" s="2889" t="s">
        <v>1516</v>
      </c>
      <c r="D12813" s="2889" t="s">
        <v>1054</v>
      </c>
      <c r="E12813" s="2889" t="s">
        <v>1426</v>
      </c>
      <c r="F12813" s="2891"/>
      <c r="G12813" s="2890">
        <v>8449.328541456136</v>
      </c>
    </row>
    <row r="12814" spans="2:7" ht="15" hidden="1" outlineLevel="2">
      <c r="B12814" s="2889" t="s">
        <v>1642</v>
      </c>
      <c r="C12814" s="2889" t="s">
        <v>1517</v>
      </c>
      <c r="D12814" s="2889" t="s">
        <v>1054</v>
      </c>
      <c r="E12814" s="2889" t="s">
        <v>1426</v>
      </c>
      <c r="F12814" s="2891"/>
      <c r="G12814" s="2890">
        <v>70.086751939349625</v>
      </c>
    </row>
    <row r="12815" spans="2:7" ht="15" hidden="1" outlineLevel="2">
      <c r="B12815" s="2889" t="s">
        <v>1642</v>
      </c>
      <c r="C12815" s="2889" t="s">
        <v>1518</v>
      </c>
      <c r="D12815" s="2889" t="s">
        <v>1054</v>
      </c>
      <c r="E12815" s="2889" t="s">
        <v>1426</v>
      </c>
      <c r="F12815" s="2891"/>
      <c r="G12815" s="2890">
        <v>33.105184768443763</v>
      </c>
    </row>
    <row r="12816" spans="2:7" ht="15" hidden="1" outlineLevel="2">
      <c r="B12816" s="2889" t="s">
        <v>1642</v>
      </c>
      <c r="C12816" s="2889" t="s">
        <v>1519</v>
      </c>
      <c r="D12816" s="2889" t="s">
        <v>1054</v>
      </c>
      <c r="E12816" s="2889" t="s">
        <v>1426</v>
      </c>
      <c r="F12816" s="2891"/>
      <c r="G12816" s="2890">
        <v>1929.7533664110438</v>
      </c>
    </row>
    <row r="12817" spans="2:7" ht="15" hidden="1" outlineLevel="2">
      <c r="B12817" s="2889" t="s">
        <v>1642</v>
      </c>
      <c r="C12817" s="2889" t="s">
        <v>1520</v>
      </c>
      <c r="D12817" s="2889" t="s">
        <v>1054</v>
      </c>
      <c r="E12817" s="2889" t="s">
        <v>1426</v>
      </c>
      <c r="F12817" s="2891"/>
      <c r="G12817" s="2890">
        <v>2102.1407870954909</v>
      </c>
    </row>
    <row r="12818" spans="2:7" ht="15" hidden="1" outlineLevel="2">
      <c r="B12818" s="2889" t="s">
        <v>1642</v>
      </c>
      <c r="C12818" s="2889" t="s">
        <v>1521</v>
      </c>
      <c r="D12818" s="2889" t="s">
        <v>1054</v>
      </c>
      <c r="E12818" s="2889" t="s">
        <v>1426</v>
      </c>
      <c r="F12818" s="2891"/>
      <c r="G12818" s="2890">
        <v>7226.6551421236009</v>
      </c>
    </row>
    <row r="12819" spans="2:7" ht="15" hidden="1" outlineLevel="2">
      <c r="B12819" s="2889" t="s">
        <v>1642</v>
      </c>
      <c r="C12819" s="2889" t="s">
        <v>1522</v>
      </c>
      <c r="D12819" s="2889" t="s">
        <v>1054</v>
      </c>
      <c r="E12819" s="2889" t="s">
        <v>1426</v>
      </c>
      <c r="F12819" s="2891"/>
      <c r="G12819" s="2890">
        <v>340.22102233836466</v>
      </c>
    </row>
    <row r="12820" spans="2:7" ht="15" hidden="1" outlineLevel="2">
      <c r="B12820" s="2889" t="s">
        <v>1642</v>
      </c>
      <c r="C12820" s="2889" t="s">
        <v>1523</v>
      </c>
      <c r="D12820" s="2889" t="s">
        <v>1054</v>
      </c>
      <c r="E12820" s="2889" t="s">
        <v>1426</v>
      </c>
      <c r="F12820" s="2891"/>
      <c r="G12820" s="2890">
        <v>2704.5284430649772</v>
      </c>
    </row>
    <row r="12821" spans="2:7" ht="15" hidden="1" outlineLevel="2">
      <c r="B12821" s="2889" t="s">
        <v>1642</v>
      </c>
      <c r="C12821" s="2889" t="s">
        <v>1524</v>
      </c>
      <c r="D12821" s="2889" t="s">
        <v>1054</v>
      </c>
      <c r="E12821" s="2889" t="s">
        <v>1426</v>
      </c>
      <c r="F12821" s="2891"/>
      <c r="G12821" s="2890">
        <v>9196.7421570652241</v>
      </c>
    </row>
    <row r="12822" spans="2:7" ht="15" hidden="1" outlineLevel="2">
      <c r="B12822" s="2889" t="s">
        <v>1642</v>
      </c>
      <c r="C12822" s="2889" t="s">
        <v>1525</v>
      </c>
      <c r="D12822" s="2889" t="s">
        <v>1054</v>
      </c>
      <c r="E12822" s="2889" t="s">
        <v>1426</v>
      </c>
      <c r="F12822" s="2891"/>
      <c r="G12822" s="2890">
        <v>5577.2653446815802</v>
      </c>
    </row>
    <row r="12823" spans="2:7" ht="15" hidden="1" outlineLevel="2">
      <c r="B12823" s="2889" t="s">
        <v>1642</v>
      </c>
      <c r="C12823" s="2889" t="s">
        <v>1526</v>
      </c>
      <c r="D12823" s="2889" t="s">
        <v>1054</v>
      </c>
      <c r="E12823" s="2889" t="s">
        <v>1426</v>
      </c>
      <c r="F12823" s="2891"/>
      <c r="G12823" s="2890">
        <v>8416.8153383906483</v>
      </c>
    </row>
    <row r="12824" spans="2:7" ht="15" hidden="1" outlineLevel="2">
      <c r="B12824" s="2889" t="s">
        <v>1642</v>
      </c>
      <c r="C12824" s="2889" t="s">
        <v>1527</v>
      </c>
      <c r="D12824" s="2889" t="s">
        <v>1054</v>
      </c>
      <c r="E12824" s="2889" t="s">
        <v>1426</v>
      </c>
      <c r="F12824" s="2891"/>
      <c r="G12824" s="2890">
        <v>3824.2814641269615</v>
      </c>
    </row>
    <row r="12825" spans="2:7" ht="15" hidden="1" outlineLevel="2">
      <c r="B12825" s="2889" t="s">
        <v>1642</v>
      </c>
      <c r="C12825" s="2889" t="s">
        <v>1528</v>
      </c>
      <c r="D12825" s="2889" t="s">
        <v>1054</v>
      </c>
      <c r="E12825" s="2889" t="s">
        <v>1426</v>
      </c>
      <c r="F12825" s="2891"/>
      <c r="G12825" s="2890">
        <v>905.3288380151912</v>
      </c>
    </row>
    <row r="12826" spans="2:7" ht="15" hidden="1" outlineLevel="2">
      <c r="B12826" s="2889" t="s">
        <v>1642</v>
      </c>
      <c r="C12826" s="2889" t="s">
        <v>1529</v>
      </c>
      <c r="D12826" s="2889" t="s">
        <v>1054</v>
      </c>
      <c r="E12826" s="2889" t="s">
        <v>1426</v>
      </c>
      <c r="F12826" s="2891"/>
      <c r="G12826" s="2890">
        <v>11.782903342172743</v>
      </c>
    </row>
    <row r="12827" spans="2:7" ht="15" hidden="1" outlineLevel="2">
      <c r="B12827" s="2889" t="s">
        <v>1642</v>
      </c>
      <c r="C12827" s="2889" t="s">
        <v>1530</v>
      </c>
      <c r="D12827" s="2889" t="s">
        <v>1054</v>
      </c>
      <c r="E12827" s="2889" t="s">
        <v>1426</v>
      </c>
      <c r="F12827" s="2891"/>
      <c r="G12827" s="2890">
        <v>867.52008762478602</v>
      </c>
    </row>
    <row r="12828" spans="2:7" ht="15" hidden="1" outlineLevel="2">
      <c r="B12828" s="2889" t="s">
        <v>1642</v>
      </c>
      <c r="C12828" s="2889" t="s">
        <v>1531</v>
      </c>
      <c r="D12828" s="2889" t="s">
        <v>1106</v>
      </c>
      <c r="E12828" s="2889" t="s">
        <v>217</v>
      </c>
      <c r="F12828" s="2890">
        <v>7.008046113384823E-4</v>
      </c>
      <c r="G12828" s="2890">
        <v>0.31416926062522321</v>
      </c>
    </row>
    <row r="12829" spans="2:7" ht="15" hidden="1" outlineLevel="2">
      <c r="B12829" s="2889" t="s">
        <v>1642</v>
      </c>
      <c r="C12829" s="2889" t="s">
        <v>1532</v>
      </c>
      <c r="D12829" s="2889" t="s">
        <v>1106</v>
      </c>
      <c r="E12829" s="2889" t="s">
        <v>217</v>
      </c>
      <c r="F12829" s="2890">
        <v>5.5194558954797426E-5</v>
      </c>
      <c r="G12829" s="2890">
        <v>2.4743603882306793E-2</v>
      </c>
    </row>
    <row r="12830" spans="2:7" ht="15" hidden="1" outlineLevel="2">
      <c r="B12830" s="2889" t="s">
        <v>1642</v>
      </c>
      <c r="C12830" s="2889" t="s">
        <v>1533</v>
      </c>
      <c r="D12830" s="2889" t="s">
        <v>1106</v>
      </c>
      <c r="E12830" s="2889" t="s">
        <v>217</v>
      </c>
      <c r="F12830" s="2890">
        <v>3.5923986006507001E-2</v>
      </c>
      <c r="G12830" s="2890">
        <v>38.213830774558339</v>
      </c>
    </row>
    <row r="12831" spans="2:7" ht="15" hidden="1" outlineLevel="2">
      <c r="B12831" s="2889" t="s">
        <v>1642</v>
      </c>
      <c r="C12831" s="2889" t="s">
        <v>1534</v>
      </c>
      <c r="D12831" s="2889" t="s">
        <v>1106</v>
      </c>
      <c r="E12831" s="2889" t="s">
        <v>217</v>
      </c>
      <c r="F12831" s="2890">
        <v>3.2662736250075708E-2</v>
      </c>
      <c r="G12831" s="2890">
        <v>113.16149660668259</v>
      </c>
    </row>
    <row r="12832" spans="2:7" ht="15" hidden="1" outlineLevel="2">
      <c r="B12832" s="2889" t="s">
        <v>1642</v>
      </c>
      <c r="C12832" s="2889" t="s">
        <v>1535</v>
      </c>
      <c r="D12832" s="2889" t="s">
        <v>1106</v>
      </c>
      <c r="E12832" s="2889" t="s">
        <v>217</v>
      </c>
      <c r="F12832" s="2890">
        <v>1.2220975526967546E-2</v>
      </c>
      <c r="G12832" s="2890">
        <v>28.57918139457761</v>
      </c>
    </row>
    <row r="12833" spans="2:7" ht="15" hidden="1" outlineLevel="2">
      <c r="B12833" s="2889" t="s">
        <v>1642</v>
      </c>
      <c r="C12833" s="2889" t="s">
        <v>1536</v>
      </c>
      <c r="D12833" s="2889" t="s">
        <v>1106</v>
      </c>
      <c r="E12833" s="2889" t="s">
        <v>217</v>
      </c>
      <c r="F12833" s="2890">
        <v>4.1002507841335925E-2</v>
      </c>
      <c r="G12833" s="2890">
        <v>53.270331227497799</v>
      </c>
    </row>
    <row r="12834" spans="2:7" ht="15" hidden="1" outlineLevel="2">
      <c r="B12834" s="2889" t="s">
        <v>1642</v>
      </c>
      <c r="C12834" s="2889" t="s">
        <v>1537</v>
      </c>
      <c r="D12834" s="2889" t="s">
        <v>1106</v>
      </c>
      <c r="E12834" s="2889" t="s">
        <v>217</v>
      </c>
      <c r="F12834" s="2890">
        <v>2.2950223317475017E-3</v>
      </c>
      <c r="G12834" s="2890">
        <v>2.6173147264126357</v>
      </c>
    </row>
    <row r="12835" spans="2:7" ht="15" hidden="1" outlineLevel="2">
      <c r="B12835" s="2889" t="s">
        <v>1642</v>
      </c>
      <c r="C12835" s="2889" t="s">
        <v>1538</v>
      </c>
      <c r="D12835" s="2889" t="s">
        <v>1106</v>
      </c>
      <c r="E12835" s="2889" t="s">
        <v>217</v>
      </c>
      <c r="F12835" s="2890">
        <v>1.3197170529481458E-3</v>
      </c>
      <c r="G12835" s="2890">
        <v>1.7776819619017958</v>
      </c>
    </row>
    <row r="12836" spans="2:7" ht="15" hidden="1" outlineLevel="2">
      <c r="B12836" s="2889" t="s">
        <v>1642</v>
      </c>
      <c r="C12836" s="2889" t="s">
        <v>1539</v>
      </c>
      <c r="D12836" s="2889" t="s">
        <v>1106</v>
      </c>
      <c r="E12836" s="2889" t="s">
        <v>217</v>
      </c>
      <c r="F12836" s="2890">
        <v>9.0181415583149313E-4</v>
      </c>
      <c r="G12836" s="2890">
        <v>11.538929113863654</v>
      </c>
    </row>
    <row r="12837" spans="2:7" ht="15" hidden="1" outlineLevel="2">
      <c r="B12837" s="2889" t="s">
        <v>1642</v>
      </c>
      <c r="C12837" s="2889" t="s">
        <v>1540</v>
      </c>
      <c r="D12837" s="2889" t="s">
        <v>1106</v>
      </c>
      <c r="E12837" s="2889" t="s">
        <v>1420</v>
      </c>
      <c r="F12837" s="2890">
        <v>3.9892720446140041E-2</v>
      </c>
      <c r="G12837" s="2890">
        <v>96.806416048824445</v>
      </c>
    </row>
    <row r="12838" spans="2:7" ht="15" hidden="1" outlineLevel="2">
      <c r="B12838" s="2889" t="s">
        <v>1642</v>
      </c>
      <c r="C12838" s="2889" t="s">
        <v>1541</v>
      </c>
      <c r="D12838" s="2889" t="s">
        <v>1106</v>
      </c>
      <c r="E12838" s="2889" t="s">
        <v>1420</v>
      </c>
      <c r="F12838" s="2890">
        <v>1.1625678232194829</v>
      </c>
      <c r="G12838" s="2890">
        <v>8559.1757442013059</v>
      </c>
    </row>
    <row r="12839" spans="2:7" ht="15" hidden="1" outlineLevel="2">
      <c r="B12839" s="2889" t="s">
        <v>1642</v>
      </c>
      <c r="C12839" s="2889" t="s">
        <v>1542</v>
      </c>
      <c r="D12839" s="2889" t="s">
        <v>1106</v>
      </c>
      <c r="E12839" s="2889" t="s">
        <v>1420</v>
      </c>
      <c r="F12839" s="2890">
        <v>5.6546630784697263E-3</v>
      </c>
      <c r="G12839" s="2890">
        <v>64.707562138844494</v>
      </c>
    </row>
    <row r="12840" spans="2:7" ht="15" hidden="1" outlineLevel="2">
      <c r="B12840" s="2889" t="s">
        <v>1642</v>
      </c>
      <c r="C12840" s="2889" t="s">
        <v>1543</v>
      </c>
      <c r="D12840" s="2889" t="s">
        <v>1106</v>
      </c>
      <c r="E12840" s="2889" t="s">
        <v>1420</v>
      </c>
      <c r="F12840" s="2890">
        <v>2.0491119082669401E-3</v>
      </c>
      <c r="G12840" s="2890">
        <v>20.056360963778129</v>
      </c>
    </row>
    <row r="12841" spans="2:7" ht="15" hidden="1" outlineLevel="2">
      <c r="B12841" s="2889" t="s">
        <v>1642</v>
      </c>
      <c r="C12841" s="2889" t="s">
        <v>1544</v>
      </c>
      <c r="D12841" s="2889" t="s">
        <v>1106</v>
      </c>
      <c r="E12841" s="2889" t="s">
        <v>1420</v>
      </c>
      <c r="F12841" s="2890">
        <v>1.9805825125255023E-3</v>
      </c>
      <c r="G12841" s="2890">
        <v>5.1748873256766039</v>
      </c>
    </row>
    <row r="12842" spans="2:7" ht="15" hidden="1" outlineLevel="2">
      <c r="B12842" s="2889" t="s">
        <v>1642</v>
      </c>
      <c r="C12842" s="2889" t="s">
        <v>1545</v>
      </c>
      <c r="D12842" s="2889" t="s">
        <v>1106</v>
      </c>
      <c r="E12842" s="2889" t="s">
        <v>1420</v>
      </c>
      <c r="F12842" s="2890">
        <v>1.9806658834387939E-3</v>
      </c>
      <c r="G12842" s="2890">
        <v>39.361114778316342</v>
      </c>
    </row>
    <row r="12843" spans="2:7" ht="15" hidden="1" outlineLevel="2">
      <c r="B12843" s="2889" t="s">
        <v>1642</v>
      </c>
      <c r="C12843" s="2889" t="s">
        <v>1546</v>
      </c>
      <c r="D12843" s="2889" t="s">
        <v>1106</v>
      </c>
      <c r="E12843" s="2889" t="s">
        <v>1423</v>
      </c>
      <c r="F12843" s="2890">
        <v>6.0040862373129302</v>
      </c>
      <c r="G12843" s="2890">
        <v>505.27881869753662</v>
      </c>
    </row>
    <row r="12844" spans="2:7" ht="15" hidden="1" outlineLevel="2">
      <c r="B12844" s="2889" t="s">
        <v>1642</v>
      </c>
      <c r="C12844" s="2889" t="s">
        <v>1547</v>
      </c>
      <c r="D12844" s="2889" t="s">
        <v>1106</v>
      </c>
      <c r="E12844" s="2889" t="s">
        <v>1423</v>
      </c>
      <c r="F12844" s="2890">
        <v>6.5579953774822933E-3</v>
      </c>
      <c r="G12844" s="2890">
        <v>0.57426694973909664</v>
      </c>
    </row>
    <row r="12845" spans="2:7" ht="15" hidden="1" outlineLevel="2">
      <c r="B12845" s="2889" t="s">
        <v>1642</v>
      </c>
      <c r="C12845" s="2889" t="s">
        <v>1548</v>
      </c>
      <c r="D12845" s="2889" t="s">
        <v>1106</v>
      </c>
      <c r="E12845" s="2889" t="s">
        <v>1423</v>
      </c>
      <c r="F12845" s="2890">
        <v>3.0599553165375549E-3</v>
      </c>
      <c r="G12845" s="2890">
        <v>0.31361378943299734</v>
      </c>
    </row>
    <row r="12846" spans="2:7" ht="15" hidden="1" outlineLevel="2">
      <c r="B12846" s="2889" t="s">
        <v>1642</v>
      </c>
      <c r="C12846" s="2889" t="s">
        <v>1549</v>
      </c>
      <c r="D12846" s="2889" t="s">
        <v>1106</v>
      </c>
      <c r="E12846" s="2889" t="s">
        <v>1423</v>
      </c>
      <c r="F12846" s="2890">
        <v>1.7041358695305989E-2</v>
      </c>
      <c r="G12846" s="2890">
        <v>1.6781308158979993</v>
      </c>
    </row>
    <row r="12847" spans="2:7" ht="15" hidden="1" outlineLevel="2">
      <c r="B12847" s="2889" t="s">
        <v>1642</v>
      </c>
      <c r="C12847" s="2889" t="s">
        <v>1550</v>
      </c>
      <c r="D12847" s="2889" t="s">
        <v>1106</v>
      </c>
      <c r="E12847" s="2889" t="s">
        <v>1423</v>
      </c>
      <c r="F12847" s="2890">
        <v>1.0420498150320831E-2</v>
      </c>
      <c r="G12847" s="2890">
        <v>2.3433433444127614</v>
      </c>
    </row>
    <row r="12848" spans="2:7" ht="15" hidden="1" outlineLevel="2">
      <c r="B12848" s="2889" t="s">
        <v>1642</v>
      </c>
      <c r="C12848" s="2889" t="s">
        <v>1551</v>
      </c>
      <c r="D12848" s="2889" t="s">
        <v>1106</v>
      </c>
      <c r="E12848" s="2889" t="s">
        <v>1426</v>
      </c>
      <c r="F12848" s="2891"/>
      <c r="G12848" s="2890">
        <v>157.50015758457889</v>
      </c>
    </row>
    <row r="12849" spans="2:7" ht="15" hidden="1" outlineLevel="2">
      <c r="B12849" s="2889" t="s">
        <v>1642</v>
      </c>
      <c r="C12849" s="2889" t="s">
        <v>1552</v>
      </c>
      <c r="D12849" s="2889" t="s">
        <v>1106</v>
      </c>
      <c r="E12849" s="2889" t="s">
        <v>1426</v>
      </c>
      <c r="F12849" s="2891"/>
      <c r="G12849" s="2890">
        <v>2285.4186549391093</v>
      </c>
    </row>
    <row r="12850" spans="2:7" ht="15" hidden="1" outlineLevel="2">
      <c r="B12850" s="2889" t="s">
        <v>1642</v>
      </c>
      <c r="C12850" s="2889" t="s">
        <v>1553</v>
      </c>
      <c r="D12850" s="2889" t="s">
        <v>1106</v>
      </c>
      <c r="E12850" s="2889" t="s">
        <v>1426</v>
      </c>
      <c r="F12850" s="2891"/>
      <c r="G12850" s="2890">
        <v>997.50995852411472</v>
      </c>
    </row>
    <row r="12851" spans="2:7" ht="15" hidden="1" outlineLevel="2">
      <c r="B12851" s="2889" t="s">
        <v>1642</v>
      </c>
      <c r="C12851" s="2889" t="s">
        <v>1554</v>
      </c>
      <c r="D12851" s="2889" t="s">
        <v>1106</v>
      </c>
      <c r="E12851" s="2889" t="s">
        <v>1426</v>
      </c>
      <c r="F12851" s="2891"/>
      <c r="G12851" s="2890">
        <v>1012.4617727242946</v>
      </c>
    </row>
    <row r="12852" spans="2:7" ht="15" hidden="1" outlineLevel="2">
      <c r="B12852" s="2889" t="s">
        <v>1642</v>
      </c>
      <c r="C12852" s="2889" t="s">
        <v>1555</v>
      </c>
      <c r="D12852" s="2889" t="s">
        <v>1106</v>
      </c>
      <c r="E12852" s="2889" t="s">
        <v>1426</v>
      </c>
      <c r="F12852" s="2891"/>
      <c r="G12852" s="2890">
        <v>38.922630976660585</v>
      </c>
    </row>
    <row r="12853" spans="2:7" ht="15" hidden="1" outlineLevel="2">
      <c r="B12853" s="2889" t="s">
        <v>1642</v>
      </c>
      <c r="C12853" s="2889" t="s">
        <v>1556</v>
      </c>
      <c r="D12853" s="2889" t="s">
        <v>1106</v>
      </c>
      <c r="E12853" s="2889" t="s">
        <v>1426</v>
      </c>
      <c r="F12853" s="2891"/>
      <c r="G12853" s="2890">
        <v>4881.2636858415399</v>
      </c>
    </row>
    <row r="12854" spans="2:7" ht="15" hidden="1" outlineLevel="2">
      <c r="B12854" s="2889" t="s">
        <v>1642</v>
      </c>
      <c r="C12854" s="2889" t="s">
        <v>1557</v>
      </c>
      <c r="D12854" s="2889" t="s">
        <v>1106</v>
      </c>
      <c r="E12854" s="2889" t="s">
        <v>1426</v>
      </c>
      <c r="F12854" s="2891"/>
      <c r="G12854" s="2890">
        <v>1438.8467342943018</v>
      </c>
    </row>
    <row r="12855" spans="2:7" ht="15" hidden="1" outlineLevel="2">
      <c r="B12855" s="2889" t="s">
        <v>1642</v>
      </c>
      <c r="C12855" s="2889" t="s">
        <v>1558</v>
      </c>
      <c r="D12855" s="2889" t="s">
        <v>1559</v>
      </c>
      <c r="E12855" s="2889" t="s">
        <v>217</v>
      </c>
      <c r="F12855" s="2890">
        <v>1.7781257262262956E-2</v>
      </c>
      <c r="G12855" s="2890">
        <v>9.7379299973697879</v>
      </c>
    </row>
    <row r="12856" spans="2:7" ht="15" hidden="1" outlineLevel="2">
      <c r="B12856" s="2889" t="s">
        <v>1642</v>
      </c>
      <c r="C12856" s="2889" t="s">
        <v>1560</v>
      </c>
      <c r="D12856" s="2889" t="s">
        <v>1559</v>
      </c>
      <c r="E12856" s="2889" t="s">
        <v>217</v>
      </c>
      <c r="F12856" s="2890">
        <v>0.23636317353932682</v>
      </c>
      <c r="G12856" s="2890">
        <v>127.55849315348381</v>
      </c>
    </row>
    <row r="12857" spans="2:7" ht="15" hidden="1" outlineLevel="2">
      <c r="B12857" s="2889" t="s">
        <v>1642</v>
      </c>
      <c r="C12857" s="2889" t="s">
        <v>1561</v>
      </c>
      <c r="D12857" s="2889" t="s">
        <v>1559</v>
      </c>
      <c r="E12857" s="2889" t="s">
        <v>217</v>
      </c>
      <c r="F12857" s="2890">
        <v>0.25512273141818348</v>
      </c>
      <c r="G12857" s="2890">
        <v>133.02818602394538</v>
      </c>
    </row>
    <row r="12858" spans="2:7" ht="15" hidden="1" outlineLevel="2">
      <c r="B12858" s="2889" t="s">
        <v>1642</v>
      </c>
      <c r="C12858" s="2889" t="s">
        <v>1562</v>
      </c>
      <c r="D12858" s="2889" t="s">
        <v>1559</v>
      </c>
      <c r="E12858" s="2889" t="s">
        <v>217</v>
      </c>
      <c r="F12858" s="2890">
        <v>2.5889672557559034</v>
      </c>
      <c r="G12858" s="2890">
        <v>1419.589265394183</v>
      </c>
    </row>
    <row r="12859" spans="2:7" ht="15" hidden="1" outlineLevel="2">
      <c r="B12859" s="2889" t="s">
        <v>1642</v>
      </c>
      <c r="C12859" s="2889" t="s">
        <v>1563</v>
      </c>
      <c r="D12859" s="2889" t="s">
        <v>1559</v>
      </c>
      <c r="E12859" s="2889" t="s">
        <v>217</v>
      </c>
      <c r="F12859" s="2890">
        <v>0.3145789983116401</v>
      </c>
      <c r="G12859" s="2890">
        <v>185.38119166082183</v>
      </c>
    </row>
    <row r="12860" spans="2:7" ht="15" hidden="1" outlineLevel="2">
      <c r="B12860" s="2889" t="s">
        <v>1642</v>
      </c>
      <c r="C12860" s="2889" t="s">
        <v>1564</v>
      </c>
      <c r="D12860" s="2889" t="s">
        <v>1559</v>
      </c>
      <c r="E12860" s="2889" t="s">
        <v>217</v>
      </c>
      <c r="F12860" s="2890">
        <v>2.4448097687127293</v>
      </c>
      <c r="G12860" s="2890">
        <v>1237.8578582483194</v>
      </c>
    </row>
    <row r="12861" spans="2:7" ht="15" hidden="1" outlineLevel="2">
      <c r="B12861" s="2889" t="s">
        <v>1642</v>
      </c>
      <c r="C12861" s="2889" t="s">
        <v>1565</v>
      </c>
      <c r="D12861" s="2889" t="s">
        <v>1559</v>
      </c>
      <c r="E12861" s="2889" t="s">
        <v>217</v>
      </c>
      <c r="F12861" s="2890">
        <v>0.22173499323588475</v>
      </c>
      <c r="G12861" s="2890">
        <v>119.31100899286926</v>
      </c>
    </row>
    <row r="12862" spans="2:7" ht="15" hidden="1" outlineLevel="2">
      <c r="B12862" s="2889" t="s">
        <v>1642</v>
      </c>
      <c r="C12862" s="2889" t="s">
        <v>1566</v>
      </c>
      <c r="D12862" s="2889" t="s">
        <v>1559</v>
      </c>
      <c r="E12862" s="2889" t="s">
        <v>217</v>
      </c>
      <c r="F12862" s="2890">
        <v>2.1578148016677074</v>
      </c>
      <c r="G12862" s="2890">
        <v>1155.8635971056042</v>
      </c>
    </row>
    <row r="12863" spans="2:7" ht="15" hidden="1" outlineLevel="2">
      <c r="B12863" s="2889" t="s">
        <v>1642</v>
      </c>
      <c r="C12863" s="2889" t="s">
        <v>1567</v>
      </c>
      <c r="D12863" s="2889" t="s">
        <v>1559</v>
      </c>
      <c r="E12863" s="2889" t="s">
        <v>217</v>
      </c>
      <c r="F12863" s="2890">
        <v>0.38578245689182517</v>
      </c>
      <c r="G12863" s="2890">
        <v>56.78519465890777</v>
      </c>
    </row>
    <row r="12864" spans="2:7" ht="15" hidden="1" outlineLevel="2">
      <c r="B12864" s="2889" t="s">
        <v>1642</v>
      </c>
      <c r="C12864" s="2889" t="s">
        <v>1568</v>
      </c>
      <c r="D12864" s="2889" t="s">
        <v>1559</v>
      </c>
      <c r="E12864" s="2889" t="s">
        <v>217</v>
      </c>
      <c r="F12864" s="2890">
        <v>2.5092686504481168</v>
      </c>
      <c r="G12864" s="2890">
        <v>369.35423575006689</v>
      </c>
    </row>
    <row r="12865" spans="2:7" ht="15" hidden="1" outlineLevel="2">
      <c r="B12865" s="2889" t="s">
        <v>1642</v>
      </c>
      <c r="C12865" s="2889" t="s">
        <v>1569</v>
      </c>
      <c r="D12865" s="2889" t="s">
        <v>1559</v>
      </c>
      <c r="E12865" s="2889" t="s">
        <v>217</v>
      </c>
      <c r="F12865" s="2890">
        <v>1.0571186783588917E-3</v>
      </c>
      <c r="G12865" s="2890">
        <v>0.52832816136905736</v>
      </c>
    </row>
    <row r="12866" spans="2:7" ht="15" hidden="1" outlineLevel="2">
      <c r="B12866" s="2889" t="s">
        <v>1642</v>
      </c>
      <c r="C12866" s="2889" t="s">
        <v>1570</v>
      </c>
      <c r="D12866" s="2889" t="s">
        <v>1559</v>
      </c>
      <c r="E12866" s="2889" t="s">
        <v>217</v>
      </c>
      <c r="F12866" s="2890">
        <v>2.68455564570045</v>
      </c>
      <c r="G12866" s="2890">
        <v>1661.9235739302026</v>
      </c>
    </row>
    <row r="12867" spans="2:7" ht="15" hidden="1" outlineLevel="2">
      <c r="B12867" s="2889" t="s">
        <v>1642</v>
      </c>
      <c r="C12867" s="2889" t="s">
        <v>1571</v>
      </c>
      <c r="D12867" s="2889" t="s">
        <v>1559</v>
      </c>
      <c r="E12867" s="2889" t="s">
        <v>217</v>
      </c>
      <c r="F12867" s="2890">
        <v>3.0341234073538783</v>
      </c>
      <c r="G12867" s="2890">
        <v>3608.3370312330862</v>
      </c>
    </row>
    <row r="12868" spans="2:7" ht="15" hidden="1" outlineLevel="2">
      <c r="B12868" s="2889" t="s">
        <v>1642</v>
      </c>
      <c r="C12868" s="2889" t="s">
        <v>1572</v>
      </c>
      <c r="D12868" s="2889" t="s">
        <v>1559</v>
      </c>
      <c r="E12868" s="2889" t="s">
        <v>217</v>
      </c>
      <c r="F12868" s="2890">
        <v>0.22693972441782626</v>
      </c>
      <c r="G12868" s="2890">
        <v>139.35462353955057</v>
      </c>
    </row>
    <row r="12869" spans="2:7" ht="15" hidden="1" outlineLevel="2">
      <c r="B12869" s="2889" t="s">
        <v>1642</v>
      </c>
      <c r="C12869" s="2889" t="s">
        <v>1573</v>
      </c>
      <c r="D12869" s="2889" t="s">
        <v>1559</v>
      </c>
      <c r="E12869" s="2889" t="s">
        <v>217</v>
      </c>
      <c r="F12869" s="2890">
        <v>2.4593553373194403</v>
      </c>
      <c r="G12869" s="2890">
        <v>1836.6770666359594</v>
      </c>
    </row>
    <row r="12870" spans="2:7" ht="15" hidden="1" outlineLevel="2">
      <c r="B12870" s="2889" t="s">
        <v>1642</v>
      </c>
      <c r="C12870" s="2889" t="s">
        <v>1574</v>
      </c>
      <c r="D12870" s="2889" t="s">
        <v>1559</v>
      </c>
      <c r="E12870" s="2889" t="s">
        <v>217</v>
      </c>
      <c r="F12870" s="2890">
        <v>1.230043303911062E-2</v>
      </c>
      <c r="G12870" s="2890">
        <v>9.2519110909485676</v>
      </c>
    </row>
    <row r="12871" spans="2:7" ht="15" hidden="1" outlineLevel="2">
      <c r="B12871" s="2889" t="s">
        <v>1642</v>
      </c>
      <c r="C12871" s="2889" t="s">
        <v>1575</v>
      </c>
      <c r="D12871" s="2889" t="s">
        <v>1559</v>
      </c>
      <c r="E12871" s="2889" t="s">
        <v>217</v>
      </c>
      <c r="F12871" s="2890">
        <v>6.7425078372294278E-2</v>
      </c>
      <c r="G12871" s="2890">
        <v>83.586660635322644</v>
      </c>
    </row>
    <row r="12872" spans="2:7" ht="15" hidden="1" outlineLevel="2">
      <c r="B12872" s="2889" t="s">
        <v>1642</v>
      </c>
      <c r="C12872" s="2889" t="s">
        <v>1576</v>
      </c>
      <c r="D12872" s="2889" t="s">
        <v>1559</v>
      </c>
      <c r="E12872" s="2889" t="s">
        <v>217</v>
      </c>
      <c r="F12872" s="2890">
        <v>2.3410914392065461E-2</v>
      </c>
      <c r="G12872" s="2890">
        <v>17.650988512365451</v>
      </c>
    </row>
    <row r="12873" spans="2:7" ht="15" hidden="1" outlineLevel="2">
      <c r="B12873" s="2889" t="s">
        <v>1642</v>
      </c>
      <c r="C12873" s="2889" t="s">
        <v>1577</v>
      </c>
      <c r="D12873" s="2889" t="s">
        <v>1559</v>
      </c>
      <c r="E12873" s="2889" t="s">
        <v>217</v>
      </c>
      <c r="F12873" s="2890">
        <v>2.2134809258710995</v>
      </c>
      <c r="G12873" s="2890">
        <v>3448.3789072830286</v>
      </c>
    </row>
    <row r="12874" spans="2:7" ht="15" hidden="1" outlineLevel="2">
      <c r="B12874" s="2889" t="s">
        <v>1642</v>
      </c>
      <c r="C12874" s="2889" t="s">
        <v>1578</v>
      </c>
      <c r="D12874" s="2889" t="s">
        <v>1559</v>
      </c>
      <c r="E12874" s="2889" t="s">
        <v>217</v>
      </c>
      <c r="F12874" s="2890">
        <v>0.33654243101702325</v>
      </c>
      <c r="G12874" s="2890">
        <v>183.46401155362759</v>
      </c>
    </row>
    <row r="12875" spans="2:7" ht="15" hidden="1" outlineLevel="2">
      <c r="B12875" s="2889" t="s">
        <v>1642</v>
      </c>
      <c r="C12875" s="2889" t="s">
        <v>1579</v>
      </c>
      <c r="D12875" s="2889" t="s">
        <v>1559</v>
      </c>
      <c r="E12875" s="2889" t="s">
        <v>217</v>
      </c>
      <c r="F12875" s="2890">
        <v>2.1893172602242026</v>
      </c>
      <c r="G12875" s="2890">
        <v>1193.3272516836</v>
      </c>
    </row>
    <row r="12876" spans="2:7" ht="15" hidden="1" outlineLevel="2">
      <c r="B12876" s="2889" t="s">
        <v>1642</v>
      </c>
      <c r="C12876" s="2889" t="s">
        <v>1580</v>
      </c>
      <c r="D12876" s="2889" t="s">
        <v>1559</v>
      </c>
      <c r="E12876" s="2889" t="s">
        <v>217</v>
      </c>
      <c r="F12876" s="2890">
        <v>0.26406404199581851</v>
      </c>
      <c r="G12876" s="2890">
        <v>333.45892716844122</v>
      </c>
    </row>
    <row r="12877" spans="2:7" ht="15" hidden="1" outlineLevel="2">
      <c r="B12877" s="2889" t="s">
        <v>1642</v>
      </c>
      <c r="C12877" s="2889" t="s">
        <v>1581</v>
      </c>
      <c r="D12877" s="2889" t="s">
        <v>1559</v>
      </c>
      <c r="E12877" s="2889" t="s">
        <v>217</v>
      </c>
      <c r="F12877" s="2890">
        <v>0.28271563879219197</v>
      </c>
      <c r="G12877" s="2890">
        <v>398.40132594071628</v>
      </c>
    </row>
    <row r="12878" spans="2:7" ht="15" hidden="1" outlineLevel="2">
      <c r="B12878" s="2889" t="s">
        <v>1642</v>
      </c>
      <c r="C12878" s="2889" t="s">
        <v>1582</v>
      </c>
      <c r="D12878" s="2889" t="s">
        <v>1559</v>
      </c>
      <c r="E12878" s="2889" t="s">
        <v>217</v>
      </c>
      <c r="F12878" s="2890">
        <v>0.39847768386321464</v>
      </c>
      <c r="G12878" s="2890">
        <v>453.46279325130172</v>
      </c>
    </row>
    <row r="12879" spans="2:7" ht="15" hidden="1" outlineLevel="2">
      <c r="B12879" s="2889" t="s">
        <v>1642</v>
      </c>
      <c r="C12879" s="2889" t="s">
        <v>1583</v>
      </c>
      <c r="D12879" s="2889" t="s">
        <v>1559</v>
      </c>
      <c r="E12879" s="2889" t="s">
        <v>217</v>
      </c>
      <c r="F12879" s="2890">
        <v>0.30709334450282311</v>
      </c>
      <c r="G12879" s="2890">
        <v>211.16191218311207</v>
      </c>
    </row>
    <row r="12880" spans="2:7" ht="15" hidden="1" outlineLevel="2">
      <c r="B12880" s="2889" t="s">
        <v>1642</v>
      </c>
      <c r="C12880" s="2889" t="s">
        <v>1584</v>
      </c>
      <c r="D12880" s="2889" t="s">
        <v>1559</v>
      </c>
      <c r="E12880" s="2889" t="s">
        <v>217</v>
      </c>
      <c r="F12880" s="2890">
        <v>3.5310578554213126</v>
      </c>
      <c r="G12880" s="2890">
        <v>4469.7861974756388</v>
      </c>
    </row>
    <row r="12881" spans="2:7" ht="15" hidden="1" outlineLevel="2">
      <c r="B12881" s="2889" t="s">
        <v>1642</v>
      </c>
      <c r="C12881" s="2889" t="s">
        <v>1585</v>
      </c>
      <c r="D12881" s="2889" t="s">
        <v>1559</v>
      </c>
      <c r="E12881" s="2889" t="s">
        <v>217</v>
      </c>
      <c r="F12881" s="2890">
        <v>3.8414314512493908</v>
      </c>
      <c r="G12881" s="2890">
        <v>5414.442191126418</v>
      </c>
    </row>
    <row r="12882" spans="2:7" ht="15" hidden="1" outlineLevel="2">
      <c r="B12882" s="2889" t="s">
        <v>1642</v>
      </c>
      <c r="C12882" s="2889" t="s">
        <v>1586</v>
      </c>
      <c r="D12882" s="2889" t="s">
        <v>1559</v>
      </c>
      <c r="E12882" s="2889" t="s">
        <v>217</v>
      </c>
      <c r="F12882" s="2890">
        <v>0.43246570465736656</v>
      </c>
      <c r="G12882" s="2890">
        <v>906.49145017311707</v>
      </c>
    </row>
    <row r="12883" spans="2:7" ht="15" hidden="1" outlineLevel="2">
      <c r="B12883" s="2889" t="s">
        <v>1642</v>
      </c>
      <c r="C12883" s="2889" t="s">
        <v>1587</v>
      </c>
      <c r="D12883" s="2889" t="s">
        <v>1559</v>
      </c>
      <c r="E12883" s="2889" t="s">
        <v>217</v>
      </c>
      <c r="F12883" s="2890">
        <v>12.030372964353038</v>
      </c>
      <c r="G12883" s="2890">
        <v>17467.351723492488</v>
      </c>
    </row>
    <row r="12884" spans="2:7" ht="15" hidden="1" outlineLevel="2">
      <c r="B12884" s="2889" t="s">
        <v>1642</v>
      </c>
      <c r="C12884" s="2889" t="s">
        <v>1588</v>
      </c>
      <c r="D12884" s="2889" t="s">
        <v>1559</v>
      </c>
      <c r="E12884" s="2889" t="s">
        <v>217</v>
      </c>
      <c r="F12884" s="2890">
        <v>0.20307506337871153</v>
      </c>
      <c r="G12884" s="2890">
        <v>158.32549718093739</v>
      </c>
    </row>
    <row r="12885" spans="2:7" ht="15" hidden="1" outlineLevel="2">
      <c r="B12885" s="2889" t="s">
        <v>1642</v>
      </c>
      <c r="C12885" s="2889" t="s">
        <v>1589</v>
      </c>
      <c r="D12885" s="2889" t="s">
        <v>1559</v>
      </c>
      <c r="E12885" s="2889" t="s">
        <v>217</v>
      </c>
      <c r="F12885" s="2890">
        <v>0.68509993718676898</v>
      </c>
      <c r="G12885" s="2890">
        <v>535.19271554667137</v>
      </c>
    </row>
    <row r="12886" spans="2:7" ht="15" hidden="1" outlineLevel="2">
      <c r="B12886" s="2889" t="s">
        <v>1642</v>
      </c>
      <c r="C12886" s="2889" t="s">
        <v>1590</v>
      </c>
      <c r="D12886" s="2889" t="s">
        <v>1559</v>
      </c>
      <c r="E12886" s="2889" t="s">
        <v>1420</v>
      </c>
      <c r="F12886" s="2890">
        <v>3.371058099467561E-2</v>
      </c>
      <c r="G12886" s="2890">
        <v>300.71238130741926</v>
      </c>
    </row>
    <row r="12887" spans="2:7" ht="15" hidden="1" outlineLevel="2">
      <c r="B12887" s="2889" t="s">
        <v>1642</v>
      </c>
      <c r="C12887" s="2889" t="s">
        <v>1591</v>
      </c>
      <c r="D12887" s="2889" t="s">
        <v>1559</v>
      </c>
      <c r="E12887" s="2889" t="s">
        <v>1426</v>
      </c>
      <c r="F12887" s="2891"/>
      <c r="G12887" s="2890">
        <v>0.46744820860197744</v>
      </c>
    </row>
    <row r="12888" spans="2:7" ht="15" hidden="1" outlineLevel="2">
      <c r="B12888" s="2889" t="s">
        <v>1642</v>
      </c>
      <c r="C12888" s="2889" t="s">
        <v>1592</v>
      </c>
      <c r="D12888" s="2889" t="s">
        <v>1559</v>
      </c>
      <c r="E12888" s="2889" t="s">
        <v>1426</v>
      </c>
      <c r="F12888" s="2891"/>
      <c r="G12888" s="2890">
        <v>124.92191856571966</v>
      </c>
    </row>
    <row r="12889" spans="2:7" ht="15" hidden="1" outlineLevel="2">
      <c r="B12889" s="2889" t="s">
        <v>1642</v>
      </c>
      <c r="C12889" s="2889" t="s">
        <v>1593</v>
      </c>
      <c r="D12889" s="2889" t="s">
        <v>1559</v>
      </c>
      <c r="E12889" s="2889" t="s">
        <v>1426</v>
      </c>
      <c r="F12889" s="2891"/>
      <c r="G12889" s="2890">
        <v>3268.777193384949</v>
      </c>
    </row>
    <row r="12890" spans="2:7" ht="15" hidden="1" outlineLevel="2">
      <c r="B12890" s="2889" t="s">
        <v>1642</v>
      </c>
      <c r="C12890" s="2889" t="s">
        <v>1594</v>
      </c>
      <c r="D12890" s="2889" t="s">
        <v>1559</v>
      </c>
      <c r="E12890" s="2889" t="s">
        <v>1426</v>
      </c>
      <c r="F12890" s="2891"/>
      <c r="G12890" s="2890">
        <v>674.5651197116722</v>
      </c>
    </row>
    <row r="12891" spans="2:7" ht="15" hidden="1" outlineLevel="2">
      <c r="B12891" s="2889" t="s">
        <v>1642</v>
      </c>
      <c r="C12891" s="2889" t="s">
        <v>1595</v>
      </c>
      <c r="D12891" s="2889" t="s">
        <v>1559</v>
      </c>
      <c r="E12891" s="2889" t="s">
        <v>1426</v>
      </c>
      <c r="F12891" s="2891"/>
      <c r="G12891" s="2890">
        <v>4450.3529954877522</v>
      </c>
    </row>
    <row r="12892" spans="2:7" ht="15" hidden="1" outlineLevel="2">
      <c r="B12892" s="2889" t="s">
        <v>1642</v>
      </c>
      <c r="C12892" s="2889" t="s">
        <v>1596</v>
      </c>
      <c r="D12892" s="2889" t="s">
        <v>1559</v>
      </c>
      <c r="E12892" s="2889" t="s">
        <v>1426</v>
      </c>
      <c r="F12892" s="2891"/>
      <c r="G12892" s="2890">
        <v>524.73516862056374</v>
      </c>
    </row>
    <row r="12893" spans="2:7" ht="15" hidden="1" outlineLevel="2">
      <c r="B12893" s="2889" t="s">
        <v>1642</v>
      </c>
      <c r="C12893" s="2889" t="s">
        <v>1597</v>
      </c>
      <c r="D12893" s="2889" t="s">
        <v>1559</v>
      </c>
      <c r="E12893" s="2889" t="s">
        <v>1426</v>
      </c>
      <c r="F12893" s="2891"/>
      <c r="G12893" s="2890">
        <v>12.499518230443339</v>
      </c>
    </row>
    <row r="12894" spans="2:7" ht="15" hidden="1" outlineLevel="2">
      <c r="B12894" s="2889" t="s">
        <v>1642</v>
      </c>
      <c r="C12894" s="2889" t="s">
        <v>1598</v>
      </c>
      <c r="D12894" s="2889" t="s">
        <v>1599</v>
      </c>
      <c r="E12894" s="2889" t="s">
        <v>217</v>
      </c>
      <c r="F12894" s="2890">
        <v>9.718198525555383E-3</v>
      </c>
      <c r="G12894" s="2890">
        <v>5.6200305704730882</v>
      </c>
    </row>
    <row r="12895" spans="2:7" ht="15" hidden="1" outlineLevel="2">
      <c r="B12895" s="2889" t="s">
        <v>1642</v>
      </c>
      <c r="C12895" s="2889" t="s">
        <v>1600</v>
      </c>
      <c r="D12895" s="2889" t="s">
        <v>1599</v>
      </c>
      <c r="E12895" s="2889" t="s">
        <v>217</v>
      </c>
      <c r="F12895" s="2890">
        <v>1.1429937194822184E-2</v>
      </c>
      <c r="G12895" s="2890">
        <v>12.654360139635537</v>
      </c>
    </row>
    <row r="12896" spans="2:7" ht="15" hidden="1" outlineLevel="2">
      <c r="B12896" s="2889" t="s">
        <v>1642</v>
      </c>
      <c r="C12896" s="2889" t="s">
        <v>1601</v>
      </c>
      <c r="D12896" s="2889" t="s">
        <v>1599</v>
      </c>
      <c r="E12896" s="2889" t="s">
        <v>217</v>
      </c>
      <c r="F12896" s="2890">
        <v>1.1724719176993185E-4</v>
      </c>
      <c r="G12896" s="2890">
        <v>0.14865998504741065</v>
      </c>
    </row>
    <row r="12897" spans="2:7" ht="15" hidden="1" outlineLevel="2">
      <c r="B12897" s="2889" t="s">
        <v>1642</v>
      </c>
      <c r="C12897" s="2889" t="s">
        <v>1602</v>
      </c>
      <c r="D12897" s="2889" t="s">
        <v>1599</v>
      </c>
      <c r="E12897" s="2889" t="s">
        <v>1426</v>
      </c>
      <c r="F12897" s="2891"/>
      <c r="G12897" s="2890">
        <v>168.40297060030616</v>
      </c>
    </row>
    <row r="12898" spans="2:7" ht="15" hidden="1" outlineLevel="2">
      <c r="B12898" s="2889" t="s">
        <v>1642</v>
      </c>
      <c r="C12898" s="2889" t="s">
        <v>1603</v>
      </c>
      <c r="D12898" s="2889" t="s">
        <v>1604</v>
      </c>
      <c r="E12898" s="2889" t="s">
        <v>217</v>
      </c>
      <c r="F12898" s="2890">
        <v>6.0675241775003143E-3</v>
      </c>
      <c r="G12898" s="2890">
        <v>7.3048477072746651</v>
      </c>
    </row>
    <row r="12899" spans="2:7" ht="15" hidden="1" outlineLevel="2">
      <c r="B12899" s="2889" t="s">
        <v>1642</v>
      </c>
      <c r="C12899" s="2889" t="s">
        <v>1605</v>
      </c>
      <c r="D12899" s="2889" t="s">
        <v>1604</v>
      </c>
      <c r="E12899" s="2889" t="s">
        <v>1423</v>
      </c>
      <c r="F12899" s="2890">
        <v>2.1704919503229895E-2</v>
      </c>
      <c r="G12899" s="2890">
        <v>4.963250424254591</v>
      </c>
    </row>
    <row r="12900" spans="2:7" ht="15" hidden="1" outlineLevel="2">
      <c r="B12900" s="2889" t="s">
        <v>1642</v>
      </c>
      <c r="C12900" s="2889" t="s">
        <v>1606</v>
      </c>
      <c r="D12900" s="2889" t="s">
        <v>1604</v>
      </c>
      <c r="E12900" s="2889" t="s">
        <v>1426</v>
      </c>
      <c r="F12900" s="2891"/>
      <c r="G12900" s="2890">
        <v>26.315340949307451</v>
      </c>
    </row>
    <row r="12901" spans="2:7" ht="15" hidden="1" outlineLevel="2">
      <c r="B12901" s="2889" t="s">
        <v>1642</v>
      </c>
      <c r="C12901" s="2889" t="s">
        <v>1607</v>
      </c>
      <c r="D12901" s="2889" t="s">
        <v>1608</v>
      </c>
      <c r="E12901" s="2889" t="s">
        <v>217</v>
      </c>
      <c r="F12901" s="2890">
        <v>0.29309728493696025</v>
      </c>
      <c r="G12901" s="2890">
        <v>240.80410474911892</v>
      </c>
    </row>
    <row r="12902" spans="2:7" ht="15" hidden="1" outlineLevel="2">
      <c r="B12902" s="2889" t="s">
        <v>1642</v>
      </c>
      <c r="C12902" s="2889" t="s">
        <v>1609</v>
      </c>
      <c r="D12902" s="2889" t="s">
        <v>1608</v>
      </c>
      <c r="E12902" s="2889" t="s">
        <v>217</v>
      </c>
      <c r="F12902" s="2890">
        <v>0.12762822120313036</v>
      </c>
      <c r="G12902" s="2890">
        <v>101.61869835598395</v>
      </c>
    </row>
    <row r="12903" spans="2:7" ht="15" hidden="1" outlineLevel="2">
      <c r="B12903" s="2889" t="s">
        <v>1642</v>
      </c>
      <c r="C12903" s="2889" t="s">
        <v>1610</v>
      </c>
      <c r="D12903" s="2889" t="s">
        <v>1608</v>
      </c>
      <c r="E12903" s="2889" t="s">
        <v>217</v>
      </c>
      <c r="F12903" s="2890">
        <v>4.8803357747145955E-2</v>
      </c>
      <c r="G12903" s="2890">
        <v>75.850442801661288</v>
      </c>
    </row>
    <row r="12904" spans="2:7" ht="15" hidden="1" outlineLevel="2">
      <c r="B12904" s="2889" t="s">
        <v>1642</v>
      </c>
      <c r="C12904" s="2889" t="s">
        <v>1611</v>
      </c>
      <c r="D12904" s="2889" t="s">
        <v>1608</v>
      </c>
      <c r="E12904" s="2889" t="s">
        <v>1612</v>
      </c>
      <c r="F12904" s="2891"/>
      <c r="G12904" s="2890">
        <v>67.534550959000569</v>
      </c>
    </row>
    <row r="12905" spans="2:7" ht="15" hidden="1" outlineLevel="2">
      <c r="B12905" s="2889" t="s">
        <v>1642</v>
      </c>
      <c r="C12905" s="2889" t="s">
        <v>1613</v>
      </c>
      <c r="D12905" s="2889" t="s">
        <v>1608</v>
      </c>
      <c r="E12905" s="2889" t="s">
        <v>1612</v>
      </c>
      <c r="F12905" s="2891"/>
      <c r="G12905" s="2890">
        <v>0.56393903865207484</v>
      </c>
    </row>
    <row r="12906" spans="2:7" ht="15" hidden="1" outlineLevel="2">
      <c r="B12906" s="2889" t="s">
        <v>1642</v>
      </c>
      <c r="C12906" s="2889" t="s">
        <v>1614</v>
      </c>
      <c r="D12906" s="2889" t="s">
        <v>1615</v>
      </c>
      <c r="E12906" s="2889" t="s">
        <v>1426</v>
      </c>
      <c r="F12906" s="2891"/>
      <c r="G12906" s="2890">
        <v>197.93776471432295</v>
      </c>
    </row>
    <row r="12907" spans="2:7" ht="15" hidden="1" outlineLevel="2">
      <c r="B12907" s="2889" t="s">
        <v>1642</v>
      </c>
      <c r="C12907" s="2889" t="s">
        <v>1616</v>
      </c>
      <c r="D12907" s="2889" t="s">
        <v>1615</v>
      </c>
      <c r="E12907" s="2889" t="s">
        <v>217</v>
      </c>
      <c r="F12907" s="2890">
        <v>6.2766772549652473E-3</v>
      </c>
      <c r="G12907" s="2890">
        <v>8.4774355555770704</v>
      </c>
    </row>
    <row r="12908" spans="2:7" ht="15" hidden="1" outlineLevel="2">
      <c r="B12908" s="2889" t="s">
        <v>1642</v>
      </c>
      <c r="C12908" s="2889" t="s">
        <v>1617</v>
      </c>
      <c r="D12908" s="2889" t="s">
        <v>1615</v>
      </c>
      <c r="E12908" s="2889" t="s">
        <v>1420</v>
      </c>
      <c r="F12908" s="2890">
        <v>9.9666658217980884E-5</v>
      </c>
      <c r="G12908" s="2890">
        <v>0.28849559203544334</v>
      </c>
    </row>
    <row r="12909" spans="2:7" ht="15" hidden="1" outlineLevel="2">
      <c r="B12909" s="2889" t="s">
        <v>1642</v>
      </c>
      <c r="C12909" s="2889" t="s">
        <v>1618</v>
      </c>
      <c r="D12909" s="2889" t="s">
        <v>1619</v>
      </c>
      <c r="E12909" s="2889" t="s">
        <v>217</v>
      </c>
      <c r="F12909" s="2890">
        <v>0.47050534946622041</v>
      </c>
      <c r="G12909" s="2890">
        <v>119.27879467744539</v>
      </c>
    </row>
    <row r="12910" spans="2:7" ht="15" hidden="1" outlineLevel="2">
      <c r="B12910" s="2889" t="s">
        <v>1642</v>
      </c>
      <c r="C12910" s="2889" t="s">
        <v>1620</v>
      </c>
      <c r="D12910" s="2889" t="s">
        <v>1619</v>
      </c>
      <c r="E12910" s="2889" t="s">
        <v>217</v>
      </c>
      <c r="F12910" s="2890">
        <v>1.3044101874851183E-33</v>
      </c>
      <c r="G12910" s="2890">
        <v>1.5904447834644856E-30</v>
      </c>
    </row>
    <row r="12911" spans="2:7" ht="15" hidden="1" outlineLevel="2">
      <c r="B12911" s="2889" t="s">
        <v>1642</v>
      </c>
      <c r="C12911" s="2889" t="s">
        <v>1621</v>
      </c>
      <c r="D12911" s="2889" t="s">
        <v>1619</v>
      </c>
      <c r="E12911" s="2889" t="s">
        <v>217</v>
      </c>
      <c r="F12911" s="2890">
        <v>0.5039738901659363</v>
      </c>
      <c r="G12911" s="2890">
        <v>137.72835295817683</v>
      </c>
    </row>
    <row r="12912" spans="2:7" ht="15" hidden="1" outlineLevel="2">
      <c r="B12912" s="2889" t="s">
        <v>1642</v>
      </c>
      <c r="C12912" s="2889" t="s">
        <v>1622</v>
      </c>
      <c r="D12912" s="2889" t="s">
        <v>1619</v>
      </c>
      <c r="E12912" s="2889" t="s">
        <v>217</v>
      </c>
      <c r="F12912" s="2890">
        <v>3.2272107233087044E-2</v>
      </c>
      <c r="G12912" s="2890">
        <v>35.409863596027456</v>
      </c>
    </row>
    <row r="12913" spans="2:7" ht="15" hidden="1" outlineLevel="2">
      <c r="B12913" s="2889" t="s">
        <v>1642</v>
      </c>
      <c r="C12913" s="2889" t="s">
        <v>1623</v>
      </c>
      <c r="D12913" s="2889" t="s">
        <v>1619</v>
      </c>
      <c r="E12913" s="2889" t="s">
        <v>217</v>
      </c>
      <c r="F12913" s="2890">
        <v>8.3106761473369151E-2</v>
      </c>
      <c r="G12913" s="2890">
        <v>61.33170564076778</v>
      </c>
    </row>
    <row r="12914" spans="2:7" ht="15" hidden="1" outlineLevel="2">
      <c r="B12914" s="2889" t="s">
        <v>1642</v>
      </c>
      <c r="C12914" s="2889" t="s">
        <v>1624</v>
      </c>
      <c r="D12914" s="2889" t="s">
        <v>1619</v>
      </c>
      <c r="E12914" s="2889" t="s">
        <v>217</v>
      </c>
      <c r="F12914" s="2890">
        <v>0.76454160392909321</v>
      </c>
      <c r="G12914" s="2890">
        <v>653.71695021305152</v>
      </c>
    </row>
    <row r="12915" spans="2:7" ht="15" hidden="1" outlineLevel="2">
      <c r="B12915" s="2889" t="s">
        <v>1642</v>
      </c>
      <c r="C12915" s="2889" t="s">
        <v>1625</v>
      </c>
      <c r="D12915" s="2889" t="s">
        <v>1619</v>
      </c>
      <c r="E12915" s="2889" t="s">
        <v>217</v>
      </c>
      <c r="F12915" s="2890">
        <v>0.49566809847270477</v>
      </c>
      <c r="G12915" s="2890">
        <v>643.05833530116308</v>
      </c>
    </row>
    <row r="12916" spans="2:7" ht="15" hidden="1" outlineLevel="2">
      <c r="B12916" s="2889" t="s">
        <v>1642</v>
      </c>
      <c r="C12916" s="2889" t="s">
        <v>1626</v>
      </c>
      <c r="D12916" s="2889" t="s">
        <v>1619</v>
      </c>
      <c r="E12916" s="2889" t="s">
        <v>217</v>
      </c>
      <c r="F12916" s="2890">
        <v>4.6682428785114201E-2</v>
      </c>
      <c r="G12916" s="2890">
        <v>36.766904978416434</v>
      </c>
    </row>
    <row r="12917" spans="2:7" ht="15" hidden="1" outlineLevel="2">
      <c r="B12917" s="2889" t="s">
        <v>1642</v>
      </c>
      <c r="C12917" s="2889" t="s">
        <v>1627</v>
      </c>
      <c r="D12917" s="2889" t="s">
        <v>1619</v>
      </c>
      <c r="E12917" s="2889" t="s">
        <v>1420</v>
      </c>
      <c r="F12917" s="2890">
        <v>1.5221035770581089E-3</v>
      </c>
      <c r="G12917" s="2890">
        <v>2.542945650020723</v>
      </c>
    </row>
    <row r="12918" spans="2:7" ht="15" hidden="1" outlineLevel="2">
      <c r="B12918" s="2889" t="s">
        <v>1642</v>
      </c>
      <c r="C12918" s="2889" t="s">
        <v>1628</v>
      </c>
      <c r="D12918" s="2889" t="s">
        <v>1619</v>
      </c>
      <c r="E12918" s="2889" t="s">
        <v>1426</v>
      </c>
      <c r="F12918" s="2891"/>
      <c r="G12918" s="2890">
        <v>50.400983409862945</v>
      </c>
    </row>
    <row r="12919" spans="2:7" ht="15" hidden="1" outlineLevel="2">
      <c r="B12919" s="2889" t="s">
        <v>1642</v>
      </c>
      <c r="C12919" s="2889" t="s">
        <v>1629</v>
      </c>
      <c r="D12919" s="2889" t="s">
        <v>1630</v>
      </c>
      <c r="E12919" s="2889" t="s">
        <v>1426</v>
      </c>
      <c r="F12919" s="2891"/>
      <c r="G12919" s="2890">
        <v>1.8151226406706658E-29</v>
      </c>
    </row>
    <row r="12920" spans="2:7" ht="15" outlineLevel="1" collapsed="1">
      <c r="B12920" s="3042" t="s">
        <v>1712</v>
      </c>
      <c r="C12920" s="2889"/>
      <c r="D12920" s="2889"/>
      <c r="E12920" s="2889"/>
      <c r="F12920" s="2891">
        <f>SUBTOTAL(9,F12709:F12919)</f>
        <v>80.294213984454871</v>
      </c>
      <c r="G12920" s="2890">
        <f>SUBTOTAL(9,G12709:G12919)</f>
        <v>172889.5709168558</v>
      </c>
    </row>
    <row r="12921" spans="2:7" ht="15" hidden="1" outlineLevel="2">
      <c r="B12921" s="2889" t="s">
        <v>1643</v>
      </c>
      <c r="C12921" s="2889" t="s">
        <v>1408</v>
      </c>
      <c r="D12921" s="2889" t="s">
        <v>197</v>
      </c>
      <c r="E12921" s="2889" t="s">
        <v>217</v>
      </c>
      <c r="F12921" s="2890">
        <v>3.1208091333729295E-3</v>
      </c>
      <c r="G12921" s="2890">
        <v>1.9033307783944065</v>
      </c>
    </row>
    <row r="12922" spans="2:7" ht="15" hidden="1" outlineLevel="2">
      <c r="B12922" s="2889" t="s">
        <v>1643</v>
      </c>
      <c r="C12922" s="2889" t="s">
        <v>1409</v>
      </c>
      <c r="D12922" s="2889" t="s">
        <v>197</v>
      </c>
      <c r="E12922" s="2889" t="s">
        <v>217</v>
      </c>
      <c r="F12922" s="2890">
        <v>3.2916884525917029E-3</v>
      </c>
      <c r="G12922" s="2890">
        <v>4.6172080796564359</v>
      </c>
    </row>
    <row r="12923" spans="2:7" ht="15" hidden="1" outlineLevel="2">
      <c r="B12923" s="2889" t="s">
        <v>1643</v>
      </c>
      <c r="C12923" s="2889" t="s">
        <v>1410</v>
      </c>
      <c r="D12923" s="2889" t="s">
        <v>197</v>
      </c>
      <c r="E12923" s="2889" t="s">
        <v>217</v>
      </c>
      <c r="F12923" s="2890">
        <v>5.2579593204454518E-3</v>
      </c>
      <c r="G12923" s="2890">
        <v>17.965296003351767</v>
      </c>
    </row>
    <row r="12924" spans="2:7" ht="15" hidden="1" outlineLevel="2">
      <c r="B12924" s="2889" t="s">
        <v>1643</v>
      </c>
      <c r="C12924" s="2889" t="s">
        <v>1411</v>
      </c>
      <c r="D12924" s="2889" t="s">
        <v>197</v>
      </c>
      <c r="E12924" s="2889" t="s">
        <v>217</v>
      </c>
      <c r="F12924" s="2890">
        <v>8.635227615885936E-5</v>
      </c>
      <c r="G12924" s="2890">
        <v>0.11315564886130366</v>
      </c>
    </row>
    <row r="12925" spans="2:7" ht="15" hidden="1" outlineLevel="2">
      <c r="B12925" s="2889" t="s">
        <v>1643</v>
      </c>
      <c r="C12925" s="2889" t="s">
        <v>1412</v>
      </c>
      <c r="D12925" s="2889" t="s">
        <v>197</v>
      </c>
      <c r="E12925" s="2889" t="s">
        <v>217</v>
      </c>
      <c r="F12925" s="2890">
        <v>9.3286939425509495E-3</v>
      </c>
      <c r="G12925" s="2890">
        <v>12.214960410761217</v>
      </c>
    </row>
    <row r="12926" spans="2:7" ht="15" hidden="1" outlineLevel="2">
      <c r="B12926" s="2889" t="s">
        <v>1643</v>
      </c>
      <c r="C12926" s="2889" t="s">
        <v>1413</v>
      </c>
      <c r="D12926" s="2889" t="s">
        <v>197</v>
      </c>
      <c r="E12926" s="2889" t="s">
        <v>217</v>
      </c>
      <c r="F12926" s="2890">
        <v>3.0740599678214793E-3</v>
      </c>
      <c r="G12926" s="2890">
        <v>3.8262565709909659</v>
      </c>
    </row>
    <row r="12927" spans="2:7" ht="15" hidden="1" outlineLevel="2">
      <c r="B12927" s="2889" t="s">
        <v>1643</v>
      </c>
      <c r="C12927" s="2889" t="s">
        <v>1414</v>
      </c>
      <c r="D12927" s="2889" t="s">
        <v>197</v>
      </c>
      <c r="E12927" s="2889" t="s">
        <v>217</v>
      </c>
      <c r="F12927" s="2890">
        <v>4.0095269884675926E-2</v>
      </c>
      <c r="G12927" s="2890">
        <v>41.565346769197689</v>
      </c>
    </row>
    <row r="12928" spans="2:7" ht="15" hidden="1" outlineLevel="2">
      <c r="B12928" s="2889" t="s">
        <v>1643</v>
      </c>
      <c r="C12928" s="2889" t="s">
        <v>1415</v>
      </c>
      <c r="D12928" s="2889" t="s">
        <v>197</v>
      </c>
      <c r="E12928" s="2889" t="s">
        <v>217</v>
      </c>
      <c r="F12928" s="2890">
        <v>0.13178336380759276</v>
      </c>
      <c r="G12928" s="2890">
        <v>89.095361805530487</v>
      </c>
    </row>
    <row r="12929" spans="2:7" ht="15" hidden="1" outlineLevel="2">
      <c r="B12929" s="2889" t="s">
        <v>1643</v>
      </c>
      <c r="C12929" s="2889" t="s">
        <v>1416</v>
      </c>
      <c r="D12929" s="2889" t="s">
        <v>197</v>
      </c>
      <c r="E12929" s="2889" t="s">
        <v>217</v>
      </c>
      <c r="F12929" s="2890">
        <v>1.4803643191125569E-2</v>
      </c>
      <c r="G12929" s="2890">
        <v>19.383859592415597</v>
      </c>
    </row>
    <row r="12930" spans="2:7" ht="15" hidden="1" outlineLevel="2">
      <c r="B12930" s="2889" t="s">
        <v>1643</v>
      </c>
      <c r="C12930" s="2889" t="s">
        <v>1417</v>
      </c>
      <c r="D12930" s="2889" t="s">
        <v>197</v>
      </c>
      <c r="E12930" s="2889" t="s">
        <v>217</v>
      </c>
      <c r="F12930" s="2890">
        <v>2.2045427173263826E-2</v>
      </c>
      <c r="G12930" s="2890">
        <v>28.067751329447976</v>
      </c>
    </row>
    <row r="12931" spans="2:7" ht="15" hidden="1" outlineLevel="2">
      <c r="B12931" s="2889" t="s">
        <v>1643</v>
      </c>
      <c r="C12931" s="2889" t="s">
        <v>1418</v>
      </c>
      <c r="D12931" s="2889" t="s">
        <v>197</v>
      </c>
      <c r="E12931" s="2889" t="s">
        <v>217</v>
      </c>
      <c r="F12931" s="2890">
        <v>4.4240322393461415E-3</v>
      </c>
      <c r="G12931" s="2890">
        <v>31.136822167006891</v>
      </c>
    </row>
    <row r="12932" spans="2:7" ht="15" hidden="1" outlineLevel="2">
      <c r="B12932" s="2889" t="s">
        <v>1643</v>
      </c>
      <c r="C12932" s="2889" t="s">
        <v>1419</v>
      </c>
      <c r="D12932" s="2889" t="s">
        <v>197</v>
      </c>
      <c r="E12932" s="2889" t="s">
        <v>1420</v>
      </c>
      <c r="F12932" s="2890">
        <v>1.0724999399532801E-4</v>
      </c>
      <c r="G12932" s="2890">
        <v>0.17041544184496119</v>
      </c>
    </row>
    <row r="12933" spans="2:7" ht="15" hidden="1" outlineLevel="2">
      <c r="B12933" s="2889" t="s">
        <v>1643</v>
      </c>
      <c r="C12933" s="2889" t="s">
        <v>1421</v>
      </c>
      <c r="D12933" s="2889" t="s">
        <v>197</v>
      </c>
      <c r="E12933" s="2889" t="s">
        <v>1420</v>
      </c>
      <c r="F12933" s="2890">
        <v>2.2007516875862574E-5</v>
      </c>
      <c r="G12933" s="2890">
        <v>0.23193319920997141</v>
      </c>
    </row>
    <row r="12934" spans="2:7" ht="15" hidden="1" outlineLevel="2">
      <c r="B12934" s="2889" t="s">
        <v>1643</v>
      </c>
      <c r="C12934" s="2889" t="s">
        <v>1422</v>
      </c>
      <c r="D12934" s="2889" t="s">
        <v>197</v>
      </c>
      <c r="E12934" s="2889" t="s">
        <v>1423</v>
      </c>
      <c r="F12934" s="2890">
        <v>4.29329223625233E-3</v>
      </c>
      <c r="G12934" s="2890">
        <v>4.5016969795523533E-2</v>
      </c>
    </row>
    <row r="12935" spans="2:7" ht="15" hidden="1" outlineLevel="2">
      <c r="B12935" s="2889" t="s">
        <v>1643</v>
      </c>
      <c r="C12935" s="2889" t="s">
        <v>1424</v>
      </c>
      <c r="D12935" s="2889" t="s">
        <v>197</v>
      </c>
      <c r="E12935" s="2889" t="s">
        <v>1423</v>
      </c>
      <c r="F12935" s="2890">
        <v>1.362720595555842E-3</v>
      </c>
      <c r="G12935" s="2890">
        <v>1.4284437682007142E-2</v>
      </c>
    </row>
    <row r="12936" spans="2:7" ht="15" hidden="1" outlineLevel="2">
      <c r="B12936" s="2889" t="s">
        <v>1643</v>
      </c>
      <c r="C12936" s="2889" t="s">
        <v>1425</v>
      </c>
      <c r="D12936" s="2889" t="s">
        <v>197</v>
      </c>
      <c r="E12936" s="2889" t="s">
        <v>1426</v>
      </c>
      <c r="F12936" s="2891"/>
      <c r="G12936" s="2890">
        <v>0.33290352753736768</v>
      </c>
    </row>
    <row r="12937" spans="2:7" ht="15" hidden="1" outlineLevel="2">
      <c r="B12937" s="2889" t="s">
        <v>1643</v>
      </c>
      <c r="C12937" s="2889" t="s">
        <v>1427</v>
      </c>
      <c r="D12937" s="2889" t="s">
        <v>197</v>
      </c>
      <c r="E12937" s="2889" t="s">
        <v>1426</v>
      </c>
      <c r="F12937" s="2891"/>
      <c r="G12937" s="2890">
        <v>14392.211294073415</v>
      </c>
    </row>
    <row r="12938" spans="2:7" ht="15" hidden="1" outlineLevel="2">
      <c r="B12938" s="2889" t="s">
        <v>1643</v>
      </c>
      <c r="C12938" s="2889" t="s">
        <v>1428</v>
      </c>
      <c r="D12938" s="2889" t="s">
        <v>197</v>
      </c>
      <c r="E12938" s="2889" t="s">
        <v>1426</v>
      </c>
      <c r="F12938" s="2891"/>
      <c r="G12938" s="2890">
        <v>1291.420332457722</v>
      </c>
    </row>
    <row r="12939" spans="2:7" ht="15" hidden="1" outlineLevel="2">
      <c r="B12939" s="2889" t="s">
        <v>1643</v>
      </c>
      <c r="C12939" s="2889" t="s">
        <v>1429</v>
      </c>
      <c r="D12939" s="2889" t="s">
        <v>197</v>
      </c>
      <c r="E12939" s="2889" t="s">
        <v>1426</v>
      </c>
      <c r="F12939" s="2891"/>
      <c r="G12939" s="2890">
        <v>7.1785348723716753</v>
      </c>
    </row>
    <row r="12940" spans="2:7" ht="15" hidden="1" outlineLevel="2">
      <c r="B12940" s="2889" t="s">
        <v>1643</v>
      </c>
      <c r="C12940" s="2889" t="s">
        <v>1430</v>
      </c>
      <c r="D12940" s="2889" t="s">
        <v>197</v>
      </c>
      <c r="E12940" s="2889" t="s">
        <v>1426</v>
      </c>
      <c r="F12940" s="2891"/>
      <c r="G12940" s="2890">
        <v>1.4733833395586828</v>
      </c>
    </row>
    <row r="12941" spans="2:7" ht="15" hidden="1" outlineLevel="2">
      <c r="B12941" s="2889" t="s">
        <v>1643</v>
      </c>
      <c r="C12941" s="2889" t="s">
        <v>1431</v>
      </c>
      <c r="D12941" s="2889" t="s">
        <v>197</v>
      </c>
      <c r="E12941" s="2889" t="s">
        <v>1426</v>
      </c>
      <c r="F12941" s="2891"/>
      <c r="G12941" s="2890">
        <v>109.62605153524565</v>
      </c>
    </row>
    <row r="12942" spans="2:7" ht="15" hidden="1" outlineLevel="2">
      <c r="B12942" s="2889" t="s">
        <v>1643</v>
      </c>
      <c r="C12942" s="2889" t="s">
        <v>1432</v>
      </c>
      <c r="D12942" s="2889" t="s">
        <v>197</v>
      </c>
      <c r="E12942" s="2889" t="s">
        <v>1426</v>
      </c>
      <c r="F12942" s="2891"/>
      <c r="G12942" s="2890">
        <v>0.27457300070126561</v>
      </c>
    </row>
    <row r="12943" spans="2:7" ht="15" hidden="1" outlineLevel="2">
      <c r="B12943" s="2889" t="s">
        <v>1643</v>
      </c>
      <c r="C12943" s="2889" t="s">
        <v>1433</v>
      </c>
      <c r="D12943" s="2889" t="s">
        <v>197</v>
      </c>
      <c r="E12943" s="2889" t="s">
        <v>1426</v>
      </c>
      <c r="F12943" s="2891"/>
      <c r="G12943" s="2890">
        <v>101.32445802647196</v>
      </c>
    </row>
    <row r="12944" spans="2:7" ht="15" hidden="1" outlineLevel="2">
      <c r="B12944" s="2889" t="s">
        <v>1643</v>
      </c>
      <c r="C12944" s="2889" t="s">
        <v>1434</v>
      </c>
      <c r="D12944" s="2889" t="s">
        <v>197</v>
      </c>
      <c r="E12944" s="2889" t="s">
        <v>1426</v>
      </c>
      <c r="F12944" s="2891"/>
      <c r="G12944" s="2890">
        <v>281.45275421916176</v>
      </c>
    </row>
    <row r="12945" spans="2:7" ht="15" hidden="1" outlineLevel="2">
      <c r="B12945" s="2889" t="s">
        <v>1643</v>
      </c>
      <c r="C12945" s="2889" t="s">
        <v>1435</v>
      </c>
      <c r="D12945" s="2889" t="s">
        <v>197</v>
      </c>
      <c r="E12945" s="2889" t="s">
        <v>1426</v>
      </c>
      <c r="F12945" s="2891"/>
      <c r="G12945" s="2890">
        <v>206.92255401432075</v>
      </c>
    </row>
    <row r="12946" spans="2:7" ht="15" hidden="1" outlineLevel="2">
      <c r="B12946" s="2889" t="s">
        <v>1643</v>
      </c>
      <c r="C12946" s="2889" t="s">
        <v>1436</v>
      </c>
      <c r="D12946" s="2889" t="s">
        <v>1437</v>
      </c>
      <c r="E12946" s="2889" t="s">
        <v>217</v>
      </c>
      <c r="F12946" s="2890">
        <v>2.2886705725982671E-34</v>
      </c>
      <c r="G12946" s="2890">
        <v>3.4391137315468474E-31</v>
      </c>
    </row>
    <row r="12947" spans="2:7" ht="15" hidden="1" outlineLevel="2">
      <c r="B12947" s="2889" t="s">
        <v>1643</v>
      </c>
      <c r="C12947" s="2889" t="s">
        <v>1438</v>
      </c>
      <c r="D12947" s="2889" t="s">
        <v>1437</v>
      </c>
      <c r="E12947" s="2889" t="s">
        <v>1420</v>
      </c>
      <c r="F12947" s="2890">
        <v>2.2753543115041698E-36</v>
      </c>
      <c r="G12947" s="2890">
        <v>3.2868550119145637E-32</v>
      </c>
    </row>
    <row r="12948" spans="2:7" ht="15" hidden="1" outlineLevel="2">
      <c r="B12948" s="2889" t="s">
        <v>1643</v>
      </c>
      <c r="C12948" s="2889" t="s">
        <v>1439</v>
      </c>
      <c r="D12948" s="2889" t="s">
        <v>1437</v>
      </c>
      <c r="E12948" s="2889" t="s">
        <v>1426</v>
      </c>
      <c r="F12948" s="2891"/>
      <c r="G12948" s="2890">
        <v>2.963962154097215E-28</v>
      </c>
    </row>
    <row r="12949" spans="2:7" ht="15" hidden="1" outlineLevel="2">
      <c r="B12949" s="2889" t="s">
        <v>1643</v>
      </c>
      <c r="C12949" s="2889" t="s">
        <v>1440</v>
      </c>
      <c r="D12949" s="2889" t="s">
        <v>1105</v>
      </c>
      <c r="E12949" s="2889" t="s">
        <v>217</v>
      </c>
      <c r="F12949" s="2890">
        <v>4.197467029550774E-3</v>
      </c>
      <c r="G12949" s="2890">
        <v>2.0802013949915836</v>
      </c>
    </row>
    <row r="12950" spans="2:7" ht="15" hidden="1" outlineLevel="2">
      <c r="B12950" s="2889" t="s">
        <v>1643</v>
      </c>
      <c r="C12950" s="2889" t="s">
        <v>1441</v>
      </c>
      <c r="D12950" s="2889" t="s">
        <v>1105</v>
      </c>
      <c r="E12950" s="2889" t="s">
        <v>217</v>
      </c>
      <c r="F12950" s="2890">
        <v>2.6821603057754256E-2</v>
      </c>
      <c r="G12950" s="2890">
        <v>13.878436626532737</v>
      </c>
    </row>
    <row r="12951" spans="2:7" ht="15" hidden="1" outlineLevel="2">
      <c r="B12951" s="2889" t="s">
        <v>1643</v>
      </c>
      <c r="C12951" s="2889" t="s">
        <v>1442</v>
      </c>
      <c r="D12951" s="2889" t="s">
        <v>1105</v>
      </c>
      <c r="E12951" s="2889" t="s">
        <v>217</v>
      </c>
      <c r="F12951" s="2890">
        <v>1.1939158374912438E-5</v>
      </c>
      <c r="G12951" s="2890">
        <v>5.352493195413777E-3</v>
      </c>
    </row>
    <row r="12952" spans="2:7" ht="15" hidden="1" outlineLevel="2">
      <c r="B12952" s="2889" t="s">
        <v>1643</v>
      </c>
      <c r="C12952" s="2889" t="s">
        <v>1443</v>
      </c>
      <c r="D12952" s="2889" t="s">
        <v>1105</v>
      </c>
      <c r="E12952" s="2889" t="s">
        <v>217</v>
      </c>
      <c r="F12952" s="2890">
        <v>1.8786024438956312E-4</v>
      </c>
      <c r="G12952" s="2890">
        <v>8.422037350880765E-2</v>
      </c>
    </row>
    <row r="12953" spans="2:7" ht="15" hidden="1" outlineLevel="2">
      <c r="B12953" s="2889" t="s">
        <v>1643</v>
      </c>
      <c r="C12953" s="2889" t="s">
        <v>1444</v>
      </c>
      <c r="D12953" s="2889" t="s">
        <v>1105</v>
      </c>
      <c r="E12953" s="2889" t="s">
        <v>217</v>
      </c>
      <c r="F12953" s="2890">
        <v>0.35673373902265876</v>
      </c>
      <c r="G12953" s="2890">
        <v>428.19913844278261</v>
      </c>
    </row>
    <row r="12954" spans="2:7" ht="15" hidden="1" outlineLevel="2">
      <c r="B12954" s="2889" t="s">
        <v>1643</v>
      </c>
      <c r="C12954" s="2889" t="s">
        <v>1445</v>
      </c>
      <c r="D12954" s="2889" t="s">
        <v>1105</v>
      </c>
      <c r="E12954" s="2889" t="s">
        <v>217</v>
      </c>
      <c r="F12954" s="2890">
        <v>7.6783915928831464E-2</v>
      </c>
      <c r="G12954" s="2890">
        <v>107.15252720643366</v>
      </c>
    </row>
    <row r="12955" spans="2:7" ht="15" hidden="1" outlineLevel="2">
      <c r="B12955" s="2889" t="s">
        <v>1643</v>
      </c>
      <c r="C12955" s="2889" t="s">
        <v>1446</v>
      </c>
      <c r="D12955" s="2889" t="s">
        <v>1105</v>
      </c>
      <c r="E12955" s="2889" t="s">
        <v>217</v>
      </c>
      <c r="F12955" s="2890">
        <v>3.5443237065293259E-2</v>
      </c>
      <c r="G12955" s="2890">
        <v>56.822147707017933</v>
      </c>
    </row>
    <row r="12956" spans="2:7" ht="15" hidden="1" outlineLevel="2">
      <c r="B12956" s="2889" t="s">
        <v>1643</v>
      </c>
      <c r="C12956" s="2889" t="s">
        <v>1447</v>
      </c>
      <c r="D12956" s="2889" t="s">
        <v>1105</v>
      </c>
      <c r="E12956" s="2889" t="s">
        <v>217</v>
      </c>
      <c r="F12956" s="2890">
        <v>8.1671922425588184E-2</v>
      </c>
      <c r="G12956" s="2890">
        <v>121.91973657939863</v>
      </c>
    </row>
    <row r="12957" spans="2:7" ht="15" hidden="1" outlineLevel="2">
      <c r="B12957" s="2889" t="s">
        <v>1643</v>
      </c>
      <c r="C12957" s="2889" t="s">
        <v>1448</v>
      </c>
      <c r="D12957" s="2889" t="s">
        <v>1105</v>
      </c>
      <c r="E12957" s="2889" t="s">
        <v>217</v>
      </c>
      <c r="F12957" s="2890">
        <v>0.15425464245185572</v>
      </c>
      <c r="G12957" s="2890">
        <v>192.07402631619459</v>
      </c>
    </row>
    <row r="12958" spans="2:7" ht="15" hidden="1" outlineLevel="2">
      <c r="B12958" s="2889" t="s">
        <v>1643</v>
      </c>
      <c r="C12958" s="2889" t="s">
        <v>1449</v>
      </c>
      <c r="D12958" s="2889" t="s">
        <v>1105</v>
      </c>
      <c r="E12958" s="2889" t="s">
        <v>217</v>
      </c>
      <c r="F12958" s="2890">
        <v>6.566916609476457E-3</v>
      </c>
      <c r="G12958" s="2890">
        <v>9.0340883773261424</v>
      </c>
    </row>
    <row r="12959" spans="2:7" ht="15" hidden="1" outlineLevel="2">
      <c r="B12959" s="2889" t="s">
        <v>1643</v>
      </c>
      <c r="C12959" s="2889" t="s">
        <v>1450</v>
      </c>
      <c r="D12959" s="2889" t="s">
        <v>1105</v>
      </c>
      <c r="E12959" s="2889" t="s">
        <v>1420</v>
      </c>
      <c r="F12959" s="2890">
        <v>2.0723793907664347E-2</v>
      </c>
      <c r="G12959" s="2890">
        <v>56.97393433347353</v>
      </c>
    </row>
    <row r="12960" spans="2:7" ht="15" hidden="1" outlineLevel="2">
      <c r="B12960" s="2889" t="s">
        <v>1643</v>
      </c>
      <c r="C12960" s="2889" t="s">
        <v>1451</v>
      </c>
      <c r="D12960" s="2889" t="s">
        <v>1105</v>
      </c>
      <c r="E12960" s="2889" t="s">
        <v>1420</v>
      </c>
      <c r="F12960" s="2890">
        <v>3.0088713522519964E-3</v>
      </c>
      <c r="G12960" s="2890">
        <v>12.690075819586045</v>
      </c>
    </row>
    <row r="12961" spans="2:7" ht="15" hidden="1" outlineLevel="2">
      <c r="B12961" s="2889" t="s">
        <v>1643</v>
      </c>
      <c r="C12961" s="2889" t="s">
        <v>1452</v>
      </c>
      <c r="D12961" s="2889" t="s">
        <v>1105</v>
      </c>
      <c r="E12961" s="2889" t="s">
        <v>1420</v>
      </c>
      <c r="F12961" s="2890">
        <v>2.2260233424271467E-3</v>
      </c>
      <c r="G12961" s="2890">
        <v>14.875046195226567</v>
      </c>
    </row>
    <row r="12962" spans="2:7" ht="15" hidden="1" outlineLevel="2">
      <c r="B12962" s="2889" t="s">
        <v>1643</v>
      </c>
      <c r="C12962" s="2889" t="s">
        <v>1453</v>
      </c>
      <c r="D12962" s="2889" t="s">
        <v>1105</v>
      </c>
      <c r="E12962" s="2889" t="s">
        <v>1420</v>
      </c>
      <c r="F12962" s="2890">
        <v>3.8991571239832762E-3</v>
      </c>
      <c r="G12962" s="2890">
        <v>18.478544330353166</v>
      </c>
    </row>
    <row r="12963" spans="2:7" ht="15" hidden="1" outlineLevel="2">
      <c r="B12963" s="2889" t="s">
        <v>1643</v>
      </c>
      <c r="C12963" s="2889" t="s">
        <v>1454</v>
      </c>
      <c r="D12963" s="2889" t="s">
        <v>1105</v>
      </c>
      <c r="E12963" s="2889" t="s">
        <v>1420</v>
      </c>
      <c r="F12963" s="2890">
        <v>9.7359802268702847E-5</v>
      </c>
      <c r="G12963" s="2890">
        <v>0.24978815433121657</v>
      </c>
    </row>
    <row r="12964" spans="2:7" ht="15" hidden="1" outlineLevel="2">
      <c r="B12964" s="2889" t="s">
        <v>1643</v>
      </c>
      <c r="C12964" s="2889" t="s">
        <v>1455</v>
      </c>
      <c r="D12964" s="2889" t="s">
        <v>1105</v>
      </c>
      <c r="E12964" s="2889" t="s">
        <v>1420</v>
      </c>
      <c r="F12964" s="2890">
        <v>2.8404828565524986E-5</v>
      </c>
      <c r="G12964" s="2890">
        <v>0.23202026388569311</v>
      </c>
    </row>
    <row r="12965" spans="2:7" ht="15" hidden="1" outlineLevel="2">
      <c r="B12965" s="2889" t="s">
        <v>1643</v>
      </c>
      <c r="C12965" s="2889" t="s">
        <v>1456</v>
      </c>
      <c r="D12965" s="2889" t="s">
        <v>1105</v>
      </c>
      <c r="E12965" s="2889" t="s">
        <v>1423</v>
      </c>
      <c r="F12965" s="2890">
        <v>0.45787966256603563</v>
      </c>
      <c r="G12965" s="2890">
        <v>12.714840924623184</v>
      </c>
    </row>
    <row r="12966" spans="2:7" ht="15" hidden="1" outlineLevel="2">
      <c r="B12966" s="2889" t="s">
        <v>1643</v>
      </c>
      <c r="C12966" s="2889" t="s">
        <v>1457</v>
      </c>
      <c r="D12966" s="2889" t="s">
        <v>1105</v>
      </c>
      <c r="E12966" s="2889" t="s">
        <v>1423</v>
      </c>
      <c r="F12966" s="2890">
        <v>1.7554447475995934E-2</v>
      </c>
      <c r="G12966" s="2890">
        <v>0.63813102666113275</v>
      </c>
    </row>
    <row r="12967" spans="2:7" ht="15" hidden="1" outlineLevel="2">
      <c r="B12967" s="2889" t="s">
        <v>1643</v>
      </c>
      <c r="C12967" s="2889" t="s">
        <v>1458</v>
      </c>
      <c r="D12967" s="2889" t="s">
        <v>1105</v>
      </c>
      <c r="E12967" s="2889" t="s">
        <v>1423</v>
      </c>
      <c r="F12967" s="2890">
        <v>1.2602822046007678E-2</v>
      </c>
      <c r="G12967" s="2890">
        <v>0.88391979965758738</v>
      </c>
    </row>
    <row r="12968" spans="2:7" ht="15" hidden="1" outlineLevel="2">
      <c r="B12968" s="2889" t="s">
        <v>1643</v>
      </c>
      <c r="C12968" s="2889" t="s">
        <v>1459</v>
      </c>
      <c r="D12968" s="2889" t="s">
        <v>1105</v>
      </c>
      <c r="E12968" s="2889" t="s">
        <v>1423</v>
      </c>
      <c r="F12968" s="2890">
        <v>0.14764831004826631</v>
      </c>
      <c r="G12968" s="2890">
        <v>30.897689713160869</v>
      </c>
    </row>
    <row r="12969" spans="2:7" ht="15" hidden="1" outlineLevel="2">
      <c r="B12969" s="2889" t="s">
        <v>1643</v>
      </c>
      <c r="C12969" s="2889" t="s">
        <v>1460</v>
      </c>
      <c r="D12969" s="2889" t="s">
        <v>1105</v>
      </c>
      <c r="E12969" s="2889" t="s">
        <v>1426</v>
      </c>
      <c r="F12969" s="2891"/>
      <c r="G12969" s="2890">
        <v>329.48391964223151</v>
      </c>
    </row>
    <row r="12970" spans="2:7" ht="15" hidden="1" outlineLevel="2">
      <c r="B12970" s="2889" t="s">
        <v>1643</v>
      </c>
      <c r="C12970" s="2889" t="s">
        <v>1461</v>
      </c>
      <c r="D12970" s="2889" t="s">
        <v>1105</v>
      </c>
      <c r="E12970" s="2889" t="s">
        <v>1426</v>
      </c>
      <c r="F12970" s="2891"/>
      <c r="G12970" s="2890">
        <v>77.738245769101965</v>
      </c>
    </row>
    <row r="12971" spans="2:7" ht="15" hidden="1" outlineLevel="2">
      <c r="B12971" s="2889" t="s">
        <v>1643</v>
      </c>
      <c r="C12971" s="2889" t="s">
        <v>1462</v>
      </c>
      <c r="D12971" s="2889" t="s">
        <v>1105</v>
      </c>
      <c r="E12971" s="2889" t="s">
        <v>1426</v>
      </c>
      <c r="F12971" s="2891"/>
      <c r="G12971" s="2890">
        <v>215.69354665665585</v>
      </c>
    </row>
    <row r="12972" spans="2:7" ht="15" hidden="1" outlineLevel="2">
      <c r="B12972" s="2889" t="s">
        <v>1643</v>
      </c>
      <c r="C12972" s="2889" t="s">
        <v>1463</v>
      </c>
      <c r="D12972" s="2889" t="s">
        <v>1105</v>
      </c>
      <c r="E12972" s="2889" t="s">
        <v>1426</v>
      </c>
      <c r="F12972" s="2891"/>
      <c r="G12972" s="2890">
        <v>109.52217700691291</v>
      </c>
    </row>
    <row r="12973" spans="2:7" ht="15" hidden="1" outlineLevel="2">
      <c r="B12973" s="2889" t="s">
        <v>1643</v>
      </c>
      <c r="C12973" s="2889" t="s">
        <v>1464</v>
      </c>
      <c r="D12973" s="2889" t="s">
        <v>1105</v>
      </c>
      <c r="E12973" s="2889" t="s">
        <v>1426</v>
      </c>
      <c r="F12973" s="2891"/>
      <c r="G12973" s="2890">
        <v>10.521383532948866</v>
      </c>
    </row>
    <row r="12974" spans="2:7" ht="15" hidden="1" outlineLevel="2">
      <c r="B12974" s="2889" t="s">
        <v>1643</v>
      </c>
      <c r="C12974" s="2889" t="s">
        <v>1465</v>
      </c>
      <c r="D12974" s="2889" t="s">
        <v>1105</v>
      </c>
      <c r="E12974" s="2889" t="s">
        <v>1426</v>
      </c>
      <c r="F12974" s="2891"/>
      <c r="G12974" s="2890">
        <v>9.3348530011260564</v>
      </c>
    </row>
    <row r="12975" spans="2:7" ht="15" hidden="1" outlineLevel="2">
      <c r="B12975" s="2889" t="s">
        <v>1643</v>
      </c>
      <c r="C12975" s="2889" t="s">
        <v>1466</v>
      </c>
      <c r="D12975" s="2889" t="s">
        <v>1054</v>
      </c>
      <c r="E12975" s="2889" t="s">
        <v>217</v>
      </c>
      <c r="F12975" s="2890">
        <v>7.2120705077942469E-3</v>
      </c>
      <c r="G12975" s="2890">
        <v>4.4471078879485164</v>
      </c>
    </row>
    <row r="12976" spans="2:7" ht="15" hidden="1" outlineLevel="2">
      <c r="B12976" s="2889" t="s">
        <v>1643</v>
      </c>
      <c r="C12976" s="2889" t="s">
        <v>1467</v>
      </c>
      <c r="D12976" s="2889" t="s">
        <v>1054</v>
      </c>
      <c r="E12976" s="2889" t="s">
        <v>217</v>
      </c>
      <c r="F12976" s="2890">
        <v>5.960318728065638E-4</v>
      </c>
      <c r="G12976" s="2890">
        <v>0.28842900913736824</v>
      </c>
    </row>
    <row r="12977" spans="2:7" ht="15" hidden="1" outlineLevel="2">
      <c r="B12977" s="2889" t="s">
        <v>1643</v>
      </c>
      <c r="C12977" s="2889" t="s">
        <v>1468</v>
      </c>
      <c r="D12977" s="2889" t="s">
        <v>1054</v>
      </c>
      <c r="E12977" s="2889" t="s">
        <v>217</v>
      </c>
      <c r="F12977" s="2890">
        <v>7.2181178896538699E-4</v>
      </c>
      <c r="G12977" s="2890">
        <v>0.34480002932806286</v>
      </c>
    </row>
    <row r="12978" spans="2:7" ht="15" hidden="1" outlineLevel="2">
      <c r="B12978" s="2889" t="s">
        <v>1643</v>
      </c>
      <c r="C12978" s="2889" t="s">
        <v>1469</v>
      </c>
      <c r="D12978" s="2889" t="s">
        <v>1054</v>
      </c>
      <c r="E12978" s="2889" t="s">
        <v>217</v>
      </c>
      <c r="F12978" s="2890">
        <v>5.7598393832130302E-6</v>
      </c>
      <c r="G12978" s="2890">
        <v>2.5820429252102809E-3</v>
      </c>
    </row>
    <row r="12979" spans="2:7" ht="15" hidden="1" outlineLevel="2">
      <c r="B12979" s="2889" t="s">
        <v>1643</v>
      </c>
      <c r="C12979" s="2889" t="s">
        <v>1470</v>
      </c>
      <c r="D12979" s="2889" t="s">
        <v>1054</v>
      </c>
      <c r="E12979" s="2889" t="s">
        <v>217</v>
      </c>
      <c r="F12979" s="2890">
        <v>2.054692727127962E-2</v>
      </c>
      <c r="G12979" s="2890">
        <v>11.492014963649687</v>
      </c>
    </row>
    <row r="12980" spans="2:7" ht="15" hidden="1" outlineLevel="2">
      <c r="B12980" s="2889" t="s">
        <v>1643</v>
      </c>
      <c r="C12980" s="2889" t="s">
        <v>1471</v>
      </c>
      <c r="D12980" s="2889" t="s">
        <v>1054</v>
      </c>
      <c r="E12980" s="2889" t="s">
        <v>217</v>
      </c>
      <c r="F12980" s="2890">
        <v>1.4998162782357439E-4</v>
      </c>
      <c r="G12980" s="2890">
        <v>6.7234357786042545E-2</v>
      </c>
    </row>
    <row r="12981" spans="2:7" ht="15" hidden="1" outlineLevel="2">
      <c r="B12981" s="2889" t="s">
        <v>1643</v>
      </c>
      <c r="C12981" s="2889" t="s">
        <v>1472</v>
      </c>
      <c r="D12981" s="2889" t="s">
        <v>1054</v>
      </c>
      <c r="E12981" s="2889" t="s">
        <v>217</v>
      </c>
      <c r="F12981" s="2890">
        <v>2.5539361028687041E-3</v>
      </c>
      <c r="G12981" s="2890">
        <v>3.9533902864273567</v>
      </c>
    </row>
    <row r="12982" spans="2:7" ht="15" hidden="1" outlineLevel="2">
      <c r="B12982" s="2889" t="s">
        <v>1643</v>
      </c>
      <c r="C12982" s="2889" t="s">
        <v>1473</v>
      </c>
      <c r="D12982" s="2889" t="s">
        <v>1054</v>
      </c>
      <c r="E12982" s="2889" t="s">
        <v>217</v>
      </c>
      <c r="F12982" s="2890">
        <v>2.2622912803498214E-5</v>
      </c>
      <c r="G12982" s="2890">
        <v>2.9214513376021586E-2</v>
      </c>
    </row>
    <row r="12983" spans="2:7" ht="15" hidden="1" outlineLevel="2">
      <c r="B12983" s="2889" t="s">
        <v>1643</v>
      </c>
      <c r="C12983" s="2889" t="s">
        <v>1474</v>
      </c>
      <c r="D12983" s="2889" t="s">
        <v>1054</v>
      </c>
      <c r="E12983" s="2889" t="s">
        <v>217</v>
      </c>
      <c r="F12983" s="2890">
        <v>6.2229869871918168E-3</v>
      </c>
      <c r="G12983" s="2890">
        <v>7.3979655644450633</v>
      </c>
    </row>
    <row r="12984" spans="2:7" ht="15" hidden="1" outlineLevel="2">
      <c r="B12984" s="2889" t="s">
        <v>1643</v>
      </c>
      <c r="C12984" s="2889" t="s">
        <v>1475</v>
      </c>
      <c r="D12984" s="2889" t="s">
        <v>1054</v>
      </c>
      <c r="E12984" s="2889" t="s">
        <v>217</v>
      </c>
      <c r="F12984" s="2890">
        <v>4.4574815545550791E-3</v>
      </c>
      <c r="G12984" s="2890">
        <v>6.9906235463266251</v>
      </c>
    </row>
    <row r="12985" spans="2:7" ht="15" hidden="1" outlineLevel="2">
      <c r="B12985" s="2889" t="s">
        <v>1643</v>
      </c>
      <c r="C12985" s="2889" t="s">
        <v>1476</v>
      </c>
      <c r="D12985" s="2889" t="s">
        <v>1054</v>
      </c>
      <c r="E12985" s="2889" t="s">
        <v>217</v>
      </c>
      <c r="F12985" s="2890">
        <v>1.0975177842623822E-2</v>
      </c>
      <c r="G12985" s="2890">
        <v>13.913702376200044</v>
      </c>
    </row>
    <row r="12986" spans="2:7" ht="15" hidden="1" outlineLevel="2">
      <c r="B12986" s="2889" t="s">
        <v>1643</v>
      </c>
      <c r="C12986" s="2889" t="s">
        <v>1477</v>
      </c>
      <c r="D12986" s="2889" t="s">
        <v>1054</v>
      </c>
      <c r="E12986" s="2889" t="s">
        <v>217</v>
      </c>
      <c r="F12986" s="2890">
        <v>4.2928849270982405E-3</v>
      </c>
      <c r="G12986" s="2890">
        <v>5.8674133720287109</v>
      </c>
    </row>
    <row r="12987" spans="2:7" ht="15" hidden="1" outlineLevel="2">
      <c r="B12987" s="2889" t="s">
        <v>1643</v>
      </c>
      <c r="C12987" s="2889" t="s">
        <v>1478</v>
      </c>
      <c r="D12987" s="2889" t="s">
        <v>1054</v>
      </c>
      <c r="E12987" s="2889" t="s">
        <v>217</v>
      </c>
      <c r="F12987" s="2890">
        <v>2.3134434651014214E-4</v>
      </c>
      <c r="G12987" s="2890">
        <v>0.30463202696399411</v>
      </c>
    </row>
    <row r="12988" spans="2:7" ht="15" hidden="1" outlineLevel="2">
      <c r="B12988" s="2889" t="s">
        <v>1643</v>
      </c>
      <c r="C12988" s="2889" t="s">
        <v>1479</v>
      </c>
      <c r="D12988" s="2889" t="s">
        <v>1054</v>
      </c>
      <c r="E12988" s="2889" t="s">
        <v>217</v>
      </c>
      <c r="F12988" s="2890">
        <v>8.1798528402472464E-3</v>
      </c>
      <c r="G12988" s="2890">
        <v>12.283264860607348</v>
      </c>
    </row>
    <row r="12989" spans="2:7" ht="15" hidden="1" outlineLevel="2">
      <c r="B12989" s="2889" t="s">
        <v>1643</v>
      </c>
      <c r="C12989" s="2889" t="s">
        <v>1480</v>
      </c>
      <c r="D12989" s="2889" t="s">
        <v>1054</v>
      </c>
      <c r="E12989" s="2889" t="s">
        <v>217</v>
      </c>
      <c r="F12989" s="2890">
        <v>3.6822348382677035E-3</v>
      </c>
      <c r="G12989" s="2890">
        <v>4.2305552690390886</v>
      </c>
    </row>
    <row r="12990" spans="2:7" ht="15" hidden="1" outlineLevel="2">
      <c r="B12990" s="2889" t="s">
        <v>1643</v>
      </c>
      <c r="C12990" s="2889" t="s">
        <v>1481</v>
      </c>
      <c r="D12990" s="2889" t="s">
        <v>1054</v>
      </c>
      <c r="E12990" s="2889" t="s">
        <v>217</v>
      </c>
      <c r="F12990" s="2890">
        <v>1.822225455249506E-2</v>
      </c>
      <c r="G12990" s="2890">
        <v>25.583619473470563</v>
      </c>
    </row>
    <row r="12991" spans="2:7" ht="15" hidden="1" outlineLevel="2">
      <c r="B12991" s="2889" t="s">
        <v>1643</v>
      </c>
      <c r="C12991" s="2889" t="s">
        <v>1482</v>
      </c>
      <c r="D12991" s="2889" t="s">
        <v>1054</v>
      </c>
      <c r="E12991" s="2889" t="s">
        <v>217</v>
      </c>
      <c r="F12991" s="2890">
        <v>1.2280498620997752E-2</v>
      </c>
      <c r="G12991" s="2890">
        <v>12.255897990097637</v>
      </c>
    </row>
    <row r="12992" spans="2:7" ht="15" hidden="1" outlineLevel="2">
      <c r="B12992" s="2889" t="s">
        <v>1643</v>
      </c>
      <c r="C12992" s="2889" t="s">
        <v>1483</v>
      </c>
      <c r="D12992" s="2889" t="s">
        <v>1054</v>
      </c>
      <c r="E12992" s="2889" t="s">
        <v>217</v>
      </c>
      <c r="F12992" s="2890">
        <v>5.8325073242064193E-4</v>
      </c>
      <c r="G12992" s="2890">
        <v>0.97698764034384544</v>
      </c>
    </row>
    <row r="12993" spans="2:7" ht="15" hidden="1" outlineLevel="2">
      <c r="B12993" s="2889" t="s">
        <v>1643</v>
      </c>
      <c r="C12993" s="2889" t="s">
        <v>1484</v>
      </c>
      <c r="D12993" s="2889" t="s">
        <v>1054</v>
      </c>
      <c r="E12993" s="2889" t="s">
        <v>217</v>
      </c>
      <c r="F12993" s="2890">
        <v>1.1865804259119871E-3</v>
      </c>
      <c r="G12993" s="2890">
        <v>1.6566182825901814</v>
      </c>
    </row>
    <row r="12994" spans="2:7" ht="15" hidden="1" outlineLevel="2">
      <c r="B12994" s="2889" t="s">
        <v>1643</v>
      </c>
      <c r="C12994" s="2889" t="s">
        <v>1485</v>
      </c>
      <c r="D12994" s="2889" t="s">
        <v>1054</v>
      </c>
      <c r="E12994" s="2889" t="s">
        <v>217</v>
      </c>
      <c r="F12994" s="2890">
        <v>5.2692531099801686E-4</v>
      </c>
      <c r="G12994" s="2890">
        <v>1.4844792623393668</v>
      </c>
    </row>
    <row r="12995" spans="2:7" ht="15" hidden="1" outlineLevel="2">
      <c r="B12995" s="2889" t="s">
        <v>1643</v>
      </c>
      <c r="C12995" s="2889" t="s">
        <v>1486</v>
      </c>
      <c r="D12995" s="2889" t="s">
        <v>1054</v>
      </c>
      <c r="E12995" s="2889" t="s">
        <v>217</v>
      </c>
      <c r="F12995" s="2890">
        <v>6.1395669034887868E-4</v>
      </c>
      <c r="G12995" s="2890">
        <v>3.5455922172594896</v>
      </c>
    </row>
    <row r="12996" spans="2:7" ht="15" hidden="1" outlineLevel="2">
      <c r="B12996" s="2889" t="s">
        <v>1643</v>
      </c>
      <c r="C12996" s="2889" t="s">
        <v>1487</v>
      </c>
      <c r="D12996" s="2889" t="s">
        <v>1054</v>
      </c>
      <c r="E12996" s="2889" t="s">
        <v>217</v>
      </c>
      <c r="F12996" s="2890">
        <v>5.8096567224137589E-3</v>
      </c>
      <c r="G12996" s="2890">
        <v>8.4021297389685703</v>
      </c>
    </row>
    <row r="12997" spans="2:7" ht="15" hidden="1" outlineLevel="2">
      <c r="B12997" s="2889" t="s">
        <v>1643</v>
      </c>
      <c r="C12997" s="2889" t="s">
        <v>1488</v>
      </c>
      <c r="D12997" s="2889" t="s">
        <v>1054</v>
      </c>
      <c r="E12997" s="2889" t="s">
        <v>217</v>
      </c>
      <c r="F12997" s="2890">
        <v>3.6027456409736328E-3</v>
      </c>
      <c r="G12997" s="2890">
        <v>5.7664931887694575</v>
      </c>
    </row>
    <row r="12998" spans="2:7" ht="15" hidden="1" outlineLevel="2">
      <c r="B12998" s="2889" t="s">
        <v>1643</v>
      </c>
      <c r="C12998" s="2889" t="s">
        <v>1489</v>
      </c>
      <c r="D12998" s="2889" t="s">
        <v>1054</v>
      </c>
      <c r="E12998" s="2889" t="s">
        <v>217</v>
      </c>
      <c r="F12998" s="2890">
        <v>1.8144578028780757E-3</v>
      </c>
      <c r="G12998" s="2890">
        <v>1.9000064542108166</v>
      </c>
    </row>
    <row r="12999" spans="2:7" ht="15" hidden="1" outlineLevel="2">
      <c r="B12999" s="2889" t="s">
        <v>1643</v>
      </c>
      <c r="C12999" s="2889" t="s">
        <v>1490</v>
      </c>
      <c r="D12999" s="2889" t="s">
        <v>1054</v>
      </c>
      <c r="E12999" s="2889" t="s">
        <v>217</v>
      </c>
      <c r="F12999" s="2890">
        <v>8.458262820319239E-4</v>
      </c>
      <c r="G12999" s="2890">
        <v>1.3422244252642226</v>
      </c>
    </row>
    <row r="13000" spans="2:7" ht="15" hidden="1" outlineLevel="2">
      <c r="B13000" s="2889" t="s">
        <v>1643</v>
      </c>
      <c r="C13000" s="2889" t="s">
        <v>1491</v>
      </c>
      <c r="D13000" s="2889" t="s">
        <v>1054</v>
      </c>
      <c r="E13000" s="2889" t="s">
        <v>1420</v>
      </c>
      <c r="F13000" s="2890">
        <v>1.6056764232426197E-4</v>
      </c>
      <c r="G13000" s="2890">
        <v>0.7602573989089717</v>
      </c>
    </row>
    <row r="13001" spans="2:7" ht="15" hidden="1" outlineLevel="2">
      <c r="B13001" s="2889" t="s">
        <v>1643</v>
      </c>
      <c r="C13001" s="2889" t="s">
        <v>1492</v>
      </c>
      <c r="D13001" s="2889" t="s">
        <v>1054</v>
      </c>
      <c r="E13001" s="2889" t="s">
        <v>1420</v>
      </c>
      <c r="F13001" s="2890">
        <v>1.1936076600204007E-4</v>
      </c>
      <c r="G13001" s="2890">
        <v>1.2758555336715427</v>
      </c>
    </row>
    <row r="13002" spans="2:7" ht="15" hidden="1" outlineLevel="2">
      <c r="B13002" s="2889" t="s">
        <v>1643</v>
      </c>
      <c r="C13002" s="2889" t="s">
        <v>1493</v>
      </c>
      <c r="D13002" s="2889" t="s">
        <v>1054</v>
      </c>
      <c r="E13002" s="2889" t="s">
        <v>1420</v>
      </c>
      <c r="F13002" s="2890">
        <v>8.8384650327506391E-5</v>
      </c>
      <c r="G13002" s="2890">
        <v>0.21106460523387602</v>
      </c>
    </row>
    <row r="13003" spans="2:7" ht="15" hidden="1" outlineLevel="2">
      <c r="B13003" s="2889" t="s">
        <v>1643</v>
      </c>
      <c r="C13003" s="2889" t="s">
        <v>1494</v>
      </c>
      <c r="D13003" s="2889" t="s">
        <v>1054</v>
      </c>
      <c r="E13003" s="2889" t="s">
        <v>1420</v>
      </c>
      <c r="F13003" s="2890">
        <v>2.4100591627977199E-5</v>
      </c>
      <c r="G13003" s="2890">
        <v>0.13225783721178017</v>
      </c>
    </row>
    <row r="13004" spans="2:7" ht="15" hidden="1" outlineLevel="2">
      <c r="B13004" s="2889" t="s">
        <v>1643</v>
      </c>
      <c r="C13004" s="2889" t="s">
        <v>1495</v>
      </c>
      <c r="D13004" s="2889" t="s">
        <v>1054</v>
      </c>
      <c r="E13004" s="2889" t="s">
        <v>1420</v>
      </c>
      <c r="F13004" s="2890">
        <v>5.2155340400668662E-4</v>
      </c>
      <c r="G13004" s="2890">
        <v>2.3405166621381257</v>
      </c>
    </row>
    <row r="13005" spans="2:7" ht="15" hidden="1" outlineLevel="2">
      <c r="B13005" s="2889" t="s">
        <v>1643</v>
      </c>
      <c r="C13005" s="2889" t="s">
        <v>1496</v>
      </c>
      <c r="D13005" s="2889" t="s">
        <v>1054</v>
      </c>
      <c r="E13005" s="2889" t="s">
        <v>1420</v>
      </c>
      <c r="F13005" s="2890">
        <v>4.731692473334139E-4</v>
      </c>
      <c r="G13005" s="2890">
        <v>0.84272082199204301</v>
      </c>
    </row>
    <row r="13006" spans="2:7" ht="15" hidden="1" outlineLevel="2">
      <c r="B13006" s="2889" t="s">
        <v>1643</v>
      </c>
      <c r="C13006" s="2889" t="s">
        <v>1497</v>
      </c>
      <c r="D13006" s="2889" t="s">
        <v>1054</v>
      </c>
      <c r="E13006" s="2889" t="s">
        <v>1420</v>
      </c>
      <c r="F13006" s="2890">
        <v>1.3128263528162134E-4</v>
      </c>
      <c r="G13006" s="2890">
        <v>2.165352975601825</v>
      </c>
    </row>
    <row r="13007" spans="2:7" ht="15" hidden="1" outlineLevel="2">
      <c r="B13007" s="2889" t="s">
        <v>1643</v>
      </c>
      <c r="C13007" s="2889" t="s">
        <v>1498</v>
      </c>
      <c r="D13007" s="2889" t="s">
        <v>1054</v>
      </c>
      <c r="E13007" s="2889" t="s">
        <v>1420</v>
      </c>
      <c r="F13007" s="2890">
        <v>3.5885661935300601E-4</v>
      </c>
      <c r="G13007" s="2890">
        <v>0.86243697692195154</v>
      </c>
    </row>
    <row r="13008" spans="2:7" ht="15" hidden="1" outlineLevel="2">
      <c r="B13008" s="2889" t="s">
        <v>1643</v>
      </c>
      <c r="C13008" s="2889" t="s">
        <v>1499</v>
      </c>
      <c r="D13008" s="2889" t="s">
        <v>1054</v>
      </c>
      <c r="E13008" s="2889" t="s">
        <v>1420</v>
      </c>
      <c r="F13008" s="2890">
        <v>5.4807239287307334E-5</v>
      </c>
      <c r="G13008" s="2890">
        <v>0.13877874142979385</v>
      </c>
    </row>
    <row r="13009" spans="2:7" ht="15" hidden="1" outlineLevel="2">
      <c r="B13009" s="2889" t="s">
        <v>1643</v>
      </c>
      <c r="C13009" s="2889" t="s">
        <v>1500</v>
      </c>
      <c r="D13009" s="2889" t="s">
        <v>1054</v>
      </c>
      <c r="E13009" s="2889" t="s">
        <v>1420</v>
      </c>
      <c r="F13009" s="2890">
        <v>3.9697934003714741E-4</v>
      </c>
      <c r="G13009" s="2890">
        <v>1.5012830079229338</v>
      </c>
    </row>
    <row r="13010" spans="2:7" ht="15" hidden="1" outlineLevel="2">
      <c r="B13010" s="2889" t="s">
        <v>1643</v>
      </c>
      <c r="C13010" s="2889" t="s">
        <v>1501</v>
      </c>
      <c r="D13010" s="2889" t="s">
        <v>1054</v>
      </c>
      <c r="E13010" s="2889" t="s">
        <v>1420</v>
      </c>
      <c r="F13010" s="2890">
        <v>4.9789813030910637E-4</v>
      </c>
      <c r="G13010" s="2890">
        <v>3.6557021231478997</v>
      </c>
    </row>
    <row r="13011" spans="2:7" ht="15" hidden="1" outlineLevel="2">
      <c r="B13011" s="2889" t="s">
        <v>1643</v>
      </c>
      <c r="C13011" s="2889" t="s">
        <v>1502</v>
      </c>
      <c r="D13011" s="2889" t="s">
        <v>1054</v>
      </c>
      <c r="E13011" s="2889" t="s">
        <v>1420</v>
      </c>
      <c r="F13011" s="2890">
        <v>3.4740957858142842E-5</v>
      </c>
      <c r="G13011" s="2890">
        <v>0.38187981544007316</v>
      </c>
    </row>
    <row r="13012" spans="2:7" ht="15" hidden="1" outlineLevel="2">
      <c r="B13012" s="2889" t="s">
        <v>1643</v>
      </c>
      <c r="C13012" s="2889" t="s">
        <v>1503</v>
      </c>
      <c r="D13012" s="2889" t="s">
        <v>1054</v>
      </c>
      <c r="E13012" s="2889" t="s">
        <v>1420</v>
      </c>
      <c r="F13012" s="2890">
        <v>1.1457240018577634E-3</v>
      </c>
      <c r="G13012" s="2890">
        <v>3.1633539043877423</v>
      </c>
    </row>
    <row r="13013" spans="2:7" ht="15" hidden="1" outlineLevel="2">
      <c r="B13013" s="2889" t="s">
        <v>1643</v>
      </c>
      <c r="C13013" s="2889" t="s">
        <v>1504</v>
      </c>
      <c r="D13013" s="2889" t="s">
        <v>1054</v>
      </c>
      <c r="E13013" s="2889" t="s">
        <v>1420</v>
      </c>
      <c r="F13013" s="2890">
        <v>5.9099733279262289E-4</v>
      </c>
      <c r="G13013" s="2890">
        <v>1.3081784705955768</v>
      </c>
    </row>
    <row r="13014" spans="2:7" ht="15" hidden="1" outlineLevel="2">
      <c r="B13014" s="2889" t="s">
        <v>1643</v>
      </c>
      <c r="C13014" s="2889" t="s">
        <v>1505</v>
      </c>
      <c r="D13014" s="2889" t="s">
        <v>1054</v>
      </c>
      <c r="E13014" s="2889" t="s">
        <v>1423</v>
      </c>
      <c r="F13014" s="2890">
        <v>1.6759397143499147E-3</v>
      </c>
      <c r="G13014" s="2890">
        <v>4.1475881852695101E-2</v>
      </c>
    </row>
    <row r="13015" spans="2:7" ht="15" hidden="1" outlineLevel="2">
      <c r="B13015" s="2889" t="s">
        <v>1643</v>
      </c>
      <c r="C13015" s="2889" t="s">
        <v>1506</v>
      </c>
      <c r="D13015" s="2889" t="s">
        <v>1054</v>
      </c>
      <c r="E13015" s="2889" t="s">
        <v>1426</v>
      </c>
      <c r="F13015" s="2891"/>
      <c r="G13015" s="2890">
        <v>123.14668351426195</v>
      </c>
    </row>
    <row r="13016" spans="2:7" ht="15" hidden="1" outlineLevel="2">
      <c r="B13016" s="2889" t="s">
        <v>1643</v>
      </c>
      <c r="C13016" s="2889" t="s">
        <v>1507</v>
      </c>
      <c r="D13016" s="2889" t="s">
        <v>1054</v>
      </c>
      <c r="E13016" s="2889" t="s">
        <v>1426</v>
      </c>
      <c r="F13016" s="2891"/>
      <c r="G13016" s="2890">
        <v>0.20073750014539174</v>
      </c>
    </row>
    <row r="13017" spans="2:7" ht="15" hidden="1" outlineLevel="2">
      <c r="B13017" s="2889" t="s">
        <v>1643</v>
      </c>
      <c r="C13017" s="2889" t="s">
        <v>1508</v>
      </c>
      <c r="D13017" s="2889" t="s">
        <v>1054</v>
      </c>
      <c r="E13017" s="2889" t="s">
        <v>1426</v>
      </c>
      <c r="F13017" s="2891"/>
      <c r="G13017" s="2890">
        <v>3.3070795667856387</v>
      </c>
    </row>
    <row r="13018" spans="2:7" ht="15" hidden="1" outlineLevel="2">
      <c r="B13018" s="2889" t="s">
        <v>1643</v>
      </c>
      <c r="C13018" s="2889" t="s">
        <v>1509</v>
      </c>
      <c r="D13018" s="2889" t="s">
        <v>1054</v>
      </c>
      <c r="E13018" s="2889" t="s">
        <v>1426</v>
      </c>
      <c r="F13018" s="2891"/>
      <c r="G13018" s="2890">
        <v>308.25072502330681</v>
      </c>
    </row>
    <row r="13019" spans="2:7" ht="15" hidden="1" outlineLevel="2">
      <c r="B13019" s="2889" t="s">
        <v>1643</v>
      </c>
      <c r="C13019" s="2889" t="s">
        <v>1510</v>
      </c>
      <c r="D13019" s="2889" t="s">
        <v>1054</v>
      </c>
      <c r="E13019" s="2889" t="s">
        <v>1426</v>
      </c>
      <c r="F13019" s="2891"/>
      <c r="G13019" s="2890">
        <v>335.31198947510609</v>
      </c>
    </row>
    <row r="13020" spans="2:7" ht="15" hidden="1" outlineLevel="2">
      <c r="B13020" s="2889" t="s">
        <v>1643</v>
      </c>
      <c r="C13020" s="2889" t="s">
        <v>1511</v>
      </c>
      <c r="D13020" s="2889" t="s">
        <v>1054</v>
      </c>
      <c r="E13020" s="2889" t="s">
        <v>1426</v>
      </c>
      <c r="F13020" s="2891"/>
      <c r="G13020" s="2890">
        <v>18.473477013615259</v>
      </c>
    </row>
    <row r="13021" spans="2:7" ht="15" hidden="1" outlineLevel="2">
      <c r="B13021" s="2889" t="s">
        <v>1643</v>
      </c>
      <c r="C13021" s="2889" t="s">
        <v>1512</v>
      </c>
      <c r="D13021" s="2889" t="s">
        <v>1054</v>
      </c>
      <c r="E13021" s="2889" t="s">
        <v>1426</v>
      </c>
      <c r="F13021" s="2891"/>
      <c r="G13021" s="2890">
        <v>11.40238065142087</v>
      </c>
    </row>
    <row r="13022" spans="2:7" ht="15" hidden="1" outlineLevel="2">
      <c r="B13022" s="2889" t="s">
        <v>1643</v>
      </c>
      <c r="C13022" s="2889" t="s">
        <v>1513</v>
      </c>
      <c r="D13022" s="2889" t="s">
        <v>1054</v>
      </c>
      <c r="E13022" s="2889" t="s">
        <v>1426</v>
      </c>
      <c r="F13022" s="2891"/>
      <c r="G13022" s="2890">
        <v>34.046934780157393</v>
      </c>
    </row>
    <row r="13023" spans="2:7" ht="15" hidden="1" outlineLevel="2">
      <c r="B13023" s="2889" t="s">
        <v>1643</v>
      </c>
      <c r="C13023" s="2889" t="s">
        <v>1514</v>
      </c>
      <c r="D13023" s="2889" t="s">
        <v>1054</v>
      </c>
      <c r="E13023" s="2889" t="s">
        <v>1426</v>
      </c>
      <c r="F13023" s="2891"/>
      <c r="G13023" s="2890">
        <v>146.23819682231999</v>
      </c>
    </row>
    <row r="13024" spans="2:7" ht="15" hidden="1" outlineLevel="2">
      <c r="B13024" s="2889" t="s">
        <v>1643</v>
      </c>
      <c r="C13024" s="2889" t="s">
        <v>1515</v>
      </c>
      <c r="D13024" s="2889" t="s">
        <v>1054</v>
      </c>
      <c r="E13024" s="2889" t="s">
        <v>1426</v>
      </c>
      <c r="F13024" s="2891"/>
      <c r="G13024" s="2890">
        <v>125.74774326195214</v>
      </c>
    </row>
    <row r="13025" spans="2:7" ht="15" hidden="1" outlineLevel="2">
      <c r="B13025" s="2889" t="s">
        <v>1643</v>
      </c>
      <c r="C13025" s="2889" t="s">
        <v>1516</v>
      </c>
      <c r="D13025" s="2889" t="s">
        <v>1054</v>
      </c>
      <c r="E13025" s="2889" t="s">
        <v>1426</v>
      </c>
      <c r="F13025" s="2891"/>
      <c r="G13025" s="2890">
        <v>1249.2222593527281</v>
      </c>
    </row>
    <row r="13026" spans="2:7" ht="15" hidden="1" outlineLevel="2">
      <c r="B13026" s="2889" t="s">
        <v>1643</v>
      </c>
      <c r="C13026" s="2889" t="s">
        <v>1517</v>
      </c>
      <c r="D13026" s="2889" t="s">
        <v>1054</v>
      </c>
      <c r="E13026" s="2889" t="s">
        <v>1426</v>
      </c>
      <c r="F13026" s="2891"/>
      <c r="G13026" s="2890">
        <v>10.362237611240655</v>
      </c>
    </row>
    <row r="13027" spans="2:7" ht="15" hidden="1" outlineLevel="2">
      <c r="B13027" s="2889" t="s">
        <v>1643</v>
      </c>
      <c r="C13027" s="2889" t="s">
        <v>1518</v>
      </c>
      <c r="D13027" s="2889" t="s">
        <v>1054</v>
      </c>
      <c r="E13027" s="2889" t="s">
        <v>1426</v>
      </c>
      <c r="F13027" s="2891"/>
      <c r="G13027" s="2890">
        <v>4.894558410469644</v>
      </c>
    </row>
    <row r="13028" spans="2:7" ht="15" hidden="1" outlineLevel="2">
      <c r="B13028" s="2889" t="s">
        <v>1643</v>
      </c>
      <c r="C13028" s="2889" t="s">
        <v>1519</v>
      </c>
      <c r="D13028" s="2889" t="s">
        <v>1054</v>
      </c>
      <c r="E13028" s="2889" t="s">
        <v>1426</v>
      </c>
      <c r="F13028" s="2891"/>
      <c r="G13028" s="2890">
        <v>285.31150748604671</v>
      </c>
    </row>
    <row r="13029" spans="2:7" ht="15" hidden="1" outlineLevel="2">
      <c r="B13029" s="2889" t="s">
        <v>1643</v>
      </c>
      <c r="C13029" s="2889" t="s">
        <v>1520</v>
      </c>
      <c r="D13029" s="2889" t="s">
        <v>1054</v>
      </c>
      <c r="E13029" s="2889" t="s">
        <v>1426</v>
      </c>
      <c r="F13029" s="2891"/>
      <c r="G13029" s="2890">
        <v>310.79864767796767</v>
      </c>
    </row>
    <row r="13030" spans="2:7" ht="15" hidden="1" outlineLevel="2">
      <c r="B13030" s="2889" t="s">
        <v>1643</v>
      </c>
      <c r="C13030" s="2889" t="s">
        <v>1521</v>
      </c>
      <c r="D13030" s="2889" t="s">
        <v>1054</v>
      </c>
      <c r="E13030" s="2889" t="s">
        <v>1426</v>
      </c>
      <c r="F13030" s="2891"/>
      <c r="G13030" s="2890">
        <v>1068.4515675360117</v>
      </c>
    </row>
    <row r="13031" spans="2:7" ht="15" hidden="1" outlineLevel="2">
      <c r="B13031" s="2889" t="s">
        <v>1643</v>
      </c>
      <c r="C13031" s="2889" t="s">
        <v>1522</v>
      </c>
      <c r="D13031" s="2889" t="s">
        <v>1054</v>
      </c>
      <c r="E13031" s="2889" t="s">
        <v>1426</v>
      </c>
      <c r="F13031" s="2891"/>
      <c r="G13031" s="2890">
        <v>50.301223489002453</v>
      </c>
    </row>
    <row r="13032" spans="2:7" ht="15" hidden="1" outlineLevel="2">
      <c r="B13032" s="2889" t="s">
        <v>1643</v>
      </c>
      <c r="C13032" s="2889" t="s">
        <v>1523</v>
      </c>
      <c r="D13032" s="2889" t="s">
        <v>1054</v>
      </c>
      <c r="E13032" s="2889" t="s">
        <v>1426</v>
      </c>
      <c r="F13032" s="2891"/>
      <c r="G13032" s="2890">
        <v>399.86091152919204</v>
      </c>
    </row>
    <row r="13033" spans="2:7" ht="15" hidden="1" outlineLevel="2">
      <c r="B13033" s="2889" t="s">
        <v>1643</v>
      </c>
      <c r="C13033" s="2889" t="s">
        <v>1524</v>
      </c>
      <c r="D13033" s="2889" t="s">
        <v>1054</v>
      </c>
      <c r="E13033" s="2889" t="s">
        <v>1426</v>
      </c>
      <c r="F13033" s="2891"/>
      <c r="G13033" s="2890">
        <v>1359.7260349901549</v>
      </c>
    </row>
    <row r="13034" spans="2:7" ht="15" hidden="1" outlineLevel="2">
      <c r="B13034" s="2889" t="s">
        <v>1643</v>
      </c>
      <c r="C13034" s="2889" t="s">
        <v>1525</v>
      </c>
      <c r="D13034" s="2889" t="s">
        <v>1054</v>
      </c>
      <c r="E13034" s="2889" t="s">
        <v>1426</v>
      </c>
      <c r="F13034" s="2891"/>
      <c r="G13034" s="2890">
        <v>824.59137874467126</v>
      </c>
    </row>
    <row r="13035" spans="2:7" ht="15" hidden="1" outlineLevel="2">
      <c r="B13035" s="2889" t="s">
        <v>1643</v>
      </c>
      <c r="C13035" s="2889" t="s">
        <v>1526</v>
      </c>
      <c r="D13035" s="2889" t="s">
        <v>1054</v>
      </c>
      <c r="E13035" s="2889" t="s">
        <v>1426</v>
      </c>
      <c r="F13035" s="2891"/>
      <c r="G13035" s="2890">
        <v>1244.4150448279552</v>
      </c>
    </row>
    <row r="13036" spans="2:7" ht="15" hidden="1" outlineLevel="2">
      <c r="B13036" s="2889" t="s">
        <v>1643</v>
      </c>
      <c r="C13036" s="2889" t="s">
        <v>1527</v>
      </c>
      <c r="D13036" s="2889" t="s">
        <v>1054</v>
      </c>
      <c r="E13036" s="2889" t="s">
        <v>1426</v>
      </c>
      <c r="F13036" s="2891"/>
      <c r="G13036" s="2890">
        <v>565.41490802597013</v>
      </c>
    </row>
    <row r="13037" spans="2:7" ht="15" hidden="1" outlineLevel="2">
      <c r="B13037" s="2889" t="s">
        <v>1643</v>
      </c>
      <c r="C13037" s="2889" t="s">
        <v>1528</v>
      </c>
      <c r="D13037" s="2889" t="s">
        <v>1054</v>
      </c>
      <c r="E13037" s="2889" t="s">
        <v>1426</v>
      </c>
      <c r="F13037" s="2891"/>
      <c r="G13037" s="2890">
        <v>133.85170071279856</v>
      </c>
    </row>
    <row r="13038" spans="2:7" ht="15" hidden="1" outlineLevel="2">
      <c r="B13038" s="2889" t="s">
        <v>1643</v>
      </c>
      <c r="C13038" s="2889" t="s">
        <v>1529</v>
      </c>
      <c r="D13038" s="2889" t="s">
        <v>1054</v>
      </c>
      <c r="E13038" s="2889" t="s">
        <v>1426</v>
      </c>
      <c r="F13038" s="2891"/>
      <c r="G13038" s="2890">
        <v>1.7420868862791878</v>
      </c>
    </row>
    <row r="13039" spans="2:7" ht="15" hidden="1" outlineLevel="2">
      <c r="B13039" s="2889" t="s">
        <v>1643</v>
      </c>
      <c r="C13039" s="2889" t="s">
        <v>1530</v>
      </c>
      <c r="D13039" s="2889" t="s">
        <v>1054</v>
      </c>
      <c r="E13039" s="2889" t="s">
        <v>1426</v>
      </c>
      <c r="F13039" s="2891"/>
      <c r="G13039" s="2890">
        <v>128.26168242863619</v>
      </c>
    </row>
    <row r="13040" spans="2:7" ht="15" hidden="1" outlineLevel="2">
      <c r="B13040" s="2889" t="s">
        <v>1643</v>
      </c>
      <c r="C13040" s="2889" t="s">
        <v>1531</v>
      </c>
      <c r="D13040" s="2889" t="s">
        <v>1106</v>
      </c>
      <c r="E13040" s="2889" t="s">
        <v>217</v>
      </c>
      <c r="F13040" s="2890">
        <v>9.4294813407152955E-5</v>
      </c>
      <c r="G13040" s="2890">
        <v>4.2273672547016625E-2</v>
      </c>
    </row>
    <row r="13041" spans="2:7" ht="15" hidden="1" outlineLevel="2">
      <c r="B13041" s="2889" t="s">
        <v>1643</v>
      </c>
      <c r="C13041" s="2889" t="s">
        <v>1532</v>
      </c>
      <c r="D13041" s="2889" t="s">
        <v>1106</v>
      </c>
      <c r="E13041" s="2889" t="s">
        <v>217</v>
      </c>
      <c r="F13041" s="2890">
        <v>7.4265512427321364E-6</v>
      </c>
      <c r="G13041" s="2890">
        <v>3.3294268505499333E-3</v>
      </c>
    </row>
    <row r="13042" spans="2:7" ht="15" hidden="1" outlineLevel="2">
      <c r="B13042" s="2889" t="s">
        <v>1643</v>
      </c>
      <c r="C13042" s="2889" t="s">
        <v>1533</v>
      </c>
      <c r="D13042" s="2889" t="s">
        <v>1106</v>
      </c>
      <c r="E13042" s="2889" t="s">
        <v>217</v>
      </c>
      <c r="F13042" s="2890">
        <v>4.8402610954992433E-3</v>
      </c>
      <c r="G13042" s="2890">
        <v>5.1419402006522743</v>
      </c>
    </row>
    <row r="13043" spans="2:7" ht="15" hidden="1" outlineLevel="2">
      <c r="B13043" s="2889" t="s">
        <v>1643</v>
      </c>
      <c r="C13043" s="2889" t="s">
        <v>1534</v>
      </c>
      <c r="D13043" s="2889" t="s">
        <v>1106</v>
      </c>
      <c r="E13043" s="2889" t="s">
        <v>217</v>
      </c>
      <c r="F13043" s="2890">
        <v>4.4010267406730591E-3</v>
      </c>
      <c r="G13043" s="2890">
        <v>15.226672523699087</v>
      </c>
    </row>
    <row r="13044" spans="2:7" ht="15" hidden="1" outlineLevel="2">
      <c r="B13044" s="2889" t="s">
        <v>1643</v>
      </c>
      <c r="C13044" s="2889" t="s">
        <v>1535</v>
      </c>
      <c r="D13044" s="2889" t="s">
        <v>1106</v>
      </c>
      <c r="E13044" s="2889" t="s">
        <v>217</v>
      </c>
      <c r="F13044" s="2890">
        <v>1.6470662372641246E-3</v>
      </c>
      <c r="G13044" s="2890">
        <v>3.8455305199658145</v>
      </c>
    </row>
    <row r="13045" spans="2:7" ht="15" hidden="1" outlineLevel="2">
      <c r="B13045" s="2889" t="s">
        <v>1643</v>
      </c>
      <c r="C13045" s="2889" t="s">
        <v>1536</v>
      </c>
      <c r="D13045" s="2889" t="s">
        <v>1106</v>
      </c>
      <c r="E13045" s="2889" t="s">
        <v>217</v>
      </c>
      <c r="F13045" s="2890">
        <v>5.5262994351608667E-3</v>
      </c>
      <c r="G13045" s="2890">
        <v>7.1678937112344148</v>
      </c>
    </row>
    <row r="13046" spans="2:7" ht="15" hidden="1" outlineLevel="2">
      <c r="B13046" s="2889" t="s">
        <v>1643</v>
      </c>
      <c r="C13046" s="2889" t="s">
        <v>1537</v>
      </c>
      <c r="D13046" s="2889" t="s">
        <v>1106</v>
      </c>
      <c r="E13046" s="2889" t="s">
        <v>217</v>
      </c>
      <c r="F13046" s="2890">
        <v>3.0923449505185165E-4</v>
      </c>
      <c r="G13046" s="2890">
        <v>0.35217815898544841</v>
      </c>
    </row>
    <row r="13047" spans="2:7" ht="15" hidden="1" outlineLevel="2">
      <c r="B13047" s="2889" t="s">
        <v>1643</v>
      </c>
      <c r="C13047" s="2889" t="s">
        <v>1538</v>
      </c>
      <c r="D13047" s="2889" t="s">
        <v>1106</v>
      </c>
      <c r="E13047" s="2889" t="s">
        <v>217</v>
      </c>
      <c r="F13047" s="2890">
        <v>1.3506314818879659E-4</v>
      </c>
      <c r="G13047" s="2890">
        <v>0.18163281047114108</v>
      </c>
    </row>
    <row r="13048" spans="2:7" ht="15" hidden="1" outlineLevel="2">
      <c r="B13048" s="2889" t="s">
        <v>1643</v>
      </c>
      <c r="C13048" s="2889" t="s">
        <v>1539</v>
      </c>
      <c r="D13048" s="2889" t="s">
        <v>1106</v>
      </c>
      <c r="E13048" s="2889" t="s">
        <v>217</v>
      </c>
      <c r="F13048" s="2890">
        <v>1.2154691796050467E-4</v>
      </c>
      <c r="G13048" s="2890">
        <v>1.552642774811215</v>
      </c>
    </row>
    <row r="13049" spans="2:7" ht="15" hidden="1" outlineLevel="2">
      <c r="B13049" s="2889" t="s">
        <v>1643</v>
      </c>
      <c r="C13049" s="2889" t="s">
        <v>1540</v>
      </c>
      <c r="D13049" s="2889" t="s">
        <v>1106</v>
      </c>
      <c r="E13049" s="2889" t="s">
        <v>1420</v>
      </c>
      <c r="F13049" s="2890">
        <v>5.3678450638991685E-3</v>
      </c>
      <c r="G13049" s="2890">
        <v>13.0259819531119</v>
      </c>
    </row>
    <row r="13050" spans="2:7" ht="15" hidden="1" outlineLevel="2">
      <c r="B13050" s="2889" t="s">
        <v>1643</v>
      </c>
      <c r="C13050" s="2889" t="s">
        <v>1541</v>
      </c>
      <c r="D13050" s="2889" t="s">
        <v>1106</v>
      </c>
      <c r="E13050" s="2889" t="s">
        <v>1420</v>
      </c>
      <c r="F13050" s="2890">
        <v>0.15643161639613287</v>
      </c>
      <c r="G13050" s="2890">
        <v>1151.6971029543286</v>
      </c>
    </row>
    <row r="13051" spans="2:7" ht="15" hidden="1" outlineLevel="2">
      <c r="B13051" s="2889" t="s">
        <v>1643</v>
      </c>
      <c r="C13051" s="2889" t="s">
        <v>1542</v>
      </c>
      <c r="D13051" s="2889" t="s">
        <v>1106</v>
      </c>
      <c r="E13051" s="2889" t="s">
        <v>1420</v>
      </c>
      <c r="F13051" s="2890">
        <v>7.6087460770295678E-4</v>
      </c>
      <c r="G13051" s="2890">
        <v>8.7068572931426154</v>
      </c>
    </row>
    <row r="13052" spans="2:7" ht="15" hidden="1" outlineLevel="2">
      <c r="B13052" s="2889" t="s">
        <v>1643</v>
      </c>
      <c r="C13052" s="2889" t="s">
        <v>1543</v>
      </c>
      <c r="D13052" s="2889" t="s">
        <v>1106</v>
      </c>
      <c r="E13052" s="2889" t="s">
        <v>1420</v>
      </c>
      <c r="F13052" s="2890">
        <v>2.7572237382223326E-4</v>
      </c>
      <c r="G13052" s="2890">
        <v>2.6987227778912408</v>
      </c>
    </row>
    <row r="13053" spans="2:7" ht="15" hidden="1" outlineLevel="2">
      <c r="B13053" s="2889" t="s">
        <v>1643</v>
      </c>
      <c r="C13053" s="2889" t="s">
        <v>1544</v>
      </c>
      <c r="D13053" s="2889" t="s">
        <v>1106</v>
      </c>
      <c r="E13053" s="2889" t="s">
        <v>1420</v>
      </c>
      <c r="F13053" s="2890">
        <v>2.665012082760456E-4</v>
      </c>
      <c r="G13053" s="2890">
        <v>0.69631741617919218</v>
      </c>
    </row>
    <row r="13054" spans="2:7" ht="15" hidden="1" outlineLevel="2">
      <c r="B13054" s="2889" t="s">
        <v>1643</v>
      </c>
      <c r="C13054" s="2889" t="s">
        <v>1545</v>
      </c>
      <c r="D13054" s="2889" t="s">
        <v>1106</v>
      </c>
      <c r="E13054" s="2889" t="s">
        <v>1420</v>
      </c>
      <c r="F13054" s="2890">
        <v>2.6651233010419544E-4</v>
      </c>
      <c r="G13054" s="2890">
        <v>5.296313532383536</v>
      </c>
    </row>
    <row r="13055" spans="2:7" ht="15" hidden="1" outlineLevel="2">
      <c r="B13055" s="2889" t="s">
        <v>1643</v>
      </c>
      <c r="C13055" s="2889" t="s">
        <v>1546</v>
      </c>
      <c r="D13055" s="2889" t="s">
        <v>1106</v>
      </c>
      <c r="E13055" s="2889" t="s">
        <v>1423</v>
      </c>
      <c r="F13055" s="2890">
        <v>0.80789155494634468</v>
      </c>
      <c r="G13055" s="2890">
        <v>67.988785012324257</v>
      </c>
    </row>
    <row r="13056" spans="2:7" ht="15" hidden="1" outlineLevel="2">
      <c r="B13056" s="2889" t="s">
        <v>1643</v>
      </c>
      <c r="C13056" s="2889" t="s">
        <v>1547</v>
      </c>
      <c r="D13056" s="2889" t="s">
        <v>1106</v>
      </c>
      <c r="E13056" s="2889" t="s">
        <v>1423</v>
      </c>
      <c r="F13056" s="2890">
        <v>8.8242405231895552E-4</v>
      </c>
      <c r="G13056" s="2890">
        <v>7.7271634760810351E-2</v>
      </c>
    </row>
    <row r="13057" spans="2:7" ht="15" hidden="1" outlineLevel="2">
      <c r="B13057" s="2889" t="s">
        <v>1643</v>
      </c>
      <c r="C13057" s="2889" t="s">
        <v>1548</v>
      </c>
      <c r="D13057" s="2889" t="s">
        <v>1106</v>
      </c>
      <c r="E13057" s="2889" t="s">
        <v>1423</v>
      </c>
      <c r="F13057" s="2890">
        <v>4.1173847479322902E-4</v>
      </c>
      <c r="G13057" s="2890">
        <v>4.2198933099643982E-2</v>
      </c>
    </row>
    <row r="13058" spans="2:7" ht="15" hidden="1" outlineLevel="2">
      <c r="B13058" s="2889" t="s">
        <v>1643</v>
      </c>
      <c r="C13058" s="2889" t="s">
        <v>1549</v>
      </c>
      <c r="D13058" s="2889" t="s">
        <v>1106</v>
      </c>
      <c r="E13058" s="2889" t="s">
        <v>1423</v>
      </c>
      <c r="F13058" s="2890">
        <v>1.7411838852450991E-3</v>
      </c>
      <c r="G13058" s="2890">
        <v>0.171461141410821</v>
      </c>
    </row>
    <row r="13059" spans="2:7" ht="15" hidden="1" outlineLevel="2">
      <c r="B13059" s="2889" t="s">
        <v>1643</v>
      </c>
      <c r="C13059" s="2889" t="s">
        <v>1550</v>
      </c>
      <c r="D13059" s="2889" t="s">
        <v>1106</v>
      </c>
      <c r="E13059" s="2889" t="s">
        <v>1423</v>
      </c>
      <c r="F13059" s="2890">
        <v>1.4021513275295136E-3</v>
      </c>
      <c r="G13059" s="2890">
        <v>0.3153132179011241</v>
      </c>
    </row>
    <row r="13060" spans="2:7" ht="15" hidden="1" outlineLevel="2">
      <c r="B13060" s="2889" t="s">
        <v>1643</v>
      </c>
      <c r="C13060" s="2889" t="s">
        <v>1551</v>
      </c>
      <c r="D13060" s="2889" t="s">
        <v>1106</v>
      </c>
      <c r="E13060" s="2889" t="s">
        <v>1426</v>
      </c>
      <c r="F13060" s="2891"/>
      <c r="G13060" s="2890">
        <v>21.192762014833921</v>
      </c>
    </row>
    <row r="13061" spans="2:7" ht="15" hidden="1" outlineLevel="2">
      <c r="B13061" s="2889" t="s">
        <v>1643</v>
      </c>
      <c r="C13061" s="2889" t="s">
        <v>1552</v>
      </c>
      <c r="D13061" s="2889" t="s">
        <v>1106</v>
      </c>
      <c r="E13061" s="2889" t="s">
        <v>1426</v>
      </c>
      <c r="F13061" s="2891"/>
      <c r="G13061" s="2890">
        <v>307.51919980269986</v>
      </c>
    </row>
    <row r="13062" spans="2:7" ht="15" hidden="1" outlineLevel="2">
      <c r="B13062" s="2889" t="s">
        <v>1643</v>
      </c>
      <c r="C13062" s="2889" t="s">
        <v>1553</v>
      </c>
      <c r="D13062" s="2889" t="s">
        <v>1106</v>
      </c>
      <c r="E13062" s="2889" t="s">
        <v>1426</v>
      </c>
      <c r="F13062" s="2891"/>
      <c r="G13062" s="2890">
        <v>134.22194837111485</v>
      </c>
    </row>
    <row r="13063" spans="2:7" ht="15" hidden="1" outlineLevel="2">
      <c r="B13063" s="2889" t="s">
        <v>1643</v>
      </c>
      <c r="C13063" s="2889" t="s">
        <v>1554</v>
      </c>
      <c r="D13063" s="2889" t="s">
        <v>1106</v>
      </c>
      <c r="E13063" s="2889" t="s">
        <v>1426</v>
      </c>
      <c r="F13063" s="2891"/>
      <c r="G13063" s="2890">
        <v>136.23380810522033</v>
      </c>
    </row>
    <row r="13064" spans="2:7" ht="15" hidden="1" outlineLevel="2">
      <c r="B13064" s="2889" t="s">
        <v>1643</v>
      </c>
      <c r="C13064" s="2889" t="s">
        <v>1555</v>
      </c>
      <c r="D13064" s="2889" t="s">
        <v>1106</v>
      </c>
      <c r="E13064" s="2889" t="s">
        <v>1426</v>
      </c>
      <c r="F13064" s="2891"/>
      <c r="G13064" s="2890">
        <v>5.2373122617885111</v>
      </c>
    </row>
    <row r="13065" spans="2:7" ht="15" hidden="1" outlineLevel="2">
      <c r="B13065" s="2889" t="s">
        <v>1643</v>
      </c>
      <c r="C13065" s="2889" t="s">
        <v>1556</v>
      </c>
      <c r="D13065" s="2889" t="s">
        <v>1106</v>
      </c>
      <c r="E13065" s="2889" t="s">
        <v>1426</v>
      </c>
      <c r="F13065" s="2891"/>
      <c r="G13065" s="2890">
        <v>498.73762222152556</v>
      </c>
    </row>
    <row r="13066" spans="2:7" ht="15" hidden="1" outlineLevel="2">
      <c r="B13066" s="2889" t="s">
        <v>1643</v>
      </c>
      <c r="C13066" s="2889" t="s">
        <v>1557</v>
      </c>
      <c r="D13066" s="2889" t="s">
        <v>1106</v>
      </c>
      <c r="E13066" s="2889" t="s">
        <v>1426</v>
      </c>
      <c r="F13066" s="2891"/>
      <c r="G13066" s="2890">
        <v>193.60686371485122</v>
      </c>
    </row>
    <row r="13067" spans="2:7" ht="15" hidden="1" outlineLevel="2">
      <c r="B13067" s="2889" t="s">
        <v>1643</v>
      </c>
      <c r="C13067" s="2889" t="s">
        <v>1558</v>
      </c>
      <c r="D13067" s="2889" t="s">
        <v>1559</v>
      </c>
      <c r="E13067" s="2889" t="s">
        <v>217</v>
      </c>
      <c r="F13067" s="2890">
        <v>2.827961264527775E-3</v>
      </c>
      <c r="G13067" s="2890">
        <v>1.5487841462509917</v>
      </c>
    </row>
    <row r="13068" spans="2:7" ht="15" hidden="1" outlineLevel="2">
      <c r="B13068" s="2889" t="s">
        <v>1643</v>
      </c>
      <c r="C13068" s="2889" t="s">
        <v>1560</v>
      </c>
      <c r="D13068" s="2889" t="s">
        <v>1559</v>
      </c>
      <c r="E13068" s="2889" t="s">
        <v>217</v>
      </c>
      <c r="F13068" s="2890">
        <v>2.3006389362558739E-2</v>
      </c>
      <c r="G13068" s="2890">
        <v>12.416295022836326</v>
      </c>
    </row>
    <row r="13069" spans="2:7" ht="15" hidden="1" outlineLevel="2">
      <c r="B13069" s="2889" t="s">
        <v>1643</v>
      </c>
      <c r="C13069" s="2889" t="s">
        <v>1561</v>
      </c>
      <c r="D13069" s="2889" t="s">
        <v>1559</v>
      </c>
      <c r="E13069" s="2889" t="s">
        <v>217</v>
      </c>
      <c r="F13069" s="2890">
        <v>4.2248244679823382E-2</v>
      </c>
      <c r="G13069" s="2890">
        <v>22.030155550163485</v>
      </c>
    </row>
    <row r="13070" spans="2:7" ht="15" hidden="1" outlineLevel="2">
      <c r="B13070" s="2889" t="s">
        <v>1643</v>
      </c>
      <c r="C13070" s="2889" t="s">
        <v>1562</v>
      </c>
      <c r="D13070" s="2889" t="s">
        <v>1559</v>
      </c>
      <c r="E13070" s="2889" t="s">
        <v>217</v>
      </c>
      <c r="F13070" s="2890">
        <v>0.2609189811742722</v>
      </c>
      <c r="G13070" s="2890">
        <v>143.07296852625987</v>
      </c>
    </row>
    <row r="13071" spans="2:7" ht="15" hidden="1" outlineLevel="2">
      <c r="B13071" s="2889" t="s">
        <v>1643</v>
      </c>
      <c r="C13071" s="2889" t="s">
        <v>1563</v>
      </c>
      <c r="D13071" s="2889" t="s">
        <v>1559</v>
      </c>
      <c r="E13071" s="2889" t="s">
        <v>217</v>
      </c>
      <c r="F13071" s="2890">
        <v>5.0031172895165704E-2</v>
      </c>
      <c r="G13071" s="2890">
        <v>29.484234203459732</v>
      </c>
    </row>
    <row r="13072" spans="2:7" ht="15" hidden="1" outlineLevel="2">
      <c r="B13072" s="2889" t="s">
        <v>1643</v>
      </c>
      <c r="C13072" s="2889" t="s">
        <v>1564</v>
      </c>
      <c r="D13072" s="2889" t="s">
        <v>1559</v>
      </c>
      <c r="E13072" s="2889" t="s">
        <v>217</v>
      </c>
      <c r="F13072" s="2890">
        <v>0.23796546170722918</v>
      </c>
      <c r="G13072" s="2890">
        <v>120.49065504300292</v>
      </c>
    </row>
    <row r="13073" spans="2:7" ht="15" hidden="1" outlineLevel="2">
      <c r="B13073" s="2889" t="s">
        <v>1643</v>
      </c>
      <c r="C13073" s="2889" t="s">
        <v>1565</v>
      </c>
      <c r="D13073" s="2889" t="s">
        <v>1559</v>
      </c>
      <c r="E13073" s="2889" t="s">
        <v>217</v>
      </c>
      <c r="F13073" s="2890">
        <v>3.5265107981360788E-2</v>
      </c>
      <c r="G13073" s="2890">
        <v>18.97599368187446</v>
      </c>
    </row>
    <row r="13074" spans="2:7" ht="15" hidden="1" outlineLevel="2">
      <c r="B13074" s="2889" t="s">
        <v>1643</v>
      </c>
      <c r="C13074" s="2889" t="s">
        <v>1566</v>
      </c>
      <c r="D13074" s="2889" t="s">
        <v>1559</v>
      </c>
      <c r="E13074" s="2889" t="s">
        <v>217</v>
      </c>
      <c r="F13074" s="2890">
        <v>0.21003069726523713</v>
      </c>
      <c r="G13074" s="2890">
        <v>112.50945288311824</v>
      </c>
    </row>
    <row r="13075" spans="2:7" ht="15" hidden="1" outlineLevel="2">
      <c r="B13075" s="2889" t="s">
        <v>1643</v>
      </c>
      <c r="C13075" s="2889" t="s">
        <v>1567</v>
      </c>
      <c r="D13075" s="2889" t="s">
        <v>1559</v>
      </c>
      <c r="E13075" s="2889" t="s">
        <v>217</v>
      </c>
      <c r="F13075" s="2890">
        <v>6.9345806056048551E-2</v>
      </c>
      <c r="G13075" s="2890">
        <v>10.206899538925951</v>
      </c>
    </row>
    <row r="13076" spans="2:7" ht="15" hidden="1" outlineLevel="2">
      <c r="B13076" s="2889" t="s">
        <v>1643</v>
      </c>
      <c r="C13076" s="2889" t="s">
        <v>1568</v>
      </c>
      <c r="D13076" s="2889" t="s">
        <v>1559</v>
      </c>
      <c r="E13076" s="2889" t="s">
        <v>217</v>
      </c>
      <c r="F13076" s="2890">
        <v>0.26932882707511768</v>
      </c>
      <c r="G13076" s="2890">
        <v>39.643392956792546</v>
      </c>
    </row>
    <row r="13077" spans="2:7" ht="15" hidden="1" outlineLevel="2">
      <c r="B13077" s="2889" t="s">
        <v>1643</v>
      </c>
      <c r="C13077" s="2889" t="s">
        <v>1569</v>
      </c>
      <c r="D13077" s="2889" t="s">
        <v>1559</v>
      </c>
      <c r="E13077" s="2889" t="s">
        <v>217</v>
      </c>
      <c r="F13077" s="2890">
        <v>1.0289459199036142E-4</v>
      </c>
      <c r="G13077" s="2890">
        <v>5.1426406325813558E-2</v>
      </c>
    </row>
    <row r="13078" spans="2:7" ht="15" hidden="1" outlineLevel="2">
      <c r="B13078" s="2889" t="s">
        <v>1643</v>
      </c>
      <c r="C13078" s="2889" t="s">
        <v>1570</v>
      </c>
      <c r="D13078" s="2889" t="s">
        <v>1559</v>
      </c>
      <c r="E13078" s="2889" t="s">
        <v>217</v>
      </c>
      <c r="F13078" s="2890">
        <v>0.42754120583649252</v>
      </c>
      <c r="G13078" s="2890">
        <v>264.32309461666063</v>
      </c>
    </row>
    <row r="13079" spans="2:7" ht="15" hidden="1" outlineLevel="2">
      <c r="B13079" s="2889" t="s">
        <v>1643</v>
      </c>
      <c r="C13079" s="2889" t="s">
        <v>1571</v>
      </c>
      <c r="D13079" s="2889" t="s">
        <v>1559</v>
      </c>
      <c r="E13079" s="2889" t="s">
        <v>217</v>
      </c>
      <c r="F13079" s="2890">
        <v>0.29580195513298496</v>
      </c>
      <c r="G13079" s="2890">
        <v>351.2284675593898</v>
      </c>
    </row>
    <row r="13080" spans="2:7" ht="15" hidden="1" outlineLevel="2">
      <c r="B13080" s="2889" t="s">
        <v>1643</v>
      </c>
      <c r="C13080" s="2889" t="s">
        <v>1572</v>
      </c>
      <c r="D13080" s="2889" t="s">
        <v>1559</v>
      </c>
      <c r="E13080" s="2889" t="s">
        <v>217</v>
      </c>
      <c r="F13080" s="2890">
        <v>3.6142320124081403E-2</v>
      </c>
      <c r="G13080" s="2890">
        <v>22.163861136109212</v>
      </c>
    </row>
    <row r="13081" spans="2:7" ht="15" hidden="1" outlineLevel="2">
      <c r="B13081" s="2889" t="s">
        <v>1643</v>
      </c>
      <c r="C13081" s="2889" t="s">
        <v>1573</v>
      </c>
      <c r="D13081" s="2889" t="s">
        <v>1559</v>
      </c>
      <c r="E13081" s="2889" t="s">
        <v>217</v>
      </c>
      <c r="F13081" s="2890">
        <v>0.23976687280929201</v>
      </c>
      <c r="G13081" s="2890">
        <v>178.77846147235539</v>
      </c>
    </row>
    <row r="13082" spans="2:7" ht="15" hidden="1" outlineLevel="2">
      <c r="B13082" s="2889" t="s">
        <v>1643</v>
      </c>
      <c r="C13082" s="2889" t="s">
        <v>1574</v>
      </c>
      <c r="D13082" s="2889" t="s">
        <v>1559</v>
      </c>
      <c r="E13082" s="2889" t="s">
        <v>217</v>
      </c>
      <c r="F13082" s="2890">
        <v>1.9589605267272582E-3</v>
      </c>
      <c r="G13082" s="2890">
        <v>1.4714840365951214</v>
      </c>
    </row>
    <row r="13083" spans="2:7" ht="15" hidden="1" outlineLevel="2">
      <c r="B13083" s="2889" t="s">
        <v>1643</v>
      </c>
      <c r="C13083" s="2889" t="s">
        <v>1575</v>
      </c>
      <c r="D13083" s="2889" t="s">
        <v>1559</v>
      </c>
      <c r="E13083" s="2889" t="s">
        <v>217</v>
      </c>
      <c r="F13083" s="2890">
        <v>6.5733882538863194E-3</v>
      </c>
      <c r="G13083" s="2890">
        <v>8.1361581816652269</v>
      </c>
    </row>
    <row r="13084" spans="2:7" ht="15" hidden="1" outlineLevel="2">
      <c r="B13084" s="2889" t="s">
        <v>1643</v>
      </c>
      <c r="C13084" s="2889" t="s">
        <v>1576</v>
      </c>
      <c r="D13084" s="2889" t="s">
        <v>1559</v>
      </c>
      <c r="E13084" s="2889" t="s">
        <v>217</v>
      </c>
      <c r="F13084" s="2890">
        <v>3.7284121591413246E-3</v>
      </c>
      <c r="G13084" s="2890">
        <v>2.8073282250379168</v>
      </c>
    </row>
    <row r="13085" spans="2:7" ht="15" hidden="1" outlineLevel="2">
      <c r="B13085" s="2889" t="s">
        <v>1643</v>
      </c>
      <c r="C13085" s="2889" t="s">
        <v>1577</v>
      </c>
      <c r="D13085" s="2889" t="s">
        <v>1559</v>
      </c>
      <c r="E13085" s="2889" t="s">
        <v>217</v>
      </c>
      <c r="F13085" s="2890">
        <v>0.21578993058831603</v>
      </c>
      <c r="G13085" s="2890">
        <v>335.65840044533843</v>
      </c>
    </row>
    <row r="13086" spans="2:7" ht="15" hidden="1" outlineLevel="2">
      <c r="B13086" s="2889" t="s">
        <v>1643</v>
      </c>
      <c r="C13086" s="2889" t="s">
        <v>1578</v>
      </c>
      <c r="D13086" s="2889" t="s">
        <v>1559</v>
      </c>
      <c r="E13086" s="2889" t="s">
        <v>217</v>
      </c>
      <c r="F13086" s="2890">
        <v>6.0537878097586012E-2</v>
      </c>
      <c r="G13086" s="2890">
        <v>32.976863760951225</v>
      </c>
    </row>
    <row r="13087" spans="2:7" ht="15" hidden="1" outlineLevel="2">
      <c r="B13087" s="2889" t="s">
        <v>1643</v>
      </c>
      <c r="C13087" s="2889" t="s">
        <v>1579</v>
      </c>
      <c r="D13087" s="2889" t="s">
        <v>1559</v>
      </c>
      <c r="E13087" s="2889" t="s">
        <v>217</v>
      </c>
      <c r="F13087" s="2890">
        <v>0.23511595442515848</v>
      </c>
      <c r="G13087" s="2890">
        <v>128.08168428513736</v>
      </c>
    </row>
    <row r="13088" spans="2:7" ht="15" hidden="1" outlineLevel="2">
      <c r="B13088" s="2889" t="s">
        <v>1643</v>
      </c>
      <c r="C13088" s="2889" t="s">
        <v>1580</v>
      </c>
      <c r="D13088" s="2889" t="s">
        <v>1559</v>
      </c>
      <c r="E13088" s="2889" t="s">
        <v>217</v>
      </c>
      <c r="F13088" s="2890">
        <v>4.2054708213339613E-2</v>
      </c>
      <c r="G13088" s="2890">
        <v>53.035479412779203</v>
      </c>
    </row>
    <row r="13089" spans="2:7" ht="15" hidden="1" outlineLevel="2">
      <c r="B13089" s="2889" t="s">
        <v>1643</v>
      </c>
      <c r="C13089" s="2889" t="s">
        <v>1581</v>
      </c>
      <c r="D13089" s="2889" t="s">
        <v>1559</v>
      </c>
      <c r="E13089" s="2889" t="s">
        <v>217</v>
      </c>
      <c r="F13089" s="2890">
        <v>2.7562440839536153E-2</v>
      </c>
      <c r="G13089" s="2890">
        <v>38.779601672481157</v>
      </c>
    </row>
    <row r="13090" spans="2:7" ht="15" hidden="1" outlineLevel="2">
      <c r="B13090" s="2889" t="s">
        <v>1643</v>
      </c>
      <c r="C13090" s="2889" t="s">
        <v>1582</v>
      </c>
      <c r="D13090" s="2889" t="s">
        <v>1559</v>
      </c>
      <c r="E13090" s="2889" t="s">
        <v>217</v>
      </c>
      <c r="F13090" s="2890">
        <v>3.8848027799850263E-2</v>
      </c>
      <c r="G13090" s="2890">
        <v>44.139170094018503</v>
      </c>
    </row>
    <row r="13091" spans="2:7" ht="15" hidden="1" outlineLevel="2">
      <c r="B13091" s="2889" t="s">
        <v>1643</v>
      </c>
      <c r="C13091" s="2889" t="s">
        <v>1583</v>
      </c>
      <c r="D13091" s="2889" t="s">
        <v>1559</v>
      </c>
      <c r="E13091" s="2889" t="s">
        <v>217</v>
      </c>
      <c r="F13091" s="2890">
        <v>2.993907007343851E-2</v>
      </c>
      <c r="G13091" s="2890">
        <v>20.55407944725631</v>
      </c>
    </row>
    <row r="13092" spans="2:7" ht="15" hidden="1" outlineLevel="2">
      <c r="B13092" s="2889" t="s">
        <v>1643</v>
      </c>
      <c r="C13092" s="2889" t="s">
        <v>1584</v>
      </c>
      <c r="D13092" s="2889" t="s">
        <v>1559</v>
      </c>
      <c r="E13092" s="2889" t="s">
        <v>217</v>
      </c>
      <c r="F13092" s="2890">
        <v>0.56235470343002703</v>
      </c>
      <c r="G13092" s="2890">
        <v>710.90330222529269</v>
      </c>
    </row>
    <row r="13093" spans="2:7" ht="15" hidden="1" outlineLevel="2">
      <c r="B13093" s="2889" t="s">
        <v>1643</v>
      </c>
      <c r="C13093" s="2889" t="s">
        <v>1585</v>
      </c>
      <c r="D13093" s="2889" t="s">
        <v>1559</v>
      </c>
      <c r="E13093" s="2889" t="s">
        <v>217</v>
      </c>
      <c r="F13093" s="2890">
        <v>0.37450784594457687</v>
      </c>
      <c r="G13093" s="2890">
        <v>527.03121638476853</v>
      </c>
    </row>
    <row r="13094" spans="2:7" ht="15" hidden="1" outlineLevel="2">
      <c r="B13094" s="2889" t="s">
        <v>1643</v>
      </c>
      <c r="C13094" s="2889" t="s">
        <v>1586</v>
      </c>
      <c r="D13094" s="2889" t="s">
        <v>1559</v>
      </c>
      <c r="E13094" s="2889" t="s">
        <v>217</v>
      </c>
      <c r="F13094" s="2890">
        <v>4.2160929082751916E-2</v>
      </c>
      <c r="G13094" s="2890">
        <v>88.236110226455764</v>
      </c>
    </row>
    <row r="13095" spans="2:7" ht="15" hidden="1" outlineLevel="2">
      <c r="B13095" s="2889" t="s">
        <v>1643</v>
      </c>
      <c r="C13095" s="2889" t="s">
        <v>1587</v>
      </c>
      <c r="D13095" s="2889" t="s">
        <v>1559</v>
      </c>
      <c r="E13095" s="2889" t="s">
        <v>217</v>
      </c>
      <c r="F13095" s="2890">
        <v>1.1728622427297686</v>
      </c>
      <c r="G13095" s="2890">
        <v>1700.2374982243437</v>
      </c>
    </row>
    <row r="13096" spans="2:7" ht="15" hidden="1" outlineLevel="2">
      <c r="B13096" s="2889" t="s">
        <v>1643</v>
      </c>
      <c r="C13096" s="2889" t="s">
        <v>1588</v>
      </c>
      <c r="D13096" s="2889" t="s">
        <v>1559</v>
      </c>
      <c r="E13096" s="2889" t="s">
        <v>217</v>
      </c>
      <c r="F13096" s="2890">
        <v>3.2341587406442822E-2</v>
      </c>
      <c r="G13096" s="2890">
        <v>25.181111575125147</v>
      </c>
    </row>
    <row r="13097" spans="2:7" ht="15" hidden="1" outlineLevel="2">
      <c r="B13097" s="2889" t="s">
        <v>1643</v>
      </c>
      <c r="C13097" s="2889" t="s">
        <v>1589</v>
      </c>
      <c r="D13097" s="2889" t="s">
        <v>1559</v>
      </c>
      <c r="E13097" s="2889" t="s">
        <v>217</v>
      </c>
      <c r="F13097" s="2890">
        <v>6.6791379319733876E-2</v>
      </c>
      <c r="G13097" s="2890">
        <v>52.094603800775246</v>
      </c>
    </row>
    <row r="13098" spans="2:7" ht="15" hidden="1" outlineLevel="2">
      <c r="B13098" s="2889" t="s">
        <v>1643</v>
      </c>
      <c r="C13098" s="2889" t="s">
        <v>1590</v>
      </c>
      <c r="D13098" s="2889" t="s">
        <v>1559</v>
      </c>
      <c r="E13098" s="2889" t="s">
        <v>1420</v>
      </c>
      <c r="F13098" s="2890">
        <v>3.2813211253798135E-3</v>
      </c>
      <c r="G13098" s="2890">
        <v>29.270757806807662</v>
      </c>
    </row>
    <row r="13099" spans="2:7" ht="15" hidden="1" outlineLevel="2">
      <c r="B13099" s="2889" t="s">
        <v>1643</v>
      </c>
      <c r="C13099" s="2889" t="s">
        <v>1591</v>
      </c>
      <c r="D13099" s="2889" t="s">
        <v>1559</v>
      </c>
      <c r="E13099" s="2889" t="s">
        <v>1426</v>
      </c>
      <c r="F13099" s="2891"/>
      <c r="G13099" s="2890">
        <v>4.5500497691978871E-2</v>
      </c>
    </row>
    <row r="13100" spans="2:7" ht="15" hidden="1" outlineLevel="2">
      <c r="B13100" s="2889" t="s">
        <v>1643</v>
      </c>
      <c r="C13100" s="2889" t="s">
        <v>1592</v>
      </c>
      <c r="D13100" s="2889" t="s">
        <v>1559</v>
      </c>
      <c r="E13100" s="2889" t="s">
        <v>1426</v>
      </c>
      <c r="F13100" s="2891"/>
      <c r="G13100" s="2890">
        <v>13.408056245664625</v>
      </c>
    </row>
    <row r="13101" spans="2:7" ht="15" hidden="1" outlineLevel="2">
      <c r="B13101" s="2889" t="s">
        <v>1643</v>
      </c>
      <c r="C13101" s="2889" t="s">
        <v>1593</v>
      </c>
      <c r="D13101" s="2889" t="s">
        <v>1559</v>
      </c>
      <c r="E13101" s="2889" t="s">
        <v>1426</v>
      </c>
      <c r="F13101" s="2891"/>
      <c r="G13101" s="2890">
        <v>318.17627797599408</v>
      </c>
    </row>
    <row r="13102" spans="2:7" ht="15" hidden="1" outlineLevel="2">
      <c r="B13102" s="2889" t="s">
        <v>1643</v>
      </c>
      <c r="C13102" s="2889" t="s">
        <v>1594</v>
      </c>
      <c r="D13102" s="2889" t="s">
        <v>1559</v>
      </c>
      <c r="E13102" s="2889" t="s">
        <v>1426</v>
      </c>
      <c r="F13102" s="2891"/>
      <c r="G13102" s="2890">
        <v>65.660823548959257</v>
      </c>
    </row>
    <row r="13103" spans="2:7" ht="15" hidden="1" outlineLevel="2">
      <c r="B13103" s="2889" t="s">
        <v>1643</v>
      </c>
      <c r="C13103" s="2889" t="s">
        <v>1595</v>
      </c>
      <c r="D13103" s="2889" t="s">
        <v>1559</v>
      </c>
      <c r="E13103" s="2889" t="s">
        <v>1426</v>
      </c>
      <c r="F13103" s="2891"/>
      <c r="G13103" s="2890">
        <v>433.18870314840188</v>
      </c>
    </row>
    <row r="13104" spans="2:7" ht="15" hidden="1" outlineLevel="2">
      <c r="B13104" s="2889" t="s">
        <v>1643</v>
      </c>
      <c r="C13104" s="2889" t="s">
        <v>1596</v>
      </c>
      <c r="D13104" s="2889" t="s">
        <v>1559</v>
      </c>
      <c r="E13104" s="2889" t="s">
        <v>1426</v>
      </c>
      <c r="F13104" s="2891"/>
      <c r="G13104" s="2890">
        <v>51.076684723236369</v>
      </c>
    </row>
    <row r="13105" spans="2:7" ht="15" hidden="1" outlineLevel="2">
      <c r="B13105" s="2889" t="s">
        <v>1643</v>
      </c>
      <c r="C13105" s="2889" t="s">
        <v>1597</v>
      </c>
      <c r="D13105" s="2889" t="s">
        <v>1559</v>
      </c>
      <c r="E13105" s="2889" t="s">
        <v>1426</v>
      </c>
      <c r="F13105" s="2891"/>
      <c r="G13105" s="2890">
        <v>1.216678789128556</v>
      </c>
    </row>
    <row r="13106" spans="2:7" ht="15" hidden="1" outlineLevel="2">
      <c r="B13106" s="2889" t="s">
        <v>1643</v>
      </c>
      <c r="C13106" s="2889" t="s">
        <v>1598</v>
      </c>
      <c r="D13106" s="2889" t="s">
        <v>1599</v>
      </c>
      <c r="E13106" s="2889" t="s">
        <v>217</v>
      </c>
      <c r="F13106" s="2890">
        <v>1.1653907528738013E-2</v>
      </c>
      <c r="G13106" s="2890">
        <v>6.7396840555062303</v>
      </c>
    </row>
    <row r="13107" spans="2:7" ht="15" hidden="1" outlineLevel="2">
      <c r="B13107" s="2889" t="s">
        <v>1643</v>
      </c>
      <c r="C13107" s="2889" t="s">
        <v>1600</v>
      </c>
      <c r="D13107" s="2889" t="s">
        <v>1599</v>
      </c>
      <c r="E13107" s="2889" t="s">
        <v>217</v>
      </c>
      <c r="F13107" s="2890">
        <v>1.3729674779309871E-2</v>
      </c>
      <c r="G13107" s="2890">
        <v>15.175440506680722</v>
      </c>
    </row>
    <row r="13108" spans="2:7" ht="15" hidden="1" outlineLevel="2">
      <c r="B13108" s="2889" t="s">
        <v>1643</v>
      </c>
      <c r="C13108" s="2889" t="s">
        <v>1601</v>
      </c>
      <c r="D13108" s="2889" t="s">
        <v>1599</v>
      </c>
      <c r="E13108" s="2889" t="s">
        <v>217</v>
      </c>
      <c r="F13108" s="2890">
        <v>1.408394347768649E-4</v>
      </c>
      <c r="G13108" s="2890">
        <v>0.17827706609388086</v>
      </c>
    </row>
    <row r="13109" spans="2:7" ht="15" hidden="1" outlineLevel="2">
      <c r="B13109" s="2889" t="s">
        <v>1643</v>
      </c>
      <c r="C13109" s="2889" t="s">
        <v>1602</v>
      </c>
      <c r="D13109" s="2889" t="s">
        <v>1599</v>
      </c>
      <c r="E13109" s="2889" t="s">
        <v>1426</v>
      </c>
      <c r="F13109" s="2891"/>
      <c r="G13109" s="2890">
        <v>201.95335889543961</v>
      </c>
    </row>
    <row r="13110" spans="2:7" ht="15" hidden="1" outlineLevel="2">
      <c r="B13110" s="2889" t="s">
        <v>1643</v>
      </c>
      <c r="C13110" s="2889" t="s">
        <v>1603</v>
      </c>
      <c r="D13110" s="2889" t="s">
        <v>1604</v>
      </c>
      <c r="E13110" s="2889" t="s">
        <v>217</v>
      </c>
      <c r="F13110" s="2890">
        <v>2.2566889688663539E-2</v>
      </c>
      <c r="G13110" s="2890">
        <v>27.11119230094592</v>
      </c>
    </row>
    <row r="13111" spans="2:7" ht="15" hidden="1" outlineLevel="2">
      <c r="B13111" s="2889" t="s">
        <v>1643</v>
      </c>
      <c r="C13111" s="2889" t="s">
        <v>1605</v>
      </c>
      <c r="D13111" s="2889" t="s">
        <v>1604</v>
      </c>
      <c r="E13111" s="2889" t="s">
        <v>1423</v>
      </c>
      <c r="F13111" s="2890">
        <v>8.0555630568600212E-2</v>
      </c>
      <c r="G13111" s="2890">
        <v>18.420607807258381</v>
      </c>
    </row>
    <row r="13112" spans="2:7" ht="15" hidden="1" outlineLevel="2">
      <c r="B13112" s="2889" t="s">
        <v>1643</v>
      </c>
      <c r="C13112" s="2889" t="s">
        <v>1606</v>
      </c>
      <c r="D13112" s="2889" t="s">
        <v>1604</v>
      </c>
      <c r="E13112" s="2889" t="s">
        <v>1426</v>
      </c>
      <c r="F13112" s="2891"/>
      <c r="G13112" s="2890">
        <v>97.666706199576709</v>
      </c>
    </row>
    <row r="13113" spans="2:7" ht="15" hidden="1" outlineLevel="2">
      <c r="B13113" s="2889" t="s">
        <v>1643</v>
      </c>
      <c r="C13113" s="2889" t="s">
        <v>1607</v>
      </c>
      <c r="D13113" s="2889" t="s">
        <v>1608</v>
      </c>
      <c r="E13113" s="2889" t="s">
        <v>217</v>
      </c>
      <c r="F13113" s="2890">
        <v>10.840889353403078</v>
      </c>
      <c r="G13113" s="2890">
        <v>8906.9758584332849</v>
      </c>
    </row>
    <row r="13114" spans="2:7" ht="15" hidden="1" outlineLevel="2">
      <c r="B13114" s="2889" t="s">
        <v>1643</v>
      </c>
      <c r="C13114" s="2889" t="s">
        <v>1609</v>
      </c>
      <c r="D13114" s="2889" t="s">
        <v>1608</v>
      </c>
      <c r="E13114" s="2889" t="s">
        <v>217</v>
      </c>
      <c r="F13114" s="2890">
        <v>4.7206308137515229</v>
      </c>
      <c r="G13114" s="2890">
        <v>3758.7205178569257</v>
      </c>
    </row>
    <row r="13115" spans="2:7" ht="15" hidden="1" outlineLevel="2">
      <c r="B13115" s="2889" t="s">
        <v>1643</v>
      </c>
      <c r="C13115" s="2889" t="s">
        <v>1610</v>
      </c>
      <c r="D13115" s="2889" t="s">
        <v>1608</v>
      </c>
      <c r="E13115" s="2889" t="s">
        <v>217</v>
      </c>
      <c r="F13115" s="2890">
        <v>5.0930171915541598</v>
      </c>
      <c r="G13115" s="2890">
        <v>7903.5576067553338</v>
      </c>
    </row>
    <row r="13116" spans="2:7" ht="15" hidden="1" outlineLevel="2">
      <c r="B13116" s="2889" t="s">
        <v>1643</v>
      </c>
      <c r="C13116" s="2889" t="s">
        <v>1611</v>
      </c>
      <c r="D13116" s="2889" t="s">
        <v>1608</v>
      </c>
      <c r="E13116" s="2889" t="s">
        <v>1612</v>
      </c>
      <c r="F13116" s="2891"/>
      <c r="G13116" s="2890">
        <v>7037.0479932610751</v>
      </c>
    </row>
    <row r="13117" spans="2:7" ht="15" hidden="1" outlineLevel="2">
      <c r="B13117" s="2889" t="s">
        <v>1643</v>
      </c>
      <c r="C13117" s="2889" t="s">
        <v>1613</v>
      </c>
      <c r="D13117" s="2889" t="s">
        <v>1608</v>
      </c>
      <c r="E13117" s="2889" t="s">
        <v>1612</v>
      </c>
      <c r="F13117" s="2891"/>
      <c r="G13117" s="2890">
        <v>20.859242342606091</v>
      </c>
    </row>
    <row r="13118" spans="2:7" ht="15" hidden="1" outlineLevel="2">
      <c r="B13118" s="2889" t="s">
        <v>1643</v>
      </c>
      <c r="C13118" s="2889" t="s">
        <v>1614</v>
      </c>
      <c r="D13118" s="2889" t="s">
        <v>1615</v>
      </c>
      <c r="E13118" s="2889" t="s">
        <v>1426</v>
      </c>
      <c r="F13118" s="2891"/>
      <c r="G13118" s="2890">
        <v>8.0791428019865141E-30</v>
      </c>
    </row>
    <row r="13119" spans="2:7" ht="15" hidden="1" outlineLevel="2">
      <c r="B13119" s="2889" t="s">
        <v>1643</v>
      </c>
      <c r="C13119" s="2889" t="s">
        <v>1616</v>
      </c>
      <c r="D13119" s="2889" t="s">
        <v>1615</v>
      </c>
      <c r="E13119" s="2889" t="s">
        <v>217</v>
      </c>
      <c r="F13119" s="2890">
        <v>1.8024355299800121E-33</v>
      </c>
      <c r="G13119" s="2890">
        <v>2.5055075951912425E-30</v>
      </c>
    </row>
    <row r="13120" spans="2:7" ht="15" hidden="1" outlineLevel="2">
      <c r="B13120" s="2889" t="s">
        <v>1643</v>
      </c>
      <c r="C13120" s="2889" t="s">
        <v>1617</v>
      </c>
      <c r="D13120" s="2889" t="s">
        <v>1615</v>
      </c>
      <c r="E13120" s="2889" t="s">
        <v>1420</v>
      </c>
      <c r="F13120" s="2890">
        <v>1.4499303466871991E-40</v>
      </c>
      <c r="G13120" s="2890">
        <v>4.201807518678484E-37</v>
      </c>
    </row>
    <row r="13121" spans="2:7" ht="15" hidden="1" outlineLevel="2">
      <c r="B13121" s="2889" t="s">
        <v>1643</v>
      </c>
      <c r="C13121" s="2889" t="s">
        <v>1618</v>
      </c>
      <c r="D13121" s="2889" t="s">
        <v>1619</v>
      </c>
      <c r="E13121" s="2889" t="s">
        <v>217</v>
      </c>
      <c r="F13121" s="2890">
        <v>2.1661625763248415</v>
      </c>
      <c r="G13121" s="2890">
        <v>549.17044737302001</v>
      </c>
    </row>
    <row r="13122" spans="2:7" ht="15" hidden="1" outlineLevel="2">
      <c r="B13122" s="2889" t="s">
        <v>1643</v>
      </c>
      <c r="C13122" s="2889" t="s">
        <v>1620</v>
      </c>
      <c r="D13122" s="2889" t="s">
        <v>1619</v>
      </c>
      <c r="E13122" s="2889" t="s">
        <v>217</v>
      </c>
      <c r="F13122" s="2890">
        <v>2.1174128959979998E-33</v>
      </c>
      <c r="G13122" s="2890">
        <v>2.5816114851933079E-30</v>
      </c>
    </row>
    <row r="13123" spans="2:7" ht="15" hidden="1" outlineLevel="2">
      <c r="B13123" s="2889" t="s">
        <v>1643</v>
      </c>
      <c r="C13123" s="2889" t="s">
        <v>1621</v>
      </c>
      <c r="D13123" s="2889" t="s">
        <v>1619</v>
      </c>
      <c r="E13123" s="2889" t="s">
        <v>217</v>
      </c>
      <c r="F13123" s="2890">
        <v>2.320248947582443</v>
      </c>
      <c r="G13123" s="2890">
        <v>634.11361969864902</v>
      </c>
    </row>
    <row r="13124" spans="2:7" ht="15" hidden="1" outlineLevel="2">
      <c r="B13124" s="2889" t="s">
        <v>1643</v>
      </c>
      <c r="C13124" s="2889" t="s">
        <v>1622</v>
      </c>
      <c r="D13124" s="2889" t="s">
        <v>1619</v>
      </c>
      <c r="E13124" s="2889" t="s">
        <v>217</v>
      </c>
      <c r="F13124" s="2890">
        <v>0.1485777577174219</v>
      </c>
      <c r="G13124" s="2890">
        <v>163.03018305966535</v>
      </c>
    </row>
    <row r="13125" spans="2:7" ht="15" hidden="1" outlineLevel="2">
      <c r="B13125" s="2889" t="s">
        <v>1643</v>
      </c>
      <c r="C13125" s="2889" t="s">
        <v>1623</v>
      </c>
      <c r="D13125" s="2889" t="s">
        <v>1619</v>
      </c>
      <c r="E13125" s="2889" t="s">
        <v>217</v>
      </c>
      <c r="F13125" s="2890">
        <v>0.38336123207065215</v>
      </c>
      <c r="G13125" s="2890">
        <v>265.36510731959726</v>
      </c>
    </row>
    <row r="13126" spans="2:7" ht="15" hidden="1" outlineLevel="2">
      <c r="B13126" s="2889" t="s">
        <v>1643</v>
      </c>
      <c r="C13126" s="2889" t="s">
        <v>1624</v>
      </c>
      <c r="D13126" s="2889" t="s">
        <v>1619</v>
      </c>
      <c r="E13126" s="2889" t="s">
        <v>217</v>
      </c>
      <c r="F13126" s="2890">
        <v>3.3191531294215526</v>
      </c>
      <c r="G13126" s="2890">
        <v>2828.4474201685898</v>
      </c>
    </row>
    <row r="13127" spans="2:7" ht="15" hidden="1" outlineLevel="2">
      <c r="B13127" s="2889" t="s">
        <v>1643</v>
      </c>
      <c r="C13127" s="2889" t="s">
        <v>1625</v>
      </c>
      <c r="D13127" s="2889" t="s">
        <v>1619</v>
      </c>
      <c r="E13127" s="2889" t="s">
        <v>217</v>
      </c>
      <c r="F13127" s="2890">
        <v>0.10248191457437132</v>
      </c>
      <c r="G13127" s="2890">
        <v>132.49184721679083</v>
      </c>
    </row>
    <row r="13128" spans="2:7" ht="15" hidden="1" outlineLevel="2">
      <c r="B13128" s="2889" t="s">
        <v>1643</v>
      </c>
      <c r="C13128" s="2889" t="s">
        <v>1626</v>
      </c>
      <c r="D13128" s="2889" t="s">
        <v>1619</v>
      </c>
      <c r="E13128" s="2889" t="s">
        <v>217</v>
      </c>
      <c r="F13128" s="2890">
        <v>0.20260811585239022</v>
      </c>
      <c r="G13128" s="2890">
        <v>159.07990325549704</v>
      </c>
    </row>
    <row r="13129" spans="2:7" ht="15" hidden="1" outlineLevel="2">
      <c r="B13129" s="2889" t="s">
        <v>1643</v>
      </c>
      <c r="C13129" s="2889" t="s">
        <v>1627</v>
      </c>
      <c r="D13129" s="2889" t="s">
        <v>1619</v>
      </c>
      <c r="E13129" s="2889" t="s">
        <v>1420</v>
      </c>
      <c r="F13129" s="2890">
        <v>6.5857109872361061E-3</v>
      </c>
      <c r="G13129" s="2890">
        <v>11.002608735574404</v>
      </c>
    </row>
    <row r="13130" spans="2:7" ht="15" hidden="1" outlineLevel="2">
      <c r="B13130" s="2889" t="s">
        <v>1643</v>
      </c>
      <c r="C13130" s="2889" t="s">
        <v>1628</v>
      </c>
      <c r="D13130" s="2889" t="s">
        <v>1619</v>
      </c>
      <c r="E13130" s="2889" t="s">
        <v>1426</v>
      </c>
      <c r="F13130" s="2891"/>
      <c r="G13130" s="2890">
        <v>218.07082168546077</v>
      </c>
    </row>
    <row r="13131" spans="2:7" ht="15" hidden="1" outlineLevel="2">
      <c r="B13131" s="2889" t="s">
        <v>1643</v>
      </c>
      <c r="C13131" s="2889" t="s">
        <v>1629</v>
      </c>
      <c r="D13131" s="2889" t="s">
        <v>1630</v>
      </c>
      <c r="E13131" s="2889" t="s">
        <v>1426</v>
      </c>
      <c r="F13131" s="2891"/>
      <c r="G13131" s="2890">
        <v>3.5411677514379905E-30</v>
      </c>
    </row>
    <row r="13132" spans="2:7" ht="15" outlineLevel="1" collapsed="1">
      <c r="B13132" s="3042" t="s">
        <v>1713</v>
      </c>
      <c r="C13132" s="2889"/>
      <c r="D13132" s="2889"/>
      <c r="E13132" s="2889"/>
      <c r="F13132" s="2891">
        <f>SUBTOTAL(9,F12921:F13131)</f>
        <v>37.314926992845521</v>
      </c>
      <c r="G13132" s="2890">
        <f>SUBTOTAL(9,G12921:G13131)</f>
        <v>68915.835718440925</v>
      </c>
    </row>
    <row r="13133" spans="2:7" ht="15" hidden="1" outlineLevel="2">
      <c r="B13133" s="2889" t="s">
        <v>1644</v>
      </c>
      <c r="C13133" s="2889" t="s">
        <v>1408</v>
      </c>
      <c r="D13133" s="2889" t="s">
        <v>197</v>
      </c>
      <c r="E13133" s="2889" t="s">
        <v>217</v>
      </c>
      <c r="F13133" s="2890">
        <v>1.3682747475967769E-3</v>
      </c>
      <c r="G13133" s="2890">
        <v>0.83446113407900402</v>
      </c>
    </row>
    <row r="13134" spans="2:7" ht="15" hidden="1" outlineLevel="2">
      <c r="B13134" s="2889" t="s">
        <v>1644</v>
      </c>
      <c r="C13134" s="2889" t="s">
        <v>1409</v>
      </c>
      <c r="D13134" s="2889" t="s">
        <v>197</v>
      </c>
      <c r="E13134" s="2889" t="s">
        <v>217</v>
      </c>
      <c r="F13134" s="2890">
        <v>1.4364349756927194E-3</v>
      </c>
      <c r="G13134" s="2890">
        <v>2.0242843753182562</v>
      </c>
    </row>
    <row r="13135" spans="2:7" ht="15" hidden="1" outlineLevel="2">
      <c r="B13135" s="2889" t="s">
        <v>1644</v>
      </c>
      <c r="C13135" s="2889" t="s">
        <v>1410</v>
      </c>
      <c r="D13135" s="2889" t="s">
        <v>197</v>
      </c>
      <c r="E13135" s="2889" t="s">
        <v>217</v>
      </c>
      <c r="F13135" s="2890">
        <v>2.2952354431595434E-3</v>
      </c>
      <c r="G13135" s="2890">
        <v>7.8763691714869859</v>
      </c>
    </row>
    <row r="13136" spans="2:7" ht="15" hidden="1" outlineLevel="2">
      <c r="B13136" s="2889" t="s">
        <v>1644</v>
      </c>
      <c r="C13136" s="2889" t="s">
        <v>1411</v>
      </c>
      <c r="D13136" s="2889" t="s">
        <v>197</v>
      </c>
      <c r="E13136" s="2889" t="s">
        <v>217</v>
      </c>
      <c r="F13136" s="2890">
        <v>3.7729147502074639E-5</v>
      </c>
      <c r="G13136" s="2890">
        <v>4.9609884143550664E-2</v>
      </c>
    </row>
    <row r="13137" spans="2:7" ht="15" hidden="1" outlineLevel="2">
      <c r="B13137" s="2889" t="s">
        <v>1644</v>
      </c>
      <c r="C13137" s="2889" t="s">
        <v>1412</v>
      </c>
      <c r="D13137" s="2889" t="s">
        <v>197</v>
      </c>
      <c r="E13137" s="2889" t="s">
        <v>217</v>
      </c>
      <c r="F13137" s="2890">
        <v>4.0759013273109117E-3</v>
      </c>
      <c r="G13137" s="2890">
        <v>5.3553061366746482</v>
      </c>
    </row>
    <row r="13138" spans="2:7" ht="15" hidden="1" outlineLevel="2">
      <c r="B13138" s="2889" t="s">
        <v>1644</v>
      </c>
      <c r="C13138" s="2889" t="s">
        <v>1413</v>
      </c>
      <c r="D13138" s="2889" t="s">
        <v>197</v>
      </c>
      <c r="E13138" s="2889" t="s">
        <v>217</v>
      </c>
      <c r="F13138" s="2890">
        <v>1.3414657340488974E-3</v>
      </c>
      <c r="G13138" s="2890">
        <v>1.6775142610368468</v>
      </c>
    </row>
    <row r="13139" spans="2:7" ht="15" hidden="1" outlineLevel="2">
      <c r="B13139" s="2889" t="s">
        <v>1644</v>
      </c>
      <c r="C13139" s="2889" t="s">
        <v>1414</v>
      </c>
      <c r="D13139" s="2889" t="s">
        <v>197</v>
      </c>
      <c r="E13139" s="2889" t="s">
        <v>217</v>
      </c>
      <c r="F13139" s="2890">
        <v>1.7502518150407449E-2</v>
      </c>
      <c r="G13139" s="2890">
        <v>18.223151866174312</v>
      </c>
    </row>
    <row r="13140" spans="2:7" ht="15" hidden="1" outlineLevel="2">
      <c r="B13140" s="2889" t="s">
        <v>1644</v>
      </c>
      <c r="C13140" s="2889" t="s">
        <v>1415</v>
      </c>
      <c r="D13140" s="2889" t="s">
        <v>197</v>
      </c>
      <c r="E13140" s="2889" t="s">
        <v>217</v>
      </c>
      <c r="F13140" s="2890">
        <v>5.7550897944251111E-2</v>
      </c>
      <c r="G13140" s="2890">
        <v>39.061338724013808</v>
      </c>
    </row>
    <row r="13141" spans="2:7" ht="15" hidden="1" outlineLevel="2">
      <c r="B13141" s="2889" t="s">
        <v>1644</v>
      </c>
      <c r="C13141" s="2889" t="s">
        <v>1416</v>
      </c>
      <c r="D13141" s="2889" t="s">
        <v>197</v>
      </c>
      <c r="E13141" s="2889" t="s">
        <v>217</v>
      </c>
      <c r="F13141" s="2890">
        <v>6.4680239181768781E-3</v>
      </c>
      <c r="G13141" s="2890">
        <v>8.4983040958436575</v>
      </c>
    </row>
    <row r="13142" spans="2:7" ht="15" hidden="1" outlineLevel="2">
      <c r="B13142" s="2889" t="s">
        <v>1644</v>
      </c>
      <c r="C13142" s="2889" t="s">
        <v>1417</v>
      </c>
      <c r="D13142" s="2889" t="s">
        <v>197</v>
      </c>
      <c r="E13142" s="2889" t="s">
        <v>217</v>
      </c>
      <c r="F13142" s="2890">
        <v>9.628881013856453E-3</v>
      </c>
      <c r="G13142" s="2890">
        <v>12.305508742284458</v>
      </c>
    </row>
    <row r="13143" spans="2:7" ht="15" hidden="1" outlineLevel="2">
      <c r="B13143" s="2889" t="s">
        <v>1644</v>
      </c>
      <c r="C13143" s="2889" t="s">
        <v>1418</v>
      </c>
      <c r="D13143" s="2889" t="s">
        <v>197</v>
      </c>
      <c r="E13143" s="2889" t="s">
        <v>217</v>
      </c>
      <c r="F13143" s="2890">
        <v>1.9311010803236787E-3</v>
      </c>
      <c r="G13143" s="2890">
        <v>13.65107123640853</v>
      </c>
    </row>
    <row r="13144" spans="2:7" ht="15" hidden="1" outlineLevel="2">
      <c r="B13144" s="2889" t="s">
        <v>1644</v>
      </c>
      <c r="C13144" s="2889" t="s">
        <v>1419</v>
      </c>
      <c r="D13144" s="2889" t="s">
        <v>197</v>
      </c>
      <c r="E13144" s="2889" t="s">
        <v>1420</v>
      </c>
      <c r="F13144" s="2890">
        <v>4.7020708348263922E-5</v>
      </c>
      <c r="G13144" s="2890">
        <v>7.4713799260217359E-2</v>
      </c>
    </row>
    <row r="13145" spans="2:7" ht="15" hidden="1" outlineLevel="2">
      <c r="B13145" s="2889" t="s">
        <v>1644</v>
      </c>
      <c r="C13145" s="2889" t="s">
        <v>1421</v>
      </c>
      <c r="D13145" s="2889" t="s">
        <v>197</v>
      </c>
      <c r="E13145" s="2889" t="s">
        <v>1420</v>
      </c>
      <c r="F13145" s="2890">
        <v>9.6485695744154724E-6</v>
      </c>
      <c r="G13145" s="2890">
        <v>0.10168459749628934</v>
      </c>
    </row>
    <row r="13146" spans="2:7" ht="15" hidden="1" outlineLevel="2">
      <c r="B13146" s="2889" t="s">
        <v>1644</v>
      </c>
      <c r="C13146" s="2889" t="s">
        <v>1422</v>
      </c>
      <c r="D13146" s="2889" t="s">
        <v>197</v>
      </c>
      <c r="E13146" s="2889" t="s">
        <v>1423</v>
      </c>
      <c r="F13146" s="2890">
        <v>1.8822735087613647E-3</v>
      </c>
      <c r="G13146" s="2890">
        <v>1.9736453541678158E-2</v>
      </c>
    </row>
    <row r="13147" spans="2:7" ht="15" hidden="1" outlineLevel="2">
      <c r="B13147" s="2889" t="s">
        <v>1644</v>
      </c>
      <c r="C13147" s="2889" t="s">
        <v>1424</v>
      </c>
      <c r="D13147" s="2889" t="s">
        <v>197</v>
      </c>
      <c r="E13147" s="2889" t="s">
        <v>1423</v>
      </c>
      <c r="F13147" s="2890">
        <v>5.974461337778761E-4</v>
      </c>
      <c r="G13147" s="2890">
        <v>6.2626053433086377E-3</v>
      </c>
    </row>
    <row r="13148" spans="2:7" ht="15" hidden="1" outlineLevel="2">
      <c r="B13148" s="2889" t="s">
        <v>1644</v>
      </c>
      <c r="C13148" s="2889" t="s">
        <v>1425</v>
      </c>
      <c r="D13148" s="2889" t="s">
        <v>197</v>
      </c>
      <c r="E13148" s="2889" t="s">
        <v>1426</v>
      </c>
      <c r="F13148" s="2891"/>
      <c r="G13148" s="2890">
        <v>0.14595212361279411</v>
      </c>
    </row>
    <row r="13149" spans="2:7" ht="15" hidden="1" outlineLevel="2">
      <c r="B13149" s="2889" t="s">
        <v>1644</v>
      </c>
      <c r="C13149" s="2889" t="s">
        <v>1427</v>
      </c>
      <c r="D13149" s="2889" t="s">
        <v>197</v>
      </c>
      <c r="E13149" s="2889" t="s">
        <v>1426</v>
      </c>
      <c r="F13149" s="2891"/>
      <c r="G13149" s="2890">
        <v>6309.8596357959514</v>
      </c>
    </row>
    <row r="13150" spans="2:7" ht="15" hidden="1" outlineLevel="2">
      <c r="B13150" s="2889" t="s">
        <v>1644</v>
      </c>
      <c r="C13150" s="2889" t="s">
        <v>1428</v>
      </c>
      <c r="D13150" s="2889" t="s">
        <v>197</v>
      </c>
      <c r="E13150" s="2889" t="s">
        <v>1426</v>
      </c>
      <c r="F13150" s="2891"/>
      <c r="G13150" s="2890">
        <v>566.18701526424775</v>
      </c>
    </row>
    <row r="13151" spans="2:7" ht="15" hidden="1" outlineLevel="2">
      <c r="B13151" s="2889" t="s">
        <v>1644</v>
      </c>
      <c r="C13151" s="2889" t="s">
        <v>1429</v>
      </c>
      <c r="D13151" s="2889" t="s">
        <v>197</v>
      </c>
      <c r="E13151" s="2889" t="s">
        <v>1426</v>
      </c>
      <c r="F13151" s="2891"/>
      <c r="G13151" s="2890">
        <v>3.1472258544413418</v>
      </c>
    </row>
    <row r="13152" spans="2:7" ht="15" hidden="1" outlineLevel="2">
      <c r="B13152" s="2889" t="s">
        <v>1644</v>
      </c>
      <c r="C13152" s="2889" t="s">
        <v>1430</v>
      </c>
      <c r="D13152" s="2889" t="s">
        <v>197</v>
      </c>
      <c r="E13152" s="2889" t="s">
        <v>1426</v>
      </c>
      <c r="F13152" s="2891"/>
      <c r="G13152" s="2890">
        <v>0.64596337958175765</v>
      </c>
    </row>
    <row r="13153" spans="2:7" ht="15" hidden="1" outlineLevel="2">
      <c r="B13153" s="2889" t="s">
        <v>1644</v>
      </c>
      <c r="C13153" s="2889" t="s">
        <v>1431</v>
      </c>
      <c r="D13153" s="2889" t="s">
        <v>197</v>
      </c>
      <c r="E13153" s="2889" t="s">
        <v>1426</v>
      </c>
      <c r="F13153" s="2891"/>
      <c r="G13153" s="2890">
        <v>48.062448595231452</v>
      </c>
    </row>
    <row r="13154" spans="2:7" ht="15" hidden="1" outlineLevel="2">
      <c r="B13154" s="2889" t="s">
        <v>1644</v>
      </c>
      <c r="C13154" s="2889" t="s">
        <v>1432</v>
      </c>
      <c r="D13154" s="2889" t="s">
        <v>197</v>
      </c>
      <c r="E13154" s="2889" t="s">
        <v>1426</v>
      </c>
      <c r="F13154" s="2891"/>
      <c r="G13154" s="2890">
        <v>0.12037878120142176</v>
      </c>
    </row>
    <row r="13155" spans="2:7" ht="15" hidden="1" outlineLevel="2">
      <c r="B13155" s="2889" t="s">
        <v>1644</v>
      </c>
      <c r="C13155" s="2889" t="s">
        <v>1433</v>
      </c>
      <c r="D13155" s="2889" t="s">
        <v>197</v>
      </c>
      <c r="E13155" s="2889" t="s">
        <v>1426</v>
      </c>
      <c r="F13155" s="2891"/>
      <c r="G13155" s="2890">
        <v>44.422852662994622</v>
      </c>
    </row>
    <row r="13156" spans="2:7" ht="15" hidden="1" outlineLevel="2">
      <c r="B13156" s="2889" t="s">
        <v>1644</v>
      </c>
      <c r="C13156" s="2889" t="s">
        <v>1434</v>
      </c>
      <c r="D13156" s="2889" t="s">
        <v>197</v>
      </c>
      <c r="E13156" s="2889" t="s">
        <v>1426</v>
      </c>
      <c r="F13156" s="2891"/>
      <c r="G13156" s="2890">
        <v>123.39500090473058</v>
      </c>
    </row>
    <row r="13157" spans="2:7" ht="15" hidden="1" outlineLevel="2">
      <c r="B13157" s="2889" t="s">
        <v>1644</v>
      </c>
      <c r="C13157" s="2889" t="s">
        <v>1435</v>
      </c>
      <c r="D13157" s="2889" t="s">
        <v>197</v>
      </c>
      <c r="E13157" s="2889" t="s">
        <v>1426</v>
      </c>
      <c r="F13157" s="2891"/>
      <c r="G13157" s="2890">
        <v>90.719363303972585</v>
      </c>
    </row>
    <row r="13158" spans="2:7" ht="15" hidden="1" outlineLevel="2">
      <c r="B13158" s="2889" t="s">
        <v>1644</v>
      </c>
      <c r="C13158" s="2889" t="s">
        <v>1436</v>
      </c>
      <c r="D13158" s="2889" t="s">
        <v>1437</v>
      </c>
      <c r="E13158" s="2889" t="s">
        <v>217</v>
      </c>
      <c r="F13158" s="2890">
        <v>6.2264890773870382E-5</v>
      </c>
      <c r="G13158" s="2890">
        <v>0.18167435383544203</v>
      </c>
    </row>
    <row r="13159" spans="2:7" ht="15" hidden="1" outlineLevel="2">
      <c r="B13159" s="2889" t="s">
        <v>1644</v>
      </c>
      <c r="C13159" s="2889" t="s">
        <v>1438</v>
      </c>
      <c r="D13159" s="2889" t="s">
        <v>1437</v>
      </c>
      <c r="E13159" s="2889" t="s">
        <v>1420</v>
      </c>
      <c r="F13159" s="2890">
        <v>1.8073128042055411E-5</v>
      </c>
      <c r="G13159" s="2890">
        <v>0.16605366253637927</v>
      </c>
    </row>
    <row r="13160" spans="2:7" ht="15" hidden="1" outlineLevel="2">
      <c r="B13160" s="2889" t="s">
        <v>1644</v>
      </c>
      <c r="C13160" s="2889" t="s">
        <v>1439</v>
      </c>
      <c r="D13160" s="2889" t="s">
        <v>1437</v>
      </c>
      <c r="E13160" s="2889" t="s">
        <v>1426</v>
      </c>
      <c r="F13160" s="2891"/>
      <c r="G13160" s="2890">
        <v>11.418437984075728</v>
      </c>
    </row>
    <row r="13161" spans="2:7" ht="15" hidden="1" outlineLevel="2">
      <c r="B13161" s="2889" t="s">
        <v>1644</v>
      </c>
      <c r="C13161" s="2889" t="s">
        <v>1440</v>
      </c>
      <c r="D13161" s="2889" t="s">
        <v>1105</v>
      </c>
      <c r="E13161" s="2889" t="s">
        <v>217</v>
      </c>
      <c r="F13161" s="2890">
        <v>9.9887392137490025E-2</v>
      </c>
      <c r="G13161" s="2890">
        <v>49.500837797235441</v>
      </c>
    </row>
    <row r="13162" spans="2:7" ht="15" hidden="1" outlineLevel="2">
      <c r="B13162" s="2889" t="s">
        <v>1644</v>
      </c>
      <c r="C13162" s="2889" t="s">
        <v>1441</v>
      </c>
      <c r="D13162" s="2889" t="s">
        <v>1105</v>
      </c>
      <c r="E13162" s="2889" t="s">
        <v>217</v>
      </c>
      <c r="F13162" s="2890">
        <v>0.63827576985098367</v>
      </c>
      <c r="G13162" s="2890">
        <v>330.25435579954865</v>
      </c>
    </row>
    <row r="13163" spans="2:7" ht="15" hidden="1" outlineLevel="2">
      <c r="B13163" s="2889" t="s">
        <v>1644</v>
      </c>
      <c r="C13163" s="2889" t="s">
        <v>1442</v>
      </c>
      <c r="D13163" s="2889" t="s">
        <v>1105</v>
      </c>
      <c r="E13163" s="2889" t="s">
        <v>217</v>
      </c>
      <c r="F13163" s="2890">
        <v>2.8411679710834754E-4</v>
      </c>
      <c r="G13163" s="2890">
        <v>0.12736891840574346</v>
      </c>
    </row>
    <row r="13164" spans="2:7" ht="15" hidden="1" outlineLevel="2">
      <c r="B13164" s="2889" t="s">
        <v>1644</v>
      </c>
      <c r="C13164" s="2889" t="s">
        <v>1443</v>
      </c>
      <c r="D13164" s="2889" t="s">
        <v>1105</v>
      </c>
      <c r="E13164" s="2889" t="s">
        <v>217</v>
      </c>
      <c r="F13164" s="2890">
        <v>4.4705252874168927E-3</v>
      </c>
      <c r="G13164" s="2890">
        <v>2.0041277201735168</v>
      </c>
    </row>
    <row r="13165" spans="2:7" ht="15" hidden="1" outlineLevel="2">
      <c r="B13165" s="2889" t="s">
        <v>1644</v>
      </c>
      <c r="C13165" s="2889" t="s">
        <v>1444</v>
      </c>
      <c r="D13165" s="2889" t="s">
        <v>1105</v>
      </c>
      <c r="E13165" s="2889" t="s">
        <v>217</v>
      </c>
      <c r="F13165" s="2890">
        <v>8.4329644053797512</v>
      </c>
      <c r="G13165" s="2890">
        <v>10189.5209592059</v>
      </c>
    </row>
    <row r="13166" spans="2:7" ht="15" hidden="1" outlineLevel="2">
      <c r="B13166" s="2889" t="s">
        <v>1644</v>
      </c>
      <c r="C13166" s="2889" t="s">
        <v>1445</v>
      </c>
      <c r="D13166" s="2889" t="s">
        <v>1105</v>
      </c>
      <c r="E13166" s="2889" t="s">
        <v>217</v>
      </c>
      <c r="F13166" s="2890">
        <v>1.8152710420546403</v>
      </c>
      <c r="G13166" s="2890">
        <v>2549.8262045980073</v>
      </c>
    </row>
    <row r="13167" spans="2:7" ht="15" hidden="1" outlineLevel="2">
      <c r="B13167" s="2889" t="s">
        <v>1644</v>
      </c>
      <c r="C13167" s="2889" t="s">
        <v>1446</v>
      </c>
      <c r="D13167" s="2889" t="s">
        <v>1105</v>
      </c>
      <c r="E13167" s="2889" t="s">
        <v>217</v>
      </c>
      <c r="F13167" s="2890">
        <v>0.83794719732797318</v>
      </c>
      <c r="G13167" s="2890">
        <v>1352.1526291709292</v>
      </c>
    </row>
    <row r="13168" spans="2:7" ht="15" hidden="1" outlineLevel="2">
      <c r="B13168" s="2889" t="s">
        <v>1644</v>
      </c>
      <c r="C13168" s="2889" t="s">
        <v>1447</v>
      </c>
      <c r="D13168" s="2889" t="s">
        <v>1105</v>
      </c>
      <c r="E13168" s="2889" t="s">
        <v>217</v>
      </c>
      <c r="F13168" s="2890">
        <v>1.9307916426153819</v>
      </c>
      <c r="G13168" s="2890">
        <v>2901.2304510351387</v>
      </c>
    </row>
    <row r="13169" spans="2:7" ht="15" hidden="1" outlineLevel="2">
      <c r="B13169" s="2889" t="s">
        <v>1644</v>
      </c>
      <c r="C13169" s="2889" t="s">
        <v>1448</v>
      </c>
      <c r="D13169" s="2889" t="s">
        <v>1105</v>
      </c>
      <c r="E13169" s="2889" t="s">
        <v>217</v>
      </c>
      <c r="F13169" s="2890">
        <v>3.6464778276617857</v>
      </c>
      <c r="G13169" s="2890">
        <v>4570.6352909658926</v>
      </c>
    </row>
    <row r="13170" spans="2:7" ht="15" hidden="1" outlineLevel="2">
      <c r="B13170" s="2889" t="s">
        <v>1644</v>
      </c>
      <c r="C13170" s="2889" t="s">
        <v>1449</v>
      </c>
      <c r="D13170" s="2889" t="s">
        <v>1105</v>
      </c>
      <c r="E13170" s="2889" t="s">
        <v>217</v>
      </c>
      <c r="F13170" s="2890">
        <v>0.15523835936171626</v>
      </c>
      <c r="G13170" s="2890">
        <v>214.97737739323549</v>
      </c>
    </row>
    <row r="13171" spans="2:7" ht="15" hidden="1" outlineLevel="2">
      <c r="B13171" s="2889" t="s">
        <v>1644</v>
      </c>
      <c r="C13171" s="2889" t="s">
        <v>1450</v>
      </c>
      <c r="D13171" s="2889" t="s">
        <v>1105</v>
      </c>
      <c r="E13171" s="2889" t="s">
        <v>1420</v>
      </c>
      <c r="F13171" s="2890">
        <v>0.49314833898858085</v>
      </c>
      <c r="G13171" s="2890">
        <v>1355.7645752086828</v>
      </c>
    </row>
    <row r="13172" spans="2:7" ht="15" hidden="1" outlineLevel="2">
      <c r="B13172" s="2889" t="s">
        <v>1644</v>
      </c>
      <c r="C13172" s="2889" t="s">
        <v>1451</v>
      </c>
      <c r="D13172" s="2889" t="s">
        <v>1105</v>
      </c>
      <c r="E13172" s="2889" t="s">
        <v>1420</v>
      </c>
      <c r="F13172" s="2890">
        <v>7.1599807122564599E-2</v>
      </c>
      <c r="G13172" s="2890">
        <v>301.97601047400155</v>
      </c>
    </row>
    <row r="13173" spans="2:7" ht="15" hidden="1" outlineLevel="2">
      <c r="B13173" s="2889" t="s">
        <v>1644</v>
      </c>
      <c r="C13173" s="2889" t="s">
        <v>1452</v>
      </c>
      <c r="D13173" s="2889" t="s">
        <v>1105</v>
      </c>
      <c r="E13173" s="2889" t="s">
        <v>1420</v>
      </c>
      <c r="F13173" s="2890">
        <v>5.2970946551511126E-2</v>
      </c>
      <c r="G13173" s="2890">
        <v>353.97037231175739</v>
      </c>
    </row>
    <row r="13174" spans="2:7" ht="15" hidden="1" outlineLevel="2">
      <c r="B13174" s="2889" t="s">
        <v>1644</v>
      </c>
      <c r="C13174" s="2889" t="s">
        <v>1453</v>
      </c>
      <c r="D13174" s="2889" t="s">
        <v>1105</v>
      </c>
      <c r="E13174" s="2889" t="s">
        <v>1420</v>
      </c>
      <c r="F13174" s="2890">
        <v>9.2785227636794421E-2</v>
      </c>
      <c r="G13174" s="2890">
        <v>439.71943080230926</v>
      </c>
    </row>
    <row r="13175" spans="2:7" ht="15" hidden="1" outlineLevel="2">
      <c r="B13175" s="2889" t="s">
        <v>1644</v>
      </c>
      <c r="C13175" s="2889" t="s">
        <v>1454</v>
      </c>
      <c r="D13175" s="2889" t="s">
        <v>1105</v>
      </c>
      <c r="E13175" s="2889" t="s">
        <v>1420</v>
      </c>
      <c r="F13175" s="2890">
        <v>2.3167965407913447E-3</v>
      </c>
      <c r="G13175" s="2890">
        <v>5.9440179160602913</v>
      </c>
    </row>
    <row r="13176" spans="2:7" ht="15" hidden="1" outlineLevel="2">
      <c r="B13176" s="2889" t="s">
        <v>1644</v>
      </c>
      <c r="C13176" s="2889" t="s">
        <v>1455</v>
      </c>
      <c r="D13176" s="2889" t="s">
        <v>1105</v>
      </c>
      <c r="E13176" s="2889" t="s">
        <v>1420</v>
      </c>
      <c r="F13176" s="2890">
        <v>6.7592773308463227E-4</v>
      </c>
      <c r="G13176" s="2890">
        <v>5.5212063938054987</v>
      </c>
    </row>
    <row r="13177" spans="2:7" ht="15" hidden="1" outlineLevel="2">
      <c r="B13177" s="2889" t="s">
        <v>1644</v>
      </c>
      <c r="C13177" s="2889" t="s">
        <v>1456</v>
      </c>
      <c r="D13177" s="2889" t="s">
        <v>1105</v>
      </c>
      <c r="E13177" s="2889" t="s">
        <v>1423</v>
      </c>
      <c r="F13177" s="2890">
        <v>10.895809456793888</v>
      </c>
      <c r="G13177" s="2890">
        <v>302.56525324110635</v>
      </c>
    </row>
    <row r="13178" spans="2:7" ht="15" hidden="1" outlineLevel="2">
      <c r="B13178" s="2889" t="s">
        <v>1644</v>
      </c>
      <c r="C13178" s="2889" t="s">
        <v>1457</v>
      </c>
      <c r="D13178" s="2889" t="s">
        <v>1105</v>
      </c>
      <c r="E13178" s="2889" t="s">
        <v>1423</v>
      </c>
      <c r="F13178" s="2890">
        <v>0.41772985581005884</v>
      </c>
      <c r="G13178" s="2890">
        <v>15.185114246318433</v>
      </c>
    </row>
    <row r="13179" spans="2:7" ht="15" hidden="1" outlineLevel="2">
      <c r="B13179" s="2889" t="s">
        <v>1644</v>
      </c>
      <c r="C13179" s="2889" t="s">
        <v>1458</v>
      </c>
      <c r="D13179" s="2889" t="s">
        <v>1105</v>
      </c>
      <c r="E13179" s="2889" t="s">
        <v>1423</v>
      </c>
      <c r="F13179" s="2890">
        <v>0.29989947010126278</v>
      </c>
      <c r="G13179" s="2890">
        <v>21.033963650974869</v>
      </c>
    </row>
    <row r="13180" spans="2:7" ht="15" hidden="1" outlineLevel="2">
      <c r="B13180" s="2889" t="s">
        <v>1644</v>
      </c>
      <c r="C13180" s="2889" t="s">
        <v>1459</v>
      </c>
      <c r="D13180" s="2889" t="s">
        <v>1105</v>
      </c>
      <c r="E13180" s="2889" t="s">
        <v>1423</v>
      </c>
      <c r="F13180" s="2890">
        <v>3.513470422790975</v>
      </c>
      <c r="G13180" s="2890">
        <v>735.24816769713982</v>
      </c>
    </row>
    <row r="13181" spans="2:7" ht="15" hidden="1" outlineLevel="2">
      <c r="B13181" s="2889" t="s">
        <v>1644</v>
      </c>
      <c r="C13181" s="2889" t="s">
        <v>1460</v>
      </c>
      <c r="D13181" s="2889" t="s">
        <v>1105</v>
      </c>
      <c r="E13181" s="2889" t="s">
        <v>1426</v>
      </c>
      <c r="F13181" s="2891"/>
      <c r="G13181" s="2890">
        <v>7840.4765827600477</v>
      </c>
    </row>
    <row r="13182" spans="2:7" ht="15" hidden="1" outlineLevel="2">
      <c r="B13182" s="2889" t="s">
        <v>1644</v>
      </c>
      <c r="C13182" s="2889" t="s">
        <v>1461</v>
      </c>
      <c r="D13182" s="2889" t="s">
        <v>1105</v>
      </c>
      <c r="E13182" s="2889" t="s">
        <v>1426</v>
      </c>
      <c r="F13182" s="2891"/>
      <c r="G13182" s="2890">
        <v>1849.8767335004391</v>
      </c>
    </row>
    <row r="13183" spans="2:7" ht="15" hidden="1" outlineLevel="2">
      <c r="B13183" s="2889" t="s">
        <v>1644</v>
      </c>
      <c r="C13183" s="2889" t="s">
        <v>1462</v>
      </c>
      <c r="D13183" s="2889" t="s">
        <v>1105</v>
      </c>
      <c r="E13183" s="2889" t="s">
        <v>1426</v>
      </c>
      <c r="F13183" s="2891"/>
      <c r="G13183" s="2890">
        <v>5132.6925078705981</v>
      </c>
    </row>
    <row r="13184" spans="2:7" ht="15" hidden="1" outlineLevel="2">
      <c r="B13184" s="2889" t="s">
        <v>1644</v>
      </c>
      <c r="C13184" s="2889" t="s">
        <v>1463</v>
      </c>
      <c r="D13184" s="2889" t="s">
        <v>1105</v>
      </c>
      <c r="E13184" s="2889" t="s">
        <v>1426</v>
      </c>
      <c r="F13184" s="2891"/>
      <c r="G13184" s="2890">
        <v>2606.2144858817987</v>
      </c>
    </row>
    <row r="13185" spans="2:7" ht="15" hidden="1" outlineLevel="2">
      <c r="B13185" s="2889" t="s">
        <v>1644</v>
      </c>
      <c r="C13185" s="2889" t="s">
        <v>1464</v>
      </c>
      <c r="D13185" s="2889" t="s">
        <v>1105</v>
      </c>
      <c r="E13185" s="2889" t="s">
        <v>1426</v>
      </c>
      <c r="F13185" s="2891"/>
      <c r="G13185" s="2890">
        <v>250.36920222292625</v>
      </c>
    </row>
    <row r="13186" spans="2:7" ht="15" hidden="1" outlineLevel="2">
      <c r="B13186" s="2889" t="s">
        <v>1644</v>
      </c>
      <c r="C13186" s="2889" t="s">
        <v>1465</v>
      </c>
      <c r="D13186" s="2889" t="s">
        <v>1105</v>
      </c>
      <c r="E13186" s="2889" t="s">
        <v>1426</v>
      </c>
      <c r="F13186" s="2891"/>
      <c r="G13186" s="2890">
        <v>222.13421905272094</v>
      </c>
    </row>
    <row r="13187" spans="2:7" ht="15" hidden="1" outlineLevel="2">
      <c r="B13187" s="2889" t="s">
        <v>1644</v>
      </c>
      <c r="C13187" s="2889" t="s">
        <v>1466</v>
      </c>
      <c r="D13187" s="2889" t="s">
        <v>1054</v>
      </c>
      <c r="E13187" s="2889" t="s">
        <v>217</v>
      </c>
      <c r="F13187" s="2890">
        <v>0.15879187237622408</v>
      </c>
      <c r="G13187" s="2890">
        <v>97.91055057553001</v>
      </c>
    </row>
    <row r="13188" spans="2:7" ht="15" hidden="1" outlineLevel="2">
      <c r="B13188" s="2889" t="s">
        <v>1644</v>
      </c>
      <c r="C13188" s="2889" t="s">
        <v>1467</v>
      </c>
      <c r="D13188" s="2889" t="s">
        <v>1054</v>
      </c>
      <c r="E13188" s="2889" t="s">
        <v>217</v>
      </c>
      <c r="F13188" s="2890">
        <v>1.3123134057555816E-2</v>
      </c>
      <c r="G13188" s="2890">
        <v>6.3502453908605618</v>
      </c>
    </row>
    <row r="13189" spans="2:7" ht="15" hidden="1" outlineLevel="2">
      <c r="B13189" s="2889" t="s">
        <v>1644</v>
      </c>
      <c r="C13189" s="2889" t="s">
        <v>1468</v>
      </c>
      <c r="D13189" s="2889" t="s">
        <v>1054</v>
      </c>
      <c r="E13189" s="2889" t="s">
        <v>217</v>
      </c>
      <c r="F13189" s="2890">
        <v>1.5892489644145653E-2</v>
      </c>
      <c r="G13189" s="2890">
        <v>7.5913514638175048</v>
      </c>
    </row>
    <row r="13190" spans="2:7" ht="15" hidden="1" outlineLevel="2">
      <c r="B13190" s="2889" t="s">
        <v>1644</v>
      </c>
      <c r="C13190" s="2889" t="s">
        <v>1469</v>
      </c>
      <c r="D13190" s="2889" t="s">
        <v>1054</v>
      </c>
      <c r="E13190" s="2889" t="s">
        <v>217</v>
      </c>
      <c r="F13190" s="2890">
        <v>1.2681738039832451E-4</v>
      </c>
      <c r="G13190" s="2890">
        <v>5.6847973062101542E-2</v>
      </c>
    </row>
    <row r="13191" spans="2:7" ht="15" hidden="1" outlineLevel="2">
      <c r="B13191" s="2889" t="s">
        <v>1644</v>
      </c>
      <c r="C13191" s="2889" t="s">
        <v>1470</v>
      </c>
      <c r="D13191" s="2889" t="s">
        <v>1054</v>
      </c>
      <c r="E13191" s="2889" t="s">
        <v>217</v>
      </c>
      <c r="F13191" s="2890">
        <v>0.45239204881241518</v>
      </c>
      <c r="G13191" s="2890">
        <v>253.01595849859208</v>
      </c>
    </row>
    <row r="13192" spans="2:7" ht="15" hidden="1" outlineLevel="2">
      <c r="B13192" s="2889" t="s">
        <v>1644</v>
      </c>
      <c r="C13192" s="2889" t="s">
        <v>1471</v>
      </c>
      <c r="D13192" s="2889" t="s">
        <v>1054</v>
      </c>
      <c r="E13192" s="2889" t="s">
        <v>217</v>
      </c>
      <c r="F13192" s="2890">
        <v>3.3022212557755979E-3</v>
      </c>
      <c r="G13192" s="2890">
        <v>1.4802761356888992</v>
      </c>
    </row>
    <row r="13193" spans="2:7" ht="15" hidden="1" outlineLevel="2">
      <c r="B13193" s="2889" t="s">
        <v>1644</v>
      </c>
      <c r="C13193" s="2889" t="s">
        <v>1472</v>
      </c>
      <c r="D13193" s="2889" t="s">
        <v>1054</v>
      </c>
      <c r="E13193" s="2889" t="s">
        <v>217</v>
      </c>
      <c r="F13193" s="2890">
        <v>5.5883349506808663E-2</v>
      </c>
      <c r="G13193" s="2890">
        <v>87.040419979185558</v>
      </c>
    </row>
    <row r="13194" spans="2:7" ht="15" hidden="1" outlineLevel="2">
      <c r="B13194" s="2889" t="s">
        <v>1644</v>
      </c>
      <c r="C13194" s="2889" t="s">
        <v>1473</v>
      </c>
      <c r="D13194" s="2889" t="s">
        <v>1054</v>
      </c>
      <c r="E13194" s="2889" t="s">
        <v>217</v>
      </c>
      <c r="F13194" s="2890">
        <v>4.949704060485089E-4</v>
      </c>
      <c r="G13194" s="2890">
        <v>0.64320632308078496</v>
      </c>
    </row>
    <row r="13195" spans="2:7" ht="15" hidden="1" outlineLevel="2">
      <c r="B13195" s="2889" t="s">
        <v>1644</v>
      </c>
      <c r="C13195" s="2889" t="s">
        <v>1474</v>
      </c>
      <c r="D13195" s="2889" t="s">
        <v>1054</v>
      </c>
      <c r="E13195" s="2889" t="s">
        <v>217</v>
      </c>
      <c r="F13195" s="2890">
        <v>0.13615378925898308</v>
      </c>
      <c r="G13195" s="2890">
        <v>162.87858416728668</v>
      </c>
    </row>
    <row r="13196" spans="2:7" ht="15" hidden="1" outlineLevel="2">
      <c r="B13196" s="2889" t="s">
        <v>1644</v>
      </c>
      <c r="C13196" s="2889" t="s">
        <v>1475</v>
      </c>
      <c r="D13196" s="2889" t="s">
        <v>1054</v>
      </c>
      <c r="E13196" s="2889" t="s">
        <v>217</v>
      </c>
      <c r="F13196" s="2890">
        <v>9.7528093092460341E-2</v>
      </c>
      <c r="G13196" s="2890">
        <v>153.91022985669468</v>
      </c>
    </row>
    <row r="13197" spans="2:7" ht="15" hidden="1" outlineLevel="2">
      <c r="B13197" s="2889" t="s">
        <v>1644</v>
      </c>
      <c r="C13197" s="2889" t="s">
        <v>1476</v>
      </c>
      <c r="D13197" s="2889" t="s">
        <v>1054</v>
      </c>
      <c r="E13197" s="2889" t="s">
        <v>217</v>
      </c>
      <c r="F13197" s="2890">
        <v>0.2401317481744209</v>
      </c>
      <c r="G13197" s="2890">
        <v>306.33337501442378</v>
      </c>
    </row>
    <row r="13198" spans="2:7" ht="15" hidden="1" outlineLevel="2">
      <c r="B13198" s="2889" t="s">
        <v>1644</v>
      </c>
      <c r="C13198" s="2889" t="s">
        <v>1477</v>
      </c>
      <c r="D13198" s="2889" t="s">
        <v>1054</v>
      </c>
      <c r="E13198" s="2889" t="s">
        <v>217</v>
      </c>
      <c r="F13198" s="2890">
        <v>9.3925517615923923E-2</v>
      </c>
      <c r="G13198" s="2890">
        <v>129.18081955568059</v>
      </c>
    </row>
    <row r="13199" spans="2:7" ht="15" hidden="1" outlineLevel="2">
      <c r="B13199" s="2889" t="s">
        <v>1644</v>
      </c>
      <c r="C13199" s="2889" t="s">
        <v>1478</v>
      </c>
      <c r="D13199" s="2889" t="s">
        <v>1054</v>
      </c>
      <c r="E13199" s="2889" t="s">
        <v>217</v>
      </c>
      <c r="F13199" s="2890">
        <v>5.0616211827888081E-3</v>
      </c>
      <c r="G13199" s="2890">
        <v>6.7069835744016881</v>
      </c>
    </row>
    <row r="13200" spans="2:7" ht="15" hidden="1" outlineLevel="2">
      <c r="B13200" s="2889" t="s">
        <v>1644</v>
      </c>
      <c r="C13200" s="2889" t="s">
        <v>1479</v>
      </c>
      <c r="D13200" s="2889" t="s">
        <v>1054</v>
      </c>
      <c r="E13200" s="2889" t="s">
        <v>217</v>
      </c>
      <c r="F13200" s="2890">
        <v>0.17898588295493581</v>
      </c>
      <c r="G13200" s="2890">
        <v>270.4365567230243</v>
      </c>
    </row>
    <row r="13201" spans="2:7" ht="15" hidden="1" outlineLevel="2">
      <c r="B13201" s="2889" t="s">
        <v>1644</v>
      </c>
      <c r="C13201" s="2889" t="s">
        <v>1480</v>
      </c>
      <c r="D13201" s="2889" t="s">
        <v>1054</v>
      </c>
      <c r="E13201" s="2889" t="s">
        <v>217</v>
      </c>
      <c r="F13201" s="2890">
        <v>8.0587784520916042E-2</v>
      </c>
      <c r="G13201" s="2890">
        <v>93.142729529471083</v>
      </c>
    </row>
    <row r="13202" spans="2:7" ht="15" hidden="1" outlineLevel="2">
      <c r="B13202" s="2889" t="s">
        <v>1644</v>
      </c>
      <c r="C13202" s="2889" t="s">
        <v>1481</v>
      </c>
      <c r="D13202" s="2889" t="s">
        <v>1054</v>
      </c>
      <c r="E13202" s="2889" t="s">
        <v>217</v>
      </c>
      <c r="F13202" s="2890">
        <v>0.39868832658351899</v>
      </c>
      <c r="G13202" s="2890">
        <v>563.26590449421019</v>
      </c>
    </row>
    <row r="13203" spans="2:7" ht="15" hidden="1" outlineLevel="2">
      <c r="B13203" s="2889" t="s">
        <v>1644</v>
      </c>
      <c r="C13203" s="2889" t="s">
        <v>1482</v>
      </c>
      <c r="D13203" s="2889" t="s">
        <v>1054</v>
      </c>
      <c r="E13203" s="2889" t="s">
        <v>217</v>
      </c>
      <c r="F13203" s="2890">
        <v>0.26869145911374259</v>
      </c>
      <c r="G13203" s="2890">
        <v>269.83398430372574</v>
      </c>
    </row>
    <row r="13204" spans="2:7" ht="15" hidden="1" outlineLevel="2">
      <c r="B13204" s="2889" t="s">
        <v>1644</v>
      </c>
      <c r="C13204" s="2889" t="s">
        <v>1483</v>
      </c>
      <c r="D13204" s="2889" t="s">
        <v>1054</v>
      </c>
      <c r="E13204" s="2889" t="s">
        <v>217</v>
      </c>
      <c r="F13204" s="2890">
        <v>1.2777293230573443E-2</v>
      </c>
      <c r="G13204" s="2890">
        <v>21.510008590714001</v>
      </c>
    </row>
    <row r="13205" spans="2:7" ht="15" hidden="1" outlineLevel="2">
      <c r="B13205" s="2889" t="s">
        <v>1644</v>
      </c>
      <c r="C13205" s="2889" t="s">
        <v>1484</v>
      </c>
      <c r="D13205" s="2889" t="s">
        <v>1054</v>
      </c>
      <c r="E13205" s="2889" t="s">
        <v>217</v>
      </c>
      <c r="F13205" s="2890">
        <v>2.5963824402120968E-2</v>
      </c>
      <c r="G13205" s="2890">
        <v>36.473206045987119</v>
      </c>
    </row>
    <row r="13206" spans="2:7" ht="15" hidden="1" outlineLevel="2">
      <c r="B13206" s="2889" t="s">
        <v>1644</v>
      </c>
      <c r="C13206" s="2889" t="s">
        <v>1485</v>
      </c>
      <c r="D13206" s="2889" t="s">
        <v>1054</v>
      </c>
      <c r="E13206" s="2889" t="s">
        <v>217</v>
      </c>
      <c r="F13206" s="2890">
        <v>1.1542977042526794E-2</v>
      </c>
      <c r="G13206" s="2890">
        <v>32.683283541969537</v>
      </c>
    </row>
    <row r="13207" spans="2:7" ht="15" hidden="1" outlineLevel="2">
      <c r="B13207" s="2889" t="s">
        <v>1644</v>
      </c>
      <c r="C13207" s="2889" t="s">
        <v>1486</v>
      </c>
      <c r="D13207" s="2889" t="s">
        <v>1054</v>
      </c>
      <c r="E13207" s="2889" t="s">
        <v>217</v>
      </c>
      <c r="F13207" s="2890">
        <v>1.3443884662421361E-2</v>
      </c>
      <c r="G13207" s="2890">
        <v>78.062115692555381</v>
      </c>
    </row>
    <row r="13208" spans="2:7" ht="15" hidden="1" outlineLevel="2">
      <c r="B13208" s="2889" t="s">
        <v>1644</v>
      </c>
      <c r="C13208" s="2889" t="s">
        <v>1487</v>
      </c>
      <c r="D13208" s="2889" t="s">
        <v>1054</v>
      </c>
      <c r="E13208" s="2889" t="s">
        <v>217</v>
      </c>
      <c r="F13208" s="2890">
        <v>0.12711102683176856</v>
      </c>
      <c r="G13208" s="2890">
        <v>184.98698119634037</v>
      </c>
    </row>
    <row r="13209" spans="2:7" ht="15" hidden="1" outlineLevel="2">
      <c r="B13209" s="2889" t="s">
        <v>1644</v>
      </c>
      <c r="C13209" s="2889" t="s">
        <v>1488</v>
      </c>
      <c r="D13209" s="2889" t="s">
        <v>1054</v>
      </c>
      <c r="E13209" s="2889" t="s">
        <v>217</v>
      </c>
      <c r="F13209" s="2890">
        <v>7.8875390416495397E-2</v>
      </c>
      <c r="G13209" s="2890">
        <v>126.95896122421105</v>
      </c>
    </row>
    <row r="13210" spans="2:7" ht="15" hidden="1" outlineLevel="2">
      <c r="B13210" s="2889" t="s">
        <v>1644</v>
      </c>
      <c r="C13210" s="2889" t="s">
        <v>1489</v>
      </c>
      <c r="D13210" s="2889" t="s">
        <v>1054</v>
      </c>
      <c r="E13210" s="2889" t="s">
        <v>217</v>
      </c>
      <c r="F13210" s="2890">
        <v>3.9703402227266121E-2</v>
      </c>
      <c r="G13210" s="2890">
        <v>41.831831126756654</v>
      </c>
    </row>
    <row r="13211" spans="2:7" ht="15" hidden="1" outlineLevel="2">
      <c r="B13211" s="2889" t="s">
        <v>1644</v>
      </c>
      <c r="C13211" s="2889" t="s">
        <v>1490</v>
      </c>
      <c r="D13211" s="2889" t="s">
        <v>1054</v>
      </c>
      <c r="E13211" s="2889" t="s">
        <v>217</v>
      </c>
      <c r="F13211" s="2890">
        <v>1.8534852354382979E-2</v>
      </c>
      <c r="G13211" s="2890">
        <v>29.551335518688099</v>
      </c>
    </row>
    <row r="13212" spans="2:7" ht="15" hidden="1" outlineLevel="2">
      <c r="B13212" s="2889" t="s">
        <v>1644</v>
      </c>
      <c r="C13212" s="2889" t="s">
        <v>1491</v>
      </c>
      <c r="D13212" s="2889" t="s">
        <v>1054</v>
      </c>
      <c r="E13212" s="2889" t="s">
        <v>1420</v>
      </c>
      <c r="F13212" s="2890">
        <v>3.5351632835687479E-3</v>
      </c>
      <c r="G13212" s="2890">
        <v>16.738345831867786</v>
      </c>
    </row>
    <row r="13213" spans="2:7" ht="15" hidden="1" outlineLevel="2">
      <c r="B13213" s="2889" t="s">
        <v>1644</v>
      </c>
      <c r="C13213" s="2889" t="s">
        <v>1492</v>
      </c>
      <c r="D13213" s="2889" t="s">
        <v>1054</v>
      </c>
      <c r="E13213" s="2889" t="s">
        <v>1420</v>
      </c>
      <c r="F13213" s="2890">
        <v>2.6279268749185248E-3</v>
      </c>
      <c r="G13213" s="2890">
        <v>28.090078927595236</v>
      </c>
    </row>
    <row r="13214" spans="2:7" ht="15" hidden="1" outlineLevel="2">
      <c r="B13214" s="2889" t="s">
        <v>1644</v>
      </c>
      <c r="C13214" s="2889" t="s">
        <v>1493</v>
      </c>
      <c r="D13214" s="2889" t="s">
        <v>1054</v>
      </c>
      <c r="E13214" s="2889" t="s">
        <v>1420</v>
      </c>
      <c r="F13214" s="2890">
        <v>1.9459350621036226E-3</v>
      </c>
      <c r="G13214" s="2890">
        <v>4.6469395992144955</v>
      </c>
    </row>
    <row r="13215" spans="2:7" ht="15" hidden="1" outlineLevel="2">
      <c r="B13215" s="2889" t="s">
        <v>1644</v>
      </c>
      <c r="C13215" s="2889" t="s">
        <v>1494</v>
      </c>
      <c r="D13215" s="2889" t="s">
        <v>1054</v>
      </c>
      <c r="E13215" s="2889" t="s">
        <v>1420</v>
      </c>
      <c r="F13215" s="2890">
        <v>5.3061472364418559E-4</v>
      </c>
      <c r="G13215" s="2890">
        <v>2.9118767048264109</v>
      </c>
    </row>
    <row r="13216" spans="2:7" ht="15" hidden="1" outlineLevel="2">
      <c r="B13216" s="2889" t="s">
        <v>1644</v>
      </c>
      <c r="C13216" s="2889" t="s">
        <v>1495</v>
      </c>
      <c r="D13216" s="2889" t="s">
        <v>1054</v>
      </c>
      <c r="E13216" s="2889" t="s">
        <v>1420</v>
      </c>
      <c r="F13216" s="2890">
        <v>1.1482867118741887E-2</v>
      </c>
      <c r="G13216" s="2890">
        <v>51.530379321853275</v>
      </c>
    </row>
    <row r="13217" spans="2:7" ht="15" hidden="1" outlineLevel="2">
      <c r="B13217" s="2889" t="s">
        <v>1644</v>
      </c>
      <c r="C13217" s="2889" t="s">
        <v>1496</v>
      </c>
      <c r="D13217" s="2889" t="s">
        <v>1054</v>
      </c>
      <c r="E13217" s="2889" t="s">
        <v>1420</v>
      </c>
      <c r="F13217" s="2890">
        <v>1.0417608015189114E-2</v>
      </c>
      <c r="G13217" s="2890">
        <v>18.55390989155298</v>
      </c>
    </row>
    <row r="13218" spans="2:7" ht="15" hidden="1" outlineLevel="2">
      <c r="B13218" s="2889" t="s">
        <v>1644</v>
      </c>
      <c r="C13218" s="2889" t="s">
        <v>1497</v>
      </c>
      <c r="D13218" s="2889" t="s">
        <v>1054</v>
      </c>
      <c r="E13218" s="2889" t="s">
        <v>1420</v>
      </c>
      <c r="F13218" s="2890">
        <v>2.8904080474766967E-3</v>
      </c>
      <c r="G13218" s="2890">
        <v>47.673853612350918</v>
      </c>
    </row>
    <row r="13219" spans="2:7" ht="15" hidden="1" outlineLevel="2">
      <c r="B13219" s="2889" t="s">
        <v>1644</v>
      </c>
      <c r="C13219" s="2889" t="s">
        <v>1498</v>
      </c>
      <c r="D13219" s="2889" t="s">
        <v>1054</v>
      </c>
      <c r="E13219" s="2889" t="s">
        <v>1420</v>
      </c>
      <c r="F13219" s="2890">
        <v>7.9008238799975102E-3</v>
      </c>
      <c r="G13219" s="2890">
        <v>18.987984992498866</v>
      </c>
    </row>
    <row r="13220" spans="2:7" ht="15" hidden="1" outlineLevel="2">
      <c r="B13220" s="2889" t="s">
        <v>1644</v>
      </c>
      <c r="C13220" s="2889" t="s">
        <v>1499</v>
      </c>
      <c r="D13220" s="2889" t="s">
        <v>1054</v>
      </c>
      <c r="E13220" s="2889" t="s">
        <v>1420</v>
      </c>
      <c r="F13220" s="2890">
        <v>1.2066723080553126E-3</v>
      </c>
      <c r="G13220" s="2890">
        <v>3.0554459384701942</v>
      </c>
    </row>
    <row r="13221" spans="2:7" ht="15" hidden="1" outlineLevel="2">
      <c r="B13221" s="2889" t="s">
        <v>1644</v>
      </c>
      <c r="C13221" s="2889" t="s">
        <v>1500</v>
      </c>
      <c r="D13221" s="2889" t="s">
        <v>1054</v>
      </c>
      <c r="E13221" s="2889" t="s">
        <v>1420</v>
      </c>
      <c r="F13221" s="2890">
        <v>8.7401652128789222E-3</v>
      </c>
      <c r="G13221" s="2890">
        <v>33.053253711468102</v>
      </c>
    </row>
    <row r="13222" spans="2:7" ht="15" hidden="1" outlineLevel="2">
      <c r="B13222" s="2889" t="s">
        <v>1644</v>
      </c>
      <c r="C13222" s="2889" t="s">
        <v>1501</v>
      </c>
      <c r="D13222" s="2889" t="s">
        <v>1054</v>
      </c>
      <c r="E13222" s="2889" t="s">
        <v>1420</v>
      </c>
      <c r="F13222" s="2890">
        <v>1.0962060272839259E-2</v>
      </c>
      <c r="G13222" s="2890">
        <v>80.486413875279922</v>
      </c>
    </row>
    <row r="13223" spans="2:7" ht="15" hidden="1" outlineLevel="2">
      <c r="B13223" s="2889" t="s">
        <v>1644</v>
      </c>
      <c r="C13223" s="2889" t="s">
        <v>1502</v>
      </c>
      <c r="D13223" s="2889" t="s">
        <v>1054</v>
      </c>
      <c r="E13223" s="2889" t="s">
        <v>1420</v>
      </c>
      <c r="F13223" s="2890">
        <v>7.6487970531827969E-4</v>
      </c>
      <c r="G13223" s="2890">
        <v>8.4077184017403539</v>
      </c>
    </row>
    <row r="13224" spans="2:7" ht="15" hidden="1" outlineLevel="2">
      <c r="B13224" s="2889" t="s">
        <v>1644</v>
      </c>
      <c r="C13224" s="2889" t="s">
        <v>1503</v>
      </c>
      <c r="D13224" s="2889" t="s">
        <v>1054</v>
      </c>
      <c r="E13224" s="2889" t="s">
        <v>1420</v>
      </c>
      <c r="F13224" s="2890">
        <v>2.5225029580156974E-2</v>
      </c>
      <c r="G13224" s="2890">
        <v>69.646510712822348</v>
      </c>
    </row>
    <row r="13225" spans="2:7" ht="15" hidden="1" outlineLevel="2">
      <c r="B13225" s="2889" t="s">
        <v>1644</v>
      </c>
      <c r="C13225" s="2889" t="s">
        <v>1504</v>
      </c>
      <c r="D13225" s="2889" t="s">
        <v>1054</v>
      </c>
      <c r="E13225" s="2889" t="s">
        <v>1420</v>
      </c>
      <c r="F13225" s="2890">
        <v>1.3011802293871118E-2</v>
      </c>
      <c r="G13225" s="2890">
        <v>28.801723640383369</v>
      </c>
    </row>
    <row r="13226" spans="2:7" ht="15" hidden="1" outlineLevel="2">
      <c r="B13226" s="2889" t="s">
        <v>1644</v>
      </c>
      <c r="C13226" s="2889" t="s">
        <v>1505</v>
      </c>
      <c r="D13226" s="2889" t="s">
        <v>1054</v>
      </c>
      <c r="E13226" s="2889" t="s">
        <v>1423</v>
      </c>
      <c r="F13226" s="2890">
        <v>3.6898614004771145E-2</v>
      </c>
      <c r="G13226" s="2890">
        <v>0.91315991552201425</v>
      </c>
    </row>
    <row r="13227" spans="2:7" ht="15" hidden="1" outlineLevel="2">
      <c r="B13227" s="2889" t="s">
        <v>1644</v>
      </c>
      <c r="C13227" s="2889" t="s">
        <v>1506</v>
      </c>
      <c r="D13227" s="2889" t="s">
        <v>1054</v>
      </c>
      <c r="E13227" s="2889" t="s">
        <v>1426</v>
      </c>
      <c r="F13227" s="2891"/>
      <c r="G13227" s="2890">
        <v>2711.2806585827957</v>
      </c>
    </row>
    <row r="13228" spans="2:7" ht="15" hidden="1" outlineLevel="2">
      <c r="B13228" s="2889" t="s">
        <v>1644</v>
      </c>
      <c r="C13228" s="2889" t="s">
        <v>1507</v>
      </c>
      <c r="D13228" s="2889" t="s">
        <v>1054</v>
      </c>
      <c r="E13228" s="2889" t="s">
        <v>1426</v>
      </c>
      <c r="F13228" s="2891"/>
      <c r="G13228" s="2890">
        <v>4.4195705235518714</v>
      </c>
    </row>
    <row r="13229" spans="2:7" ht="15" hidden="1" outlineLevel="2">
      <c r="B13229" s="2889" t="s">
        <v>1644</v>
      </c>
      <c r="C13229" s="2889" t="s">
        <v>1508</v>
      </c>
      <c r="D13229" s="2889" t="s">
        <v>1054</v>
      </c>
      <c r="E13229" s="2889" t="s">
        <v>1426</v>
      </c>
      <c r="F13229" s="2891"/>
      <c r="G13229" s="2890">
        <v>72.810882868562473</v>
      </c>
    </row>
    <row r="13230" spans="2:7" ht="15" hidden="1" outlineLevel="2">
      <c r="B13230" s="2889" t="s">
        <v>1644</v>
      </c>
      <c r="C13230" s="2889" t="s">
        <v>1509</v>
      </c>
      <c r="D13230" s="2889" t="s">
        <v>1054</v>
      </c>
      <c r="E13230" s="2889" t="s">
        <v>1426</v>
      </c>
      <c r="F13230" s="2891"/>
      <c r="G13230" s="2890">
        <v>6786.6515097111951</v>
      </c>
    </row>
    <row r="13231" spans="2:7" ht="15" hidden="1" outlineLevel="2">
      <c r="B13231" s="2889" t="s">
        <v>1644</v>
      </c>
      <c r="C13231" s="2889" t="s">
        <v>1510</v>
      </c>
      <c r="D13231" s="2889" t="s">
        <v>1054</v>
      </c>
      <c r="E13231" s="2889" t="s">
        <v>1426</v>
      </c>
      <c r="F13231" s="2891"/>
      <c r="G13231" s="2890">
        <v>7382.4523179520675</v>
      </c>
    </row>
    <row r="13232" spans="2:7" ht="15" hidden="1" outlineLevel="2">
      <c r="B13232" s="2889" t="s">
        <v>1644</v>
      </c>
      <c r="C13232" s="2889" t="s">
        <v>1511</v>
      </c>
      <c r="D13232" s="2889" t="s">
        <v>1054</v>
      </c>
      <c r="E13232" s="2889" t="s">
        <v>1426</v>
      </c>
      <c r="F13232" s="2891"/>
      <c r="G13232" s="2890">
        <v>406.72443807191718</v>
      </c>
    </row>
    <row r="13233" spans="2:7" ht="15" hidden="1" outlineLevel="2">
      <c r="B13233" s="2889" t="s">
        <v>1644</v>
      </c>
      <c r="C13233" s="2889" t="s">
        <v>1512</v>
      </c>
      <c r="D13233" s="2889" t="s">
        <v>1054</v>
      </c>
      <c r="E13233" s="2889" t="s">
        <v>1426</v>
      </c>
      <c r="F13233" s="2891"/>
      <c r="G13233" s="2890">
        <v>251.04245700371214</v>
      </c>
    </row>
    <row r="13234" spans="2:7" ht="15" hidden="1" outlineLevel="2">
      <c r="B13234" s="2889" t="s">
        <v>1644</v>
      </c>
      <c r="C13234" s="2889" t="s">
        <v>1513</v>
      </c>
      <c r="D13234" s="2889" t="s">
        <v>1054</v>
      </c>
      <c r="E13234" s="2889" t="s">
        <v>1426</v>
      </c>
      <c r="F13234" s="2891"/>
      <c r="G13234" s="2890">
        <v>749.60011428577025</v>
      </c>
    </row>
    <row r="13235" spans="2:7" ht="15" hidden="1" outlineLevel="2">
      <c r="B13235" s="2889" t="s">
        <v>1644</v>
      </c>
      <c r="C13235" s="2889" t="s">
        <v>1514</v>
      </c>
      <c r="D13235" s="2889" t="s">
        <v>1054</v>
      </c>
      <c r="E13235" s="2889" t="s">
        <v>1426</v>
      </c>
      <c r="F13235" s="2891"/>
      <c r="G13235" s="2890">
        <v>3219.678087879387</v>
      </c>
    </row>
    <row r="13236" spans="2:7" ht="15" hidden="1" outlineLevel="2">
      <c r="B13236" s="2889" t="s">
        <v>1644</v>
      </c>
      <c r="C13236" s="2889" t="s">
        <v>1515</v>
      </c>
      <c r="D13236" s="2889" t="s">
        <v>1054</v>
      </c>
      <c r="E13236" s="2889" t="s">
        <v>1426</v>
      </c>
      <c r="F13236" s="2891"/>
      <c r="G13236" s="2890">
        <v>2768.546050500845</v>
      </c>
    </row>
    <row r="13237" spans="2:7" ht="15" hidden="1" outlineLevel="2">
      <c r="B13237" s="2889" t="s">
        <v>1644</v>
      </c>
      <c r="C13237" s="2889" t="s">
        <v>1516</v>
      </c>
      <c r="D13237" s="2889" t="s">
        <v>1054</v>
      </c>
      <c r="E13237" s="2889" t="s">
        <v>1426</v>
      </c>
      <c r="F13237" s="2891"/>
      <c r="G13237" s="2890">
        <v>27503.711653381306</v>
      </c>
    </row>
    <row r="13238" spans="2:7" ht="15" hidden="1" outlineLevel="2">
      <c r="B13238" s="2889" t="s">
        <v>1644</v>
      </c>
      <c r="C13238" s="2889" t="s">
        <v>1517</v>
      </c>
      <c r="D13238" s="2889" t="s">
        <v>1054</v>
      </c>
      <c r="E13238" s="2889" t="s">
        <v>1426</v>
      </c>
      <c r="F13238" s="2891"/>
      <c r="G13238" s="2890">
        <v>228.14194052303674</v>
      </c>
    </row>
    <row r="13239" spans="2:7" ht="15" hidden="1" outlineLevel="2">
      <c r="B13239" s="2889" t="s">
        <v>1644</v>
      </c>
      <c r="C13239" s="2889" t="s">
        <v>1518</v>
      </c>
      <c r="D13239" s="2889" t="s">
        <v>1054</v>
      </c>
      <c r="E13239" s="2889" t="s">
        <v>1426</v>
      </c>
      <c r="F13239" s="2891"/>
      <c r="G13239" s="2890">
        <v>107.76186107276507</v>
      </c>
    </row>
    <row r="13240" spans="2:7" ht="15" hidden="1" outlineLevel="2">
      <c r="B13240" s="2889" t="s">
        <v>1644</v>
      </c>
      <c r="C13240" s="2889" t="s">
        <v>1519</v>
      </c>
      <c r="D13240" s="2889" t="s">
        <v>1054</v>
      </c>
      <c r="E13240" s="2889" t="s">
        <v>1426</v>
      </c>
      <c r="F13240" s="2891"/>
      <c r="G13240" s="2890">
        <v>6281.6085369711736</v>
      </c>
    </row>
    <row r="13241" spans="2:7" ht="15" hidden="1" outlineLevel="2">
      <c r="B13241" s="2889" t="s">
        <v>1644</v>
      </c>
      <c r="C13241" s="2889" t="s">
        <v>1520</v>
      </c>
      <c r="D13241" s="2889" t="s">
        <v>1054</v>
      </c>
      <c r="E13241" s="2889" t="s">
        <v>1426</v>
      </c>
      <c r="F13241" s="2891"/>
      <c r="G13241" s="2890">
        <v>6842.750124300057</v>
      </c>
    </row>
    <row r="13242" spans="2:7" ht="15" hidden="1" outlineLevel="2">
      <c r="B13242" s="2889" t="s">
        <v>1644</v>
      </c>
      <c r="C13242" s="2889" t="s">
        <v>1521</v>
      </c>
      <c r="D13242" s="2889" t="s">
        <v>1054</v>
      </c>
      <c r="E13242" s="2889" t="s">
        <v>1426</v>
      </c>
      <c r="F13242" s="2891"/>
      <c r="G13242" s="2890">
        <v>23523.747805134597</v>
      </c>
    </row>
    <row r="13243" spans="2:7" ht="15" hidden="1" outlineLevel="2">
      <c r="B13243" s="2889" t="s">
        <v>1644</v>
      </c>
      <c r="C13243" s="2889" t="s">
        <v>1522</v>
      </c>
      <c r="D13243" s="2889" t="s">
        <v>1054</v>
      </c>
      <c r="E13243" s="2889" t="s">
        <v>1426</v>
      </c>
      <c r="F13243" s="2891"/>
      <c r="G13243" s="2890">
        <v>1107.4655383736788</v>
      </c>
    </row>
    <row r="13244" spans="2:7" ht="15" hidden="1" outlineLevel="2">
      <c r="B13244" s="2889" t="s">
        <v>1644</v>
      </c>
      <c r="C13244" s="2889" t="s">
        <v>1523</v>
      </c>
      <c r="D13244" s="2889" t="s">
        <v>1054</v>
      </c>
      <c r="E13244" s="2889" t="s">
        <v>1426</v>
      </c>
      <c r="F13244" s="2891"/>
      <c r="G13244" s="2890">
        <v>8803.6052058201512</v>
      </c>
    </row>
    <row r="13245" spans="2:7" ht="15" hidden="1" outlineLevel="2">
      <c r="B13245" s="2889" t="s">
        <v>1644</v>
      </c>
      <c r="C13245" s="2889" t="s">
        <v>1524</v>
      </c>
      <c r="D13245" s="2889" t="s">
        <v>1054</v>
      </c>
      <c r="E13245" s="2889" t="s">
        <v>1426</v>
      </c>
      <c r="F13245" s="2891"/>
      <c r="G13245" s="2890">
        <v>29936.636313730993</v>
      </c>
    </row>
    <row r="13246" spans="2:7" ht="15" hidden="1" outlineLevel="2">
      <c r="B13246" s="2889" t="s">
        <v>1644</v>
      </c>
      <c r="C13246" s="2889" t="s">
        <v>1525</v>
      </c>
      <c r="D13246" s="2889" t="s">
        <v>1054</v>
      </c>
      <c r="E13246" s="2889" t="s">
        <v>1426</v>
      </c>
      <c r="F13246" s="2891"/>
      <c r="G13246" s="2890">
        <v>18154.753645643883</v>
      </c>
    </row>
    <row r="13247" spans="2:7" ht="15" hidden="1" outlineLevel="2">
      <c r="B13247" s="2889" t="s">
        <v>1644</v>
      </c>
      <c r="C13247" s="2889" t="s">
        <v>1526</v>
      </c>
      <c r="D13247" s="2889" t="s">
        <v>1054</v>
      </c>
      <c r="E13247" s="2889" t="s">
        <v>1426</v>
      </c>
      <c r="F13247" s="2891"/>
      <c r="G13247" s="2890">
        <v>27397.876025142705</v>
      </c>
    </row>
    <row r="13248" spans="2:7" ht="15" hidden="1" outlineLevel="2">
      <c r="B13248" s="2889" t="s">
        <v>1644</v>
      </c>
      <c r="C13248" s="2889" t="s">
        <v>1527</v>
      </c>
      <c r="D13248" s="2889" t="s">
        <v>1054</v>
      </c>
      <c r="E13248" s="2889" t="s">
        <v>1426</v>
      </c>
      <c r="F13248" s="2891"/>
      <c r="G13248" s="2890">
        <v>12448.553806794826</v>
      </c>
    </row>
    <row r="13249" spans="2:7" ht="15" hidden="1" outlineLevel="2">
      <c r="B13249" s="2889" t="s">
        <v>1644</v>
      </c>
      <c r="C13249" s="2889" t="s">
        <v>1528</v>
      </c>
      <c r="D13249" s="2889" t="s">
        <v>1054</v>
      </c>
      <c r="E13249" s="2889" t="s">
        <v>1426</v>
      </c>
      <c r="F13249" s="2891"/>
      <c r="G13249" s="2890">
        <v>2946.9681528042961</v>
      </c>
    </row>
    <row r="13250" spans="2:7" ht="15" hidden="1" outlineLevel="2">
      <c r="B13250" s="2889" t="s">
        <v>1644</v>
      </c>
      <c r="C13250" s="2889" t="s">
        <v>1529</v>
      </c>
      <c r="D13250" s="2889" t="s">
        <v>1054</v>
      </c>
      <c r="E13250" s="2889" t="s">
        <v>1426</v>
      </c>
      <c r="F13250" s="2891"/>
      <c r="G13250" s="2890">
        <v>38.354942013291598</v>
      </c>
    </row>
    <row r="13251" spans="2:7" ht="15" hidden="1" outlineLevel="2">
      <c r="B13251" s="2889" t="s">
        <v>1644</v>
      </c>
      <c r="C13251" s="2889" t="s">
        <v>1530</v>
      </c>
      <c r="D13251" s="2889" t="s">
        <v>1054</v>
      </c>
      <c r="E13251" s="2889" t="s">
        <v>1426</v>
      </c>
      <c r="F13251" s="2891"/>
      <c r="G13251" s="2890">
        <v>2823.8956985329846</v>
      </c>
    </row>
    <row r="13252" spans="2:7" ht="15" hidden="1" outlineLevel="2">
      <c r="B13252" s="2889" t="s">
        <v>1644</v>
      </c>
      <c r="C13252" s="2889" t="s">
        <v>1531</v>
      </c>
      <c r="D13252" s="2889" t="s">
        <v>1106</v>
      </c>
      <c r="E13252" s="2889" t="s">
        <v>217</v>
      </c>
      <c r="F13252" s="2890">
        <v>1.2971569028998905E-3</v>
      </c>
      <c r="G13252" s="2890">
        <v>0.58151257957200941</v>
      </c>
    </row>
    <row r="13253" spans="2:7" ht="15" hidden="1" outlineLevel="2">
      <c r="B13253" s="2889" t="s">
        <v>1644</v>
      </c>
      <c r="C13253" s="2889" t="s">
        <v>1532</v>
      </c>
      <c r="D13253" s="2889" t="s">
        <v>1106</v>
      </c>
      <c r="E13253" s="2889" t="s">
        <v>217</v>
      </c>
      <c r="F13253" s="2890">
        <v>1.0216266790839285E-4</v>
      </c>
      <c r="G13253" s="2890">
        <v>4.5799177590048368E-2</v>
      </c>
    </row>
    <row r="13254" spans="2:7" ht="15" hidden="1" outlineLevel="2">
      <c r="B13254" s="2889" t="s">
        <v>1644</v>
      </c>
      <c r="C13254" s="2889" t="s">
        <v>1533</v>
      </c>
      <c r="D13254" s="2889" t="s">
        <v>1106</v>
      </c>
      <c r="E13254" s="2889" t="s">
        <v>217</v>
      </c>
      <c r="F13254" s="2890">
        <v>6.6229954265306451E-2</v>
      </c>
      <c r="G13254" s="2890">
        <v>70.732053087906706</v>
      </c>
    </row>
    <row r="13255" spans="2:7" ht="15" hidden="1" outlineLevel="2">
      <c r="B13255" s="2889" t="s">
        <v>1644</v>
      </c>
      <c r="C13255" s="2889" t="s">
        <v>1534</v>
      </c>
      <c r="D13255" s="2889" t="s">
        <v>1106</v>
      </c>
      <c r="E13255" s="2889" t="s">
        <v>217</v>
      </c>
      <c r="F13255" s="2890">
        <v>6.0210442373786151E-2</v>
      </c>
      <c r="G13255" s="2890">
        <v>209.45676887995367</v>
      </c>
    </row>
    <row r="13256" spans="2:7" ht="15" hidden="1" outlineLevel="2">
      <c r="B13256" s="2889" t="s">
        <v>1644</v>
      </c>
      <c r="C13256" s="2889" t="s">
        <v>1535</v>
      </c>
      <c r="D13256" s="2889" t="s">
        <v>1106</v>
      </c>
      <c r="E13256" s="2889" t="s">
        <v>217</v>
      </c>
      <c r="F13256" s="2890">
        <v>2.2512011149707068E-2</v>
      </c>
      <c r="G13256" s="2890">
        <v>52.898797048878428</v>
      </c>
    </row>
    <row r="13257" spans="2:7" ht="15" hidden="1" outlineLevel="2">
      <c r="B13257" s="2889" t="s">
        <v>1644</v>
      </c>
      <c r="C13257" s="2889" t="s">
        <v>1536</v>
      </c>
      <c r="D13257" s="2889" t="s">
        <v>1106</v>
      </c>
      <c r="E13257" s="2889" t="s">
        <v>217</v>
      </c>
      <c r="F13257" s="2890">
        <v>7.5520103689415974E-2</v>
      </c>
      <c r="G13257" s="2890">
        <v>98.600959519767329</v>
      </c>
    </row>
    <row r="13258" spans="2:7" ht="15" hidden="1" outlineLevel="2">
      <c r="B13258" s="2889" t="s">
        <v>1644</v>
      </c>
      <c r="C13258" s="2889" t="s">
        <v>1537</v>
      </c>
      <c r="D13258" s="2889" t="s">
        <v>1106</v>
      </c>
      <c r="E13258" s="2889" t="s">
        <v>217</v>
      </c>
      <c r="F13258" s="2890">
        <v>4.2306560866032785E-3</v>
      </c>
      <c r="G13258" s="2890">
        <v>4.8445319263122704</v>
      </c>
    </row>
    <row r="13259" spans="2:7" ht="15" hidden="1" outlineLevel="2">
      <c r="B13259" s="2889" t="s">
        <v>1644</v>
      </c>
      <c r="C13259" s="2889" t="s">
        <v>1538</v>
      </c>
      <c r="D13259" s="2889" t="s">
        <v>1106</v>
      </c>
      <c r="E13259" s="2889" t="s">
        <v>217</v>
      </c>
      <c r="F13259" s="2890">
        <v>4.5777593717603081E-3</v>
      </c>
      <c r="G13259" s="2890">
        <v>6.1968609689659724</v>
      </c>
    </row>
    <row r="13260" spans="2:7" ht="15" hidden="1" outlineLevel="2">
      <c r="B13260" s="2889" t="s">
        <v>1644</v>
      </c>
      <c r="C13260" s="2889" t="s">
        <v>1539</v>
      </c>
      <c r="D13260" s="2889" t="s">
        <v>1106</v>
      </c>
      <c r="E13260" s="2889" t="s">
        <v>217</v>
      </c>
      <c r="F13260" s="2890">
        <v>1.6609631478459186E-3</v>
      </c>
      <c r="G13260" s="2890">
        <v>21.358017978790173</v>
      </c>
    </row>
    <row r="13261" spans="2:7" ht="15" hidden="1" outlineLevel="2">
      <c r="B13261" s="2889" t="s">
        <v>1644</v>
      </c>
      <c r="C13261" s="2889" t="s">
        <v>1540</v>
      </c>
      <c r="D13261" s="2889" t="s">
        <v>1106</v>
      </c>
      <c r="E13261" s="2889" t="s">
        <v>1420</v>
      </c>
      <c r="F13261" s="2890">
        <v>7.383971435484217E-2</v>
      </c>
      <c r="G13261" s="2890">
        <v>179.18405288603662</v>
      </c>
    </row>
    <row r="13262" spans="2:7" ht="15" hidden="1" outlineLevel="2">
      <c r="B13262" s="2889" t="s">
        <v>1644</v>
      </c>
      <c r="C13262" s="2889" t="s">
        <v>1541</v>
      </c>
      <c r="D13262" s="2889" t="s">
        <v>1106</v>
      </c>
      <c r="E13262" s="2889" t="s">
        <v>1420</v>
      </c>
      <c r="F13262" s="2890">
        <v>2.1518602007222092</v>
      </c>
      <c r="G13262" s="2890">
        <v>15842.649600742825</v>
      </c>
    </row>
    <row r="13263" spans="2:7" ht="15" hidden="1" outlineLevel="2">
      <c r="B13263" s="2889" t="s">
        <v>1644</v>
      </c>
      <c r="C13263" s="2889" t="s">
        <v>1542</v>
      </c>
      <c r="D13263" s="2889" t="s">
        <v>1106</v>
      </c>
      <c r="E13263" s="2889" t="s">
        <v>1420</v>
      </c>
      <c r="F13263" s="2890">
        <v>1.0466526282762678E-2</v>
      </c>
      <c r="G13263" s="2890">
        <v>119.77074958424072</v>
      </c>
    </row>
    <row r="13264" spans="2:7" ht="15" hidden="1" outlineLevel="2">
      <c r="B13264" s="2889" t="s">
        <v>1644</v>
      </c>
      <c r="C13264" s="2889" t="s">
        <v>1543</v>
      </c>
      <c r="D13264" s="2889" t="s">
        <v>1106</v>
      </c>
      <c r="E13264" s="2889" t="s">
        <v>1420</v>
      </c>
      <c r="F13264" s="2890">
        <v>3.7928102515697205E-3</v>
      </c>
      <c r="G13264" s="2890">
        <v>37.123385677538877</v>
      </c>
    </row>
    <row r="13265" spans="2:7" ht="15" hidden="1" outlineLevel="2">
      <c r="B13265" s="2889" t="s">
        <v>1644</v>
      </c>
      <c r="C13265" s="2889" t="s">
        <v>1544</v>
      </c>
      <c r="D13265" s="2889" t="s">
        <v>1106</v>
      </c>
      <c r="E13265" s="2889" t="s">
        <v>1420</v>
      </c>
      <c r="F13265" s="2890">
        <v>3.6659667181837227E-3</v>
      </c>
      <c r="G13265" s="2890">
        <v>9.5784707315886557</v>
      </c>
    </row>
    <row r="13266" spans="2:7" ht="15" hidden="1" outlineLevel="2">
      <c r="B13266" s="2889" t="s">
        <v>1644</v>
      </c>
      <c r="C13266" s="2889" t="s">
        <v>1545</v>
      </c>
      <c r="D13266" s="2889" t="s">
        <v>1106</v>
      </c>
      <c r="E13266" s="2889" t="s">
        <v>1420</v>
      </c>
      <c r="F13266" s="2890">
        <v>3.6661205804965286E-3</v>
      </c>
      <c r="G13266" s="2890">
        <v>72.85558480367358</v>
      </c>
    </row>
    <row r="13267" spans="2:7" ht="15" hidden="1" outlineLevel="2">
      <c r="B13267" s="2889" t="s">
        <v>1644</v>
      </c>
      <c r="C13267" s="2889" t="s">
        <v>1546</v>
      </c>
      <c r="D13267" s="2889" t="s">
        <v>1106</v>
      </c>
      <c r="E13267" s="2889" t="s">
        <v>1423</v>
      </c>
      <c r="F13267" s="2890">
        <v>11.113288835372778</v>
      </c>
      <c r="G13267" s="2890">
        <v>935.24610107167052</v>
      </c>
    </row>
    <row r="13268" spans="2:7" ht="15" hidden="1" outlineLevel="2">
      <c r="B13268" s="2889" t="s">
        <v>1644</v>
      </c>
      <c r="C13268" s="2889" t="s">
        <v>1547</v>
      </c>
      <c r="D13268" s="2889" t="s">
        <v>1106</v>
      </c>
      <c r="E13268" s="2889" t="s">
        <v>1423</v>
      </c>
      <c r="F13268" s="2890">
        <v>1.2138550695201257E-2</v>
      </c>
      <c r="G13268" s="2890">
        <v>1.0629416503572149</v>
      </c>
    </row>
    <row r="13269" spans="2:7" ht="15" hidden="1" outlineLevel="2">
      <c r="B13269" s="2889" t="s">
        <v>1644</v>
      </c>
      <c r="C13269" s="2889" t="s">
        <v>1548</v>
      </c>
      <c r="D13269" s="2889" t="s">
        <v>1106</v>
      </c>
      <c r="E13269" s="2889" t="s">
        <v>1423</v>
      </c>
      <c r="F13269" s="2890">
        <v>5.6638350063655625E-3</v>
      </c>
      <c r="G13269" s="2890">
        <v>0.58048437271119324</v>
      </c>
    </row>
    <row r="13270" spans="2:7" ht="15" hidden="1" outlineLevel="2">
      <c r="B13270" s="2889" t="s">
        <v>1644</v>
      </c>
      <c r="C13270" s="2889" t="s">
        <v>1549</v>
      </c>
      <c r="D13270" s="2889" t="s">
        <v>1106</v>
      </c>
      <c r="E13270" s="2889" t="s">
        <v>1423</v>
      </c>
      <c r="F13270" s="2890">
        <v>5.9404895362686887E-2</v>
      </c>
      <c r="G13270" s="2890">
        <v>5.8498384358372366</v>
      </c>
    </row>
    <row r="13271" spans="2:7" ht="15" hidden="1" outlineLevel="2">
      <c r="B13271" s="2889" t="s">
        <v>1644</v>
      </c>
      <c r="C13271" s="2889" t="s">
        <v>1550</v>
      </c>
      <c r="D13271" s="2889" t="s">
        <v>1106</v>
      </c>
      <c r="E13271" s="2889" t="s">
        <v>1423</v>
      </c>
      <c r="F13271" s="2890">
        <v>1.9287872620061427E-2</v>
      </c>
      <c r="G13271" s="2890">
        <v>4.3374215486181953</v>
      </c>
    </row>
    <row r="13272" spans="2:7" ht="15" hidden="1" outlineLevel="2">
      <c r="B13272" s="2889" t="s">
        <v>1644</v>
      </c>
      <c r="C13272" s="2889" t="s">
        <v>1551</v>
      </c>
      <c r="D13272" s="2889" t="s">
        <v>1106</v>
      </c>
      <c r="E13272" s="2889" t="s">
        <v>1426</v>
      </c>
      <c r="F13272" s="2891"/>
      <c r="G13272" s="2890">
        <v>291.52569676993608</v>
      </c>
    </row>
    <row r="13273" spans="2:7" ht="15" hidden="1" outlineLevel="2">
      <c r="B13273" s="2889" t="s">
        <v>1644</v>
      </c>
      <c r="C13273" s="2889" t="s">
        <v>1552</v>
      </c>
      <c r="D13273" s="2889" t="s">
        <v>1106</v>
      </c>
      <c r="E13273" s="2889" t="s">
        <v>1426</v>
      </c>
      <c r="F13273" s="2891"/>
      <c r="G13273" s="2890">
        <v>4230.2041324484071</v>
      </c>
    </row>
    <row r="13274" spans="2:7" ht="15" hidden="1" outlineLevel="2">
      <c r="B13274" s="2889" t="s">
        <v>1644</v>
      </c>
      <c r="C13274" s="2889" t="s">
        <v>1553</v>
      </c>
      <c r="D13274" s="2889" t="s">
        <v>1106</v>
      </c>
      <c r="E13274" s="2889" t="s">
        <v>1426</v>
      </c>
      <c r="F13274" s="2891"/>
      <c r="G13274" s="2890">
        <v>1846.3459179634647</v>
      </c>
    </row>
    <row r="13275" spans="2:7" ht="15" hidden="1" outlineLevel="2">
      <c r="B13275" s="2889" t="s">
        <v>1644</v>
      </c>
      <c r="C13275" s="2889" t="s">
        <v>1554</v>
      </c>
      <c r="D13275" s="2889" t="s">
        <v>1106</v>
      </c>
      <c r="E13275" s="2889" t="s">
        <v>1426</v>
      </c>
      <c r="F13275" s="2891"/>
      <c r="G13275" s="2890">
        <v>1874.0200226123509</v>
      </c>
    </row>
    <row r="13276" spans="2:7" ht="15" hidden="1" outlineLevel="2">
      <c r="B13276" s="2889" t="s">
        <v>1644</v>
      </c>
      <c r="C13276" s="2889" t="s">
        <v>1555</v>
      </c>
      <c r="D13276" s="2889" t="s">
        <v>1106</v>
      </c>
      <c r="E13276" s="2889" t="s">
        <v>1426</v>
      </c>
      <c r="F13276" s="2891"/>
      <c r="G13276" s="2890">
        <v>72.043985497047956</v>
      </c>
    </row>
    <row r="13277" spans="2:7" ht="15" hidden="1" outlineLevel="2">
      <c r="B13277" s="2889" t="s">
        <v>1644</v>
      </c>
      <c r="C13277" s="2889" t="s">
        <v>1556</v>
      </c>
      <c r="D13277" s="2889" t="s">
        <v>1106</v>
      </c>
      <c r="E13277" s="2889" t="s">
        <v>1426</v>
      </c>
      <c r="F13277" s="2891"/>
      <c r="G13277" s="2890">
        <v>17015.696469152448</v>
      </c>
    </row>
    <row r="13278" spans="2:7" ht="15" hidden="1" outlineLevel="2">
      <c r="B13278" s="2889" t="s">
        <v>1644</v>
      </c>
      <c r="C13278" s="2889" t="s">
        <v>1557</v>
      </c>
      <c r="D13278" s="2889" t="s">
        <v>1106</v>
      </c>
      <c r="E13278" s="2889" t="s">
        <v>1426</v>
      </c>
      <c r="F13278" s="2891"/>
      <c r="G13278" s="2890">
        <v>2663.2389956805355</v>
      </c>
    </row>
    <row r="13279" spans="2:7" ht="15" hidden="1" outlineLevel="2">
      <c r="B13279" s="2889" t="s">
        <v>1644</v>
      </c>
      <c r="C13279" s="2889" t="s">
        <v>1558</v>
      </c>
      <c r="D13279" s="2889" t="s">
        <v>1559</v>
      </c>
      <c r="E13279" s="2889" t="s">
        <v>217</v>
      </c>
      <c r="F13279" s="2890">
        <v>6.3500289116457387E-2</v>
      </c>
      <c r="G13279" s="2890">
        <v>34.776028469762615</v>
      </c>
    </row>
    <row r="13280" spans="2:7" ht="15" hidden="1" outlineLevel="2">
      <c r="B13280" s="2889" t="s">
        <v>1644</v>
      </c>
      <c r="C13280" s="2889" t="s">
        <v>1560</v>
      </c>
      <c r="D13280" s="2889" t="s">
        <v>1559</v>
      </c>
      <c r="E13280" s="2889" t="s">
        <v>217</v>
      </c>
      <c r="F13280" s="2890">
        <v>0.72267897403535108</v>
      </c>
      <c r="G13280" s="2890">
        <v>390.00944570253438</v>
      </c>
    </row>
    <row r="13281" spans="2:7" ht="15" hidden="1" outlineLevel="2">
      <c r="B13281" s="2889" t="s">
        <v>1644</v>
      </c>
      <c r="C13281" s="2889" t="s">
        <v>1561</v>
      </c>
      <c r="D13281" s="2889" t="s">
        <v>1559</v>
      </c>
      <c r="E13281" s="2889" t="s">
        <v>217</v>
      </c>
      <c r="F13281" s="2890">
        <v>0.91109170347466861</v>
      </c>
      <c r="G13281" s="2890">
        <v>475.06938273817013</v>
      </c>
    </row>
    <row r="13282" spans="2:7" ht="15" hidden="1" outlineLevel="2">
      <c r="B13282" s="2889" t="s">
        <v>1644</v>
      </c>
      <c r="C13282" s="2889" t="s">
        <v>1562</v>
      </c>
      <c r="D13282" s="2889" t="s">
        <v>1559</v>
      </c>
      <c r="E13282" s="2889" t="s">
        <v>217</v>
      </c>
      <c r="F13282" s="2890">
        <v>7.9157510985661741</v>
      </c>
      <c r="G13282" s="2890">
        <v>4340.3865681003299</v>
      </c>
    </row>
    <row r="13283" spans="2:7" ht="15" hidden="1" outlineLevel="2">
      <c r="B13283" s="2889" t="s">
        <v>1644</v>
      </c>
      <c r="C13283" s="2889" t="s">
        <v>1563</v>
      </c>
      <c r="D13283" s="2889" t="s">
        <v>1559</v>
      </c>
      <c r="E13283" s="2889" t="s">
        <v>217</v>
      </c>
      <c r="F13283" s="2890">
        <v>1.1234208844732974</v>
      </c>
      <c r="G13283" s="2890">
        <v>662.03188349107904</v>
      </c>
    </row>
    <row r="13284" spans="2:7" ht="15" hidden="1" outlineLevel="2">
      <c r="B13284" s="2889" t="s">
        <v>1644</v>
      </c>
      <c r="C13284" s="2889" t="s">
        <v>1564</v>
      </c>
      <c r="D13284" s="2889" t="s">
        <v>1559</v>
      </c>
      <c r="E13284" s="2889" t="s">
        <v>217</v>
      </c>
      <c r="F13284" s="2890">
        <v>7.4749929779883839</v>
      </c>
      <c r="G13284" s="2890">
        <v>3784.7428901301801</v>
      </c>
    </row>
    <row r="13285" spans="2:7" ht="15" hidden="1" outlineLevel="2">
      <c r="B13285" s="2889" t="s">
        <v>1644</v>
      </c>
      <c r="C13285" s="2889" t="s">
        <v>1565</v>
      </c>
      <c r="D13285" s="2889" t="s">
        <v>1559</v>
      </c>
      <c r="E13285" s="2889" t="s">
        <v>217</v>
      </c>
      <c r="F13285" s="2890">
        <v>0.79185771868745247</v>
      </c>
      <c r="G13285" s="2890">
        <v>426.08232660224161</v>
      </c>
    </row>
    <row r="13286" spans="2:7" ht="15" hidden="1" outlineLevel="2">
      <c r="B13286" s="2889" t="s">
        <v>1644</v>
      </c>
      <c r="C13286" s="2889" t="s">
        <v>1566</v>
      </c>
      <c r="D13286" s="2889" t="s">
        <v>1559</v>
      </c>
      <c r="E13286" s="2889" t="s">
        <v>217</v>
      </c>
      <c r="F13286" s="2890">
        <v>6.5975082230540725</v>
      </c>
      <c r="G13286" s="2890">
        <v>3534.0494739974606</v>
      </c>
    </row>
    <row r="13287" spans="2:7" ht="15" hidden="1" outlineLevel="2">
      <c r="B13287" s="2889" t="s">
        <v>1644</v>
      </c>
      <c r="C13287" s="2889" t="s">
        <v>1567</v>
      </c>
      <c r="D13287" s="2889" t="s">
        <v>1559</v>
      </c>
      <c r="E13287" s="2889" t="s">
        <v>217</v>
      </c>
      <c r="F13287" s="2890">
        <v>1.3777028249947108</v>
      </c>
      <c r="G13287" s="2890">
        <v>202.79054393194093</v>
      </c>
    </row>
    <row r="13288" spans="2:7" ht="15" hidden="1" outlineLevel="2">
      <c r="B13288" s="2889" t="s">
        <v>1644</v>
      </c>
      <c r="C13288" s="2889" t="s">
        <v>1568</v>
      </c>
      <c r="D13288" s="2889" t="s">
        <v>1559</v>
      </c>
      <c r="E13288" s="2889" t="s">
        <v>217</v>
      </c>
      <c r="F13288" s="2890">
        <v>7.6720698415783719</v>
      </c>
      <c r="G13288" s="2890">
        <v>1129.2994959672799</v>
      </c>
    </row>
    <row r="13289" spans="2:7" ht="15" hidden="1" outlineLevel="2">
      <c r="B13289" s="2889" t="s">
        <v>1644</v>
      </c>
      <c r="C13289" s="2889" t="s">
        <v>1569</v>
      </c>
      <c r="D13289" s="2889" t="s">
        <v>1559</v>
      </c>
      <c r="E13289" s="2889" t="s">
        <v>217</v>
      </c>
      <c r="F13289" s="2890">
        <v>3.2321343652388021E-3</v>
      </c>
      <c r="G13289" s="2890">
        <v>1.6153601711763252</v>
      </c>
    </row>
    <row r="13290" spans="2:7" ht="15" hidden="1" outlineLevel="2">
      <c r="B13290" s="2889" t="s">
        <v>1644</v>
      </c>
      <c r="C13290" s="2889" t="s">
        <v>1570</v>
      </c>
      <c r="D13290" s="2889" t="s">
        <v>1559</v>
      </c>
      <c r="E13290" s="2889" t="s">
        <v>217</v>
      </c>
      <c r="F13290" s="2890">
        <v>9.5581488770674383</v>
      </c>
      <c r="G13290" s="2890">
        <v>5935.050573343965</v>
      </c>
    </row>
    <row r="13291" spans="2:7" ht="15" hidden="1" outlineLevel="2">
      <c r="B13291" s="2889" t="s">
        <v>1644</v>
      </c>
      <c r="C13291" s="2889" t="s">
        <v>1571</v>
      </c>
      <c r="D13291" s="2889" t="s">
        <v>1559</v>
      </c>
      <c r="E13291" s="2889" t="s">
        <v>217</v>
      </c>
      <c r="F13291" s="2890">
        <v>9.2485863957064929</v>
      </c>
      <c r="G13291" s="2890">
        <v>11032.472451265405</v>
      </c>
    </row>
    <row r="13292" spans="2:7" ht="15" hidden="1" outlineLevel="2">
      <c r="B13292" s="2889" t="s">
        <v>1644</v>
      </c>
      <c r="C13292" s="2889" t="s">
        <v>1572</v>
      </c>
      <c r="D13292" s="2889" t="s">
        <v>1559</v>
      </c>
      <c r="E13292" s="2889" t="s">
        <v>217</v>
      </c>
      <c r="F13292" s="2890">
        <v>0.80800048946855096</v>
      </c>
      <c r="G13292" s="2890">
        <v>497.66191666199398</v>
      </c>
    </row>
    <row r="13293" spans="2:7" ht="15" hidden="1" outlineLevel="2">
      <c r="B13293" s="2889" t="s">
        <v>1644</v>
      </c>
      <c r="C13293" s="2889" t="s">
        <v>1573</v>
      </c>
      <c r="D13293" s="2889" t="s">
        <v>1559</v>
      </c>
      <c r="E13293" s="2889" t="s">
        <v>217</v>
      </c>
      <c r="F13293" s="2890">
        <v>7.4965801255609588</v>
      </c>
      <c r="G13293" s="2890">
        <v>5615.6269396657945</v>
      </c>
    </row>
    <row r="13294" spans="2:7" ht="15" hidden="1" outlineLevel="2">
      <c r="B13294" s="2889" t="s">
        <v>1644</v>
      </c>
      <c r="C13294" s="2889" t="s">
        <v>1574</v>
      </c>
      <c r="D13294" s="2889" t="s">
        <v>1559</v>
      </c>
      <c r="E13294" s="2889" t="s">
        <v>217</v>
      </c>
      <c r="F13294" s="2890">
        <v>4.3794712554457459E-2</v>
      </c>
      <c r="G13294" s="2890">
        <v>33.040350895167691</v>
      </c>
    </row>
    <row r="13295" spans="2:7" ht="15" hidden="1" outlineLevel="2">
      <c r="B13295" s="2889" t="s">
        <v>1644</v>
      </c>
      <c r="C13295" s="2889" t="s">
        <v>1575</v>
      </c>
      <c r="D13295" s="2889" t="s">
        <v>1559</v>
      </c>
      <c r="E13295" s="2889" t="s">
        <v>217</v>
      </c>
      <c r="F13295" s="2890">
        <v>0.20552443354877667</v>
      </c>
      <c r="G13295" s="2890">
        <v>255.56581943046629</v>
      </c>
    </row>
    <row r="13296" spans="2:7" ht="15" hidden="1" outlineLevel="2">
      <c r="B13296" s="2889" t="s">
        <v>1644</v>
      </c>
      <c r="C13296" s="2889" t="s">
        <v>1576</v>
      </c>
      <c r="D13296" s="2889" t="s">
        <v>1559</v>
      </c>
      <c r="E13296" s="2889" t="s">
        <v>217</v>
      </c>
      <c r="F13296" s="2890">
        <v>8.3352681215213081E-2</v>
      </c>
      <c r="G13296" s="2890">
        <v>63.035076563080395</v>
      </c>
    </row>
    <row r="13297" spans="2:7" ht="15" hidden="1" outlineLevel="2">
      <c r="B13297" s="2889" t="s">
        <v>1644</v>
      </c>
      <c r="C13297" s="2889" t="s">
        <v>1577</v>
      </c>
      <c r="D13297" s="2889" t="s">
        <v>1559</v>
      </c>
      <c r="E13297" s="2889" t="s">
        <v>217</v>
      </c>
      <c r="F13297" s="2890">
        <v>6.7474845280753755</v>
      </c>
      <c r="G13297" s="2890">
        <v>10543.395074097274</v>
      </c>
    </row>
    <row r="13298" spans="2:7" ht="15" hidden="1" outlineLevel="2">
      <c r="B13298" s="2889" t="s">
        <v>1644</v>
      </c>
      <c r="C13298" s="2889" t="s">
        <v>1578</v>
      </c>
      <c r="D13298" s="2889" t="s">
        <v>1559</v>
      </c>
      <c r="E13298" s="2889" t="s">
        <v>217</v>
      </c>
      <c r="F13298" s="2890">
        <v>1.1923395344509016</v>
      </c>
      <c r="G13298" s="2890">
        <v>655.18506109760767</v>
      </c>
    </row>
    <row r="13299" spans="2:7" ht="15" hidden="1" outlineLevel="2">
      <c r="B13299" s="2889" t="s">
        <v>1644</v>
      </c>
      <c r="C13299" s="2889" t="s">
        <v>1579</v>
      </c>
      <c r="D13299" s="2889" t="s">
        <v>1559</v>
      </c>
      <c r="E13299" s="2889" t="s">
        <v>217</v>
      </c>
      <c r="F13299" s="2890">
        <v>6.64087649387365</v>
      </c>
      <c r="G13299" s="2890">
        <v>3648.5907794703398</v>
      </c>
    </row>
    <row r="13300" spans="2:7" ht="15" hidden="1" outlineLevel="2">
      <c r="B13300" s="2889" t="s">
        <v>1644</v>
      </c>
      <c r="C13300" s="2889" t="s">
        <v>1580</v>
      </c>
      <c r="D13300" s="2889" t="s">
        <v>1559</v>
      </c>
      <c r="E13300" s="2889" t="s">
        <v>217</v>
      </c>
      <c r="F13300" s="2890">
        <v>0.94017933742189774</v>
      </c>
      <c r="G13300" s="2890">
        <v>1190.8451641301654</v>
      </c>
    </row>
    <row r="13301" spans="2:7" ht="15" hidden="1" outlineLevel="2">
      <c r="B13301" s="2889" t="s">
        <v>1644</v>
      </c>
      <c r="C13301" s="2889" t="s">
        <v>1581</v>
      </c>
      <c r="D13301" s="2889" t="s">
        <v>1559</v>
      </c>
      <c r="E13301" s="2889" t="s">
        <v>217</v>
      </c>
      <c r="F13301" s="2890">
        <v>0.86177083214165207</v>
      </c>
      <c r="G13301" s="2890">
        <v>1218.1101139123061</v>
      </c>
    </row>
    <row r="13302" spans="2:7" ht="15" hidden="1" outlineLevel="2">
      <c r="B13302" s="2889" t="s">
        <v>1644</v>
      </c>
      <c r="C13302" s="2889" t="s">
        <v>1582</v>
      </c>
      <c r="D13302" s="2889" t="s">
        <v>1559</v>
      </c>
      <c r="E13302" s="2889" t="s">
        <v>217</v>
      </c>
      <c r="F13302" s="2890">
        <v>1.2146515518764025</v>
      </c>
      <c r="G13302" s="2890">
        <v>1386.4592699974771</v>
      </c>
    </row>
    <row r="13303" spans="2:7" ht="15" hidden="1" outlineLevel="2">
      <c r="B13303" s="2889" t="s">
        <v>1644</v>
      </c>
      <c r="C13303" s="2889" t="s">
        <v>1583</v>
      </c>
      <c r="D13303" s="2889" t="s">
        <v>1559</v>
      </c>
      <c r="E13303" s="2889" t="s">
        <v>217</v>
      </c>
      <c r="F13303" s="2890">
        <v>0.93607878744153783</v>
      </c>
      <c r="G13303" s="2890">
        <v>645.62651435798011</v>
      </c>
    </row>
    <row r="13304" spans="2:7" ht="15" hidden="1" outlineLevel="2">
      <c r="B13304" s="2889" t="s">
        <v>1644</v>
      </c>
      <c r="C13304" s="2889" t="s">
        <v>1584</v>
      </c>
      <c r="D13304" s="2889" t="s">
        <v>1559</v>
      </c>
      <c r="E13304" s="2889" t="s">
        <v>217</v>
      </c>
      <c r="F13304" s="2890">
        <v>12.572048433629616</v>
      </c>
      <c r="G13304" s="2890">
        <v>15962.454425927719</v>
      </c>
    </row>
    <row r="13305" spans="2:7" ht="15" hidden="1" outlineLevel="2">
      <c r="B13305" s="2889" t="s">
        <v>1644</v>
      </c>
      <c r="C13305" s="2889" t="s">
        <v>1585</v>
      </c>
      <c r="D13305" s="2889" t="s">
        <v>1559</v>
      </c>
      <c r="E13305" s="2889" t="s">
        <v>217</v>
      </c>
      <c r="F13305" s="2890">
        <v>11.709415169861535</v>
      </c>
      <c r="G13305" s="2890">
        <v>16554.635813954741</v>
      </c>
    </row>
    <row r="13306" spans="2:7" ht="15" hidden="1" outlineLevel="2">
      <c r="B13306" s="2889" t="s">
        <v>1644</v>
      </c>
      <c r="C13306" s="2889" t="s">
        <v>1586</v>
      </c>
      <c r="D13306" s="2889" t="s">
        <v>1559</v>
      </c>
      <c r="E13306" s="2889" t="s">
        <v>217</v>
      </c>
      <c r="F13306" s="2890">
        <v>1.3182924372319673</v>
      </c>
      <c r="G13306" s="2890">
        <v>2771.5935124536718</v>
      </c>
    </row>
    <row r="13307" spans="2:7" ht="15" hidden="1" outlineLevel="2">
      <c r="B13307" s="2889" t="s">
        <v>1644</v>
      </c>
      <c r="C13307" s="2889" t="s">
        <v>1587</v>
      </c>
      <c r="D13307" s="2889" t="s">
        <v>1559</v>
      </c>
      <c r="E13307" s="2889" t="s">
        <v>217</v>
      </c>
      <c r="F13307" s="2890">
        <v>36.670852629048511</v>
      </c>
      <c r="G13307" s="2890">
        <v>53406.353060423637</v>
      </c>
    </row>
    <row r="13308" spans="2:7" ht="15" hidden="1" outlineLevel="2">
      <c r="B13308" s="2889" t="s">
        <v>1644</v>
      </c>
      <c r="C13308" s="2889" t="s">
        <v>1588</v>
      </c>
      <c r="D13308" s="2889" t="s">
        <v>1559</v>
      </c>
      <c r="E13308" s="2889" t="s">
        <v>217</v>
      </c>
      <c r="F13308" s="2890">
        <v>0.72303531398203813</v>
      </c>
      <c r="G13308" s="2890">
        <v>565.41043309778502</v>
      </c>
    </row>
    <row r="13309" spans="2:7" ht="15" hidden="1" outlineLevel="2">
      <c r="B13309" s="2889" t="s">
        <v>1644</v>
      </c>
      <c r="C13309" s="2889" t="s">
        <v>1589</v>
      </c>
      <c r="D13309" s="2889" t="s">
        <v>1559</v>
      </c>
      <c r="E13309" s="2889" t="s">
        <v>217</v>
      </c>
      <c r="F13309" s="2890">
        <v>2.0883268067926104</v>
      </c>
      <c r="G13309" s="2890">
        <v>1636.3486047262375</v>
      </c>
    </row>
    <row r="13310" spans="2:7" ht="15" hidden="1" outlineLevel="2">
      <c r="B13310" s="2889" t="s">
        <v>1644</v>
      </c>
      <c r="C13310" s="2889" t="s">
        <v>1590</v>
      </c>
      <c r="D13310" s="2889" t="s">
        <v>1559</v>
      </c>
      <c r="E13310" s="2889" t="s">
        <v>1420</v>
      </c>
      <c r="F13310" s="2890">
        <v>0.1030699066162611</v>
      </c>
      <c r="G13310" s="2890">
        <v>919.42611444259853</v>
      </c>
    </row>
    <row r="13311" spans="2:7" ht="15" hidden="1" outlineLevel="2">
      <c r="B13311" s="2889" t="s">
        <v>1644</v>
      </c>
      <c r="C13311" s="2889" t="s">
        <v>1591</v>
      </c>
      <c r="D13311" s="2889" t="s">
        <v>1559</v>
      </c>
      <c r="E13311" s="2889" t="s">
        <v>1426</v>
      </c>
      <c r="F13311" s="2891"/>
      <c r="G13311" s="2890">
        <v>1.4292205341455246</v>
      </c>
    </row>
    <row r="13312" spans="2:7" ht="15" hidden="1" outlineLevel="2">
      <c r="B13312" s="2889" t="s">
        <v>1644</v>
      </c>
      <c r="C13312" s="2889" t="s">
        <v>1592</v>
      </c>
      <c r="D13312" s="2889" t="s">
        <v>1559</v>
      </c>
      <c r="E13312" s="2889" t="s">
        <v>1426</v>
      </c>
      <c r="F13312" s="2891"/>
      <c r="G13312" s="2890">
        <v>381.94785105815777</v>
      </c>
    </row>
    <row r="13313" spans="2:7" ht="15" hidden="1" outlineLevel="2">
      <c r="B13313" s="2889" t="s">
        <v>1644</v>
      </c>
      <c r="C13313" s="2889" t="s">
        <v>1593</v>
      </c>
      <c r="D13313" s="2889" t="s">
        <v>1559</v>
      </c>
      <c r="E13313" s="2889" t="s">
        <v>1426</v>
      </c>
      <c r="F13313" s="2891"/>
      <c r="G13313" s="2890">
        <v>9994.2693129035761</v>
      </c>
    </row>
    <row r="13314" spans="2:7" ht="15" hidden="1" outlineLevel="2">
      <c r="B13314" s="2889" t="s">
        <v>1644</v>
      </c>
      <c r="C13314" s="2889" t="s">
        <v>1594</v>
      </c>
      <c r="D13314" s="2889" t="s">
        <v>1559</v>
      </c>
      <c r="E13314" s="2889" t="s">
        <v>1426</v>
      </c>
      <c r="F13314" s="2891"/>
      <c r="G13314" s="2890">
        <v>2062.4786077436861</v>
      </c>
    </row>
    <row r="13315" spans="2:7" ht="15" hidden="1" outlineLevel="2">
      <c r="B13315" s="2889" t="s">
        <v>1644</v>
      </c>
      <c r="C13315" s="2889" t="s">
        <v>1595</v>
      </c>
      <c r="D13315" s="2889" t="s">
        <v>1559</v>
      </c>
      <c r="E13315" s="2889" t="s">
        <v>1426</v>
      </c>
      <c r="F13315" s="2891"/>
      <c r="G13315" s="2890">
        <v>13606.934012804872</v>
      </c>
    </row>
    <row r="13316" spans="2:7" ht="15" hidden="1" outlineLevel="2">
      <c r="B13316" s="2889" t="s">
        <v>1644</v>
      </c>
      <c r="C13316" s="2889" t="s">
        <v>1596</v>
      </c>
      <c r="D13316" s="2889" t="s">
        <v>1559</v>
      </c>
      <c r="E13316" s="2889" t="s">
        <v>1426</v>
      </c>
      <c r="F13316" s="2891"/>
      <c r="G13316" s="2890">
        <v>1604.3747800744782</v>
      </c>
    </row>
    <row r="13317" spans="2:7" ht="15" hidden="1" outlineLevel="2">
      <c r="B13317" s="2889" t="s">
        <v>1644</v>
      </c>
      <c r="C13317" s="2889" t="s">
        <v>1597</v>
      </c>
      <c r="D13317" s="2889" t="s">
        <v>1559</v>
      </c>
      <c r="E13317" s="2889" t="s">
        <v>1426</v>
      </c>
      <c r="F13317" s="2891"/>
      <c r="G13317" s="2890">
        <v>38.217216136923085</v>
      </c>
    </row>
    <row r="13318" spans="2:7" ht="15" hidden="1" outlineLevel="2">
      <c r="B13318" s="2889" t="s">
        <v>1644</v>
      </c>
      <c r="C13318" s="2889" t="s">
        <v>1598</v>
      </c>
      <c r="D13318" s="2889" t="s">
        <v>1599</v>
      </c>
      <c r="E13318" s="2889" t="s">
        <v>217</v>
      </c>
      <c r="F13318" s="2890">
        <v>6.1009399200485509E-3</v>
      </c>
      <c r="G13318" s="2890">
        <v>3.5281699332147705</v>
      </c>
    </row>
    <row r="13319" spans="2:7" ht="15" hidden="1" outlineLevel="2">
      <c r="B13319" s="2889" t="s">
        <v>1644</v>
      </c>
      <c r="C13319" s="2889" t="s">
        <v>1600</v>
      </c>
      <c r="D13319" s="2889" t="s">
        <v>1599</v>
      </c>
      <c r="E13319" s="2889" t="s">
        <v>217</v>
      </c>
      <c r="F13319" s="2890">
        <v>7.1403258042166641E-3</v>
      </c>
      <c r="G13319" s="2890">
        <v>7.9442156402234207</v>
      </c>
    </row>
    <row r="13320" spans="2:7" ht="15" hidden="1" outlineLevel="2">
      <c r="B13320" s="2889" t="s">
        <v>1644</v>
      </c>
      <c r="C13320" s="2889" t="s">
        <v>1601</v>
      </c>
      <c r="D13320" s="2889" t="s">
        <v>1599</v>
      </c>
      <c r="E13320" s="2889" t="s">
        <v>217</v>
      </c>
      <c r="F13320" s="2890">
        <v>7.3242126924426645E-5</v>
      </c>
      <c r="G13320" s="2890">
        <v>9.3326475797485542E-2</v>
      </c>
    </row>
    <row r="13321" spans="2:7" ht="15" hidden="1" outlineLevel="2">
      <c r="B13321" s="2889" t="s">
        <v>1644</v>
      </c>
      <c r="C13321" s="2889" t="s">
        <v>1602</v>
      </c>
      <c r="D13321" s="2889" t="s">
        <v>1599</v>
      </c>
      <c r="E13321" s="2889" t="s">
        <v>1426</v>
      </c>
      <c r="F13321" s="2891"/>
      <c r="G13321" s="2890">
        <v>105.72095573337965</v>
      </c>
    </row>
    <row r="13322" spans="2:7" ht="15" hidden="1" outlineLevel="2">
      <c r="B13322" s="2889" t="s">
        <v>1644</v>
      </c>
      <c r="C13322" s="2889" t="s">
        <v>1603</v>
      </c>
      <c r="D13322" s="2889" t="s">
        <v>1604</v>
      </c>
      <c r="E13322" s="2889" t="s">
        <v>217</v>
      </c>
      <c r="F13322" s="2890">
        <v>1.1887021458895242E-33</v>
      </c>
      <c r="G13322" s="2890">
        <v>1.390752821155065E-30</v>
      </c>
    </row>
    <row r="13323" spans="2:7" ht="15" hidden="1" outlineLevel="2">
      <c r="B13323" s="2889" t="s">
        <v>1644</v>
      </c>
      <c r="C13323" s="2889" t="s">
        <v>1605</v>
      </c>
      <c r="D13323" s="2889" t="s">
        <v>1604</v>
      </c>
      <c r="E13323" s="2889" t="s">
        <v>1423</v>
      </c>
      <c r="F13323" s="2890">
        <v>3.136151520901011E-33</v>
      </c>
      <c r="G13323" s="2890">
        <v>7.3601632656396319E-31</v>
      </c>
    </row>
    <row r="13324" spans="2:7" ht="15" hidden="1" outlineLevel="2">
      <c r="B13324" s="2889" t="s">
        <v>1644</v>
      </c>
      <c r="C13324" s="2889" t="s">
        <v>1606</v>
      </c>
      <c r="D13324" s="2889" t="s">
        <v>1604</v>
      </c>
      <c r="E13324" s="2889" t="s">
        <v>1426</v>
      </c>
      <c r="F13324" s="2891"/>
      <c r="G13324" s="2890">
        <v>7.9720101268876722E-32</v>
      </c>
    </row>
    <row r="13325" spans="2:7" ht="15" hidden="1" outlineLevel="2">
      <c r="B13325" s="2889" t="s">
        <v>1644</v>
      </c>
      <c r="C13325" s="2889" t="s">
        <v>1607</v>
      </c>
      <c r="D13325" s="2889" t="s">
        <v>1608</v>
      </c>
      <c r="E13325" s="2889" t="s">
        <v>217</v>
      </c>
      <c r="F13325" s="2890">
        <v>2.1982293795386298</v>
      </c>
      <c r="G13325" s="2890">
        <v>1806.0306274049431</v>
      </c>
    </row>
    <row r="13326" spans="2:7" ht="15" hidden="1" outlineLevel="2">
      <c r="B13326" s="2889" t="s">
        <v>1644</v>
      </c>
      <c r="C13326" s="2889" t="s">
        <v>1609</v>
      </c>
      <c r="D13326" s="2889" t="s">
        <v>1608</v>
      </c>
      <c r="E13326" s="2889" t="s">
        <v>217</v>
      </c>
      <c r="F13326" s="2890">
        <v>0.95721208843369088</v>
      </c>
      <c r="G13326" s="2890">
        <v>762.14015301691666</v>
      </c>
    </row>
    <row r="13327" spans="2:7" ht="15" hidden="1" outlineLevel="2">
      <c r="B13327" s="2889" t="s">
        <v>1644</v>
      </c>
      <c r="C13327" s="2889" t="s">
        <v>1610</v>
      </c>
      <c r="D13327" s="2889" t="s">
        <v>1608</v>
      </c>
      <c r="E13327" s="2889" t="s">
        <v>217</v>
      </c>
      <c r="F13327" s="2890">
        <v>0.36564167633053946</v>
      </c>
      <c r="G13327" s="2890">
        <v>568.87827791595441</v>
      </c>
    </row>
    <row r="13328" spans="2:7" ht="15" hidden="1" outlineLevel="2">
      <c r="B13328" s="2889" t="s">
        <v>1644</v>
      </c>
      <c r="C13328" s="2889" t="s">
        <v>1611</v>
      </c>
      <c r="D13328" s="2889" t="s">
        <v>1608</v>
      </c>
      <c r="E13328" s="2889" t="s">
        <v>1612</v>
      </c>
      <c r="F13328" s="2891"/>
      <c r="G13328" s="2890">
        <v>506.50924310003296</v>
      </c>
    </row>
    <row r="13329" spans="2:7" ht="15" hidden="1" outlineLevel="2">
      <c r="B13329" s="2889" t="s">
        <v>1644</v>
      </c>
      <c r="C13329" s="2889" t="s">
        <v>1613</v>
      </c>
      <c r="D13329" s="2889" t="s">
        <v>1608</v>
      </c>
      <c r="E13329" s="2889" t="s">
        <v>1612</v>
      </c>
      <c r="F13329" s="2891"/>
      <c r="G13329" s="2890">
        <v>4.2295396937791532</v>
      </c>
    </row>
    <row r="13330" spans="2:7" ht="15" hidden="1" outlineLevel="2">
      <c r="B13330" s="2889" t="s">
        <v>1644</v>
      </c>
      <c r="C13330" s="2889" t="s">
        <v>1614</v>
      </c>
      <c r="D13330" s="2889" t="s">
        <v>1615</v>
      </c>
      <c r="E13330" s="2889" t="s">
        <v>1426</v>
      </c>
      <c r="F13330" s="2891"/>
      <c r="G13330" s="2890">
        <v>236.50807771485592</v>
      </c>
    </row>
    <row r="13331" spans="2:7" ht="15" hidden="1" outlineLevel="2">
      <c r="B13331" s="2889" t="s">
        <v>1644</v>
      </c>
      <c r="C13331" s="2889" t="s">
        <v>1616</v>
      </c>
      <c r="D13331" s="2889" t="s">
        <v>1615</v>
      </c>
      <c r="E13331" s="2889" t="s">
        <v>217</v>
      </c>
      <c r="F13331" s="2890">
        <v>7.4628050578419269E-3</v>
      </c>
      <c r="G13331" s="2890">
        <v>10.129353351378866</v>
      </c>
    </row>
    <row r="13332" spans="2:7" ht="15" hidden="1" outlineLevel="2">
      <c r="B13332" s="2889" t="s">
        <v>1644</v>
      </c>
      <c r="C13332" s="2889" t="s">
        <v>1617</v>
      </c>
      <c r="D13332" s="2889" t="s">
        <v>1615</v>
      </c>
      <c r="E13332" s="2889" t="s">
        <v>1420</v>
      </c>
      <c r="F13332" s="2890">
        <v>1.1908781446108619E-4</v>
      </c>
      <c r="G13332" s="2890">
        <v>0.34471234949977914</v>
      </c>
    </row>
    <row r="13333" spans="2:7" ht="15" hidden="1" outlineLevel="2">
      <c r="B13333" s="2889" t="s">
        <v>1644</v>
      </c>
      <c r="C13333" s="2889" t="s">
        <v>1618</v>
      </c>
      <c r="D13333" s="2889" t="s">
        <v>1619</v>
      </c>
      <c r="E13333" s="2889" t="s">
        <v>217</v>
      </c>
      <c r="F13333" s="2890">
        <v>2.8230314851747247</v>
      </c>
      <c r="G13333" s="2890">
        <v>715.67271940801993</v>
      </c>
    </row>
    <row r="13334" spans="2:7" ht="15" hidden="1" outlineLevel="2">
      <c r="B13334" s="2889" t="s">
        <v>1644</v>
      </c>
      <c r="C13334" s="2889" t="s">
        <v>1620</v>
      </c>
      <c r="D13334" s="2889" t="s">
        <v>1619</v>
      </c>
      <c r="E13334" s="2889" t="s">
        <v>217</v>
      </c>
      <c r="F13334" s="2890">
        <v>4.2794073780183934E-35</v>
      </c>
      <c r="G13334" s="2890">
        <v>5.2178122498499936E-32</v>
      </c>
    </row>
    <row r="13335" spans="2:7" ht="15" hidden="1" outlineLevel="2">
      <c r="B13335" s="2889" t="s">
        <v>1644</v>
      </c>
      <c r="C13335" s="2889" t="s">
        <v>1621</v>
      </c>
      <c r="D13335" s="2889" t="s">
        <v>1619</v>
      </c>
      <c r="E13335" s="2889" t="s">
        <v>217</v>
      </c>
      <c r="F13335" s="2890">
        <v>3.0238444471910184</v>
      </c>
      <c r="G13335" s="2890">
        <v>826.36984331692997</v>
      </c>
    </row>
    <row r="13336" spans="2:7" ht="15" hidden="1" outlineLevel="2">
      <c r="B13336" s="2889" t="s">
        <v>1644</v>
      </c>
      <c r="C13336" s="2889" t="s">
        <v>1622</v>
      </c>
      <c r="D13336" s="2889" t="s">
        <v>1619</v>
      </c>
      <c r="E13336" s="2889" t="s">
        <v>217</v>
      </c>
      <c r="F13336" s="2890">
        <v>0.19363265633184704</v>
      </c>
      <c r="G13336" s="2890">
        <v>212.45914634475341</v>
      </c>
    </row>
    <row r="13337" spans="2:7" ht="15" hidden="1" outlineLevel="2">
      <c r="B13337" s="2889" t="s">
        <v>1644</v>
      </c>
      <c r="C13337" s="2889" t="s">
        <v>1623</v>
      </c>
      <c r="D13337" s="2889" t="s">
        <v>1619</v>
      </c>
      <c r="E13337" s="2889" t="s">
        <v>217</v>
      </c>
      <c r="F13337" s="2890">
        <v>0.49719541933541239</v>
      </c>
      <c r="G13337" s="2890">
        <v>345.82096709269433</v>
      </c>
    </row>
    <row r="13338" spans="2:7" ht="15" hidden="1" outlineLevel="2">
      <c r="B13338" s="2889" t="s">
        <v>1644</v>
      </c>
      <c r="C13338" s="2889" t="s">
        <v>1624</v>
      </c>
      <c r="D13338" s="2889" t="s">
        <v>1619</v>
      </c>
      <c r="E13338" s="2889" t="s">
        <v>217</v>
      </c>
      <c r="F13338" s="2890">
        <v>4.3048996387418095</v>
      </c>
      <c r="G13338" s="2890">
        <v>3686.0027520717504</v>
      </c>
    </row>
    <row r="13339" spans="2:7" ht="15" hidden="1" outlineLevel="2">
      <c r="B13339" s="2889" t="s">
        <v>1644</v>
      </c>
      <c r="C13339" s="2889" t="s">
        <v>1625</v>
      </c>
      <c r="D13339" s="2889" t="s">
        <v>1619</v>
      </c>
      <c r="E13339" s="2889" t="s">
        <v>217</v>
      </c>
      <c r="F13339" s="2890">
        <v>1.5283074236315448</v>
      </c>
      <c r="G13339" s="2890">
        <v>1985.6121574312101</v>
      </c>
    </row>
    <row r="13340" spans="2:7" ht="15" hidden="1" outlineLevel="2">
      <c r="B13340" s="2889" t="s">
        <v>1644</v>
      </c>
      <c r="C13340" s="2889" t="s">
        <v>1626</v>
      </c>
      <c r="D13340" s="2889" t="s">
        <v>1619</v>
      </c>
      <c r="E13340" s="2889" t="s">
        <v>217</v>
      </c>
      <c r="F13340" s="2890">
        <v>0.26288508667706811</v>
      </c>
      <c r="G13340" s="2890">
        <v>207.31125697019095</v>
      </c>
    </row>
    <row r="13341" spans="2:7" ht="15" hidden="1" outlineLevel="2">
      <c r="B13341" s="2889" t="s">
        <v>1644</v>
      </c>
      <c r="C13341" s="2889" t="s">
        <v>1627</v>
      </c>
      <c r="D13341" s="2889" t="s">
        <v>1619</v>
      </c>
      <c r="E13341" s="2889" t="s">
        <v>1420</v>
      </c>
      <c r="F13341" s="2890">
        <v>8.5824269271227577E-3</v>
      </c>
      <c r="G13341" s="2890">
        <v>14.338478267024716</v>
      </c>
    </row>
    <row r="13342" spans="2:7" ht="15" hidden="1" outlineLevel="2">
      <c r="B13342" s="2889" t="s">
        <v>1644</v>
      </c>
      <c r="C13342" s="2889" t="s">
        <v>1628</v>
      </c>
      <c r="D13342" s="2889" t="s">
        <v>1619</v>
      </c>
      <c r="E13342" s="2889" t="s">
        <v>1426</v>
      </c>
      <c r="F13342" s="2891"/>
      <c r="G13342" s="2890">
        <v>284.18749510955115</v>
      </c>
    </row>
    <row r="13343" spans="2:7" ht="15" hidden="1" outlineLevel="2">
      <c r="B13343" s="2889" t="s">
        <v>1644</v>
      </c>
      <c r="C13343" s="2889" t="s">
        <v>1629</v>
      </c>
      <c r="D13343" s="2889" t="s">
        <v>1630</v>
      </c>
      <c r="E13343" s="2889" t="s">
        <v>1426</v>
      </c>
      <c r="F13343" s="2891"/>
      <c r="G13343" s="2890">
        <v>1.6409817621205942E-29</v>
      </c>
    </row>
    <row r="13344" spans="2:7" ht="15" outlineLevel="1" collapsed="1">
      <c r="B13344" s="3042" t="s">
        <v>1714</v>
      </c>
      <c r="C13344" s="2889"/>
      <c r="D13344" s="2889"/>
      <c r="E13344" s="2889"/>
      <c r="F13344" s="2891">
        <f>SUBTOTAL(9,F13133:F13343)</f>
        <v>211.86811288101285</v>
      </c>
      <c r="G13344" s="2890">
        <f>SUBTOTAL(9,G13133:G13343)</f>
        <v>481944.77553639025</v>
      </c>
    </row>
    <row r="13345" spans="2:7" ht="15" hidden="1" outlineLevel="2">
      <c r="B13345" s="2889" t="s">
        <v>1645</v>
      </c>
      <c r="C13345" s="2889" t="s">
        <v>1408</v>
      </c>
      <c r="D13345" s="2889" t="s">
        <v>197</v>
      </c>
      <c r="E13345" s="2889" t="s">
        <v>217</v>
      </c>
      <c r="F13345" s="2890">
        <v>5.3496567486231955E-4</v>
      </c>
      <c r="G13345" s="2890">
        <v>0.32625641658943949</v>
      </c>
    </row>
    <row r="13346" spans="2:7" ht="15" hidden="1" outlineLevel="2">
      <c r="B13346" s="2889" t="s">
        <v>1645</v>
      </c>
      <c r="C13346" s="2889" t="s">
        <v>1409</v>
      </c>
      <c r="D13346" s="2889" t="s">
        <v>197</v>
      </c>
      <c r="E13346" s="2889" t="s">
        <v>217</v>
      </c>
      <c r="F13346" s="2890">
        <v>5.6161512201095311E-4</v>
      </c>
      <c r="G13346" s="2890">
        <v>0.79145158689685846</v>
      </c>
    </row>
    <row r="13347" spans="2:7" ht="15" hidden="1" outlineLevel="2">
      <c r="B13347" s="2889" t="s">
        <v>1645</v>
      </c>
      <c r="C13347" s="2889" t="s">
        <v>1410</v>
      </c>
      <c r="D13347" s="2889" t="s">
        <v>197</v>
      </c>
      <c r="E13347" s="2889" t="s">
        <v>217</v>
      </c>
      <c r="F13347" s="2890">
        <v>8.9738750846535481E-4</v>
      </c>
      <c r="G13347" s="2890">
        <v>3.0794944862783331</v>
      </c>
    </row>
    <row r="13348" spans="2:7" ht="15" hidden="1" outlineLevel="2">
      <c r="B13348" s="2889" t="s">
        <v>1645</v>
      </c>
      <c r="C13348" s="2889" t="s">
        <v>1411</v>
      </c>
      <c r="D13348" s="2889" t="s">
        <v>197</v>
      </c>
      <c r="E13348" s="2889" t="s">
        <v>217</v>
      </c>
      <c r="F13348" s="2890">
        <v>1.4751278886446963E-5</v>
      </c>
      <c r="G13348" s="2890">
        <v>1.9396420221807636E-2</v>
      </c>
    </row>
    <row r="13349" spans="2:7" ht="15" hidden="1" outlineLevel="2">
      <c r="B13349" s="2889" t="s">
        <v>1645</v>
      </c>
      <c r="C13349" s="2889" t="s">
        <v>1412</v>
      </c>
      <c r="D13349" s="2889" t="s">
        <v>197</v>
      </c>
      <c r="E13349" s="2889" t="s">
        <v>217</v>
      </c>
      <c r="F13349" s="2890">
        <v>1.5935900939354603E-3</v>
      </c>
      <c r="G13349" s="2890">
        <v>2.0938095890717583</v>
      </c>
    </row>
    <row r="13350" spans="2:7" ht="15" hidden="1" outlineLevel="2">
      <c r="B13350" s="2889" t="s">
        <v>1645</v>
      </c>
      <c r="C13350" s="2889" t="s">
        <v>1413</v>
      </c>
      <c r="D13350" s="2889" t="s">
        <v>197</v>
      </c>
      <c r="E13350" s="2889" t="s">
        <v>217</v>
      </c>
      <c r="F13350" s="2890">
        <v>5.2448425894817906E-4</v>
      </c>
      <c r="G13350" s="2890">
        <v>0.6558717520718037</v>
      </c>
    </row>
    <row r="13351" spans="2:7" ht="15" hidden="1" outlineLevel="2">
      <c r="B13351" s="2889" t="s">
        <v>1645</v>
      </c>
      <c r="C13351" s="2889" t="s">
        <v>1414</v>
      </c>
      <c r="D13351" s="2889" t="s">
        <v>197</v>
      </c>
      <c r="E13351" s="2889" t="s">
        <v>217</v>
      </c>
      <c r="F13351" s="2890">
        <v>6.8431073461608519E-3</v>
      </c>
      <c r="G13351" s="2890">
        <v>7.1248593543095451</v>
      </c>
    </row>
    <row r="13352" spans="2:7" ht="15" hidden="1" outlineLevel="2">
      <c r="B13352" s="2889" t="s">
        <v>1645</v>
      </c>
      <c r="C13352" s="2889" t="s">
        <v>1415</v>
      </c>
      <c r="D13352" s="2889" t="s">
        <v>197</v>
      </c>
      <c r="E13352" s="2889" t="s">
        <v>217</v>
      </c>
      <c r="F13352" s="2890">
        <v>2.2501150080422909E-2</v>
      </c>
      <c r="G13352" s="2890">
        <v>15.272156507810053</v>
      </c>
    </row>
    <row r="13353" spans="2:7" ht="15" hidden="1" outlineLevel="2">
      <c r="B13353" s="2889" t="s">
        <v>1645</v>
      </c>
      <c r="C13353" s="2889" t="s">
        <v>1416</v>
      </c>
      <c r="D13353" s="2889" t="s">
        <v>197</v>
      </c>
      <c r="E13353" s="2889" t="s">
        <v>217</v>
      </c>
      <c r="F13353" s="2890">
        <v>2.5288582676869609E-3</v>
      </c>
      <c r="G13353" s="2890">
        <v>3.3226547161907241</v>
      </c>
    </row>
    <row r="13354" spans="2:7" ht="15" hidden="1" outlineLevel="2">
      <c r="B13354" s="2889" t="s">
        <v>1645</v>
      </c>
      <c r="C13354" s="2889" t="s">
        <v>1417</v>
      </c>
      <c r="D13354" s="2889" t="s">
        <v>197</v>
      </c>
      <c r="E13354" s="2889" t="s">
        <v>217</v>
      </c>
      <c r="F13354" s="2890">
        <v>3.7646825324488364E-3</v>
      </c>
      <c r="G13354" s="2890">
        <v>4.8111892509149765</v>
      </c>
    </row>
    <row r="13355" spans="2:7" ht="15" hidden="1" outlineLevel="2">
      <c r="B13355" s="2889" t="s">
        <v>1645</v>
      </c>
      <c r="C13355" s="2889" t="s">
        <v>1418</v>
      </c>
      <c r="D13355" s="2889" t="s">
        <v>197</v>
      </c>
      <c r="E13355" s="2889" t="s">
        <v>217</v>
      </c>
      <c r="F13355" s="2890">
        <v>7.5501911501571473E-4</v>
      </c>
      <c r="G13355" s="2890">
        <v>5.3372720479562723</v>
      </c>
    </row>
    <row r="13356" spans="2:7" ht="15" hidden="1" outlineLevel="2">
      <c r="B13356" s="2889" t="s">
        <v>1645</v>
      </c>
      <c r="C13356" s="2889" t="s">
        <v>1419</v>
      </c>
      <c r="D13356" s="2889" t="s">
        <v>197</v>
      </c>
      <c r="E13356" s="2889" t="s">
        <v>1420</v>
      </c>
      <c r="F13356" s="2890">
        <v>1.8384088485587773E-5</v>
      </c>
      <c r="G13356" s="2890">
        <v>2.9211487241755617E-2</v>
      </c>
    </row>
    <row r="13357" spans="2:7" ht="15" hidden="1" outlineLevel="2">
      <c r="B13357" s="2889" t="s">
        <v>1645</v>
      </c>
      <c r="C13357" s="2889" t="s">
        <v>1421</v>
      </c>
      <c r="D13357" s="2889" t="s">
        <v>197</v>
      </c>
      <c r="E13357" s="2889" t="s">
        <v>1420</v>
      </c>
      <c r="F13357" s="2890">
        <v>3.7723839916919854E-6</v>
      </c>
      <c r="G13357" s="2890">
        <v>3.9756516203079545E-2</v>
      </c>
    </row>
    <row r="13358" spans="2:7" ht="15" hidden="1" outlineLevel="2">
      <c r="B13358" s="2889" t="s">
        <v>1645</v>
      </c>
      <c r="C13358" s="2889" t="s">
        <v>1422</v>
      </c>
      <c r="D13358" s="2889" t="s">
        <v>197</v>
      </c>
      <c r="E13358" s="2889" t="s">
        <v>1423</v>
      </c>
      <c r="F13358" s="2890">
        <v>7.3592815236315904E-4</v>
      </c>
      <c r="G13358" s="2890">
        <v>7.7165293315870015E-3</v>
      </c>
    </row>
    <row r="13359" spans="2:7" ht="15" hidden="1" outlineLevel="2">
      <c r="B13359" s="2889" t="s">
        <v>1645</v>
      </c>
      <c r="C13359" s="2889" t="s">
        <v>1424</v>
      </c>
      <c r="D13359" s="2889" t="s">
        <v>197</v>
      </c>
      <c r="E13359" s="2889" t="s">
        <v>1423</v>
      </c>
      <c r="F13359" s="2890">
        <v>2.3358868129536717E-4</v>
      </c>
      <c r="G13359" s="2890">
        <v>2.448542456148312E-3</v>
      </c>
    </row>
    <row r="13360" spans="2:7" ht="15" hidden="1" outlineLevel="2">
      <c r="B13360" s="2889" t="s">
        <v>1645</v>
      </c>
      <c r="C13360" s="2889" t="s">
        <v>1425</v>
      </c>
      <c r="D13360" s="2889" t="s">
        <v>197</v>
      </c>
      <c r="E13360" s="2889" t="s">
        <v>1426</v>
      </c>
      <c r="F13360" s="2891"/>
      <c r="G13360" s="2890">
        <v>5.7064151977385943E-2</v>
      </c>
    </row>
    <row r="13361" spans="2:7" ht="15" hidden="1" outlineLevel="2">
      <c r="B13361" s="2889" t="s">
        <v>1645</v>
      </c>
      <c r="C13361" s="2889" t="s">
        <v>1427</v>
      </c>
      <c r="D13361" s="2889" t="s">
        <v>197</v>
      </c>
      <c r="E13361" s="2889" t="s">
        <v>1426</v>
      </c>
      <c r="F13361" s="2891"/>
      <c r="G13361" s="2890">
        <v>2467.0189766709268</v>
      </c>
    </row>
    <row r="13362" spans="2:7" ht="15" hidden="1" outlineLevel="2">
      <c r="B13362" s="2889" t="s">
        <v>1645</v>
      </c>
      <c r="C13362" s="2889" t="s">
        <v>1428</v>
      </c>
      <c r="D13362" s="2889" t="s">
        <v>197</v>
      </c>
      <c r="E13362" s="2889" t="s">
        <v>1426</v>
      </c>
      <c r="F13362" s="2891"/>
      <c r="G13362" s="2890">
        <v>221.36696082244919</v>
      </c>
    </row>
    <row r="13363" spans="2:7" ht="15" hidden="1" outlineLevel="2">
      <c r="B13363" s="2889" t="s">
        <v>1645</v>
      </c>
      <c r="C13363" s="2889" t="s">
        <v>1429</v>
      </c>
      <c r="D13363" s="2889" t="s">
        <v>197</v>
      </c>
      <c r="E13363" s="2889" t="s">
        <v>1426</v>
      </c>
      <c r="F13363" s="2891"/>
      <c r="G13363" s="2890">
        <v>1.2304974979885466</v>
      </c>
    </row>
    <row r="13364" spans="2:7" ht="15" hidden="1" outlineLevel="2">
      <c r="B13364" s="2889" t="s">
        <v>1645</v>
      </c>
      <c r="C13364" s="2889" t="s">
        <v>1430</v>
      </c>
      <c r="D13364" s="2889" t="s">
        <v>197</v>
      </c>
      <c r="E13364" s="2889" t="s">
        <v>1426</v>
      </c>
      <c r="F13364" s="2891"/>
      <c r="G13364" s="2890">
        <v>0.25255776988333783</v>
      </c>
    </row>
    <row r="13365" spans="2:7" ht="15" hidden="1" outlineLevel="2">
      <c r="B13365" s="2889" t="s">
        <v>1645</v>
      </c>
      <c r="C13365" s="2889" t="s">
        <v>1431</v>
      </c>
      <c r="D13365" s="2889" t="s">
        <v>197</v>
      </c>
      <c r="E13365" s="2889" t="s">
        <v>1426</v>
      </c>
      <c r="F13365" s="2891"/>
      <c r="G13365" s="2890">
        <v>18.791377593876206</v>
      </c>
    </row>
    <row r="13366" spans="2:7" ht="15" hidden="1" outlineLevel="2">
      <c r="B13366" s="2889" t="s">
        <v>1645</v>
      </c>
      <c r="C13366" s="2889" t="s">
        <v>1432</v>
      </c>
      <c r="D13366" s="2889" t="s">
        <v>197</v>
      </c>
      <c r="E13366" s="2889" t="s">
        <v>1426</v>
      </c>
      <c r="F13366" s="2891"/>
      <c r="G13366" s="2890">
        <v>4.7065496591518374E-2</v>
      </c>
    </row>
    <row r="13367" spans="2:7" ht="15" hidden="1" outlineLevel="2">
      <c r="B13367" s="2889" t="s">
        <v>1645</v>
      </c>
      <c r="C13367" s="2889" t="s">
        <v>1433</v>
      </c>
      <c r="D13367" s="2889" t="s">
        <v>197</v>
      </c>
      <c r="E13367" s="2889" t="s">
        <v>1426</v>
      </c>
      <c r="F13367" s="2891"/>
      <c r="G13367" s="2890">
        <v>17.368372866302117</v>
      </c>
    </row>
    <row r="13368" spans="2:7" ht="15" hidden="1" outlineLevel="2">
      <c r="B13368" s="2889" t="s">
        <v>1645</v>
      </c>
      <c r="C13368" s="2889" t="s">
        <v>1434</v>
      </c>
      <c r="D13368" s="2889" t="s">
        <v>197</v>
      </c>
      <c r="E13368" s="2889" t="s">
        <v>1426</v>
      </c>
      <c r="F13368" s="2891"/>
      <c r="G13368" s="2890">
        <v>48.244788491639881</v>
      </c>
    </row>
    <row r="13369" spans="2:7" ht="15" hidden="1" outlineLevel="2">
      <c r="B13369" s="2889" t="s">
        <v>1645</v>
      </c>
      <c r="C13369" s="2889" t="s">
        <v>1435</v>
      </c>
      <c r="D13369" s="2889" t="s">
        <v>197</v>
      </c>
      <c r="E13369" s="2889" t="s">
        <v>1426</v>
      </c>
      <c r="F13369" s="2891"/>
      <c r="G13369" s="2890">
        <v>35.469307378178527</v>
      </c>
    </row>
    <row r="13370" spans="2:7" ht="15" hidden="1" outlineLevel="2">
      <c r="B13370" s="2889" t="s">
        <v>1645</v>
      </c>
      <c r="C13370" s="2889" t="s">
        <v>1436</v>
      </c>
      <c r="D13370" s="2889" t="s">
        <v>1437</v>
      </c>
      <c r="E13370" s="2889" t="s">
        <v>217</v>
      </c>
      <c r="F13370" s="2890">
        <v>4.0916936318717795E-6</v>
      </c>
      <c r="G13370" s="2890">
        <v>1.1938599343622174E-2</v>
      </c>
    </row>
    <row r="13371" spans="2:7" ht="15" hidden="1" outlineLevel="2">
      <c r="B13371" s="2889" t="s">
        <v>1645</v>
      </c>
      <c r="C13371" s="2889" t="s">
        <v>1438</v>
      </c>
      <c r="D13371" s="2889" t="s">
        <v>1437</v>
      </c>
      <c r="E13371" s="2889" t="s">
        <v>1420</v>
      </c>
      <c r="F13371" s="2890">
        <v>1.1876625467322E-6</v>
      </c>
      <c r="G13371" s="2890">
        <v>1.0912109511452375E-2</v>
      </c>
    </row>
    <row r="13372" spans="2:7" ht="15" hidden="1" outlineLevel="2">
      <c r="B13372" s="2889" t="s">
        <v>1645</v>
      </c>
      <c r="C13372" s="2889" t="s">
        <v>1439</v>
      </c>
      <c r="D13372" s="2889" t="s">
        <v>1437</v>
      </c>
      <c r="E13372" s="2889" t="s">
        <v>1426</v>
      </c>
      <c r="F13372" s="2891"/>
      <c r="G13372" s="2890">
        <v>0.75035403335883288</v>
      </c>
    </row>
    <row r="13373" spans="2:7" ht="15" hidden="1" outlineLevel="2">
      <c r="B13373" s="2889" t="s">
        <v>1645</v>
      </c>
      <c r="C13373" s="2889" t="s">
        <v>1440</v>
      </c>
      <c r="D13373" s="2889" t="s">
        <v>1105</v>
      </c>
      <c r="E13373" s="2889" t="s">
        <v>217</v>
      </c>
      <c r="F13373" s="2890">
        <v>7.6304440369809129E-2</v>
      </c>
      <c r="G13373" s="2890">
        <v>37.813999433017415</v>
      </c>
    </row>
    <row r="13374" spans="2:7" ht="15" hidden="1" outlineLevel="2">
      <c r="B13374" s="2889" t="s">
        <v>1645</v>
      </c>
      <c r="C13374" s="2889" t="s">
        <v>1441</v>
      </c>
      <c r="D13374" s="2889" t="s">
        <v>1105</v>
      </c>
      <c r="E13374" s="2889" t="s">
        <v>217</v>
      </c>
      <c r="F13374" s="2890">
        <v>0.4875815242652749</v>
      </c>
      <c r="G13374" s="2890">
        <v>252.28274321037858</v>
      </c>
    </row>
    <row r="13375" spans="2:7" ht="15" hidden="1" outlineLevel="2">
      <c r="B13375" s="2889" t="s">
        <v>1645</v>
      </c>
      <c r="C13375" s="2889" t="s">
        <v>1442</v>
      </c>
      <c r="D13375" s="2889" t="s">
        <v>1105</v>
      </c>
      <c r="E13375" s="2889" t="s">
        <v>217</v>
      </c>
      <c r="F13375" s="2890">
        <v>2.1703821382478786E-4</v>
      </c>
      <c r="G13375" s="2890">
        <v>9.7297832973537959E-2</v>
      </c>
    </row>
    <row r="13376" spans="2:7" ht="15" hidden="1" outlineLevel="2">
      <c r="B13376" s="2889" t="s">
        <v>1645</v>
      </c>
      <c r="C13376" s="2889" t="s">
        <v>1443</v>
      </c>
      <c r="D13376" s="2889" t="s">
        <v>1105</v>
      </c>
      <c r="E13376" s="2889" t="s">
        <v>217</v>
      </c>
      <c r="F13376" s="2890">
        <v>3.4150545834343428E-3</v>
      </c>
      <c r="G13376" s="2890">
        <v>1.5309618260523825</v>
      </c>
    </row>
    <row r="13377" spans="2:7" ht="15" hidden="1" outlineLevel="2">
      <c r="B13377" s="2889" t="s">
        <v>1645</v>
      </c>
      <c r="C13377" s="2889" t="s">
        <v>1444</v>
      </c>
      <c r="D13377" s="2889" t="s">
        <v>1105</v>
      </c>
      <c r="E13377" s="2889" t="s">
        <v>217</v>
      </c>
      <c r="F13377" s="2890">
        <v>6.4419821077171537</v>
      </c>
      <c r="G13377" s="2890">
        <v>7783.8205391545462</v>
      </c>
    </row>
    <row r="13378" spans="2:7" ht="15" hidden="1" outlineLevel="2">
      <c r="B13378" s="2889" t="s">
        <v>1645</v>
      </c>
      <c r="C13378" s="2889" t="s">
        <v>1445</v>
      </c>
      <c r="D13378" s="2889" t="s">
        <v>1105</v>
      </c>
      <c r="E13378" s="2889" t="s">
        <v>217</v>
      </c>
      <c r="F13378" s="2890">
        <v>1.386693922478782</v>
      </c>
      <c r="G13378" s="2890">
        <v>1947.8227184046455</v>
      </c>
    </row>
    <row r="13379" spans="2:7" ht="15" hidden="1" outlineLevel="2">
      <c r="B13379" s="2889" t="s">
        <v>1645</v>
      </c>
      <c r="C13379" s="2889" t="s">
        <v>1446</v>
      </c>
      <c r="D13379" s="2889" t="s">
        <v>1105</v>
      </c>
      <c r="E13379" s="2889" t="s">
        <v>217</v>
      </c>
      <c r="F13379" s="2890">
        <v>0.64011188036513567</v>
      </c>
      <c r="G13379" s="2890">
        <v>1032.9162570947967</v>
      </c>
    </row>
    <row r="13380" spans="2:7" ht="15" hidden="1" outlineLevel="2">
      <c r="B13380" s="2889" t="s">
        <v>1645</v>
      </c>
      <c r="C13380" s="2889" t="s">
        <v>1447</v>
      </c>
      <c r="D13380" s="2889" t="s">
        <v>1105</v>
      </c>
      <c r="E13380" s="2889" t="s">
        <v>217</v>
      </c>
      <c r="F13380" s="2890">
        <v>1.4749403806671226</v>
      </c>
      <c r="G13380" s="2890">
        <v>2216.2633736554017</v>
      </c>
    </row>
    <row r="13381" spans="2:7" ht="15" hidden="1" outlineLevel="2">
      <c r="B13381" s="2889" t="s">
        <v>1645</v>
      </c>
      <c r="C13381" s="2889" t="s">
        <v>1448</v>
      </c>
      <c r="D13381" s="2889" t="s">
        <v>1105</v>
      </c>
      <c r="E13381" s="2889" t="s">
        <v>217</v>
      </c>
      <c r="F13381" s="2890">
        <v>2.7855611929633168</v>
      </c>
      <c r="G13381" s="2890">
        <v>3491.5301087410762</v>
      </c>
    </row>
    <row r="13382" spans="2:7" ht="15" hidden="1" outlineLevel="2">
      <c r="B13382" s="2889" t="s">
        <v>1645</v>
      </c>
      <c r="C13382" s="2889" t="s">
        <v>1449</v>
      </c>
      <c r="D13382" s="2889" t="s">
        <v>1105</v>
      </c>
      <c r="E13382" s="2889" t="s">
        <v>217</v>
      </c>
      <c r="F13382" s="2890">
        <v>0.11858730079874923</v>
      </c>
      <c r="G13382" s="2890">
        <v>164.22215945919541</v>
      </c>
    </row>
    <row r="13383" spans="2:7" ht="15" hidden="1" outlineLevel="2">
      <c r="B13383" s="2889" t="s">
        <v>1645</v>
      </c>
      <c r="C13383" s="2889" t="s">
        <v>1450</v>
      </c>
      <c r="D13383" s="2889" t="s">
        <v>1105</v>
      </c>
      <c r="E13383" s="2889" t="s">
        <v>1420</v>
      </c>
      <c r="F13383" s="2890">
        <v>0.37671817912642153</v>
      </c>
      <c r="G13383" s="2890">
        <v>1035.6750464783363</v>
      </c>
    </row>
    <row r="13384" spans="2:7" ht="15" hidden="1" outlineLevel="2">
      <c r="B13384" s="2889" t="s">
        <v>1645</v>
      </c>
      <c r="C13384" s="2889" t="s">
        <v>1451</v>
      </c>
      <c r="D13384" s="2889" t="s">
        <v>1105</v>
      </c>
      <c r="E13384" s="2889" t="s">
        <v>1420</v>
      </c>
      <c r="F13384" s="2890">
        <v>5.4695411285579656E-2</v>
      </c>
      <c r="G13384" s="2890">
        <v>230.68085301253305</v>
      </c>
    </row>
    <row r="13385" spans="2:7" ht="15" hidden="1" outlineLevel="2">
      <c r="B13385" s="2889" t="s">
        <v>1645</v>
      </c>
      <c r="C13385" s="2889" t="s">
        <v>1452</v>
      </c>
      <c r="D13385" s="2889" t="s">
        <v>1105</v>
      </c>
      <c r="E13385" s="2889" t="s">
        <v>1420</v>
      </c>
      <c r="F13385" s="2890">
        <v>4.046472867951504E-2</v>
      </c>
      <c r="G13385" s="2890">
        <v>270.39956327360318</v>
      </c>
    </row>
    <row r="13386" spans="2:7" ht="15" hidden="1" outlineLevel="2">
      <c r="B13386" s="2889" t="s">
        <v>1645</v>
      </c>
      <c r="C13386" s="2889" t="s">
        <v>1453</v>
      </c>
      <c r="D13386" s="2889" t="s">
        <v>1105</v>
      </c>
      <c r="E13386" s="2889" t="s">
        <v>1420</v>
      </c>
      <c r="F13386" s="2890">
        <v>7.0879094562371708E-2</v>
      </c>
      <c r="G13386" s="2890">
        <v>335.90399297824308</v>
      </c>
    </row>
    <row r="13387" spans="2:7" ht="15" hidden="1" outlineLevel="2">
      <c r="B13387" s="2889" t="s">
        <v>1645</v>
      </c>
      <c r="C13387" s="2889" t="s">
        <v>1454</v>
      </c>
      <c r="D13387" s="2889" t="s">
        <v>1105</v>
      </c>
      <c r="E13387" s="2889" t="s">
        <v>1420</v>
      </c>
      <c r="F13387" s="2890">
        <v>1.7698105964725312E-3</v>
      </c>
      <c r="G13387" s="2890">
        <v>4.5406645073565439</v>
      </c>
    </row>
    <row r="13388" spans="2:7" ht="15" hidden="1" outlineLevel="2">
      <c r="B13388" s="2889" t="s">
        <v>1645</v>
      </c>
      <c r="C13388" s="2889" t="s">
        <v>1455</v>
      </c>
      <c r="D13388" s="2889" t="s">
        <v>1105</v>
      </c>
      <c r="E13388" s="2889" t="s">
        <v>1420</v>
      </c>
      <c r="F13388" s="2890">
        <v>5.1634473004307858E-4</v>
      </c>
      <c r="G13388" s="2890">
        <v>4.2176769212382297</v>
      </c>
    </row>
    <row r="13389" spans="2:7" ht="15" hidden="1" outlineLevel="2">
      <c r="B13389" s="2889" t="s">
        <v>1645</v>
      </c>
      <c r="C13389" s="2889" t="s">
        <v>1456</v>
      </c>
      <c r="D13389" s="2889" t="s">
        <v>1105</v>
      </c>
      <c r="E13389" s="2889" t="s">
        <v>1423</v>
      </c>
      <c r="F13389" s="2890">
        <v>8.3233571286583228</v>
      </c>
      <c r="G13389" s="2890">
        <v>231.13105238481612</v>
      </c>
    </row>
    <row r="13390" spans="2:7" ht="15" hidden="1" outlineLevel="2">
      <c r="B13390" s="2889" t="s">
        <v>1645</v>
      </c>
      <c r="C13390" s="2889" t="s">
        <v>1457</v>
      </c>
      <c r="D13390" s="2889" t="s">
        <v>1105</v>
      </c>
      <c r="E13390" s="2889" t="s">
        <v>1423</v>
      </c>
      <c r="F13390" s="2890">
        <v>0.31910583205520271</v>
      </c>
      <c r="G13390" s="2890">
        <v>11.5999817643679</v>
      </c>
    </row>
    <row r="13391" spans="2:7" ht="15" hidden="1" outlineLevel="2">
      <c r="B13391" s="2889" t="s">
        <v>1645</v>
      </c>
      <c r="C13391" s="2889" t="s">
        <v>1458</v>
      </c>
      <c r="D13391" s="2889" t="s">
        <v>1105</v>
      </c>
      <c r="E13391" s="2889" t="s">
        <v>1423</v>
      </c>
      <c r="F13391" s="2890">
        <v>0.22909449030175949</v>
      </c>
      <c r="G13391" s="2890">
        <v>16.067940127399936</v>
      </c>
    </row>
    <row r="13392" spans="2:7" ht="15" hidden="1" outlineLevel="2">
      <c r="B13392" s="2889" t="s">
        <v>1645</v>
      </c>
      <c r="C13392" s="2889" t="s">
        <v>1459</v>
      </c>
      <c r="D13392" s="2889" t="s">
        <v>1105</v>
      </c>
      <c r="E13392" s="2889" t="s">
        <v>1423</v>
      </c>
      <c r="F13392" s="2890">
        <v>2.683956332832051</v>
      </c>
      <c r="G13392" s="2890">
        <v>561.6596612133518</v>
      </c>
    </row>
    <row r="13393" spans="2:7" ht="15" hidden="1" outlineLevel="2">
      <c r="B13393" s="2889" t="s">
        <v>1645</v>
      </c>
      <c r="C13393" s="2889" t="s">
        <v>1460</v>
      </c>
      <c r="D13393" s="2889" t="s">
        <v>1105</v>
      </c>
      <c r="E13393" s="2889" t="s">
        <v>1426</v>
      </c>
      <c r="F13393" s="2891"/>
      <c r="G13393" s="2890">
        <v>5989.3749209399357</v>
      </c>
    </row>
    <row r="13394" spans="2:7" ht="15" hidden="1" outlineLevel="2">
      <c r="B13394" s="2889" t="s">
        <v>1645</v>
      </c>
      <c r="C13394" s="2889" t="s">
        <v>1461</v>
      </c>
      <c r="D13394" s="2889" t="s">
        <v>1105</v>
      </c>
      <c r="E13394" s="2889" t="s">
        <v>1426</v>
      </c>
      <c r="F13394" s="2891"/>
      <c r="G13394" s="2890">
        <v>1413.1296793462102</v>
      </c>
    </row>
    <row r="13395" spans="2:7" ht="15" hidden="1" outlineLevel="2">
      <c r="B13395" s="2889" t="s">
        <v>1645</v>
      </c>
      <c r="C13395" s="2889" t="s">
        <v>1462</v>
      </c>
      <c r="D13395" s="2889" t="s">
        <v>1105</v>
      </c>
      <c r="E13395" s="2889" t="s">
        <v>1426</v>
      </c>
      <c r="F13395" s="2891"/>
      <c r="G13395" s="2890">
        <v>3920.8877081330338</v>
      </c>
    </row>
    <row r="13396" spans="2:7" ht="15" hidden="1" outlineLevel="2">
      <c r="B13396" s="2889" t="s">
        <v>1645</v>
      </c>
      <c r="C13396" s="2889" t="s">
        <v>1463</v>
      </c>
      <c r="D13396" s="2889" t="s">
        <v>1105</v>
      </c>
      <c r="E13396" s="2889" t="s">
        <v>1426</v>
      </c>
      <c r="F13396" s="2891"/>
      <c r="G13396" s="2890">
        <v>1990.8990980372341</v>
      </c>
    </row>
    <row r="13397" spans="2:7" ht="15" hidden="1" outlineLevel="2">
      <c r="B13397" s="2889" t="s">
        <v>1645</v>
      </c>
      <c r="C13397" s="2889" t="s">
        <v>1464</v>
      </c>
      <c r="D13397" s="2889" t="s">
        <v>1105</v>
      </c>
      <c r="E13397" s="2889" t="s">
        <v>1426</v>
      </c>
      <c r="F13397" s="2891"/>
      <c r="G13397" s="2890">
        <v>191.25824905285347</v>
      </c>
    </row>
    <row r="13398" spans="2:7" ht="15" hidden="1" outlineLevel="2">
      <c r="B13398" s="2889" t="s">
        <v>1645</v>
      </c>
      <c r="C13398" s="2889" t="s">
        <v>1465</v>
      </c>
      <c r="D13398" s="2889" t="s">
        <v>1105</v>
      </c>
      <c r="E13398" s="2889" t="s">
        <v>1426</v>
      </c>
      <c r="F13398" s="2891"/>
      <c r="G13398" s="2890">
        <v>169.68934005574718</v>
      </c>
    </row>
    <row r="13399" spans="2:7" ht="15" hidden="1" outlineLevel="2">
      <c r="B13399" s="2889" t="s">
        <v>1645</v>
      </c>
      <c r="C13399" s="2889" t="s">
        <v>1466</v>
      </c>
      <c r="D13399" s="2889" t="s">
        <v>1054</v>
      </c>
      <c r="E13399" s="2889" t="s">
        <v>217</v>
      </c>
      <c r="F13399" s="2890">
        <v>0.18134529092924773</v>
      </c>
      <c r="G13399" s="2890">
        <v>111.81691434088999</v>
      </c>
    </row>
    <row r="13400" spans="2:7" ht="15" hidden="1" outlineLevel="2">
      <c r="B13400" s="2889" t="s">
        <v>1645</v>
      </c>
      <c r="C13400" s="2889" t="s">
        <v>1467</v>
      </c>
      <c r="D13400" s="2889" t="s">
        <v>1054</v>
      </c>
      <c r="E13400" s="2889" t="s">
        <v>217</v>
      </c>
      <c r="F13400" s="2890">
        <v>1.4987029963989262E-2</v>
      </c>
      <c r="G13400" s="2890">
        <v>7.2521749093737817</v>
      </c>
    </row>
    <row r="13401" spans="2:7" ht="15" hidden="1" outlineLevel="2">
      <c r="B13401" s="2889" t="s">
        <v>1645</v>
      </c>
      <c r="C13401" s="2889" t="s">
        <v>1468</v>
      </c>
      <c r="D13401" s="2889" t="s">
        <v>1054</v>
      </c>
      <c r="E13401" s="2889" t="s">
        <v>217</v>
      </c>
      <c r="F13401" s="2890">
        <v>1.8149742295306144E-2</v>
      </c>
      <c r="G13401" s="2890">
        <v>8.6695588916122048</v>
      </c>
    </row>
    <row r="13402" spans="2:7" ht="15" hidden="1" outlineLevel="2">
      <c r="B13402" s="2889" t="s">
        <v>1645</v>
      </c>
      <c r="C13402" s="2889" t="s">
        <v>1469</v>
      </c>
      <c r="D13402" s="2889" t="s">
        <v>1054</v>
      </c>
      <c r="E13402" s="2889" t="s">
        <v>217</v>
      </c>
      <c r="F13402" s="2890">
        <v>1.4482940935460384E-4</v>
      </c>
      <c r="G13402" s="2890">
        <v>6.4922215028536318E-2</v>
      </c>
    </row>
    <row r="13403" spans="2:7" ht="15" hidden="1" outlineLevel="2">
      <c r="B13403" s="2889" t="s">
        <v>1645</v>
      </c>
      <c r="C13403" s="2889" t="s">
        <v>1470</v>
      </c>
      <c r="D13403" s="2889" t="s">
        <v>1054</v>
      </c>
      <c r="E13403" s="2889" t="s">
        <v>217</v>
      </c>
      <c r="F13403" s="2890">
        <v>0.51664672378625776</v>
      </c>
      <c r="G13403" s="2890">
        <v>288.9521880981851</v>
      </c>
    </row>
    <row r="13404" spans="2:7" ht="15" hidden="1" outlineLevel="2">
      <c r="B13404" s="2889" t="s">
        <v>1645</v>
      </c>
      <c r="C13404" s="2889" t="s">
        <v>1471</v>
      </c>
      <c r="D13404" s="2889" t="s">
        <v>1054</v>
      </c>
      <c r="E13404" s="2889" t="s">
        <v>217</v>
      </c>
      <c r="F13404" s="2890">
        <v>3.7712407010094982E-3</v>
      </c>
      <c r="G13404" s="2890">
        <v>1.6905223059936356</v>
      </c>
    </row>
    <row r="13405" spans="2:7" ht="15" hidden="1" outlineLevel="2">
      <c r="B13405" s="2889" t="s">
        <v>1645</v>
      </c>
      <c r="C13405" s="2889" t="s">
        <v>1472</v>
      </c>
      <c r="D13405" s="2889" t="s">
        <v>1054</v>
      </c>
      <c r="E13405" s="2889" t="s">
        <v>217</v>
      </c>
      <c r="F13405" s="2890">
        <v>6.3820549705336641E-2</v>
      </c>
      <c r="G13405" s="2890">
        <v>99.402951302301162</v>
      </c>
    </row>
    <row r="13406" spans="2:7" ht="15" hidden="1" outlineLevel="2">
      <c r="B13406" s="2889" t="s">
        <v>1645</v>
      </c>
      <c r="C13406" s="2889" t="s">
        <v>1473</v>
      </c>
      <c r="D13406" s="2889" t="s">
        <v>1054</v>
      </c>
      <c r="E13406" s="2889" t="s">
        <v>217</v>
      </c>
      <c r="F13406" s="2890">
        <v>5.652717718504837E-4</v>
      </c>
      <c r="G13406" s="2890">
        <v>0.73456207968541143</v>
      </c>
    </row>
    <row r="13407" spans="2:7" ht="15" hidden="1" outlineLevel="2">
      <c r="B13407" s="2889" t="s">
        <v>1645</v>
      </c>
      <c r="C13407" s="2889" t="s">
        <v>1474</v>
      </c>
      <c r="D13407" s="2889" t="s">
        <v>1054</v>
      </c>
      <c r="E13407" s="2889" t="s">
        <v>217</v>
      </c>
      <c r="F13407" s="2890">
        <v>0.15549186586636338</v>
      </c>
      <c r="G13407" s="2890">
        <v>186.01249488639067</v>
      </c>
    </row>
    <row r="13408" spans="2:7" ht="15" hidden="1" outlineLevel="2">
      <c r="B13408" s="2889" t="s">
        <v>1645</v>
      </c>
      <c r="C13408" s="2889" t="s">
        <v>1475</v>
      </c>
      <c r="D13408" s="2889" t="s">
        <v>1054</v>
      </c>
      <c r="E13408" s="2889" t="s">
        <v>217</v>
      </c>
      <c r="F13408" s="2890">
        <v>0.11138023400817618</v>
      </c>
      <c r="G13408" s="2890">
        <v>175.77033987204032</v>
      </c>
    </row>
    <row r="13409" spans="2:7" ht="15" hidden="1" outlineLevel="2">
      <c r="B13409" s="2889" t="s">
        <v>1645</v>
      </c>
      <c r="C13409" s="2889" t="s">
        <v>1476</v>
      </c>
      <c r="D13409" s="2889" t="s">
        <v>1054</v>
      </c>
      <c r="E13409" s="2889" t="s">
        <v>217</v>
      </c>
      <c r="F13409" s="2890">
        <v>0.27423797208565281</v>
      </c>
      <c r="G13409" s="2890">
        <v>349.84230726718607</v>
      </c>
    </row>
    <row r="13410" spans="2:7" ht="15" hidden="1" outlineLevel="2">
      <c r="B13410" s="2889" t="s">
        <v>1645</v>
      </c>
      <c r="C13410" s="2889" t="s">
        <v>1477</v>
      </c>
      <c r="D13410" s="2889" t="s">
        <v>1054</v>
      </c>
      <c r="E13410" s="2889" t="s">
        <v>217</v>
      </c>
      <c r="F13410" s="2890">
        <v>0.10726595777636527</v>
      </c>
      <c r="G13410" s="2890">
        <v>147.52860446090148</v>
      </c>
    </row>
    <row r="13411" spans="2:7" ht="15" hidden="1" outlineLevel="2">
      <c r="B13411" s="2889" t="s">
        <v>1645</v>
      </c>
      <c r="C13411" s="2889" t="s">
        <v>1478</v>
      </c>
      <c r="D13411" s="2889" t="s">
        <v>1054</v>
      </c>
      <c r="E13411" s="2889" t="s">
        <v>217</v>
      </c>
      <c r="F13411" s="2890">
        <v>5.7805337967976704E-3</v>
      </c>
      <c r="G13411" s="2890">
        <v>7.6595859810700446</v>
      </c>
    </row>
    <row r="13412" spans="2:7" ht="15" hidden="1" outlineLevel="2">
      <c r="B13412" s="2889" t="s">
        <v>1645</v>
      </c>
      <c r="C13412" s="2889" t="s">
        <v>1479</v>
      </c>
      <c r="D13412" s="2889" t="s">
        <v>1054</v>
      </c>
      <c r="E13412" s="2889" t="s">
        <v>217</v>
      </c>
      <c r="F13412" s="2890">
        <v>0.20440750781713052</v>
      </c>
      <c r="G13412" s="2890">
        <v>308.84719825140365</v>
      </c>
    </row>
    <row r="13413" spans="2:7" ht="15" hidden="1" outlineLevel="2">
      <c r="B13413" s="2889" t="s">
        <v>1645</v>
      </c>
      <c r="C13413" s="2889" t="s">
        <v>1480</v>
      </c>
      <c r="D13413" s="2889" t="s">
        <v>1054</v>
      </c>
      <c r="E13413" s="2889" t="s">
        <v>217</v>
      </c>
      <c r="F13413" s="2890">
        <v>9.2033804787490431E-2</v>
      </c>
      <c r="G13413" s="2890">
        <v>106.37190937548402</v>
      </c>
    </row>
    <row r="13414" spans="2:7" ht="15" hidden="1" outlineLevel="2">
      <c r="B13414" s="2889" t="s">
        <v>1645</v>
      </c>
      <c r="C13414" s="2889" t="s">
        <v>1481</v>
      </c>
      <c r="D13414" s="2889" t="s">
        <v>1054</v>
      </c>
      <c r="E13414" s="2889" t="s">
        <v>217</v>
      </c>
      <c r="F13414" s="2890">
        <v>0.45531476404442262</v>
      </c>
      <c r="G13414" s="2890">
        <v>643.26750601179947</v>
      </c>
    </row>
    <row r="13415" spans="2:7" ht="15" hidden="1" outlineLevel="2">
      <c r="B13415" s="2889" t="s">
        <v>1645</v>
      </c>
      <c r="C13415" s="2889" t="s">
        <v>1482</v>
      </c>
      <c r="D13415" s="2889" t="s">
        <v>1054</v>
      </c>
      <c r="E13415" s="2889" t="s">
        <v>217</v>
      </c>
      <c r="F13415" s="2890">
        <v>0.30685410671388086</v>
      </c>
      <c r="G13415" s="2890">
        <v>308.15900092940763</v>
      </c>
    </row>
    <row r="13416" spans="2:7" ht="15" hidden="1" outlineLevel="2">
      <c r="B13416" s="2889" t="s">
        <v>1645</v>
      </c>
      <c r="C13416" s="2889" t="s">
        <v>1483</v>
      </c>
      <c r="D13416" s="2889" t="s">
        <v>1054</v>
      </c>
      <c r="E13416" s="2889" t="s">
        <v>217</v>
      </c>
      <c r="F13416" s="2890">
        <v>1.4592072382607756E-2</v>
      </c>
      <c r="G13416" s="2890">
        <v>24.565110961894387</v>
      </c>
    </row>
    <row r="13417" spans="2:7" ht="15" hidden="1" outlineLevel="2">
      <c r="B13417" s="2889" t="s">
        <v>1645</v>
      </c>
      <c r="C13417" s="2889" t="s">
        <v>1484</v>
      </c>
      <c r="D13417" s="2889" t="s">
        <v>1054</v>
      </c>
      <c r="E13417" s="2889" t="s">
        <v>217</v>
      </c>
      <c r="F13417" s="2890">
        <v>2.9651512352541268E-2</v>
      </c>
      <c r="G13417" s="2890">
        <v>41.6535575811968</v>
      </c>
    </row>
    <row r="13418" spans="2:7" ht="15" hidden="1" outlineLevel="2">
      <c r="B13418" s="2889" t="s">
        <v>1645</v>
      </c>
      <c r="C13418" s="2889" t="s">
        <v>1485</v>
      </c>
      <c r="D13418" s="2889" t="s">
        <v>1054</v>
      </c>
      <c r="E13418" s="2889" t="s">
        <v>217</v>
      </c>
      <c r="F13418" s="2890">
        <v>1.318244012631755E-2</v>
      </c>
      <c r="G13418" s="2890">
        <v>37.325349481311214</v>
      </c>
    </row>
    <row r="13419" spans="2:7" ht="15" hidden="1" outlineLevel="2">
      <c r="B13419" s="2889" t="s">
        <v>1645</v>
      </c>
      <c r="C13419" s="2889" t="s">
        <v>1486</v>
      </c>
      <c r="D13419" s="2889" t="s">
        <v>1054</v>
      </c>
      <c r="E13419" s="2889" t="s">
        <v>217</v>
      </c>
      <c r="F13419" s="2890">
        <v>1.5353339045219674E-2</v>
      </c>
      <c r="G13419" s="2890">
        <v>89.14942914289027</v>
      </c>
    </row>
    <row r="13420" spans="2:7" ht="15" hidden="1" outlineLevel="2">
      <c r="B13420" s="2889" t="s">
        <v>1645</v>
      </c>
      <c r="C13420" s="2889" t="s">
        <v>1487</v>
      </c>
      <c r="D13420" s="2889" t="s">
        <v>1054</v>
      </c>
      <c r="E13420" s="2889" t="s">
        <v>217</v>
      </c>
      <c r="F13420" s="2890">
        <v>0.14516478400622432</v>
      </c>
      <c r="G13420" s="2890">
        <v>211.26091058153278</v>
      </c>
    </row>
    <row r="13421" spans="2:7" ht="15" hidden="1" outlineLevel="2">
      <c r="B13421" s="2889" t="s">
        <v>1645</v>
      </c>
      <c r="C13421" s="2889" t="s">
        <v>1488</v>
      </c>
      <c r="D13421" s="2889" t="s">
        <v>1054</v>
      </c>
      <c r="E13421" s="2889" t="s">
        <v>217</v>
      </c>
      <c r="F13421" s="2890">
        <v>9.0078171615274011E-2</v>
      </c>
      <c r="G13421" s="2890">
        <v>144.99114397208555</v>
      </c>
    </row>
    <row r="13422" spans="2:7" ht="15" hidden="1" outlineLevel="2">
      <c r="B13422" s="2889" t="s">
        <v>1645</v>
      </c>
      <c r="C13422" s="2889" t="s">
        <v>1489</v>
      </c>
      <c r="D13422" s="2889" t="s">
        <v>1054</v>
      </c>
      <c r="E13422" s="2889" t="s">
        <v>217</v>
      </c>
      <c r="F13422" s="2890">
        <v>4.5342535818840353E-2</v>
      </c>
      <c r="G13422" s="2890">
        <v>47.773265304127733</v>
      </c>
    </row>
    <row r="13423" spans="2:7" ht="15" hidden="1" outlineLevel="2">
      <c r="B13423" s="2889" t="s">
        <v>1645</v>
      </c>
      <c r="C13423" s="2889" t="s">
        <v>1490</v>
      </c>
      <c r="D13423" s="2889" t="s">
        <v>1054</v>
      </c>
      <c r="E13423" s="2889" t="s">
        <v>217</v>
      </c>
      <c r="F13423" s="2890">
        <v>2.1167384282546501E-2</v>
      </c>
      <c r="G13423" s="2890">
        <v>33.748545599238625</v>
      </c>
    </row>
    <row r="13424" spans="2:7" ht="15" hidden="1" outlineLevel="2">
      <c r="B13424" s="2889" t="s">
        <v>1645</v>
      </c>
      <c r="C13424" s="2889" t="s">
        <v>1491</v>
      </c>
      <c r="D13424" s="2889" t="s">
        <v>1054</v>
      </c>
      <c r="E13424" s="2889" t="s">
        <v>1420</v>
      </c>
      <c r="F13424" s="2890">
        <v>4.0372676904417981E-3</v>
      </c>
      <c r="G13424" s="2890">
        <v>19.115701903041526</v>
      </c>
    </row>
    <row r="13425" spans="2:7" ht="15" hidden="1" outlineLevel="2">
      <c r="B13425" s="2889" t="s">
        <v>1645</v>
      </c>
      <c r="C13425" s="2889" t="s">
        <v>1492</v>
      </c>
      <c r="D13425" s="2889" t="s">
        <v>1054</v>
      </c>
      <c r="E13425" s="2889" t="s">
        <v>1420</v>
      </c>
      <c r="F13425" s="2890">
        <v>3.0011760625375393E-3</v>
      </c>
      <c r="G13425" s="2890">
        <v>32.079750328051951</v>
      </c>
    </row>
    <row r="13426" spans="2:7" ht="15" hidden="1" outlineLevel="2">
      <c r="B13426" s="2889" t="s">
        <v>1645</v>
      </c>
      <c r="C13426" s="2889" t="s">
        <v>1493</v>
      </c>
      <c r="D13426" s="2889" t="s">
        <v>1054</v>
      </c>
      <c r="E13426" s="2889" t="s">
        <v>1420</v>
      </c>
      <c r="F13426" s="2890">
        <v>2.2223190897344247E-3</v>
      </c>
      <c r="G13426" s="2890">
        <v>5.306953160014193</v>
      </c>
    </row>
    <row r="13427" spans="2:7" ht="15" hidden="1" outlineLevel="2">
      <c r="B13427" s="2889" t="s">
        <v>1645</v>
      </c>
      <c r="C13427" s="2889" t="s">
        <v>1494</v>
      </c>
      <c r="D13427" s="2889" t="s">
        <v>1054</v>
      </c>
      <c r="E13427" s="2889" t="s">
        <v>1420</v>
      </c>
      <c r="F13427" s="2890">
        <v>6.0597878674622683E-4</v>
      </c>
      <c r="G13427" s="2890">
        <v>3.3254547455024253</v>
      </c>
    </row>
    <row r="13428" spans="2:7" ht="15" hidden="1" outlineLevel="2">
      <c r="B13428" s="2889" t="s">
        <v>1645</v>
      </c>
      <c r="C13428" s="2889" t="s">
        <v>1495</v>
      </c>
      <c r="D13428" s="2889" t="s">
        <v>1054</v>
      </c>
      <c r="E13428" s="2889" t="s">
        <v>1420</v>
      </c>
      <c r="F13428" s="2890">
        <v>1.3113800447251059E-2</v>
      </c>
      <c r="G13428" s="2890">
        <v>58.849315100366567</v>
      </c>
    </row>
    <row r="13429" spans="2:7" ht="15" hidden="1" outlineLevel="2">
      <c r="B13429" s="2889" t="s">
        <v>1645</v>
      </c>
      <c r="C13429" s="2889" t="s">
        <v>1496</v>
      </c>
      <c r="D13429" s="2889" t="s">
        <v>1054</v>
      </c>
      <c r="E13429" s="2889" t="s">
        <v>1420</v>
      </c>
      <c r="F13429" s="2890">
        <v>1.1897238442763206E-2</v>
      </c>
      <c r="G13429" s="2890">
        <v>21.189139707261539</v>
      </c>
    </row>
    <row r="13430" spans="2:7" ht="15" hidden="1" outlineLevel="2">
      <c r="B13430" s="2889" t="s">
        <v>1645</v>
      </c>
      <c r="C13430" s="2889" t="s">
        <v>1497</v>
      </c>
      <c r="D13430" s="2889" t="s">
        <v>1054</v>
      </c>
      <c r="E13430" s="2889" t="s">
        <v>1420</v>
      </c>
      <c r="F13430" s="2890">
        <v>3.3009351290839554E-3</v>
      </c>
      <c r="G13430" s="2890">
        <v>54.445051288217073</v>
      </c>
    </row>
    <row r="13431" spans="2:7" ht="15" hidden="1" outlineLevel="2">
      <c r="B13431" s="2889" t="s">
        <v>1645</v>
      </c>
      <c r="C13431" s="2889" t="s">
        <v>1498</v>
      </c>
      <c r="D13431" s="2889" t="s">
        <v>1054</v>
      </c>
      <c r="E13431" s="2889" t="s">
        <v>1420</v>
      </c>
      <c r="F13431" s="2890">
        <v>9.0229942582440714E-3</v>
      </c>
      <c r="G13431" s="2890">
        <v>21.684878112376325</v>
      </c>
    </row>
    <row r="13432" spans="2:7" ht="15" hidden="1" outlineLevel="2">
      <c r="B13432" s="2889" t="s">
        <v>1645</v>
      </c>
      <c r="C13432" s="2889" t="s">
        <v>1499</v>
      </c>
      <c r="D13432" s="2889" t="s">
        <v>1054</v>
      </c>
      <c r="E13432" s="2889" t="s">
        <v>1420</v>
      </c>
      <c r="F13432" s="2890">
        <v>1.3780582172519438E-3</v>
      </c>
      <c r="G13432" s="2890">
        <v>3.4894153374824302</v>
      </c>
    </row>
    <row r="13433" spans="2:7" ht="15" hidden="1" outlineLevel="2">
      <c r="B13433" s="2889" t="s">
        <v>1645</v>
      </c>
      <c r="C13433" s="2889" t="s">
        <v>1500</v>
      </c>
      <c r="D13433" s="2889" t="s">
        <v>1054</v>
      </c>
      <c r="E13433" s="2889" t="s">
        <v>1420</v>
      </c>
      <c r="F13433" s="2890">
        <v>9.9815440061412943E-3</v>
      </c>
      <c r="G13433" s="2890">
        <v>37.747868040945349</v>
      </c>
    </row>
    <row r="13434" spans="2:7" ht="15" hidden="1" outlineLevel="2">
      <c r="B13434" s="2889" t="s">
        <v>1645</v>
      </c>
      <c r="C13434" s="2889" t="s">
        <v>1501</v>
      </c>
      <c r="D13434" s="2889" t="s">
        <v>1054</v>
      </c>
      <c r="E13434" s="2889" t="s">
        <v>1420</v>
      </c>
      <c r="F13434" s="2890">
        <v>1.25190193133778E-2</v>
      </c>
      <c r="G13434" s="2890">
        <v>91.917947081502746</v>
      </c>
    </row>
    <row r="13435" spans="2:7" ht="15" hidden="1" outlineLevel="2">
      <c r="B13435" s="2889" t="s">
        <v>1645</v>
      </c>
      <c r="C13435" s="2889" t="s">
        <v>1502</v>
      </c>
      <c r="D13435" s="2889" t="s">
        <v>1054</v>
      </c>
      <c r="E13435" s="2889" t="s">
        <v>1420</v>
      </c>
      <c r="F13435" s="2890">
        <v>8.7351680582700936E-4</v>
      </c>
      <c r="G13435" s="2890">
        <v>9.6018810944133115</v>
      </c>
    </row>
    <row r="13436" spans="2:7" ht="15" hidden="1" outlineLevel="2">
      <c r="B13436" s="2889" t="s">
        <v>1645</v>
      </c>
      <c r="C13436" s="2889" t="s">
        <v>1503</v>
      </c>
      <c r="D13436" s="2889" t="s">
        <v>1054</v>
      </c>
      <c r="E13436" s="2889" t="s">
        <v>1420</v>
      </c>
      <c r="F13436" s="2890">
        <v>2.8807789416624648E-2</v>
      </c>
      <c r="G13436" s="2890">
        <v>79.538491945031438</v>
      </c>
    </row>
    <row r="13437" spans="2:7" ht="15" hidden="1" outlineLevel="2">
      <c r="B13437" s="2889" t="s">
        <v>1645</v>
      </c>
      <c r="C13437" s="2889" t="s">
        <v>1504</v>
      </c>
      <c r="D13437" s="2889" t="s">
        <v>1054</v>
      </c>
      <c r="E13437" s="2889" t="s">
        <v>1420</v>
      </c>
      <c r="F13437" s="2890">
        <v>1.4859883754257378E-2</v>
      </c>
      <c r="G13437" s="2890">
        <v>32.892469063302165</v>
      </c>
    </row>
    <row r="13438" spans="2:7" ht="15" hidden="1" outlineLevel="2">
      <c r="B13438" s="2889" t="s">
        <v>1645</v>
      </c>
      <c r="C13438" s="2889" t="s">
        <v>1505</v>
      </c>
      <c r="D13438" s="2889" t="s">
        <v>1054</v>
      </c>
      <c r="E13438" s="2889" t="s">
        <v>1423</v>
      </c>
      <c r="F13438" s="2890">
        <v>4.2139372298977934E-2</v>
      </c>
      <c r="G13438" s="2890">
        <v>1.0428584449083387</v>
      </c>
    </row>
    <row r="13439" spans="2:7" ht="15" hidden="1" outlineLevel="2">
      <c r="B13439" s="2889" t="s">
        <v>1645</v>
      </c>
      <c r="C13439" s="2889" t="s">
        <v>1506</v>
      </c>
      <c r="D13439" s="2889" t="s">
        <v>1054</v>
      </c>
      <c r="E13439" s="2889" t="s">
        <v>1426</v>
      </c>
      <c r="F13439" s="2891"/>
      <c r="G13439" s="2890">
        <v>3096.3665845338423</v>
      </c>
    </row>
    <row r="13440" spans="2:7" ht="15" hidden="1" outlineLevel="2">
      <c r="B13440" s="2889" t="s">
        <v>1645</v>
      </c>
      <c r="C13440" s="2889" t="s">
        <v>1507</v>
      </c>
      <c r="D13440" s="2889" t="s">
        <v>1054</v>
      </c>
      <c r="E13440" s="2889" t="s">
        <v>1426</v>
      </c>
      <c r="F13440" s="2891"/>
      <c r="G13440" s="2890">
        <v>5.0472903490246139</v>
      </c>
    </row>
    <row r="13441" spans="2:7" ht="15" hidden="1" outlineLevel="2">
      <c r="B13441" s="2889" t="s">
        <v>1645</v>
      </c>
      <c r="C13441" s="2889" t="s">
        <v>1508</v>
      </c>
      <c r="D13441" s="2889" t="s">
        <v>1054</v>
      </c>
      <c r="E13441" s="2889" t="s">
        <v>1426</v>
      </c>
      <c r="F13441" s="2891"/>
      <c r="G13441" s="2890">
        <v>83.152305028815064</v>
      </c>
    </row>
    <row r="13442" spans="2:7" ht="15" hidden="1" outlineLevel="2">
      <c r="B13442" s="2889" t="s">
        <v>1645</v>
      </c>
      <c r="C13442" s="2889" t="s">
        <v>1509</v>
      </c>
      <c r="D13442" s="2889" t="s">
        <v>1054</v>
      </c>
      <c r="E13442" s="2889" t="s">
        <v>1426</v>
      </c>
      <c r="F13442" s="2891"/>
      <c r="G13442" s="2890">
        <v>7750.5724765012646</v>
      </c>
    </row>
    <row r="13443" spans="2:7" ht="15" hidden="1" outlineLevel="2">
      <c r="B13443" s="2889" t="s">
        <v>1645</v>
      </c>
      <c r="C13443" s="2889" t="s">
        <v>1510</v>
      </c>
      <c r="D13443" s="2889" t="s">
        <v>1054</v>
      </c>
      <c r="E13443" s="2889" t="s">
        <v>1426</v>
      </c>
      <c r="F13443" s="2891"/>
      <c r="G13443" s="2890">
        <v>8430.9901174119241</v>
      </c>
    </row>
    <row r="13444" spans="2:7" ht="15" hidden="1" outlineLevel="2">
      <c r="B13444" s="2889" t="s">
        <v>1645</v>
      </c>
      <c r="C13444" s="2889" t="s">
        <v>1511</v>
      </c>
      <c r="D13444" s="2889" t="s">
        <v>1054</v>
      </c>
      <c r="E13444" s="2889" t="s">
        <v>1426</v>
      </c>
      <c r="F13444" s="2891"/>
      <c r="G13444" s="2890">
        <v>464.49204120692912</v>
      </c>
    </row>
    <row r="13445" spans="2:7" ht="15" hidden="1" outlineLevel="2">
      <c r="B13445" s="2889" t="s">
        <v>1645</v>
      </c>
      <c r="C13445" s="2889" t="s">
        <v>1512</v>
      </c>
      <c r="D13445" s="2889" t="s">
        <v>1054</v>
      </c>
      <c r="E13445" s="2889" t="s">
        <v>1426</v>
      </c>
      <c r="F13445" s="2891"/>
      <c r="G13445" s="2890">
        <v>286.69836751273556</v>
      </c>
    </row>
    <row r="13446" spans="2:7" ht="15" hidden="1" outlineLevel="2">
      <c r="B13446" s="2889" t="s">
        <v>1645</v>
      </c>
      <c r="C13446" s="2889" t="s">
        <v>1513</v>
      </c>
      <c r="D13446" s="2889" t="s">
        <v>1054</v>
      </c>
      <c r="E13446" s="2889" t="s">
        <v>1426</v>
      </c>
      <c r="F13446" s="2891"/>
      <c r="G13446" s="2890">
        <v>856.06689677784027</v>
      </c>
    </row>
    <row r="13447" spans="2:7" ht="15" hidden="1" outlineLevel="2">
      <c r="B13447" s="2889" t="s">
        <v>1645</v>
      </c>
      <c r="C13447" s="2889" t="s">
        <v>1514</v>
      </c>
      <c r="D13447" s="2889" t="s">
        <v>1054</v>
      </c>
      <c r="E13447" s="2889" t="s">
        <v>1426</v>
      </c>
      <c r="F13447" s="2891"/>
      <c r="G13447" s="2890">
        <v>3676.9739966893185</v>
      </c>
    </row>
    <row r="13448" spans="2:7" ht="15" hidden="1" outlineLevel="2">
      <c r="B13448" s="2889" t="s">
        <v>1645</v>
      </c>
      <c r="C13448" s="2889" t="s">
        <v>1515</v>
      </c>
      <c r="D13448" s="2889" t="s">
        <v>1054</v>
      </c>
      <c r="E13448" s="2889" t="s">
        <v>1426</v>
      </c>
      <c r="F13448" s="2891"/>
      <c r="G13448" s="2890">
        <v>3161.7667972816766</v>
      </c>
    </row>
    <row r="13449" spans="2:7" ht="15" hidden="1" outlineLevel="2">
      <c r="B13449" s="2889" t="s">
        <v>1645</v>
      </c>
      <c r="C13449" s="2889" t="s">
        <v>1516</v>
      </c>
      <c r="D13449" s="2889" t="s">
        <v>1054</v>
      </c>
      <c r="E13449" s="2889" t="s">
        <v>1426</v>
      </c>
      <c r="F13449" s="2891"/>
      <c r="G13449" s="2890">
        <v>31410.101341556714</v>
      </c>
    </row>
    <row r="13450" spans="2:7" ht="15" hidden="1" outlineLevel="2">
      <c r="B13450" s="2889" t="s">
        <v>1645</v>
      </c>
      <c r="C13450" s="2889" t="s">
        <v>1517</v>
      </c>
      <c r="D13450" s="2889" t="s">
        <v>1054</v>
      </c>
      <c r="E13450" s="2889" t="s">
        <v>1426</v>
      </c>
      <c r="F13450" s="2891"/>
      <c r="G13450" s="2890">
        <v>260.54534638524541</v>
      </c>
    </row>
    <row r="13451" spans="2:7" ht="15" hidden="1" outlineLevel="2">
      <c r="B13451" s="2889" t="s">
        <v>1645</v>
      </c>
      <c r="C13451" s="2889" t="s">
        <v>1518</v>
      </c>
      <c r="D13451" s="2889" t="s">
        <v>1054</v>
      </c>
      <c r="E13451" s="2889" t="s">
        <v>1426</v>
      </c>
      <c r="F13451" s="2891"/>
      <c r="G13451" s="2890">
        <v>123.0674720858278</v>
      </c>
    </row>
    <row r="13452" spans="2:7" ht="15" hidden="1" outlineLevel="2">
      <c r="B13452" s="2889" t="s">
        <v>1645</v>
      </c>
      <c r="C13452" s="2889" t="s">
        <v>1519</v>
      </c>
      <c r="D13452" s="2889" t="s">
        <v>1054</v>
      </c>
      <c r="E13452" s="2889" t="s">
        <v>1426</v>
      </c>
      <c r="F13452" s="2891"/>
      <c r="G13452" s="2890">
        <v>7173.7950866485207</v>
      </c>
    </row>
    <row r="13453" spans="2:7" ht="15" hidden="1" outlineLevel="2">
      <c r="B13453" s="2889" t="s">
        <v>1645</v>
      </c>
      <c r="C13453" s="2889" t="s">
        <v>1520</v>
      </c>
      <c r="D13453" s="2889" t="s">
        <v>1054</v>
      </c>
      <c r="E13453" s="2889" t="s">
        <v>1426</v>
      </c>
      <c r="F13453" s="2891"/>
      <c r="G13453" s="2890">
        <v>7814.6377280241695</v>
      </c>
    </row>
    <row r="13454" spans="2:7" ht="15" hidden="1" outlineLevel="2">
      <c r="B13454" s="2889" t="s">
        <v>1645</v>
      </c>
      <c r="C13454" s="2889" t="s">
        <v>1521</v>
      </c>
      <c r="D13454" s="2889" t="s">
        <v>1054</v>
      </c>
      <c r="E13454" s="2889" t="s">
        <v>1426</v>
      </c>
      <c r="F13454" s="2891"/>
      <c r="G13454" s="2890">
        <v>26864.850377018585</v>
      </c>
    </row>
    <row r="13455" spans="2:7" ht="15" hidden="1" outlineLevel="2">
      <c r="B13455" s="2889" t="s">
        <v>1645</v>
      </c>
      <c r="C13455" s="2889" t="s">
        <v>1522</v>
      </c>
      <c r="D13455" s="2889" t="s">
        <v>1054</v>
      </c>
      <c r="E13455" s="2889" t="s">
        <v>1426</v>
      </c>
      <c r="F13455" s="2891"/>
      <c r="G13455" s="2890">
        <v>1264.7603190684365</v>
      </c>
    </row>
    <row r="13456" spans="2:7" ht="15" hidden="1" outlineLevel="2">
      <c r="B13456" s="2889" t="s">
        <v>1645</v>
      </c>
      <c r="C13456" s="2889" t="s">
        <v>1523</v>
      </c>
      <c r="D13456" s="2889" t="s">
        <v>1054</v>
      </c>
      <c r="E13456" s="2889" t="s">
        <v>1426</v>
      </c>
      <c r="F13456" s="2891"/>
      <c r="G13456" s="2890">
        <v>10053.993133455449</v>
      </c>
    </row>
    <row r="13457" spans="2:7" ht="15" hidden="1" outlineLevel="2">
      <c r="B13457" s="2889" t="s">
        <v>1645</v>
      </c>
      <c r="C13457" s="2889" t="s">
        <v>1524</v>
      </c>
      <c r="D13457" s="2889" t="s">
        <v>1054</v>
      </c>
      <c r="E13457" s="2889" t="s">
        <v>1426</v>
      </c>
      <c r="F13457" s="2891"/>
      <c r="G13457" s="2890">
        <v>34188.582656890903</v>
      </c>
    </row>
    <row r="13458" spans="2:7" ht="15" hidden="1" outlineLevel="2">
      <c r="B13458" s="2889" t="s">
        <v>1645</v>
      </c>
      <c r="C13458" s="2889" t="s">
        <v>1525</v>
      </c>
      <c r="D13458" s="2889" t="s">
        <v>1054</v>
      </c>
      <c r="E13458" s="2889" t="s">
        <v>1426</v>
      </c>
      <c r="F13458" s="2891"/>
      <c r="G13458" s="2890">
        <v>20733.301638259847</v>
      </c>
    </row>
    <row r="13459" spans="2:7" ht="15" hidden="1" outlineLevel="2">
      <c r="B13459" s="2889" t="s">
        <v>1645</v>
      </c>
      <c r="C13459" s="2889" t="s">
        <v>1526</v>
      </c>
      <c r="D13459" s="2889" t="s">
        <v>1054</v>
      </c>
      <c r="E13459" s="2889" t="s">
        <v>1426</v>
      </c>
      <c r="F13459" s="2891"/>
      <c r="G13459" s="2890">
        <v>31289.235859260683</v>
      </c>
    </row>
    <row r="13460" spans="2:7" ht="15" hidden="1" outlineLevel="2">
      <c r="B13460" s="2889" t="s">
        <v>1645</v>
      </c>
      <c r="C13460" s="2889" t="s">
        <v>1527</v>
      </c>
      <c r="D13460" s="2889" t="s">
        <v>1054</v>
      </c>
      <c r="E13460" s="2889" t="s">
        <v>1426</v>
      </c>
      <c r="F13460" s="2891"/>
      <c r="G13460" s="2890">
        <v>14216.641502417462</v>
      </c>
    </row>
    <row r="13461" spans="2:7" ht="15" hidden="1" outlineLevel="2">
      <c r="B13461" s="2889" t="s">
        <v>1645</v>
      </c>
      <c r="C13461" s="2889" t="s">
        <v>1528</v>
      </c>
      <c r="D13461" s="2889" t="s">
        <v>1054</v>
      </c>
      <c r="E13461" s="2889" t="s">
        <v>1426</v>
      </c>
      <c r="F13461" s="2891"/>
      <c r="G13461" s="2890">
        <v>3365.5298133812789</v>
      </c>
    </row>
    <row r="13462" spans="2:7" ht="15" hidden="1" outlineLevel="2">
      <c r="B13462" s="2889" t="s">
        <v>1645</v>
      </c>
      <c r="C13462" s="2889" t="s">
        <v>1529</v>
      </c>
      <c r="D13462" s="2889" t="s">
        <v>1054</v>
      </c>
      <c r="E13462" s="2889" t="s">
        <v>1426</v>
      </c>
      <c r="F13462" s="2891"/>
      <c r="G13462" s="2890">
        <v>43.802554201068588</v>
      </c>
    </row>
    <row r="13463" spans="2:7" ht="15" hidden="1" outlineLevel="2">
      <c r="B13463" s="2889" t="s">
        <v>1645</v>
      </c>
      <c r="C13463" s="2889" t="s">
        <v>1530</v>
      </c>
      <c r="D13463" s="2889" t="s">
        <v>1054</v>
      </c>
      <c r="E13463" s="2889" t="s">
        <v>1426</v>
      </c>
      <c r="F13463" s="2891"/>
      <c r="G13463" s="2890">
        <v>3224.9783770331637</v>
      </c>
    </row>
    <row r="13464" spans="2:7" ht="15" hidden="1" outlineLevel="2">
      <c r="B13464" s="2889" t="s">
        <v>1645</v>
      </c>
      <c r="C13464" s="2889" t="s">
        <v>1531</v>
      </c>
      <c r="D13464" s="2889" t="s">
        <v>1106</v>
      </c>
      <c r="E13464" s="2889" t="s">
        <v>217</v>
      </c>
      <c r="F13464" s="2890">
        <v>9.5240740220013784E-4</v>
      </c>
      <c r="G13464" s="2890">
        <v>0.42696200896341263</v>
      </c>
    </row>
    <row r="13465" spans="2:7" ht="15" hidden="1" outlineLevel="2">
      <c r="B13465" s="2889" t="s">
        <v>1645</v>
      </c>
      <c r="C13465" s="2889" t="s">
        <v>1532</v>
      </c>
      <c r="D13465" s="2889" t="s">
        <v>1106</v>
      </c>
      <c r="E13465" s="2889" t="s">
        <v>217</v>
      </c>
      <c r="F13465" s="2890">
        <v>7.501047641007647E-5</v>
      </c>
      <c r="G13465" s="2890">
        <v>3.3627050195433543E-2</v>
      </c>
    </row>
    <row r="13466" spans="2:7" ht="15" hidden="1" outlineLevel="2">
      <c r="B13466" s="2889" t="s">
        <v>1645</v>
      </c>
      <c r="C13466" s="2889" t="s">
        <v>1533</v>
      </c>
      <c r="D13466" s="2889" t="s">
        <v>1106</v>
      </c>
      <c r="E13466" s="2889" t="s">
        <v>217</v>
      </c>
      <c r="F13466" s="2890">
        <v>4.8627803536123622E-2</v>
      </c>
      <c r="G13466" s="2890">
        <v>51.933390848799085</v>
      </c>
    </row>
    <row r="13467" spans="2:7" ht="15" hidden="1" outlineLevel="2">
      <c r="B13467" s="2889" t="s">
        <v>1645</v>
      </c>
      <c r="C13467" s="2889" t="s">
        <v>1534</v>
      </c>
      <c r="D13467" s="2889" t="s">
        <v>1106</v>
      </c>
      <c r="E13467" s="2889" t="s">
        <v>217</v>
      </c>
      <c r="F13467" s="2890">
        <v>4.4208126217943559E-2</v>
      </c>
      <c r="G13467" s="2890">
        <v>153.78869560900375</v>
      </c>
    </row>
    <row r="13468" spans="2:7" ht="15" hidden="1" outlineLevel="2">
      <c r="B13468" s="2889" t="s">
        <v>1645</v>
      </c>
      <c r="C13468" s="2889" t="s">
        <v>1535</v>
      </c>
      <c r="D13468" s="2889" t="s">
        <v>1106</v>
      </c>
      <c r="E13468" s="2889" t="s">
        <v>217</v>
      </c>
      <c r="F13468" s="2890">
        <v>1.6528925800354269E-2</v>
      </c>
      <c r="G13468" s="2890">
        <v>38.839712351212874</v>
      </c>
    </row>
    <row r="13469" spans="2:7" ht="15" hidden="1" outlineLevel="2">
      <c r="B13469" s="2889" t="s">
        <v>1645</v>
      </c>
      <c r="C13469" s="2889" t="s">
        <v>1536</v>
      </c>
      <c r="D13469" s="2889" t="s">
        <v>1106</v>
      </c>
      <c r="E13469" s="2889" t="s">
        <v>217</v>
      </c>
      <c r="F13469" s="2890">
        <v>5.5448880770526475E-2</v>
      </c>
      <c r="G13469" s="2890">
        <v>72.395463214597271</v>
      </c>
    </row>
    <row r="13470" spans="2:7" ht="15" hidden="1" outlineLevel="2">
      <c r="B13470" s="2889" t="s">
        <v>1645</v>
      </c>
      <c r="C13470" s="2889" t="s">
        <v>1537</v>
      </c>
      <c r="D13470" s="2889" t="s">
        <v>1106</v>
      </c>
      <c r="E13470" s="2889" t="s">
        <v>217</v>
      </c>
      <c r="F13470" s="2890">
        <v>3.1062616410176057E-3</v>
      </c>
      <c r="G13470" s="2890">
        <v>3.5569839577936095</v>
      </c>
    </row>
    <row r="13471" spans="2:7" ht="15" hidden="1" outlineLevel="2">
      <c r="B13471" s="2889" t="s">
        <v>1645</v>
      </c>
      <c r="C13471" s="2889" t="s">
        <v>1538</v>
      </c>
      <c r="D13471" s="2889" t="s">
        <v>1106</v>
      </c>
      <c r="E13471" s="2889" t="s">
        <v>217</v>
      </c>
      <c r="F13471" s="2890">
        <v>4.1821746874444159E-3</v>
      </c>
      <c r="G13471" s="2890">
        <v>5.6613650240587958</v>
      </c>
    </row>
    <row r="13472" spans="2:7" ht="15" hidden="1" outlineLevel="2">
      <c r="B13472" s="2889" t="s">
        <v>1645</v>
      </c>
      <c r="C13472" s="2889" t="s">
        <v>1539</v>
      </c>
      <c r="D13472" s="2889" t="s">
        <v>1106</v>
      </c>
      <c r="E13472" s="2889" t="s">
        <v>217</v>
      </c>
      <c r="F13472" s="2890">
        <v>1.219524075342692E-3</v>
      </c>
      <c r="G13472" s="2890">
        <v>15.681627753870949</v>
      </c>
    </row>
    <row r="13473" spans="2:7" ht="15" hidden="1" outlineLevel="2">
      <c r="B13473" s="2889" t="s">
        <v>1645</v>
      </c>
      <c r="C13473" s="2889" t="s">
        <v>1540</v>
      </c>
      <c r="D13473" s="2889" t="s">
        <v>1106</v>
      </c>
      <c r="E13473" s="2889" t="s">
        <v>1420</v>
      </c>
      <c r="F13473" s="2890">
        <v>5.421501868855666E-2</v>
      </c>
      <c r="G13473" s="2890">
        <v>131.56191213173574</v>
      </c>
    </row>
    <row r="13474" spans="2:7" ht="15" hidden="1" outlineLevel="2">
      <c r="B13474" s="2889" t="s">
        <v>1645</v>
      </c>
      <c r="C13474" s="2889" t="s">
        <v>1541</v>
      </c>
      <c r="D13474" s="2889" t="s">
        <v>1106</v>
      </c>
      <c r="E13474" s="2889" t="s">
        <v>1420</v>
      </c>
      <c r="F13474" s="2890">
        <v>1.5799529286285863</v>
      </c>
      <c r="G13474" s="2890">
        <v>11632.090134036021</v>
      </c>
    </row>
    <row r="13475" spans="2:7" ht="15" hidden="1" outlineLevel="2">
      <c r="B13475" s="2889" t="s">
        <v>1645</v>
      </c>
      <c r="C13475" s="2889" t="s">
        <v>1542</v>
      </c>
      <c r="D13475" s="2889" t="s">
        <v>1106</v>
      </c>
      <c r="E13475" s="2889" t="s">
        <v>1420</v>
      </c>
      <c r="F13475" s="2890">
        <v>7.684805720649379E-3</v>
      </c>
      <c r="G13475" s="2890">
        <v>87.938894821083608</v>
      </c>
    </row>
    <row r="13476" spans="2:7" ht="15" hidden="1" outlineLevel="2">
      <c r="B13476" s="2889" t="s">
        <v>1645</v>
      </c>
      <c r="C13476" s="2889" t="s">
        <v>1543</v>
      </c>
      <c r="D13476" s="2889" t="s">
        <v>1106</v>
      </c>
      <c r="E13476" s="2889" t="s">
        <v>1420</v>
      </c>
      <c r="F13476" s="2890">
        <v>2.7847852343186354E-3</v>
      </c>
      <c r="G13476" s="2890">
        <v>27.25698604891722</v>
      </c>
    </row>
    <row r="13477" spans="2:7" ht="15" hidden="1" outlineLevel="2">
      <c r="B13477" s="2889" t="s">
        <v>1645</v>
      </c>
      <c r="C13477" s="2889" t="s">
        <v>1544</v>
      </c>
      <c r="D13477" s="2889" t="s">
        <v>1106</v>
      </c>
      <c r="E13477" s="2889" t="s">
        <v>1420</v>
      </c>
      <c r="F13477" s="2890">
        <v>2.6916525583095237E-3</v>
      </c>
      <c r="G13477" s="2890">
        <v>7.0327739100111133</v>
      </c>
    </row>
    <row r="13478" spans="2:7" ht="15" hidden="1" outlineLevel="2">
      <c r="B13478" s="2889" t="s">
        <v>1645</v>
      </c>
      <c r="C13478" s="2889" t="s">
        <v>1545</v>
      </c>
      <c r="D13478" s="2889" t="s">
        <v>1106</v>
      </c>
      <c r="E13478" s="2889" t="s">
        <v>1420</v>
      </c>
      <c r="F13478" s="2890">
        <v>2.6917663638550385E-3</v>
      </c>
      <c r="G13478" s="2890">
        <v>53.492551777725268</v>
      </c>
    </row>
    <row r="13479" spans="2:7" ht="15" hidden="1" outlineLevel="2">
      <c r="B13479" s="2889" t="s">
        <v>1645</v>
      </c>
      <c r="C13479" s="2889" t="s">
        <v>1546</v>
      </c>
      <c r="D13479" s="2889" t="s">
        <v>1106</v>
      </c>
      <c r="E13479" s="2889" t="s">
        <v>1423</v>
      </c>
      <c r="F13479" s="2890">
        <v>8.1596736414453552</v>
      </c>
      <c r="G13479" s="2890">
        <v>686.68232802853174</v>
      </c>
    </row>
    <row r="13480" spans="2:7" ht="15" hidden="1" outlineLevel="2">
      <c r="B13480" s="2889" t="s">
        <v>1645</v>
      </c>
      <c r="C13480" s="2889" t="s">
        <v>1547</v>
      </c>
      <c r="D13480" s="2889" t="s">
        <v>1106</v>
      </c>
      <c r="E13480" s="2889" t="s">
        <v>1423</v>
      </c>
      <c r="F13480" s="2890">
        <v>8.9124537392952959E-3</v>
      </c>
      <c r="G13480" s="2890">
        <v>0.78044015430036018</v>
      </c>
    </row>
    <row r="13481" spans="2:7" ht="15" hidden="1" outlineLevel="2">
      <c r="B13481" s="2889" t="s">
        <v>1645</v>
      </c>
      <c r="C13481" s="2889" t="s">
        <v>1548</v>
      </c>
      <c r="D13481" s="2889" t="s">
        <v>1106</v>
      </c>
      <c r="E13481" s="2889" t="s">
        <v>1423</v>
      </c>
      <c r="F13481" s="2890">
        <v>4.1585450109260253E-3</v>
      </c>
      <c r="G13481" s="2890">
        <v>0.42620699644563298</v>
      </c>
    </row>
    <row r="13482" spans="2:7" ht="15" hidden="1" outlineLevel="2">
      <c r="B13482" s="2889" t="s">
        <v>1645</v>
      </c>
      <c r="C13482" s="2889" t="s">
        <v>1549</v>
      </c>
      <c r="D13482" s="2889" t="s">
        <v>1106</v>
      </c>
      <c r="E13482" s="2889" t="s">
        <v>1423</v>
      </c>
      <c r="F13482" s="2890">
        <v>5.4271433616563024E-2</v>
      </c>
      <c r="G13482" s="2890">
        <v>5.3443289568528032</v>
      </c>
    </row>
    <row r="13483" spans="2:7" ht="15" hidden="1" outlineLevel="2">
      <c r="B13483" s="2889" t="s">
        <v>1645</v>
      </c>
      <c r="C13483" s="2889" t="s">
        <v>1550</v>
      </c>
      <c r="D13483" s="2889" t="s">
        <v>1106</v>
      </c>
      <c r="E13483" s="2889" t="s">
        <v>1423</v>
      </c>
      <c r="F13483" s="2890">
        <v>1.4161659329402389E-2</v>
      </c>
      <c r="G13483" s="2890">
        <v>3.1846512598461714</v>
      </c>
    </row>
    <row r="13484" spans="2:7" ht="15" hidden="1" outlineLevel="2">
      <c r="B13484" s="2889" t="s">
        <v>1645</v>
      </c>
      <c r="C13484" s="2889" t="s">
        <v>1551</v>
      </c>
      <c r="D13484" s="2889" t="s">
        <v>1106</v>
      </c>
      <c r="E13484" s="2889" t="s">
        <v>1426</v>
      </c>
      <c r="F13484" s="2891"/>
      <c r="G13484" s="2890">
        <v>214.04601545325977</v>
      </c>
    </row>
    <row r="13485" spans="2:7" ht="15" hidden="1" outlineLevel="2">
      <c r="B13485" s="2889" t="s">
        <v>1645</v>
      </c>
      <c r="C13485" s="2889" t="s">
        <v>1552</v>
      </c>
      <c r="D13485" s="2889" t="s">
        <v>1106</v>
      </c>
      <c r="E13485" s="2889" t="s">
        <v>1426</v>
      </c>
      <c r="F13485" s="2891"/>
      <c r="G13485" s="2890">
        <v>3105.9309503026934</v>
      </c>
    </row>
    <row r="13486" spans="2:7" ht="15" hidden="1" outlineLevel="2">
      <c r="B13486" s="2889" t="s">
        <v>1645</v>
      </c>
      <c r="C13486" s="2889" t="s">
        <v>1553</v>
      </c>
      <c r="D13486" s="2889" t="s">
        <v>1106</v>
      </c>
      <c r="E13486" s="2889" t="s">
        <v>1426</v>
      </c>
      <c r="F13486" s="2891"/>
      <c r="G13486" s="2890">
        <v>1355.6365313813378</v>
      </c>
    </row>
    <row r="13487" spans="2:7" ht="15" hidden="1" outlineLevel="2">
      <c r="B13487" s="2889" t="s">
        <v>1645</v>
      </c>
      <c r="C13487" s="2889" t="s">
        <v>1554</v>
      </c>
      <c r="D13487" s="2889" t="s">
        <v>1106</v>
      </c>
      <c r="E13487" s="2889" t="s">
        <v>1426</v>
      </c>
      <c r="F13487" s="2891"/>
      <c r="G13487" s="2890">
        <v>1375.9563533279991</v>
      </c>
    </row>
    <row r="13488" spans="2:7" ht="15" hidden="1" outlineLevel="2">
      <c r="B13488" s="2889" t="s">
        <v>1645</v>
      </c>
      <c r="C13488" s="2889" t="s">
        <v>1555</v>
      </c>
      <c r="D13488" s="2889" t="s">
        <v>1106</v>
      </c>
      <c r="E13488" s="2889" t="s">
        <v>1426</v>
      </c>
      <c r="F13488" s="2891"/>
      <c r="G13488" s="2890">
        <v>52.896664725519564</v>
      </c>
    </row>
    <row r="13489" spans="2:7" ht="15" hidden="1" outlineLevel="2">
      <c r="B13489" s="2889" t="s">
        <v>1645</v>
      </c>
      <c r="C13489" s="2889" t="s">
        <v>1556</v>
      </c>
      <c r="D13489" s="2889" t="s">
        <v>1106</v>
      </c>
      <c r="E13489" s="2889" t="s">
        <v>1426</v>
      </c>
      <c r="F13489" s="2891"/>
      <c r="G13489" s="2890">
        <v>15545.302471621861</v>
      </c>
    </row>
    <row r="13490" spans="2:7" ht="15" hidden="1" outlineLevel="2">
      <c r="B13490" s="2889" t="s">
        <v>1645</v>
      </c>
      <c r="C13490" s="2889" t="s">
        <v>1557</v>
      </c>
      <c r="D13490" s="2889" t="s">
        <v>1106</v>
      </c>
      <c r="E13490" s="2889" t="s">
        <v>1426</v>
      </c>
      <c r="F13490" s="2891"/>
      <c r="G13490" s="2890">
        <v>1955.4222215357438</v>
      </c>
    </row>
    <row r="13491" spans="2:7" ht="15" hidden="1" outlineLevel="2">
      <c r="B13491" s="2889" t="s">
        <v>1645</v>
      </c>
      <c r="C13491" s="2889" t="s">
        <v>1558</v>
      </c>
      <c r="D13491" s="2889" t="s">
        <v>1559</v>
      </c>
      <c r="E13491" s="2889" t="s">
        <v>217</v>
      </c>
      <c r="F13491" s="2890">
        <v>5.6844270044687534E-2</v>
      </c>
      <c r="G13491" s="2890">
        <v>31.130852625913001</v>
      </c>
    </row>
    <row r="13492" spans="2:7" ht="15" hidden="1" outlineLevel="2">
      <c r="B13492" s="2889" t="s">
        <v>1645</v>
      </c>
      <c r="C13492" s="2889" t="s">
        <v>1560</v>
      </c>
      <c r="D13492" s="2889" t="s">
        <v>1559</v>
      </c>
      <c r="E13492" s="2889" t="s">
        <v>217</v>
      </c>
      <c r="F13492" s="2890">
        <v>0.35308885871357498</v>
      </c>
      <c r="G13492" s="2890">
        <v>190.55201093279871</v>
      </c>
    </row>
    <row r="13493" spans="2:7" ht="15" hidden="1" outlineLevel="2">
      <c r="B13493" s="2889" t="s">
        <v>1645</v>
      </c>
      <c r="C13493" s="2889" t="s">
        <v>1561</v>
      </c>
      <c r="D13493" s="2889" t="s">
        <v>1559</v>
      </c>
      <c r="E13493" s="2889" t="s">
        <v>217</v>
      </c>
      <c r="F13493" s="2890">
        <v>0.815592931436667</v>
      </c>
      <c r="G13493" s="2890">
        <v>425.27313916790996</v>
      </c>
    </row>
    <row r="13494" spans="2:7" ht="15" hidden="1" outlineLevel="2">
      <c r="B13494" s="2889" t="s">
        <v>1645</v>
      </c>
      <c r="C13494" s="2889" t="s">
        <v>1562</v>
      </c>
      <c r="D13494" s="2889" t="s">
        <v>1559</v>
      </c>
      <c r="E13494" s="2889" t="s">
        <v>217</v>
      </c>
      <c r="F13494" s="2890">
        <v>3.8675014829247756</v>
      </c>
      <c r="G13494" s="2890">
        <v>2120.64049170611</v>
      </c>
    </row>
    <row r="13495" spans="2:7" ht="15" hidden="1" outlineLevel="2">
      <c r="B13495" s="2889" t="s">
        <v>1645</v>
      </c>
      <c r="C13495" s="2889" t="s">
        <v>1563</v>
      </c>
      <c r="D13495" s="2889" t="s">
        <v>1559</v>
      </c>
      <c r="E13495" s="2889" t="s">
        <v>217</v>
      </c>
      <c r="F13495" s="2890">
        <v>1.0056662383109296</v>
      </c>
      <c r="G13495" s="2890">
        <v>592.63869303085403</v>
      </c>
    </row>
    <row r="13496" spans="2:7" ht="15" hidden="1" outlineLevel="2">
      <c r="B13496" s="2889" t="s">
        <v>1645</v>
      </c>
      <c r="C13496" s="2889" t="s">
        <v>1564</v>
      </c>
      <c r="D13496" s="2889" t="s">
        <v>1559</v>
      </c>
      <c r="E13496" s="2889" t="s">
        <v>217</v>
      </c>
      <c r="F13496" s="2890">
        <v>3.6521520129274716</v>
      </c>
      <c r="G13496" s="2890">
        <v>1849.1615913088087</v>
      </c>
    </row>
    <row r="13497" spans="2:7" ht="15" hidden="1" outlineLevel="2">
      <c r="B13497" s="2889" t="s">
        <v>1645</v>
      </c>
      <c r="C13497" s="2889" t="s">
        <v>1565</v>
      </c>
      <c r="D13497" s="2889" t="s">
        <v>1559</v>
      </c>
      <c r="E13497" s="2889" t="s">
        <v>217</v>
      </c>
      <c r="F13497" s="2890">
        <v>0.70885670416222013</v>
      </c>
      <c r="G13497" s="2890">
        <v>381.42120793259079</v>
      </c>
    </row>
    <row r="13498" spans="2:7" ht="15" hidden="1" outlineLevel="2">
      <c r="B13498" s="2889" t="s">
        <v>1645</v>
      </c>
      <c r="C13498" s="2889" t="s">
        <v>1566</v>
      </c>
      <c r="D13498" s="2889" t="s">
        <v>1559</v>
      </c>
      <c r="E13498" s="2889" t="s">
        <v>217</v>
      </c>
      <c r="F13498" s="2890">
        <v>3.2234286115465851</v>
      </c>
      <c r="G13498" s="2890">
        <v>1726.6762498268934</v>
      </c>
    </row>
    <row r="13499" spans="2:7" ht="15" hidden="1" outlineLevel="2">
      <c r="B13499" s="2889" t="s">
        <v>1645</v>
      </c>
      <c r="C13499" s="2889" t="s">
        <v>1567</v>
      </c>
      <c r="D13499" s="2889" t="s">
        <v>1559</v>
      </c>
      <c r="E13499" s="2889" t="s">
        <v>217</v>
      </c>
      <c r="F13499" s="2890">
        <v>1.2332944002917117</v>
      </c>
      <c r="G13499" s="2890">
        <v>181.53453181719902</v>
      </c>
    </row>
    <row r="13500" spans="2:7" ht="15" hidden="1" outlineLevel="2">
      <c r="B13500" s="2889" t="s">
        <v>1645</v>
      </c>
      <c r="C13500" s="2889" t="s">
        <v>1568</v>
      </c>
      <c r="D13500" s="2889" t="s">
        <v>1559</v>
      </c>
      <c r="E13500" s="2889" t="s">
        <v>217</v>
      </c>
      <c r="F13500" s="2890">
        <v>3.7484435343477323</v>
      </c>
      <c r="G13500" s="2890">
        <v>551.75671355046006</v>
      </c>
    </row>
    <row r="13501" spans="2:7" ht="15" hidden="1" outlineLevel="2">
      <c r="B13501" s="2889" t="s">
        <v>1645</v>
      </c>
      <c r="C13501" s="2889" t="s">
        <v>1569</v>
      </c>
      <c r="D13501" s="2889" t="s">
        <v>1559</v>
      </c>
      <c r="E13501" s="2889" t="s">
        <v>217</v>
      </c>
      <c r="F13501" s="2890">
        <v>1.5791665061667718E-3</v>
      </c>
      <c r="G13501" s="2890">
        <v>0.78923764756665715</v>
      </c>
    </row>
    <row r="13502" spans="2:7" ht="15" hidden="1" outlineLevel="2">
      <c r="B13502" s="2889" t="s">
        <v>1645</v>
      </c>
      <c r="C13502" s="2889" t="s">
        <v>1570</v>
      </c>
      <c r="D13502" s="2889" t="s">
        <v>1559</v>
      </c>
      <c r="E13502" s="2889" t="s">
        <v>217</v>
      </c>
      <c r="F13502" s="2890">
        <v>8.5562796408432629</v>
      </c>
      <c r="G13502" s="2890">
        <v>5312.9472412177165</v>
      </c>
    </row>
    <row r="13503" spans="2:7" ht="15" hidden="1" outlineLevel="2">
      <c r="B13503" s="2889" t="s">
        <v>1645</v>
      </c>
      <c r="C13503" s="2889" t="s">
        <v>1571</v>
      </c>
      <c r="D13503" s="2889" t="s">
        <v>1559</v>
      </c>
      <c r="E13503" s="2889" t="s">
        <v>217</v>
      </c>
      <c r="F13503" s="2890">
        <v>4.5187012086987339</v>
      </c>
      <c r="G13503" s="2890">
        <v>5390.2768245761563</v>
      </c>
    </row>
    <row r="13504" spans="2:7" ht="15" hidden="1" outlineLevel="2">
      <c r="B13504" s="2889" t="s">
        <v>1645</v>
      </c>
      <c r="C13504" s="2889" t="s">
        <v>1572</v>
      </c>
      <c r="D13504" s="2889" t="s">
        <v>1559</v>
      </c>
      <c r="E13504" s="2889" t="s">
        <v>217</v>
      </c>
      <c r="F13504" s="2890">
        <v>0.72330730688715095</v>
      </c>
      <c r="G13504" s="2890">
        <v>445.49774777083979</v>
      </c>
    </row>
    <row r="13505" spans="2:7" ht="15" hidden="1" outlineLevel="2">
      <c r="B13505" s="2889" t="s">
        <v>1645</v>
      </c>
      <c r="C13505" s="2889" t="s">
        <v>1573</v>
      </c>
      <c r="D13505" s="2889" t="s">
        <v>1559</v>
      </c>
      <c r="E13505" s="2889" t="s">
        <v>217</v>
      </c>
      <c r="F13505" s="2890">
        <v>3.6627030226113635</v>
      </c>
      <c r="G13505" s="2890">
        <v>2743.6994991906613</v>
      </c>
    </row>
    <row r="13506" spans="2:7" ht="15" hidden="1" outlineLevel="2">
      <c r="B13506" s="2889" t="s">
        <v>1645</v>
      </c>
      <c r="C13506" s="2889" t="s">
        <v>1574</v>
      </c>
      <c r="D13506" s="2889" t="s">
        <v>1559</v>
      </c>
      <c r="E13506" s="2889" t="s">
        <v>217</v>
      </c>
      <c r="F13506" s="2890">
        <v>3.920421132097348E-2</v>
      </c>
      <c r="G13506" s="2890">
        <v>29.577094794905726</v>
      </c>
    </row>
    <row r="13507" spans="2:7" ht="15" hidden="1" outlineLevel="2">
      <c r="B13507" s="2889" t="s">
        <v>1645</v>
      </c>
      <c r="C13507" s="2889" t="s">
        <v>1575</v>
      </c>
      <c r="D13507" s="2889" t="s">
        <v>1559</v>
      </c>
      <c r="E13507" s="2889" t="s">
        <v>217</v>
      </c>
      <c r="F13507" s="2890">
        <v>0.10041574967168394</v>
      </c>
      <c r="G13507" s="2890">
        <v>124.86514184879769</v>
      </c>
    </row>
    <row r="13508" spans="2:7" ht="15" hidden="1" outlineLevel="2">
      <c r="B13508" s="2889" t="s">
        <v>1645</v>
      </c>
      <c r="C13508" s="2889" t="s">
        <v>1576</v>
      </c>
      <c r="D13508" s="2889" t="s">
        <v>1559</v>
      </c>
      <c r="E13508" s="2889" t="s">
        <v>217</v>
      </c>
      <c r="F13508" s="2890">
        <v>7.4615803472281333E-2</v>
      </c>
      <c r="G13508" s="2890">
        <v>56.427838455203428</v>
      </c>
    </row>
    <row r="13509" spans="2:7" ht="15" hidden="1" outlineLevel="2">
      <c r="B13509" s="2889" t="s">
        <v>1645</v>
      </c>
      <c r="C13509" s="2889" t="s">
        <v>1577</v>
      </c>
      <c r="D13509" s="2889" t="s">
        <v>1559</v>
      </c>
      <c r="E13509" s="2889" t="s">
        <v>217</v>
      </c>
      <c r="F13509" s="2890">
        <v>3.296706948415201</v>
      </c>
      <c r="G13509" s="2890">
        <v>5151.3258413413114</v>
      </c>
    </row>
    <row r="13510" spans="2:7" ht="15" hidden="1" outlineLevel="2">
      <c r="B13510" s="2889" t="s">
        <v>1645</v>
      </c>
      <c r="C13510" s="2889" t="s">
        <v>1578</v>
      </c>
      <c r="D13510" s="2889" t="s">
        <v>1559</v>
      </c>
      <c r="E13510" s="2889" t="s">
        <v>217</v>
      </c>
      <c r="F13510" s="2890">
        <v>1.0673596003268115</v>
      </c>
      <c r="G13510" s="2890">
        <v>586.50965129724523</v>
      </c>
    </row>
    <row r="13511" spans="2:7" ht="15" hidden="1" outlineLevel="2">
      <c r="B13511" s="2889" t="s">
        <v>1645</v>
      </c>
      <c r="C13511" s="2889" t="s">
        <v>1579</v>
      </c>
      <c r="D13511" s="2889" t="s">
        <v>1559</v>
      </c>
      <c r="E13511" s="2889" t="s">
        <v>217</v>
      </c>
      <c r="F13511" s="2890">
        <v>3.2446194431459134</v>
      </c>
      <c r="G13511" s="2890">
        <v>1782.64103600308</v>
      </c>
    </row>
    <row r="13512" spans="2:7" ht="15" hidden="1" outlineLevel="2">
      <c r="B13512" s="2889" t="s">
        <v>1645</v>
      </c>
      <c r="C13512" s="2889" t="s">
        <v>1580</v>
      </c>
      <c r="D13512" s="2889" t="s">
        <v>1559</v>
      </c>
      <c r="E13512" s="2889" t="s">
        <v>217</v>
      </c>
      <c r="F13512" s="2890">
        <v>0.84163135812168632</v>
      </c>
      <c r="G13512" s="2890">
        <v>1066.0232742313394</v>
      </c>
    </row>
    <row r="13513" spans="2:7" ht="15" hidden="1" outlineLevel="2">
      <c r="B13513" s="2889" t="s">
        <v>1645</v>
      </c>
      <c r="C13513" s="2889" t="s">
        <v>1581</v>
      </c>
      <c r="D13513" s="2889" t="s">
        <v>1559</v>
      </c>
      <c r="E13513" s="2889" t="s">
        <v>217</v>
      </c>
      <c r="F13513" s="2890">
        <v>0.42104648856707638</v>
      </c>
      <c r="G13513" s="2890">
        <v>595.14775520075432</v>
      </c>
    </row>
    <row r="13514" spans="2:7" ht="15" hidden="1" outlineLevel="2">
      <c r="B13514" s="2889" t="s">
        <v>1645</v>
      </c>
      <c r="C13514" s="2889" t="s">
        <v>1582</v>
      </c>
      <c r="D13514" s="2889" t="s">
        <v>1559</v>
      </c>
      <c r="E13514" s="2889" t="s">
        <v>217</v>
      </c>
      <c r="F13514" s="2890">
        <v>0.59345782994561258</v>
      </c>
      <c r="G13514" s="2890">
        <v>677.40075170310331</v>
      </c>
    </row>
    <row r="13515" spans="2:7" ht="15" hidden="1" outlineLevel="2">
      <c r="B13515" s="2889" t="s">
        <v>1645</v>
      </c>
      <c r="C13515" s="2889" t="s">
        <v>1583</v>
      </c>
      <c r="D13515" s="2889" t="s">
        <v>1559</v>
      </c>
      <c r="E13515" s="2889" t="s">
        <v>217</v>
      </c>
      <c r="F13515" s="2890">
        <v>0.45735214180069833</v>
      </c>
      <c r="G13515" s="2890">
        <v>315.44206036977732</v>
      </c>
    </row>
    <row r="13516" spans="2:7" ht="15" hidden="1" outlineLevel="2">
      <c r="B13516" s="2889" t="s">
        <v>1645</v>
      </c>
      <c r="C13516" s="2889" t="s">
        <v>1584</v>
      </c>
      <c r="D13516" s="2889" t="s">
        <v>1559</v>
      </c>
      <c r="E13516" s="2889" t="s">
        <v>217</v>
      </c>
      <c r="F13516" s="2890">
        <v>11.25426698434277</v>
      </c>
      <c r="G13516" s="2890">
        <v>14289.30448952854</v>
      </c>
    </row>
    <row r="13517" spans="2:7" ht="15" hidden="1" outlineLevel="2">
      <c r="B13517" s="2889" t="s">
        <v>1645</v>
      </c>
      <c r="C13517" s="2889" t="s">
        <v>1585</v>
      </c>
      <c r="D13517" s="2889" t="s">
        <v>1559</v>
      </c>
      <c r="E13517" s="2889" t="s">
        <v>217</v>
      </c>
      <c r="F13517" s="2890">
        <v>5.7210165253943561</v>
      </c>
      <c r="G13517" s="2890">
        <v>8088.3208295379363</v>
      </c>
    </row>
    <row r="13518" spans="2:7" ht="15" hidden="1" outlineLevel="2">
      <c r="B13518" s="2889" t="s">
        <v>1645</v>
      </c>
      <c r="C13518" s="2889" t="s">
        <v>1586</v>
      </c>
      <c r="D13518" s="2889" t="s">
        <v>1559</v>
      </c>
      <c r="E13518" s="2889" t="s">
        <v>217</v>
      </c>
      <c r="F13518" s="2890">
        <v>0.64409537570168574</v>
      </c>
      <c r="G13518" s="2890">
        <v>1354.1535765046028</v>
      </c>
    </row>
    <row r="13519" spans="2:7" ht="15" hidden="1" outlineLevel="2">
      <c r="B13519" s="2889" t="s">
        <v>1645</v>
      </c>
      <c r="C13519" s="2889" t="s">
        <v>1587</v>
      </c>
      <c r="D13519" s="2889" t="s">
        <v>1559</v>
      </c>
      <c r="E13519" s="2889" t="s">
        <v>217</v>
      </c>
      <c r="F13519" s="2890">
        <v>17.916751636228618</v>
      </c>
      <c r="G13519" s="2890">
        <v>26093.420432488885</v>
      </c>
    </row>
    <row r="13520" spans="2:7" ht="15" hidden="1" outlineLevel="2">
      <c r="B13520" s="2889" t="s">
        <v>1645</v>
      </c>
      <c r="C13520" s="2889" t="s">
        <v>1588</v>
      </c>
      <c r="D13520" s="2889" t="s">
        <v>1559</v>
      </c>
      <c r="E13520" s="2889" t="s">
        <v>217</v>
      </c>
      <c r="F13520" s="2890">
        <v>0.64724806274674718</v>
      </c>
      <c r="G13520" s="2890">
        <v>506.1451253619644</v>
      </c>
    </row>
    <row r="13521" spans="2:7" ht="15" hidden="1" outlineLevel="2">
      <c r="B13521" s="2889" t="s">
        <v>1645</v>
      </c>
      <c r="C13521" s="2889" t="s">
        <v>1589</v>
      </c>
      <c r="D13521" s="2889" t="s">
        <v>1559</v>
      </c>
      <c r="E13521" s="2889" t="s">
        <v>217</v>
      </c>
      <c r="F13521" s="2890">
        <v>1.0203209726209621</v>
      </c>
      <c r="G13521" s="2890">
        <v>799.49231157691975</v>
      </c>
    </row>
    <row r="13522" spans="2:7" ht="15" hidden="1" outlineLevel="2">
      <c r="B13522" s="2889" t="s">
        <v>1645</v>
      </c>
      <c r="C13522" s="2889" t="s">
        <v>1590</v>
      </c>
      <c r="D13522" s="2889" t="s">
        <v>1559</v>
      </c>
      <c r="E13522" s="2889" t="s">
        <v>1420</v>
      </c>
      <c r="F13522" s="2890">
        <v>5.0358208299942739E-2</v>
      </c>
      <c r="G13522" s="2890">
        <v>449.21642301512151</v>
      </c>
    </row>
    <row r="13523" spans="2:7" ht="15" hidden="1" outlineLevel="2">
      <c r="B13523" s="2889" t="s">
        <v>1645</v>
      </c>
      <c r="C13523" s="2889" t="s">
        <v>1591</v>
      </c>
      <c r="D13523" s="2889" t="s">
        <v>1559</v>
      </c>
      <c r="E13523" s="2889" t="s">
        <v>1426</v>
      </c>
      <c r="F13523" s="2891"/>
      <c r="G13523" s="2890">
        <v>0.69829299392000821</v>
      </c>
    </row>
    <row r="13524" spans="2:7" ht="15" hidden="1" outlineLevel="2">
      <c r="B13524" s="2889" t="s">
        <v>1645</v>
      </c>
      <c r="C13524" s="2889" t="s">
        <v>1592</v>
      </c>
      <c r="D13524" s="2889" t="s">
        <v>1559</v>
      </c>
      <c r="E13524" s="2889" t="s">
        <v>1426</v>
      </c>
      <c r="F13524" s="2891"/>
      <c r="G13524" s="2890">
        <v>186.61316161515191</v>
      </c>
    </row>
    <row r="13525" spans="2:7" ht="15" hidden="1" outlineLevel="2">
      <c r="B13525" s="2889" t="s">
        <v>1645</v>
      </c>
      <c r="C13525" s="2889" t="s">
        <v>1593</v>
      </c>
      <c r="D13525" s="2889" t="s">
        <v>1559</v>
      </c>
      <c r="E13525" s="2889" t="s">
        <v>1426</v>
      </c>
      <c r="F13525" s="2891"/>
      <c r="G13525" s="2890">
        <v>4883.0292888303475</v>
      </c>
    </row>
    <row r="13526" spans="2:7" ht="15" hidden="1" outlineLevel="2">
      <c r="B13526" s="2889" t="s">
        <v>1645</v>
      </c>
      <c r="C13526" s="2889" t="s">
        <v>1594</v>
      </c>
      <c r="D13526" s="2889" t="s">
        <v>1559</v>
      </c>
      <c r="E13526" s="2889" t="s">
        <v>1426</v>
      </c>
      <c r="F13526" s="2891"/>
      <c r="G13526" s="2890">
        <v>1007.6922529913478</v>
      </c>
    </row>
    <row r="13527" spans="2:7" ht="15" hidden="1" outlineLevel="2">
      <c r="B13527" s="2889" t="s">
        <v>1645</v>
      </c>
      <c r="C13527" s="2889" t="s">
        <v>1595</v>
      </c>
      <c r="D13527" s="2889" t="s">
        <v>1559</v>
      </c>
      <c r="E13527" s="2889" t="s">
        <v>1426</v>
      </c>
      <c r="F13527" s="2891"/>
      <c r="G13527" s="2890">
        <v>6648.1161081175915</v>
      </c>
    </row>
    <row r="13528" spans="2:7" ht="15" hidden="1" outlineLevel="2">
      <c r="B13528" s="2889" t="s">
        <v>1645</v>
      </c>
      <c r="C13528" s="2889" t="s">
        <v>1596</v>
      </c>
      <c r="D13528" s="2889" t="s">
        <v>1559</v>
      </c>
      <c r="E13528" s="2889" t="s">
        <v>1426</v>
      </c>
      <c r="F13528" s="2891"/>
      <c r="G13528" s="2890">
        <v>783.87033198002428</v>
      </c>
    </row>
    <row r="13529" spans="2:7" ht="15" hidden="1" outlineLevel="2">
      <c r="B13529" s="2889" t="s">
        <v>1645</v>
      </c>
      <c r="C13529" s="2889" t="s">
        <v>1597</v>
      </c>
      <c r="D13529" s="2889" t="s">
        <v>1559</v>
      </c>
      <c r="E13529" s="2889" t="s">
        <v>1426</v>
      </c>
      <c r="F13529" s="2891"/>
      <c r="G13529" s="2890">
        <v>18.672277556558132</v>
      </c>
    </row>
    <row r="13530" spans="2:7" ht="15" hidden="1" outlineLevel="2">
      <c r="B13530" s="2889" t="s">
        <v>1645</v>
      </c>
      <c r="C13530" s="2889" t="s">
        <v>1598</v>
      </c>
      <c r="D13530" s="2889" t="s">
        <v>1599</v>
      </c>
      <c r="E13530" s="2889" t="s">
        <v>217</v>
      </c>
      <c r="F13530" s="2890">
        <v>2.3196895746819345E-2</v>
      </c>
      <c r="G13530" s="2890">
        <v>13.414724784136812</v>
      </c>
    </row>
    <row r="13531" spans="2:7" ht="15" hidden="1" outlineLevel="2">
      <c r="B13531" s="2889" t="s">
        <v>1645</v>
      </c>
      <c r="C13531" s="2889" t="s">
        <v>1600</v>
      </c>
      <c r="D13531" s="2889" t="s">
        <v>1599</v>
      </c>
      <c r="E13531" s="2889" t="s">
        <v>217</v>
      </c>
      <c r="F13531" s="2890">
        <v>2.714881356159362E-2</v>
      </c>
      <c r="G13531" s="2890">
        <v>30.205350399230664</v>
      </c>
    </row>
    <row r="13532" spans="2:7" ht="15" hidden="1" outlineLevel="2">
      <c r="B13532" s="2889" t="s">
        <v>1645</v>
      </c>
      <c r="C13532" s="2889" t="s">
        <v>1601</v>
      </c>
      <c r="D13532" s="2889" t="s">
        <v>1599</v>
      </c>
      <c r="E13532" s="2889" t="s">
        <v>217</v>
      </c>
      <c r="F13532" s="2890">
        <v>2.7847994546511547E-4</v>
      </c>
      <c r="G13532" s="2890">
        <v>0.35484456008728227</v>
      </c>
    </row>
    <row r="13533" spans="2:7" ht="15" hidden="1" outlineLevel="2">
      <c r="B13533" s="2889" t="s">
        <v>1645</v>
      </c>
      <c r="C13533" s="2889" t="s">
        <v>1602</v>
      </c>
      <c r="D13533" s="2889" t="s">
        <v>1599</v>
      </c>
      <c r="E13533" s="2889" t="s">
        <v>1426</v>
      </c>
      <c r="F13533" s="2891"/>
      <c r="G13533" s="2890">
        <v>401.97059524972798</v>
      </c>
    </row>
    <row r="13534" spans="2:7" ht="15" hidden="1" outlineLevel="2">
      <c r="B13534" s="2889" t="s">
        <v>1645</v>
      </c>
      <c r="C13534" s="2889" t="s">
        <v>1603</v>
      </c>
      <c r="D13534" s="2889" t="s">
        <v>1604</v>
      </c>
      <c r="E13534" s="2889" t="s">
        <v>217</v>
      </c>
      <c r="F13534" s="2890">
        <v>2.1844146577000001E-33</v>
      </c>
      <c r="G13534" s="2890">
        <v>2.6641730390000002E-30</v>
      </c>
    </row>
    <row r="13535" spans="2:7" ht="15" hidden="1" outlineLevel="2">
      <c r="B13535" s="2889" t="s">
        <v>1645</v>
      </c>
      <c r="C13535" s="2889" t="s">
        <v>1605</v>
      </c>
      <c r="D13535" s="2889" t="s">
        <v>1604</v>
      </c>
      <c r="E13535" s="2889" t="s">
        <v>1423</v>
      </c>
      <c r="F13535" s="2890">
        <v>3.1359396728E-33</v>
      </c>
      <c r="G13535" s="2890">
        <v>7.3524077000000003E-31</v>
      </c>
    </row>
    <row r="13536" spans="2:7" ht="15" hidden="1" outlineLevel="2">
      <c r="B13536" s="2889" t="s">
        <v>1645</v>
      </c>
      <c r="C13536" s="2889" t="s">
        <v>1606</v>
      </c>
      <c r="D13536" s="2889" t="s">
        <v>1604</v>
      </c>
      <c r="E13536" s="2889" t="s">
        <v>1426</v>
      </c>
      <c r="F13536" s="2891"/>
      <c r="G13536" s="2890">
        <v>7.9710240719999993E-32</v>
      </c>
    </row>
    <row r="13537" spans="2:7" ht="15" hidden="1" outlineLevel="2">
      <c r="B13537" s="2889" t="s">
        <v>1645</v>
      </c>
      <c r="C13537" s="2889" t="s">
        <v>1607</v>
      </c>
      <c r="D13537" s="2889" t="s">
        <v>1608</v>
      </c>
      <c r="E13537" s="2889" t="s">
        <v>217</v>
      </c>
      <c r="F13537" s="2890">
        <v>2.4913268220116276</v>
      </c>
      <c r="G13537" s="2890">
        <v>2046.8345687168089</v>
      </c>
    </row>
    <row r="13538" spans="2:7" ht="15" hidden="1" outlineLevel="2">
      <c r="B13538" s="2889" t="s">
        <v>1645</v>
      </c>
      <c r="C13538" s="2889" t="s">
        <v>1609</v>
      </c>
      <c r="D13538" s="2889" t="s">
        <v>1608</v>
      </c>
      <c r="E13538" s="2889" t="s">
        <v>217</v>
      </c>
      <c r="F13538" s="2890">
        <v>1.0848401219767652</v>
      </c>
      <c r="G13538" s="2890">
        <v>863.75867379838689</v>
      </c>
    </row>
    <row r="13539" spans="2:7" ht="15" hidden="1" outlineLevel="2">
      <c r="B13539" s="2889" t="s">
        <v>1645</v>
      </c>
      <c r="C13539" s="2889" t="s">
        <v>1610</v>
      </c>
      <c r="D13539" s="2889" t="s">
        <v>1608</v>
      </c>
      <c r="E13539" s="2889" t="s">
        <v>217</v>
      </c>
      <c r="F13539" s="2890">
        <v>0.41439380982024698</v>
      </c>
      <c r="G13539" s="2890">
        <v>644.72865848592994</v>
      </c>
    </row>
    <row r="13540" spans="2:7" ht="15" hidden="1" outlineLevel="2">
      <c r="B13540" s="2889" t="s">
        <v>1645</v>
      </c>
      <c r="C13540" s="2889" t="s">
        <v>1611</v>
      </c>
      <c r="D13540" s="2889" t="s">
        <v>1608</v>
      </c>
      <c r="E13540" s="2889" t="s">
        <v>1612</v>
      </c>
      <c r="F13540" s="2891"/>
      <c r="G13540" s="2890">
        <v>574.04376572272133</v>
      </c>
    </row>
    <row r="13541" spans="2:7" ht="15" hidden="1" outlineLevel="2">
      <c r="B13541" s="2889" t="s">
        <v>1645</v>
      </c>
      <c r="C13541" s="2889" t="s">
        <v>1613</v>
      </c>
      <c r="D13541" s="2889" t="s">
        <v>1608</v>
      </c>
      <c r="E13541" s="2889" t="s">
        <v>1612</v>
      </c>
      <c r="F13541" s="2891"/>
      <c r="G13541" s="2890">
        <v>4.7934830138798947</v>
      </c>
    </row>
    <row r="13542" spans="2:7" ht="15" hidden="1" outlineLevel="2">
      <c r="B13542" s="2889" t="s">
        <v>1645</v>
      </c>
      <c r="C13542" s="2889" t="s">
        <v>1614</v>
      </c>
      <c r="D13542" s="2889" t="s">
        <v>1615</v>
      </c>
      <c r="E13542" s="2889" t="s">
        <v>1426</v>
      </c>
      <c r="F13542" s="2891"/>
      <c r="G13542" s="2890">
        <v>154.76207798803901</v>
      </c>
    </row>
    <row r="13543" spans="2:7" ht="15" hidden="1" outlineLevel="2">
      <c r="B13543" s="2889" t="s">
        <v>1645</v>
      </c>
      <c r="C13543" s="2889" t="s">
        <v>1616</v>
      </c>
      <c r="D13543" s="2889" t="s">
        <v>1615</v>
      </c>
      <c r="E13543" s="2889" t="s">
        <v>217</v>
      </c>
      <c r="F13543" s="2890">
        <v>4.8833825772056014E-3</v>
      </c>
      <c r="G13543" s="2890">
        <v>6.628275164213294</v>
      </c>
    </row>
    <row r="13544" spans="2:7" ht="15" hidden="1" outlineLevel="2">
      <c r="B13544" s="2889" t="s">
        <v>1645</v>
      </c>
      <c r="C13544" s="2889" t="s">
        <v>1617</v>
      </c>
      <c r="D13544" s="2889" t="s">
        <v>1615</v>
      </c>
      <c r="E13544" s="2889" t="s">
        <v>1420</v>
      </c>
      <c r="F13544" s="2890">
        <v>7.7926602703024382E-5</v>
      </c>
      <c r="G13544" s="2890">
        <v>0.22556683544568845</v>
      </c>
    </row>
    <row r="13545" spans="2:7" ht="15" hidden="1" outlineLevel="2">
      <c r="B13545" s="2889" t="s">
        <v>1645</v>
      </c>
      <c r="C13545" s="2889" t="s">
        <v>1618</v>
      </c>
      <c r="D13545" s="2889" t="s">
        <v>1619</v>
      </c>
      <c r="E13545" s="2889" t="s">
        <v>217</v>
      </c>
      <c r="F13545" s="2890">
        <v>1.4115162663082719</v>
      </c>
      <c r="G13545" s="2890">
        <v>357.83638726176002</v>
      </c>
    </row>
    <row r="13546" spans="2:7" ht="15" hidden="1" outlineLevel="2">
      <c r="B13546" s="2889" t="s">
        <v>1645</v>
      </c>
      <c r="C13546" s="2889" t="s">
        <v>1620</v>
      </c>
      <c r="D13546" s="2889" t="s">
        <v>1619</v>
      </c>
      <c r="E13546" s="2889" t="s">
        <v>217</v>
      </c>
      <c r="F13546" s="2890">
        <v>1.2211720872999998E-33</v>
      </c>
      <c r="G13546" s="2890">
        <v>1.4909845060000002E-30</v>
      </c>
    </row>
    <row r="13547" spans="2:7" ht="15" hidden="1" outlineLevel="2">
      <c r="B13547" s="2889" t="s">
        <v>1645</v>
      </c>
      <c r="C13547" s="2889" t="s">
        <v>1621</v>
      </c>
      <c r="D13547" s="2889" t="s">
        <v>1619</v>
      </c>
      <c r="E13547" s="2889" t="s">
        <v>217</v>
      </c>
      <c r="F13547" s="2890">
        <v>1.5119219198637137</v>
      </c>
      <c r="G13547" s="2890">
        <v>413.18481786782138</v>
      </c>
    </row>
    <row r="13548" spans="2:7" ht="15" hidden="1" outlineLevel="2">
      <c r="B13548" s="2889" t="s">
        <v>1645</v>
      </c>
      <c r="C13548" s="2889" t="s">
        <v>1622</v>
      </c>
      <c r="D13548" s="2889" t="s">
        <v>1619</v>
      </c>
      <c r="E13548" s="2889" t="s">
        <v>217</v>
      </c>
      <c r="F13548" s="2890">
        <v>9.681632042604961E-2</v>
      </c>
      <c r="G13548" s="2890">
        <v>106.22956157090668</v>
      </c>
    </row>
    <row r="13549" spans="2:7" ht="15" hidden="1" outlineLevel="2">
      <c r="B13549" s="2889" t="s">
        <v>1645</v>
      </c>
      <c r="C13549" s="2889" t="s">
        <v>1623</v>
      </c>
      <c r="D13549" s="2889" t="s">
        <v>1619</v>
      </c>
      <c r="E13549" s="2889" t="s">
        <v>217</v>
      </c>
      <c r="F13549" s="2890">
        <v>0.24859778284179687</v>
      </c>
      <c r="G13549" s="2890">
        <v>172.91043027123987</v>
      </c>
    </row>
    <row r="13550" spans="2:7" ht="15" hidden="1" outlineLevel="2">
      <c r="B13550" s="2889" t="s">
        <v>1645</v>
      </c>
      <c r="C13550" s="2889" t="s">
        <v>1624</v>
      </c>
      <c r="D13550" s="2889" t="s">
        <v>1619</v>
      </c>
      <c r="E13550" s="2889" t="s">
        <v>217</v>
      </c>
      <c r="F13550" s="2890">
        <v>2.15244889587568</v>
      </c>
      <c r="G13550" s="2890">
        <v>1843.0009775508097</v>
      </c>
    </row>
    <row r="13551" spans="2:7" ht="15" hidden="1" outlineLevel="2">
      <c r="B13551" s="2889" t="s">
        <v>1645</v>
      </c>
      <c r="C13551" s="2889" t="s">
        <v>1625</v>
      </c>
      <c r="D13551" s="2889" t="s">
        <v>1619</v>
      </c>
      <c r="E13551" s="2889" t="s">
        <v>217</v>
      </c>
      <c r="F13551" s="2890">
        <v>0.6644813452097541</v>
      </c>
      <c r="G13551" s="2890">
        <v>863.30920182332113</v>
      </c>
    </row>
    <row r="13552" spans="2:7" ht="15" hidden="1" outlineLevel="2">
      <c r="B13552" s="2889" t="s">
        <v>1645</v>
      </c>
      <c r="C13552" s="2889" t="s">
        <v>1626</v>
      </c>
      <c r="D13552" s="2889" t="s">
        <v>1619</v>
      </c>
      <c r="E13552" s="2889" t="s">
        <v>217</v>
      </c>
      <c r="F13552" s="2890">
        <v>0.13144255639584618</v>
      </c>
      <c r="G13552" s="2890">
        <v>103.65559872787497</v>
      </c>
    </row>
    <row r="13553" spans="2:7" ht="15" hidden="1" outlineLevel="2">
      <c r="B13553" s="2889" t="s">
        <v>1645</v>
      </c>
      <c r="C13553" s="2889" t="s">
        <v>1627</v>
      </c>
      <c r="D13553" s="2889" t="s">
        <v>1619</v>
      </c>
      <c r="E13553" s="2889" t="s">
        <v>1420</v>
      </c>
      <c r="F13553" s="2890">
        <v>4.2912131951980698E-3</v>
      </c>
      <c r="G13553" s="2890">
        <v>7.169238569826927</v>
      </c>
    </row>
    <row r="13554" spans="2:7" ht="15" hidden="1" outlineLevel="2">
      <c r="B13554" s="2889" t="s">
        <v>1645</v>
      </c>
      <c r="C13554" s="2889" t="s">
        <v>1628</v>
      </c>
      <c r="D13554" s="2889" t="s">
        <v>1619</v>
      </c>
      <c r="E13554" s="2889" t="s">
        <v>1426</v>
      </c>
      <c r="F13554" s="2891"/>
      <c r="G13554" s="2890">
        <v>142.09373670146664</v>
      </c>
    </row>
    <row r="13555" spans="2:7" ht="15" hidden="1" outlineLevel="2">
      <c r="B13555" s="2889" t="s">
        <v>1645</v>
      </c>
      <c r="C13555" s="2889" t="s">
        <v>1629</v>
      </c>
      <c r="D13555" s="2889" t="s">
        <v>1630</v>
      </c>
      <c r="E13555" s="2889" t="s">
        <v>1426</v>
      </c>
      <c r="F13555" s="2891"/>
      <c r="G13555" s="2890">
        <v>1.6411632203999995E-29</v>
      </c>
    </row>
    <row r="13556" spans="2:7" ht="15" outlineLevel="1" collapsed="1">
      <c r="B13556" s="3042" t="s">
        <v>1715</v>
      </c>
      <c r="C13556" s="2889"/>
      <c r="D13556" s="2889"/>
      <c r="E13556" s="2889"/>
      <c r="F13556" s="2891">
        <f>SUBTOTAL(9,F13345:F13555)</f>
        <v>132.45307640567697</v>
      </c>
      <c r="G13556" s="2890">
        <f>SUBTOTAL(9,G13345:G13555)</f>
        <v>402626.14877285913</v>
      </c>
    </row>
    <row r="13557" spans="2:7" ht="15" hidden="1" outlineLevel="2">
      <c r="B13557" s="2889" t="s">
        <v>1646</v>
      </c>
      <c r="C13557" s="2889" t="s">
        <v>1408</v>
      </c>
      <c r="D13557" s="2889" t="s">
        <v>197</v>
      </c>
      <c r="E13557" s="2889" t="s">
        <v>217</v>
      </c>
      <c r="F13557" s="2890">
        <v>3.8563973149799051E-3</v>
      </c>
      <c r="G13557" s="2890">
        <v>2.3518767540235155</v>
      </c>
    </row>
    <row r="13558" spans="2:7" ht="15" hidden="1" outlineLevel="2">
      <c r="B13558" s="2889" t="s">
        <v>1646</v>
      </c>
      <c r="C13558" s="2889" t="s">
        <v>1409</v>
      </c>
      <c r="D13558" s="2889" t="s">
        <v>197</v>
      </c>
      <c r="E13558" s="2889" t="s">
        <v>217</v>
      </c>
      <c r="F13558" s="2890">
        <v>4.0608758011232045E-3</v>
      </c>
      <c r="G13558" s="2890">
        <v>5.7053192347224719</v>
      </c>
    </row>
    <row r="13559" spans="2:7" ht="15" hidden="1" outlineLevel="2">
      <c r="B13559" s="2889" t="s">
        <v>1646</v>
      </c>
      <c r="C13559" s="2889" t="s">
        <v>1410</v>
      </c>
      <c r="D13559" s="2889" t="s">
        <v>197</v>
      </c>
      <c r="E13559" s="2889" t="s">
        <v>217</v>
      </c>
      <c r="F13559" s="2890">
        <v>6.4873532194281444E-3</v>
      </c>
      <c r="G13559" s="2890">
        <v>22.199075422477559</v>
      </c>
    </row>
    <row r="13560" spans="2:7" ht="15" hidden="1" outlineLevel="2">
      <c r="B13560" s="2889" t="s">
        <v>1646</v>
      </c>
      <c r="C13560" s="2889" t="s">
        <v>1411</v>
      </c>
      <c r="D13560" s="2889" t="s">
        <v>197</v>
      </c>
      <c r="E13560" s="2889" t="s">
        <v>217</v>
      </c>
      <c r="F13560" s="2890">
        <v>1.0657599152028385E-4</v>
      </c>
      <c r="G13560" s="2890">
        <v>0.13982249711693656</v>
      </c>
    </row>
    <row r="13561" spans="2:7" ht="15" hidden="1" outlineLevel="2">
      <c r="B13561" s="2889" t="s">
        <v>1646</v>
      </c>
      <c r="C13561" s="2889" t="s">
        <v>1412</v>
      </c>
      <c r="D13561" s="2889" t="s">
        <v>197</v>
      </c>
      <c r="E13561" s="2889" t="s">
        <v>217</v>
      </c>
      <c r="F13561" s="2890">
        <v>1.1513479615290086E-2</v>
      </c>
      <c r="G13561" s="2890">
        <v>15.093593859471019</v>
      </c>
    </row>
    <row r="13562" spans="2:7" ht="15" hidden="1" outlineLevel="2">
      <c r="B13562" s="2889" t="s">
        <v>1646</v>
      </c>
      <c r="C13562" s="2889" t="s">
        <v>1413</v>
      </c>
      <c r="D13562" s="2889" t="s">
        <v>197</v>
      </c>
      <c r="E13562" s="2889" t="s">
        <v>217</v>
      </c>
      <c r="F13562" s="2890">
        <v>3.7923923913146793E-3</v>
      </c>
      <c r="G13562" s="2890">
        <v>4.7279663763727804</v>
      </c>
    </row>
    <row r="13563" spans="2:7" ht="15" hidden="1" outlineLevel="2">
      <c r="B13563" s="2889" t="s">
        <v>1646</v>
      </c>
      <c r="C13563" s="2889" t="s">
        <v>1414</v>
      </c>
      <c r="D13563" s="2889" t="s">
        <v>197</v>
      </c>
      <c r="E13563" s="2889" t="s">
        <v>217</v>
      </c>
      <c r="F13563" s="2890">
        <v>4.9470071073057571E-2</v>
      </c>
      <c r="G13563" s="2890">
        <v>51.360815695897756</v>
      </c>
    </row>
    <row r="13564" spans="2:7" ht="15" hidden="1" outlineLevel="2">
      <c r="B13564" s="2889" t="s">
        <v>1646</v>
      </c>
      <c r="C13564" s="2889" t="s">
        <v>1415</v>
      </c>
      <c r="D13564" s="2889" t="s">
        <v>197</v>
      </c>
      <c r="E13564" s="2889" t="s">
        <v>217</v>
      </c>
      <c r="F13564" s="2890">
        <v>0.16261972144537795</v>
      </c>
      <c r="G13564" s="2890">
        <v>110.09187011362901</v>
      </c>
    </row>
    <row r="13565" spans="2:7" ht="15" hidden="1" outlineLevel="2">
      <c r="B13565" s="2889" t="s">
        <v>1646</v>
      </c>
      <c r="C13565" s="2889" t="s">
        <v>1416</v>
      </c>
      <c r="D13565" s="2889" t="s">
        <v>197</v>
      </c>
      <c r="E13565" s="2889" t="s">
        <v>217</v>
      </c>
      <c r="F13565" s="2890">
        <v>1.8270670175817405E-2</v>
      </c>
      <c r="G13565" s="2890">
        <v>23.951939243276328</v>
      </c>
    </row>
    <row r="13566" spans="2:7" ht="15" hidden="1" outlineLevel="2">
      <c r="B13566" s="2889" t="s">
        <v>1646</v>
      </c>
      <c r="C13566" s="2889" t="s">
        <v>1417</v>
      </c>
      <c r="D13566" s="2889" t="s">
        <v>197</v>
      </c>
      <c r="E13566" s="2889" t="s">
        <v>217</v>
      </c>
      <c r="F13566" s="2890">
        <v>2.720534114247768E-2</v>
      </c>
      <c r="G13566" s="2890">
        <v>34.682310343300664</v>
      </c>
    </row>
    <row r="13567" spans="2:7" ht="15" hidden="1" outlineLevel="2">
      <c r="B13567" s="2889" t="s">
        <v>1646</v>
      </c>
      <c r="C13567" s="2889" t="s">
        <v>1418</v>
      </c>
      <c r="D13567" s="2889" t="s">
        <v>197</v>
      </c>
      <c r="E13567" s="2889" t="s">
        <v>217</v>
      </c>
      <c r="F13567" s="2890">
        <v>5.4583376137682721E-3</v>
      </c>
      <c r="G13567" s="2890">
        <v>38.474657890932569</v>
      </c>
    </row>
    <row r="13568" spans="2:7" ht="15" hidden="1" outlineLevel="2">
      <c r="B13568" s="2889" t="s">
        <v>1646</v>
      </c>
      <c r="C13568" s="2889" t="s">
        <v>1419</v>
      </c>
      <c r="D13568" s="2889" t="s">
        <v>197</v>
      </c>
      <c r="E13568" s="2889" t="s">
        <v>1420</v>
      </c>
      <c r="F13568" s="2890">
        <v>1.325250323798442E-4</v>
      </c>
      <c r="G13568" s="2890">
        <v>0.21057622520236288</v>
      </c>
    </row>
    <row r="13569" spans="2:7" ht="15" hidden="1" outlineLevel="2">
      <c r="B13569" s="2889" t="s">
        <v>1646</v>
      </c>
      <c r="C13569" s="2889" t="s">
        <v>1421</v>
      </c>
      <c r="D13569" s="2889" t="s">
        <v>197</v>
      </c>
      <c r="E13569" s="2889" t="s">
        <v>1420</v>
      </c>
      <c r="F13569" s="2890">
        <v>2.7193898241967984E-5</v>
      </c>
      <c r="G13569" s="2890">
        <v>0.28659183016845224</v>
      </c>
    </row>
    <row r="13570" spans="2:7" ht="15" hidden="1" outlineLevel="2">
      <c r="B13570" s="2889" t="s">
        <v>1646</v>
      </c>
      <c r="C13570" s="2889" t="s">
        <v>1422</v>
      </c>
      <c r="D13570" s="2889" t="s">
        <v>197</v>
      </c>
      <c r="E13570" s="2889" t="s">
        <v>1423</v>
      </c>
      <c r="F13570" s="2890">
        <v>5.3050709967671899E-3</v>
      </c>
      <c r="G13570" s="2890">
        <v>5.5625941880867565E-2</v>
      </c>
    </row>
    <row r="13571" spans="2:7" ht="15" hidden="1" outlineLevel="2">
      <c r="B13571" s="2889" t="s">
        <v>1646</v>
      </c>
      <c r="C13571" s="2889" t="s">
        <v>1424</v>
      </c>
      <c r="D13571" s="2889" t="s">
        <v>197</v>
      </c>
      <c r="E13571" s="2889" t="s">
        <v>1423</v>
      </c>
      <c r="F13571" s="2890">
        <v>1.6838655096871808E-3</v>
      </c>
      <c r="G13571" s="2890">
        <v>1.7650753244989902E-2</v>
      </c>
    </row>
    <row r="13572" spans="2:7" ht="15" hidden="1" outlineLevel="2">
      <c r="B13572" s="2889" t="s">
        <v>1646</v>
      </c>
      <c r="C13572" s="2889" t="s">
        <v>1425</v>
      </c>
      <c r="D13572" s="2889" t="s">
        <v>197</v>
      </c>
      <c r="E13572" s="2889" t="s">
        <v>1426</v>
      </c>
      <c r="F13572" s="2891"/>
      <c r="G13572" s="2890">
        <v>0.41135675082889311</v>
      </c>
    </row>
    <row r="13573" spans="2:7" ht="15" hidden="1" outlineLevel="2">
      <c r="B13573" s="2889" t="s">
        <v>1646</v>
      </c>
      <c r="C13573" s="2889" t="s">
        <v>1427</v>
      </c>
      <c r="D13573" s="2889" t="s">
        <v>197</v>
      </c>
      <c r="E13573" s="2889" t="s">
        <v>1426</v>
      </c>
      <c r="F13573" s="2891"/>
      <c r="G13573" s="2890">
        <v>17783.940385431873</v>
      </c>
    </row>
    <row r="13574" spans="2:7" ht="15" hidden="1" outlineLevel="2">
      <c r="B13574" s="2889" t="s">
        <v>1646</v>
      </c>
      <c r="C13574" s="2889" t="s">
        <v>1428</v>
      </c>
      <c r="D13574" s="2889" t="s">
        <v>197</v>
      </c>
      <c r="E13574" s="2889" t="s">
        <v>1426</v>
      </c>
      <c r="F13574" s="2891"/>
      <c r="G13574" s="2890">
        <v>1595.7621144784241</v>
      </c>
    </row>
    <row r="13575" spans="2:7" ht="15" hidden="1" outlineLevel="2">
      <c r="B13575" s="2889" t="s">
        <v>1646</v>
      </c>
      <c r="C13575" s="2889" t="s">
        <v>1429</v>
      </c>
      <c r="D13575" s="2889" t="s">
        <v>197</v>
      </c>
      <c r="E13575" s="2889" t="s">
        <v>1426</v>
      </c>
      <c r="F13575" s="2891"/>
      <c r="G13575" s="2890">
        <v>8.870256988129297</v>
      </c>
    </row>
    <row r="13576" spans="2:7" ht="15" hidden="1" outlineLevel="2">
      <c r="B13576" s="2889" t="s">
        <v>1646</v>
      </c>
      <c r="C13576" s="2889" t="s">
        <v>1430</v>
      </c>
      <c r="D13576" s="2889" t="s">
        <v>197</v>
      </c>
      <c r="E13576" s="2889" t="s">
        <v>1426</v>
      </c>
      <c r="F13576" s="2891"/>
      <c r="G13576" s="2890">
        <v>1.8206077339672686</v>
      </c>
    </row>
    <row r="13577" spans="2:7" ht="15" hidden="1" outlineLevel="2">
      <c r="B13577" s="2889" t="s">
        <v>1646</v>
      </c>
      <c r="C13577" s="2889" t="s">
        <v>1431</v>
      </c>
      <c r="D13577" s="2889" t="s">
        <v>197</v>
      </c>
      <c r="E13577" s="2889" t="s">
        <v>1426</v>
      </c>
      <c r="F13577" s="2891"/>
      <c r="G13577" s="2890">
        <v>135.46096728331955</v>
      </c>
    </row>
    <row r="13578" spans="2:7" ht="15" hidden="1" outlineLevel="2">
      <c r="B13578" s="2889" t="s">
        <v>1646</v>
      </c>
      <c r="C13578" s="2889" t="s">
        <v>1432</v>
      </c>
      <c r="D13578" s="2889" t="s">
        <v>197</v>
      </c>
      <c r="E13578" s="2889" t="s">
        <v>1426</v>
      </c>
      <c r="F13578" s="2891"/>
      <c r="G13578" s="2890">
        <v>0.33928011739530589</v>
      </c>
    </row>
    <row r="13579" spans="2:7" ht="15" hidden="1" outlineLevel="2">
      <c r="B13579" s="2889" t="s">
        <v>1646</v>
      </c>
      <c r="C13579" s="2889" t="s">
        <v>1433</v>
      </c>
      <c r="D13579" s="2889" t="s">
        <v>197</v>
      </c>
      <c r="E13579" s="2889" t="s">
        <v>1426</v>
      </c>
      <c r="F13579" s="2891"/>
      <c r="G13579" s="2890">
        <v>125.20301293654849</v>
      </c>
    </row>
    <row r="13580" spans="2:7" ht="15" hidden="1" outlineLevel="2">
      <c r="B13580" s="2889" t="s">
        <v>1646</v>
      </c>
      <c r="C13580" s="2889" t="s">
        <v>1434</v>
      </c>
      <c r="D13580" s="2889" t="s">
        <v>197</v>
      </c>
      <c r="E13580" s="2889" t="s">
        <v>1426</v>
      </c>
      <c r="F13580" s="2891"/>
      <c r="G13580" s="2890">
        <v>347.78101059718119</v>
      </c>
    </row>
    <row r="13581" spans="2:7" ht="15" hidden="1" outlineLevel="2">
      <c r="B13581" s="2889" t="s">
        <v>1646</v>
      </c>
      <c r="C13581" s="2889" t="s">
        <v>1435</v>
      </c>
      <c r="D13581" s="2889" t="s">
        <v>197</v>
      </c>
      <c r="E13581" s="2889" t="s">
        <v>1426</v>
      </c>
      <c r="F13581" s="2891"/>
      <c r="G13581" s="2890">
        <v>255.68679495760557</v>
      </c>
    </row>
    <row r="13582" spans="2:7" ht="15" hidden="1" outlineLevel="2">
      <c r="B13582" s="2889" t="s">
        <v>1646</v>
      </c>
      <c r="C13582" s="2889" t="s">
        <v>1436</v>
      </c>
      <c r="D13582" s="2889" t="s">
        <v>1437</v>
      </c>
      <c r="E13582" s="2889" t="s">
        <v>217</v>
      </c>
      <c r="F13582" s="2890">
        <v>6.6137027373922643E-6</v>
      </c>
      <c r="G13582" s="2890">
        <v>1.9205561446003747E-2</v>
      </c>
    </row>
    <row r="13583" spans="2:7" ht="15" hidden="1" outlineLevel="2">
      <c r="B13583" s="2889" t="s">
        <v>1646</v>
      </c>
      <c r="C13583" s="2889" t="s">
        <v>1438</v>
      </c>
      <c r="D13583" s="2889" t="s">
        <v>1437</v>
      </c>
      <c r="E13583" s="2889" t="s">
        <v>1420</v>
      </c>
      <c r="F13583" s="2890">
        <v>1.9105900215015999E-6</v>
      </c>
      <c r="G13583" s="2890">
        <v>1.7554250384832895E-2</v>
      </c>
    </row>
    <row r="13584" spans="2:7" ht="15" hidden="1" outlineLevel="2">
      <c r="B13584" s="2889" t="s">
        <v>1646</v>
      </c>
      <c r="C13584" s="2889" t="s">
        <v>1439</v>
      </c>
      <c r="D13584" s="2889" t="s">
        <v>1437</v>
      </c>
      <c r="E13584" s="2889" t="s">
        <v>1426</v>
      </c>
      <c r="F13584" s="2891"/>
      <c r="G13584" s="2890">
        <v>1.2070919861616314</v>
      </c>
    </row>
    <row r="13585" spans="2:7" ht="15" hidden="1" outlineLevel="2">
      <c r="B13585" s="2889" t="s">
        <v>1646</v>
      </c>
      <c r="C13585" s="2889" t="s">
        <v>1440</v>
      </c>
      <c r="D13585" s="2889" t="s">
        <v>1105</v>
      </c>
      <c r="E13585" s="2889" t="s">
        <v>217</v>
      </c>
      <c r="F13585" s="2890">
        <v>8.9569829503893146E-3</v>
      </c>
      <c r="G13585" s="2890">
        <v>4.4387925046226124</v>
      </c>
    </row>
    <row r="13586" spans="2:7" ht="15" hidden="1" outlineLevel="2">
      <c r="B13586" s="2889" t="s">
        <v>1646</v>
      </c>
      <c r="C13586" s="2889" t="s">
        <v>1441</v>
      </c>
      <c r="D13586" s="2889" t="s">
        <v>1105</v>
      </c>
      <c r="E13586" s="2889" t="s">
        <v>217</v>
      </c>
      <c r="F13586" s="2890">
        <v>5.7234713543070269E-2</v>
      </c>
      <c r="G13586" s="2890">
        <v>29.614182688886988</v>
      </c>
    </row>
    <row r="13587" spans="2:7" ht="15" hidden="1" outlineLevel="2">
      <c r="B13587" s="2889" t="s">
        <v>1646</v>
      </c>
      <c r="C13587" s="2889" t="s">
        <v>1442</v>
      </c>
      <c r="D13587" s="2889" t="s">
        <v>1105</v>
      </c>
      <c r="E13587" s="2889" t="s">
        <v>217</v>
      </c>
      <c r="F13587" s="2890">
        <v>2.5477006676748293E-5</v>
      </c>
      <c r="G13587" s="2890">
        <v>1.1421290353531734E-2</v>
      </c>
    </row>
    <row r="13588" spans="2:7" ht="15" hidden="1" outlineLevel="2">
      <c r="B13588" s="2889" t="s">
        <v>1646</v>
      </c>
      <c r="C13588" s="2889" t="s">
        <v>1443</v>
      </c>
      <c r="D13588" s="2889" t="s">
        <v>1105</v>
      </c>
      <c r="E13588" s="2889" t="s">
        <v>217</v>
      </c>
      <c r="F13588" s="2890">
        <v>4.0087562959592051E-4</v>
      </c>
      <c r="G13588" s="2890">
        <v>0.17971188386085449</v>
      </c>
    </row>
    <row r="13589" spans="2:7" ht="15" hidden="1" outlineLevel="2">
      <c r="B13589" s="2889" t="s">
        <v>1646</v>
      </c>
      <c r="C13589" s="2889" t="s">
        <v>1444</v>
      </c>
      <c r="D13589" s="2889" t="s">
        <v>1105</v>
      </c>
      <c r="E13589" s="2889" t="s">
        <v>217</v>
      </c>
      <c r="F13589" s="2890">
        <v>0.75994646202777494</v>
      </c>
      <c r="G13589" s="2890">
        <v>913.70271961065737</v>
      </c>
    </row>
    <row r="13590" spans="2:7" ht="15" hidden="1" outlineLevel="2">
      <c r="B13590" s="2889" t="s">
        <v>1646</v>
      </c>
      <c r="C13590" s="2889" t="s">
        <v>1445</v>
      </c>
      <c r="D13590" s="2889" t="s">
        <v>1105</v>
      </c>
      <c r="E13590" s="2889" t="s">
        <v>217</v>
      </c>
      <c r="F13590" s="2890">
        <v>0.16357541052000124</v>
      </c>
      <c r="G13590" s="2890">
        <v>228.64512447361099</v>
      </c>
    </row>
    <row r="13591" spans="2:7" ht="15" hidden="1" outlineLevel="2">
      <c r="B13591" s="2889" t="s">
        <v>1646</v>
      </c>
      <c r="C13591" s="2889" t="s">
        <v>1446</v>
      </c>
      <c r="D13591" s="2889" t="s">
        <v>1105</v>
      </c>
      <c r="E13591" s="2889" t="s">
        <v>217</v>
      </c>
      <c r="F13591" s="2890">
        <v>7.5506474242336266E-2</v>
      </c>
      <c r="G13591" s="2890">
        <v>121.24863966101067</v>
      </c>
    </row>
    <row r="13592" spans="2:7" ht="15" hidden="1" outlineLevel="2">
      <c r="B13592" s="2889" t="s">
        <v>1646</v>
      </c>
      <c r="C13592" s="2889" t="s">
        <v>1447</v>
      </c>
      <c r="D13592" s="2889" t="s">
        <v>1105</v>
      </c>
      <c r="E13592" s="2889" t="s">
        <v>217</v>
      </c>
      <c r="F13592" s="2890">
        <v>0.17398757882652927</v>
      </c>
      <c r="G13592" s="2890">
        <v>260.15560875552171</v>
      </c>
    </row>
    <row r="13593" spans="2:7" ht="15" hidden="1" outlineLevel="2">
      <c r="B13593" s="2889" t="s">
        <v>1646</v>
      </c>
      <c r="C13593" s="2889" t="s">
        <v>1448</v>
      </c>
      <c r="D13593" s="2889" t="s">
        <v>1105</v>
      </c>
      <c r="E13593" s="2889" t="s">
        <v>217</v>
      </c>
      <c r="F13593" s="2890">
        <v>0.32860710657978875</v>
      </c>
      <c r="G13593" s="2890">
        <v>409.85242677404693</v>
      </c>
    </row>
    <row r="13594" spans="2:7" ht="15" hidden="1" outlineLevel="2">
      <c r="B13594" s="2889" t="s">
        <v>1646</v>
      </c>
      <c r="C13594" s="2889" t="s">
        <v>1449</v>
      </c>
      <c r="D13594" s="2889" t="s">
        <v>1105</v>
      </c>
      <c r="E13594" s="2889" t="s">
        <v>217</v>
      </c>
      <c r="F13594" s="2890">
        <v>1.3989451211373211E-2</v>
      </c>
      <c r="G13594" s="2890">
        <v>19.277202222636564</v>
      </c>
    </row>
    <row r="13595" spans="2:7" ht="15" hidden="1" outlineLevel="2">
      <c r="B13595" s="2889" t="s">
        <v>1646</v>
      </c>
      <c r="C13595" s="2889" t="s">
        <v>1450</v>
      </c>
      <c r="D13595" s="2889" t="s">
        <v>1105</v>
      </c>
      <c r="E13595" s="2889" t="s">
        <v>1420</v>
      </c>
      <c r="F13595" s="2890">
        <v>4.4220978668541813E-2</v>
      </c>
      <c r="G13595" s="2890">
        <v>121.57258981697566</v>
      </c>
    </row>
    <row r="13596" spans="2:7" ht="15" hidden="1" outlineLevel="2">
      <c r="B13596" s="2889" t="s">
        <v>1646</v>
      </c>
      <c r="C13596" s="2889" t="s">
        <v>1451</v>
      </c>
      <c r="D13596" s="2889" t="s">
        <v>1105</v>
      </c>
      <c r="E13596" s="2889" t="s">
        <v>1420</v>
      </c>
      <c r="F13596" s="2890">
        <v>6.4204122836250856E-3</v>
      </c>
      <c r="G13596" s="2890">
        <v>27.07844479771374</v>
      </c>
    </row>
    <row r="13597" spans="2:7" ht="15" hidden="1" outlineLevel="2">
      <c r="B13597" s="2889" t="s">
        <v>1646</v>
      </c>
      <c r="C13597" s="2889" t="s">
        <v>1452</v>
      </c>
      <c r="D13597" s="2889" t="s">
        <v>1105</v>
      </c>
      <c r="E13597" s="2889" t="s">
        <v>1420</v>
      </c>
      <c r="F13597" s="2890">
        <v>4.7499463464159217E-3</v>
      </c>
      <c r="G13597" s="2890">
        <v>31.740795516228921</v>
      </c>
    </row>
    <row r="13598" spans="2:7" ht="15" hidden="1" outlineLevel="2">
      <c r="B13598" s="2889" t="s">
        <v>1646</v>
      </c>
      <c r="C13598" s="2889" t="s">
        <v>1453</v>
      </c>
      <c r="D13598" s="2889" t="s">
        <v>1105</v>
      </c>
      <c r="E13598" s="2889" t="s">
        <v>1420</v>
      </c>
      <c r="F13598" s="2890">
        <v>8.3201323583173697E-3</v>
      </c>
      <c r="G13598" s="2890">
        <v>39.430046143649669</v>
      </c>
    </row>
    <row r="13599" spans="2:7" ht="15" hidden="1" outlineLevel="2">
      <c r="B13599" s="2889" t="s">
        <v>1646</v>
      </c>
      <c r="C13599" s="2889" t="s">
        <v>1454</v>
      </c>
      <c r="D13599" s="2889" t="s">
        <v>1105</v>
      </c>
      <c r="E13599" s="2889" t="s">
        <v>1420</v>
      </c>
      <c r="F13599" s="2890">
        <v>2.0774890753981262E-4</v>
      </c>
      <c r="G13599" s="2890">
        <v>0.5330049369897959</v>
      </c>
    </row>
    <row r="13600" spans="2:7" ht="15" hidden="1" outlineLevel="2">
      <c r="B13600" s="2889" t="s">
        <v>1646</v>
      </c>
      <c r="C13600" s="2889" t="s">
        <v>1455</v>
      </c>
      <c r="D13600" s="2889" t="s">
        <v>1105</v>
      </c>
      <c r="E13600" s="2889" t="s">
        <v>1420</v>
      </c>
      <c r="F13600" s="2890">
        <v>6.061101700046418E-5</v>
      </c>
      <c r="G13600" s="2890">
        <v>0.49509134192358573</v>
      </c>
    </row>
    <row r="13601" spans="2:7" ht="15" hidden="1" outlineLevel="2">
      <c r="B13601" s="2889" t="s">
        <v>1646</v>
      </c>
      <c r="C13601" s="2889" t="s">
        <v>1456</v>
      </c>
      <c r="D13601" s="2889" t="s">
        <v>1105</v>
      </c>
      <c r="E13601" s="2889" t="s">
        <v>1423</v>
      </c>
      <c r="F13601" s="2890">
        <v>0.97703593809878764</v>
      </c>
      <c r="G13601" s="2890">
        <v>27.131288254133135</v>
      </c>
    </row>
    <row r="13602" spans="2:7" ht="15" hidden="1" outlineLevel="2">
      <c r="B13602" s="2889" t="s">
        <v>1646</v>
      </c>
      <c r="C13602" s="2889" t="s">
        <v>1457</v>
      </c>
      <c r="D13602" s="2889" t="s">
        <v>1105</v>
      </c>
      <c r="E13602" s="2889" t="s">
        <v>1423</v>
      </c>
      <c r="F13602" s="2890">
        <v>3.7458184472513867E-2</v>
      </c>
      <c r="G13602" s="2890">
        <v>1.3616620042505496</v>
      </c>
    </row>
    <row r="13603" spans="2:7" ht="15" hidden="1" outlineLevel="2">
      <c r="B13603" s="2889" t="s">
        <v>1646</v>
      </c>
      <c r="C13603" s="2889" t="s">
        <v>1458</v>
      </c>
      <c r="D13603" s="2889" t="s">
        <v>1105</v>
      </c>
      <c r="E13603" s="2889" t="s">
        <v>1423</v>
      </c>
      <c r="F13603" s="2890">
        <v>2.6892229931785205E-2</v>
      </c>
      <c r="G13603" s="2890">
        <v>1.8861312120538736</v>
      </c>
    </row>
    <row r="13604" spans="2:7" ht="15" hidden="1" outlineLevel="2">
      <c r="B13604" s="2889" t="s">
        <v>1646</v>
      </c>
      <c r="C13604" s="2889" t="s">
        <v>1459</v>
      </c>
      <c r="D13604" s="2889" t="s">
        <v>1105</v>
      </c>
      <c r="E13604" s="2889" t="s">
        <v>1423</v>
      </c>
      <c r="F13604" s="2890">
        <v>0.31505591050933679</v>
      </c>
      <c r="G13604" s="2890">
        <v>65.93032710244583</v>
      </c>
    </row>
    <row r="13605" spans="2:7" ht="15" hidden="1" outlineLevel="2">
      <c r="B13605" s="2889" t="s">
        <v>1646</v>
      </c>
      <c r="C13605" s="2889" t="s">
        <v>1460</v>
      </c>
      <c r="D13605" s="2889" t="s">
        <v>1105</v>
      </c>
      <c r="E13605" s="2889" t="s">
        <v>1426</v>
      </c>
      <c r="F13605" s="2891"/>
      <c r="G13605" s="2890">
        <v>703.06191334968537</v>
      </c>
    </row>
    <row r="13606" spans="2:7" ht="15" hidden="1" outlineLevel="2">
      <c r="B13606" s="2889" t="s">
        <v>1646</v>
      </c>
      <c r="C13606" s="2889" t="s">
        <v>1461</v>
      </c>
      <c r="D13606" s="2889" t="s">
        <v>1105</v>
      </c>
      <c r="E13606" s="2889" t="s">
        <v>1426</v>
      </c>
      <c r="F13606" s="2891"/>
      <c r="G13606" s="2890">
        <v>165.87999447565525</v>
      </c>
    </row>
    <row r="13607" spans="2:7" ht="15" hidden="1" outlineLevel="2">
      <c r="B13607" s="2889" t="s">
        <v>1646</v>
      </c>
      <c r="C13607" s="2889" t="s">
        <v>1462</v>
      </c>
      <c r="D13607" s="2889" t="s">
        <v>1105</v>
      </c>
      <c r="E13607" s="2889" t="s">
        <v>1426</v>
      </c>
      <c r="F13607" s="2891"/>
      <c r="G13607" s="2890">
        <v>460.25289164395497</v>
      </c>
    </row>
    <row r="13608" spans="2:7" ht="15" hidden="1" outlineLevel="2">
      <c r="B13608" s="2889" t="s">
        <v>1646</v>
      </c>
      <c r="C13608" s="2889" t="s">
        <v>1463</v>
      </c>
      <c r="D13608" s="2889" t="s">
        <v>1105</v>
      </c>
      <c r="E13608" s="2889" t="s">
        <v>1426</v>
      </c>
      <c r="F13608" s="2891"/>
      <c r="G13608" s="2890">
        <v>233.7013781967953</v>
      </c>
    </row>
    <row r="13609" spans="2:7" ht="15" hidden="1" outlineLevel="2">
      <c r="B13609" s="2889" t="s">
        <v>1646</v>
      </c>
      <c r="C13609" s="2889" t="s">
        <v>1464</v>
      </c>
      <c r="D13609" s="2889" t="s">
        <v>1105</v>
      </c>
      <c r="E13609" s="2889" t="s">
        <v>1426</v>
      </c>
      <c r="F13609" s="2891"/>
      <c r="G13609" s="2890">
        <v>22.450821852183669</v>
      </c>
    </row>
    <row r="13610" spans="2:7" ht="15" hidden="1" outlineLevel="2">
      <c r="B13610" s="2889" t="s">
        <v>1646</v>
      </c>
      <c r="C13610" s="2889" t="s">
        <v>1465</v>
      </c>
      <c r="D13610" s="2889" t="s">
        <v>1105</v>
      </c>
      <c r="E13610" s="2889" t="s">
        <v>1426</v>
      </c>
      <c r="F13610" s="2891"/>
      <c r="G13610" s="2890">
        <v>19.918962585036532</v>
      </c>
    </row>
    <row r="13611" spans="2:7" ht="15" hidden="1" outlineLevel="2">
      <c r="B13611" s="2889" t="s">
        <v>1646</v>
      </c>
      <c r="C13611" s="2889" t="s">
        <v>1466</v>
      </c>
      <c r="D13611" s="2889" t="s">
        <v>1054</v>
      </c>
      <c r="E13611" s="2889" t="s">
        <v>217</v>
      </c>
      <c r="F13611" s="2890">
        <v>1.0604619274059066E-2</v>
      </c>
      <c r="G13611" s="2890">
        <v>6.5387739529594233</v>
      </c>
    </row>
    <row r="13612" spans="2:7" ht="15" hidden="1" outlineLevel="2">
      <c r="B13612" s="2889" t="s">
        <v>1646</v>
      </c>
      <c r="C13612" s="2889" t="s">
        <v>1467</v>
      </c>
      <c r="D13612" s="2889" t="s">
        <v>1054</v>
      </c>
      <c r="E13612" s="2889" t="s">
        <v>217</v>
      </c>
      <c r="F13612" s="2890">
        <v>8.7640416714515081E-4</v>
      </c>
      <c r="G13612" s="2890">
        <v>0.42408910148486262</v>
      </c>
    </row>
    <row r="13613" spans="2:7" ht="15" hidden="1" outlineLevel="2">
      <c r="B13613" s="2889" t="s">
        <v>1646</v>
      </c>
      <c r="C13613" s="2889" t="s">
        <v>1468</v>
      </c>
      <c r="D13613" s="2889" t="s">
        <v>1054</v>
      </c>
      <c r="E13613" s="2889" t="s">
        <v>217</v>
      </c>
      <c r="F13613" s="2890">
        <v>1.0613511505053344E-3</v>
      </c>
      <c r="G13613" s="2890">
        <v>0.50697402839239536</v>
      </c>
    </row>
    <row r="13614" spans="2:7" ht="15" hidden="1" outlineLevel="2">
      <c r="B13614" s="2889" t="s">
        <v>1646</v>
      </c>
      <c r="C13614" s="2889" t="s">
        <v>1469</v>
      </c>
      <c r="D13614" s="2889" t="s">
        <v>1054</v>
      </c>
      <c r="E13614" s="2889" t="s">
        <v>217</v>
      </c>
      <c r="F13614" s="2890">
        <v>8.4692604743269945E-6</v>
      </c>
      <c r="G13614" s="2890">
        <v>3.7964862597865139E-3</v>
      </c>
    </row>
    <row r="13615" spans="2:7" ht="15" hidden="1" outlineLevel="2">
      <c r="B13615" s="2889" t="s">
        <v>1646</v>
      </c>
      <c r="C13615" s="2889" t="s">
        <v>1470</v>
      </c>
      <c r="D13615" s="2889" t="s">
        <v>1054</v>
      </c>
      <c r="E13615" s="2889" t="s">
        <v>217</v>
      </c>
      <c r="F13615" s="2890">
        <v>3.0212162275097796E-2</v>
      </c>
      <c r="G13615" s="2890">
        <v>16.89719814415351</v>
      </c>
    </row>
    <row r="13616" spans="2:7" ht="15" hidden="1" outlineLevel="2">
      <c r="B13616" s="2889" t="s">
        <v>1646</v>
      </c>
      <c r="C13616" s="2889" t="s">
        <v>1471</v>
      </c>
      <c r="D13616" s="2889" t="s">
        <v>1054</v>
      </c>
      <c r="E13616" s="2889" t="s">
        <v>217</v>
      </c>
      <c r="F13616" s="2890">
        <v>2.2053276006338173E-4</v>
      </c>
      <c r="G13616" s="2890">
        <v>9.8857518859681429E-2</v>
      </c>
    </row>
    <row r="13617" spans="2:7" ht="15" hidden="1" outlineLevel="2">
      <c r="B13617" s="2889" t="s">
        <v>1646</v>
      </c>
      <c r="C13617" s="2889" t="s">
        <v>1472</v>
      </c>
      <c r="D13617" s="2889" t="s">
        <v>1054</v>
      </c>
      <c r="E13617" s="2889" t="s">
        <v>217</v>
      </c>
      <c r="F13617" s="2890">
        <v>3.7484536668522094E-3</v>
      </c>
      <c r="G13617" s="2890">
        <v>5.8128370859771934</v>
      </c>
    </row>
    <row r="13618" spans="2:7" ht="15" hidden="1" outlineLevel="2">
      <c r="B13618" s="2889" t="s">
        <v>1646</v>
      </c>
      <c r="C13618" s="2889" t="s">
        <v>1473</v>
      </c>
      <c r="D13618" s="2889" t="s">
        <v>1054</v>
      </c>
      <c r="E13618" s="2889" t="s">
        <v>217</v>
      </c>
      <c r="F13618" s="2890">
        <v>3.3203110162359887E-5</v>
      </c>
      <c r="G13618" s="2890">
        <v>4.2955341744417494E-2</v>
      </c>
    </row>
    <row r="13619" spans="2:7" ht="15" hidden="1" outlineLevel="2">
      <c r="B13619" s="2889" t="s">
        <v>1646</v>
      </c>
      <c r="C13619" s="2889" t="s">
        <v>1474</v>
      </c>
      <c r="D13619" s="2889" t="s">
        <v>1054</v>
      </c>
      <c r="E13619" s="2889" t="s">
        <v>217</v>
      </c>
      <c r="F13619" s="2890">
        <v>9.1333270592567056E-3</v>
      </c>
      <c r="G13619" s="2890">
        <v>10.87754550107802</v>
      </c>
    </row>
    <row r="13620" spans="2:7" ht="15" hidden="1" outlineLevel="2">
      <c r="B13620" s="2889" t="s">
        <v>1646</v>
      </c>
      <c r="C13620" s="2889" t="s">
        <v>1475</v>
      </c>
      <c r="D13620" s="2889" t="s">
        <v>1054</v>
      </c>
      <c r="E13620" s="2889" t="s">
        <v>217</v>
      </c>
      <c r="F13620" s="2890">
        <v>6.5421808827049038E-3</v>
      </c>
      <c r="G13620" s="2890">
        <v>10.278611511291659</v>
      </c>
    </row>
    <row r="13621" spans="2:7" ht="15" hidden="1" outlineLevel="2">
      <c r="B13621" s="2889" t="s">
        <v>1646</v>
      </c>
      <c r="C13621" s="2889" t="s">
        <v>1476</v>
      </c>
      <c r="D13621" s="2889" t="s">
        <v>1054</v>
      </c>
      <c r="E13621" s="2889" t="s">
        <v>217</v>
      </c>
      <c r="F13621" s="2890">
        <v>1.6108082566619226E-2</v>
      </c>
      <c r="G13621" s="2890">
        <v>20.457905842967438</v>
      </c>
    </row>
    <row r="13622" spans="2:7" ht="15" hidden="1" outlineLevel="2">
      <c r="B13622" s="2889" t="s">
        <v>1646</v>
      </c>
      <c r="C13622" s="2889" t="s">
        <v>1477</v>
      </c>
      <c r="D13622" s="2889" t="s">
        <v>1054</v>
      </c>
      <c r="E13622" s="2889" t="s">
        <v>217</v>
      </c>
      <c r="F13622" s="2890">
        <v>6.3005791237491313E-3</v>
      </c>
      <c r="G13622" s="2890">
        <v>8.6271011815780003</v>
      </c>
    </row>
    <row r="13623" spans="2:7" ht="15" hidden="1" outlineLevel="2">
      <c r="B13623" s="2889" t="s">
        <v>1646</v>
      </c>
      <c r="C13623" s="2889" t="s">
        <v>1478</v>
      </c>
      <c r="D13623" s="2889" t="s">
        <v>1054</v>
      </c>
      <c r="E13623" s="2889" t="s">
        <v>217</v>
      </c>
      <c r="F13623" s="2890">
        <v>3.3953858530170832E-4</v>
      </c>
      <c r="G13623" s="2890">
        <v>0.4479135190870025</v>
      </c>
    </row>
    <row r="13624" spans="2:7" ht="15" hidden="1" outlineLevel="2">
      <c r="B13624" s="2889" t="s">
        <v>1646</v>
      </c>
      <c r="C13624" s="2889" t="s">
        <v>1479</v>
      </c>
      <c r="D13624" s="2889" t="s">
        <v>1054</v>
      </c>
      <c r="E13624" s="2889" t="s">
        <v>217</v>
      </c>
      <c r="F13624" s="2890">
        <v>1.2005711011566219E-2</v>
      </c>
      <c r="G13624" s="2890">
        <v>18.060603768148411</v>
      </c>
    </row>
    <row r="13625" spans="2:7" ht="15" hidden="1" outlineLevel="2">
      <c r="B13625" s="2889" t="s">
        <v>1646</v>
      </c>
      <c r="C13625" s="2889" t="s">
        <v>1480</v>
      </c>
      <c r="D13625" s="2889" t="s">
        <v>1054</v>
      </c>
      <c r="E13625" s="2889" t="s">
        <v>217</v>
      </c>
      <c r="F13625" s="2890">
        <v>5.4047830001928464E-3</v>
      </c>
      <c r="G13625" s="2890">
        <v>6.2203623999652615</v>
      </c>
    </row>
    <row r="13626" spans="2:7" ht="15" hidden="1" outlineLevel="2">
      <c r="B13626" s="2889" t="s">
        <v>1646</v>
      </c>
      <c r="C13626" s="2889" t="s">
        <v>1481</v>
      </c>
      <c r="D13626" s="2889" t="s">
        <v>1054</v>
      </c>
      <c r="E13626" s="2889" t="s">
        <v>217</v>
      </c>
      <c r="F13626" s="2890">
        <v>2.6744366171713493E-2</v>
      </c>
      <c r="G13626" s="2890">
        <v>37.616678066826395</v>
      </c>
    </row>
    <row r="13627" spans="2:7" ht="15" hidden="1" outlineLevel="2">
      <c r="B13627" s="2889" t="s">
        <v>1646</v>
      </c>
      <c r="C13627" s="2889" t="s">
        <v>1482</v>
      </c>
      <c r="D13627" s="2889" t="s">
        <v>1054</v>
      </c>
      <c r="E13627" s="2889" t="s">
        <v>217</v>
      </c>
      <c r="F13627" s="2890">
        <v>1.8023887461879308E-2</v>
      </c>
      <c r="G13627" s="2890">
        <v>18.02036169880089</v>
      </c>
    </row>
    <row r="13628" spans="2:7" ht="15" hidden="1" outlineLevel="2">
      <c r="B13628" s="2889" t="s">
        <v>1646</v>
      </c>
      <c r="C13628" s="2889" t="s">
        <v>1483</v>
      </c>
      <c r="D13628" s="2889" t="s">
        <v>1054</v>
      </c>
      <c r="E13628" s="2889" t="s">
        <v>217</v>
      </c>
      <c r="F13628" s="2890">
        <v>8.5633817005928913E-4</v>
      </c>
      <c r="G13628" s="2890">
        <v>1.436506758695151</v>
      </c>
    </row>
    <row r="13629" spans="2:7" ht="15" hidden="1" outlineLevel="2">
      <c r="B13629" s="2889" t="s">
        <v>1646</v>
      </c>
      <c r="C13629" s="2889" t="s">
        <v>1484</v>
      </c>
      <c r="D13629" s="2889" t="s">
        <v>1054</v>
      </c>
      <c r="E13629" s="2889" t="s">
        <v>217</v>
      </c>
      <c r="F13629" s="2890">
        <v>1.7415631602668662E-3</v>
      </c>
      <c r="G13629" s="2890">
        <v>2.4357952855144025</v>
      </c>
    </row>
    <row r="13630" spans="2:7" ht="15" hidden="1" outlineLevel="2">
      <c r="B13630" s="2889" t="s">
        <v>1646</v>
      </c>
      <c r="C13630" s="2889" t="s">
        <v>1485</v>
      </c>
      <c r="D13630" s="2889" t="s">
        <v>1054</v>
      </c>
      <c r="E13630" s="2889" t="s">
        <v>217</v>
      </c>
      <c r="F13630" s="2890">
        <v>7.7363294790251398E-4</v>
      </c>
      <c r="G13630" s="2890">
        <v>2.1826931432762917</v>
      </c>
    </row>
    <row r="13631" spans="2:7" ht="15" hidden="1" outlineLevel="2">
      <c r="B13631" s="2889" t="s">
        <v>1646</v>
      </c>
      <c r="C13631" s="2889" t="s">
        <v>1486</v>
      </c>
      <c r="D13631" s="2889" t="s">
        <v>1054</v>
      </c>
      <c r="E13631" s="2889" t="s">
        <v>217</v>
      </c>
      <c r="F13631" s="2890">
        <v>9.0130322356434586E-4</v>
      </c>
      <c r="G13631" s="2890">
        <v>5.2132310758119624</v>
      </c>
    </row>
    <row r="13632" spans="2:7" ht="15" hidden="1" outlineLevel="2">
      <c r="B13632" s="2889" t="s">
        <v>1646</v>
      </c>
      <c r="C13632" s="2889" t="s">
        <v>1487</v>
      </c>
      <c r="D13632" s="2889" t="s">
        <v>1054</v>
      </c>
      <c r="E13632" s="2889" t="s">
        <v>217</v>
      </c>
      <c r="F13632" s="2890">
        <v>8.5267046324393678E-3</v>
      </c>
      <c r="G13632" s="2890">
        <v>12.354007941666024</v>
      </c>
    </row>
    <row r="13633" spans="2:7" ht="15" hidden="1" outlineLevel="2">
      <c r="B13633" s="2889" t="s">
        <v>1646</v>
      </c>
      <c r="C13633" s="2889" t="s">
        <v>1488</v>
      </c>
      <c r="D13633" s="2889" t="s">
        <v>1054</v>
      </c>
      <c r="E13633" s="2889" t="s">
        <v>217</v>
      </c>
      <c r="F13633" s="2890">
        <v>5.2886386641339692E-3</v>
      </c>
      <c r="G13633" s="2890">
        <v>8.4787187325651416</v>
      </c>
    </row>
    <row r="13634" spans="2:7" ht="15" hidden="1" outlineLevel="2">
      <c r="B13634" s="2889" t="s">
        <v>1646</v>
      </c>
      <c r="C13634" s="2889" t="s">
        <v>1489</v>
      </c>
      <c r="D13634" s="2889" t="s">
        <v>1054</v>
      </c>
      <c r="E13634" s="2889" t="s">
        <v>217</v>
      </c>
      <c r="F13634" s="2890">
        <v>2.6631252024846902E-3</v>
      </c>
      <c r="G13634" s="2890">
        <v>2.7936613719433252</v>
      </c>
    </row>
    <row r="13635" spans="2:7" ht="15" hidden="1" outlineLevel="2">
      <c r="B13635" s="2889" t="s">
        <v>1646</v>
      </c>
      <c r="C13635" s="2889" t="s">
        <v>1490</v>
      </c>
      <c r="D13635" s="2889" t="s">
        <v>1054</v>
      </c>
      <c r="E13635" s="2889" t="s">
        <v>217</v>
      </c>
      <c r="F13635" s="2890">
        <v>1.2419587380555338E-3</v>
      </c>
      <c r="G13635" s="2890">
        <v>1.9735309144422348</v>
      </c>
    </row>
    <row r="13636" spans="2:7" ht="15" hidden="1" outlineLevel="2">
      <c r="B13636" s="2889" t="s">
        <v>1646</v>
      </c>
      <c r="C13636" s="2889" t="s">
        <v>1491</v>
      </c>
      <c r="D13636" s="2889" t="s">
        <v>1054</v>
      </c>
      <c r="E13636" s="2889" t="s">
        <v>1420</v>
      </c>
      <c r="F13636" s="2890">
        <v>2.3608933797217741E-4</v>
      </c>
      <c r="G13636" s="2890">
        <v>1.1178389158044668</v>
      </c>
    </row>
    <row r="13637" spans="2:7" ht="15" hidden="1" outlineLevel="2">
      <c r="B13637" s="2889" t="s">
        <v>1646</v>
      </c>
      <c r="C13637" s="2889" t="s">
        <v>1492</v>
      </c>
      <c r="D13637" s="2889" t="s">
        <v>1054</v>
      </c>
      <c r="E13637" s="2889" t="s">
        <v>1420</v>
      </c>
      <c r="F13637" s="2890">
        <v>1.7550119298132975E-4</v>
      </c>
      <c r="G13637" s="2890">
        <v>1.8759443372812226</v>
      </c>
    </row>
    <row r="13638" spans="2:7" ht="15" hidden="1" outlineLevel="2">
      <c r="B13638" s="2889" t="s">
        <v>1646</v>
      </c>
      <c r="C13638" s="2889" t="s">
        <v>1493</v>
      </c>
      <c r="D13638" s="2889" t="s">
        <v>1054</v>
      </c>
      <c r="E13638" s="2889" t="s">
        <v>1420</v>
      </c>
      <c r="F13638" s="2890">
        <v>1.2995571054126465E-4</v>
      </c>
      <c r="G13638" s="2890">
        <v>0.31033741896608463</v>
      </c>
    </row>
    <row r="13639" spans="2:7" ht="15" hidden="1" outlineLevel="2">
      <c r="B13639" s="2889" t="s">
        <v>1646</v>
      </c>
      <c r="C13639" s="2889" t="s">
        <v>1494</v>
      </c>
      <c r="D13639" s="2889" t="s">
        <v>1054</v>
      </c>
      <c r="E13639" s="2889" t="s">
        <v>1420</v>
      </c>
      <c r="F13639" s="2890">
        <v>3.5436137779463197E-5</v>
      </c>
      <c r="G13639" s="2890">
        <v>0.19446432570965158</v>
      </c>
    </row>
    <row r="13640" spans="2:7" ht="15" hidden="1" outlineLevel="2">
      <c r="B13640" s="2889" t="s">
        <v>1646</v>
      </c>
      <c r="C13640" s="2889" t="s">
        <v>1495</v>
      </c>
      <c r="D13640" s="2889" t="s">
        <v>1054</v>
      </c>
      <c r="E13640" s="2889" t="s">
        <v>1420</v>
      </c>
      <c r="F13640" s="2890">
        <v>7.6686204388195687E-4</v>
      </c>
      <c r="G13640" s="2890">
        <v>3.4413602633579008</v>
      </c>
    </row>
    <row r="13641" spans="2:7" ht="15" hidden="1" outlineLevel="2">
      <c r="B13641" s="2889" t="s">
        <v>1646</v>
      </c>
      <c r="C13641" s="2889" t="s">
        <v>1496</v>
      </c>
      <c r="D13641" s="2889" t="s">
        <v>1054</v>
      </c>
      <c r="E13641" s="2889" t="s">
        <v>1420</v>
      </c>
      <c r="F13641" s="2890">
        <v>6.9572099285788449E-4</v>
      </c>
      <c r="G13641" s="2890">
        <v>1.2390878977874078</v>
      </c>
    </row>
    <row r="13642" spans="2:7" ht="15" hidden="1" outlineLevel="2">
      <c r="B13642" s="2889" t="s">
        <v>1646</v>
      </c>
      <c r="C13642" s="2889" t="s">
        <v>1497</v>
      </c>
      <c r="D13642" s="2889" t="s">
        <v>1054</v>
      </c>
      <c r="E13642" s="2889" t="s">
        <v>1420</v>
      </c>
      <c r="F13642" s="2890">
        <v>1.9303048581571325E-4</v>
      </c>
      <c r="G13642" s="2890">
        <v>3.1838116406986194</v>
      </c>
    </row>
    <row r="13643" spans="2:7" ht="15" hidden="1" outlineLevel="2">
      <c r="B13643" s="2889" t="s">
        <v>1646</v>
      </c>
      <c r="C13643" s="2889" t="s">
        <v>1498</v>
      </c>
      <c r="D13643" s="2889" t="s">
        <v>1054</v>
      </c>
      <c r="E13643" s="2889" t="s">
        <v>1420</v>
      </c>
      <c r="F13643" s="2890">
        <v>5.2764218091916272E-4</v>
      </c>
      <c r="G13643" s="2890">
        <v>1.2680786430598392</v>
      </c>
    </row>
    <row r="13644" spans="2:7" ht="15" hidden="1" outlineLevel="2">
      <c r="B13644" s="2889" t="s">
        <v>1646</v>
      </c>
      <c r="C13644" s="2889" t="s">
        <v>1499</v>
      </c>
      <c r="D13644" s="2889" t="s">
        <v>1054</v>
      </c>
      <c r="E13644" s="2889" t="s">
        <v>1420</v>
      </c>
      <c r="F13644" s="2890">
        <v>8.0585429639697329E-5</v>
      </c>
      <c r="G13644" s="2890">
        <v>0.20405229643734488</v>
      </c>
    </row>
    <row r="13645" spans="2:7" ht="15" hidden="1" outlineLevel="2">
      <c r="B13645" s="2889" t="s">
        <v>1646</v>
      </c>
      <c r="C13645" s="2889" t="s">
        <v>1500</v>
      </c>
      <c r="D13645" s="2889" t="s">
        <v>1054</v>
      </c>
      <c r="E13645" s="2889" t="s">
        <v>1420</v>
      </c>
      <c r="F13645" s="2890">
        <v>5.8369579392739319E-4</v>
      </c>
      <c r="G13645" s="2890">
        <v>2.2074004973738268</v>
      </c>
    </row>
    <row r="13646" spans="2:7" ht="15" hidden="1" outlineLevel="2">
      <c r="B13646" s="2889" t="s">
        <v>1646</v>
      </c>
      <c r="C13646" s="2889" t="s">
        <v>1501</v>
      </c>
      <c r="D13646" s="2889" t="s">
        <v>1054</v>
      </c>
      <c r="E13646" s="2889" t="s">
        <v>1420</v>
      </c>
      <c r="F13646" s="2890">
        <v>7.3208080467443968E-4</v>
      </c>
      <c r="G13646" s="2890">
        <v>5.3751369460617378</v>
      </c>
    </row>
    <row r="13647" spans="2:7" ht="15" hidden="1" outlineLevel="2">
      <c r="B13647" s="2889" t="s">
        <v>1646</v>
      </c>
      <c r="C13647" s="2889" t="s">
        <v>1502</v>
      </c>
      <c r="D13647" s="2889" t="s">
        <v>1054</v>
      </c>
      <c r="E13647" s="2889" t="s">
        <v>1420</v>
      </c>
      <c r="F13647" s="2890">
        <v>5.1081081904668311E-5</v>
      </c>
      <c r="G13647" s="2890">
        <v>0.56149434600610026</v>
      </c>
    </row>
    <row r="13648" spans="2:7" ht="15" hidden="1" outlineLevel="2">
      <c r="B13648" s="2889" t="s">
        <v>1646</v>
      </c>
      <c r="C13648" s="2889" t="s">
        <v>1503</v>
      </c>
      <c r="D13648" s="2889" t="s">
        <v>1054</v>
      </c>
      <c r="E13648" s="2889" t="s">
        <v>1420</v>
      </c>
      <c r="F13648" s="2890">
        <v>1.6846074023102822E-3</v>
      </c>
      <c r="G13648" s="2890">
        <v>4.6512135284501657</v>
      </c>
    </row>
    <row r="13649" spans="2:7" ht="15" hidden="1" outlineLevel="2">
      <c r="B13649" s="2889" t="s">
        <v>1646</v>
      </c>
      <c r="C13649" s="2889" t="s">
        <v>1504</v>
      </c>
      <c r="D13649" s="2889" t="s">
        <v>1054</v>
      </c>
      <c r="E13649" s="2889" t="s">
        <v>1420</v>
      </c>
      <c r="F13649" s="2890">
        <v>8.6896885393872411E-4</v>
      </c>
      <c r="G13649" s="2890">
        <v>1.9234701997945758</v>
      </c>
    </row>
    <row r="13650" spans="2:7" ht="15" hidden="1" outlineLevel="2">
      <c r="B13650" s="2889" t="s">
        <v>1646</v>
      </c>
      <c r="C13650" s="2889" t="s">
        <v>1505</v>
      </c>
      <c r="D13650" s="2889" t="s">
        <v>1054</v>
      </c>
      <c r="E13650" s="2889" t="s">
        <v>1423</v>
      </c>
      <c r="F13650" s="2890">
        <v>2.4642046781924443E-3</v>
      </c>
      <c r="G13650" s="2890">
        <v>6.0983751720908128E-2</v>
      </c>
    </row>
    <row r="13651" spans="2:7" ht="15" hidden="1" outlineLevel="2">
      <c r="B13651" s="2889" t="s">
        <v>1646</v>
      </c>
      <c r="C13651" s="2889" t="s">
        <v>1506</v>
      </c>
      <c r="D13651" s="2889" t="s">
        <v>1054</v>
      </c>
      <c r="E13651" s="2889" t="s">
        <v>1426</v>
      </c>
      <c r="F13651" s="2891"/>
      <c r="G13651" s="2890">
        <v>181.06783786850019</v>
      </c>
    </row>
    <row r="13652" spans="2:7" ht="15" hidden="1" outlineLevel="2">
      <c r="B13652" s="2889" t="s">
        <v>1646</v>
      </c>
      <c r="C13652" s="2889" t="s">
        <v>1507</v>
      </c>
      <c r="D13652" s="2889" t="s">
        <v>1054</v>
      </c>
      <c r="E13652" s="2889" t="s">
        <v>1426</v>
      </c>
      <c r="F13652" s="2891"/>
      <c r="G13652" s="2890">
        <v>0.29515285363729743</v>
      </c>
    </row>
    <row r="13653" spans="2:7" ht="15" hidden="1" outlineLevel="2">
      <c r="B13653" s="2889" t="s">
        <v>1646</v>
      </c>
      <c r="C13653" s="2889" t="s">
        <v>1508</v>
      </c>
      <c r="D13653" s="2889" t="s">
        <v>1054</v>
      </c>
      <c r="E13653" s="2889" t="s">
        <v>1426</v>
      </c>
      <c r="F13653" s="2891"/>
      <c r="G13653" s="2890">
        <v>4.8625395398210305</v>
      </c>
    </row>
    <row r="13654" spans="2:7" ht="15" hidden="1" outlineLevel="2">
      <c r="B13654" s="2889" t="s">
        <v>1646</v>
      </c>
      <c r="C13654" s="2889" t="s">
        <v>1509</v>
      </c>
      <c r="D13654" s="2889" t="s">
        <v>1054</v>
      </c>
      <c r="E13654" s="2889" t="s">
        <v>1426</v>
      </c>
      <c r="F13654" s="2891"/>
      <c r="G13654" s="2890">
        <v>453.23406519921525</v>
      </c>
    </row>
    <row r="13655" spans="2:7" ht="15" hidden="1" outlineLevel="2">
      <c r="B13655" s="2889" t="s">
        <v>1646</v>
      </c>
      <c r="C13655" s="2889" t="s">
        <v>1510</v>
      </c>
      <c r="D13655" s="2889" t="s">
        <v>1054</v>
      </c>
      <c r="E13655" s="2889" t="s">
        <v>1426</v>
      </c>
      <c r="F13655" s="2891"/>
      <c r="G13655" s="2890">
        <v>493.02326910069604</v>
      </c>
    </row>
    <row r="13656" spans="2:7" ht="15" hidden="1" outlineLevel="2">
      <c r="B13656" s="2889" t="s">
        <v>1646</v>
      </c>
      <c r="C13656" s="2889" t="s">
        <v>1511</v>
      </c>
      <c r="D13656" s="2889" t="s">
        <v>1054</v>
      </c>
      <c r="E13656" s="2889" t="s">
        <v>1426</v>
      </c>
      <c r="F13656" s="2891"/>
      <c r="G13656" s="2890">
        <v>27.162338682803796</v>
      </c>
    </row>
    <row r="13657" spans="2:7" ht="15" hidden="1" outlineLevel="2">
      <c r="B13657" s="2889" t="s">
        <v>1646</v>
      </c>
      <c r="C13657" s="2889" t="s">
        <v>1512</v>
      </c>
      <c r="D13657" s="2889" t="s">
        <v>1054</v>
      </c>
      <c r="E13657" s="2889" t="s">
        <v>1426</v>
      </c>
      <c r="F13657" s="2891"/>
      <c r="G13657" s="2890">
        <v>16.765403730806362</v>
      </c>
    </row>
    <row r="13658" spans="2:7" ht="15" hidden="1" outlineLevel="2">
      <c r="B13658" s="2889" t="s">
        <v>1646</v>
      </c>
      <c r="C13658" s="2889" t="s">
        <v>1513</v>
      </c>
      <c r="D13658" s="2889" t="s">
        <v>1054</v>
      </c>
      <c r="E13658" s="2889" t="s">
        <v>1426</v>
      </c>
      <c r="F13658" s="2891"/>
      <c r="G13658" s="2890">
        <v>50.060648739364822</v>
      </c>
    </row>
    <row r="13659" spans="2:7" ht="15" hidden="1" outlineLevel="2">
      <c r="B13659" s="2889" t="s">
        <v>1646</v>
      </c>
      <c r="C13659" s="2889" t="s">
        <v>1514</v>
      </c>
      <c r="D13659" s="2889" t="s">
        <v>1054</v>
      </c>
      <c r="E13659" s="2889" t="s">
        <v>1426</v>
      </c>
      <c r="F13659" s="2891"/>
      <c r="G13659" s="2890">
        <v>215.02023481796104</v>
      </c>
    </row>
    <row r="13660" spans="2:7" ht="15" hidden="1" outlineLevel="2">
      <c r="B13660" s="2889" t="s">
        <v>1646</v>
      </c>
      <c r="C13660" s="2889" t="s">
        <v>1515</v>
      </c>
      <c r="D13660" s="2889" t="s">
        <v>1054</v>
      </c>
      <c r="E13660" s="2889" t="s">
        <v>1426</v>
      </c>
      <c r="F13660" s="2891"/>
      <c r="G13660" s="2890">
        <v>184.89225734669745</v>
      </c>
    </row>
    <row r="13661" spans="2:7" ht="15" hidden="1" outlineLevel="2">
      <c r="B13661" s="2889" t="s">
        <v>1646</v>
      </c>
      <c r="C13661" s="2889" t="s">
        <v>1516</v>
      </c>
      <c r="D13661" s="2889" t="s">
        <v>1054</v>
      </c>
      <c r="E13661" s="2889" t="s">
        <v>1426</v>
      </c>
      <c r="F13661" s="2891"/>
      <c r="G13661" s="2890">
        <v>1836.7843482009732</v>
      </c>
    </row>
    <row r="13662" spans="2:7" ht="15" hidden="1" outlineLevel="2">
      <c r="B13662" s="2889" t="s">
        <v>1646</v>
      </c>
      <c r="C13662" s="2889" t="s">
        <v>1517</v>
      </c>
      <c r="D13662" s="2889" t="s">
        <v>1054</v>
      </c>
      <c r="E13662" s="2889" t="s">
        <v>1426</v>
      </c>
      <c r="F13662" s="2891"/>
      <c r="G13662" s="2890">
        <v>15.236038998859803</v>
      </c>
    </row>
    <row r="13663" spans="2:7" ht="15" hidden="1" outlineLevel="2">
      <c r="B13663" s="2889" t="s">
        <v>1646</v>
      </c>
      <c r="C13663" s="2889" t="s">
        <v>1518</v>
      </c>
      <c r="D13663" s="2889" t="s">
        <v>1054</v>
      </c>
      <c r="E13663" s="2889" t="s">
        <v>1426</v>
      </c>
      <c r="F13663" s="2891"/>
      <c r="G13663" s="2890">
        <v>7.196676554716908</v>
      </c>
    </row>
    <row r="13664" spans="2:7" ht="15" hidden="1" outlineLevel="2">
      <c r="B13664" s="2889" t="s">
        <v>1646</v>
      </c>
      <c r="C13664" s="2889" t="s">
        <v>1519</v>
      </c>
      <c r="D13664" s="2889" t="s">
        <v>1054</v>
      </c>
      <c r="E13664" s="2889" t="s">
        <v>1426</v>
      </c>
      <c r="F13664" s="2891"/>
      <c r="G13664" s="2890">
        <v>419.50558772218881</v>
      </c>
    </row>
    <row r="13665" spans="2:7" ht="15" hidden="1" outlineLevel="2">
      <c r="B13665" s="2889" t="s">
        <v>1646</v>
      </c>
      <c r="C13665" s="2889" t="s">
        <v>1520</v>
      </c>
      <c r="D13665" s="2889" t="s">
        <v>1054</v>
      </c>
      <c r="E13665" s="2889" t="s">
        <v>1426</v>
      </c>
      <c r="F13665" s="2891"/>
      <c r="G13665" s="2890">
        <v>456.98052691878041</v>
      </c>
    </row>
    <row r="13666" spans="2:7" ht="15" hidden="1" outlineLevel="2">
      <c r="B13666" s="2889" t="s">
        <v>1646</v>
      </c>
      <c r="C13666" s="2889" t="s">
        <v>1521</v>
      </c>
      <c r="D13666" s="2889" t="s">
        <v>1054</v>
      </c>
      <c r="E13666" s="2889" t="s">
        <v>1426</v>
      </c>
      <c r="F13666" s="2891"/>
      <c r="G13666" s="2890">
        <v>1570.9897941658785</v>
      </c>
    </row>
    <row r="13667" spans="2:7" ht="15" hidden="1" outlineLevel="2">
      <c r="B13667" s="2889" t="s">
        <v>1646</v>
      </c>
      <c r="C13667" s="2889" t="s">
        <v>1522</v>
      </c>
      <c r="D13667" s="2889" t="s">
        <v>1054</v>
      </c>
      <c r="E13667" s="2889" t="s">
        <v>1426</v>
      </c>
      <c r="F13667" s="2891"/>
      <c r="G13667" s="2890">
        <v>73.960017915935055</v>
      </c>
    </row>
    <row r="13668" spans="2:7" ht="15" hidden="1" outlineLevel="2">
      <c r="B13668" s="2889" t="s">
        <v>1646</v>
      </c>
      <c r="C13668" s="2889" t="s">
        <v>1523</v>
      </c>
      <c r="D13668" s="2889" t="s">
        <v>1054</v>
      </c>
      <c r="E13668" s="2889" t="s">
        <v>1426</v>
      </c>
      <c r="F13668" s="2891"/>
      <c r="G13668" s="2890">
        <v>587.93260276973638</v>
      </c>
    </row>
    <row r="13669" spans="2:7" ht="15" hidden="1" outlineLevel="2">
      <c r="B13669" s="2889" t="s">
        <v>1646</v>
      </c>
      <c r="C13669" s="2889" t="s">
        <v>1524</v>
      </c>
      <c r="D13669" s="2889" t="s">
        <v>1054</v>
      </c>
      <c r="E13669" s="2889" t="s">
        <v>1426</v>
      </c>
      <c r="F13669" s="2891"/>
      <c r="G13669" s="2890">
        <v>1999.2629935600512</v>
      </c>
    </row>
    <row r="13670" spans="2:7" ht="15" hidden="1" outlineLevel="2">
      <c r="B13670" s="2889" t="s">
        <v>1646</v>
      </c>
      <c r="C13670" s="2889" t="s">
        <v>1525</v>
      </c>
      <c r="D13670" s="2889" t="s">
        <v>1054</v>
      </c>
      <c r="E13670" s="2889" t="s">
        <v>1426</v>
      </c>
      <c r="F13670" s="2891"/>
      <c r="G13670" s="2890">
        <v>1212.4316585436497</v>
      </c>
    </row>
    <row r="13671" spans="2:7" ht="15" hidden="1" outlineLevel="2">
      <c r="B13671" s="2889" t="s">
        <v>1646</v>
      </c>
      <c r="C13671" s="2889" t="s">
        <v>1526</v>
      </c>
      <c r="D13671" s="2889" t="s">
        <v>1054</v>
      </c>
      <c r="E13671" s="2889" t="s">
        <v>1426</v>
      </c>
      <c r="F13671" s="2891"/>
      <c r="G13671" s="2890">
        <v>1829.7161603422257</v>
      </c>
    </row>
    <row r="13672" spans="2:7" ht="15" hidden="1" outlineLevel="2">
      <c r="B13672" s="2889" t="s">
        <v>1646</v>
      </c>
      <c r="C13672" s="2889" t="s">
        <v>1527</v>
      </c>
      <c r="D13672" s="2889" t="s">
        <v>1054</v>
      </c>
      <c r="E13672" s="2889" t="s">
        <v>1426</v>
      </c>
      <c r="F13672" s="2891"/>
      <c r="G13672" s="2890">
        <v>831.35375265490632</v>
      </c>
    </row>
    <row r="13673" spans="2:7" ht="15" hidden="1" outlineLevel="2">
      <c r="B13673" s="2889" t="s">
        <v>1646</v>
      </c>
      <c r="C13673" s="2889" t="s">
        <v>1528</v>
      </c>
      <c r="D13673" s="2889" t="s">
        <v>1054</v>
      </c>
      <c r="E13673" s="2889" t="s">
        <v>1426</v>
      </c>
      <c r="F13673" s="2891"/>
      <c r="G13673" s="2890">
        <v>196.80779134380657</v>
      </c>
    </row>
    <row r="13674" spans="2:7" ht="15" hidden="1" outlineLevel="2">
      <c r="B13674" s="2889" t="s">
        <v>1646</v>
      </c>
      <c r="C13674" s="2889" t="s">
        <v>1529</v>
      </c>
      <c r="D13674" s="2889" t="s">
        <v>1054</v>
      </c>
      <c r="E13674" s="2889" t="s">
        <v>1426</v>
      </c>
      <c r="F13674" s="2891"/>
      <c r="G13674" s="2890">
        <v>2.5614636093655632</v>
      </c>
    </row>
    <row r="13675" spans="2:7" ht="15" hidden="1" outlineLevel="2">
      <c r="B13675" s="2889" t="s">
        <v>1646</v>
      </c>
      <c r="C13675" s="2889" t="s">
        <v>1530</v>
      </c>
      <c r="D13675" s="2889" t="s">
        <v>1054</v>
      </c>
      <c r="E13675" s="2889" t="s">
        <v>1426</v>
      </c>
      <c r="F13675" s="2891"/>
      <c r="G13675" s="2890">
        <v>188.58865680609452</v>
      </c>
    </row>
    <row r="13676" spans="2:7" ht="15" hidden="1" outlineLevel="2">
      <c r="B13676" s="2889" t="s">
        <v>1646</v>
      </c>
      <c r="C13676" s="2889" t="s">
        <v>1531</v>
      </c>
      <c r="D13676" s="2889" t="s">
        <v>1106</v>
      </c>
      <c r="E13676" s="2889" t="s">
        <v>217</v>
      </c>
      <c r="F13676" s="2890">
        <v>7.8012321424761737E-5</v>
      </c>
      <c r="G13676" s="2890">
        <v>3.4972755859109285E-2</v>
      </c>
    </row>
    <row r="13677" spans="2:7" ht="15" hidden="1" outlineLevel="2">
      <c r="B13677" s="2889" t="s">
        <v>1646</v>
      </c>
      <c r="C13677" s="2889" t="s">
        <v>1532</v>
      </c>
      <c r="D13677" s="2889" t="s">
        <v>1106</v>
      </c>
      <c r="E13677" s="2889" t="s">
        <v>217</v>
      </c>
      <c r="F13677" s="2890">
        <v>6.1441517122064699E-6</v>
      </c>
      <c r="G13677" s="2890">
        <v>2.7544153879955108E-3</v>
      </c>
    </row>
    <row r="13678" spans="2:7" ht="15" hidden="1" outlineLevel="2">
      <c r="B13678" s="2889" t="s">
        <v>1646</v>
      </c>
      <c r="C13678" s="2889" t="s">
        <v>1533</v>
      </c>
      <c r="D13678" s="2889" t="s">
        <v>1106</v>
      </c>
      <c r="E13678" s="2889" t="s">
        <v>217</v>
      </c>
      <c r="F13678" s="2890">
        <v>3.9989941401296861E-3</v>
      </c>
      <c r="G13678" s="2890">
        <v>4.2538944306374269</v>
      </c>
    </row>
    <row r="13679" spans="2:7" ht="15" hidden="1" outlineLevel="2">
      <c r="B13679" s="2889" t="s">
        <v>1646</v>
      </c>
      <c r="C13679" s="2889" t="s">
        <v>1534</v>
      </c>
      <c r="D13679" s="2889" t="s">
        <v>1106</v>
      </c>
      <c r="E13679" s="2889" t="s">
        <v>217</v>
      </c>
      <c r="F13679" s="2890">
        <v>3.6359566733543025E-3</v>
      </c>
      <c r="G13679" s="2890">
        <v>12.59693507885504</v>
      </c>
    </row>
    <row r="13680" spans="2:7" ht="15" hidden="1" outlineLevel="2">
      <c r="B13680" s="2889" t="s">
        <v>1646</v>
      </c>
      <c r="C13680" s="2889" t="s">
        <v>1535</v>
      </c>
      <c r="D13680" s="2889" t="s">
        <v>1106</v>
      </c>
      <c r="E13680" s="2889" t="s">
        <v>217</v>
      </c>
      <c r="F13680" s="2890">
        <v>1.3604175515727467E-3</v>
      </c>
      <c r="G13680" s="2890">
        <v>3.1813843841201241</v>
      </c>
    </row>
    <row r="13681" spans="2:7" ht="15" hidden="1" outlineLevel="2">
      <c r="B13681" s="2889" t="s">
        <v>1646</v>
      </c>
      <c r="C13681" s="2889" t="s">
        <v>1536</v>
      </c>
      <c r="D13681" s="2889" t="s">
        <v>1106</v>
      </c>
      <c r="E13681" s="2889" t="s">
        <v>217</v>
      </c>
      <c r="F13681" s="2890">
        <v>4.5643249844521429E-3</v>
      </c>
      <c r="G13681" s="2890">
        <v>5.9299560942281166</v>
      </c>
    </row>
    <row r="13682" spans="2:7" ht="15" hidden="1" outlineLevel="2">
      <c r="B13682" s="2889" t="s">
        <v>1646</v>
      </c>
      <c r="C13682" s="2889" t="s">
        <v>1537</v>
      </c>
      <c r="D13682" s="2889" t="s">
        <v>1106</v>
      </c>
      <c r="E13682" s="2889" t="s">
        <v>217</v>
      </c>
      <c r="F13682" s="2890">
        <v>2.5547785497349244E-4</v>
      </c>
      <c r="G13682" s="2890">
        <v>0.29135483954579589</v>
      </c>
    </row>
    <row r="13683" spans="2:7" ht="15" hidden="1" outlineLevel="2">
      <c r="B13683" s="2889" t="s">
        <v>1646</v>
      </c>
      <c r="C13683" s="2889" t="s">
        <v>1538</v>
      </c>
      <c r="D13683" s="2889" t="s">
        <v>1106</v>
      </c>
      <c r="E13683" s="2889" t="s">
        <v>217</v>
      </c>
      <c r="F13683" s="2890">
        <v>2.1771436670036334E-4</v>
      </c>
      <c r="G13683" s="2890">
        <v>0.29326519810824753</v>
      </c>
    </row>
    <row r="13684" spans="2:7" ht="15" hidden="1" outlineLevel="2">
      <c r="B13684" s="2889" t="s">
        <v>1646</v>
      </c>
      <c r="C13684" s="2889" t="s">
        <v>1539</v>
      </c>
      <c r="D13684" s="2889" t="s">
        <v>1106</v>
      </c>
      <c r="E13684" s="2889" t="s">
        <v>217</v>
      </c>
      <c r="F13684" s="2890">
        <v>1.0038832431166092E-4</v>
      </c>
      <c r="G13684" s="2890">
        <v>1.2844919049531394</v>
      </c>
    </row>
    <row r="13685" spans="2:7" ht="15" hidden="1" outlineLevel="2">
      <c r="B13685" s="2889" t="s">
        <v>1646</v>
      </c>
      <c r="C13685" s="2889" t="s">
        <v>1540</v>
      </c>
      <c r="D13685" s="2889" t="s">
        <v>1106</v>
      </c>
      <c r="E13685" s="2889" t="s">
        <v>1420</v>
      </c>
      <c r="F13685" s="2890">
        <v>4.4407843579916126E-3</v>
      </c>
      <c r="G13685" s="2890">
        <v>10.776319439406468</v>
      </c>
    </row>
    <row r="13686" spans="2:7" ht="15" hidden="1" outlineLevel="2">
      <c r="B13686" s="2889" t="s">
        <v>1646</v>
      </c>
      <c r="C13686" s="2889" t="s">
        <v>1541</v>
      </c>
      <c r="D13686" s="2889" t="s">
        <v>1106</v>
      </c>
      <c r="E13686" s="2889" t="s">
        <v>1420</v>
      </c>
      <c r="F13686" s="2890">
        <v>0.12941497346061553</v>
      </c>
      <c r="G13686" s="2890">
        <v>952.79175273595547</v>
      </c>
    </row>
    <row r="13687" spans="2:7" ht="15" hidden="1" outlineLevel="2">
      <c r="B13687" s="2889" t="s">
        <v>1646</v>
      </c>
      <c r="C13687" s="2889" t="s">
        <v>1542</v>
      </c>
      <c r="D13687" s="2889" t="s">
        <v>1106</v>
      </c>
      <c r="E13687" s="2889" t="s">
        <v>1420</v>
      </c>
      <c r="F13687" s="2890">
        <v>6.2946669002454029E-4</v>
      </c>
      <c r="G13687" s="2890">
        <v>7.2031293184143594</v>
      </c>
    </row>
    <row r="13688" spans="2:7" ht="15" hidden="1" outlineLevel="2">
      <c r="B13688" s="2889" t="s">
        <v>1646</v>
      </c>
      <c r="C13688" s="2889" t="s">
        <v>1543</v>
      </c>
      <c r="D13688" s="2889" t="s">
        <v>1106</v>
      </c>
      <c r="E13688" s="2889" t="s">
        <v>1420</v>
      </c>
      <c r="F13688" s="2890">
        <v>2.2810347171911124E-4</v>
      </c>
      <c r="G13688" s="2890">
        <v>2.2326355767438679</v>
      </c>
    </row>
    <row r="13689" spans="2:7" ht="15" hidden="1" outlineLevel="2">
      <c r="B13689" s="2889" t="s">
        <v>1646</v>
      </c>
      <c r="C13689" s="2889" t="s">
        <v>1544</v>
      </c>
      <c r="D13689" s="2889" t="s">
        <v>1106</v>
      </c>
      <c r="E13689" s="2889" t="s">
        <v>1420</v>
      </c>
      <c r="F13689" s="2890">
        <v>2.2047488340397068E-4</v>
      </c>
      <c r="G13689" s="2890">
        <v>0.57605920607223693</v>
      </c>
    </row>
    <row r="13690" spans="2:7" ht="15" hidden="1" outlineLevel="2">
      <c r="B13690" s="2889" t="s">
        <v>1646</v>
      </c>
      <c r="C13690" s="2889" t="s">
        <v>1545</v>
      </c>
      <c r="D13690" s="2889" t="s">
        <v>1106</v>
      </c>
      <c r="E13690" s="2889" t="s">
        <v>1420</v>
      </c>
      <c r="F13690" s="2890">
        <v>2.2048398618481523E-4</v>
      </c>
      <c r="G13690" s="2890">
        <v>4.3816096456382851</v>
      </c>
    </row>
    <row r="13691" spans="2:7" ht="15" hidden="1" outlineLevel="2">
      <c r="B13691" s="2889" t="s">
        <v>1646</v>
      </c>
      <c r="C13691" s="2889" t="s">
        <v>1546</v>
      </c>
      <c r="D13691" s="2889" t="s">
        <v>1106</v>
      </c>
      <c r="E13691" s="2889" t="s">
        <v>1423</v>
      </c>
      <c r="F13691" s="2890">
        <v>0.66836366761285226</v>
      </c>
      <c r="G13691" s="2890">
        <v>56.24675521920031</v>
      </c>
    </row>
    <row r="13692" spans="2:7" ht="15" hidden="1" outlineLevel="2">
      <c r="B13692" s="2889" t="s">
        <v>1646</v>
      </c>
      <c r="C13692" s="2889" t="s">
        <v>1547</v>
      </c>
      <c r="D13692" s="2889" t="s">
        <v>1106</v>
      </c>
      <c r="E13692" s="2889" t="s">
        <v>1423</v>
      </c>
      <c r="F13692" s="2890">
        <v>7.3002420176954683E-4</v>
      </c>
      <c r="G13692" s="2890">
        <v>6.3926292161045492E-2</v>
      </c>
    </row>
    <row r="13693" spans="2:7" ht="15" hidden="1" outlineLevel="2">
      <c r="B13693" s="2889" t="s">
        <v>1646</v>
      </c>
      <c r="C13693" s="2889" t="s">
        <v>1548</v>
      </c>
      <c r="D13693" s="2889" t="s">
        <v>1106</v>
      </c>
      <c r="E13693" s="2889" t="s">
        <v>1423</v>
      </c>
      <c r="F13693" s="2890">
        <v>3.4062882605200891E-4</v>
      </c>
      <c r="G13693" s="2890">
        <v>3.4910921467933669E-2</v>
      </c>
    </row>
    <row r="13694" spans="2:7" ht="15" hidden="1" outlineLevel="2">
      <c r="B13694" s="2889" t="s">
        <v>1646</v>
      </c>
      <c r="C13694" s="2889" t="s">
        <v>1549</v>
      </c>
      <c r="D13694" s="2889" t="s">
        <v>1106</v>
      </c>
      <c r="E13694" s="2889" t="s">
        <v>1423</v>
      </c>
      <c r="F13694" s="2890">
        <v>2.8113244292540559E-3</v>
      </c>
      <c r="G13694" s="2890">
        <v>0.27684210169633239</v>
      </c>
    </row>
    <row r="13695" spans="2:7" ht="15" hidden="1" outlineLevel="2">
      <c r="B13695" s="2889" t="s">
        <v>1646</v>
      </c>
      <c r="C13695" s="2889" t="s">
        <v>1550</v>
      </c>
      <c r="D13695" s="2889" t="s">
        <v>1106</v>
      </c>
      <c r="E13695" s="2889" t="s">
        <v>1423</v>
      </c>
      <c r="F13695" s="2890">
        <v>1.1599918887828015E-3</v>
      </c>
      <c r="G13695" s="2890">
        <v>0.26085683132209403</v>
      </c>
    </row>
    <row r="13696" spans="2:7" ht="15" hidden="1" outlineLevel="2">
      <c r="B13696" s="2889" t="s">
        <v>1646</v>
      </c>
      <c r="C13696" s="2889" t="s">
        <v>1551</v>
      </c>
      <c r="D13696" s="2889" t="s">
        <v>1106</v>
      </c>
      <c r="E13696" s="2889" t="s">
        <v>1426</v>
      </c>
      <c r="F13696" s="2891"/>
      <c r="G13696" s="2890">
        <v>17.532640108658658</v>
      </c>
    </row>
    <row r="13697" spans="2:7" ht="15" hidden="1" outlineLevel="2">
      <c r="B13697" s="2889" t="s">
        <v>1646</v>
      </c>
      <c r="C13697" s="2889" t="s">
        <v>1552</v>
      </c>
      <c r="D13697" s="2889" t="s">
        <v>1106</v>
      </c>
      <c r="E13697" s="2889" t="s">
        <v>1426</v>
      </c>
      <c r="F13697" s="2891"/>
      <c r="G13697" s="2890">
        <v>254.40841713546894</v>
      </c>
    </row>
    <row r="13698" spans="2:7" ht="15" hidden="1" outlineLevel="2">
      <c r="B13698" s="2889" t="s">
        <v>1646</v>
      </c>
      <c r="C13698" s="2889" t="s">
        <v>1553</v>
      </c>
      <c r="D13698" s="2889" t="s">
        <v>1106</v>
      </c>
      <c r="E13698" s="2889" t="s">
        <v>1426</v>
      </c>
      <c r="F13698" s="2891"/>
      <c r="G13698" s="2890">
        <v>111.04100873450035</v>
      </c>
    </row>
    <row r="13699" spans="2:7" ht="15" hidden="1" outlineLevel="2">
      <c r="B13699" s="2889" t="s">
        <v>1646</v>
      </c>
      <c r="C13699" s="2889" t="s">
        <v>1554</v>
      </c>
      <c r="D13699" s="2889" t="s">
        <v>1106</v>
      </c>
      <c r="E13699" s="2889" t="s">
        <v>1426</v>
      </c>
      <c r="F13699" s="2891"/>
      <c r="G13699" s="2890">
        <v>112.70538373622929</v>
      </c>
    </row>
    <row r="13700" spans="2:7" ht="15" hidden="1" outlineLevel="2">
      <c r="B13700" s="2889" t="s">
        <v>1646</v>
      </c>
      <c r="C13700" s="2889" t="s">
        <v>1555</v>
      </c>
      <c r="D13700" s="2889" t="s">
        <v>1106</v>
      </c>
      <c r="E13700" s="2889" t="s">
        <v>1426</v>
      </c>
      <c r="F13700" s="2891"/>
      <c r="G13700" s="2890">
        <v>4.3327957042858358</v>
      </c>
    </row>
    <row r="13701" spans="2:7" ht="15" hidden="1" outlineLevel="2">
      <c r="B13701" s="2889" t="s">
        <v>1646</v>
      </c>
      <c r="C13701" s="2889" t="s">
        <v>1556</v>
      </c>
      <c r="D13701" s="2889" t="s">
        <v>1106</v>
      </c>
      <c r="E13701" s="2889" t="s">
        <v>1426</v>
      </c>
      <c r="F13701" s="2891"/>
      <c r="G13701" s="2890">
        <v>805.26417078854342</v>
      </c>
    </row>
    <row r="13702" spans="2:7" ht="15" hidden="1" outlineLevel="2">
      <c r="B13702" s="2889" t="s">
        <v>1646</v>
      </c>
      <c r="C13702" s="2889" t="s">
        <v>1557</v>
      </c>
      <c r="D13702" s="2889" t="s">
        <v>1106</v>
      </c>
      <c r="E13702" s="2889" t="s">
        <v>1426</v>
      </c>
      <c r="F13702" s="2891"/>
      <c r="G13702" s="2890">
        <v>160.16994117996566</v>
      </c>
    </row>
    <row r="13703" spans="2:7" ht="15" hidden="1" outlineLevel="2">
      <c r="B13703" s="2889" t="s">
        <v>1646</v>
      </c>
      <c r="C13703" s="2889" t="s">
        <v>1558</v>
      </c>
      <c r="D13703" s="2889" t="s">
        <v>1559</v>
      </c>
      <c r="E13703" s="2889" t="s">
        <v>217</v>
      </c>
      <c r="F13703" s="2890">
        <v>3.2279893987211877E-3</v>
      </c>
      <c r="G13703" s="2890">
        <v>1.7678116442371403</v>
      </c>
    </row>
    <row r="13704" spans="2:7" ht="15" hidden="1" outlineLevel="2">
      <c r="B13704" s="2889" t="s">
        <v>1646</v>
      </c>
      <c r="C13704" s="2889" t="s">
        <v>1560</v>
      </c>
      <c r="D13704" s="2889" t="s">
        <v>1559</v>
      </c>
      <c r="E13704" s="2889" t="s">
        <v>217</v>
      </c>
      <c r="F13704" s="2890">
        <v>2.305389681475517E-2</v>
      </c>
      <c r="G13704" s="2890">
        <v>12.441540323518446</v>
      </c>
    </row>
    <row r="13705" spans="2:7" ht="15" hidden="1" outlineLevel="2">
      <c r="B13705" s="2889" t="s">
        <v>1646</v>
      </c>
      <c r="C13705" s="2889" t="s">
        <v>1561</v>
      </c>
      <c r="D13705" s="2889" t="s">
        <v>1559</v>
      </c>
      <c r="E13705" s="2889" t="s">
        <v>217</v>
      </c>
      <c r="F13705" s="2890">
        <v>4.6314686102606487E-2</v>
      </c>
      <c r="G13705" s="2890">
        <v>24.14978190262805</v>
      </c>
    </row>
    <row r="13706" spans="2:7" ht="15" hidden="1" outlineLevel="2">
      <c r="B13706" s="2889" t="s">
        <v>1646</v>
      </c>
      <c r="C13706" s="2889" t="s">
        <v>1562</v>
      </c>
      <c r="D13706" s="2889" t="s">
        <v>1559</v>
      </c>
      <c r="E13706" s="2889" t="s">
        <v>217</v>
      </c>
      <c r="F13706" s="2890">
        <v>0.25251729605477263</v>
      </c>
      <c r="G13706" s="2890">
        <v>138.46100559364416</v>
      </c>
    </row>
    <row r="13707" spans="2:7" ht="15" hidden="1" outlineLevel="2">
      <c r="B13707" s="2889" t="s">
        <v>1646</v>
      </c>
      <c r="C13707" s="2889" t="s">
        <v>1563</v>
      </c>
      <c r="D13707" s="2889" t="s">
        <v>1559</v>
      </c>
      <c r="E13707" s="2889" t="s">
        <v>217</v>
      </c>
      <c r="F13707" s="2890">
        <v>5.7108290397329495E-2</v>
      </c>
      <c r="G13707" s="2890">
        <v>33.653883732180873</v>
      </c>
    </row>
    <row r="13708" spans="2:7" ht="15" hidden="1" outlineLevel="2">
      <c r="B13708" s="2889" t="s">
        <v>1646</v>
      </c>
      <c r="C13708" s="2889" t="s">
        <v>1564</v>
      </c>
      <c r="D13708" s="2889" t="s">
        <v>1559</v>
      </c>
      <c r="E13708" s="2889" t="s">
        <v>217</v>
      </c>
      <c r="F13708" s="2890">
        <v>0.23845677528658513</v>
      </c>
      <c r="G13708" s="2890">
        <v>120.73558897304059</v>
      </c>
    </row>
    <row r="13709" spans="2:7" ht="15" hidden="1" outlineLevel="2">
      <c r="B13709" s="2889" t="s">
        <v>1646</v>
      </c>
      <c r="C13709" s="2889" t="s">
        <v>1565</v>
      </c>
      <c r="D13709" s="2889" t="s">
        <v>1559</v>
      </c>
      <c r="E13709" s="2889" t="s">
        <v>217</v>
      </c>
      <c r="F13709" s="2890">
        <v>4.025349446983028E-2</v>
      </c>
      <c r="G13709" s="2890">
        <v>21.659575923813698</v>
      </c>
    </row>
    <row r="13710" spans="2:7" ht="15" hidden="1" outlineLevel="2">
      <c r="B13710" s="2889" t="s">
        <v>1646</v>
      </c>
      <c r="C13710" s="2889" t="s">
        <v>1566</v>
      </c>
      <c r="D13710" s="2889" t="s">
        <v>1559</v>
      </c>
      <c r="E13710" s="2889" t="s">
        <v>217</v>
      </c>
      <c r="F13710" s="2890">
        <v>0.21046445845364589</v>
      </c>
      <c r="G13710" s="2890">
        <v>112.73842024248974</v>
      </c>
    </row>
    <row r="13711" spans="2:7" ht="15" hidden="1" outlineLevel="2">
      <c r="B13711" s="2889" t="s">
        <v>1646</v>
      </c>
      <c r="C13711" s="2889" t="s">
        <v>1567</v>
      </c>
      <c r="D13711" s="2889" t="s">
        <v>1559</v>
      </c>
      <c r="E13711" s="2889" t="s">
        <v>217</v>
      </c>
      <c r="F13711" s="2890">
        <v>6.2095682530123702E-35</v>
      </c>
      <c r="G13711" s="2890">
        <v>9.1401560370201349E-33</v>
      </c>
    </row>
    <row r="13712" spans="2:7" ht="15" hidden="1" outlineLevel="2">
      <c r="B13712" s="2889" t="s">
        <v>1646</v>
      </c>
      <c r="C13712" s="2889" t="s">
        <v>1568</v>
      </c>
      <c r="D13712" s="2889" t="s">
        <v>1559</v>
      </c>
      <c r="E13712" s="2889" t="s">
        <v>217</v>
      </c>
      <c r="F13712" s="2890">
        <v>1.5050351894020445E-32</v>
      </c>
      <c r="G13712" s="2890">
        <v>2.21535422210695E-30</v>
      </c>
    </row>
    <row r="13713" spans="2:7" ht="15" hidden="1" outlineLevel="2">
      <c r="B13713" s="2889" t="s">
        <v>1646</v>
      </c>
      <c r="C13713" s="2889" t="s">
        <v>1569</v>
      </c>
      <c r="D13713" s="2889" t="s">
        <v>1559</v>
      </c>
      <c r="E13713" s="2889" t="s">
        <v>217</v>
      </c>
      <c r="F13713" s="2890">
        <v>1.0310703220993256E-4</v>
      </c>
      <c r="G13713" s="2890">
        <v>5.1531026095210743E-2</v>
      </c>
    </row>
    <row r="13714" spans="2:7" ht="15" hidden="1" outlineLevel="2">
      <c r="B13714" s="2889" t="s">
        <v>1646</v>
      </c>
      <c r="C13714" s="2889" t="s">
        <v>1570</v>
      </c>
      <c r="D13714" s="2889" t="s">
        <v>1559</v>
      </c>
      <c r="E13714" s="2889" t="s">
        <v>217</v>
      </c>
      <c r="F13714" s="2890">
        <v>0.48735117625956331</v>
      </c>
      <c r="G13714" s="2890">
        <v>301.70364357940821</v>
      </c>
    </row>
    <row r="13715" spans="2:7" ht="15" hidden="1" outlineLevel="2">
      <c r="B13715" s="2889" t="s">
        <v>1646</v>
      </c>
      <c r="C13715" s="2889" t="s">
        <v>1571</v>
      </c>
      <c r="D13715" s="2889" t="s">
        <v>1559</v>
      </c>
      <c r="E13715" s="2889" t="s">
        <v>217</v>
      </c>
      <c r="F13715" s="2890">
        <v>0.29593611438135226</v>
      </c>
      <c r="G13715" s="2890">
        <v>351.94245727383708</v>
      </c>
    </row>
    <row r="13716" spans="2:7" ht="15" hidden="1" outlineLevel="2">
      <c r="B13716" s="2889" t="s">
        <v>1646</v>
      </c>
      <c r="C13716" s="2889" t="s">
        <v>1572</v>
      </c>
      <c r="D13716" s="2889" t="s">
        <v>1559</v>
      </c>
      <c r="E13716" s="2889" t="s">
        <v>217</v>
      </c>
      <c r="F13716" s="2890">
        <v>4.1198362907856022E-2</v>
      </c>
      <c r="G13716" s="2890">
        <v>25.298262586869807</v>
      </c>
    </row>
    <row r="13717" spans="2:7" ht="15" hidden="1" outlineLevel="2">
      <c r="B13717" s="2889" t="s">
        <v>1646</v>
      </c>
      <c r="C13717" s="2889" t="s">
        <v>1573</v>
      </c>
      <c r="D13717" s="2889" t="s">
        <v>1559</v>
      </c>
      <c r="E13717" s="2889" t="s">
        <v>217</v>
      </c>
      <c r="F13717" s="2890">
        <v>0.2398754986845324</v>
      </c>
      <c r="G13717" s="2890">
        <v>179.14193895399345</v>
      </c>
    </row>
    <row r="13718" spans="2:7" ht="15" hidden="1" outlineLevel="2">
      <c r="B13718" s="2889" t="s">
        <v>1646</v>
      </c>
      <c r="C13718" s="2889" t="s">
        <v>1574</v>
      </c>
      <c r="D13718" s="2889" t="s">
        <v>1559</v>
      </c>
      <c r="E13718" s="2889" t="s">
        <v>217</v>
      </c>
      <c r="F13718" s="2890">
        <v>2.2330049679702567E-3</v>
      </c>
      <c r="G13718" s="2890">
        <v>1.6795803670081322</v>
      </c>
    </row>
    <row r="13719" spans="2:7" ht="15" hidden="1" outlineLevel="2">
      <c r="B13719" s="2889" t="s">
        <v>1646</v>
      </c>
      <c r="C13719" s="2889" t="s">
        <v>1575</v>
      </c>
      <c r="D13719" s="2889" t="s">
        <v>1559</v>
      </c>
      <c r="E13719" s="2889" t="s">
        <v>217</v>
      </c>
      <c r="F13719" s="2890">
        <v>6.5763689810474117E-3</v>
      </c>
      <c r="G13719" s="2890">
        <v>8.1526997287410623</v>
      </c>
    </row>
    <row r="13720" spans="2:7" ht="15" hidden="1" outlineLevel="2">
      <c r="B13720" s="2889" t="s">
        <v>1646</v>
      </c>
      <c r="C13720" s="2889" t="s">
        <v>1576</v>
      </c>
      <c r="D13720" s="2889" t="s">
        <v>1559</v>
      </c>
      <c r="E13720" s="2889" t="s">
        <v>217</v>
      </c>
      <c r="F13720" s="2890">
        <v>4.2499890304874711E-3</v>
      </c>
      <c r="G13720" s="2890">
        <v>3.2043402270400527</v>
      </c>
    </row>
    <row r="13721" spans="2:7" ht="15" hidden="1" outlineLevel="2">
      <c r="B13721" s="2889" t="s">
        <v>1646</v>
      </c>
      <c r="C13721" s="2889" t="s">
        <v>1577</v>
      </c>
      <c r="D13721" s="2889" t="s">
        <v>1559</v>
      </c>
      <c r="E13721" s="2889" t="s">
        <v>217</v>
      </c>
      <c r="F13721" s="2890">
        <v>0.21589390174296622</v>
      </c>
      <c r="G13721" s="2890">
        <v>336.34085120632568</v>
      </c>
    </row>
    <row r="13722" spans="2:7" ht="15" hidden="1" outlineLevel="2">
      <c r="B13722" s="2889" t="s">
        <v>1646</v>
      </c>
      <c r="C13722" s="2889" t="s">
        <v>1578</v>
      </c>
      <c r="D13722" s="2889" t="s">
        <v>1559</v>
      </c>
      <c r="E13722" s="2889" t="s">
        <v>217</v>
      </c>
      <c r="F13722" s="2890">
        <v>8.3108095202818622E-34</v>
      </c>
      <c r="G13722" s="2890">
        <v>4.5305901526367279E-31</v>
      </c>
    </row>
    <row r="13723" spans="2:7" ht="15" hidden="1" outlineLevel="2">
      <c r="B13723" s="2889" t="s">
        <v>1646</v>
      </c>
      <c r="C13723" s="2889" t="s">
        <v>1579</v>
      </c>
      <c r="D13723" s="2889" t="s">
        <v>1559</v>
      </c>
      <c r="E13723" s="2889" t="s">
        <v>217</v>
      </c>
      <c r="F13723" s="2890">
        <v>1.4166399937974588E-33</v>
      </c>
      <c r="G13723" s="2890">
        <v>7.7216496175236661E-31</v>
      </c>
    </row>
    <row r="13724" spans="2:7" ht="15" hidden="1" outlineLevel="2">
      <c r="B13724" s="2889" t="s">
        <v>1646</v>
      </c>
      <c r="C13724" s="2889" t="s">
        <v>1580</v>
      </c>
      <c r="D13724" s="2889" t="s">
        <v>1559</v>
      </c>
      <c r="E13724" s="2889" t="s">
        <v>217</v>
      </c>
      <c r="F13724" s="2890">
        <v>4.7937858050997498E-2</v>
      </c>
      <c r="G13724" s="2890">
        <v>60.53571396103542</v>
      </c>
    </row>
    <row r="13725" spans="2:7" ht="15" hidden="1" outlineLevel="2">
      <c r="B13725" s="2889" t="s">
        <v>1646</v>
      </c>
      <c r="C13725" s="2889" t="s">
        <v>1581</v>
      </c>
      <c r="D13725" s="2889" t="s">
        <v>1559</v>
      </c>
      <c r="E13725" s="2889" t="s">
        <v>217</v>
      </c>
      <c r="F13725" s="2890">
        <v>2.7574941243579079E-2</v>
      </c>
      <c r="G13725" s="2890">
        <v>38.858443660890018</v>
      </c>
    </row>
    <row r="13726" spans="2:7" ht="15" hidden="1" outlineLevel="2">
      <c r="B13726" s="2889" t="s">
        <v>1646</v>
      </c>
      <c r="C13726" s="2889" t="s">
        <v>1582</v>
      </c>
      <c r="D13726" s="2889" t="s">
        <v>1559</v>
      </c>
      <c r="E13726" s="2889" t="s">
        <v>217</v>
      </c>
      <c r="F13726" s="2890">
        <v>3.886589186089489E-2</v>
      </c>
      <c r="G13726" s="2890">
        <v>44.228913452733536</v>
      </c>
    </row>
    <row r="13727" spans="2:7" ht="15" hidden="1" outlineLevel="2">
      <c r="B13727" s="2889" t="s">
        <v>1646</v>
      </c>
      <c r="C13727" s="2889" t="s">
        <v>1583</v>
      </c>
      <c r="D13727" s="2889" t="s">
        <v>1559</v>
      </c>
      <c r="E13727" s="2889" t="s">
        <v>217</v>
      </c>
      <c r="F13727" s="2890">
        <v>2.9952639208379993E-2</v>
      </c>
      <c r="G13727" s="2890">
        <v>20.595875227278903</v>
      </c>
    </row>
    <row r="13728" spans="2:7" ht="15" hidden="1" outlineLevel="2">
      <c r="B13728" s="2889" t="s">
        <v>1646</v>
      </c>
      <c r="C13728" s="2889" t="s">
        <v>1584</v>
      </c>
      <c r="D13728" s="2889" t="s">
        <v>1559</v>
      </c>
      <c r="E13728" s="2889" t="s">
        <v>217</v>
      </c>
      <c r="F13728" s="2890">
        <v>0.64102394752360337</v>
      </c>
      <c r="G13728" s="2890">
        <v>811.4392655361936</v>
      </c>
    </row>
    <row r="13729" spans="2:7" ht="15" hidden="1" outlineLevel="2">
      <c r="B13729" s="2889" t="s">
        <v>1646</v>
      </c>
      <c r="C13729" s="2889" t="s">
        <v>1585</v>
      </c>
      <c r="D13729" s="2889" t="s">
        <v>1559</v>
      </c>
      <c r="E13729" s="2889" t="s">
        <v>217</v>
      </c>
      <c r="F13729" s="2890">
        <v>0.37467760248391674</v>
      </c>
      <c r="G13729" s="2890">
        <v>528.10327636359659</v>
      </c>
    </row>
    <row r="13730" spans="2:7" ht="15" hidden="1" outlineLevel="2">
      <c r="B13730" s="2889" t="s">
        <v>1646</v>
      </c>
      <c r="C13730" s="2889" t="s">
        <v>1586</v>
      </c>
      <c r="D13730" s="2889" t="s">
        <v>1559</v>
      </c>
      <c r="E13730" s="2889" t="s">
        <v>217</v>
      </c>
      <c r="F13730" s="2890">
        <v>4.2180962039840342E-2</v>
      </c>
      <c r="G13730" s="2890">
        <v>88.41547822238465</v>
      </c>
    </row>
    <row r="13731" spans="2:7" ht="15" hidden="1" outlineLevel="2">
      <c r="B13731" s="2889" t="s">
        <v>1646</v>
      </c>
      <c r="C13731" s="2889" t="s">
        <v>1587</v>
      </c>
      <c r="D13731" s="2889" t="s">
        <v>1559</v>
      </c>
      <c r="E13731" s="2889" t="s">
        <v>217</v>
      </c>
      <c r="F13731" s="2890">
        <v>1.1733934741531256</v>
      </c>
      <c r="G13731" s="2890">
        <v>1703.694372615621</v>
      </c>
    </row>
    <row r="13732" spans="2:7" ht="15" hidden="1" outlineLevel="2">
      <c r="B13732" s="2889" t="s">
        <v>1646</v>
      </c>
      <c r="C13732" s="2889" t="s">
        <v>1588</v>
      </c>
      <c r="D13732" s="2889" t="s">
        <v>1559</v>
      </c>
      <c r="E13732" s="2889" t="s">
        <v>217</v>
      </c>
      <c r="F13732" s="2890">
        <v>3.6865999516488356E-2</v>
      </c>
      <c r="G13732" s="2890">
        <v>28.742216603192382</v>
      </c>
    </row>
    <row r="13733" spans="2:7" ht="15" hidden="1" outlineLevel="2">
      <c r="B13733" s="2889" t="s">
        <v>1646</v>
      </c>
      <c r="C13733" s="2889" t="s">
        <v>1589</v>
      </c>
      <c r="D13733" s="2889" t="s">
        <v>1559</v>
      </c>
      <c r="E13733" s="2889" t="s">
        <v>217</v>
      </c>
      <c r="F13733" s="2890">
        <v>6.6821869605947298E-2</v>
      </c>
      <c r="G13733" s="2890">
        <v>52.200511820278557</v>
      </c>
    </row>
    <row r="13734" spans="2:7" ht="15" hidden="1" outlineLevel="2">
      <c r="B13734" s="2889" t="s">
        <v>1646</v>
      </c>
      <c r="C13734" s="2889" t="s">
        <v>1590</v>
      </c>
      <c r="D13734" s="2889" t="s">
        <v>1559</v>
      </c>
      <c r="E13734" s="2889" t="s">
        <v>1420</v>
      </c>
      <c r="F13734" s="2890">
        <v>3.287993114765281E-3</v>
      </c>
      <c r="G13734" s="2890">
        <v>29.330259726344813</v>
      </c>
    </row>
    <row r="13735" spans="2:7" ht="15" hidden="1" outlineLevel="2">
      <c r="B13735" s="2889" t="s">
        <v>1646</v>
      </c>
      <c r="C13735" s="2889" t="s">
        <v>1591</v>
      </c>
      <c r="D13735" s="2889" t="s">
        <v>1559</v>
      </c>
      <c r="E13735" s="2889" t="s">
        <v>1426</v>
      </c>
      <c r="F13735" s="2891"/>
      <c r="G13735" s="2890">
        <v>4.5593004670123588E-2</v>
      </c>
    </row>
    <row r="13736" spans="2:7" ht="15" hidden="1" outlineLevel="2">
      <c r="B13736" s="2889" t="s">
        <v>1646</v>
      </c>
      <c r="C13736" s="2889" t="s">
        <v>1592</v>
      </c>
      <c r="D13736" s="2889" t="s">
        <v>1559</v>
      </c>
      <c r="E13736" s="2889" t="s">
        <v>1426</v>
      </c>
      <c r="F13736" s="2891"/>
      <c r="G13736" s="2890">
        <v>2.6021645822646023E-29</v>
      </c>
    </row>
    <row r="13737" spans="2:7" ht="15" hidden="1" outlineLevel="2">
      <c r="B13737" s="2889" t="s">
        <v>1646</v>
      </c>
      <c r="C13737" s="2889" t="s">
        <v>1593</v>
      </c>
      <c r="D13737" s="2889" t="s">
        <v>1559</v>
      </c>
      <c r="E13737" s="2889" t="s">
        <v>1426</v>
      </c>
      <c r="F13737" s="2891"/>
      <c r="G13737" s="2890">
        <v>318.82329993485723</v>
      </c>
    </row>
    <row r="13738" spans="2:7" ht="15" hidden="1" outlineLevel="2">
      <c r="B13738" s="2889" t="s">
        <v>1646</v>
      </c>
      <c r="C13738" s="2889" t="s">
        <v>1594</v>
      </c>
      <c r="D13738" s="2889" t="s">
        <v>1559</v>
      </c>
      <c r="E13738" s="2889" t="s">
        <v>1426</v>
      </c>
      <c r="F13738" s="2891"/>
      <c r="G13738" s="2890">
        <v>65.79431006561272</v>
      </c>
    </row>
    <row r="13739" spans="2:7" ht="15" hidden="1" outlineLevel="2">
      <c r="B13739" s="2889" t="s">
        <v>1646</v>
      </c>
      <c r="C13739" s="2889" t="s">
        <v>1595</v>
      </c>
      <c r="D13739" s="2889" t="s">
        <v>1559</v>
      </c>
      <c r="E13739" s="2889" t="s">
        <v>1426</v>
      </c>
      <c r="F13739" s="2891"/>
      <c r="G13739" s="2890">
        <v>434.06943155049373</v>
      </c>
    </row>
    <row r="13740" spans="2:7" ht="15" hidden="1" outlineLevel="2">
      <c r="B13740" s="2889" t="s">
        <v>1646</v>
      </c>
      <c r="C13740" s="2889" t="s">
        <v>1596</v>
      </c>
      <c r="D13740" s="2889" t="s">
        <v>1559</v>
      </c>
      <c r="E13740" s="2889" t="s">
        <v>1426</v>
      </c>
      <c r="F13740" s="2891"/>
      <c r="G13740" s="2890">
        <v>51.180529217185828</v>
      </c>
    </row>
    <row r="13741" spans="2:7" ht="15" hidden="1" outlineLevel="2">
      <c r="B13741" s="2889" t="s">
        <v>1646</v>
      </c>
      <c r="C13741" s="2889" t="s">
        <v>1597</v>
      </c>
      <c r="D13741" s="2889" t="s">
        <v>1559</v>
      </c>
      <c r="E13741" s="2889" t="s">
        <v>1426</v>
      </c>
      <c r="F13741" s="2891"/>
      <c r="G13741" s="2890">
        <v>1.2191520005109011</v>
      </c>
    </row>
    <row r="13742" spans="2:7" ht="15" hidden="1" outlineLevel="2">
      <c r="B13742" s="2889" t="s">
        <v>1646</v>
      </c>
      <c r="C13742" s="2889" t="s">
        <v>1598</v>
      </c>
      <c r="D13742" s="2889" t="s">
        <v>1599</v>
      </c>
      <c r="E13742" s="2889" t="s">
        <v>217</v>
      </c>
      <c r="F13742" s="2890">
        <v>1.5881696837176152E-2</v>
      </c>
      <c r="G13742" s="2890">
        <v>9.1843647376224222</v>
      </c>
    </row>
    <row r="13743" spans="2:7" ht="15" hidden="1" outlineLevel="2">
      <c r="B13743" s="2889" t="s">
        <v>1646</v>
      </c>
      <c r="C13743" s="2889" t="s">
        <v>1600</v>
      </c>
      <c r="D13743" s="2889" t="s">
        <v>1599</v>
      </c>
      <c r="E13743" s="2889" t="s">
        <v>217</v>
      </c>
      <c r="F13743" s="2890">
        <v>1.8679037591598099E-2</v>
      </c>
      <c r="G13743" s="2890">
        <v>20.680005077299526</v>
      </c>
    </row>
    <row r="13744" spans="2:7" ht="15" hidden="1" outlineLevel="2">
      <c r="B13744" s="2889" t="s">
        <v>1646</v>
      </c>
      <c r="C13744" s="2889" t="s">
        <v>1601</v>
      </c>
      <c r="D13744" s="2889" t="s">
        <v>1599</v>
      </c>
      <c r="E13744" s="2889" t="s">
        <v>217</v>
      </c>
      <c r="F13744" s="2890">
        <v>1.9160783910620856E-4</v>
      </c>
      <c r="G13744" s="2890">
        <v>0.24294332202182825</v>
      </c>
    </row>
    <row r="13745" spans="2:7" ht="15" hidden="1" outlineLevel="2">
      <c r="B13745" s="2889" t="s">
        <v>1646</v>
      </c>
      <c r="C13745" s="2889" t="s">
        <v>1602</v>
      </c>
      <c r="D13745" s="2889" t="s">
        <v>1599</v>
      </c>
      <c r="E13745" s="2889" t="s">
        <v>1426</v>
      </c>
      <c r="F13745" s="2891"/>
      <c r="G13745" s="2890">
        <v>275.20789235953862</v>
      </c>
    </row>
    <row r="13746" spans="2:7" ht="15" hidden="1" outlineLevel="2">
      <c r="B13746" s="2889" t="s">
        <v>1646</v>
      </c>
      <c r="C13746" s="2889" t="s">
        <v>1603</v>
      </c>
      <c r="D13746" s="2889" t="s">
        <v>1604</v>
      </c>
      <c r="E13746" s="2889" t="s">
        <v>217</v>
      </c>
      <c r="F13746" s="2890">
        <v>3.5159328099357565E-38</v>
      </c>
      <c r="G13746" s="2890">
        <v>4.2522794678666422E-35</v>
      </c>
    </row>
    <row r="13747" spans="2:7" ht="15" hidden="1" outlineLevel="2">
      <c r="B13747" s="2889" t="s">
        <v>1646</v>
      </c>
      <c r="C13747" s="2889" t="s">
        <v>1605</v>
      </c>
      <c r="D13747" s="2889" t="s">
        <v>1604</v>
      </c>
      <c r="E13747" s="2889" t="s">
        <v>1423</v>
      </c>
      <c r="F13747" s="2890">
        <v>3.1361515209010083E-33</v>
      </c>
      <c r="G13747" s="2890">
        <v>7.3601632656396091E-31</v>
      </c>
    </row>
    <row r="13748" spans="2:7" ht="15" hidden="1" outlineLevel="2">
      <c r="B13748" s="2889" t="s">
        <v>1646</v>
      </c>
      <c r="C13748" s="2889" t="s">
        <v>1606</v>
      </c>
      <c r="D13748" s="2889" t="s">
        <v>1604</v>
      </c>
      <c r="E13748" s="2889" t="s">
        <v>1426</v>
      </c>
      <c r="F13748" s="2891"/>
      <c r="G13748" s="2890">
        <v>7.9720101268876426E-32</v>
      </c>
    </row>
    <row r="13749" spans="2:7" ht="15" hidden="1" outlineLevel="2">
      <c r="B13749" s="2889" t="s">
        <v>1646</v>
      </c>
      <c r="C13749" s="2889" t="s">
        <v>1607</v>
      </c>
      <c r="D13749" s="2889" t="s">
        <v>1608</v>
      </c>
      <c r="E13749" s="2889" t="s">
        <v>217</v>
      </c>
      <c r="F13749" s="2890">
        <v>6.8877848610785088</v>
      </c>
      <c r="G13749" s="2890">
        <v>5658.8955671568156</v>
      </c>
    </row>
    <row r="13750" spans="2:7" ht="15" hidden="1" outlineLevel="2">
      <c r="B13750" s="2889" t="s">
        <v>1646</v>
      </c>
      <c r="C13750" s="2889" t="s">
        <v>1609</v>
      </c>
      <c r="D13750" s="2889" t="s">
        <v>1608</v>
      </c>
      <c r="E13750" s="2889" t="s">
        <v>217</v>
      </c>
      <c r="F13750" s="2890">
        <v>2.9992643496934219</v>
      </c>
      <c r="G13750" s="2890">
        <v>2388.0395303941291</v>
      </c>
    </row>
    <row r="13751" spans="2:7" ht="15" hidden="1" outlineLevel="2">
      <c r="B13751" s="2889" t="s">
        <v>1646</v>
      </c>
      <c r="C13751" s="2889" t="s">
        <v>1610</v>
      </c>
      <c r="D13751" s="2889" t="s">
        <v>1608</v>
      </c>
      <c r="E13751" s="2889" t="s">
        <v>217</v>
      </c>
      <c r="F13751" s="2890">
        <v>3.0624103999620766</v>
      </c>
      <c r="G13751" s="2890">
        <v>4759.6141277090555</v>
      </c>
    </row>
    <row r="13752" spans="2:7" ht="15" hidden="1" outlineLevel="2">
      <c r="B13752" s="2889" t="s">
        <v>1646</v>
      </c>
      <c r="C13752" s="2889" t="s">
        <v>1611</v>
      </c>
      <c r="D13752" s="2889" t="s">
        <v>1608</v>
      </c>
      <c r="E13752" s="2889" t="s">
        <v>1612</v>
      </c>
      <c r="F13752" s="2891"/>
      <c r="G13752" s="2890">
        <v>4237.7929754077741</v>
      </c>
    </row>
    <row r="13753" spans="2:7" ht="15" hidden="1" outlineLevel="2">
      <c r="B13753" s="2889" t="s">
        <v>1646</v>
      </c>
      <c r="C13753" s="2889" t="s">
        <v>1613</v>
      </c>
      <c r="D13753" s="2889" t="s">
        <v>1608</v>
      </c>
      <c r="E13753" s="2889" t="s">
        <v>1612</v>
      </c>
      <c r="F13753" s="2891"/>
      <c r="G13753" s="2890">
        <v>13.252565271885237</v>
      </c>
    </row>
    <row r="13754" spans="2:7" ht="15" hidden="1" outlineLevel="2">
      <c r="B13754" s="2889" t="s">
        <v>1646</v>
      </c>
      <c r="C13754" s="2889" t="s">
        <v>1614</v>
      </c>
      <c r="D13754" s="2889" t="s">
        <v>1615</v>
      </c>
      <c r="E13754" s="2889" t="s">
        <v>1426</v>
      </c>
      <c r="F13754" s="2891"/>
      <c r="G13754" s="2890">
        <v>1.0428807545197997E-29</v>
      </c>
    </row>
    <row r="13755" spans="2:7" ht="15" hidden="1" outlineLevel="2">
      <c r="B13755" s="2889" t="s">
        <v>1646</v>
      </c>
      <c r="C13755" s="2889" t="s">
        <v>1616</v>
      </c>
      <c r="D13755" s="2889" t="s">
        <v>1615</v>
      </c>
      <c r="E13755" s="2889" t="s">
        <v>217</v>
      </c>
      <c r="F13755" s="2890">
        <v>1.009667838308136E-34</v>
      </c>
      <c r="G13755" s="2890">
        <v>1.3798314681467367E-31</v>
      </c>
    </row>
    <row r="13756" spans="2:7" ht="15" hidden="1" outlineLevel="2">
      <c r="B13756" s="2889" t="s">
        <v>1646</v>
      </c>
      <c r="C13756" s="2889" t="s">
        <v>1617</v>
      </c>
      <c r="D13756" s="2889" t="s">
        <v>1615</v>
      </c>
      <c r="E13756" s="2889" t="s">
        <v>1420</v>
      </c>
      <c r="F13756" s="2890">
        <v>1.32122078885608E-40</v>
      </c>
      <c r="G13756" s="2890">
        <v>3.8274928299855871E-37</v>
      </c>
    </row>
    <row r="13757" spans="2:7" ht="15" hidden="1" outlineLevel="2">
      <c r="B13757" s="2889" t="s">
        <v>1646</v>
      </c>
      <c r="C13757" s="2889" t="s">
        <v>1618</v>
      </c>
      <c r="D13757" s="2889" t="s">
        <v>1619</v>
      </c>
      <c r="E13757" s="2889" t="s">
        <v>217</v>
      </c>
      <c r="F13757" s="2890">
        <v>0.94101062915501865</v>
      </c>
      <c r="G13757" s="2890">
        <v>238.55749708809904</v>
      </c>
    </row>
    <row r="13758" spans="2:7" ht="15" hidden="1" outlineLevel="2">
      <c r="B13758" s="2889" t="s">
        <v>1646</v>
      </c>
      <c r="C13758" s="2889" t="s">
        <v>1620</v>
      </c>
      <c r="D13758" s="2889" t="s">
        <v>1619</v>
      </c>
      <c r="E13758" s="2889" t="s">
        <v>217</v>
      </c>
      <c r="F13758" s="2890">
        <v>1.6991312156860277E-33</v>
      </c>
      <c r="G13758" s="2890">
        <v>2.0717209505030632E-30</v>
      </c>
    </row>
    <row r="13759" spans="2:7" ht="15" hidden="1" outlineLevel="2">
      <c r="B13759" s="2889" t="s">
        <v>1646</v>
      </c>
      <c r="C13759" s="2889" t="s">
        <v>1621</v>
      </c>
      <c r="D13759" s="2889" t="s">
        <v>1619</v>
      </c>
      <c r="E13759" s="2889" t="s">
        <v>217</v>
      </c>
      <c r="F13759" s="2890">
        <v>1.0079476137810657</v>
      </c>
      <c r="G13759" s="2890">
        <v>275.45650629490206</v>
      </c>
    </row>
    <row r="13760" spans="2:7" ht="15" hidden="1" outlineLevel="2">
      <c r="B13760" s="2889" t="s">
        <v>1646</v>
      </c>
      <c r="C13760" s="2889" t="s">
        <v>1622</v>
      </c>
      <c r="D13760" s="2889" t="s">
        <v>1619</v>
      </c>
      <c r="E13760" s="2889" t="s">
        <v>217</v>
      </c>
      <c r="F13760" s="2890">
        <v>6.4544225624817819E-2</v>
      </c>
      <c r="G13760" s="2890">
        <v>70.81972060486072</v>
      </c>
    </row>
    <row r="13761" spans="2:7" ht="15" hidden="1" outlineLevel="2">
      <c r="B13761" s="2889" t="s">
        <v>1646</v>
      </c>
      <c r="C13761" s="2889" t="s">
        <v>1623</v>
      </c>
      <c r="D13761" s="2889" t="s">
        <v>1619</v>
      </c>
      <c r="E13761" s="2889" t="s">
        <v>217</v>
      </c>
      <c r="F13761" s="2890">
        <v>0.16621355563624429</v>
      </c>
      <c r="G13761" s="2890">
        <v>115.27355122570387</v>
      </c>
    </row>
    <row r="13762" spans="2:7" ht="15" hidden="1" outlineLevel="2">
      <c r="B13762" s="2889" t="s">
        <v>1646</v>
      </c>
      <c r="C13762" s="2889" t="s">
        <v>1624</v>
      </c>
      <c r="D13762" s="2889" t="s">
        <v>1619</v>
      </c>
      <c r="E13762" s="2889" t="s">
        <v>217</v>
      </c>
      <c r="F13762" s="2890">
        <v>1.4391035310394586</v>
      </c>
      <c r="G13762" s="2890">
        <v>1228.6675850515908</v>
      </c>
    </row>
    <row r="13763" spans="2:7" ht="15" hidden="1" outlineLevel="2">
      <c r="B13763" s="2889" t="s">
        <v>1646</v>
      </c>
      <c r="C13763" s="2889" t="s">
        <v>1625</v>
      </c>
      <c r="D13763" s="2889" t="s">
        <v>1619</v>
      </c>
      <c r="E13763" s="2889" t="s">
        <v>217</v>
      </c>
      <c r="F13763" s="2890">
        <v>0.13329244432360812</v>
      </c>
      <c r="G13763" s="2890">
        <v>172.66211907688304</v>
      </c>
    </row>
    <row r="13764" spans="2:7" ht="15" hidden="1" outlineLevel="2">
      <c r="B13764" s="2889" t="s">
        <v>1646</v>
      </c>
      <c r="C13764" s="2889" t="s">
        <v>1626</v>
      </c>
      <c r="D13764" s="2889" t="s">
        <v>1619</v>
      </c>
      <c r="E13764" s="2889" t="s">
        <v>217</v>
      </c>
      <c r="F13764" s="2890">
        <v>8.7859788630252747E-2</v>
      </c>
      <c r="G13764" s="2890">
        <v>69.103759182832647</v>
      </c>
    </row>
    <row r="13765" spans="2:7" ht="15" hidden="1" outlineLevel="2">
      <c r="B13765" s="2889" t="s">
        <v>1646</v>
      </c>
      <c r="C13765" s="2889" t="s">
        <v>1627</v>
      </c>
      <c r="D13765" s="2889" t="s">
        <v>1619</v>
      </c>
      <c r="E13765" s="2889" t="s">
        <v>1420</v>
      </c>
      <c r="F13765" s="2890">
        <v>2.8608091219981288E-3</v>
      </c>
      <c r="G13765" s="2890">
        <v>4.7794929595290334</v>
      </c>
    </row>
    <row r="13766" spans="2:7" ht="15" hidden="1" outlineLevel="2">
      <c r="B13766" s="2889" t="s">
        <v>1646</v>
      </c>
      <c r="C13766" s="2889" t="s">
        <v>1628</v>
      </c>
      <c r="D13766" s="2889" t="s">
        <v>1619</v>
      </c>
      <c r="E13766" s="2889" t="s">
        <v>1426</v>
      </c>
      <c r="F13766" s="2891"/>
      <c r="G13766" s="2890">
        <v>94.729131698517364</v>
      </c>
    </row>
    <row r="13767" spans="2:7" ht="15" hidden="1" outlineLevel="2">
      <c r="B13767" s="2889" t="s">
        <v>1646</v>
      </c>
      <c r="C13767" s="2889" t="s">
        <v>1629</v>
      </c>
      <c r="D13767" s="2889" t="s">
        <v>1630</v>
      </c>
      <c r="E13767" s="2889" t="s">
        <v>1426</v>
      </c>
      <c r="F13767" s="2891"/>
      <c r="G13767" s="2890">
        <v>1.0497217153884028E-29</v>
      </c>
    </row>
    <row r="13768" spans="2:7" ht="15" outlineLevel="1" collapsed="1">
      <c r="B13768" s="3042" t="s">
        <v>1716</v>
      </c>
      <c r="C13768" s="2889"/>
      <c r="D13768" s="2889"/>
      <c r="E13768" s="2889"/>
      <c r="F13768" s="2891">
        <f>SUBTOTAL(9,F13557:F13767)</f>
        <v>25.778456893298383</v>
      </c>
      <c r="G13768" s="2890">
        <f>SUBTOTAL(9,G13557:G13767)</f>
        <v>65668.054762362779</v>
      </c>
    </row>
    <row r="13769" spans="2:7" ht="15" hidden="1" outlineLevel="2">
      <c r="B13769" s="2889" t="s">
        <v>1647</v>
      </c>
      <c r="C13769" s="2889" t="s">
        <v>1408</v>
      </c>
      <c r="D13769" s="2889" t="s">
        <v>197</v>
      </c>
      <c r="E13769" s="2889" t="s">
        <v>217</v>
      </c>
      <c r="F13769" s="2890">
        <v>1.0574738608080301E-3</v>
      </c>
      <c r="G13769" s="2890">
        <v>0.64499215720162451</v>
      </c>
    </row>
    <row r="13770" spans="2:7" ht="15" hidden="1" outlineLevel="2">
      <c r="B13770" s="2889" t="s">
        <v>1647</v>
      </c>
      <c r="C13770" s="2889" t="s">
        <v>1409</v>
      </c>
      <c r="D13770" s="2889" t="s">
        <v>197</v>
      </c>
      <c r="E13770" s="2889" t="s">
        <v>217</v>
      </c>
      <c r="F13770" s="2890">
        <v>1.1076615543168151E-3</v>
      </c>
      <c r="G13770" s="2890">
        <v>1.5646595563857857</v>
      </c>
    </row>
    <row r="13771" spans="2:7" ht="15" hidden="1" outlineLevel="2">
      <c r="B13771" s="2889" t="s">
        <v>1647</v>
      </c>
      <c r="C13771" s="2889" t="s">
        <v>1410</v>
      </c>
      <c r="D13771" s="2889" t="s">
        <v>197</v>
      </c>
      <c r="E13771" s="2889" t="s">
        <v>217</v>
      </c>
      <c r="F13771" s="2890">
        <v>1.7701946246596288E-3</v>
      </c>
      <c r="G13771" s="2890">
        <v>6.0880053664410454</v>
      </c>
    </row>
    <row r="13772" spans="2:7" ht="15" hidden="1" outlineLevel="2">
      <c r="B13772" s="2889" t="s">
        <v>1647</v>
      </c>
      <c r="C13772" s="2889" t="s">
        <v>1411</v>
      </c>
      <c r="D13772" s="2889" t="s">
        <v>197</v>
      </c>
      <c r="E13772" s="2889" t="s">
        <v>217</v>
      </c>
      <c r="F13772" s="2890">
        <v>2.9111875327015196E-5</v>
      </c>
      <c r="G13772" s="2890">
        <v>3.8345698941539143E-2</v>
      </c>
    </row>
    <row r="13773" spans="2:7" ht="15" hidden="1" outlineLevel="2">
      <c r="B13773" s="2889" t="s">
        <v>1647</v>
      </c>
      <c r="C13773" s="2889" t="s">
        <v>1412</v>
      </c>
      <c r="D13773" s="2889" t="s">
        <v>197</v>
      </c>
      <c r="E13773" s="2889" t="s">
        <v>217</v>
      </c>
      <c r="F13773" s="2890">
        <v>3.1449747615885201E-3</v>
      </c>
      <c r="G13773" s="2890">
        <v>4.1393555625878005</v>
      </c>
    </row>
    <row r="13774" spans="2:7" ht="15" hidden="1" outlineLevel="2">
      <c r="B13774" s="2889" t="s">
        <v>1647</v>
      </c>
      <c r="C13774" s="2889" t="s">
        <v>1413</v>
      </c>
      <c r="D13774" s="2889" t="s">
        <v>197</v>
      </c>
      <c r="E13774" s="2889" t="s">
        <v>217</v>
      </c>
      <c r="F13774" s="2890">
        <v>1.0344291626603003E-3</v>
      </c>
      <c r="G13774" s="2890">
        <v>1.2966248314806292</v>
      </c>
    </row>
    <row r="13775" spans="2:7" ht="15" hidden="1" outlineLevel="2">
      <c r="B13775" s="2889" t="s">
        <v>1647</v>
      </c>
      <c r="C13775" s="2889" t="s">
        <v>1414</v>
      </c>
      <c r="D13775" s="2889" t="s">
        <v>197</v>
      </c>
      <c r="E13775" s="2889" t="s">
        <v>217</v>
      </c>
      <c r="F13775" s="2890">
        <v>1.3498737490036128E-2</v>
      </c>
      <c r="G13775" s="2890">
        <v>14.085486023776323</v>
      </c>
    </row>
    <row r="13776" spans="2:7" ht="15" hidden="1" outlineLevel="2">
      <c r="B13776" s="2889" t="s">
        <v>1647</v>
      </c>
      <c r="C13776" s="2889" t="s">
        <v>1415</v>
      </c>
      <c r="D13776" s="2889" t="s">
        <v>197</v>
      </c>
      <c r="E13776" s="2889" t="s">
        <v>217</v>
      </c>
      <c r="F13776" s="2890">
        <v>4.4395387385369509E-2</v>
      </c>
      <c r="G13776" s="2890">
        <v>30.192255620822149</v>
      </c>
    </row>
    <row r="13777" spans="2:7" ht="15" hidden="1" outlineLevel="2">
      <c r="B13777" s="2889" t="s">
        <v>1647</v>
      </c>
      <c r="C13777" s="2889" t="s">
        <v>1416</v>
      </c>
      <c r="D13777" s="2889" t="s">
        <v>197</v>
      </c>
      <c r="E13777" s="2889" t="s">
        <v>217</v>
      </c>
      <c r="F13777" s="2890">
        <v>4.9907448448321635E-3</v>
      </c>
      <c r="G13777" s="2890">
        <v>6.568718095452768</v>
      </c>
    </row>
    <row r="13778" spans="2:7" ht="15" hidden="1" outlineLevel="2">
      <c r="B13778" s="2889" t="s">
        <v>1647</v>
      </c>
      <c r="C13778" s="2889" t="s">
        <v>1417</v>
      </c>
      <c r="D13778" s="2889" t="s">
        <v>197</v>
      </c>
      <c r="E13778" s="2889" t="s">
        <v>217</v>
      </c>
      <c r="F13778" s="2890">
        <v>7.428399535118731E-3</v>
      </c>
      <c r="G13778" s="2890">
        <v>9.5114765486622712</v>
      </c>
    </row>
    <row r="13779" spans="2:7" ht="15" hidden="1" outlineLevel="2">
      <c r="B13779" s="2889" t="s">
        <v>1647</v>
      </c>
      <c r="C13779" s="2889" t="s">
        <v>1418</v>
      </c>
      <c r="D13779" s="2889" t="s">
        <v>197</v>
      </c>
      <c r="E13779" s="2889" t="s">
        <v>217</v>
      </c>
      <c r="F13779" s="2890">
        <v>1.4893164136066518E-3</v>
      </c>
      <c r="G13779" s="2890">
        <v>10.551507874477634</v>
      </c>
    </row>
    <row r="13780" spans="2:7" ht="15" hidden="1" outlineLevel="2">
      <c r="B13780" s="2889" t="s">
        <v>1647</v>
      </c>
      <c r="C13780" s="2889" t="s">
        <v>1419</v>
      </c>
      <c r="D13780" s="2889" t="s">
        <v>197</v>
      </c>
      <c r="E13780" s="2889" t="s">
        <v>1420</v>
      </c>
      <c r="F13780" s="2890">
        <v>3.6344404156566337E-5</v>
      </c>
      <c r="G13780" s="2890">
        <v>5.7749651134125418E-2</v>
      </c>
    </row>
    <row r="13781" spans="2:7" ht="15" hidden="1" outlineLevel="2">
      <c r="B13781" s="2889" t="s">
        <v>1647</v>
      </c>
      <c r="C13781" s="2889" t="s">
        <v>1421</v>
      </c>
      <c r="D13781" s="2889" t="s">
        <v>197</v>
      </c>
      <c r="E13781" s="2889" t="s">
        <v>1420</v>
      </c>
      <c r="F13781" s="2890">
        <v>7.4578058965349057E-6</v>
      </c>
      <c r="G13781" s="2890">
        <v>7.8596529243642604E-2</v>
      </c>
    </row>
    <row r="13782" spans="2:7" ht="15" hidden="1" outlineLevel="2">
      <c r="B13782" s="2889" t="s">
        <v>1647</v>
      </c>
      <c r="C13782" s="2889" t="s">
        <v>1422</v>
      </c>
      <c r="D13782" s="2889" t="s">
        <v>197</v>
      </c>
      <c r="E13782" s="2889" t="s">
        <v>1423</v>
      </c>
      <c r="F13782" s="2890">
        <v>1.4548921803044272E-3</v>
      </c>
      <c r="G13782" s="2890">
        <v>1.5255175063975276E-2</v>
      </c>
    </row>
    <row r="13783" spans="2:7" ht="15" hidden="1" outlineLevel="2">
      <c r="B13783" s="2889" t="s">
        <v>1647</v>
      </c>
      <c r="C13783" s="2889" t="s">
        <v>1424</v>
      </c>
      <c r="D13783" s="2889" t="s">
        <v>197</v>
      </c>
      <c r="E13783" s="2889" t="s">
        <v>1423</v>
      </c>
      <c r="F13783" s="2890">
        <v>4.6179308262847318E-4</v>
      </c>
      <c r="G13783" s="2890">
        <v>4.8406461299982098E-3</v>
      </c>
    </row>
    <row r="13784" spans="2:7" ht="15" hidden="1" outlineLevel="2">
      <c r="B13784" s="2889" t="s">
        <v>1647</v>
      </c>
      <c r="C13784" s="2889" t="s">
        <v>1425</v>
      </c>
      <c r="D13784" s="2889" t="s">
        <v>197</v>
      </c>
      <c r="E13784" s="2889" t="s">
        <v>1426</v>
      </c>
      <c r="F13784" s="2891"/>
      <c r="G13784" s="2890">
        <v>0.11281288140024114</v>
      </c>
    </row>
    <row r="13785" spans="2:7" ht="15" hidden="1" outlineLevel="2">
      <c r="B13785" s="2889" t="s">
        <v>1647</v>
      </c>
      <c r="C13785" s="2889" t="s">
        <v>1427</v>
      </c>
      <c r="D13785" s="2889" t="s">
        <v>197</v>
      </c>
      <c r="E13785" s="2889" t="s">
        <v>1426</v>
      </c>
      <c r="F13785" s="2891"/>
      <c r="G13785" s="2890">
        <v>4877.1704471672283</v>
      </c>
    </row>
    <row r="13786" spans="2:7" ht="15" hidden="1" outlineLevel="2">
      <c r="B13786" s="2889" t="s">
        <v>1647</v>
      </c>
      <c r="C13786" s="2889" t="s">
        <v>1428</v>
      </c>
      <c r="D13786" s="2889" t="s">
        <v>197</v>
      </c>
      <c r="E13786" s="2889" t="s">
        <v>1426</v>
      </c>
      <c r="F13786" s="2891"/>
      <c r="G13786" s="2890">
        <v>437.63109751607777</v>
      </c>
    </row>
    <row r="13787" spans="2:7" ht="15" hidden="1" outlineLevel="2">
      <c r="B13787" s="2889" t="s">
        <v>1647</v>
      </c>
      <c r="C13787" s="2889" t="s">
        <v>1429</v>
      </c>
      <c r="D13787" s="2889" t="s">
        <v>197</v>
      </c>
      <c r="E13787" s="2889" t="s">
        <v>1426</v>
      </c>
      <c r="F13787" s="2891"/>
      <c r="G13787" s="2890">
        <v>2.4326309109128976</v>
      </c>
    </row>
    <row r="13788" spans="2:7" ht="15" hidden="1" outlineLevel="2">
      <c r="B13788" s="2889" t="s">
        <v>1647</v>
      </c>
      <c r="C13788" s="2889" t="s">
        <v>1430</v>
      </c>
      <c r="D13788" s="2889" t="s">
        <v>197</v>
      </c>
      <c r="E13788" s="2889" t="s">
        <v>1426</v>
      </c>
      <c r="F13788" s="2891"/>
      <c r="G13788" s="2890">
        <v>0.49929406555280859</v>
      </c>
    </row>
    <row r="13789" spans="2:7" ht="15" hidden="1" outlineLevel="2">
      <c r="B13789" s="2889" t="s">
        <v>1647</v>
      </c>
      <c r="C13789" s="2889" t="s">
        <v>1431</v>
      </c>
      <c r="D13789" s="2889" t="s">
        <v>197</v>
      </c>
      <c r="E13789" s="2889" t="s">
        <v>1426</v>
      </c>
      <c r="F13789" s="2891"/>
      <c r="G13789" s="2890">
        <v>37.149600597385636</v>
      </c>
    </row>
    <row r="13790" spans="2:7" ht="15" hidden="1" outlineLevel="2">
      <c r="B13790" s="2889" t="s">
        <v>1647</v>
      </c>
      <c r="C13790" s="2889" t="s">
        <v>1432</v>
      </c>
      <c r="D13790" s="2889" t="s">
        <v>197</v>
      </c>
      <c r="E13790" s="2889" t="s">
        <v>1426</v>
      </c>
      <c r="F13790" s="2891"/>
      <c r="G13790" s="2890">
        <v>9.3046087829646407E-2</v>
      </c>
    </row>
    <row r="13791" spans="2:7" ht="15" hidden="1" outlineLevel="2">
      <c r="B13791" s="2889" t="s">
        <v>1647</v>
      </c>
      <c r="C13791" s="2889" t="s">
        <v>1433</v>
      </c>
      <c r="D13791" s="2889" t="s">
        <v>197</v>
      </c>
      <c r="E13791" s="2889" t="s">
        <v>1426</v>
      </c>
      <c r="F13791" s="2891"/>
      <c r="G13791" s="2890">
        <v>34.336400085605774</v>
      </c>
    </row>
    <row r="13792" spans="2:7" ht="15" hidden="1" outlineLevel="2">
      <c r="B13792" s="2889" t="s">
        <v>1647</v>
      </c>
      <c r="C13792" s="2889" t="s">
        <v>1434</v>
      </c>
      <c r="D13792" s="2889" t="s">
        <v>197</v>
      </c>
      <c r="E13792" s="2889" t="s">
        <v>1426</v>
      </c>
      <c r="F13792" s="2891"/>
      <c r="G13792" s="2890">
        <v>95.377505078119214</v>
      </c>
    </row>
    <row r="13793" spans="2:7" ht="15" hidden="1" outlineLevel="2">
      <c r="B13793" s="2889" t="s">
        <v>1647</v>
      </c>
      <c r="C13793" s="2889" t="s">
        <v>1435</v>
      </c>
      <c r="D13793" s="2889" t="s">
        <v>197</v>
      </c>
      <c r="E13793" s="2889" t="s">
        <v>1426</v>
      </c>
      <c r="F13793" s="2891"/>
      <c r="G13793" s="2890">
        <v>70.121011811876031</v>
      </c>
    </row>
    <row r="13794" spans="2:7" ht="15" hidden="1" outlineLevel="2">
      <c r="B13794" s="2889" t="s">
        <v>1647</v>
      </c>
      <c r="C13794" s="2889" t="s">
        <v>1436</v>
      </c>
      <c r="D13794" s="2889" t="s">
        <v>1437</v>
      </c>
      <c r="E13794" s="2889" t="s">
        <v>217</v>
      </c>
      <c r="F13794" s="2890">
        <v>1.4306285918916574E-5</v>
      </c>
      <c r="G13794" s="2890">
        <v>4.1785077518369469E-2</v>
      </c>
    </row>
    <row r="13795" spans="2:7" ht="15" hidden="1" outlineLevel="2">
      <c r="B13795" s="2889" t="s">
        <v>1647</v>
      </c>
      <c r="C13795" s="2889" t="s">
        <v>1438</v>
      </c>
      <c r="D13795" s="2889" t="s">
        <v>1437</v>
      </c>
      <c r="E13795" s="2889" t="s">
        <v>1420</v>
      </c>
      <c r="F13795" s="2890">
        <v>4.1568208108736294E-6</v>
      </c>
      <c r="G13795" s="2890">
        <v>3.8192345126437918E-2</v>
      </c>
    </row>
    <row r="13796" spans="2:7" ht="15" hidden="1" outlineLevel="2">
      <c r="B13796" s="2889" t="s">
        <v>1647</v>
      </c>
      <c r="C13796" s="2889" t="s">
        <v>1439</v>
      </c>
      <c r="D13796" s="2889" t="s">
        <v>1437</v>
      </c>
      <c r="E13796" s="2889" t="s">
        <v>1426</v>
      </c>
      <c r="F13796" s="2891"/>
      <c r="G13796" s="2890">
        <v>2.6262408646441644</v>
      </c>
    </row>
    <row r="13797" spans="2:7" ht="15" hidden="1" outlineLevel="2">
      <c r="B13797" s="2889" t="s">
        <v>1647</v>
      </c>
      <c r="C13797" s="2889" t="s">
        <v>1440</v>
      </c>
      <c r="D13797" s="2889" t="s">
        <v>1105</v>
      </c>
      <c r="E13797" s="2889" t="s">
        <v>217</v>
      </c>
      <c r="F13797" s="2890">
        <v>4.082007380452779E-3</v>
      </c>
      <c r="G13797" s="2890">
        <v>2.0227394610086709</v>
      </c>
    </row>
    <row r="13798" spans="2:7" ht="15" hidden="1" outlineLevel="2">
      <c r="B13798" s="2889" t="s">
        <v>1647</v>
      </c>
      <c r="C13798" s="2889" t="s">
        <v>1441</v>
      </c>
      <c r="D13798" s="2889" t="s">
        <v>1105</v>
      </c>
      <c r="E13798" s="2889" t="s">
        <v>217</v>
      </c>
      <c r="F13798" s="2890">
        <v>2.6083822142005067E-2</v>
      </c>
      <c r="G13798" s="2890">
        <v>13.495074849684986</v>
      </c>
    </row>
    <row r="13799" spans="2:7" ht="15" hidden="1" outlineLevel="2">
      <c r="B13799" s="2889" t="s">
        <v>1647</v>
      </c>
      <c r="C13799" s="2889" t="s">
        <v>1442</v>
      </c>
      <c r="D13799" s="2889" t="s">
        <v>1105</v>
      </c>
      <c r="E13799" s="2889" t="s">
        <v>217</v>
      </c>
      <c r="F13799" s="2890">
        <v>1.161074552443623E-5</v>
      </c>
      <c r="G13799" s="2890">
        <v>5.2046318764360231E-3</v>
      </c>
    </row>
    <row r="13800" spans="2:7" ht="15" hidden="1" outlineLevel="2">
      <c r="B13800" s="2889" t="s">
        <v>1647</v>
      </c>
      <c r="C13800" s="2889" t="s">
        <v>1443</v>
      </c>
      <c r="D13800" s="2889" t="s">
        <v>1105</v>
      </c>
      <c r="E13800" s="2889" t="s">
        <v>217</v>
      </c>
      <c r="F13800" s="2890">
        <v>1.826929583234267E-4</v>
      </c>
      <c r="G13800" s="2890">
        <v>8.1893980764602345E-2</v>
      </c>
    </row>
    <row r="13801" spans="2:7" ht="15" hidden="1" outlineLevel="2">
      <c r="B13801" s="2889" t="s">
        <v>1647</v>
      </c>
      <c r="C13801" s="2889" t="s">
        <v>1444</v>
      </c>
      <c r="D13801" s="2889" t="s">
        <v>1105</v>
      </c>
      <c r="E13801" s="2889" t="s">
        <v>217</v>
      </c>
      <c r="F13801" s="2890">
        <v>0.34422444894639931</v>
      </c>
      <c r="G13801" s="2890">
        <v>416.37081979628192</v>
      </c>
    </row>
    <row r="13802" spans="2:7" ht="15" hidden="1" outlineLevel="2">
      <c r="B13802" s="2889" t="s">
        <v>1647</v>
      </c>
      <c r="C13802" s="2889" t="s">
        <v>1445</v>
      </c>
      <c r="D13802" s="2889" t="s">
        <v>1105</v>
      </c>
      <c r="E13802" s="2889" t="s">
        <v>217</v>
      </c>
      <c r="F13802" s="2890">
        <v>7.4098348554754001E-2</v>
      </c>
      <c r="G13802" s="2890">
        <v>104.19269446692651</v>
      </c>
    </row>
    <row r="13803" spans="2:7" ht="15" hidden="1" outlineLevel="2">
      <c r="B13803" s="2889" t="s">
        <v>1647</v>
      </c>
      <c r="C13803" s="2889" t="s">
        <v>1446</v>
      </c>
      <c r="D13803" s="2889" t="s">
        <v>1105</v>
      </c>
      <c r="E13803" s="2889" t="s">
        <v>217</v>
      </c>
      <c r="F13803" s="2890">
        <v>3.4204688948351325E-2</v>
      </c>
      <c r="G13803" s="2890">
        <v>55.25254305238127</v>
      </c>
    </row>
    <row r="13804" spans="2:7" ht="15" hidden="1" outlineLevel="2">
      <c r="B13804" s="2889" t="s">
        <v>1647</v>
      </c>
      <c r="C13804" s="2889" t="s">
        <v>1447</v>
      </c>
      <c r="D13804" s="2889" t="s">
        <v>1105</v>
      </c>
      <c r="E13804" s="2889" t="s">
        <v>217</v>
      </c>
      <c r="F13804" s="2890">
        <v>7.8813589588410476E-2</v>
      </c>
      <c r="G13804" s="2890">
        <v>118.55187680576191</v>
      </c>
    </row>
    <row r="13805" spans="2:7" ht="15" hidden="1" outlineLevel="2">
      <c r="B13805" s="2889" t="s">
        <v>1647</v>
      </c>
      <c r="C13805" s="2889" t="s">
        <v>1448</v>
      </c>
      <c r="D13805" s="2889" t="s">
        <v>1105</v>
      </c>
      <c r="E13805" s="2889" t="s">
        <v>217</v>
      </c>
      <c r="F13805" s="2890">
        <v>0.14884514215540387</v>
      </c>
      <c r="G13805" s="2890">
        <v>186.76818593676472</v>
      </c>
    </row>
    <row r="13806" spans="2:7" ht="15" hidden="1" outlineLevel="2">
      <c r="B13806" s="2889" t="s">
        <v>1647</v>
      </c>
      <c r="C13806" s="2889" t="s">
        <v>1449</v>
      </c>
      <c r="D13806" s="2889" t="s">
        <v>1105</v>
      </c>
      <c r="E13806" s="2889" t="s">
        <v>217</v>
      </c>
      <c r="F13806" s="2890">
        <v>6.3366638853253072E-3</v>
      </c>
      <c r="G13806" s="2890">
        <v>8.7845364724666837</v>
      </c>
    </row>
    <row r="13807" spans="2:7" ht="15" hidden="1" outlineLevel="2">
      <c r="B13807" s="2889" t="s">
        <v>1647</v>
      </c>
      <c r="C13807" s="2889" t="s">
        <v>1450</v>
      </c>
      <c r="D13807" s="2889" t="s">
        <v>1105</v>
      </c>
      <c r="E13807" s="2889" t="s">
        <v>1420</v>
      </c>
      <c r="F13807" s="2890">
        <v>2.0151327485214001E-2</v>
      </c>
      <c r="G13807" s="2890">
        <v>55.4001698586885</v>
      </c>
    </row>
    <row r="13808" spans="2:7" ht="15" hidden="1" outlineLevel="2">
      <c r="B13808" s="2889" t="s">
        <v>1647</v>
      </c>
      <c r="C13808" s="2889" t="s">
        <v>1451</v>
      </c>
      <c r="D13808" s="2889" t="s">
        <v>1105</v>
      </c>
      <c r="E13808" s="2889" t="s">
        <v>1420</v>
      </c>
      <c r="F13808" s="2890">
        <v>2.9257580851434297E-3</v>
      </c>
      <c r="G13808" s="2890">
        <v>12.339536683638533</v>
      </c>
    </row>
    <row r="13809" spans="2:7" ht="15" hidden="1" outlineLevel="2">
      <c r="B13809" s="2889" t="s">
        <v>1647</v>
      </c>
      <c r="C13809" s="2889" t="s">
        <v>1452</v>
      </c>
      <c r="D13809" s="2889" t="s">
        <v>1105</v>
      </c>
      <c r="E13809" s="2889" t="s">
        <v>1420</v>
      </c>
      <c r="F13809" s="2890">
        <v>2.1645316467214298E-3</v>
      </c>
      <c r="G13809" s="2890">
        <v>14.464162998338544</v>
      </c>
    </row>
    <row r="13810" spans="2:7" ht="15" hidden="1" outlineLevel="2">
      <c r="B13810" s="2889" t="s">
        <v>1647</v>
      </c>
      <c r="C13810" s="2889" t="s">
        <v>1453</v>
      </c>
      <c r="D13810" s="2889" t="s">
        <v>1105</v>
      </c>
      <c r="E13810" s="2889" t="s">
        <v>1420</v>
      </c>
      <c r="F13810" s="2890">
        <v>3.7914516929596844E-3</v>
      </c>
      <c r="G13810" s="2890">
        <v>17.968112415058503</v>
      </c>
    </row>
    <row r="13811" spans="2:7" ht="15" hidden="1" outlineLevel="2">
      <c r="B13811" s="2889" t="s">
        <v>1647</v>
      </c>
      <c r="C13811" s="2889" t="s">
        <v>1454</v>
      </c>
      <c r="D13811" s="2889" t="s">
        <v>1105</v>
      </c>
      <c r="E13811" s="2889" t="s">
        <v>1420</v>
      </c>
      <c r="F13811" s="2890">
        <v>9.4670453843990885E-5</v>
      </c>
      <c r="G13811" s="2890">
        <v>0.2428882636025779</v>
      </c>
    </row>
    <row r="13812" spans="2:7" ht="15" hidden="1" outlineLevel="2">
      <c r="B13812" s="2889" t="s">
        <v>1647</v>
      </c>
      <c r="C13812" s="2889" t="s">
        <v>1455</v>
      </c>
      <c r="D13812" s="2889" t="s">
        <v>1105</v>
      </c>
      <c r="E13812" s="2889" t="s">
        <v>1420</v>
      </c>
      <c r="F13812" s="2890">
        <v>2.7620205128656482E-5</v>
      </c>
      <c r="G13812" s="2890">
        <v>0.22561112058680091</v>
      </c>
    </row>
    <row r="13813" spans="2:7" ht="15" hidden="1" outlineLevel="2">
      <c r="B13813" s="2889" t="s">
        <v>1647</v>
      </c>
      <c r="C13813" s="2889" t="s">
        <v>1456</v>
      </c>
      <c r="D13813" s="2889" t="s">
        <v>1105</v>
      </c>
      <c r="E13813" s="2889" t="s">
        <v>1423</v>
      </c>
      <c r="F13813" s="2890">
        <v>0.44523152539822219</v>
      </c>
      <c r="G13813" s="2890">
        <v>12.363623190069534</v>
      </c>
    </row>
    <row r="13814" spans="2:7" ht="15" hidden="1" outlineLevel="2">
      <c r="B13814" s="2889" t="s">
        <v>1647</v>
      </c>
      <c r="C13814" s="2889" t="s">
        <v>1457</v>
      </c>
      <c r="D13814" s="2889" t="s">
        <v>1105</v>
      </c>
      <c r="E13814" s="2889" t="s">
        <v>1423</v>
      </c>
      <c r="F13814" s="2890">
        <v>1.7069548546124459E-2</v>
      </c>
      <c r="G13814" s="2890">
        <v>0.62050435499914391</v>
      </c>
    </row>
    <row r="13815" spans="2:7" ht="15" hidden="1" outlineLevel="2">
      <c r="B13815" s="2889" t="s">
        <v>1647</v>
      </c>
      <c r="C13815" s="2889" t="s">
        <v>1458</v>
      </c>
      <c r="D13815" s="2889" t="s">
        <v>1105</v>
      </c>
      <c r="E13815" s="2889" t="s">
        <v>1423</v>
      </c>
      <c r="F13815" s="2890">
        <v>1.2254690431152205E-2</v>
      </c>
      <c r="G13815" s="2890">
        <v>0.85950329113721513</v>
      </c>
    </row>
    <row r="13816" spans="2:7" ht="15" hidden="1" outlineLevel="2">
      <c r="B13816" s="2889" t="s">
        <v>1647</v>
      </c>
      <c r="C13816" s="2889" t="s">
        <v>1459</v>
      </c>
      <c r="D13816" s="2889" t="s">
        <v>1105</v>
      </c>
      <c r="E13816" s="2889" t="s">
        <v>1423</v>
      </c>
      <c r="F13816" s="2890">
        <v>0.14356985771390601</v>
      </c>
      <c r="G13816" s="2890">
        <v>30.044210736543562</v>
      </c>
    </row>
    <row r="13817" spans="2:7" ht="15" hidden="1" outlineLevel="2">
      <c r="B13817" s="2889" t="s">
        <v>1647</v>
      </c>
      <c r="C13817" s="2889" t="s">
        <v>1460</v>
      </c>
      <c r="D13817" s="2889" t="s">
        <v>1105</v>
      </c>
      <c r="E13817" s="2889" t="s">
        <v>1426</v>
      </c>
      <c r="F13817" s="2891"/>
      <c r="G13817" s="2890">
        <v>320.38265623720895</v>
      </c>
    </row>
    <row r="13818" spans="2:7" ht="15" hidden="1" outlineLevel="2">
      <c r="B13818" s="2889" t="s">
        <v>1647</v>
      </c>
      <c r="C13818" s="2889" t="s">
        <v>1461</v>
      </c>
      <c r="D13818" s="2889" t="s">
        <v>1105</v>
      </c>
      <c r="E13818" s="2889" t="s">
        <v>1426</v>
      </c>
      <c r="F13818" s="2891"/>
      <c r="G13818" s="2890">
        <v>75.590882048864742</v>
      </c>
    </row>
    <row r="13819" spans="2:7" ht="15" hidden="1" outlineLevel="2">
      <c r="B13819" s="2889" t="s">
        <v>1647</v>
      </c>
      <c r="C13819" s="2889" t="s">
        <v>1462</v>
      </c>
      <c r="D13819" s="2889" t="s">
        <v>1105</v>
      </c>
      <c r="E13819" s="2889" t="s">
        <v>1426</v>
      </c>
      <c r="F13819" s="2891"/>
      <c r="G13819" s="2890">
        <v>209.73545299563699</v>
      </c>
    </row>
    <row r="13820" spans="2:7" ht="15" hidden="1" outlineLevel="2">
      <c r="B13820" s="2889" t="s">
        <v>1647</v>
      </c>
      <c r="C13820" s="2889" t="s">
        <v>1463</v>
      </c>
      <c r="D13820" s="2889" t="s">
        <v>1105</v>
      </c>
      <c r="E13820" s="2889" t="s">
        <v>1426</v>
      </c>
      <c r="F13820" s="2891"/>
      <c r="G13820" s="2890">
        <v>106.49685390972913</v>
      </c>
    </row>
    <row r="13821" spans="2:7" ht="15" hidden="1" outlineLevel="2">
      <c r="B13821" s="2889" t="s">
        <v>1647</v>
      </c>
      <c r="C13821" s="2889" t="s">
        <v>1464</v>
      </c>
      <c r="D13821" s="2889" t="s">
        <v>1105</v>
      </c>
      <c r="E13821" s="2889" t="s">
        <v>1426</v>
      </c>
      <c r="F13821" s="2891"/>
      <c r="G13821" s="2890">
        <v>10.230750147334179</v>
      </c>
    </row>
    <row r="13822" spans="2:7" ht="15" hidden="1" outlineLevel="2">
      <c r="B13822" s="2889" t="s">
        <v>1647</v>
      </c>
      <c r="C13822" s="2889" t="s">
        <v>1465</v>
      </c>
      <c r="D13822" s="2889" t="s">
        <v>1105</v>
      </c>
      <c r="E13822" s="2889" t="s">
        <v>1426</v>
      </c>
      <c r="F13822" s="2891"/>
      <c r="G13822" s="2890">
        <v>9.0769967728903111</v>
      </c>
    </row>
    <row r="13823" spans="2:7" ht="15" hidden="1" outlineLevel="2">
      <c r="B13823" s="2889" t="s">
        <v>1647</v>
      </c>
      <c r="C13823" s="2889" t="s">
        <v>1466</v>
      </c>
      <c r="D13823" s="2889" t="s">
        <v>1054</v>
      </c>
      <c r="E13823" s="2889" t="s">
        <v>217</v>
      </c>
      <c r="F13823" s="2890">
        <v>2.6472402191234014E-2</v>
      </c>
      <c r="G13823" s="2890">
        <v>16.322078259626778</v>
      </c>
    </row>
    <row r="13824" spans="2:7" ht="15" hidden="1" outlineLevel="2">
      <c r="B13824" s="2889" t="s">
        <v>1647</v>
      </c>
      <c r="C13824" s="2889" t="s">
        <v>1467</v>
      </c>
      <c r="D13824" s="2889" t="s">
        <v>1054</v>
      </c>
      <c r="E13824" s="2889" t="s">
        <v>217</v>
      </c>
      <c r="F13824" s="2890">
        <v>2.1877739589571546E-3</v>
      </c>
      <c r="G13824" s="2890">
        <v>1.0586112153629859</v>
      </c>
    </row>
    <row r="13825" spans="2:7" ht="15" hidden="1" outlineLevel="2">
      <c r="B13825" s="2889" t="s">
        <v>1647</v>
      </c>
      <c r="C13825" s="2889" t="s">
        <v>1468</v>
      </c>
      <c r="D13825" s="2889" t="s">
        <v>1054</v>
      </c>
      <c r="E13825" s="2889" t="s">
        <v>217</v>
      </c>
      <c r="F13825" s="2890">
        <v>2.6494584373682752E-3</v>
      </c>
      <c r="G13825" s="2890">
        <v>1.2655084996041481</v>
      </c>
    </row>
    <row r="13826" spans="2:7" ht="15" hidden="1" outlineLevel="2">
      <c r="B13826" s="2889" t="s">
        <v>1647</v>
      </c>
      <c r="C13826" s="2889" t="s">
        <v>1469</v>
      </c>
      <c r="D13826" s="2889" t="s">
        <v>1054</v>
      </c>
      <c r="E13826" s="2889" t="s">
        <v>217</v>
      </c>
      <c r="F13826" s="2890">
        <v>2.1141876574597999E-5</v>
      </c>
      <c r="G13826" s="2890">
        <v>9.476786163041543E-3</v>
      </c>
    </row>
    <row r="13827" spans="2:7" ht="15" hidden="1" outlineLevel="2">
      <c r="B13827" s="2889" t="s">
        <v>1647</v>
      </c>
      <c r="C13827" s="2889" t="s">
        <v>1470</v>
      </c>
      <c r="D13827" s="2889" t="s">
        <v>1054</v>
      </c>
      <c r="E13827" s="2889" t="s">
        <v>217</v>
      </c>
      <c r="F13827" s="2890">
        <v>7.5418824574261911E-2</v>
      </c>
      <c r="G13827" s="2890">
        <v>42.178739371371776</v>
      </c>
    </row>
    <row r="13828" spans="2:7" ht="15" hidden="1" outlineLevel="2">
      <c r="B13828" s="2889" t="s">
        <v>1647</v>
      </c>
      <c r="C13828" s="2889" t="s">
        <v>1471</v>
      </c>
      <c r="D13828" s="2889" t="s">
        <v>1054</v>
      </c>
      <c r="E13828" s="2889" t="s">
        <v>217</v>
      </c>
      <c r="F13828" s="2890">
        <v>5.5051760495545502E-4</v>
      </c>
      <c r="G13828" s="2890">
        <v>0.24676799376164682</v>
      </c>
    </row>
    <row r="13829" spans="2:7" ht="15" hidden="1" outlineLevel="2">
      <c r="B13829" s="2889" t="s">
        <v>1647</v>
      </c>
      <c r="C13829" s="2889" t="s">
        <v>1472</v>
      </c>
      <c r="D13829" s="2889" t="s">
        <v>1054</v>
      </c>
      <c r="E13829" s="2889" t="s">
        <v>217</v>
      </c>
      <c r="F13829" s="2890">
        <v>9.3039434698376378E-3</v>
      </c>
      <c r="G13829" s="2890">
        <v>14.509986689938351</v>
      </c>
    </row>
    <row r="13830" spans="2:7" ht="15" hidden="1" outlineLevel="2">
      <c r="B13830" s="2889" t="s">
        <v>1647</v>
      </c>
      <c r="C13830" s="2889" t="s">
        <v>1473</v>
      </c>
      <c r="D13830" s="2889" t="s">
        <v>1054</v>
      </c>
      <c r="E13830" s="2889" t="s">
        <v>217</v>
      </c>
      <c r="F13830" s="2890">
        <v>8.2405339572797271E-5</v>
      </c>
      <c r="G13830" s="2890">
        <v>0.10722508917003663</v>
      </c>
    </row>
    <row r="13831" spans="2:7" ht="15" hidden="1" outlineLevel="2">
      <c r="B13831" s="2889" t="s">
        <v>1647</v>
      </c>
      <c r="C13831" s="2889" t="s">
        <v>1474</v>
      </c>
      <c r="D13831" s="2889" t="s">
        <v>1054</v>
      </c>
      <c r="E13831" s="2889" t="s">
        <v>217</v>
      </c>
      <c r="F13831" s="2890">
        <v>2.2667596908859496E-2</v>
      </c>
      <c r="G13831" s="2890">
        <v>27.152517357746092</v>
      </c>
    </row>
    <row r="13832" spans="2:7" ht="15" hidden="1" outlineLevel="2">
      <c r="B13832" s="2889" t="s">
        <v>1647</v>
      </c>
      <c r="C13832" s="2889" t="s">
        <v>1475</v>
      </c>
      <c r="D13832" s="2889" t="s">
        <v>1054</v>
      </c>
      <c r="E13832" s="2889" t="s">
        <v>217</v>
      </c>
      <c r="F13832" s="2890">
        <v>1.6237066587020368E-2</v>
      </c>
      <c r="G13832" s="2890">
        <v>25.657445645214295</v>
      </c>
    </row>
    <row r="13833" spans="2:7" ht="15" hidden="1" outlineLevel="2">
      <c r="B13833" s="2889" t="s">
        <v>1647</v>
      </c>
      <c r="C13833" s="2889" t="s">
        <v>1476</v>
      </c>
      <c r="D13833" s="2889" t="s">
        <v>1054</v>
      </c>
      <c r="E13833" s="2889" t="s">
        <v>217</v>
      </c>
      <c r="F13833" s="2890">
        <v>3.9978540596252915E-2</v>
      </c>
      <c r="G13833" s="2890">
        <v>51.067021772166463</v>
      </c>
    </row>
    <row r="13834" spans="2:7" ht="15" hidden="1" outlineLevel="2">
      <c r="B13834" s="2889" t="s">
        <v>1647</v>
      </c>
      <c r="C13834" s="2889" t="s">
        <v>1477</v>
      </c>
      <c r="D13834" s="2889" t="s">
        <v>1054</v>
      </c>
      <c r="E13834" s="2889" t="s">
        <v>217</v>
      </c>
      <c r="F13834" s="2890">
        <v>1.563724727563753E-2</v>
      </c>
      <c r="G13834" s="2890">
        <v>21.534959633379145</v>
      </c>
    </row>
    <row r="13835" spans="2:7" ht="15" hidden="1" outlineLevel="2">
      <c r="B13835" s="2889" t="s">
        <v>1647</v>
      </c>
      <c r="C13835" s="2889" t="s">
        <v>1478</v>
      </c>
      <c r="D13835" s="2889" t="s">
        <v>1054</v>
      </c>
      <c r="E13835" s="2889" t="s">
        <v>217</v>
      </c>
      <c r="F13835" s="2890">
        <v>8.4268602086911659E-4</v>
      </c>
      <c r="G13835" s="2890">
        <v>1.1180806003255719</v>
      </c>
    </row>
    <row r="13836" spans="2:7" ht="15" hidden="1" outlineLevel="2">
      <c r="B13836" s="2889" t="s">
        <v>1647</v>
      </c>
      <c r="C13836" s="2889" t="s">
        <v>1479</v>
      </c>
      <c r="D13836" s="2889" t="s">
        <v>1054</v>
      </c>
      <c r="E13836" s="2889" t="s">
        <v>217</v>
      </c>
      <c r="F13836" s="2890">
        <v>2.9799137563480658E-2</v>
      </c>
      <c r="G13836" s="2890">
        <v>45.082870029187227</v>
      </c>
    </row>
    <row r="13837" spans="2:7" ht="15" hidden="1" outlineLevel="2">
      <c r="B13837" s="2889" t="s">
        <v>1647</v>
      </c>
      <c r="C13837" s="2889" t="s">
        <v>1480</v>
      </c>
      <c r="D13837" s="2889" t="s">
        <v>1054</v>
      </c>
      <c r="E13837" s="2889" t="s">
        <v>217</v>
      </c>
      <c r="F13837" s="2890">
        <v>1.3417508529465294E-2</v>
      </c>
      <c r="G13837" s="2890">
        <v>15.527263686242458</v>
      </c>
    </row>
    <row r="13838" spans="2:7" ht="15" hidden="1" outlineLevel="2">
      <c r="B13838" s="2889" t="s">
        <v>1647</v>
      </c>
      <c r="C13838" s="2889" t="s">
        <v>1481</v>
      </c>
      <c r="D13838" s="2889" t="s">
        <v>1054</v>
      </c>
      <c r="E13838" s="2889" t="s">
        <v>217</v>
      </c>
      <c r="F13838" s="2890">
        <v>6.6375746536942518E-2</v>
      </c>
      <c r="G13838" s="2890">
        <v>93.898745163547716</v>
      </c>
    </row>
    <row r="13839" spans="2:7" ht="15" hidden="1" outlineLevel="2">
      <c r="B13839" s="2889" t="s">
        <v>1647</v>
      </c>
      <c r="C13839" s="2889" t="s">
        <v>1482</v>
      </c>
      <c r="D13839" s="2889" t="s">
        <v>1054</v>
      </c>
      <c r="E13839" s="2889" t="s">
        <v>217</v>
      </c>
      <c r="F13839" s="2890">
        <v>4.4733322926005251E-2</v>
      </c>
      <c r="G13839" s="2890">
        <v>44.982407973433411</v>
      </c>
    </row>
    <row r="13840" spans="2:7" ht="15" hidden="1" outlineLevel="2">
      <c r="B13840" s="2889" t="s">
        <v>1647</v>
      </c>
      <c r="C13840" s="2889" t="s">
        <v>1483</v>
      </c>
      <c r="D13840" s="2889" t="s">
        <v>1054</v>
      </c>
      <c r="E13840" s="2889" t="s">
        <v>217</v>
      </c>
      <c r="F13840" s="2890">
        <v>2.1278003550200754E-3</v>
      </c>
      <c r="G13840" s="2890">
        <v>3.5858058765410328</v>
      </c>
    </row>
    <row r="13841" spans="2:7" ht="15" hidden="1" outlineLevel="2">
      <c r="B13841" s="2889" t="s">
        <v>1647</v>
      </c>
      <c r="C13841" s="2889" t="s">
        <v>1484</v>
      </c>
      <c r="D13841" s="2889" t="s">
        <v>1054</v>
      </c>
      <c r="E13841" s="2889" t="s">
        <v>217</v>
      </c>
      <c r="F13841" s="2890">
        <v>4.322679215563432E-3</v>
      </c>
      <c r="G13841" s="2890">
        <v>6.0802321544497824</v>
      </c>
    </row>
    <row r="13842" spans="2:7" ht="15" hidden="1" outlineLevel="2">
      <c r="B13842" s="2889" t="s">
        <v>1647</v>
      </c>
      <c r="C13842" s="2889" t="s">
        <v>1485</v>
      </c>
      <c r="D13842" s="2889" t="s">
        <v>1054</v>
      </c>
      <c r="E13842" s="2889" t="s">
        <v>217</v>
      </c>
      <c r="F13842" s="2890">
        <v>1.9222357847168184E-3</v>
      </c>
      <c r="G13842" s="2890">
        <v>5.4484362661178789</v>
      </c>
    </row>
    <row r="13843" spans="2:7" ht="15" hidden="1" outlineLevel="2">
      <c r="B13843" s="2889" t="s">
        <v>1647</v>
      </c>
      <c r="C13843" s="2889" t="s">
        <v>1486</v>
      </c>
      <c r="D13843" s="2889" t="s">
        <v>1054</v>
      </c>
      <c r="E13843" s="2889" t="s">
        <v>217</v>
      </c>
      <c r="F13843" s="2890">
        <v>2.2385956611903372E-3</v>
      </c>
      <c r="G13843" s="2890">
        <v>13.01326872656902</v>
      </c>
    </row>
    <row r="13844" spans="2:7" ht="15" hidden="1" outlineLevel="2">
      <c r="B13844" s="2889" t="s">
        <v>1647</v>
      </c>
      <c r="C13844" s="2889" t="s">
        <v>1487</v>
      </c>
      <c r="D13844" s="2889" t="s">
        <v>1054</v>
      </c>
      <c r="E13844" s="2889" t="s">
        <v>217</v>
      </c>
      <c r="F13844" s="2890">
        <v>2.1162128358370197E-2</v>
      </c>
      <c r="G13844" s="2890">
        <v>30.838064647628972</v>
      </c>
    </row>
    <row r="13845" spans="2:7" ht="15" hidden="1" outlineLevel="2">
      <c r="B13845" s="2889" t="s">
        <v>1647</v>
      </c>
      <c r="C13845" s="2889" t="s">
        <v>1488</v>
      </c>
      <c r="D13845" s="2889" t="s">
        <v>1054</v>
      </c>
      <c r="E13845" s="2889" t="s">
        <v>217</v>
      </c>
      <c r="F13845" s="2890">
        <v>1.3133351097044383E-2</v>
      </c>
      <c r="G13845" s="2890">
        <v>21.164566221096404</v>
      </c>
    </row>
    <row r="13846" spans="2:7" ht="15" hidden="1" outlineLevel="2">
      <c r="B13846" s="2889" t="s">
        <v>1647</v>
      </c>
      <c r="C13846" s="2889" t="s">
        <v>1489</v>
      </c>
      <c r="D13846" s="2889" t="s">
        <v>1054</v>
      </c>
      <c r="E13846" s="2889" t="s">
        <v>217</v>
      </c>
      <c r="F13846" s="2890">
        <v>6.6101909650428748E-3</v>
      </c>
      <c r="G13846" s="2890">
        <v>6.9735336102156591</v>
      </c>
    </row>
    <row r="13847" spans="2:7" ht="15" hidden="1" outlineLevel="2">
      <c r="B13847" s="2889" t="s">
        <v>1647</v>
      </c>
      <c r="C13847" s="2889" t="s">
        <v>1490</v>
      </c>
      <c r="D13847" s="2889" t="s">
        <v>1054</v>
      </c>
      <c r="E13847" s="2889" t="s">
        <v>217</v>
      </c>
      <c r="F13847" s="2890">
        <v>3.0867903854900204E-3</v>
      </c>
      <c r="G13847" s="2890">
        <v>4.9263246421715374</v>
      </c>
    </row>
    <row r="13848" spans="2:7" ht="15" hidden="1" outlineLevel="2">
      <c r="B13848" s="2889" t="s">
        <v>1647</v>
      </c>
      <c r="C13848" s="2889" t="s">
        <v>1491</v>
      </c>
      <c r="D13848" s="2889" t="s">
        <v>1054</v>
      </c>
      <c r="E13848" s="2889" t="s">
        <v>1420</v>
      </c>
      <c r="F13848" s="2890">
        <v>5.8932585297641696E-4</v>
      </c>
      <c r="G13848" s="2890">
        <v>2.7903471672134463</v>
      </c>
    </row>
    <row r="13849" spans="2:7" ht="15" hidden="1" outlineLevel="2">
      <c r="B13849" s="2889" t="s">
        <v>1647</v>
      </c>
      <c r="C13849" s="2889" t="s">
        <v>1492</v>
      </c>
      <c r="D13849" s="2889" t="s">
        <v>1054</v>
      </c>
      <c r="E13849" s="2889" t="s">
        <v>1420</v>
      </c>
      <c r="F13849" s="2890">
        <v>4.3808574253531503E-4</v>
      </c>
      <c r="G13849" s="2890">
        <v>4.6827295468043717</v>
      </c>
    </row>
    <row r="13850" spans="2:7" ht="15" hidden="1" outlineLevel="2">
      <c r="B13850" s="2889" t="s">
        <v>1647</v>
      </c>
      <c r="C13850" s="2889" t="s">
        <v>1493</v>
      </c>
      <c r="D13850" s="2889" t="s">
        <v>1054</v>
      </c>
      <c r="E13850" s="2889" t="s">
        <v>1420</v>
      </c>
      <c r="F13850" s="2890">
        <v>3.2439519633044371E-4</v>
      </c>
      <c r="G13850" s="2890">
        <v>0.7746636682359338</v>
      </c>
    </row>
    <row r="13851" spans="2:7" ht="15" hidden="1" outlineLevel="2">
      <c r="B13851" s="2889" t="s">
        <v>1647</v>
      </c>
      <c r="C13851" s="2889" t="s">
        <v>1494</v>
      </c>
      <c r="D13851" s="2889" t="s">
        <v>1054</v>
      </c>
      <c r="E13851" s="2889" t="s">
        <v>1420</v>
      </c>
      <c r="F13851" s="2890">
        <v>8.8455637919478207E-5</v>
      </c>
      <c r="G13851" s="2890">
        <v>0.48542166858749047</v>
      </c>
    </row>
    <row r="13852" spans="2:7" ht="15" hidden="1" outlineLevel="2">
      <c r="B13852" s="2889" t="s">
        <v>1647</v>
      </c>
      <c r="C13852" s="2889" t="s">
        <v>1495</v>
      </c>
      <c r="D13852" s="2889" t="s">
        <v>1054</v>
      </c>
      <c r="E13852" s="2889" t="s">
        <v>1420</v>
      </c>
      <c r="F13852" s="2890">
        <v>1.9142394976093644E-3</v>
      </c>
      <c r="G13852" s="2890">
        <v>8.5903207259974508</v>
      </c>
    </row>
    <row r="13853" spans="2:7" ht="15" hidden="1" outlineLevel="2">
      <c r="B13853" s="2889" t="s">
        <v>1647</v>
      </c>
      <c r="C13853" s="2889" t="s">
        <v>1496</v>
      </c>
      <c r="D13853" s="2889" t="s">
        <v>1054</v>
      </c>
      <c r="E13853" s="2889" t="s">
        <v>1420</v>
      </c>
      <c r="F13853" s="2890">
        <v>1.7366575941608012E-3</v>
      </c>
      <c r="G13853" s="2890">
        <v>3.0930104515017298</v>
      </c>
    </row>
    <row r="13854" spans="2:7" ht="15" hidden="1" outlineLevel="2">
      <c r="B13854" s="2889" t="s">
        <v>1647</v>
      </c>
      <c r="C13854" s="2889" t="s">
        <v>1497</v>
      </c>
      <c r="D13854" s="2889" t="s">
        <v>1054</v>
      </c>
      <c r="E13854" s="2889" t="s">
        <v>1420</v>
      </c>
      <c r="F13854" s="2890">
        <v>4.8184249121345187E-4</v>
      </c>
      <c r="G13854" s="2890">
        <v>7.9474245446040248</v>
      </c>
    </row>
    <row r="13855" spans="2:7" ht="15" hidden="1" outlineLevel="2">
      <c r="B13855" s="2889" t="s">
        <v>1647</v>
      </c>
      <c r="C13855" s="2889" t="s">
        <v>1498</v>
      </c>
      <c r="D13855" s="2889" t="s">
        <v>1054</v>
      </c>
      <c r="E13855" s="2889" t="s">
        <v>1420</v>
      </c>
      <c r="F13855" s="2890">
        <v>1.3170996808128761E-3</v>
      </c>
      <c r="G13855" s="2890">
        <v>3.16537477112389</v>
      </c>
    </row>
    <row r="13856" spans="2:7" ht="15" hidden="1" outlineLevel="2">
      <c r="B13856" s="2889" t="s">
        <v>1647</v>
      </c>
      <c r="C13856" s="2889" t="s">
        <v>1499</v>
      </c>
      <c r="D13856" s="2889" t="s">
        <v>1054</v>
      </c>
      <c r="E13856" s="2889" t="s">
        <v>1420</v>
      </c>
      <c r="F13856" s="2890">
        <v>2.0115715894421227E-4</v>
      </c>
      <c r="G13856" s="2890">
        <v>0.50935495185648827</v>
      </c>
    </row>
    <row r="13857" spans="2:7" ht="15" hidden="1" outlineLevel="2">
      <c r="B13857" s="2889" t="s">
        <v>1647</v>
      </c>
      <c r="C13857" s="2889" t="s">
        <v>1500</v>
      </c>
      <c r="D13857" s="2889" t="s">
        <v>1054</v>
      </c>
      <c r="E13857" s="2889" t="s">
        <v>1420</v>
      </c>
      <c r="F13857" s="2890">
        <v>1.4570204596389416E-3</v>
      </c>
      <c r="G13857" s="2890">
        <v>5.5101098572289331</v>
      </c>
    </row>
    <row r="13858" spans="2:7" ht="15" hidden="1" outlineLevel="2">
      <c r="B13858" s="2889" t="s">
        <v>1647</v>
      </c>
      <c r="C13858" s="2889" t="s">
        <v>1501</v>
      </c>
      <c r="D13858" s="2889" t="s">
        <v>1054</v>
      </c>
      <c r="E13858" s="2889" t="s">
        <v>1420</v>
      </c>
      <c r="F13858" s="2890">
        <v>1.82741995925798E-3</v>
      </c>
      <c r="G13858" s="2890">
        <v>13.417398739980204</v>
      </c>
    </row>
    <row r="13859" spans="2:7" ht="15" hidden="1" outlineLevel="2">
      <c r="B13859" s="2889" t="s">
        <v>1647</v>
      </c>
      <c r="C13859" s="2889" t="s">
        <v>1502</v>
      </c>
      <c r="D13859" s="2889" t="s">
        <v>1054</v>
      </c>
      <c r="E13859" s="2889" t="s">
        <v>1420</v>
      </c>
      <c r="F13859" s="2890">
        <v>1.2750850668305036E-4</v>
      </c>
      <c r="G13859" s="2890">
        <v>1.4016000847357786</v>
      </c>
    </row>
    <row r="13860" spans="2:7" ht="15" hidden="1" outlineLevel="2">
      <c r="B13860" s="2889" t="s">
        <v>1647</v>
      </c>
      <c r="C13860" s="2889" t="s">
        <v>1503</v>
      </c>
      <c r="D13860" s="2889" t="s">
        <v>1054</v>
      </c>
      <c r="E13860" s="2889" t="s">
        <v>1420</v>
      </c>
      <c r="F13860" s="2890">
        <v>4.2051133819282988E-3</v>
      </c>
      <c r="G13860" s="2890">
        <v>11.610352354417277</v>
      </c>
    </row>
    <row r="13861" spans="2:7" ht="15" hidden="1" outlineLevel="2">
      <c r="B13861" s="2889" t="s">
        <v>1647</v>
      </c>
      <c r="C13861" s="2889" t="s">
        <v>1504</v>
      </c>
      <c r="D13861" s="2889" t="s">
        <v>1054</v>
      </c>
      <c r="E13861" s="2889" t="s">
        <v>1420</v>
      </c>
      <c r="F13861" s="2890">
        <v>2.1691192027921409E-3</v>
      </c>
      <c r="G13861" s="2890">
        <v>4.8013626000361374</v>
      </c>
    </row>
    <row r="13862" spans="2:7" ht="15" hidden="1" outlineLevel="2">
      <c r="B13862" s="2889" t="s">
        <v>1647</v>
      </c>
      <c r="C13862" s="2889" t="s">
        <v>1505</v>
      </c>
      <c r="D13862" s="2889" t="s">
        <v>1054</v>
      </c>
      <c r="E13862" s="2889" t="s">
        <v>1423</v>
      </c>
      <c r="F13862" s="2890">
        <v>6.1511459337759223E-3</v>
      </c>
      <c r="G13862" s="2890">
        <v>0.15222757326723971</v>
      </c>
    </row>
    <row r="13863" spans="2:7" ht="15" hidden="1" outlineLevel="2">
      <c r="B13863" s="2889" t="s">
        <v>1647</v>
      </c>
      <c r="C13863" s="2889" t="s">
        <v>1506</v>
      </c>
      <c r="D13863" s="2889" t="s">
        <v>1054</v>
      </c>
      <c r="E13863" s="2889" t="s">
        <v>1426</v>
      </c>
      <c r="F13863" s="2891"/>
      <c r="G13863" s="2890">
        <v>451.98119250186147</v>
      </c>
    </row>
    <row r="13864" spans="2:7" ht="15" hidden="1" outlineLevel="2">
      <c r="B13864" s="2889" t="s">
        <v>1647</v>
      </c>
      <c r="C13864" s="2889" t="s">
        <v>1507</v>
      </c>
      <c r="D13864" s="2889" t="s">
        <v>1054</v>
      </c>
      <c r="E13864" s="2889" t="s">
        <v>1426</v>
      </c>
      <c r="F13864" s="2891"/>
      <c r="G13864" s="2890">
        <v>0.73676032264347846</v>
      </c>
    </row>
    <row r="13865" spans="2:7" ht="15" hidden="1" outlineLevel="2">
      <c r="B13865" s="2889" t="s">
        <v>1647</v>
      </c>
      <c r="C13865" s="2889" t="s">
        <v>1508</v>
      </c>
      <c r="D13865" s="2889" t="s">
        <v>1054</v>
      </c>
      <c r="E13865" s="2889" t="s">
        <v>1426</v>
      </c>
      <c r="F13865" s="2891"/>
      <c r="G13865" s="2890">
        <v>12.137865491772672</v>
      </c>
    </row>
    <row r="13866" spans="2:7" ht="15" hidden="1" outlineLevel="2">
      <c r="B13866" s="2889" t="s">
        <v>1647</v>
      </c>
      <c r="C13866" s="2889" t="s">
        <v>1509</v>
      </c>
      <c r="D13866" s="2889" t="s">
        <v>1054</v>
      </c>
      <c r="E13866" s="2889" t="s">
        <v>1426</v>
      </c>
      <c r="F13866" s="2891"/>
      <c r="G13866" s="2890">
        <v>1131.3624267435302</v>
      </c>
    </row>
    <row r="13867" spans="2:7" ht="15" hidden="1" outlineLevel="2">
      <c r="B13867" s="2889" t="s">
        <v>1647</v>
      </c>
      <c r="C13867" s="2889" t="s">
        <v>1510</v>
      </c>
      <c r="D13867" s="2889" t="s">
        <v>1054</v>
      </c>
      <c r="E13867" s="2889" t="s">
        <v>1426</v>
      </c>
      <c r="F13867" s="2891"/>
      <c r="G13867" s="2890">
        <v>1230.6844237356636</v>
      </c>
    </row>
    <row r="13868" spans="2:7" ht="15" hidden="1" outlineLevel="2">
      <c r="B13868" s="2889" t="s">
        <v>1647</v>
      </c>
      <c r="C13868" s="2889" t="s">
        <v>1511</v>
      </c>
      <c r="D13868" s="2889" t="s">
        <v>1054</v>
      </c>
      <c r="E13868" s="2889" t="s">
        <v>1426</v>
      </c>
      <c r="F13868" s="2891"/>
      <c r="G13868" s="2890">
        <v>67.802591668293076</v>
      </c>
    </row>
    <row r="13869" spans="2:7" ht="15" hidden="1" outlineLevel="2">
      <c r="B13869" s="2889" t="s">
        <v>1647</v>
      </c>
      <c r="C13869" s="2889" t="s">
        <v>1512</v>
      </c>
      <c r="D13869" s="2889" t="s">
        <v>1054</v>
      </c>
      <c r="E13869" s="2889" t="s">
        <v>1426</v>
      </c>
      <c r="F13869" s="2891"/>
      <c r="G13869" s="2890">
        <v>41.849780217737319</v>
      </c>
    </row>
    <row r="13870" spans="2:7" ht="15" hidden="1" outlineLevel="2">
      <c r="B13870" s="2889" t="s">
        <v>1647</v>
      </c>
      <c r="C13870" s="2889" t="s">
        <v>1513</v>
      </c>
      <c r="D13870" s="2889" t="s">
        <v>1054</v>
      </c>
      <c r="E13870" s="2889" t="s">
        <v>1426</v>
      </c>
      <c r="F13870" s="2891"/>
      <c r="G13870" s="2890">
        <v>124.96130499749989</v>
      </c>
    </row>
    <row r="13871" spans="2:7" ht="15" hidden="1" outlineLevel="2">
      <c r="B13871" s="2889" t="s">
        <v>1647</v>
      </c>
      <c r="C13871" s="2889" t="s">
        <v>1514</v>
      </c>
      <c r="D13871" s="2889" t="s">
        <v>1054</v>
      </c>
      <c r="E13871" s="2889" t="s">
        <v>1426</v>
      </c>
      <c r="F13871" s="2891"/>
      <c r="G13871" s="2890">
        <v>536.7332881851529</v>
      </c>
    </row>
    <row r="13872" spans="2:7" ht="15" hidden="1" outlineLevel="2">
      <c r="B13872" s="2889" t="s">
        <v>1647</v>
      </c>
      <c r="C13872" s="2889" t="s">
        <v>1515</v>
      </c>
      <c r="D13872" s="2889" t="s">
        <v>1054</v>
      </c>
      <c r="E13872" s="2889" t="s">
        <v>1426</v>
      </c>
      <c r="F13872" s="2891"/>
      <c r="G13872" s="2890">
        <v>461.52776884512173</v>
      </c>
    </row>
    <row r="13873" spans="2:7" ht="15" hidden="1" outlineLevel="2">
      <c r="B13873" s="2889" t="s">
        <v>1647</v>
      </c>
      <c r="C13873" s="2889" t="s">
        <v>1516</v>
      </c>
      <c r="D13873" s="2889" t="s">
        <v>1054</v>
      </c>
      <c r="E13873" s="2889" t="s">
        <v>1426</v>
      </c>
      <c r="F13873" s="2891"/>
      <c r="G13873" s="2890">
        <v>4584.9781955629087</v>
      </c>
    </row>
    <row r="13874" spans="2:7" ht="15" hidden="1" outlineLevel="2">
      <c r="B13874" s="2889" t="s">
        <v>1647</v>
      </c>
      <c r="C13874" s="2889" t="s">
        <v>1517</v>
      </c>
      <c r="D13874" s="2889" t="s">
        <v>1054</v>
      </c>
      <c r="E13874" s="2889" t="s">
        <v>1426</v>
      </c>
      <c r="F13874" s="2891"/>
      <c r="G13874" s="2890">
        <v>38.032175534906429</v>
      </c>
    </row>
    <row r="13875" spans="2:7" ht="15" hidden="1" outlineLevel="2">
      <c r="B13875" s="2889" t="s">
        <v>1647</v>
      </c>
      <c r="C13875" s="2889" t="s">
        <v>1518</v>
      </c>
      <c r="D13875" s="2889" t="s">
        <v>1054</v>
      </c>
      <c r="E13875" s="2889" t="s">
        <v>1426</v>
      </c>
      <c r="F13875" s="2891"/>
      <c r="G13875" s="2890">
        <v>17.964334644500337</v>
      </c>
    </row>
    <row r="13876" spans="2:7" ht="15" hidden="1" outlineLevel="2">
      <c r="B13876" s="2889" t="s">
        <v>1647</v>
      </c>
      <c r="C13876" s="2889" t="s">
        <v>1519</v>
      </c>
      <c r="D13876" s="2889" t="s">
        <v>1054</v>
      </c>
      <c r="E13876" s="2889" t="s">
        <v>1426</v>
      </c>
      <c r="F13876" s="2891"/>
      <c r="G13876" s="2890">
        <v>1047.1694109012644</v>
      </c>
    </row>
    <row r="13877" spans="2:7" ht="15" hidden="1" outlineLevel="2">
      <c r="B13877" s="2889" t="s">
        <v>1647</v>
      </c>
      <c r="C13877" s="2889" t="s">
        <v>1520</v>
      </c>
      <c r="D13877" s="2889" t="s">
        <v>1054</v>
      </c>
      <c r="E13877" s="2889" t="s">
        <v>1426</v>
      </c>
      <c r="F13877" s="2891"/>
      <c r="G13877" s="2890">
        <v>1140.714073219184</v>
      </c>
    </row>
    <row r="13878" spans="2:7" ht="15" hidden="1" outlineLevel="2">
      <c r="B13878" s="2889" t="s">
        <v>1647</v>
      </c>
      <c r="C13878" s="2889" t="s">
        <v>1521</v>
      </c>
      <c r="D13878" s="2889" t="s">
        <v>1054</v>
      </c>
      <c r="E13878" s="2889" t="s">
        <v>1426</v>
      </c>
      <c r="F13878" s="2891"/>
      <c r="G13878" s="2890">
        <v>3921.5028199196722</v>
      </c>
    </row>
    <row r="13879" spans="2:7" ht="15" hidden="1" outlineLevel="2">
      <c r="B13879" s="2889" t="s">
        <v>1647</v>
      </c>
      <c r="C13879" s="2889" t="s">
        <v>1522</v>
      </c>
      <c r="D13879" s="2889" t="s">
        <v>1054</v>
      </c>
      <c r="E13879" s="2889" t="s">
        <v>1426</v>
      </c>
      <c r="F13879" s="2891"/>
      <c r="G13879" s="2890">
        <v>184.6189270988848</v>
      </c>
    </row>
    <row r="13880" spans="2:7" ht="15" hidden="1" outlineLevel="2">
      <c r="B13880" s="2889" t="s">
        <v>1647</v>
      </c>
      <c r="C13880" s="2889" t="s">
        <v>1523</v>
      </c>
      <c r="D13880" s="2889" t="s">
        <v>1054</v>
      </c>
      <c r="E13880" s="2889" t="s">
        <v>1426</v>
      </c>
      <c r="F13880" s="2891"/>
      <c r="G13880" s="2890">
        <v>1467.5965065509563</v>
      </c>
    </row>
    <row r="13881" spans="2:7" ht="15" hidden="1" outlineLevel="2">
      <c r="B13881" s="2889" t="s">
        <v>1647</v>
      </c>
      <c r="C13881" s="2889" t="s">
        <v>1524</v>
      </c>
      <c r="D13881" s="2889" t="s">
        <v>1054</v>
      </c>
      <c r="E13881" s="2889" t="s">
        <v>1426</v>
      </c>
      <c r="F13881" s="2891"/>
      <c r="G13881" s="2890">
        <v>4990.5578350191327</v>
      </c>
    </row>
    <row r="13882" spans="2:7" ht="15" hidden="1" outlineLevel="2">
      <c r="B13882" s="2889" t="s">
        <v>1647</v>
      </c>
      <c r="C13882" s="2889" t="s">
        <v>1525</v>
      </c>
      <c r="D13882" s="2889" t="s">
        <v>1054</v>
      </c>
      <c r="E13882" s="2889" t="s">
        <v>1426</v>
      </c>
      <c r="F13882" s="2891"/>
      <c r="G13882" s="2890">
        <v>3026.4703066605603</v>
      </c>
    </row>
    <row r="13883" spans="2:7" ht="15" hidden="1" outlineLevel="2">
      <c r="B13883" s="2889" t="s">
        <v>1647</v>
      </c>
      <c r="C13883" s="2889" t="s">
        <v>1526</v>
      </c>
      <c r="D13883" s="2889" t="s">
        <v>1054</v>
      </c>
      <c r="E13883" s="2889" t="s">
        <v>1426</v>
      </c>
      <c r="F13883" s="2891"/>
      <c r="G13883" s="2890">
        <v>4567.3360398912919</v>
      </c>
    </row>
    <row r="13884" spans="2:7" ht="15" hidden="1" outlineLevel="2">
      <c r="B13884" s="2889" t="s">
        <v>1647</v>
      </c>
      <c r="C13884" s="2889" t="s">
        <v>1527</v>
      </c>
      <c r="D13884" s="2889" t="s">
        <v>1054</v>
      </c>
      <c r="E13884" s="2889" t="s">
        <v>1426</v>
      </c>
      <c r="F13884" s="2891"/>
      <c r="G13884" s="2890">
        <v>2075.2240642193387</v>
      </c>
    </row>
    <row r="13885" spans="2:7" ht="15" hidden="1" outlineLevel="2">
      <c r="B13885" s="2889" t="s">
        <v>1647</v>
      </c>
      <c r="C13885" s="2889" t="s">
        <v>1528</v>
      </c>
      <c r="D13885" s="2889" t="s">
        <v>1054</v>
      </c>
      <c r="E13885" s="2889" t="s">
        <v>1426</v>
      </c>
      <c r="F13885" s="2891"/>
      <c r="G13885" s="2890">
        <v>491.27129098342874</v>
      </c>
    </row>
    <row r="13886" spans="2:7" ht="15" hidden="1" outlineLevel="2">
      <c r="B13886" s="2889" t="s">
        <v>1647</v>
      </c>
      <c r="C13886" s="2889" t="s">
        <v>1529</v>
      </c>
      <c r="D13886" s="2889" t="s">
        <v>1054</v>
      </c>
      <c r="E13886" s="2889" t="s">
        <v>1426</v>
      </c>
      <c r="F13886" s="2891"/>
      <c r="G13886" s="2890">
        <v>6.3939236573511806</v>
      </c>
    </row>
    <row r="13887" spans="2:7" ht="15" hidden="1" outlineLevel="2">
      <c r="B13887" s="2889" t="s">
        <v>1647</v>
      </c>
      <c r="C13887" s="2889" t="s">
        <v>1530</v>
      </c>
      <c r="D13887" s="2889" t="s">
        <v>1054</v>
      </c>
      <c r="E13887" s="2889" t="s">
        <v>1426</v>
      </c>
      <c r="F13887" s="2891"/>
      <c r="G13887" s="2890">
        <v>470.75465315006539</v>
      </c>
    </row>
    <row r="13888" spans="2:7" ht="15" hidden="1" outlineLevel="2">
      <c r="B13888" s="2889" t="s">
        <v>1647</v>
      </c>
      <c r="C13888" s="2889" t="s">
        <v>1531</v>
      </c>
      <c r="D13888" s="2889" t="s">
        <v>1106</v>
      </c>
      <c r="E13888" s="2889" t="s">
        <v>217</v>
      </c>
      <c r="F13888" s="2890">
        <v>4.202745823716649E-5</v>
      </c>
      <c r="G13888" s="2890">
        <v>1.8839266483879787E-2</v>
      </c>
    </row>
    <row r="13889" spans="2:7" ht="15" hidden="1" outlineLevel="2">
      <c r="B13889" s="2889" t="s">
        <v>1647</v>
      </c>
      <c r="C13889" s="2889" t="s">
        <v>1532</v>
      </c>
      <c r="D13889" s="2889" t="s">
        <v>1106</v>
      </c>
      <c r="E13889" s="2889" t="s">
        <v>217</v>
      </c>
      <c r="F13889" s="2890">
        <v>3.3100339477851717E-6</v>
      </c>
      <c r="G13889" s="2890">
        <v>1.483757495083494E-3</v>
      </c>
    </row>
    <row r="13890" spans="2:7" ht="15" hidden="1" outlineLevel="2">
      <c r="B13890" s="2889" t="s">
        <v>1647</v>
      </c>
      <c r="C13890" s="2889" t="s">
        <v>1533</v>
      </c>
      <c r="D13890" s="2889" t="s">
        <v>1106</v>
      </c>
      <c r="E13890" s="2889" t="s">
        <v>217</v>
      </c>
      <c r="F13890" s="2890">
        <v>2.1438058094865654E-3</v>
      </c>
      <c r="G13890" s="2890">
        <v>2.2915036852323509</v>
      </c>
    </row>
    <row r="13891" spans="2:7" ht="15" hidden="1" outlineLevel="2">
      <c r="B13891" s="2889" t="s">
        <v>1647</v>
      </c>
      <c r="C13891" s="2889" t="s">
        <v>1534</v>
      </c>
      <c r="D13891" s="2889" t="s">
        <v>1106</v>
      </c>
      <c r="E13891" s="2889" t="s">
        <v>217</v>
      </c>
      <c r="F13891" s="2890">
        <v>1.9489112524140348E-3</v>
      </c>
      <c r="G13891" s="2890">
        <v>6.7857643976469397</v>
      </c>
    </row>
    <row r="13892" spans="2:7" ht="15" hidden="1" outlineLevel="2">
      <c r="B13892" s="2889" t="s">
        <v>1647</v>
      </c>
      <c r="C13892" s="2889" t="s">
        <v>1535</v>
      </c>
      <c r="D13892" s="2889" t="s">
        <v>1106</v>
      </c>
      <c r="E13892" s="2889" t="s">
        <v>217</v>
      </c>
      <c r="F13892" s="2890">
        <v>7.2856303534211248E-4</v>
      </c>
      <c r="G13892" s="2890">
        <v>1.7137599906021779</v>
      </c>
    </row>
    <row r="13893" spans="2:7" ht="15" hidden="1" outlineLevel="2">
      <c r="B13893" s="2889" t="s">
        <v>1647</v>
      </c>
      <c r="C13893" s="2889" t="s">
        <v>1536</v>
      </c>
      <c r="D13893" s="2889" t="s">
        <v>1106</v>
      </c>
      <c r="E13893" s="2889" t="s">
        <v>217</v>
      </c>
      <c r="F13893" s="2890">
        <v>2.4440117384294103E-3</v>
      </c>
      <c r="G13893" s="2890">
        <v>3.1943697943315823</v>
      </c>
    </row>
    <row r="13894" spans="2:7" ht="15" hidden="1" outlineLevel="2">
      <c r="B13894" s="2889" t="s">
        <v>1647</v>
      </c>
      <c r="C13894" s="2889" t="s">
        <v>1537</v>
      </c>
      <c r="D13894" s="2889" t="s">
        <v>1106</v>
      </c>
      <c r="E13894" s="2889" t="s">
        <v>217</v>
      </c>
      <c r="F13894" s="2890">
        <v>1.3693939060592072E-4</v>
      </c>
      <c r="G13894" s="2890">
        <v>0.15694818247347631</v>
      </c>
    </row>
    <row r="13895" spans="2:7" ht="15" hidden="1" outlineLevel="2">
      <c r="B13895" s="2889" t="s">
        <v>1647</v>
      </c>
      <c r="C13895" s="2889" t="s">
        <v>1538</v>
      </c>
      <c r="D13895" s="2889" t="s">
        <v>1106</v>
      </c>
      <c r="E13895" s="2889" t="s">
        <v>217</v>
      </c>
      <c r="F13895" s="2890">
        <v>4.5401708472075431E-4</v>
      </c>
      <c r="G13895" s="2890">
        <v>0.61525046676664819</v>
      </c>
    </row>
    <row r="13896" spans="2:7" ht="15" hidden="1" outlineLevel="2">
      <c r="B13896" s="2889" t="s">
        <v>1647</v>
      </c>
      <c r="C13896" s="2889" t="s">
        <v>1539</v>
      </c>
      <c r="D13896" s="2889" t="s">
        <v>1106</v>
      </c>
      <c r="E13896" s="2889" t="s">
        <v>217</v>
      </c>
      <c r="F13896" s="2890">
        <v>5.3752490277903612E-5</v>
      </c>
      <c r="G13896" s="2890">
        <v>0.6919351669083138</v>
      </c>
    </row>
    <row r="13897" spans="2:7" ht="15" hidden="1" outlineLevel="2">
      <c r="B13897" s="2889" t="s">
        <v>1647</v>
      </c>
      <c r="C13897" s="2889" t="s">
        <v>1540</v>
      </c>
      <c r="D13897" s="2889" t="s">
        <v>1106</v>
      </c>
      <c r="E13897" s="2889" t="s">
        <v>1420</v>
      </c>
      <c r="F13897" s="2890">
        <v>2.3921796283224283E-3</v>
      </c>
      <c r="G13897" s="2890">
        <v>5.8050236076506891</v>
      </c>
    </row>
    <row r="13898" spans="2:7" ht="15" hidden="1" outlineLevel="2">
      <c r="B13898" s="2889" t="s">
        <v>1647</v>
      </c>
      <c r="C13898" s="2889" t="s">
        <v>1541</v>
      </c>
      <c r="D13898" s="2889" t="s">
        <v>1106</v>
      </c>
      <c r="E13898" s="2889" t="s">
        <v>1420</v>
      </c>
      <c r="F13898" s="2890">
        <v>6.9713717234819214E-2</v>
      </c>
      <c r="G13898" s="2890">
        <v>513.25351143596197</v>
      </c>
    </row>
    <row r="13899" spans="2:7" ht="15" hidden="1" outlineLevel="2">
      <c r="B13899" s="2889" t="s">
        <v>1647</v>
      </c>
      <c r="C13899" s="2889" t="s">
        <v>1542</v>
      </c>
      <c r="D13899" s="2889" t="s">
        <v>1106</v>
      </c>
      <c r="E13899" s="2889" t="s">
        <v>1420</v>
      </c>
      <c r="F13899" s="2890">
        <v>3.3908342031709055E-4</v>
      </c>
      <c r="G13899" s="2890">
        <v>3.8802086909968949</v>
      </c>
    </row>
    <row r="13900" spans="2:7" ht="15" hidden="1" outlineLevel="2">
      <c r="B13900" s="2889" t="s">
        <v>1647</v>
      </c>
      <c r="C13900" s="2889" t="s">
        <v>1543</v>
      </c>
      <c r="D13900" s="2889" t="s">
        <v>1106</v>
      </c>
      <c r="E13900" s="2889" t="s">
        <v>1420</v>
      </c>
      <c r="F13900" s="2890">
        <v>1.2287561143883253E-4</v>
      </c>
      <c r="G13900" s="2890">
        <v>1.20268487491283</v>
      </c>
    </row>
    <row r="13901" spans="2:7" ht="15" hidden="1" outlineLevel="2">
      <c r="B13901" s="2889" t="s">
        <v>1647</v>
      </c>
      <c r="C13901" s="2889" t="s">
        <v>1544</v>
      </c>
      <c r="D13901" s="2889" t="s">
        <v>1106</v>
      </c>
      <c r="E13901" s="2889" t="s">
        <v>1420</v>
      </c>
      <c r="F13901" s="2890">
        <v>1.1876614662717914E-4</v>
      </c>
      <c r="G13901" s="2890">
        <v>0.31031367642869695</v>
      </c>
    </row>
    <row r="13902" spans="2:7" ht="15" hidden="1" outlineLevel="2">
      <c r="B13902" s="2889" t="s">
        <v>1647</v>
      </c>
      <c r="C13902" s="2889" t="s">
        <v>1545</v>
      </c>
      <c r="D13902" s="2889" t="s">
        <v>1106</v>
      </c>
      <c r="E13902" s="2889" t="s">
        <v>1420</v>
      </c>
      <c r="F13902" s="2890">
        <v>1.1877130025177118E-4</v>
      </c>
      <c r="G13902" s="2890">
        <v>2.3603020027921948</v>
      </c>
    </row>
    <row r="13903" spans="2:7" ht="15" hidden="1" outlineLevel="2">
      <c r="B13903" s="2889" t="s">
        <v>1647</v>
      </c>
      <c r="C13903" s="2889" t="s">
        <v>1546</v>
      </c>
      <c r="D13903" s="2889" t="s">
        <v>1106</v>
      </c>
      <c r="E13903" s="2889" t="s">
        <v>1423</v>
      </c>
      <c r="F13903" s="2890">
        <v>0.36003682338414156</v>
      </c>
      <c r="G13903" s="2890">
        <v>30.29914592608592</v>
      </c>
    </row>
    <row r="13904" spans="2:7" ht="15" hidden="1" outlineLevel="2">
      <c r="B13904" s="2889" t="s">
        <v>1647</v>
      </c>
      <c r="C13904" s="2889" t="s">
        <v>1547</v>
      </c>
      <c r="D13904" s="2889" t="s">
        <v>1106</v>
      </c>
      <c r="E13904" s="2889" t="s">
        <v>1423</v>
      </c>
      <c r="F13904" s="2890">
        <v>3.9325242028912655E-4</v>
      </c>
      <c r="G13904" s="2890">
        <v>3.4436081857840216E-2</v>
      </c>
    </row>
    <row r="13905" spans="2:7" ht="15" hidden="1" outlineLevel="2">
      <c r="B13905" s="2889" t="s">
        <v>1647</v>
      </c>
      <c r="C13905" s="2889" t="s">
        <v>1548</v>
      </c>
      <c r="D13905" s="2889" t="s">
        <v>1106</v>
      </c>
      <c r="E13905" s="2889" t="s">
        <v>1423</v>
      </c>
      <c r="F13905" s="2890">
        <v>1.834910913367069E-4</v>
      </c>
      <c r="G13905" s="2890">
        <v>1.8805951418760652E-2</v>
      </c>
    </row>
    <row r="13906" spans="2:7" ht="15" hidden="1" outlineLevel="2">
      <c r="B13906" s="2889" t="s">
        <v>1647</v>
      </c>
      <c r="C13906" s="2889" t="s">
        <v>1549</v>
      </c>
      <c r="D13906" s="2889" t="s">
        <v>1106</v>
      </c>
      <c r="E13906" s="2889" t="s">
        <v>1423</v>
      </c>
      <c r="F13906" s="2890">
        <v>5.8979655580925563E-3</v>
      </c>
      <c r="G13906" s="2890">
        <v>0.58079662083387151</v>
      </c>
    </row>
    <row r="13907" spans="2:7" ht="15" hidden="1" outlineLevel="2">
      <c r="B13907" s="2889" t="s">
        <v>1647</v>
      </c>
      <c r="C13907" s="2889" t="s">
        <v>1550</v>
      </c>
      <c r="D13907" s="2889" t="s">
        <v>1106</v>
      </c>
      <c r="E13907" s="2889" t="s">
        <v>1423</v>
      </c>
      <c r="F13907" s="2890">
        <v>6.2486825847824932E-4</v>
      </c>
      <c r="G13907" s="2890">
        <v>0.14051943488253016</v>
      </c>
    </row>
    <row r="13908" spans="2:7" ht="15" hidden="1" outlineLevel="2">
      <c r="B13908" s="2889" t="s">
        <v>1647</v>
      </c>
      <c r="C13908" s="2889" t="s">
        <v>1551</v>
      </c>
      <c r="D13908" s="2889" t="s">
        <v>1106</v>
      </c>
      <c r="E13908" s="2889" t="s">
        <v>1426</v>
      </c>
      <c r="F13908" s="2891"/>
      <c r="G13908" s="2890">
        <v>9.4445470664095783</v>
      </c>
    </row>
    <row r="13909" spans="2:7" ht="15" hidden="1" outlineLevel="2">
      <c r="B13909" s="2889" t="s">
        <v>1647</v>
      </c>
      <c r="C13909" s="2889" t="s">
        <v>1552</v>
      </c>
      <c r="D13909" s="2889" t="s">
        <v>1106</v>
      </c>
      <c r="E13909" s="2889" t="s">
        <v>1426</v>
      </c>
      <c r="F13909" s="2891"/>
      <c r="G13909" s="2890">
        <v>137.04581723302107</v>
      </c>
    </row>
    <row r="13910" spans="2:7" ht="15" hidden="1" outlineLevel="2">
      <c r="B13910" s="2889" t="s">
        <v>1647</v>
      </c>
      <c r="C13910" s="2889" t="s">
        <v>1553</v>
      </c>
      <c r="D13910" s="2889" t="s">
        <v>1106</v>
      </c>
      <c r="E13910" s="2889" t="s">
        <v>1426</v>
      </c>
      <c r="F13910" s="2891"/>
      <c r="G13910" s="2890">
        <v>59.815969027499854</v>
      </c>
    </row>
    <row r="13911" spans="2:7" ht="15" hidden="1" outlineLevel="2">
      <c r="B13911" s="2889" t="s">
        <v>1647</v>
      </c>
      <c r="C13911" s="2889" t="s">
        <v>1554</v>
      </c>
      <c r="D13911" s="2889" t="s">
        <v>1106</v>
      </c>
      <c r="E13911" s="2889" t="s">
        <v>1426</v>
      </c>
      <c r="F13911" s="2891"/>
      <c r="G13911" s="2890">
        <v>60.712559935906654</v>
      </c>
    </row>
    <row r="13912" spans="2:7" ht="15" hidden="1" outlineLevel="2">
      <c r="B13912" s="2889" t="s">
        <v>1647</v>
      </c>
      <c r="C13912" s="2889" t="s">
        <v>1555</v>
      </c>
      <c r="D13912" s="2889" t="s">
        <v>1106</v>
      </c>
      <c r="E13912" s="2889" t="s">
        <v>1426</v>
      </c>
      <c r="F13912" s="2891"/>
      <c r="G13912" s="2890">
        <v>2.3340073810470856</v>
      </c>
    </row>
    <row r="13913" spans="2:7" ht="15" hidden="1" outlineLevel="2">
      <c r="B13913" s="2889" t="s">
        <v>1647</v>
      </c>
      <c r="C13913" s="2889" t="s">
        <v>1556</v>
      </c>
      <c r="D13913" s="2889" t="s">
        <v>1106</v>
      </c>
      <c r="E13913" s="2889" t="s">
        <v>1426</v>
      </c>
      <c r="F13913" s="2891"/>
      <c r="G13913" s="2890">
        <v>1689.3912250738754</v>
      </c>
    </row>
    <row r="13914" spans="2:7" ht="15" hidden="1" outlineLevel="2">
      <c r="B13914" s="2889" t="s">
        <v>1647</v>
      </c>
      <c r="C13914" s="2889" t="s">
        <v>1557</v>
      </c>
      <c r="D13914" s="2889" t="s">
        <v>1106</v>
      </c>
      <c r="E13914" s="2889" t="s">
        <v>1426</v>
      </c>
      <c r="F13914" s="2891"/>
      <c r="G13914" s="2890">
        <v>86.280877570141953</v>
      </c>
    </row>
    <row r="13915" spans="2:7" ht="15" hidden="1" outlineLevel="2">
      <c r="B13915" s="2889" t="s">
        <v>1647</v>
      </c>
      <c r="C13915" s="2889" t="s">
        <v>1558</v>
      </c>
      <c r="D13915" s="2889" t="s">
        <v>1559</v>
      </c>
      <c r="E13915" s="2889" t="s">
        <v>217</v>
      </c>
      <c r="F13915" s="2890">
        <v>6.5939301665821938E-3</v>
      </c>
      <c r="G13915" s="2890">
        <v>3.6116065970859323</v>
      </c>
    </row>
    <row r="13916" spans="2:7" ht="15" hidden="1" outlineLevel="2">
      <c r="B13916" s="2889" t="s">
        <v>1647</v>
      </c>
      <c r="C13916" s="2889" t="s">
        <v>1560</v>
      </c>
      <c r="D13916" s="2889" t="s">
        <v>1559</v>
      </c>
      <c r="E13916" s="2889" t="s">
        <v>217</v>
      </c>
      <c r="F13916" s="2890">
        <v>1.771298384376898E-2</v>
      </c>
      <c r="G13916" s="2890">
        <v>9.5603385635727829</v>
      </c>
    </row>
    <row r="13917" spans="2:7" ht="15" hidden="1" outlineLevel="2">
      <c r="B13917" s="2889" t="s">
        <v>1647</v>
      </c>
      <c r="C13917" s="2889" t="s">
        <v>1561</v>
      </c>
      <c r="D13917" s="2889" t="s">
        <v>1559</v>
      </c>
      <c r="E13917" s="2889" t="s">
        <v>217</v>
      </c>
      <c r="F13917" s="2890">
        <v>9.4628220963536736E-2</v>
      </c>
      <c r="G13917" s="2890">
        <v>49.337484952298126</v>
      </c>
    </row>
    <row r="13918" spans="2:7" ht="15" hidden="1" outlineLevel="2">
      <c r="B13918" s="2889" t="s">
        <v>1647</v>
      </c>
      <c r="C13918" s="2889" t="s">
        <v>1562</v>
      </c>
      <c r="D13918" s="2889" t="s">
        <v>1559</v>
      </c>
      <c r="E13918" s="2889" t="s">
        <v>217</v>
      </c>
      <c r="F13918" s="2890">
        <v>0.19405580253836735</v>
      </c>
      <c r="G13918" s="2890">
        <v>106.39638049355761</v>
      </c>
    </row>
    <row r="13919" spans="2:7" ht="15" hidden="1" outlineLevel="2">
      <c r="B13919" s="2889" t="s">
        <v>1647</v>
      </c>
      <c r="C13919" s="2889" t="s">
        <v>1563</v>
      </c>
      <c r="D13919" s="2889" t="s">
        <v>1559</v>
      </c>
      <c r="E13919" s="2889" t="s">
        <v>217</v>
      </c>
      <c r="F13919" s="2890">
        <v>0.1166572458994487</v>
      </c>
      <c r="G13919" s="2890">
        <v>68.754231890228894</v>
      </c>
    </row>
    <row r="13920" spans="2:7" ht="15" hidden="1" outlineLevel="2">
      <c r="B13920" s="2889" t="s">
        <v>1647</v>
      </c>
      <c r="C13920" s="2889" t="s">
        <v>1564</v>
      </c>
      <c r="D13920" s="2889" t="s">
        <v>1559</v>
      </c>
      <c r="E13920" s="2889" t="s">
        <v>217</v>
      </c>
      <c r="F13920" s="2890">
        <v>0.18321330200027308</v>
      </c>
      <c r="G13920" s="2890">
        <v>92.775815335775306</v>
      </c>
    </row>
    <row r="13921" spans="2:7" ht="15" hidden="1" outlineLevel="2">
      <c r="B13921" s="2889" t="s">
        <v>1647</v>
      </c>
      <c r="C13921" s="2889" t="s">
        <v>1565</v>
      </c>
      <c r="D13921" s="2889" t="s">
        <v>1559</v>
      </c>
      <c r="E13921" s="2889" t="s">
        <v>217</v>
      </c>
      <c r="F13921" s="2890">
        <v>8.2227388994341233E-2</v>
      </c>
      <c r="G13921" s="2890">
        <v>44.250086028411005</v>
      </c>
    </row>
    <row r="13922" spans="2:7" ht="15" hidden="1" outlineLevel="2">
      <c r="B13922" s="2889" t="s">
        <v>1647</v>
      </c>
      <c r="C13922" s="2889" t="s">
        <v>1566</v>
      </c>
      <c r="D13922" s="2889" t="s">
        <v>1559</v>
      </c>
      <c r="E13922" s="2889" t="s">
        <v>217</v>
      </c>
      <c r="F13922" s="2890">
        <v>0.16170589971301674</v>
      </c>
      <c r="G13922" s="2890">
        <v>86.630559596121202</v>
      </c>
    </row>
    <row r="13923" spans="2:7" ht="15" hidden="1" outlineLevel="2">
      <c r="B13923" s="2889" t="s">
        <v>1647</v>
      </c>
      <c r="C13923" s="2889" t="s">
        <v>1567</v>
      </c>
      <c r="D13923" s="2889" t="s">
        <v>1559</v>
      </c>
      <c r="E13923" s="2889" t="s">
        <v>217</v>
      </c>
      <c r="F13923" s="2890">
        <v>0.14320440408333346</v>
      </c>
      <c r="G13923" s="2890">
        <v>21.060485522645081</v>
      </c>
    </row>
    <row r="13924" spans="2:7" ht="15" hidden="1" outlineLevel="2">
      <c r="B13924" s="2889" t="s">
        <v>1647</v>
      </c>
      <c r="C13924" s="2889" t="s">
        <v>1568</v>
      </c>
      <c r="D13924" s="2889" t="s">
        <v>1559</v>
      </c>
      <c r="E13924" s="2889" t="s">
        <v>217</v>
      </c>
      <c r="F13924" s="2890">
        <v>0.18822603049881942</v>
      </c>
      <c r="G13924" s="2890">
        <v>27.682631035760075</v>
      </c>
    </row>
    <row r="13925" spans="2:7" ht="15" hidden="1" outlineLevel="2">
      <c r="B13925" s="2889" t="s">
        <v>1647</v>
      </c>
      <c r="C13925" s="2889" t="s">
        <v>1569</v>
      </c>
      <c r="D13925" s="2889" t="s">
        <v>1559</v>
      </c>
      <c r="E13925" s="2889" t="s">
        <v>217</v>
      </c>
      <c r="F13925" s="2890">
        <v>7.9220169374241632E-5</v>
      </c>
      <c r="G13925" s="2890">
        <v>3.9597458951758445E-2</v>
      </c>
    </row>
    <row r="13926" spans="2:7" ht="15" hidden="1" outlineLevel="2">
      <c r="B13926" s="2889" t="s">
        <v>1647</v>
      </c>
      <c r="C13926" s="2889" t="s">
        <v>1570</v>
      </c>
      <c r="D13926" s="2889" t="s">
        <v>1559</v>
      </c>
      <c r="E13926" s="2889" t="s">
        <v>217</v>
      </c>
      <c r="F13926" s="2890">
        <v>0.99029643563521075</v>
      </c>
      <c r="G13926" s="2890">
        <v>616.37459912082682</v>
      </c>
    </row>
    <row r="13927" spans="2:7" ht="15" hidden="1" outlineLevel="2">
      <c r="B13927" s="2889" t="s">
        <v>1647</v>
      </c>
      <c r="C13927" s="2889" t="s">
        <v>1571</v>
      </c>
      <c r="D13927" s="2889" t="s">
        <v>1559</v>
      </c>
      <c r="E13927" s="2889" t="s">
        <v>217</v>
      </c>
      <c r="F13927" s="2890">
        <v>0.22617577345529424</v>
      </c>
      <c r="G13927" s="2890">
        <v>270.44000628741702</v>
      </c>
    </row>
    <row r="13928" spans="2:7" ht="15" hidden="1" outlineLevel="2">
      <c r="B13928" s="2889" t="s">
        <v>1647</v>
      </c>
      <c r="C13928" s="2889" t="s">
        <v>1572</v>
      </c>
      <c r="D13928" s="2889" t="s">
        <v>1559</v>
      </c>
      <c r="E13928" s="2889" t="s">
        <v>217</v>
      </c>
      <c r="F13928" s="2890">
        <v>8.3714974231263825E-2</v>
      </c>
      <c r="G13928" s="2890">
        <v>51.683864747733139</v>
      </c>
    </row>
    <row r="13929" spans="2:7" ht="15" hidden="1" outlineLevel="2">
      <c r="B13929" s="2889" t="s">
        <v>1647</v>
      </c>
      <c r="C13929" s="2889" t="s">
        <v>1573</v>
      </c>
      <c r="D13929" s="2889" t="s">
        <v>1559</v>
      </c>
      <c r="E13929" s="2889" t="s">
        <v>217</v>
      </c>
      <c r="F13929" s="2890">
        <v>0.18333020615908327</v>
      </c>
      <c r="G13929" s="2890">
        <v>137.65650855658427</v>
      </c>
    </row>
    <row r="13930" spans="2:7" ht="15" hidden="1" outlineLevel="2">
      <c r="B13930" s="2889" t="s">
        <v>1647</v>
      </c>
      <c r="C13930" s="2889" t="s">
        <v>1574</v>
      </c>
      <c r="D13930" s="2889" t="s">
        <v>1559</v>
      </c>
      <c r="E13930" s="2889" t="s">
        <v>217</v>
      </c>
      <c r="F13930" s="2890">
        <v>4.5374613580186907E-3</v>
      </c>
      <c r="G13930" s="2890">
        <v>3.431348942167308</v>
      </c>
    </row>
    <row r="13931" spans="2:7" ht="15" hidden="1" outlineLevel="2">
      <c r="B13931" s="2889" t="s">
        <v>1647</v>
      </c>
      <c r="C13931" s="2889" t="s">
        <v>1575</v>
      </c>
      <c r="D13931" s="2889" t="s">
        <v>1559</v>
      </c>
      <c r="E13931" s="2889" t="s">
        <v>217</v>
      </c>
      <c r="F13931" s="2890">
        <v>5.0261366734313719E-3</v>
      </c>
      <c r="G13931" s="2890">
        <v>6.2647065065134191</v>
      </c>
    </row>
    <row r="13932" spans="2:7" ht="15" hidden="1" outlineLevel="2">
      <c r="B13932" s="2889" t="s">
        <v>1647</v>
      </c>
      <c r="C13932" s="2889" t="s">
        <v>1576</v>
      </c>
      <c r="D13932" s="2889" t="s">
        <v>1559</v>
      </c>
      <c r="E13932" s="2889" t="s">
        <v>217</v>
      </c>
      <c r="F13932" s="2890">
        <v>8.6359647545529491E-3</v>
      </c>
      <c r="G13932" s="2890">
        <v>6.5464041557885775</v>
      </c>
    </row>
    <row r="13933" spans="2:7" ht="15" hidden="1" outlineLevel="2">
      <c r="B13933" s="2889" t="s">
        <v>1647</v>
      </c>
      <c r="C13933" s="2889" t="s">
        <v>1577</v>
      </c>
      <c r="D13933" s="2889" t="s">
        <v>1559</v>
      </c>
      <c r="E13933" s="2889" t="s">
        <v>217</v>
      </c>
      <c r="F13933" s="2890">
        <v>0.16501810774488027</v>
      </c>
      <c r="G13933" s="2890">
        <v>258.45141461140815</v>
      </c>
    </row>
    <row r="13934" spans="2:7" ht="15" hidden="1" outlineLevel="2">
      <c r="B13934" s="2889" t="s">
        <v>1647</v>
      </c>
      <c r="C13934" s="2889" t="s">
        <v>1578</v>
      </c>
      <c r="D13934" s="2889" t="s">
        <v>1559</v>
      </c>
      <c r="E13934" s="2889" t="s">
        <v>217</v>
      </c>
      <c r="F13934" s="2890">
        <v>0.12429447884932329</v>
      </c>
      <c r="G13934" s="2890">
        <v>68.043151022259863</v>
      </c>
    </row>
    <row r="13935" spans="2:7" ht="15" hidden="1" outlineLevel="2">
      <c r="B13935" s="2889" t="s">
        <v>1647</v>
      </c>
      <c r="C13935" s="2889" t="s">
        <v>1579</v>
      </c>
      <c r="D13935" s="2889" t="s">
        <v>1559</v>
      </c>
      <c r="E13935" s="2889" t="s">
        <v>217</v>
      </c>
      <c r="F13935" s="2890">
        <v>0.16336654200826356</v>
      </c>
      <c r="G13935" s="2890">
        <v>89.43825773316091</v>
      </c>
    </row>
    <row r="13936" spans="2:7" ht="15" hidden="1" outlineLevel="2">
      <c r="B13936" s="2889" t="s">
        <v>1647</v>
      </c>
      <c r="C13936" s="2889" t="s">
        <v>1580</v>
      </c>
      <c r="D13936" s="2889" t="s">
        <v>1559</v>
      </c>
      <c r="E13936" s="2889" t="s">
        <v>217</v>
      </c>
      <c r="F13936" s="2890">
        <v>9.7409732009237068E-2</v>
      </c>
      <c r="G13936" s="2890">
        <v>123.67324183576041</v>
      </c>
    </row>
    <row r="13937" spans="2:7" ht="15" hidden="1" outlineLevel="2">
      <c r="B13937" s="2889" t="s">
        <v>1647</v>
      </c>
      <c r="C13937" s="2889" t="s">
        <v>1581</v>
      </c>
      <c r="D13937" s="2889" t="s">
        <v>1559</v>
      </c>
      <c r="E13937" s="2889" t="s">
        <v>217</v>
      </c>
      <c r="F13937" s="2890">
        <v>2.1074758593260023E-2</v>
      </c>
      <c r="G13937" s="2890">
        <v>29.859646392866267</v>
      </c>
    </row>
    <row r="13938" spans="2:7" ht="15" hidden="1" outlineLevel="2">
      <c r="B13938" s="2889" t="s">
        <v>1647</v>
      </c>
      <c r="C13938" s="2889" t="s">
        <v>1582</v>
      </c>
      <c r="D13938" s="2889" t="s">
        <v>1559</v>
      </c>
      <c r="E13938" s="2889" t="s">
        <v>217</v>
      </c>
      <c r="F13938" s="2890">
        <v>2.970481958217908E-2</v>
      </c>
      <c r="G13938" s="2890">
        <v>33.986426437634897</v>
      </c>
    </row>
    <row r="13939" spans="2:7" ht="15" hidden="1" outlineLevel="2">
      <c r="B13939" s="2889" t="s">
        <v>1647</v>
      </c>
      <c r="C13939" s="2889" t="s">
        <v>1583</v>
      </c>
      <c r="D13939" s="2889" t="s">
        <v>1559</v>
      </c>
      <c r="E13939" s="2889" t="s">
        <v>217</v>
      </c>
      <c r="F13939" s="2890">
        <v>2.2891973666352324E-2</v>
      </c>
      <c r="G13939" s="2890">
        <v>15.826310512441923</v>
      </c>
    </row>
    <row r="13940" spans="2:7" ht="15" hidden="1" outlineLevel="2">
      <c r="B13940" s="2889" t="s">
        <v>1647</v>
      </c>
      <c r="C13940" s="2889" t="s">
        <v>1584</v>
      </c>
      <c r="D13940" s="2889" t="s">
        <v>1559</v>
      </c>
      <c r="E13940" s="2889" t="s">
        <v>217</v>
      </c>
      <c r="F13940" s="2890">
        <v>1.3025591158974654</v>
      </c>
      <c r="G13940" s="2890">
        <v>1657.7539391282301</v>
      </c>
    </row>
    <row r="13941" spans="2:7" ht="15" hidden="1" outlineLevel="2">
      <c r="B13941" s="2889" t="s">
        <v>1647</v>
      </c>
      <c r="C13941" s="2889" t="s">
        <v>1585</v>
      </c>
      <c r="D13941" s="2889" t="s">
        <v>1559</v>
      </c>
      <c r="E13941" s="2889" t="s">
        <v>217</v>
      </c>
      <c r="F13941" s="2890">
        <v>0.28635563477625053</v>
      </c>
      <c r="G13941" s="2890">
        <v>405.80544999664579</v>
      </c>
    </row>
    <row r="13942" spans="2:7" ht="15" hidden="1" outlineLevel="2">
      <c r="B13942" s="2889" t="s">
        <v>1647</v>
      </c>
      <c r="C13942" s="2889" t="s">
        <v>1586</v>
      </c>
      <c r="D13942" s="2889" t="s">
        <v>1559</v>
      </c>
      <c r="E13942" s="2889" t="s">
        <v>217</v>
      </c>
      <c r="F13942" s="2890">
        <v>3.2240112843075611E-2</v>
      </c>
      <c r="G13942" s="2890">
        <v>67.940305769943521</v>
      </c>
    </row>
    <row r="13943" spans="2:7" ht="15" hidden="1" outlineLevel="2">
      <c r="B13943" s="2889" t="s">
        <v>1647</v>
      </c>
      <c r="C13943" s="2889" t="s">
        <v>1587</v>
      </c>
      <c r="D13943" s="2889" t="s">
        <v>1559</v>
      </c>
      <c r="E13943" s="2889" t="s">
        <v>217</v>
      </c>
      <c r="F13943" s="2890">
        <v>0.89679238519223126</v>
      </c>
      <c r="G13943" s="2890">
        <v>1309.1541839779509</v>
      </c>
    </row>
    <row r="13944" spans="2:7" ht="15" hidden="1" outlineLevel="2">
      <c r="B13944" s="2889" t="s">
        <v>1647</v>
      </c>
      <c r="C13944" s="2889" t="s">
        <v>1588</v>
      </c>
      <c r="D13944" s="2889" t="s">
        <v>1559</v>
      </c>
      <c r="E13944" s="2889" t="s">
        <v>217</v>
      </c>
      <c r="F13944" s="2890">
        <v>7.4912145577684802E-2</v>
      </c>
      <c r="G13944" s="2890">
        <v>58.719765669655892</v>
      </c>
    </row>
    <row r="13945" spans="2:7" ht="15" hidden="1" outlineLevel="2">
      <c r="B13945" s="2889" t="s">
        <v>1647</v>
      </c>
      <c r="C13945" s="2889" t="s">
        <v>1589</v>
      </c>
      <c r="D13945" s="2889" t="s">
        <v>1559</v>
      </c>
      <c r="E13945" s="2889" t="s">
        <v>217</v>
      </c>
      <c r="F13945" s="2890">
        <v>5.1070636124202276E-2</v>
      </c>
      <c r="G13945" s="2890">
        <v>40.111993416865026</v>
      </c>
    </row>
    <row r="13946" spans="2:7" ht="15" hidden="1" outlineLevel="2">
      <c r="B13946" s="2889" t="s">
        <v>1647</v>
      </c>
      <c r="C13946" s="2889" t="s">
        <v>1590</v>
      </c>
      <c r="D13946" s="2889" t="s">
        <v>1559</v>
      </c>
      <c r="E13946" s="2889" t="s">
        <v>1420</v>
      </c>
      <c r="F13946" s="2890">
        <v>2.5265622469998025E-3</v>
      </c>
      <c r="G13946" s="2890">
        <v>22.537989176750798</v>
      </c>
    </row>
    <row r="13947" spans="2:7" ht="15" hidden="1" outlineLevel="2">
      <c r="B13947" s="2889" t="s">
        <v>1647</v>
      </c>
      <c r="C13947" s="2889" t="s">
        <v>1591</v>
      </c>
      <c r="D13947" s="2889" t="s">
        <v>1559</v>
      </c>
      <c r="E13947" s="2889" t="s">
        <v>1426</v>
      </c>
      <c r="F13947" s="2891"/>
      <c r="G13947" s="2890">
        <v>3.5034629610201914E-2</v>
      </c>
    </row>
    <row r="13948" spans="2:7" ht="15" hidden="1" outlineLevel="2">
      <c r="B13948" s="2889" t="s">
        <v>1647</v>
      </c>
      <c r="C13948" s="2889" t="s">
        <v>1592</v>
      </c>
      <c r="D13948" s="2889" t="s">
        <v>1559</v>
      </c>
      <c r="E13948" s="2889" t="s">
        <v>1426</v>
      </c>
      <c r="F13948" s="2891"/>
      <c r="G13948" s="2890">
        <v>9.3627251683353077</v>
      </c>
    </row>
    <row r="13949" spans="2:7" ht="15" hidden="1" outlineLevel="2">
      <c r="B13949" s="2889" t="s">
        <v>1647</v>
      </c>
      <c r="C13949" s="2889" t="s">
        <v>1593</v>
      </c>
      <c r="D13949" s="2889" t="s">
        <v>1559</v>
      </c>
      <c r="E13949" s="2889" t="s">
        <v>1426</v>
      </c>
      <c r="F13949" s="2891"/>
      <c r="G13949" s="2890">
        <v>244.99043918104124</v>
      </c>
    </row>
    <row r="13950" spans="2:7" ht="15" hidden="1" outlineLevel="2">
      <c r="B13950" s="2889" t="s">
        <v>1647</v>
      </c>
      <c r="C13950" s="2889" t="s">
        <v>1594</v>
      </c>
      <c r="D13950" s="2889" t="s">
        <v>1559</v>
      </c>
      <c r="E13950" s="2889" t="s">
        <v>1426</v>
      </c>
      <c r="F13950" s="2891"/>
      <c r="G13950" s="2890">
        <v>50.55776296018324</v>
      </c>
    </row>
    <row r="13951" spans="2:7" ht="15" hidden="1" outlineLevel="2">
      <c r="B13951" s="2889" t="s">
        <v>1647</v>
      </c>
      <c r="C13951" s="2889" t="s">
        <v>1595</v>
      </c>
      <c r="D13951" s="2889" t="s">
        <v>1559</v>
      </c>
      <c r="E13951" s="2889" t="s">
        <v>1426</v>
      </c>
      <c r="F13951" s="2891"/>
      <c r="G13951" s="2890">
        <v>333.54806928777475</v>
      </c>
    </row>
    <row r="13952" spans="2:7" ht="15" hidden="1" outlineLevel="2">
      <c r="B13952" s="2889" t="s">
        <v>1647</v>
      </c>
      <c r="C13952" s="2889" t="s">
        <v>1596</v>
      </c>
      <c r="D13952" s="2889" t="s">
        <v>1559</v>
      </c>
      <c r="E13952" s="2889" t="s">
        <v>1426</v>
      </c>
      <c r="F13952" s="2891"/>
      <c r="G13952" s="2890">
        <v>39.328203565459624</v>
      </c>
    </row>
    <row r="13953" spans="2:7" ht="15" hidden="1" outlineLevel="2">
      <c r="B13953" s="2889" t="s">
        <v>1647</v>
      </c>
      <c r="C13953" s="2889" t="s">
        <v>1597</v>
      </c>
      <c r="D13953" s="2889" t="s">
        <v>1559</v>
      </c>
      <c r="E13953" s="2889" t="s">
        <v>1426</v>
      </c>
      <c r="F13953" s="2891"/>
      <c r="G13953" s="2890">
        <v>0.93682220675024708</v>
      </c>
    </row>
    <row r="13954" spans="2:7" ht="15" hidden="1" outlineLevel="2">
      <c r="B13954" s="2889" t="s">
        <v>1647</v>
      </c>
      <c r="C13954" s="2889" t="s">
        <v>1598</v>
      </c>
      <c r="D13954" s="2889" t="s">
        <v>1599</v>
      </c>
      <c r="E13954" s="2889" t="s">
        <v>217</v>
      </c>
      <c r="F13954" s="2890">
        <v>3.2667064699299926E-2</v>
      </c>
      <c r="G13954" s="2890">
        <v>18.889719353034494</v>
      </c>
    </row>
    <row r="13955" spans="2:7" ht="15" hidden="1" outlineLevel="2">
      <c r="B13955" s="2889" t="s">
        <v>1647</v>
      </c>
      <c r="C13955" s="2889" t="s">
        <v>1600</v>
      </c>
      <c r="D13955" s="2889" t="s">
        <v>1599</v>
      </c>
      <c r="E13955" s="2889" t="s">
        <v>217</v>
      </c>
      <c r="F13955" s="2890">
        <v>3.8188481784736023E-2</v>
      </c>
      <c r="G13955" s="2890">
        <v>42.533151416600106</v>
      </c>
    </row>
    <row r="13956" spans="2:7" ht="15" hidden="1" outlineLevel="2">
      <c r="B13956" s="2889" t="s">
        <v>1647</v>
      </c>
      <c r="C13956" s="2889" t="s">
        <v>1601</v>
      </c>
      <c r="D13956" s="2889" t="s">
        <v>1599</v>
      </c>
      <c r="E13956" s="2889" t="s">
        <v>217</v>
      </c>
      <c r="F13956" s="2890">
        <v>3.9171671382828008E-4</v>
      </c>
      <c r="G13956" s="2890">
        <v>0.49966810797494776</v>
      </c>
    </row>
    <row r="13957" spans="2:7" ht="15" hidden="1" outlineLevel="2">
      <c r="B13957" s="2889" t="s">
        <v>1647</v>
      </c>
      <c r="C13957" s="2889" t="s">
        <v>1602</v>
      </c>
      <c r="D13957" s="2889" t="s">
        <v>1599</v>
      </c>
      <c r="E13957" s="2889" t="s">
        <v>1426</v>
      </c>
      <c r="F13957" s="2891"/>
      <c r="G13957" s="2890">
        <v>566.02769447817309</v>
      </c>
    </row>
    <row r="13958" spans="2:7" ht="15" hidden="1" outlineLevel="2">
      <c r="B13958" s="2889" t="s">
        <v>1647</v>
      </c>
      <c r="C13958" s="2889" t="s">
        <v>1603</v>
      </c>
      <c r="D13958" s="2889" t="s">
        <v>1604</v>
      </c>
      <c r="E13958" s="2889" t="s">
        <v>217</v>
      </c>
      <c r="F13958" s="2890">
        <v>1.1308463101756586E-35</v>
      </c>
      <c r="G13958" s="2890">
        <v>1.3633235801716551E-32</v>
      </c>
    </row>
    <row r="13959" spans="2:7" ht="15" hidden="1" outlineLevel="2">
      <c r="B13959" s="2889" t="s">
        <v>1647</v>
      </c>
      <c r="C13959" s="2889" t="s">
        <v>1605</v>
      </c>
      <c r="D13959" s="2889" t="s">
        <v>1604</v>
      </c>
      <c r="E13959" s="2889" t="s">
        <v>1423</v>
      </c>
      <c r="F13959" s="2890">
        <v>3.136151520901011E-33</v>
      </c>
      <c r="G13959" s="2890">
        <v>7.3601632656396319E-31</v>
      </c>
    </row>
    <row r="13960" spans="2:7" ht="15" hidden="1" outlineLevel="2">
      <c r="B13960" s="2889" t="s">
        <v>1647</v>
      </c>
      <c r="C13960" s="2889" t="s">
        <v>1606</v>
      </c>
      <c r="D13960" s="2889" t="s">
        <v>1604</v>
      </c>
      <c r="E13960" s="2889" t="s">
        <v>1426</v>
      </c>
      <c r="F13960" s="2891"/>
      <c r="G13960" s="2890">
        <v>7.9720101268876722E-32</v>
      </c>
    </row>
    <row r="13961" spans="2:7" ht="15" hidden="1" outlineLevel="2">
      <c r="B13961" s="2889" t="s">
        <v>1647</v>
      </c>
      <c r="C13961" s="2889" t="s">
        <v>1607</v>
      </c>
      <c r="D13961" s="2889" t="s">
        <v>1608</v>
      </c>
      <c r="E13961" s="2889" t="s">
        <v>217</v>
      </c>
      <c r="F13961" s="2890">
        <v>14.579042235892407</v>
      </c>
      <c r="G13961" s="2890">
        <v>11980.001689264287</v>
      </c>
    </row>
    <row r="13962" spans="2:7" ht="15" hidden="1" outlineLevel="2">
      <c r="B13962" s="2889" t="s">
        <v>1647</v>
      </c>
      <c r="C13962" s="2889" t="s">
        <v>1609</v>
      </c>
      <c r="D13962" s="2889" t="s">
        <v>1608</v>
      </c>
      <c r="E13962" s="2889" t="s">
        <v>217</v>
      </c>
      <c r="F13962" s="2890">
        <v>6.3483957103297444</v>
      </c>
      <c r="G13962" s="2890">
        <v>5055.5280300105369</v>
      </c>
    </row>
    <row r="13963" spans="2:7" ht="15" hidden="1" outlineLevel="2">
      <c r="B13963" s="2889" t="s">
        <v>1647</v>
      </c>
      <c r="C13963" s="2889" t="s">
        <v>1610</v>
      </c>
      <c r="D13963" s="2889" t="s">
        <v>1608</v>
      </c>
      <c r="E13963" s="2889" t="s">
        <v>217</v>
      </c>
      <c r="F13963" s="2890">
        <v>7.9378572573603519</v>
      </c>
      <c r="G13963" s="2890">
        <v>12382.58433968568</v>
      </c>
    </row>
    <row r="13964" spans="2:7" ht="15" hidden="1" outlineLevel="2">
      <c r="B13964" s="2889" t="s">
        <v>1647</v>
      </c>
      <c r="C13964" s="2889" t="s">
        <v>1611</v>
      </c>
      <c r="D13964" s="2889" t="s">
        <v>1608</v>
      </c>
      <c r="E13964" s="2889" t="s">
        <v>1612</v>
      </c>
      <c r="F13964" s="2891"/>
      <c r="G13964" s="2890">
        <v>11025.016065112439</v>
      </c>
    </row>
    <row r="13965" spans="2:7" ht="15" hidden="1" outlineLevel="2">
      <c r="B13965" s="2889" t="s">
        <v>1647</v>
      </c>
      <c r="C13965" s="2889" t="s">
        <v>1613</v>
      </c>
      <c r="D13965" s="2889" t="s">
        <v>1608</v>
      </c>
      <c r="E13965" s="2889" t="s">
        <v>1612</v>
      </c>
      <c r="F13965" s="2891"/>
      <c r="G13965" s="2890">
        <v>28.055968688724672</v>
      </c>
    </row>
    <row r="13966" spans="2:7" ht="15" hidden="1" outlineLevel="2">
      <c r="B13966" s="2889" t="s">
        <v>1647</v>
      </c>
      <c r="C13966" s="2889" t="s">
        <v>1614</v>
      </c>
      <c r="D13966" s="2889" t="s">
        <v>1615</v>
      </c>
      <c r="E13966" s="2889" t="s">
        <v>1426</v>
      </c>
      <c r="F13966" s="2891"/>
      <c r="G13966" s="2890">
        <v>3.173088276097573E-29</v>
      </c>
    </row>
    <row r="13967" spans="2:7" ht="15" hidden="1" outlineLevel="2">
      <c r="B13967" s="2889" t="s">
        <v>1647</v>
      </c>
      <c r="C13967" s="2889" t="s">
        <v>1616</v>
      </c>
      <c r="D13967" s="2889" t="s">
        <v>1615</v>
      </c>
      <c r="E13967" s="2889" t="s">
        <v>217</v>
      </c>
      <c r="F13967" s="2890">
        <v>3.5648020414616141E-36</v>
      </c>
      <c r="G13967" s="2890">
        <v>4.8941940554863511E-33</v>
      </c>
    </row>
    <row r="13968" spans="2:7" ht="15" hidden="1" outlineLevel="2">
      <c r="B13968" s="2889" t="s">
        <v>1647</v>
      </c>
      <c r="C13968" s="2889" t="s">
        <v>1617</v>
      </c>
      <c r="D13968" s="2889" t="s">
        <v>1615</v>
      </c>
      <c r="E13968" s="2889" t="s">
        <v>1420</v>
      </c>
      <c r="F13968" s="2890">
        <v>1.3212207888560816E-40</v>
      </c>
      <c r="G13968" s="2890">
        <v>3.8274928299855921E-37</v>
      </c>
    </row>
    <row r="13969" spans="2:7" ht="15" hidden="1" outlineLevel="2">
      <c r="B13969" s="2889" t="s">
        <v>1647</v>
      </c>
      <c r="C13969" s="2889" t="s">
        <v>1618</v>
      </c>
      <c r="D13969" s="2889" t="s">
        <v>1619</v>
      </c>
      <c r="E13969" s="2889" t="s">
        <v>217</v>
      </c>
      <c r="F13969" s="2890">
        <v>0.94095400949200236</v>
      </c>
      <c r="G13969" s="2890">
        <v>238.55749708809904</v>
      </c>
    </row>
    <row r="13970" spans="2:7" ht="15" hidden="1" outlineLevel="2">
      <c r="B13970" s="2889" t="s">
        <v>1647</v>
      </c>
      <c r="C13970" s="2889" t="s">
        <v>1620</v>
      </c>
      <c r="D13970" s="2889" t="s">
        <v>1619</v>
      </c>
      <c r="E13970" s="2889" t="s">
        <v>217</v>
      </c>
      <c r="F13970" s="2890">
        <v>1.7006194569637756E-33</v>
      </c>
      <c r="G13970" s="2890">
        <v>2.0717209505030705E-30</v>
      </c>
    </row>
    <row r="13971" spans="2:7" ht="15" hidden="1" outlineLevel="2">
      <c r="B13971" s="2889" t="s">
        <v>1647</v>
      </c>
      <c r="C13971" s="2889" t="s">
        <v>1621</v>
      </c>
      <c r="D13971" s="2889" t="s">
        <v>1619</v>
      </c>
      <c r="E13971" s="2889" t="s">
        <v>217</v>
      </c>
      <c r="F13971" s="2890">
        <v>1.0078872714417808</v>
      </c>
      <c r="G13971" s="2890">
        <v>275.45650629490206</v>
      </c>
    </row>
    <row r="13972" spans="2:7" ht="15" hidden="1" outlineLevel="2">
      <c r="B13972" s="2889" t="s">
        <v>1647</v>
      </c>
      <c r="C13972" s="2889" t="s">
        <v>1622</v>
      </c>
      <c r="D13972" s="2889" t="s">
        <v>1619</v>
      </c>
      <c r="E13972" s="2889" t="s">
        <v>217</v>
      </c>
      <c r="F13972" s="2890">
        <v>6.4540336974387241E-2</v>
      </c>
      <c r="G13972" s="2890">
        <v>70.819720604860905</v>
      </c>
    </row>
    <row r="13973" spans="2:7" ht="15" hidden="1" outlineLevel="2">
      <c r="B13973" s="2889" t="s">
        <v>1647</v>
      </c>
      <c r="C13973" s="2889" t="s">
        <v>1623</v>
      </c>
      <c r="D13973" s="2889" t="s">
        <v>1619</v>
      </c>
      <c r="E13973" s="2889" t="s">
        <v>217</v>
      </c>
      <c r="F13973" s="2890">
        <v>0.165418760382326</v>
      </c>
      <c r="G13973" s="2890">
        <v>115.27355122570397</v>
      </c>
    </row>
    <row r="13974" spans="2:7" ht="15" hidden="1" outlineLevel="2">
      <c r="B13974" s="2889" t="s">
        <v>1647</v>
      </c>
      <c r="C13974" s="2889" t="s">
        <v>1624</v>
      </c>
      <c r="D13974" s="2889" t="s">
        <v>1619</v>
      </c>
      <c r="E13974" s="2889" t="s">
        <v>217</v>
      </c>
      <c r="F13974" s="2890">
        <v>1.4322774119862323</v>
      </c>
      <c r="G13974" s="2890">
        <v>1228.6675850515908</v>
      </c>
    </row>
    <row r="13975" spans="2:7" ht="15" hidden="1" outlineLevel="2">
      <c r="B13975" s="2889" t="s">
        <v>1647</v>
      </c>
      <c r="C13975" s="2889" t="s">
        <v>1625</v>
      </c>
      <c r="D13975" s="2889" t="s">
        <v>1619</v>
      </c>
      <c r="E13975" s="2889" t="s">
        <v>217</v>
      </c>
      <c r="F13975" s="2890">
        <v>6.6319380563515731E-2</v>
      </c>
      <c r="G13975" s="2890">
        <v>86.330920114526606</v>
      </c>
    </row>
    <row r="13976" spans="2:7" ht="15" hidden="1" outlineLevel="2">
      <c r="B13976" s="2889" t="s">
        <v>1647</v>
      </c>
      <c r="C13976" s="2889" t="s">
        <v>1626</v>
      </c>
      <c r="D13976" s="2889" t="s">
        <v>1619</v>
      </c>
      <c r="E13976" s="2889" t="s">
        <v>217</v>
      </c>
      <c r="F13976" s="2890">
        <v>8.747796445169749E-2</v>
      </c>
      <c r="G13976" s="2890">
        <v>69.103759182832817</v>
      </c>
    </row>
    <row r="13977" spans="2:7" ht="15" hidden="1" outlineLevel="2">
      <c r="B13977" s="2889" t="s">
        <v>1647</v>
      </c>
      <c r="C13977" s="2889" t="s">
        <v>1627</v>
      </c>
      <c r="D13977" s="2889" t="s">
        <v>1619</v>
      </c>
      <c r="E13977" s="2889" t="s">
        <v>1420</v>
      </c>
      <c r="F13977" s="2890">
        <v>2.8608091219981336E-3</v>
      </c>
      <c r="G13977" s="2890">
        <v>4.7794929595290441</v>
      </c>
    </row>
    <row r="13978" spans="2:7" ht="15" hidden="1" outlineLevel="2">
      <c r="B13978" s="2889" t="s">
        <v>1647</v>
      </c>
      <c r="C13978" s="2889" t="s">
        <v>1628</v>
      </c>
      <c r="D13978" s="2889" t="s">
        <v>1619</v>
      </c>
      <c r="E13978" s="2889" t="s">
        <v>1426</v>
      </c>
      <c r="F13978" s="2891"/>
      <c r="G13978" s="2890">
        <v>94.729131698517477</v>
      </c>
    </row>
    <row r="13979" spans="2:7" ht="15" hidden="1" outlineLevel="2">
      <c r="B13979" s="2889" t="s">
        <v>1647</v>
      </c>
      <c r="C13979" s="2889" t="s">
        <v>1629</v>
      </c>
      <c r="D13979" s="2889" t="s">
        <v>1630</v>
      </c>
      <c r="E13979" s="2889" t="s">
        <v>1426</v>
      </c>
      <c r="F13979" s="2891"/>
      <c r="G13979" s="2890">
        <v>1.2556964165000301E-30</v>
      </c>
    </row>
    <row r="13980" spans="2:7" ht="15" outlineLevel="1" collapsed="1">
      <c r="B13980" s="3042" t="s">
        <v>1717</v>
      </c>
      <c r="C13980" s="2889"/>
      <c r="D13980" s="2889"/>
      <c r="E13980" s="2889"/>
      <c r="F13980" s="2891">
        <f>SUBTOTAL(9,F13769:F13979)</f>
        <v>41.002510987358725</v>
      </c>
      <c r="G13980" s="2890">
        <f>SUBTOTAL(9,G13769:G13979)</f>
        <v>92440.871899754522</v>
      </c>
    </row>
    <row r="13981" spans="2:7" ht="15" hidden="1" outlineLevel="2">
      <c r="B13981" s="2889" t="s">
        <v>1648</v>
      </c>
      <c r="C13981" s="2889" t="s">
        <v>1408</v>
      </c>
      <c r="D13981" s="2889" t="s">
        <v>197</v>
      </c>
      <c r="E13981" s="2889" t="s">
        <v>217</v>
      </c>
      <c r="F13981" s="2890">
        <v>1.0778588515426605E-3</v>
      </c>
      <c r="G13981" s="2890">
        <v>0.65742582300586283</v>
      </c>
    </row>
    <row r="13982" spans="2:7" ht="15" hidden="1" outlineLevel="2">
      <c r="B13982" s="2889" t="s">
        <v>1648</v>
      </c>
      <c r="C13982" s="2889" t="s">
        <v>1409</v>
      </c>
      <c r="D13982" s="2889" t="s">
        <v>197</v>
      </c>
      <c r="E13982" s="2889" t="s">
        <v>217</v>
      </c>
      <c r="F13982" s="2890">
        <v>1.1290134810229228E-3</v>
      </c>
      <c r="G13982" s="2890">
        <v>1.7793647067525642</v>
      </c>
    </row>
    <row r="13983" spans="2:7" ht="15" hidden="1" outlineLevel="2">
      <c r="B13983" s="2889" t="s">
        <v>1648</v>
      </c>
      <c r="C13983" s="2889" t="s">
        <v>1410</v>
      </c>
      <c r="D13983" s="2889" t="s">
        <v>197</v>
      </c>
      <c r="E13983" s="2889" t="s">
        <v>217</v>
      </c>
      <c r="F13983" s="2890">
        <v>2.0101872126722432E-3</v>
      </c>
      <c r="G13983" s="2890">
        <v>6.9233946740333785</v>
      </c>
    </row>
    <row r="13984" spans="2:7" ht="15" hidden="1" outlineLevel="2">
      <c r="B13984" s="2889" t="s">
        <v>1648</v>
      </c>
      <c r="C13984" s="2889" t="s">
        <v>1411</v>
      </c>
      <c r="D13984" s="2889" t="s">
        <v>197</v>
      </c>
      <c r="E13984" s="2889" t="s">
        <v>217</v>
      </c>
      <c r="F13984" s="2890">
        <v>3.3068755568634801E-5</v>
      </c>
      <c r="G13984" s="2890">
        <v>4.3607578479223495E-2</v>
      </c>
    </row>
    <row r="13985" spans="2:7" ht="15" hidden="1" outlineLevel="2">
      <c r="B13985" s="2889" t="s">
        <v>1648</v>
      </c>
      <c r="C13985" s="2889" t="s">
        <v>1412</v>
      </c>
      <c r="D13985" s="2889" t="s">
        <v>197</v>
      </c>
      <c r="E13985" s="2889" t="s">
        <v>217</v>
      </c>
      <c r="F13985" s="2890">
        <v>3.5724403725154903E-3</v>
      </c>
      <c r="G13985" s="2890">
        <v>4.707361583349627</v>
      </c>
    </row>
    <row r="13986" spans="2:7" ht="15" hidden="1" outlineLevel="2">
      <c r="B13986" s="2889" t="s">
        <v>1648</v>
      </c>
      <c r="C13986" s="2889" t="s">
        <v>1413</v>
      </c>
      <c r="D13986" s="2889" t="s">
        <v>197</v>
      </c>
      <c r="E13986" s="2889" t="s">
        <v>217</v>
      </c>
      <c r="F13986" s="2890">
        <v>1.174541507956911E-3</v>
      </c>
      <c r="G13986" s="2890">
        <v>1.4745485833354928</v>
      </c>
    </row>
    <row r="13987" spans="2:7" ht="15" hidden="1" outlineLevel="2">
      <c r="B13987" s="2889" t="s">
        <v>1648</v>
      </c>
      <c r="C13987" s="2889" t="s">
        <v>1414</v>
      </c>
      <c r="D13987" s="2889" t="s">
        <v>197</v>
      </c>
      <c r="E13987" s="2889" t="s">
        <v>217</v>
      </c>
      <c r="F13987" s="2890">
        <v>1.5328790279751548E-2</v>
      </c>
      <c r="G13987" s="2890">
        <v>16.01831032055232</v>
      </c>
    </row>
    <row r="13988" spans="2:7" ht="15" hidden="1" outlineLevel="2">
      <c r="B13988" s="2889" t="s">
        <v>1648</v>
      </c>
      <c r="C13988" s="2889" t="s">
        <v>1415</v>
      </c>
      <c r="D13988" s="2889" t="s">
        <v>197</v>
      </c>
      <c r="E13988" s="2889" t="s">
        <v>217</v>
      </c>
      <c r="F13988" s="2890">
        <v>5.0421339997414646E-2</v>
      </c>
      <c r="G13988" s="2890">
        <v>34.335270738461595</v>
      </c>
    </row>
    <row r="13989" spans="2:7" ht="15" hidden="1" outlineLevel="2">
      <c r="B13989" s="2889" t="s">
        <v>1648</v>
      </c>
      <c r="C13989" s="2889" t="s">
        <v>1416</v>
      </c>
      <c r="D13989" s="2889" t="s">
        <v>197</v>
      </c>
      <c r="E13989" s="2889" t="s">
        <v>217</v>
      </c>
      <c r="F13989" s="2890">
        <v>5.6690849032878616E-3</v>
      </c>
      <c r="G13989" s="2890">
        <v>6.6953415830537093</v>
      </c>
    </row>
    <row r="13990" spans="2:7" ht="15" hidden="1" outlineLevel="2">
      <c r="B13990" s="2889" t="s">
        <v>1648</v>
      </c>
      <c r="C13990" s="2889" t="s">
        <v>1417</v>
      </c>
      <c r="D13990" s="2889" t="s">
        <v>197</v>
      </c>
      <c r="E13990" s="2889" t="s">
        <v>217</v>
      </c>
      <c r="F13990" s="2890">
        <v>7.5715937509626642E-3</v>
      </c>
      <c r="G13990" s="2890">
        <v>8.5730082798359035</v>
      </c>
    </row>
    <row r="13991" spans="2:7" ht="15" hidden="1" outlineLevel="2">
      <c r="B13991" s="2889" t="s">
        <v>1648</v>
      </c>
      <c r="C13991" s="2889" t="s">
        <v>1418</v>
      </c>
      <c r="D13991" s="2889" t="s">
        <v>197</v>
      </c>
      <c r="E13991" s="2889" t="s">
        <v>217</v>
      </c>
      <c r="F13991" s="2890">
        <v>1.3448523921790363E-3</v>
      </c>
      <c r="G13991" s="2890">
        <v>9.5104189969686743</v>
      </c>
    </row>
    <row r="13992" spans="2:7" ht="15" hidden="1" outlineLevel="2">
      <c r="B13992" s="2889" t="s">
        <v>1648</v>
      </c>
      <c r="C13992" s="2889" t="s">
        <v>1419</v>
      </c>
      <c r="D13992" s="2889" t="s">
        <v>197</v>
      </c>
      <c r="E13992" s="2889" t="s">
        <v>1420</v>
      </c>
      <c r="F13992" s="2890">
        <v>3.2758398066284498E-5</v>
      </c>
      <c r="G13992" s="2890">
        <v>5.2051636989664904E-2</v>
      </c>
    </row>
    <row r="13993" spans="2:7" ht="15" hidden="1" outlineLevel="2">
      <c r="B13993" s="2889" t="s">
        <v>1648</v>
      </c>
      <c r="C13993" s="2889" t="s">
        <v>1421</v>
      </c>
      <c r="D13993" s="2889" t="s">
        <v>197</v>
      </c>
      <c r="E13993" s="2889" t="s">
        <v>1420</v>
      </c>
      <c r="F13993" s="2890">
        <v>6.7219719942700706E-6</v>
      </c>
      <c r="G13993" s="2890">
        <v>7.0841620650953466E-2</v>
      </c>
    </row>
    <row r="13994" spans="2:7" ht="15" hidden="1" outlineLevel="2">
      <c r="B13994" s="2889" t="s">
        <v>1648</v>
      </c>
      <c r="C13994" s="2889" t="s">
        <v>1422</v>
      </c>
      <c r="D13994" s="2889" t="s">
        <v>197</v>
      </c>
      <c r="E13994" s="2889" t="s">
        <v>1423</v>
      </c>
      <c r="F13994" s="2890">
        <v>1.3113418607978474E-3</v>
      </c>
      <c r="G13994" s="2890">
        <v>1.3749991193070452E-2</v>
      </c>
    </row>
    <row r="13995" spans="2:7" ht="15" hidden="1" outlineLevel="2">
      <c r="B13995" s="2889" t="s">
        <v>1648</v>
      </c>
      <c r="C13995" s="2889" t="s">
        <v>1424</v>
      </c>
      <c r="D13995" s="2889" t="s">
        <v>197</v>
      </c>
      <c r="E13995" s="2889" t="s">
        <v>1423</v>
      </c>
      <c r="F13995" s="2890">
        <v>4.1622898023167804E-4</v>
      </c>
      <c r="G13995" s="2890">
        <v>4.3630306474377878E-3</v>
      </c>
    </row>
    <row r="13996" spans="2:7" ht="15" hidden="1" outlineLevel="2">
      <c r="B13996" s="2889" t="s">
        <v>1648</v>
      </c>
      <c r="C13996" s="2889" t="s">
        <v>1425</v>
      </c>
      <c r="D13996" s="2889" t="s">
        <v>197</v>
      </c>
      <c r="E13996" s="2889" t="s">
        <v>1426</v>
      </c>
      <c r="F13996" s="2891"/>
      <c r="G13996" s="2890">
        <v>0.10168193029243625</v>
      </c>
    </row>
    <row r="13997" spans="2:7" ht="15" hidden="1" outlineLevel="2">
      <c r="B13997" s="2889" t="s">
        <v>1648</v>
      </c>
      <c r="C13997" s="2889" t="s">
        <v>1427</v>
      </c>
      <c r="D13997" s="2889" t="s">
        <v>197</v>
      </c>
      <c r="E13997" s="2889" t="s">
        <v>1426</v>
      </c>
      <c r="F13997" s="2891"/>
      <c r="G13997" s="2890">
        <v>4395.9540108853525</v>
      </c>
    </row>
    <row r="13998" spans="2:7" ht="15" hidden="1" outlineLevel="2">
      <c r="B13998" s="2889" t="s">
        <v>1648</v>
      </c>
      <c r="C13998" s="2889" t="s">
        <v>1428</v>
      </c>
      <c r="D13998" s="2889" t="s">
        <v>197</v>
      </c>
      <c r="E13998" s="2889" t="s">
        <v>1426</v>
      </c>
      <c r="F13998" s="2891"/>
      <c r="G13998" s="2890">
        <v>394.45118064923759</v>
      </c>
    </row>
    <row r="13999" spans="2:7" ht="15" hidden="1" outlineLevel="2">
      <c r="B13999" s="2889" t="s">
        <v>1648</v>
      </c>
      <c r="C13999" s="2889" t="s">
        <v>1429</v>
      </c>
      <c r="D13999" s="2889" t="s">
        <v>197</v>
      </c>
      <c r="E13999" s="2889" t="s">
        <v>1426</v>
      </c>
      <c r="F13999" s="2891"/>
      <c r="G13999" s="2890">
        <v>2.1926098127378615</v>
      </c>
    </row>
    <row r="14000" spans="2:7" ht="15" hidden="1" outlineLevel="2">
      <c r="B14000" s="2889" t="s">
        <v>1648</v>
      </c>
      <c r="C14000" s="2889" t="s">
        <v>1430</v>
      </c>
      <c r="D14000" s="2889" t="s">
        <v>197</v>
      </c>
      <c r="E14000" s="2889" t="s">
        <v>1426</v>
      </c>
      <c r="F14000" s="2891"/>
      <c r="G14000" s="2890">
        <v>0.45002998573222991</v>
      </c>
    </row>
    <row r="14001" spans="2:7" ht="15" hidden="1" outlineLevel="2">
      <c r="B14001" s="2889" t="s">
        <v>1648</v>
      </c>
      <c r="C14001" s="2889" t="s">
        <v>1431</v>
      </c>
      <c r="D14001" s="2889" t="s">
        <v>197</v>
      </c>
      <c r="E14001" s="2889" t="s">
        <v>1426</v>
      </c>
      <c r="F14001" s="2891"/>
      <c r="G14001" s="2890">
        <v>33.48414774084452</v>
      </c>
    </row>
    <row r="14002" spans="2:7" ht="15" hidden="1" outlineLevel="2">
      <c r="B14002" s="2889" t="s">
        <v>1648</v>
      </c>
      <c r="C14002" s="2889" t="s">
        <v>1432</v>
      </c>
      <c r="D14002" s="2889" t="s">
        <v>197</v>
      </c>
      <c r="E14002" s="2889" t="s">
        <v>1426</v>
      </c>
      <c r="F14002" s="2891"/>
      <c r="G14002" s="2890">
        <v>8.3865502436421685E-2</v>
      </c>
    </row>
    <row r="14003" spans="2:7" ht="15" hidden="1" outlineLevel="2">
      <c r="B14003" s="2889" t="s">
        <v>1648</v>
      </c>
      <c r="C14003" s="2889" t="s">
        <v>1433</v>
      </c>
      <c r="D14003" s="2889" t="s">
        <v>197</v>
      </c>
      <c r="E14003" s="2889" t="s">
        <v>1426</v>
      </c>
      <c r="F14003" s="2891"/>
      <c r="G14003" s="2890">
        <v>30.948526691705531</v>
      </c>
    </row>
    <row r="14004" spans="2:7" ht="15" hidden="1" outlineLevel="2">
      <c r="B14004" s="2889" t="s">
        <v>1648</v>
      </c>
      <c r="C14004" s="2889" t="s">
        <v>1434</v>
      </c>
      <c r="D14004" s="2889" t="s">
        <v>197</v>
      </c>
      <c r="E14004" s="2889" t="s">
        <v>1426</v>
      </c>
      <c r="F14004" s="2891"/>
      <c r="G14004" s="2890">
        <v>85.966832069728909</v>
      </c>
    </row>
    <row r="14005" spans="2:7" ht="15" hidden="1" outlineLevel="2">
      <c r="B14005" s="2889" t="s">
        <v>1648</v>
      </c>
      <c r="C14005" s="2889" t="s">
        <v>1435</v>
      </c>
      <c r="D14005" s="2889" t="s">
        <v>197</v>
      </c>
      <c r="E14005" s="2889" t="s">
        <v>1426</v>
      </c>
      <c r="F14005" s="2891"/>
      <c r="G14005" s="2890">
        <v>63.202372191583741</v>
      </c>
    </row>
    <row r="14006" spans="2:7" ht="15" hidden="1" outlineLevel="2">
      <c r="B14006" s="2889" t="s">
        <v>1648</v>
      </c>
      <c r="C14006" s="2889" t="s">
        <v>1436</v>
      </c>
      <c r="D14006" s="2889" t="s">
        <v>1437</v>
      </c>
      <c r="E14006" s="2889" t="s">
        <v>217</v>
      </c>
      <c r="F14006" s="2890">
        <v>8.4600258055354856E-35</v>
      </c>
      <c r="G14006" s="2890">
        <v>1.4522433112864399E-31</v>
      </c>
    </row>
    <row r="14007" spans="2:7" ht="15" hidden="1" outlineLevel="2">
      <c r="B14007" s="2889" t="s">
        <v>1648</v>
      </c>
      <c r="C14007" s="2889" t="s">
        <v>1438</v>
      </c>
      <c r="D14007" s="2889" t="s">
        <v>1437</v>
      </c>
      <c r="E14007" s="2889" t="s">
        <v>1420</v>
      </c>
      <c r="F14007" s="2890">
        <v>1.6645027218787266E-36</v>
      </c>
      <c r="G14007" s="2890">
        <v>2.4044512537756401E-32</v>
      </c>
    </row>
    <row r="14008" spans="2:7" ht="15" hidden="1" outlineLevel="2">
      <c r="B14008" s="2889" t="s">
        <v>1648</v>
      </c>
      <c r="C14008" s="2889" t="s">
        <v>1439</v>
      </c>
      <c r="D14008" s="2889" t="s">
        <v>1437</v>
      </c>
      <c r="E14008" s="2889" t="s">
        <v>1426</v>
      </c>
      <c r="F14008" s="2891"/>
      <c r="G14008" s="2890">
        <v>1.310900246665383E-29</v>
      </c>
    </row>
    <row r="14009" spans="2:7" ht="15" hidden="1" outlineLevel="2">
      <c r="B14009" s="2889" t="s">
        <v>1648</v>
      </c>
      <c r="C14009" s="2889" t="s">
        <v>1440</v>
      </c>
      <c r="D14009" s="2889" t="s">
        <v>1105</v>
      </c>
      <c r="E14009" s="2889" t="s">
        <v>217</v>
      </c>
      <c r="F14009" s="2890">
        <v>1.7008359952360049E-3</v>
      </c>
      <c r="G14009" s="2890">
        <v>0.84280747753791596</v>
      </c>
    </row>
    <row r="14010" spans="2:7" ht="15" hidden="1" outlineLevel="2">
      <c r="B14010" s="2889" t="s">
        <v>1648</v>
      </c>
      <c r="C14010" s="2889" t="s">
        <v>1441</v>
      </c>
      <c r="D14010" s="2889" t="s">
        <v>1105</v>
      </c>
      <c r="E14010" s="2889" t="s">
        <v>217</v>
      </c>
      <c r="F14010" s="2890">
        <v>1.0868257803535075E-2</v>
      </c>
      <c r="G14010" s="2890">
        <v>5.6229453512803449</v>
      </c>
    </row>
    <row r="14011" spans="2:7" ht="15" hidden="1" outlineLevel="2">
      <c r="B14011" s="2889" t="s">
        <v>1648</v>
      </c>
      <c r="C14011" s="2889" t="s">
        <v>1442</v>
      </c>
      <c r="D14011" s="2889" t="s">
        <v>1105</v>
      </c>
      <c r="E14011" s="2889" t="s">
        <v>217</v>
      </c>
      <c r="F14011" s="2890">
        <v>4.8378129390999237E-6</v>
      </c>
      <c r="G14011" s="2890">
        <v>2.1685980479515974E-3</v>
      </c>
    </row>
    <row r="14012" spans="2:7" ht="15" hidden="1" outlineLevel="2">
      <c r="B14012" s="2889" t="s">
        <v>1648</v>
      </c>
      <c r="C14012" s="2889" t="s">
        <v>1443</v>
      </c>
      <c r="D14012" s="2889" t="s">
        <v>1105</v>
      </c>
      <c r="E14012" s="2889" t="s">
        <v>217</v>
      </c>
      <c r="F14012" s="2890">
        <v>7.6122038737023111E-5</v>
      </c>
      <c r="G14012" s="2890">
        <v>3.4122495654620721E-2</v>
      </c>
    </row>
    <row r="14013" spans="2:7" ht="15" hidden="1" outlineLevel="2">
      <c r="B14013" s="2889" t="s">
        <v>1648</v>
      </c>
      <c r="C14013" s="2889" t="s">
        <v>1444</v>
      </c>
      <c r="D14013" s="2889" t="s">
        <v>1105</v>
      </c>
      <c r="E14013" s="2889" t="s">
        <v>217</v>
      </c>
      <c r="F14013" s="2890">
        <v>0.1434268115230245</v>
      </c>
      <c r="G14013" s="2890">
        <v>173.48773106205579</v>
      </c>
    </row>
    <row r="14014" spans="2:7" ht="15" hidden="1" outlineLevel="2">
      <c r="B14014" s="2889" t="s">
        <v>1648</v>
      </c>
      <c r="C14014" s="2889" t="s">
        <v>1445</v>
      </c>
      <c r="D14014" s="2889" t="s">
        <v>1105</v>
      </c>
      <c r="E14014" s="2889" t="s">
        <v>217</v>
      </c>
      <c r="F14014" s="2890">
        <v>3.0874311894483707E-2</v>
      </c>
      <c r="G14014" s="2890">
        <v>43.413609175826792</v>
      </c>
    </row>
    <row r="14015" spans="2:7" ht="15" hidden="1" outlineLevel="2">
      <c r="B14015" s="2889" t="s">
        <v>1648</v>
      </c>
      <c r="C14015" s="2889" t="s">
        <v>1446</v>
      </c>
      <c r="D14015" s="2889" t="s">
        <v>1105</v>
      </c>
      <c r="E14015" s="2889" t="s">
        <v>217</v>
      </c>
      <c r="F14015" s="2890">
        <v>1.4251953919227468E-2</v>
      </c>
      <c r="G14015" s="2890">
        <v>23.021901071385656</v>
      </c>
    </row>
    <row r="14016" spans="2:7" ht="15" hidden="1" outlineLevel="2">
      <c r="B14016" s="2889" t="s">
        <v>1648</v>
      </c>
      <c r="C14016" s="2889" t="s">
        <v>1447</v>
      </c>
      <c r="D14016" s="2889" t="s">
        <v>1105</v>
      </c>
      <c r="E14016" s="2889" t="s">
        <v>217</v>
      </c>
      <c r="F14016" s="2890">
        <v>3.2838998701065943E-2</v>
      </c>
      <c r="G14016" s="2890">
        <v>49.396644477034144</v>
      </c>
    </row>
    <row r="14017" spans="2:7" ht="15" hidden="1" outlineLevel="2">
      <c r="B14017" s="2889" t="s">
        <v>1648</v>
      </c>
      <c r="C14017" s="2889" t="s">
        <v>1448</v>
      </c>
      <c r="D14017" s="2889" t="s">
        <v>1105</v>
      </c>
      <c r="E14017" s="2889" t="s">
        <v>217</v>
      </c>
      <c r="F14017" s="2890">
        <v>6.2018813596753569E-2</v>
      </c>
      <c r="G14017" s="2890">
        <v>77.820125626903021</v>
      </c>
    </row>
    <row r="14018" spans="2:7" ht="15" hidden="1" outlineLevel="2">
      <c r="B14018" s="2889" t="s">
        <v>1648</v>
      </c>
      <c r="C14018" s="2889" t="s">
        <v>1449</v>
      </c>
      <c r="D14018" s="2889" t="s">
        <v>1105</v>
      </c>
      <c r="E14018" s="2889" t="s">
        <v>217</v>
      </c>
      <c r="F14018" s="2890">
        <v>2.6402760360310527E-3</v>
      </c>
      <c r="G14018" s="2890">
        <v>3.6602271369017094</v>
      </c>
    </row>
    <row r="14019" spans="2:7" ht="15" hidden="1" outlineLevel="2">
      <c r="B14019" s="2889" t="s">
        <v>1648</v>
      </c>
      <c r="C14019" s="2889" t="s">
        <v>1450</v>
      </c>
      <c r="D14019" s="2889" t="s">
        <v>1105</v>
      </c>
      <c r="E14019" s="2889" t="s">
        <v>1420</v>
      </c>
      <c r="F14019" s="2890">
        <v>8.3963916579327495E-3</v>
      </c>
      <c r="G14019" s="2890">
        <v>23.083395945186712</v>
      </c>
    </row>
    <row r="14020" spans="2:7" ht="15" hidden="1" outlineLevel="2">
      <c r="B14020" s="2889" t="s">
        <v>1648</v>
      </c>
      <c r="C14020" s="2889" t="s">
        <v>1451</v>
      </c>
      <c r="D14020" s="2889" t="s">
        <v>1105</v>
      </c>
      <c r="E14020" s="2889" t="s">
        <v>1420</v>
      </c>
      <c r="F14020" s="2890">
        <v>1.219064613819287E-3</v>
      </c>
      <c r="G14020" s="2890">
        <v>5.141476151490683</v>
      </c>
    </row>
    <row r="14021" spans="2:7" ht="15" hidden="1" outlineLevel="2">
      <c r="B14021" s="2889" t="s">
        <v>1648</v>
      </c>
      <c r="C14021" s="2889" t="s">
        <v>1452</v>
      </c>
      <c r="D14021" s="2889" t="s">
        <v>1105</v>
      </c>
      <c r="E14021" s="2889" t="s">
        <v>1420</v>
      </c>
      <c r="F14021" s="2890">
        <v>9.0188886595263186E-4</v>
      </c>
      <c r="G14021" s="2890">
        <v>6.0267338502080481</v>
      </c>
    </row>
    <row r="14022" spans="2:7" ht="15" hidden="1" outlineLevel="2">
      <c r="B14022" s="2889" t="s">
        <v>1648</v>
      </c>
      <c r="C14022" s="2889" t="s">
        <v>1453</v>
      </c>
      <c r="D14022" s="2889" t="s">
        <v>1105</v>
      </c>
      <c r="E14022" s="2889" t="s">
        <v>1420</v>
      </c>
      <c r="F14022" s="2890">
        <v>1.5797708556097678E-3</v>
      </c>
      <c r="G14022" s="2890">
        <v>7.4867087962662477</v>
      </c>
    </row>
    <row r="14023" spans="2:7" ht="15" hidden="1" outlineLevel="2">
      <c r="B14023" s="2889" t="s">
        <v>1648</v>
      </c>
      <c r="C14023" s="2889" t="s">
        <v>1454</v>
      </c>
      <c r="D14023" s="2889" t="s">
        <v>1105</v>
      </c>
      <c r="E14023" s="2889" t="s">
        <v>1420</v>
      </c>
      <c r="F14023" s="2890">
        <v>3.9445992812686384E-5</v>
      </c>
      <c r="G14023" s="2890">
        <v>0.10120357786648831</v>
      </c>
    </row>
    <row r="14024" spans="2:7" ht="15" hidden="1" outlineLevel="2">
      <c r="B14024" s="2889" t="s">
        <v>1648</v>
      </c>
      <c r="C14024" s="2889" t="s">
        <v>1455</v>
      </c>
      <c r="D14024" s="2889" t="s">
        <v>1105</v>
      </c>
      <c r="E14024" s="2889" t="s">
        <v>1420</v>
      </c>
      <c r="F14024" s="2890">
        <v>1.1508418664877356E-5</v>
      </c>
      <c r="G14024" s="2890">
        <v>9.4004700970541172E-2</v>
      </c>
    </row>
    <row r="14025" spans="2:7" ht="15" hidden="1" outlineLevel="2">
      <c r="B14025" s="2889" t="s">
        <v>1648</v>
      </c>
      <c r="C14025" s="2889" t="s">
        <v>1456</v>
      </c>
      <c r="D14025" s="2889" t="s">
        <v>1105</v>
      </c>
      <c r="E14025" s="2889" t="s">
        <v>1423</v>
      </c>
      <c r="F14025" s="2890">
        <v>0.18551328676898304</v>
      </c>
      <c r="G14025" s="2890">
        <v>5.1515106412369462</v>
      </c>
    </row>
    <row r="14026" spans="2:7" ht="15" hidden="1" outlineLevel="2">
      <c r="B14026" s="2889" t="s">
        <v>1648</v>
      </c>
      <c r="C14026" s="2889" t="s">
        <v>1457</v>
      </c>
      <c r="D14026" s="2889" t="s">
        <v>1105</v>
      </c>
      <c r="E14026" s="2889" t="s">
        <v>1423</v>
      </c>
      <c r="F14026" s="2890">
        <v>7.1123124991880138E-3</v>
      </c>
      <c r="G14026" s="2890">
        <v>0.25854331046833284</v>
      </c>
    </row>
    <row r="14027" spans="2:7" ht="15" hidden="1" outlineLevel="2">
      <c r="B14027" s="2889" t="s">
        <v>1648</v>
      </c>
      <c r="C14027" s="2889" t="s">
        <v>1458</v>
      </c>
      <c r="D14027" s="2889" t="s">
        <v>1105</v>
      </c>
      <c r="E14027" s="2889" t="s">
        <v>1423</v>
      </c>
      <c r="F14027" s="2890">
        <v>5.1061178969264345E-3</v>
      </c>
      <c r="G14027" s="2890">
        <v>0.35812635250793856</v>
      </c>
    </row>
    <row r="14028" spans="2:7" ht="15" hidden="1" outlineLevel="2">
      <c r="B14028" s="2889" t="s">
        <v>1648</v>
      </c>
      <c r="C14028" s="2889" t="s">
        <v>1459</v>
      </c>
      <c r="D14028" s="2889" t="s">
        <v>1105</v>
      </c>
      <c r="E14028" s="2889" t="s">
        <v>1423</v>
      </c>
      <c r="F14028" s="2890">
        <v>5.9820733071715031E-2</v>
      </c>
      <c r="G14028" s="2890">
        <v>12.518425573434866</v>
      </c>
    </row>
    <row r="14029" spans="2:7" ht="15" hidden="1" outlineLevel="2">
      <c r="B14029" s="2889" t="s">
        <v>1648</v>
      </c>
      <c r="C14029" s="2889" t="s">
        <v>1460</v>
      </c>
      <c r="D14029" s="2889" t="s">
        <v>1105</v>
      </c>
      <c r="E14029" s="2889" t="s">
        <v>1426</v>
      </c>
      <c r="F14029" s="2891"/>
      <c r="G14029" s="2890">
        <v>133.49279606888405</v>
      </c>
    </row>
    <row r="14030" spans="2:7" ht="15" hidden="1" outlineLevel="2">
      <c r="B14030" s="2889" t="s">
        <v>1648</v>
      </c>
      <c r="C14030" s="2889" t="s">
        <v>1461</v>
      </c>
      <c r="D14030" s="2889" t="s">
        <v>1105</v>
      </c>
      <c r="E14030" s="2889" t="s">
        <v>1426</v>
      </c>
      <c r="F14030" s="2891"/>
      <c r="G14030" s="2890">
        <v>31.496196819563494</v>
      </c>
    </row>
    <row r="14031" spans="2:7" ht="15" hidden="1" outlineLevel="2">
      <c r="B14031" s="2889" t="s">
        <v>1648</v>
      </c>
      <c r="C14031" s="2889" t="s">
        <v>1462</v>
      </c>
      <c r="D14031" s="2889" t="s">
        <v>1105</v>
      </c>
      <c r="E14031" s="2889" t="s">
        <v>1426</v>
      </c>
      <c r="F14031" s="2891"/>
      <c r="G14031" s="2890">
        <v>87.38973520673801</v>
      </c>
    </row>
    <row r="14032" spans="2:7" ht="15" hidden="1" outlineLevel="2">
      <c r="B14032" s="2889" t="s">
        <v>1648</v>
      </c>
      <c r="C14032" s="2889" t="s">
        <v>1463</v>
      </c>
      <c r="D14032" s="2889" t="s">
        <v>1105</v>
      </c>
      <c r="E14032" s="2889" t="s">
        <v>1426</v>
      </c>
      <c r="F14032" s="2891"/>
      <c r="G14032" s="2890">
        <v>44.373688935511097</v>
      </c>
    </row>
    <row r="14033" spans="2:7" ht="15" hidden="1" outlineLevel="2">
      <c r="B14033" s="2889" t="s">
        <v>1648</v>
      </c>
      <c r="C14033" s="2889" t="s">
        <v>1464</v>
      </c>
      <c r="D14033" s="2889" t="s">
        <v>1105</v>
      </c>
      <c r="E14033" s="2889" t="s">
        <v>1426</v>
      </c>
      <c r="F14033" s="2891"/>
      <c r="G14033" s="2890">
        <v>4.2628130006015459</v>
      </c>
    </row>
    <row r="14034" spans="2:7" ht="15" hidden="1" outlineLevel="2">
      <c r="B14034" s="2889" t="s">
        <v>1648</v>
      </c>
      <c r="C14034" s="2889" t="s">
        <v>1465</v>
      </c>
      <c r="D14034" s="2889" t="s">
        <v>1105</v>
      </c>
      <c r="E14034" s="2889" t="s">
        <v>1426</v>
      </c>
      <c r="F14034" s="2891"/>
      <c r="G14034" s="2890">
        <v>3.7820802762731436</v>
      </c>
    </row>
    <row r="14035" spans="2:7" ht="15" hidden="1" outlineLevel="2">
      <c r="B14035" s="2889" t="s">
        <v>1648</v>
      </c>
      <c r="C14035" s="2889" t="s">
        <v>1466</v>
      </c>
      <c r="D14035" s="2889" t="s">
        <v>1054</v>
      </c>
      <c r="E14035" s="2889" t="s">
        <v>217</v>
      </c>
      <c r="F14035" s="2890">
        <v>2.9678647239818096E-3</v>
      </c>
      <c r="G14035" s="2890">
        <v>1.8298959194922924</v>
      </c>
    </row>
    <row r="14036" spans="2:7" ht="15" hidden="1" outlineLevel="2">
      <c r="B14036" s="2889" t="s">
        <v>1648</v>
      </c>
      <c r="C14036" s="2889" t="s">
        <v>1467</v>
      </c>
      <c r="D14036" s="2889" t="s">
        <v>1054</v>
      </c>
      <c r="E14036" s="2889" t="s">
        <v>217</v>
      </c>
      <c r="F14036" s="2890">
        <v>2.4527519442586764E-4</v>
      </c>
      <c r="G14036" s="2890">
        <v>0.11868275617538034</v>
      </c>
    </row>
    <row r="14037" spans="2:7" ht="15" hidden="1" outlineLevel="2">
      <c r="B14037" s="2889" t="s">
        <v>1648</v>
      </c>
      <c r="C14037" s="2889" t="s">
        <v>1468</v>
      </c>
      <c r="D14037" s="2889" t="s">
        <v>1054</v>
      </c>
      <c r="E14037" s="2889" t="s">
        <v>217</v>
      </c>
      <c r="F14037" s="2890">
        <v>2.9703540670810504E-4</v>
      </c>
      <c r="G14037" s="2890">
        <v>0.14187828630458424</v>
      </c>
    </row>
    <row r="14038" spans="2:7" ht="15" hidden="1" outlineLevel="2">
      <c r="B14038" s="2889" t="s">
        <v>1648</v>
      </c>
      <c r="C14038" s="2889" t="s">
        <v>1469</v>
      </c>
      <c r="D14038" s="2889" t="s">
        <v>1054</v>
      </c>
      <c r="E14038" s="2889" t="s">
        <v>217</v>
      </c>
      <c r="F14038" s="2890">
        <v>2.3702511156833826E-6</v>
      </c>
      <c r="G14038" s="2890">
        <v>1.0624594333494101E-3</v>
      </c>
    </row>
    <row r="14039" spans="2:7" ht="15" hidden="1" outlineLevel="2">
      <c r="B14039" s="2889" t="s">
        <v>1648</v>
      </c>
      <c r="C14039" s="2889" t="s">
        <v>1470</v>
      </c>
      <c r="D14039" s="2889" t="s">
        <v>1054</v>
      </c>
      <c r="E14039" s="2889" t="s">
        <v>217</v>
      </c>
      <c r="F14039" s="2890">
        <v>8.4553384330125908E-3</v>
      </c>
      <c r="G14039" s="2890">
        <v>4.7287341152621121</v>
      </c>
    </row>
    <row r="14040" spans="2:7" ht="15" hidden="1" outlineLevel="2">
      <c r="B14040" s="2889" t="s">
        <v>1648</v>
      </c>
      <c r="C14040" s="2889" t="s">
        <v>1471</v>
      </c>
      <c r="D14040" s="2889" t="s">
        <v>1054</v>
      </c>
      <c r="E14040" s="2889" t="s">
        <v>217</v>
      </c>
      <c r="F14040" s="2890">
        <v>6.1719463356204598E-5</v>
      </c>
      <c r="G14040" s="2890">
        <v>2.7665582793281924E-2</v>
      </c>
    </row>
    <row r="14041" spans="2:7" ht="15" hidden="1" outlineLevel="2">
      <c r="B14041" s="2889" t="s">
        <v>1648</v>
      </c>
      <c r="C14041" s="2889" t="s">
        <v>1472</v>
      </c>
      <c r="D14041" s="2889" t="s">
        <v>1054</v>
      </c>
      <c r="E14041" s="2889" t="s">
        <v>217</v>
      </c>
      <c r="F14041" s="2890">
        <v>1.0430812663194597E-3</v>
      </c>
      <c r="G14041" s="2890">
        <v>1.6267404887112578</v>
      </c>
    </row>
    <row r="14042" spans="2:7" ht="15" hidden="1" outlineLevel="2">
      <c r="B14042" s="2889" t="s">
        <v>1648</v>
      </c>
      <c r="C14042" s="2889" t="s">
        <v>1473</v>
      </c>
      <c r="D14042" s="2889" t="s">
        <v>1054</v>
      </c>
      <c r="E14042" s="2889" t="s">
        <v>217</v>
      </c>
      <c r="F14042" s="2890">
        <v>9.2385970736953512E-6</v>
      </c>
      <c r="G14042" s="2890">
        <v>1.2021188143555095E-2</v>
      </c>
    </row>
    <row r="14043" spans="2:7" ht="15" hidden="1" outlineLevel="2">
      <c r="B14043" s="2889" t="s">
        <v>1648</v>
      </c>
      <c r="C14043" s="2889" t="s">
        <v>1474</v>
      </c>
      <c r="D14043" s="2889" t="s">
        <v>1054</v>
      </c>
      <c r="E14043" s="2889" t="s">
        <v>217</v>
      </c>
      <c r="F14043" s="2890">
        <v>2.5413033776703351E-3</v>
      </c>
      <c r="G14043" s="2890">
        <v>3.0441148174551604</v>
      </c>
    </row>
    <row r="14044" spans="2:7" ht="15" hidden="1" outlineLevel="2">
      <c r="B14044" s="2889" t="s">
        <v>1648</v>
      </c>
      <c r="C14044" s="2889" t="s">
        <v>1475</v>
      </c>
      <c r="D14044" s="2889" t="s">
        <v>1054</v>
      </c>
      <c r="E14044" s="2889" t="s">
        <v>217</v>
      </c>
      <c r="F14044" s="2890">
        <v>1.8203658485368972E-3</v>
      </c>
      <c r="G14044" s="2890">
        <v>2.876500397521859</v>
      </c>
    </row>
    <row r="14045" spans="2:7" ht="15" hidden="1" outlineLevel="2">
      <c r="B14045" s="2889" t="s">
        <v>1648</v>
      </c>
      <c r="C14045" s="2889" t="s">
        <v>1476</v>
      </c>
      <c r="D14045" s="2889" t="s">
        <v>1054</v>
      </c>
      <c r="E14045" s="2889" t="s">
        <v>217</v>
      </c>
      <c r="F14045" s="2890">
        <v>4.4820633247252412E-3</v>
      </c>
      <c r="G14045" s="2890">
        <v>5.7252096919717372</v>
      </c>
    </row>
    <row r="14046" spans="2:7" ht="15" hidden="1" outlineLevel="2">
      <c r="B14046" s="2889" t="s">
        <v>1648</v>
      </c>
      <c r="C14046" s="2889" t="s">
        <v>1477</v>
      </c>
      <c r="D14046" s="2889" t="s">
        <v>1054</v>
      </c>
      <c r="E14046" s="2889" t="s">
        <v>217</v>
      </c>
      <c r="F14046" s="2890">
        <v>1.7531187416813059E-3</v>
      </c>
      <c r="G14046" s="2890">
        <v>2.4143222406641027</v>
      </c>
    </row>
    <row r="14047" spans="2:7" ht="15" hidden="1" outlineLevel="2">
      <c r="B14047" s="2889" t="s">
        <v>1648</v>
      </c>
      <c r="C14047" s="2889" t="s">
        <v>1478</v>
      </c>
      <c r="D14047" s="2889" t="s">
        <v>1054</v>
      </c>
      <c r="E14047" s="2889" t="s">
        <v>217</v>
      </c>
      <c r="F14047" s="2890">
        <v>9.4474902048765928E-5</v>
      </c>
      <c r="G14047" s="2890">
        <v>0.12534993576041117</v>
      </c>
    </row>
    <row r="14048" spans="2:7" ht="15" hidden="1" outlineLevel="2">
      <c r="B14048" s="2889" t="s">
        <v>1648</v>
      </c>
      <c r="C14048" s="2889" t="s">
        <v>1479</v>
      </c>
      <c r="D14048" s="2889" t="s">
        <v>1054</v>
      </c>
      <c r="E14048" s="2889" t="s">
        <v>217</v>
      </c>
      <c r="F14048" s="2890">
        <v>3.3408319455174797E-3</v>
      </c>
      <c r="G14048" s="2890">
        <v>5.0543174371653832</v>
      </c>
    </row>
    <row r="14049" spans="2:7" ht="15" hidden="1" outlineLevel="2">
      <c r="B14049" s="2889" t="s">
        <v>1648</v>
      </c>
      <c r="C14049" s="2889" t="s">
        <v>1480</v>
      </c>
      <c r="D14049" s="2889" t="s">
        <v>1054</v>
      </c>
      <c r="E14049" s="2889" t="s">
        <v>217</v>
      </c>
      <c r="F14049" s="2890">
        <v>1.5042597344358415E-3</v>
      </c>
      <c r="G14049" s="2890">
        <v>1.7407876606815913</v>
      </c>
    </row>
    <row r="14050" spans="2:7" ht="15" hidden="1" outlineLevel="2">
      <c r="B14050" s="2889" t="s">
        <v>1648</v>
      </c>
      <c r="C14050" s="2889" t="s">
        <v>1481</v>
      </c>
      <c r="D14050" s="2889" t="s">
        <v>1054</v>
      </c>
      <c r="E14050" s="2889" t="s">
        <v>217</v>
      </c>
      <c r="F14050" s="2890">
        <v>7.441501409593234E-3</v>
      </c>
      <c r="G14050" s="2890">
        <v>10.527148637027233</v>
      </c>
    </row>
    <row r="14051" spans="2:7" ht="15" hidden="1" outlineLevel="2">
      <c r="B14051" s="2889" t="s">
        <v>1648</v>
      </c>
      <c r="C14051" s="2889" t="s">
        <v>1482</v>
      </c>
      <c r="D14051" s="2889" t="s">
        <v>1054</v>
      </c>
      <c r="E14051" s="2889" t="s">
        <v>217</v>
      </c>
      <c r="F14051" s="2890">
        <v>5.0151292132669641E-3</v>
      </c>
      <c r="G14051" s="2890">
        <v>5.0430541812443321</v>
      </c>
    </row>
    <row r="14052" spans="2:7" ht="15" hidden="1" outlineLevel="2">
      <c r="B14052" s="2889" t="s">
        <v>1648</v>
      </c>
      <c r="C14052" s="2889" t="s">
        <v>1483</v>
      </c>
      <c r="D14052" s="2889" t="s">
        <v>1054</v>
      </c>
      <c r="E14052" s="2889" t="s">
        <v>217</v>
      </c>
      <c r="F14052" s="2890">
        <v>2.3855140989362164E-4</v>
      </c>
      <c r="G14052" s="2890">
        <v>0.40201071551313672</v>
      </c>
    </row>
    <row r="14053" spans="2:7" ht="15" hidden="1" outlineLevel="2">
      <c r="B14053" s="2889" t="s">
        <v>1648</v>
      </c>
      <c r="C14053" s="2889" t="s">
        <v>1484</v>
      </c>
      <c r="D14053" s="2889" t="s">
        <v>1054</v>
      </c>
      <c r="E14053" s="2889" t="s">
        <v>217</v>
      </c>
      <c r="F14053" s="2890">
        <v>4.8462311995913426E-4</v>
      </c>
      <c r="G14053" s="2890">
        <v>0.68166518477247351</v>
      </c>
    </row>
    <row r="14054" spans="2:7" ht="15" hidden="1" outlineLevel="2">
      <c r="B14054" s="2889" t="s">
        <v>1648</v>
      </c>
      <c r="C14054" s="2889" t="s">
        <v>1485</v>
      </c>
      <c r="D14054" s="2889" t="s">
        <v>1054</v>
      </c>
      <c r="E14054" s="2889" t="s">
        <v>217</v>
      </c>
      <c r="F14054" s="2890">
        <v>2.1550512750739077E-4</v>
      </c>
      <c r="G14054" s="2890">
        <v>0.61083341678923486</v>
      </c>
    </row>
    <row r="14055" spans="2:7" ht="15" hidden="1" outlineLevel="2">
      <c r="B14055" s="2889" t="s">
        <v>1648</v>
      </c>
      <c r="C14055" s="2889" t="s">
        <v>1486</v>
      </c>
      <c r="D14055" s="2889" t="s">
        <v>1054</v>
      </c>
      <c r="E14055" s="2889" t="s">
        <v>217</v>
      </c>
      <c r="F14055" s="2890">
        <v>2.5097267743868416E-4</v>
      </c>
      <c r="G14055" s="2890">
        <v>1.4589399489057251</v>
      </c>
    </row>
    <row r="14056" spans="2:7" ht="15" hidden="1" outlineLevel="2">
      <c r="B14056" s="2889" t="s">
        <v>1648</v>
      </c>
      <c r="C14056" s="2889" t="s">
        <v>1487</v>
      </c>
      <c r="D14056" s="2889" t="s">
        <v>1054</v>
      </c>
      <c r="E14056" s="2889" t="s">
        <v>217</v>
      </c>
      <c r="F14056" s="2890">
        <v>2.3725224419614403E-3</v>
      </c>
      <c r="G14056" s="2890">
        <v>3.4573095744893458</v>
      </c>
    </row>
    <row r="14057" spans="2:7" ht="15" hidden="1" outlineLevel="2">
      <c r="B14057" s="2889" t="s">
        <v>1648</v>
      </c>
      <c r="C14057" s="2889" t="s">
        <v>1488</v>
      </c>
      <c r="D14057" s="2889" t="s">
        <v>1054</v>
      </c>
      <c r="E14057" s="2889" t="s">
        <v>217</v>
      </c>
      <c r="F14057" s="2890">
        <v>1.4724029773079436E-3</v>
      </c>
      <c r="G14057" s="2890">
        <v>2.3727957349666298</v>
      </c>
    </row>
    <row r="14058" spans="2:7" ht="15" hidden="1" outlineLevel="2">
      <c r="B14058" s="2889" t="s">
        <v>1648</v>
      </c>
      <c r="C14058" s="2889" t="s">
        <v>1489</v>
      </c>
      <c r="D14058" s="2889" t="s">
        <v>1054</v>
      </c>
      <c r="E14058" s="2889" t="s">
        <v>217</v>
      </c>
      <c r="F14058" s="2890">
        <v>7.4107992732697114E-4</v>
      </c>
      <c r="G14058" s="2890">
        <v>0.78181478079180466</v>
      </c>
    </row>
    <row r="14059" spans="2:7" ht="15" hidden="1" outlineLevel="2">
      <c r="B14059" s="2889" t="s">
        <v>1648</v>
      </c>
      <c r="C14059" s="2889" t="s">
        <v>1490</v>
      </c>
      <c r="D14059" s="2889" t="s">
        <v>1054</v>
      </c>
      <c r="E14059" s="2889" t="s">
        <v>217</v>
      </c>
      <c r="F14059" s="2890">
        <v>3.4606536769126632E-4</v>
      </c>
      <c r="G14059" s="2890">
        <v>0.55229865551432544</v>
      </c>
    </row>
    <row r="14060" spans="2:7" ht="15" hidden="1" outlineLevel="2">
      <c r="B14060" s="2889" t="s">
        <v>1648</v>
      </c>
      <c r="C14060" s="2889" t="s">
        <v>1491</v>
      </c>
      <c r="D14060" s="2889" t="s">
        <v>1054</v>
      </c>
      <c r="E14060" s="2889" t="s">
        <v>1420</v>
      </c>
      <c r="F14060" s="2890">
        <v>6.607032552082256E-5</v>
      </c>
      <c r="G14060" s="2890">
        <v>0.31283075785195441</v>
      </c>
    </row>
    <row r="14061" spans="2:7" ht="15" hidden="1" outlineLevel="2">
      <c r="B14061" s="2889" t="s">
        <v>1648</v>
      </c>
      <c r="C14061" s="2889" t="s">
        <v>1492</v>
      </c>
      <c r="D14061" s="2889" t="s">
        <v>1054</v>
      </c>
      <c r="E14061" s="2889" t="s">
        <v>1420</v>
      </c>
      <c r="F14061" s="2890">
        <v>4.9114568311686235E-5</v>
      </c>
      <c r="G14061" s="2890">
        <v>0.52498864764635944</v>
      </c>
    </row>
    <row r="14062" spans="2:7" ht="15" hidden="1" outlineLevel="2">
      <c r="B14062" s="2889" t="s">
        <v>1648</v>
      </c>
      <c r="C14062" s="2889" t="s">
        <v>1493</v>
      </c>
      <c r="D14062" s="2889" t="s">
        <v>1054</v>
      </c>
      <c r="E14062" s="2889" t="s">
        <v>1420</v>
      </c>
      <c r="F14062" s="2890">
        <v>3.6368514001814603E-5</v>
      </c>
      <c r="G14062" s="2890">
        <v>8.6848893426328219E-2</v>
      </c>
    </row>
    <row r="14063" spans="2:7" ht="15" hidden="1" outlineLevel="2">
      <c r="B14063" s="2889" t="s">
        <v>1648</v>
      </c>
      <c r="C14063" s="2889" t="s">
        <v>1494</v>
      </c>
      <c r="D14063" s="2889" t="s">
        <v>1054</v>
      </c>
      <c r="E14063" s="2889" t="s">
        <v>1420</v>
      </c>
      <c r="F14063" s="2890">
        <v>9.9169122066727977E-6</v>
      </c>
      <c r="G14063" s="2890">
        <v>5.4421465723648067E-2</v>
      </c>
    </row>
    <row r="14064" spans="2:7" ht="15" hidden="1" outlineLevel="2">
      <c r="B14064" s="2889" t="s">
        <v>1648</v>
      </c>
      <c r="C14064" s="2889" t="s">
        <v>1495</v>
      </c>
      <c r="D14064" s="2889" t="s">
        <v>1054</v>
      </c>
      <c r="E14064" s="2889" t="s">
        <v>1420</v>
      </c>
      <c r="F14064" s="2890">
        <v>2.1460868245343009E-4</v>
      </c>
      <c r="G14064" s="2890">
        <v>0.96307553958602587</v>
      </c>
    </row>
    <row r="14065" spans="2:7" ht="15" hidden="1" outlineLevel="2">
      <c r="B14065" s="2889" t="s">
        <v>1648</v>
      </c>
      <c r="C14065" s="2889" t="s">
        <v>1496</v>
      </c>
      <c r="D14065" s="2889" t="s">
        <v>1054</v>
      </c>
      <c r="E14065" s="2889" t="s">
        <v>1420</v>
      </c>
      <c r="F14065" s="2890">
        <v>1.9469954952875838E-4</v>
      </c>
      <c r="G14065" s="2890">
        <v>0.34676264104854809</v>
      </c>
    </row>
    <row r="14066" spans="2:7" ht="15" hidden="1" outlineLevel="2">
      <c r="B14066" s="2889" t="s">
        <v>1648</v>
      </c>
      <c r="C14066" s="2889" t="s">
        <v>1497</v>
      </c>
      <c r="D14066" s="2889" t="s">
        <v>1054</v>
      </c>
      <c r="E14066" s="2889" t="s">
        <v>1420</v>
      </c>
      <c r="F14066" s="2890">
        <v>5.40201789845248E-5</v>
      </c>
      <c r="G14066" s="2890">
        <v>0.8910001013494383</v>
      </c>
    </row>
    <row r="14067" spans="2:7" ht="15" hidden="1" outlineLevel="2">
      <c r="B14067" s="2889" t="s">
        <v>1648</v>
      </c>
      <c r="C14067" s="2889" t="s">
        <v>1498</v>
      </c>
      <c r="D14067" s="2889" t="s">
        <v>1054</v>
      </c>
      <c r="E14067" s="2889" t="s">
        <v>1420</v>
      </c>
      <c r="F14067" s="2890">
        <v>1.4766236869622162E-4</v>
      </c>
      <c r="G14067" s="2890">
        <v>0.35487559685357623</v>
      </c>
    </row>
    <row r="14068" spans="2:7" ht="15" hidden="1" outlineLevel="2">
      <c r="B14068" s="2889" t="s">
        <v>1648</v>
      </c>
      <c r="C14068" s="2889" t="s">
        <v>1499</v>
      </c>
      <c r="D14068" s="2889" t="s">
        <v>1054</v>
      </c>
      <c r="E14068" s="2889" t="s">
        <v>1420</v>
      </c>
      <c r="F14068" s="2890">
        <v>2.2552066001132985E-5</v>
      </c>
      <c r="G14068" s="2890">
        <v>5.710465302195035E-2</v>
      </c>
    </row>
    <row r="14069" spans="2:7" ht="15" hidden="1" outlineLevel="2">
      <c r="B14069" s="2889" t="s">
        <v>1648</v>
      </c>
      <c r="C14069" s="2889" t="s">
        <v>1500</v>
      </c>
      <c r="D14069" s="2889" t="s">
        <v>1054</v>
      </c>
      <c r="E14069" s="2889" t="s">
        <v>1420</v>
      </c>
      <c r="F14069" s="2890">
        <v>1.6334897825841179E-4</v>
      </c>
      <c r="G14069" s="2890">
        <v>0.61774738012124719</v>
      </c>
    </row>
    <row r="14070" spans="2:7" ht="15" hidden="1" outlineLevel="2">
      <c r="B14070" s="2889" t="s">
        <v>1648</v>
      </c>
      <c r="C14070" s="2889" t="s">
        <v>1501</v>
      </c>
      <c r="D14070" s="2889" t="s">
        <v>1054</v>
      </c>
      <c r="E14070" s="2889" t="s">
        <v>1420</v>
      </c>
      <c r="F14070" s="2890">
        <v>2.0487516742625676E-4</v>
      </c>
      <c r="G14070" s="2890">
        <v>1.5042479826206698</v>
      </c>
    </row>
    <row r="14071" spans="2:7" ht="15" hidden="1" outlineLevel="2">
      <c r="B14071" s="2889" t="s">
        <v>1648</v>
      </c>
      <c r="C14071" s="2889" t="s">
        <v>1502</v>
      </c>
      <c r="D14071" s="2889" t="s">
        <v>1054</v>
      </c>
      <c r="E14071" s="2889" t="s">
        <v>1420</v>
      </c>
      <c r="F14071" s="2890">
        <v>1.4295194322069257E-5</v>
      </c>
      <c r="G14071" s="2890">
        <v>0.15713582052495223</v>
      </c>
    </row>
    <row r="14072" spans="2:7" ht="15" hidden="1" outlineLevel="2">
      <c r="B14072" s="2889" t="s">
        <v>1648</v>
      </c>
      <c r="C14072" s="2889" t="s">
        <v>1503</v>
      </c>
      <c r="D14072" s="2889" t="s">
        <v>1054</v>
      </c>
      <c r="E14072" s="2889" t="s">
        <v>1420</v>
      </c>
      <c r="F14072" s="2890">
        <v>4.7144251071071805E-4</v>
      </c>
      <c r="G14072" s="2890">
        <v>1.3016564443123093</v>
      </c>
    </row>
    <row r="14073" spans="2:7" ht="15" hidden="1" outlineLevel="2">
      <c r="B14073" s="2889" t="s">
        <v>1648</v>
      </c>
      <c r="C14073" s="2889" t="s">
        <v>1504</v>
      </c>
      <c r="D14073" s="2889" t="s">
        <v>1054</v>
      </c>
      <c r="E14073" s="2889" t="s">
        <v>1420</v>
      </c>
      <c r="F14073" s="2890">
        <v>2.4318361933864369E-4</v>
      </c>
      <c r="G14073" s="2890">
        <v>0.53828894085336332</v>
      </c>
    </row>
    <row r="14074" spans="2:7" ht="15" hidden="1" outlineLevel="2">
      <c r="B14074" s="2889" t="s">
        <v>1648</v>
      </c>
      <c r="C14074" s="2889" t="s">
        <v>1505</v>
      </c>
      <c r="D14074" s="2889" t="s">
        <v>1054</v>
      </c>
      <c r="E14074" s="2889" t="s">
        <v>1423</v>
      </c>
      <c r="F14074" s="2890">
        <v>6.8961494940410185E-4</v>
      </c>
      <c r="G14074" s="2890">
        <v>1.7066500942458269E-2</v>
      </c>
    </row>
    <row r="14075" spans="2:7" ht="15" hidden="1" outlineLevel="2">
      <c r="B14075" s="2889" t="s">
        <v>1648</v>
      </c>
      <c r="C14075" s="2889" t="s">
        <v>1506</v>
      </c>
      <c r="D14075" s="2889" t="s">
        <v>1054</v>
      </c>
      <c r="E14075" s="2889" t="s">
        <v>1426</v>
      </c>
      <c r="F14075" s="2891"/>
      <c r="G14075" s="2890">
        <v>50.672404110038215</v>
      </c>
    </row>
    <row r="14076" spans="2:7" ht="15" hidden="1" outlineLevel="2">
      <c r="B14076" s="2889" t="s">
        <v>1648</v>
      </c>
      <c r="C14076" s="2889" t="s">
        <v>1507</v>
      </c>
      <c r="D14076" s="2889" t="s">
        <v>1054</v>
      </c>
      <c r="E14076" s="2889" t="s">
        <v>1426</v>
      </c>
      <c r="F14076" s="2891"/>
      <c r="G14076" s="2890">
        <v>8.2599461990348177E-2</v>
      </c>
    </row>
    <row r="14077" spans="2:7" ht="15" hidden="1" outlineLevel="2">
      <c r="B14077" s="2889" t="s">
        <v>1648</v>
      </c>
      <c r="C14077" s="2889" t="s">
        <v>1508</v>
      </c>
      <c r="D14077" s="2889" t="s">
        <v>1054</v>
      </c>
      <c r="E14077" s="2889" t="s">
        <v>1426</v>
      </c>
      <c r="F14077" s="2891"/>
      <c r="G14077" s="2890">
        <v>1.3607966960553299</v>
      </c>
    </row>
    <row r="14078" spans="2:7" ht="15" hidden="1" outlineLevel="2">
      <c r="B14078" s="2889" t="s">
        <v>1648</v>
      </c>
      <c r="C14078" s="2889" t="s">
        <v>1509</v>
      </c>
      <c r="D14078" s="2889" t="s">
        <v>1054</v>
      </c>
      <c r="E14078" s="2889" t="s">
        <v>1426</v>
      </c>
      <c r="F14078" s="2891"/>
      <c r="G14078" s="2890">
        <v>126.83896547960863</v>
      </c>
    </row>
    <row r="14079" spans="2:7" ht="15" hidden="1" outlineLevel="2">
      <c r="B14079" s="2889" t="s">
        <v>1648</v>
      </c>
      <c r="C14079" s="2889" t="s">
        <v>1510</v>
      </c>
      <c r="D14079" s="2889" t="s">
        <v>1054</v>
      </c>
      <c r="E14079" s="2889" t="s">
        <v>1426</v>
      </c>
      <c r="F14079" s="2891"/>
      <c r="G14079" s="2890">
        <v>137.974104709226</v>
      </c>
    </row>
    <row r="14080" spans="2:7" ht="15" hidden="1" outlineLevel="2">
      <c r="B14080" s="2889" t="s">
        <v>1648</v>
      </c>
      <c r="C14080" s="2889" t="s">
        <v>1511</v>
      </c>
      <c r="D14080" s="2889" t="s">
        <v>1054</v>
      </c>
      <c r="E14080" s="2889" t="s">
        <v>1426</v>
      </c>
      <c r="F14080" s="2891"/>
      <c r="G14080" s="2890">
        <v>7.6014656051805343</v>
      </c>
    </row>
    <row r="14081" spans="2:7" ht="15" hidden="1" outlineLevel="2">
      <c r="B14081" s="2889" t="s">
        <v>1648</v>
      </c>
      <c r="C14081" s="2889" t="s">
        <v>1512</v>
      </c>
      <c r="D14081" s="2889" t="s">
        <v>1054</v>
      </c>
      <c r="E14081" s="2889" t="s">
        <v>1426</v>
      </c>
      <c r="F14081" s="2891"/>
      <c r="G14081" s="2890">
        <v>4.6918508446314764</v>
      </c>
    </row>
    <row r="14082" spans="2:7" ht="15" hidden="1" outlineLevel="2">
      <c r="B14082" s="2889" t="s">
        <v>1648</v>
      </c>
      <c r="C14082" s="2889" t="s">
        <v>1513</v>
      </c>
      <c r="D14082" s="2889" t="s">
        <v>1054</v>
      </c>
      <c r="E14082" s="2889" t="s">
        <v>1426</v>
      </c>
      <c r="F14082" s="2891"/>
      <c r="G14082" s="2890">
        <v>14.009626703456695</v>
      </c>
    </row>
    <row r="14083" spans="2:7" ht="15" hidden="1" outlineLevel="2">
      <c r="B14083" s="2889" t="s">
        <v>1648</v>
      </c>
      <c r="C14083" s="2889" t="s">
        <v>1514</v>
      </c>
      <c r="D14083" s="2889" t="s">
        <v>1054</v>
      </c>
      <c r="E14083" s="2889" t="s">
        <v>1426</v>
      </c>
      <c r="F14083" s="2891"/>
      <c r="G14083" s="2890">
        <v>60.174087620923061</v>
      </c>
    </row>
    <row r="14084" spans="2:7" ht="15" hidden="1" outlineLevel="2">
      <c r="B14084" s="2889" t="s">
        <v>1648</v>
      </c>
      <c r="C14084" s="2889" t="s">
        <v>1515</v>
      </c>
      <c r="D14084" s="2889" t="s">
        <v>1054</v>
      </c>
      <c r="E14084" s="2889" t="s">
        <v>1426</v>
      </c>
      <c r="F14084" s="2891"/>
      <c r="G14084" s="2890">
        <v>51.742666327029411</v>
      </c>
    </row>
    <row r="14085" spans="2:7" ht="15" hidden="1" outlineLevel="2">
      <c r="B14085" s="2889" t="s">
        <v>1648</v>
      </c>
      <c r="C14085" s="2889" t="s">
        <v>1516</v>
      </c>
      <c r="D14085" s="2889" t="s">
        <v>1054</v>
      </c>
      <c r="E14085" s="2889" t="s">
        <v>1426</v>
      </c>
      <c r="F14085" s="2891"/>
      <c r="G14085" s="2890">
        <v>514.029737204497</v>
      </c>
    </row>
    <row r="14086" spans="2:7" ht="15" hidden="1" outlineLevel="2">
      <c r="B14086" s="2889" t="s">
        <v>1648</v>
      </c>
      <c r="C14086" s="2889" t="s">
        <v>1517</v>
      </c>
      <c r="D14086" s="2889" t="s">
        <v>1054</v>
      </c>
      <c r="E14086" s="2889" t="s">
        <v>1426</v>
      </c>
      <c r="F14086" s="2891"/>
      <c r="G14086" s="2890">
        <v>4.2638525358427968</v>
      </c>
    </row>
    <row r="14087" spans="2:7" ht="15" hidden="1" outlineLevel="2">
      <c r="B14087" s="2889" t="s">
        <v>1648</v>
      </c>
      <c r="C14087" s="2889" t="s">
        <v>1518</v>
      </c>
      <c r="D14087" s="2889" t="s">
        <v>1054</v>
      </c>
      <c r="E14087" s="2889" t="s">
        <v>1426</v>
      </c>
      <c r="F14087" s="2891"/>
      <c r="G14087" s="2890">
        <v>2.0140123065726203</v>
      </c>
    </row>
    <row r="14088" spans="2:7" ht="15" hidden="1" outlineLevel="2">
      <c r="B14088" s="2889" t="s">
        <v>1648</v>
      </c>
      <c r="C14088" s="2889" t="s">
        <v>1519</v>
      </c>
      <c r="D14088" s="2889" t="s">
        <v>1054</v>
      </c>
      <c r="E14088" s="2889" t="s">
        <v>1426</v>
      </c>
      <c r="F14088" s="2891"/>
      <c r="G14088" s="2890">
        <v>117.39994250179079</v>
      </c>
    </row>
    <row r="14089" spans="2:7" ht="15" hidden="1" outlineLevel="2">
      <c r="B14089" s="2889" t="s">
        <v>1648</v>
      </c>
      <c r="C14089" s="2889" t="s">
        <v>1520</v>
      </c>
      <c r="D14089" s="2889" t="s">
        <v>1054</v>
      </c>
      <c r="E14089" s="2889" t="s">
        <v>1426</v>
      </c>
      <c r="F14089" s="2891"/>
      <c r="G14089" s="2890">
        <v>127.88738734235746</v>
      </c>
    </row>
    <row r="14090" spans="2:7" ht="15" hidden="1" outlineLevel="2">
      <c r="B14090" s="2889" t="s">
        <v>1648</v>
      </c>
      <c r="C14090" s="2889" t="s">
        <v>1521</v>
      </c>
      <c r="D14090" s="2889" t="s">
        <v>1054</v>
      </c>
      <c r="E14090" s="2889" t="s">
        <v>1426</v>
      </c>
      <c r="F14090" s="2891"/>
      <c r="G14090" s="2890">
        <v>439.6465023649306</v>
      </c>
    </row>
    <row r="14091" spans="2:7" ht="15" hidden="1" outlineLevel="2">
      <c r="B14091" s="2889" t="s">
        <v>1648</v>
      </c>
      <c r="C14091" s="2889" t="s">
        <v>1522</v>
      </c>
      <c r="D14091" s="2889" t="s">
        <v>1054</v>
      </c>
      <c r="E14091" s="2889" t="s">
        <v>1426</v>
      </c>
      <c r="F14091" s="2891"/>
      <c r="G14091" s="2890">
        <v>20.697945233932423</v>
      </c>
    </row>
    <row r="14092" spans="2:7" ht="15" hidden="1" outlineLevel="2">
      <c r="B14092" s="2889" t="s">
        <v>1648</v>
      </c>
      <c r="C14092" s="2889" t="s">
        <v>1523</v>
      </c>
      <c r="D14092" s="2889" t="s">
        <v>1054</v>
      </c>
      <c r="E14092" s="2889" t="s">
        <v>1426</v>
      </c>
      <c r="F14092" s="2891"/>
      <c r="G14092" s="2890">
        <v>164.53478085553775</v>
      </c>
    </row>
    <row r="14093" spans="2:7" ht="15" hidden="1" outlineLevel="2">
      <c r="B14093" s="2889" t="s">
        <v>1648</v>
      </c>
      <c r="C14093" s="2889" t="s">
        <v>1524</v>
      </c>
      <c r="D14093" s="2889" t="s">
        <v>1054</v>
      </c>
      <c r="E14093" s="2889" t="s">
        <v>1426</v>
      </c>
      <c r="F14093" s="2891"/>
      <c r="G14093" s="2890">
        <v>559.49996165371658</v>
      </c>
    </row>
    <row r="14094" spans="2:7" ht="15" hidden="1" outlineLevel="2">
      <c r="B14094" s="2889" t="s">
        <v>1648</v>
      </c>
      <c r="C14094" s="2889" t="s">
        <v>1525</v>
      </c>
      <c r="D14094" s="2889" t="s">
        <v>1054</v>
      </c>
      <c r="E14094" s="2889" t="s">
        <v>1426</v>
      </c>
      <c r="F14094" s="2891"/>
      <c r="G14094" s="2890">
        <v>339.30283551825914</v>
      </c>
    </row>
    <row r="14095" spans="2:7" ht="15" hidden="1" outlineLevel="2">
      <c r="B14095" s="2889" t="s">
        <v>1648</v>
      </c>
      <c r="C14095" s="2889" t="s">
        <v>1526</v>
      </c>
      <c r="D14095" s="2889" t="s">
        <v>1054</v>
      </c>
      <c r="E14095" s="2889" t="s">
        <v>1426</v>
      </c>
      <c r="F14095" s="2891"/>
      <c r="G14095" s="2890">
        <v>512.0517750261065</v>
      </c>
    </row>
    <row r="14096" spans="2:7" ht="15" hidden="1" outlineLevel="2">
      <c r="B14096" s="2889" t="s">
        <v>1648</v>
      </c>
      <c r="C14096" s="2889" t="s">
        <v>1527</v>
      </c>
      <c r="D14096" s="2889" t="s">
        <v>1054</v>
      </c>
      <c r="E14096" s="2889" t="s">
        <v>1426</v>
      </c>
      <c r="F14096" s="2891"/>
      <c r="G14096" s="2890">
        <v>232.65688547722982</v>
      </c>
    </row>
    <row r="14097" spans="2:7" ht="15" hidden="1" outlineLevel="2">
      <c r="B14097" s="2889" t="s">
        <v>1648</v>
      </c>
      <c r="C14097" s="2889" t="s">
        <v>1528</v>
      </c>
      <c r="D14097" s="2889" t="s">
        <v>1054</v>
      </c>
      <c r="E14097" s="2889" t="s">
        <v>1426</v>
      </c>
      <c r="F14097" s="2891"/>
      <c r="G14097" s="2890">
        <v>55.077277858976394</v>
      </c>
    </row>
    <row r="14098" spans="2:7" ht="15" hidden="1" outlineLevel="2">
      <c r="B14098" s="2889" t="s">
        <v>1648</v>
      </c>
      <c r="C14098" s="2889" t="s">
        <v>1529</v>
      </c>
      <c r="D14098" s="2889" t="s">
        <v>1054</v>
      </c>
      <c r="E14098" s="2889" t="s">
        <v>1426</v>
      </c>
      <c r="F14098" s="2891"/>
      <c r="G14098" s="2890">
        <v>0.71683351612763602</v>
      </c>
    </row>
    <row r="14099" spans="2:7" ht="15" hidden="1" outlineLevel="2">
      <c r="B14099" s="2889" t="s">
        <v>1648</v>
      </c>
      <c r="C14099" s="2889" t="s">
        <v>1530</v>
      </c>
      <c r="D14099" s="2889" t="s">
        <v>1054</v>
      </c>
      <c r="E14099" s="2889" t="s">
        <v>1426</v>
      </c>
      <c r="F14099" s="2891"/>
      <c r="G14099" s="2890">
        <v>52.777104937708302</v>
      </c>
    </row>
    <row r="14100" spans="2:7" ht="15" hidden="1" outlineLevel="2">
      <c r="B14100" s="2889" t="s">
        <v>1648</v>
      </c>
      <c r="C14100" s="2889" t="s">
        <v>1531</v>
      </c>
      <c r="D14100" s="2889" t="s">
        <v>1106</v>
      </c>
      <c r="E14100" s="2889" t="s">
        <v>217</v>
      </c>
      <c r="F14100" s="2890">
        <v>2.8603902772108954E-5</v>
      </c>
      <c r="G14100" s="2890">
        <v>1.282199683588911E-2</v>
      </c>
    </row>
    <row r="14101" spans="2:7" ht="15" hidden="1" outlineLevel="2">
      <c r="B14101" s="2889" t="s">
        <v>1648</v>
      </c>
      <c r="C14101" s="2889" t="s">
        <v>1532</v>
      </c>
      <c r="D14101" s="2889" t="s">
        <v>1106</v>
      </c>
      <c r="E14101" s="2889" t="s">
        <v>217</v>
      </c>
      <c r="F14101" s="2890">
        <v>2.2528096334564419E-6</v>
      </c>
      <c r="G14101" s="2890">
        <v>1.0098462376720661E-3</v>
      </c>
    </row>
    <row r="14102" spans="2:7" ht="15" hidden="1" outlineLevel="2">
      <c r="B14102" s="2889" t="s">
        <v>1648</v>
      </c>
      <c r="C14102" s="2889" t="s">
        <v>1533</v>
      </c>
      <c r="D14102" s="2889" t="s">
        <v>1106</v>
      </c>
      <c r="E14102" s="2889" t="s">
        <v>217</v>
      </c>
      <c r="F14102" s="2890">
        <v>1.4590749894531321E-3</v>
      </c>
      <c r="G14102" s="2890">
        <v>1.5595986469633485</v>
      </c>
    </row>
    <row r="14103" spans="2:7" ht="15" hidden="1" outlineLevel="2">
      <c r="B14103" s="2889" t="s">
        <v>1648</v>
      </c>
      <c r="C14103" s="2889" t="s">
        <v>1534</v>
      </c>
      <c r="D14103" s="2889" t="s">
        <v>1106</v>
      </c>
      <c r="E14103" s="2889" t="s">
        <v>217</v>
      </c>
      <c r="F14103" s="2890">
        <v>1.3264296209603212E-3</v>
      </c>
      <c r="G14103" s="2890">
        <v>4.6183900474138033</v>
      </c>
    </row>
    <row r="14104" spans="2:7" ht="15" hidden="1" outlineLevel="2">
      <c r="B14104" s="2889" t="s">
        <v>1648</v>
      </c>
      <c r="C14104" s="2889" t="s">
        <v>1535</v>
      </c>
      <c r="D14104" s="2889" t="s">
        <v>1106</v>
      </c>
      <c r="E14104" s="2889" t="s">
        <v>217</v>
      </c>
      <c r="F14104" s="2890">
        <v>4.9586029396523506E-4</v>
      </c>
      <c r="G14104" s="2890">
        <v>1.1663851159151069</v>
      </c>
    </row>
    <row r="14105" spans="2:7" ht="15" hidden="1" outlineLevel="2">
      <c r="B14105" s="2889" t="s">
        <v>1648</v>
      </c>
      <c r="C14105" s="2889" t="s">
        <v>1536</v>
      </c>
      <c r="D14105" s="2889" t="s">
        <v>1106</v>
      </c>
      <c r="E14105" s="2889" t="s">
        <v>217</v>
      </c>
      <c r="F14105" s="2890">
        <v>1.6633946501474926E-3</v>
      </c>
      <c r="G14105" s="2890">
        <v>2.1740899112543755</v>
      </c>
    </row>
    <row r="14106" spans="2:7" ht="15" hidden="1" outlineLevel="2">
      <c r="B14106" s="2889" t="s">
        <v>1648</v>
      </c>
      <c r="C14106" s="2889" t="s">
        <v>1537</v>
      </c>
      <c r="D14106" s="2889" t="s">
        <v>1106</v>
      </c>
      <c r="E14106" s="2889" t="s">
        <v>217</v>
      </c>
      <c r="F14106" s="2890">
        <v>9.3201000000954373E-5</v>
      </c>
      <c r="G14106" s="2890">
        <v>0.10681890258701691</v>
      </c>
    </row>
    <row r="14107" spans="2:7" ht="15" hidden="1" outlineLevel="2">
      <c r="B14107" s="2889" t="s">
        <v>1648</v>
      </c>
      <c r="C14107" s="2889" t="s">
        <v>1538</v>
      </c>
      <c r="D14107" s="2889" t="s">
        <v>1106</v>
      </c>
      <c r="E14107" s="2889" t="s">
        <v>217</v>
      </c>
      <c r="F14107" s="2890">
        <v>1.2853155951164354E-4</v>
      </c>
      <c r="G14107" s="2890">
        <v>0.17417683096836992</v>
      </c>
    </row>
    <row r="14108" spans="2:7" ht="15" hidden="1" outlineLevel="2">
      <c r="B14108" s="2889" t="s">
        <v>1648</v>
      </c>
      <c r="C14108" s="2889" t="s">
        <v>1539</v>
      </c>
      <c r="D14108" s="2889" t="s">
        <v>1106</v>
      </c>
      <c r="E14108" s="2889" t="s">
        <v>217</v>
      </c>
      <c r="F14108" s="2890">
        <v>3.6583953679926098E-5</v>
      </c>
      <c r="G14108" s="2890">
        <v>0.47093081766736555</v>
      </c>
    </row>
    <row r="14109" spans="2:7" ht="15" hidden="1" outlineLevel="2">
      <c r="B14109" s="2889" t="s">
        <v>1648</v>
      </c>
      <c r="C14109" s="2889" t="s">
        <v>1540</v>
      </c>
      <c r="D14109" s="2889" t="s">
        <v>1106</v>
      </c>
      <c r="E14109" s="2889" t="s">
        <v>1420</v>
      </c>
      <c r="F14109" s="2890">
        <v>1.6281175781729365E-3</v>
      </c>
      <c r="G14109" s="2890">
        <v>3.9509019946379302</v>
      </c>
    </row>
    <row r="14110" spans="2:7" ht="15" hidden="1" outlineLevel="2">
      <c r="B14110" s="2889" t="s">
        <v>1648</v>
      </c>
      <c r="C14110" s="2889" t="s">
        <v>1541</v>
      </c>
      <c r="D14110" s="2889" t="s">
        <v>1106</v>
      </c>
      <c r="E14110" s="2889" t="s">
        <v>1420</v>
      </c>
      <c r="F14110" s="2890">
        <v>4.7447162702092288E-2</v>
      </c>
      <c r="G14110" s="2890">
        <v>349.3204265122759</v>
      </c>
    </row>
    <row r="14111" spans="2:7" ht="15" hidden="1" outlineLevel="2">
      <c r="B14111" s="2889" t="s">
        <v>1648</v>
      </c>
      <c r="C14111" s="2889" t="s">
        <v>1542</v>
      </c>
      <c r="D14111" s="2889" t="s">
        <v>1106</v>
      </c>
      <c r="E14111" s="2889" t="s">
        <v>1420</v>
      </c>
      <c r="F14111" s="2890">
        <v>2.3078033902864024E-4</v>
      </c>
      <c r="G14111" s="2890">
        <v>2.6408710452683293</v>
      </c>
    </row>
    <row r="14112" spans="2:7" ht="15" hidden="1" outlineLevel="2">
      <c r="B14112" s="2889" t="s">
        <v>1648</v>
      </c>
      <c r="C14112" s="2889" t="s">
        <v>1543</v>
      </c>
      <c r="D14112" s="2889" t="s">
        <v>1106</v>
      </c>
      <c r="E14112" s="2889" t="s">
        <v>1420</v>
      </c>
      <c r="F14112" s="2890">
        <v>8.3629162400639711E-5</v>
      </c>
      <c r="G14112" s="2890">
        <v>0.81854761578141866</v>
      </c>
    </row>
    <row r="14113" spans="2:7" ht="15" hidden="1" outlineLevel="2">
      <c r="B14113" s="2889" t="s">
        <v>1648</v>
      </c>
      <c r="C14113" s="2889" t="s">
        <v>1544</v>
      </c>
      <c r="D14113" s="2889" t="s">
        <v>1106</v>
      </c>
      <c r="E14113" s="2889" t="s">
        <v>1420</v>
      </c>
      <c r="F14113" s="2890">
        <v>8.0832332657727443E-5</v>
      </c>
      <c r="G14113" s="2890">
        <v>0.21119951820666127</v>
      </c>
    </row>
    <row r="14114" spans="2:7" ht="15" hidden="1" outlineLevel="2">
      <c r="B14114" s="2889" t="s">
        <v>1648</v>
      </c>
      <c r="C14114" s="2889" t="s">
        <v>1545</v>
      </c>
      <c r="D14114" s="2889" t="s">
        <v>1106</v>
      </c>
      <c r="E14114" s="2889" t="s">
        <v>1420</v>
      </c>
      <c r="F14114" s="2890">
        <v>8.083580417739863E-5</v>
      </c>
      <c r="G14114" s="2890">
        <v>1.6064218137294011</v>
      </c>
    </row>
    <row r="14115" spans="2:7" ht="15" hidden="1" outlineLevel="2">
      <c r="B14115" s="2889" t="s">
        <v>1648</v>
      </c>
      <c r="C14115" s="2889" t="s">
        <v>1546</v>
      </c>
      <c r="D14115" s="2889" t="s">
        <v>1106</v>
      </c>
      <c r="E14115" s="2889" t="s">
        <v>1423</v>
      </c>
      <c r="F14115" s="2890">
        <v>0.24504086625589908</v>
      </c>
      <c r="G14115" s="2890">
        <v>20.621605133530398</v>
      </c>
    </row>
    <row r="14116" spans="2:7" ht="15" hidden="1" outlineLevel="2">
      <c r="B14116" s="2889" t="s">
        <v>1648</v>
      </c>
      <c r="C14116" s="2889" t="s">
        <v>1547</v>
      </c>
      <c r="D14116" s="2889" t="s">
        <v>1106</v>
      </c>
      <c r="E14116" s="2889" t="s">
        <v>1423</v>
      </c>
      <c r="F14116" s="2890">
        <v>2.6764760889826138E-4</v>
      </c>
      <c r="G14116" s="2890">
        <v>2.3437193144993505E-2</v>
      </c>
    </row>
    <row r="14117" spans="2:7" ht="15" hidden="1" outlineLevel="2">
      <c r="B14117" s="2889" t="s">
        <v>1648</v>
      </c>
      <c r="C14117" s="2889" t="s">
        <v>1548</v>
      </c>
      <c r="D14117" s="2889" t="s">
        <v>1106</v>
      </c>
      <c r="E14117" s="2889" t="s">
        <v>1423</v>
      </c>
      <c r="F14117" s="2890">
        <v>1.2488417288310729E-4</v>
      </c>
      <c r="G14117" s="2890">
        <v>1.279932916372006E-2</v>
      </c>
    </row>
    <row r="14118" spans="2:7" ht="15" hidden="1" outlineLevel="2">
      <c r="B14118" s="2889" t="s">
        <v>1648</v>
      </c>
      <c r="C14118" s="2889" t="s">
        <v>1549</v>
      </c>
      <c r="D14118" s="2889" t="s">
        <v>1106</v>
      </c>
      <c r="E14118" s="2889" t="s">
        <v>1423</v>
      </c>
      <c r="F14118" s="2890">
        <v>1.6697065503527451E-3</v>
      </c>
      <c r="G14118" s="2890">
        <v>0.16442261115456147</v>
      </c>
    </row>
    <row r="14119" spans="2:7" ht="15" hidden="1" outlineLevel="2">
      <c r="B14119" s="2889" t="s">
        <v>1648</v>
      </c>
      <c r="C14119" s="2889" t="s">
        <v>1550</v>
      </c>
      <c r="D14119" s="2889" t="s">
        <v>1106</v>
      </c>
      <c r="E14119" s="2889" t="s">
        <v>1423</v>
      </c>
      <c r="F14119" s="2890">
        <v>4.2528531127553992E-4</v>
      </c>
      <c r="G14119" s="2890">
        <v>9.5637407154123388E-2</v>
      </c>
    </row>
    <row r="14120" spans="2:7" ht="15" hidden="1" outlineLevel="2">
      <c r="B14120" s="2889" t="s">
        <v>1648</v>
      </c>
      <c r="C14120" s="2889" t="s">
        <v>1551</v>
      </c>
      <c r="D14120" s="2889" t="s">
        <v>1106</v>
      </c>
      <c r="E14120" s="2889" t="s">
        <v>1426</v>
      </c>
      <c r="F14120" s="2891"/>
      <c r="G14120" s="2890">
        <v>6.4279601955530214</v>
      </c>
    </row>
    <row r="14121" spans="2:7" ht="15" hidden="1" outlineLevel="2">
      <c r="B14121" s="2889" t="s">
        <v>1648</v>
      </c>
      <c r="C14121" s="2889" t="s">
        <v>1552</v>
      </c>
      <c r="D14121" s="2889" t="s">
        <v>1106</v>
      </c>
      <c r="E14121" s="2889" t="s">
        <v>1426</v>
      </c>
      <c r="F14121" s="2891"/>
      <c r="G14121" s="2890">
        <v>93.273395419545835</v>
      </c>
    </row>
    <row r="14122" spans="2:7" ht="15" hidden="1" outlineLevel="2">
      <c r="B14122" s="2889" t="s">
        <v>1648</v>
      </c>
      <c r="C14122" s="2889" t="s">
        <v>1553</v>
      </c>
      <c r="D14122" s="2889" t="s">
        <v>1106</v>
      </c>
      <c r="E14122" s="2889" t="s">
        <v>1426</v>
      </c>
      <c r="F14122" s="2891"/>
      <c r="G14122" s="2890">
        <v>40.710763955247138</v>
      </c>
    </row>
    <row r="14123" spans="2:7" ht="15" hidden="1" outlineLevel="2">
      <c r="B14123" s="2889" t="s">
        <v>1648</v>
      </c>
      <c r="C14123" s="2889" t="s">
        <v>1554</v>
      </c>
      <c r="D14123" s="2889" t="s">
        <v>1106</v>
      </c>
      <c r="E14123" s="2889" t="s">
        <v>1426</v>
      </c>
      <c r="F14123" s="2891"/>
      <c r="G14123" s="2890">
        <v>41.320967911219398</v>
      </c>
    </row>
    <row r="14124" spans="2:7" ht="15" hidden="1" outlineLevel="2">
      <c r="B14124" s="2889" t="s">
        <v>1648</v>
      </c>
      <c r="C14124" s="2889" t="s">
        <v>1555</v>
      </c>
      <c r="D14124" s="2889" t="s">
        <v>1106</v>
      </c>
      <c r="E14124" s="2889" t="s">
        <v>1426</v>
      </c>
      <c r="F14124" s="2891"/>
      <c r="G14124" s="2890">
        <v>1.5885259024588489</v>
      </c>
    </row>
    <row r="14125" spans="2:7" ht="15" hidden="1" outlineLevel="2">
      <c r="B14125" s="2889" t="s">
        <v>1648</v>
      </c>
      <c r="C14125" s="2889" t="s">
        <v>1556</v>
      </c>
      <c r="D14125" s="2889" t="s">
        <v>1106</v>
      </c>
      <c r="E14125" s="2889" t="s">
        <v>1426</v>
      </c>
      <c r="F14125" s="2891"/>
      <c r="G14125" s="2890">
        <v>478.26406213455232</v>
      </c>
    </row>
    <row r="14126" spans="2:7" ht="15" hidden="1" outlineLevel="2">
      <c r="B14126" s="2889" t="s">
        <v>1648</v>
      </c>
      <c r="C14126" s="2889" t="s">
        <v>1557</v>
      </c>
      <c r="D14126" s="2889" t="s">
        <v>1106</v>
      </c>
      <c r="E14126" s="2889" t="s">
        <v>1426</v>
      </c>
      <c r="F14126" s="2891"/>
      <c r="G14126" s="2890">
        <v>58.722746654508413</v>
      </c>
    </row>
    <row r="14127" spans="2:7" ht="15" hidden="1" outlineLevel="2">
      <c r="B14127" s="2889" t="s">
        <v>1648</v>
      </c>
      <c r="C14127" s="2889" t="s">
        <v>1558</v>
      </c>
      <c r="D14127" s="2889" t="s">
        <v>1559</v>
      </c>
      <c r="E14127" s="2889" t="s">
        <v>217</v>
      </c>
      <c r="F14127" s="2890">
        <v>1.8499438600123425E-3</v>
      </c>
      <c r="G14127" s="2890">
        <v>1.0132441052801653</v>
      </c>
    </row>
    <row r="14128" spans="2:7" ht="15" hidden="1" outlineLevel="2">
      <c r="B14128" s="2889" t="s">
        <v>1648</v>
      </c>
      <c r="C14128" s="2889" t="s">
        <v>1560</v>
      </c>
      <c r="D14128" s="2889" t="s">
        <v>1559</v>
      </c>
      <c r="E14128" s="2889" t="s">
        <v>217</v>
      </c>
      <c r="F14128" s="2890">
        <v>3.9065624016866592E-2</v>
      </c>
      <c r="G14128" s="2890">
        <v>21.085133820802639</v>
      </c>
    </row>
    <row r="14129" spans="2:7" ht="15" hidden="1" outlineLevel="2">
      <c r="B14129" s="2889" t="s">
        <v>1648</v>
      </c>
      <c r="C14129" s="2889" t="s">
        <v>1561</v>
      </c>
      <c r="D14129" s="2889" t="s">
        <v>1559</v>
      </c>
      <c r="E14129" s="2889" t="s">
        <v>217</v>
      </c>
      <c r="F14129" s="2890">
        <v>2.6548172637157197E-2</v>
      </c>
      <c r="G14129" s="2890">
        <v>13.841763766213282</v>
      </c>
    </row>
    <row r="14130" spans="2:7" ht="15" hidden="1" outlineLevel="2">
      <c r="B14130" s="2889" t="s">
        <v>1648</v>
      </c>
      <c r="C14130" s="2889" t="s">
        <v>1562</v>
      </c>
      <c r="D14130" s="2889" t="s">
        <v>1559</v>
      </c>
      <c r="E14130" s="2889" t="s">
        <v>217</v>
      </c>
      <c r="F14130" s="2890">
        <v>0.42798640112190539</v>
      </c>
      <c r="G14130" s="2890">
        <v>234.65493805739698</v>
      </c>
    </row>
    <row r="14131" spans="2:7" ht="15" hidden="1" outlineLevel="2">
      <c r="B14131" s="2889" t="s">
        <v>1648</v>
      </c>
      <c r="C14131" s="2889" t="s">
        <v>1563</v>
      </c>
      <c r="D14131" s="2889" t="s">
        <v>1559</v>
      </c>
      <c r="E14131" s="2889" t="s">
        <v>217</v>
      </c>
      <c r="F14131" s="2890">
        <v>3.2728462406434643E-2</v>
      </c>
      <c r="G14131" s="2890">
        <v>19.289164748837958</v>
      </c>
    </row>
    <row r="14132" spans="2:7" ht="15" hidden="1" outlineLevel="2">
      <c r="B14132" s="2889" t="s">
        <v>1648</v>
      </c>
      <c r="C14132" s="2889" t="s">
        <v>1564</v>
      </c>
      <c r="D14132" s="2889" t="s">
        <v>1559</v>
      </c>
      <c r="E14132" s="2889" t="s">
        <v>217</v>
      </c>
      <c r="F14132" s="2890">
        <v>0.40407305556923873</v>
      </c>
      <c r="G14132" s="2890">
        <v>204.61511726444061</v>
      </c>
    </row>
    <row r="14133" spans="2:7" ht="15" hidden="1" outlineLevel="2">
      <c r="B14133" s="2889" t="s">
        <v>1648</v>
      </c>
      <c r="C14133" s="2889" t="s">
        <v>1565</v>
      </c>
      <c r="D14133" s="2889" t="s">
        <v>1559</v>
      </c>
      <c r="E14133" s="2889" t="s">
        <v>217</v>
      </c>
      <c r="F14133" s="2890">
        <v>2.3069082600463389E-2</v>
      </c>
      <c r="G14133" s="2890">
        <v>12.414461766056258</v>
      </c>
    </row>
    <row r="14134" spans="2:7" ht="15" hidden="1" outlineLevel="2">
      <c r="B14134" s="2889" t="s">
        <v>1648</v>
      </c>
      <c r="C14134" s="2889" t="s">
        <v>1566</v>
      </c>
      <c r="D14134" s="2889" t="s">
        <v>1559</v>
      </c>
      <c r="E14134" s="2889" t="s">
        <v>217</v>
      </c>
      <c r="F14134" s="2890">
        <v>0.35663897917856452</v>
      </c>
      <c r="G14134" s="2890">
        <v>191.06180248909658</v>
      </c>
    </row>
    <row r="14135" spans="2:7" ht="15" hidden="1" outlineLevel="2">
      <c r="B14135" s="2889" t="s">
        <v>1648</v>
      </c>
      <c r="C14135" s="2889" t="s">
        <v>1567</v>
      </c>
      <c r="D14135" s="2889" t="s">
        <v>1559</v>
      </c>
      <c r="E14135" s="2889" t="s">
        <v>217</v>
      </c>
      <c r="F14135" s="2890">
        <v>1.1518694534264608E-31</v>
      </c>
      <c r="G14135" s="2890">
        <v>1.6940080318879719E-29</v>
      </c>
    </row>
    <row r="14136" spans="2:7" ht="15" hidden="1" outlineLevel="2">
      <c r="B14136" s="2889" t="s">
        <v>1648</v>
      </c>
      <c r="C14136" s="2889" t="s">
        <v>1568</v>
      </c>
      <c r="D14136" s="2889" t="s">
        <v>1559</v>
      </c>
      <c r="E14136" s="2889" t="s">
        <v>217</v>
      </c>
      <c r="F14136" s="2890">
        <v>2.4329076379818316E-33</v>
      </c>
      <c r="G14136" s="2890">
        <v>3.5781082307048835E-31</v>
      </c>
    </row>
    <row r="14137" spans="2:7" ht="15" hidden="1" outlineLevel="2">
      <c r="B14137" s="2889" t="s">
        <v>1648</v>
      </c>
      <c r="C14137" s="2889" t="s">
        <v>1569</v>
      </c>
      <c r="D14137" s="2889" t="s">
        <v>1559</v>
      </c>
      <c r="E14137" s="2889" t="s">
        <v>217</v>
      </c>
      <c r="F14137" s="2890">
        <v>1.7471834919243742E-4</v>
      </c>
      <c r="G14137" s="2890">
        <v>8.7331409108793806E-2</v>
      </c>
    </row>
    <row r="14138" spans="2:7" ht="15" hidden="1" outlineLevel="2">
      <c r="B14138" s="2889" t="s">
        <v>1648</v>
      </c>
      <c r="C14138" s="2889" t="s">
        <v>1570</v>
      </c>
      <c r="D14138" s="2889" t="s">
        <v>1559</v>
      </c>
      <c r="E14138" s="2889" t="s">
        <v>217</v>
      </c>
      <c r="F14138" s="2890">
        <v>0.27783007438909291</v>
      </c>
      <c r="G14138" s="2890">
        <v>172.92535766511733</v>
      </c>
    </row>
    <row r="14139" spans="2:7" ht="15" hidden="1" outlineLevel="2">
      <c r="B14139" s="2889" t="s">
        <v>1648</v>
      </c>
      <c r="C14139" s="2889" t="s">
        <v>1571</v>
      </c>
      <c r="D14139" s="2889" t="s">
        <v>1559</v>
      </c>
      <c r="E14139" s="2889" t="s">
        <v>217</v>
      </c>
      <c r="F14139" s="2890">
        <v>0.49882593444337542</v>
      </c>
      <c r="G14139" s="2890">
        <v>596.45022914984884</v>
      </c>
    </row>
    <row r="14140" spans="2:7" ht="15" hidden="1" outlineLevel="2">
      <c r="B14140" s="2889" t="s">
        <v>1648</v>
      </c>
      <c r="C14140" s="2889" t="s">
        <v>1572</v>
      </c>
      <c r="D14140" s="2889" t="s">
        <v>1559</v>
      </c>
      <c r="E14140" s="2889" t="s">
        <v>217</v>
      </c>
      <c r="F14140" s="2890">
        <v>2.3486437377170696E-2</v>
      </c>
      <c r="G14140" s="2890">
        <v>14.500029428075043</v>
      </c>
    </row>
    <row r="14141" spans="2:7" ht="15" hidden="1" outlineLevel="2">
      <c r="B14141" s="2889" t="s">
        <v>1648</v>
      </c>
      <c r="C14141" s="2889" t="s">
        <v>1573</v>
      </c>
      <c r="D14141" s="2889" t="s">
        <v>1559</v>
      </c>
      <c r="E14141" s="2889" t="s">
        <v>217</v>
      </c>
      <c r="F14141" s="2890">
        <v>0.40433112353902301</v>
      </c>
      <c r="G14141" s="2890">
        <v>303.59851290387462</v>
      </c>
    </row>
    <row r="14142" spans="2:7" ht="15" hidden="1" outlineLevel="2">
      <c r="B14142" s="2889" t="s">
        <v>1648</v>
      </c>
      <c r="C14142" s="2889" t="s">
        <v>1574</v>
      </c>
      <c r="D14142" s="2889" t="s">
        <v>1559</v>
      </c>
      <c r="E14142" s="2889" t="s">
        <v>217</v>
      </c>
      <c r="F14142" s="2890">
        <v>1.2729959281181904E-3</v>
      </c>
      <c r="G14142" s="2890">
        <v>0.9626730864176799</v>
      </c>
    </row>
    <row r="14143" spans="2:7" ht="15" hidden="1" outlineLevel="2">
      <c r="B14143" s="2889" t="s">
        <v>1648</v>
      </c>
      <c r="C14143" s="2889" t="s">
        <v>1575</v>
      </c>
      <c r="D14143" s="2889" t="s">
        <v>1559</v>
      </c>
      <c r="E14143" s="2889" t="s">
        <v>217</v>
      </c>
      <c r="F14143" s="2890">
        <v>1.1085039339179677E-2</v>
      </c>
      <c r="G14143" s="2890">
        <v>13.816686375781579</v>
      </c>
    </row>
    <row r="14144" spans="2:7" ht="15" hidden="1" outlineLevel="2">
      <c r="B14144" s="2889" t="s">
        <v>1648</v>
      </c>
      <c r="C14144" s="2889" t="s">
        <v>1576</v>
      </c>
      <c r="D14144" s="2889" t="s">
        <v>1559</v>
      </c>
      <c r="E14144" s="2889" t="s">
        <v>217</v>
      </c>
      <c r="F14144" s="2890">
        <v>2.4228416618381093E-3</v>
      </c>
      <c r="G14144" s="2890">
        <v>1.8366092864556509</v>
      </c>
    </row>
    <row r="14145" spans="2:7" ht="15" hidden="1" outlineLevel="2">
      <c r="B14145" s="2889" t="s">
        <v>1648</v>
      </c>
      <c r="C14145" s="2889" t="s">
        <v>1577</v>
      </c>
      <c r="D14145" s="2889" t="s">
        <v>1559</v>
      </c>
      <c r="E14145" s="2889" t="s">
        <v>217</v>
      </c>
      <c r="F14145" s="2890">
        <v>0.36394416272650404</v>
      </c>
      <c r="G14145" s="2890">
        <v>570.00982972123791</v>
      </c>
    </row>
    <row r="14146" spans="2:7" ht="15" hidden="1" outlineLevel="2">
      <c r="B14146" s="2889" t="s">
        <v>1648</v>
      </c>
      <c r="C14146" s="2889" t="s">
        <v>1578</v>
      </c>
      <c r="D14146" s="2889" t="s">
        <v>1559</v>
      </c>
      <c r="E14146" s="2889" t="s">
        <v>217</v>
      </c>
      <c r="F14146" s="2890">
        <v>8.1651856097961584E-37</v>
      </c>
      <c r="G14146" s="2890">
        <v>4.4699090569433649E-34</v>
      </c>
    </row>
    <row r="14147" spans="2:7" ht="15" hidden="1" outlineLevel="2">
      <c r="B14147" s="2889" t="s">
        <v>1648</v>
      </c>
      <c r="C14147" s="2889" t="s">
        <v>1579</v>
      </c>
      <c r="D14147" s="2889" t="s">
        <v>1559</v>
      </c>
      <c r="E14147" s="2889" t="s">
        <v>217</v>
      </c>
      <c r="F14147" s="2890">
        <v>1.0468794339311338E-32</v>
      </c>
      <c r="G14147" s="2890">
        <v>5.731359529755185E-30</v>
      </c>
    </row>
    <row r="14148" spans="2:7" ht="15" hidden="1" outlineLevel="2">
      <c r="B14148" s="2889" t="s">
        <v>1648</v>
      </c>
      <c r="C14148" s="2889" t="s">
        <v>1580</v>
      </c>
      <c r="D14148" s="2889" t="s">
        <v>1559</v>
      </c>
      <c r="E14148" s="2889" t="s">
        <v>217</v>
      </c>
      <c r="F14148" s="2890">
        <v>2.732853017637182E-2</v>
      </c>
      <c r="G14148" s="2890">
        <v>34.69683652761907</v>
      </c>
    </row>
    <row r="14149" spans="2:7" ht="15" hidden="1" outlineLevel="2">
      <c r="B14149" s="2889" t="s">
        <v>1648</v>
      </c>
      <c r="C14149" s="2889" t="s">
        <v>1581</v>
      </c>
      <c r="D14149" s="2889" t="s">
        <v>1559</v>
      </c>
      <c r="E14149" s="2889" t="s">
        <v>217</v>
      </c>
      <c r="F14149" s="2890">
        <v>4.6479952528606441E-2</v>
      </c>
      <c r="G14149" s="2890">
        <v>65.854844090840189</v>
      </c>
    </row>
    <row r="14150" spans="2:7" ht="15" hidden="1" outlineLevel="2">
      <c r="B14150" s="2889" t="s">
        <v>1648</v>
      </c>
      <c r="C14150" s="2889" t="s">
        <v>1582</v>
      </c>
      <c r="D14150" s="2889" t="s">
        <v>1559</v>
      </c>
      <c r="E14150" s="2889" t="s">
        <v>217</v>
      </c>
      <c r="F14150" s="2890">
        <v>6.5513370316746214E-2</v>
      </c>
      <c r="G14150" s="2890">
        <v>74.956371908910569</v>
      </c>
    </row>
    <row r="14151" spans="2:7" ht="15" hidden="1" outlineLevel="2">
      <c r="B14151" s="2889" t="s">
        <v>1648</v>
      </c>
      <c r="C14151" s="2889" t="s">
        <v>1583</v>
      </c>
      <c r="D14151" s="2889" t="s">
        <v>1559</v>
      </c>
      <c r="E14151" s="2889" t="s">
        <v>217</v>
      </c>
      <c r="F14151" s="2890">
        <v>5.048777552852711E-2</v>
      </c>
      <c r="G14151" s="2890">
        <v>34.904591492195131</v>
      </c>
    </row>
    <row r="14152" spans="2:7" ht="15" hidden="1" outlineLevel="2">
      <c r="B14152" s="2889" t="s">
        <v>1648</v>
      </c>
      <c r="C14152" s="2889" t="s">
        <v>1584</v>
      </c>
      <c r="D14152" s="2889" t="s">
        <v>1559</v>
      </c>
      <c r="E14152" s="2889" t="s">
        <v>217</v>
      </c>
      <c r="F14152" s="2890">
        <v>0.36543610316616648</v>
      </c>
      <c r="G14152" s="2890">
        <v>465.08712440586658</v>
      </c>
    </row>
    <row r="14153" spans="2:7" ht="15" hidden="1" outlineLevel="2">
      <c r="B14153" s="2889" t="s">
        <v>1648</v>
      </c>
      <c r="C14153" s="2889" t="s">
        <v>1585</v>
      </c>
      <c r="D14153" s="2889" t="s">
        <v>1559</v>
      </c>
      <c r="E14153" s="2889" t="s">
        <v>217</v>
      </c>
      <c r="F14153" s="2890">
        <v>0.63155137017914453</v>
      </c>
      <c r="G14153" s="2890">
        <v>894.99592647328836</v>
      </c>
    </row>
    <row r="14154" spans="2:7" ht="15" hidden="1" outlineLevel="2">
      <c r="B14154" s="2889" t="s">
        <v>1648</v>
      </c>
      <c r="C14154" s="2889" t="s">
        <v>1586</v>
      </c>
      <c r="D14154" s="2889" t="s">
        <v>1559</v>
      </c>
      <c r="E14154" s="2889" t="s">
        <v>217</v>
      </c>
      <c r="F14154" s="2890">
        <v>7.1104884639453053E-2</v>
      </c>
      <c r="G14154" s="2890">
        <v>149.84093283548589</v>
      </c>
    </row>
    <row r="14155" spans="2:7" ht="15" hidden="1" outlineLevel="2">
      <c r="B14155" s="2889" t="s">
        <v>1648</v>
      </c>
      <c r="C14155" s="2889" t="s">
        <v>1587</v>
      </c>
      <c r="D14155" s="2889" t="s">
        <v>1559</v>
      </c>
      <c r="E14155" s="2889" t="s">
        <v>217</v>
      </c>
      <c r="F14155" s="2890">
        <v>1.9778568648749124</v>
      </c>
      <c r="G14155" s="2890">
        <v>2887.3139194418413</v>
      </c>
    </row>
    <row r="14156" spans="2:7" ht="15" hidden="1" outlineLevel="2">
      <c r="B14156" s="2889" t="s">
        <v>1648</v>
      </c>
      <c r="C14156" s="2889" t="s">
        <v>1588</v>
      </c>
      <c r="D14156" s="2889" t="s">
        <v>1559</v>
      </c>
      <c r="E14156" s="2889" t="s">
        <v>217</v>
      </c>
      <c r="F14156" s="2890">
        <v>2.101678535888642E-2</v>
      </c>
      <c r="G14156" s="2890">
        <v>16.473977918572302</v>
      </c>
    </row>
    <row r="14157" spans="2:7" ht="15" hidden="1" outlineLevel="2">
      <c r="B14157" s="2889" t="s">
        <v>1648</v>
      </c>
      <c r="C14157" s="2889" t="s">
        <v>1589</v>
      </c>
      <c r="D14157" s="2889" t="s">
        <v>1559</v>
      </c>
      <c r="E14157" s="2889" t="s">
        <v>217</v>
      </c>
      <c r="F14157" s="2890">
        <v>0.11263522195926629</v>
      </c>
      <c r="G14157" s="2890">
        <v>88.466132832786045</v>
      </c>
    </row>
    <row r="14158" spans="2:7" ht="15" hidden="1" outlineLevel="2">
      <c r="B14158" s="2889" t="s">
        <v>1648</v>
      </c>
      <c r="C14158" s="2889" t="s">
        <v>1590</v>
      </c>
      <c r="D14158" s="2889" t="s">
        <v>1559</v>
      </c>
      <c r="E14158" s="2889" t="s">
        <v>1420</v>
      </c>
      <c r="F14158" s="2890">
        <v>5.5722816769299107E-3</v>
      </c>
      <c r="G14158" s="2890">
        <v>49.707055612193848</v>
      </c>
    </row>
    <row r="14159" spans="2:7" ht="15" hidden="1" outlineLevel="2">
      <c r="B14159" s="2889" t="s">
        <v>1648</v>
      </c>
      <c r="C14159" s="2889" t="s">
        <v>1591</v>
      </c>
      <c r="D14159" s="2889" t="s">
        <v>1559</v>
      </c>
      <c r="E14159" s="2889" t="s">
        <v>1426</v>
      </c>
      <c r="F14159" s="2891"/>
      <c r="G14159" s="2890">
        <v>7.7268149244829012E-2</v>
      </c>
    </row>
    <row r="14160" spans="2:7" ht="15" hidden="1" outlineLevel="2">
      <c r="B14160" s="2889" t="s">
        <v>1648</v>
      </c>
      <c r="C14160" s="2889" t="s">
        <v>1592</v>
      </c>
      <c r="D14160" s="2889" t="s">
        <v>1559</v>
      </c>
      <c r="E14160" s="2889" t="s">
        <v>1426</v>
      </c>
      <c r="F14160" s="2891"/>
      <c r="G14160" s="2890">
        <v>2.6021645822646068E-29</v>
      </c>
    </row>
    <row r="14161" spans="2:7" ht="15" hidden="1" outlineLevel="2">
      <c r="B14161" s="2889" t="s">
        <v>1648</v>
      </c>
      <c r="C14161" s="2889" t="s">
        <v>1593</v>
      </c>
      <c r="D14161" s="2889" t="s">
        <v>1559</v>
      </c>
      <c r="E14161" s="2889" t="s">
        <v>1426</v>
      </c>
      <c r="F14161" s="2891"/>
      <c r="G14161" s="2890">
        <v>540.32149599598881</v>
      </c>
    </row>
    <row r="14162" spans="2:7" ht="15" hidden="1" outlineLevel="2">
      <c r="B14162" s="2889" t="s">
        <v>1648</v>
      </c>
      <c r="C14162" s="2889" t="s">
        <v>1594</v>
      </c>
      <c r="D14162" s="2889" t="s">
        <v>1559</v>
      </c>
      <c r="E14162" s="2889" t="s">
        <v>1426</v>
      </c>
      <c r="F14162" s="2891"/>
      <c r="G14162" s="2890">
        <v>111.50406737889084</v>
      </c>
    </row>
    <row r="14163" spans="2:7" ht="15" hidden="1" outlineLevel="2">
      <c r="B14163" s="2889" t="s">
        <v>1648</v>
      </c>
      <c r="C14163" s="2889" t="s">
        <v>1595</v>
      </c>
      <c r="D14163" s="2889" t="s">
        <v>1559</v>
      </c>
      <c r="E14163" s="2889" t="s">
        <v>1426</v>
      </c>
      <c r="F14163" s="2891"/>
      <c r="G14163" s="2890">
        <v>735.63337552939686</v>
      </c>
    </row>
    <row r="14164" spans="2:7" ht="15" hidden="1" outlineLevel="2">
      <c r="B14164" s="2889" t="s">
        <v>1648</v>
      </c>
      <c r="C14164" s="2889" t="s">
        <v>1596</v>
      </c>
      <c r="D14164" s="2889" t="s">
        <v>1559</v>
      </c>
      <c r="E14164" s="2889" t="s">
        <v>1426</v>
      </c>
      <c r="F14164" s="2891"/>
      <c r="G14164" s="2890">
        <v>86.737528034707111</v>
      </c>
    </row>
    <row r="14165" spans="2:7" ht="15" hidden="1" outlineLevel="2">
      <c r="B14165" s="2889" t="s">
        <v>1648</v>
      </c>
      <c r="C14165" s="2889" t="s">
        <v>1597</v>
      </c>
      <c r="D14165" s="2889" t="s">
        <v>1559</v>
      </c>
      <c r="E14165" s="2889" t="s">
        <v>1426</v>
      </c>
      <c r="F14165" s="2891"/>
      <c r="G14165" s="2890">
        <v>2.0661424734008036</v>
      </c>
    </row>
    <row r="14166" spans="2:7" ht="15" hidden="1" outlineLevel="2">
      <c r="B14166" s="2889" t="s">
        <v>1648</v>
      </c>
      <c r="C14166" s="2889" t="s">
        <v>1598</v>
      </c>
      <c r="D14166" s="2889" t="s">
        <v>1599</v>
      </c>
      <c r="E14166" s="2889" t="s">
        <v>217</v>
      </c>
      <c r="F14166" s="2890">
        <v>2.8849432160197527E-2</v>
      </c>
      <c r="G14166" s="2890">
        <v>16.682181275804691</v>
      </c>
    </row>
    <row r="14167" spans="2:7" ht="15" hidden="1" outlineLevel="2">
      <c r="B14167" s="2889" t="s">
        <v>1648</v>
      </c>
      <c r="C14167" s="2889" t="s">
        <v>1600</v>
      </c>
      <c r="D14167" s="2889" t="s">
        <v>1599</v>
      </c>
      <c r="E14167" s="2889" t="s">
        <v>217</v>
      </c>
      <c r="F14167" s="2890">
        <v>3.372557576535281E-2</v>
      </c>
      <c r="G14167" s="2890">
        <v>37.562514977707025</v>
      </c>
    </row>
    <row r="14168" spans="2:7" ht="15" hidden="1" outlineLevel="2">
      <c r="B14168" s="2889" t="s">
        <v>1648</v>
      </c>
      <c r="C14168" s="2889" t="s">
        <v>1601</v>
      </c>
      <c r="D14168" s="2889" t="s">
        <v>1599</v>
      </c>
      <c r="E14168" s="2889" t="s">
        <v>217</v>
      </c>
      <c r="F14168" s="2890">
        <v>3.4593869688454595E-4</v>
      </c>
      <c r="G14168" s="2890">
        <v>0.44127437750524556</v>
      </c>
    </row>
    <row r="14169" spans="2:7" ht="15" hidden="1" outlineLevel="2">
      <c r="B14169" s="2889" t="s">
        <v>1648</v>
      </c>
      <c r="C14169" s="2889" t="s">
        <v>1602</v>
      </c>
      <c r="D14169" s="2889" t="s">
        <v>1599</v>
      </c>
      <c r="E14169" s="2889" t="s">
        <v>1426</v>
      </c>
      <c r="F14169" s="2891"/>
      <c r="G14169" s="2890">
        <v>499.87870960659404</v>
      </c>
    </row>
    <row r="14170" spans="2:7" ht="15" hidden="1" outlineLevel="2">
      <c r="B14170" s="2889" t="s">
        <v>1648</v>
      </c>
      <c r="C14170" s="2889" t="s">
        <v>1603</v>
      </c>
      <c r="D14170" s="2889" t="s">
        <v>1604</v>
      </c>
      <c r="E14170" s="2889" t="s">
        <v>217</v>
      </c>
      <c r="F14170" s="2890">
        <v>1.2846700037536762E-33</v>
      </c>
      <c r="G14170" s="2890">
        <v>1.5042958365886881E-30</v>
      </c>
    </row>
    <row r="14171" spans="2:7" ht="15" hidden="1" outlineLevel="2">
      <c r="B14171" s="2889" t="s">
        <v>1648</v>
      </c>
      <c r="C14171" s="2889" t="s">
        <v>1605</v>
      </c>
      <c r="D14171" s="2889" t="s">
        <v>1604</v>
      </c>
      <c r="E14171" s="2889" t="s">
        <v>1423</v>
      </c>
      <c r="F14171" s="2890">
        <v>3.136151520901011E-33</v>
      </c>
      <c r="G14171" s="2890">
        <v>7.3601632656396319E-31</v>
      </c>
    </row>
    <row r="14172" spans="2:7" ht="15" hidden="1" outlineLevel="2">
      <c r="B14172" s="2889" t="s">
        <v>1648</v>
      </c>
      <c r="C14172" s="2889" t="s">
        <v>1606</v>
      </c>
      <c r="D14172" s="2889" t="s">
        <v>1604</v>
      </c>
      <c r="E14172" s="2889" t="s">
        <v>1426</v>
      </c>
      <c r="F14172" s="2891"/>
      <c r="G14172" s="2890">
        <v>7.9720101268876722E-32</v>
      </c>
    </row>
    <row r="14173" spans="2:7" ht="15" hidden="1" outlineLevel="2">
      <c r="B14173" s="2889" t="s">
        <v>1648</v>
      </c>
      <c r="C14173" s="2889" t="s">
        <v>1607</v>
      </c>
      <c r="D14173" s="2889" t="s">
        <v>1608</v>
      </c>
      <c r="E14173" s="2889" t="s">
        <v>217</v>
      </c>
      <c r="F14173" s="2890">
        <v>11.795102989506848</v>
      </c>
      <c r="G14173" s="2890">
        <v>9692.3628318309929</v>
      </c>
    </row>
    <row r="14174" spans="2:7" ht="15" hidden="1" outlineLevel="2">
      <c r="B14174" s="2889" t="s">
        <v>1648</v>
      </c>
      <c r="C14174" s="2889" t="s">
        <v>1609</v>
      </c>
      <c r="D14174" s="2889" t="s">
        <v>1608</v>
      </c>
      <c r="E14174" s="2889" t="s">
        <v>217</v>
      </c>
      <c r="F14174" s="2890">
        <v>5.1361397253253971</v>
      </c>
      <c r="G14174" s="2890">
        <v>4090.1511692792328</v>
      </c>
    </row>
    <row r="14175" spans="2:7" ht="15" hidden="1" outlineLevel="2">
      <c r="B14175" s="2889" t="s">
        <v>1648</v>
      </c>
      <c r="C14175" s="2889" t="s">
        <v>1610</v>
      </c>
      <c r="D14175" s="2889" t="s">
        <v>1608</v>
      </c>
      <c r="E14175" s="2889" t="s">
        <v>217</v>
      </c>
      <c r="F14175" s="2890">
        <v>5.944273433474863</v>
      </c>
      <c r="G14175" s="2890">
        <v>9272.7171184878116</v>
      </c>
    </row>
    <row r="14176" spans="2:7" ht="15" hidden="1" outlineLevel="2">
      <c r="B14176" s="2889" t="s">
        <v>1648</v>
      </c>
      <c r="C14176" s="2889" t="s">
        <v>1611</v>
      </c>
      <c r="D14176" s="2889" t="s">
        <v>1608</v>
      </c>
      <c r="E14176" s="2889" t="s">
        <v>1612</v>
      </c>
      <c r="F14176" s="2891"/>
      <c r="G14176" s="2890">
        <v>8256.0997184940643</v>
      </c>
    </row>
    <row r="14177" spans="2:7" ht="15" hidden="1" outlineLevel="2">
      <c r="B14177" s="2889" t="s">
        <v>1648</v>
      </c>
      <c r="C14177" s="2889" t="s">
        <v>1613</v>
      </c>
      <c r="D14177" s="2889" t="s">
        <v>1608</v>
      </c>
      <c r="E14177" s="2889" t="s">
        <v>1612</v>
      </c>
      <c r="F14177" s="2891"/>
      <c r="G14177" s="2890">
        <v>22.698542669726024</v>
      </c>
    </row>
    <row r="14178" spans="2:7" ht="15" hidden="1" outlineLevel="2">
      <c r="B14178" s="2889" t="s">
        <v>1648</v>
      </c>
      <c r="C14178" s="2889" t="s">
        <v>1614</v>
      </c>
      <c r="D14178" s="2889" t="s">
        <v>1615</v>
      </c>
      <c r="E14178" s="2889" t="s">
        <v>1426</v>
      </c>
      <c r="F14178" s="2891"/>
      <c r="G14178" s="2890">
        <v>1.8185952543475339</v>
      </c>
    </row>
    <row r="14179" spans="2:7" ht="15" hidden="1" outlineLevel="2">
      <c r="B14179" s="2889" t="s">
        <v>1648</v>
      </c>
      <c r="C14179" s="2889" t="s">
        <v>1616</v>
      </c>
      <c r="D14179" s="2889" t="s">
        <v>1615</v>
      </c>
      <c r="E14179" s="2889" t="s">
        <v>217</v>
      </c>
      <c r="F14179" s="2890">
        <v>5.7322654762894346E-5</v>
      </c>
      <c r="G14179" s="2890">
        <v>7.7888305189482809E-2</v>
      </c>
    </row>
    <row r="14180" spans="2:7" ht="15" hidden="1" outlineLevel="2">
      <c r="B14180" s="2889" t="s">
        <v>1648</v>
      </c>
      <c r="C14180" s="2889" t="s">
        <v>1617</v>
      </c>
      <c r="D14180" s="2889" t="s">
        <v>1615</v>
      </c>
      <c r="E14180" s="2889" t="s">
        <v>1420</v>
      </c>
      <c r="F14180" s="2890">
        <v>9.1570708988094493E-7</v>
      </c>
      <c r="G14180" s="2890">
        <v>2.6506157893599865E-3</v>
      </c>
    </row>
    <row r="14181" spans="2:7" ht="15" hidden="1" outlineLevel="2">
      <c r="B14181" s="2889" t="s">
        <v>1648</v>
      </c>
      <c r="C14181" s="2889" t="s">
        <v>1620</v>
      </c>
      <c r="D14181" s="2889" t="s">
        <v>1619</v>
      </c>
      <c r="E14181" s="2889" t="s">
        <v>217</v>
      </c>
      <c r="F14181" s="2890">
        <v>3.4412263012536057E-35</v>
      </c>
      <c r="G14181" s="2890">
        <v>4.1921589853032535E-32</v>
      </c>
    </row>
    <row r="14182" spans="2:7" ht="15" hidden="1" outlineLevel="2">
      <c r="B14182" s="2889" t="s">
        <v>1648</v>
      </c>
      <c r="C14182" s="2889" t="s">
        <v>1621</v>
      </c>
      <c r="D14182" s="2889" t="s">
        <v>1619</v>
      </c>
      <c r="E14182" s="2889" t="s">
        <v>217</v>
      </c>
      <c r="F14182" s="2890">
        <v>2.5725958477969523E-34</v>
      </c>
      <c r="G14182" s="2890">
        <v>7.0309237561352104E-32</v>
      </c>
    </row>
    <row r="14183" spans="2:7" ht="15" hidden="1" outlineLevel="2">
      <c r="B14183" s="2889" t="s">
        <v>1648</v>
      </c>
      <c r="C14183" s="2889" t="s">
        <v>1622</v>
      </c>
      <c r="D14183" s="2889" t="s">
        <v>1619</v>
      </c>
      <c r="E14183" s="2889" t="s">
        <v>217</v>
      </c>
      <c r="F14183" s="2890">
        <v>1.0334569929962253E-33</v>
      </c>
      <c r="G14183" s="2890">
        <v>1.1418625961266794E-30</v>
      </c>
    </row>
    <row r="14184" spans="2:7" ht="15" hidden="1" outlineLevel="2">
      <c r="B14184" s="2889" t="s">
        <v>1648</v>
      </c>
      <c r="C14184" s="2889" t="s">
        <v>1623</v>
      </c>
      <c r="D14184" s="2889" t="s">
        <v>1619</v>
      </c>
      <c r="E14184" s="2889" t="s">
        <v>217</v>
      </c>
      <c r="F14184" s="2890">
        <v>1.7007293296187203E-31</v>
      </c>
      <c r="G14184" s="2890">
        <v>1.1851687439838577E-28</v>
      </c>
    </row>
    <row r="14185" spans="2:7" ht="15" hidden="1" outlineLevel="2">
      <c r="B14185" s="2889" t="s">
        <v>1648</v>
      </c>
      <c r="C14185" s="2889" t="s">
        <v>1624</v>
      </c>
      <c r="D14185" s="2889" t="s">
        <v>1619</v>
      </c>
      <c r="E14185" s="2889" t="s">
        <v>217</v>
      </c>
      <c r="F14185" s="2890">
        <v>3.7223526161049563E-31</v>
      </c>
      <c r="G14185" s="2890">
        <v>3.1931912408776148E-28</v>
      </c>
    </row>
    <row r="14186" spans="2:7" ht="15" hidden="1" outlineLevel="2">
      <c r="B14186" s="2889" t="s">
        <v>1648</v>
      </c>
      <c r="C14186" s="2889" t="s">
        <v>1625</v>
      </c>
      <c r="D14186" s="2889" t="s">
        <v>1619</v>
      </c>
      <c r="E14186" s="2889" t="s">
        <v>217</v>
      </c>
      <c r="F14186" s="2890">
        <v>6.6319380563515731E-2</v>
      </c>
      <c r="G14186" s="2890">
        <v>86.330920114526606</v>
      </c>
    </row>
    <row r="14187" spans="2:7" ht="15" hidden="1" outlineLevel="2">
      <c r="B14187" s="2889" t="s">
        <v>1648</v>
      </c>
      <c r="C14187" s="2889" t="s">
        <v>1626</v>
      </c>
      <c r="D14187" s="2889" t="s">
        <v>1619</v>
      </c>
      <c r="E14187" s="2889" t="s">
        <v>217</v>
      </c>
      <c r="F14187" s="2890">
        <v>1.6173722528088712E-35</v>
      </c>
      <c r="G14187" s="2890">
        <v>1.5768694812717283E-32</v>
      </c>
    </row>
    <row r="14188" spans="2:7" ht="15" hidden="1" outlineLevel="2">
      <c r="B14188" s="2889" t="s">
        <v>1648</v>
      </c>
      <c r="C14188" s="2889" t="s">
        <v>1627</v>
      </c>
      <c r="D14188" s="2889" t="s">
        <v>1619</v>
      </c>
      <c r="E14188" s="2889" t="s">
        <v>1420</v>
      </c>
      <c r="F14188" s="2890">
        <v>1.9010908880696712E-35</v>
      </c>
      <c r="G14188" s="2890">
        <v>3.1761120668295189E-32</v>
      </c>
    </row>
    <row r="14189" spans="2:7" ht="15" hidden="1" outlineLevel="2">
      <c r="B14189" s="2889" t="s">
        <v>1648</v>
      </c>
      <c r="C14189" s="2889" t="s">
        <v>1628</v>
      </c>
      <c r="D14189" s="2889" t="s">
        <v>1619</v>
      </c>
      <c r="E14189" s="2889" t="s">
        <v>1426</v>
      </c>
      <c r="F14189" s="2891"/>
      <c r="G14189" s="2890">
        <v>3.9412429149442822E-29</v>
      </c>
    </row>
    <row r="14190" spans="2:7" ht="15" hidden="1" outlineLevel="2">
      <c r="B14190" s="2889" t="s">
        <v>1648</v>
      </c>
      <c r="C14190" s="2889" t="s">
        <v>1629</v>
      </c>
      <c r="D14190" s="2889" t="s">
        <v>1630</v>
      </c>
      <c r="E14190" s="2889" t="s">
        <v>1426</v>
      </c>
      <c r="F14190" s="2891"/>
      <c r="G14190" s="2890">
        <v>2.0277223627944984E-29</v>
      </c>
    </row>
    <row r="14191" spans="2:7" ht="15" outlineLevel="1" collapsed="1">
      <c r="B14191" s="3042" t="s">
        <v>1718</v>
      </c>
      <c r="C14191" s="2889"/>
      <c r="D14191" s="2889"/>
      <c r="E14191" s="2889"/>
      <c r="F14191" s="2891">
        <f>SUBTOTAL(9,F13981:F14190)</f>
        <v>30.286724615148344</v>
      </c>
      <c r="G14191" s="2890">
        <f>SUBTOTAL(9,G13981:G14190)</f>
        <v>51198.486151249497</v>
      </c>
    </row>
    <row r="14192" spans="2:7" ht="15" hidden="1" outlineLevel="2">
      <c r="B14192" s="2889" t="s">
        <v>1649</v>
      </c>
      <c r="C14192" s="2889" t="s">
        <v>1408</v>
      </c>
      <c r="D14192" s="2889" t="s">
        <v>197</v>
      </c>
      <c r="E14192" s="2889" t="s">
        <v>217</v>
      </c>
      <c r="F14192" s="2890">
        <v>2.485190605547622E-3</v>
      </c>
      <c r="G14192" s="2890">
        <v>1.5158083494134906</v>
      </c>
    </row>
    <row r="14193" spans="2:7" ht="15" hidden="1" outlineLevel="2">
      <c r="B14193" s="2889" t="s">
        <v>1649</v>
      </c>
      <c r="C14193" s="2889" t="s">
        <v>1409</v>
      </c>
      <c r="D14193" s="2889" t="s">
        <v>197</v>
      </c>
      <c r="E14193" s="2889" t="s">
        <v>217</v>
      </c>
      <c r="F14193" s="2890">
        <v>2.6031381909864008E-3</v>
      </c>
      <c r="G14193" s="2890">
        <v>3.6771369343396452</v>
      </c>
    </row>
    <row r="14194" spans="2:7" ht="15" hidden="1" outlineLevel="2">
      <c r="B14194" s="2889" t="s">
        <v>1649</v>
      </c>
      <c r="C14194" s="2889" t="s">
        <v>1410</v>
      </c>
      <c r="D14194" s="2889" t="s">
        <v>197</v>
      </c>
      <c r="E14194" s="2889" t="s">
        <v>217</v>
      </c>
      <c r="F14194" s="2890">
        <v>4.1601694866194236E-3</v>
      </c>
      <c r="G14194" s="2890">
        <v>14.307536574203839</v>
      </c>
    </row>
    <row r="14195" spans="2:7" ht="15" hidden="1" outlineLevel="2">
      <c r="B14195" s="2889" t="s">
        <v>1649</v>
      </c>
      <c r="C14195" s="2889" t="s">
        <v>1411</v>
      </c>
      <c r="D14195" s="2889" t="s">
        <v>197</v>
      </c>
      <c r="E14195" s="2889" t="s">
        <v>217</v>
      </c>
      <c r="F14195" s="2890">
        <v>6.841640743662543E-5</v>
      </c>
      <c r="G14195" s="2890">
        <v>9.0117014950568411E-2</v>
      </c>
    </row>
    <row r="14196" spans="2:7" ht="15" hidden="1" outlineLevel="2">
      <c r="B14196" s="2889" t="s">
        <v>1649</v>
      </c>
      <c r="C14196" s="2889" t="s">
        <v>1412</v>
      </c>
      <c r="D14196" s="2889" t="s">
        <v>197</v>
      </c>
      <c r="E14196" s="2889" t="s">
        <v>217</v>
      </c>
      <c r="F14196" s="2890">
        <v>7.39107051508391E-3</v>
      </c>
      <c r="G14196" s="2890">
        <v>9.7279760086367464</v>
      </c>
    </row>
    <row r="14197" spans="2:7" ht="15" hidden="1" outlineLevel="2">
      <c r="B14197" s="2889" t="s">
        <v>1649</v>
      </c>
      <c r="C14197" s="2889" t="s">
        <v>1413</v>
      </c>
      <c r="D14197" s="2889" t="s">
        <v>197</v>
      </c>
      <c r="E14197" s="2889" t="s">
        <v>217</v>
      </c>
      <c r="F14197" s="2890">
        <v>2.4310326030294979E-3</v>
      </c>
      <c r="G14197" s="2890">
        <v>3.0472241031264842</v>
      </c>
    </row>
    <row r="14198" spans="2:7" ht="15" hidden="1" outlineLevel="2">
      <c r="B14198" s="2889" t="s">
        <v>1649</v>
      </c>
      <c r="C14198" s="2889" t="s">
        <v>1414</v>
      </c>
      <c r="D14198" s="2889" t="s">
        <v>197</v>
      </c>
      <c r="E14198" s="2889" t="s">
        <v>217</v>
      </c>
      <c r="F14198" s="2890">
        <v>3.17236458417035E-2</v>
      </c>
      <c r="G14198" s="2890">
        <v>33.102579577477066</v>
      </c>
    </row>
    <row r="14199" spans="2:7" ht="15" hidden="1" outlineLevel="2">
      <c r="B14199" s="2889" t="s">
        <v>1649</v>
      </c>
      <c r="C14199" s="2889" t="s">
        <v>1415</v>
      </c>
      <c r="D14199" s="2889" t="s">
        <v>197</v>
      </c>
      <c r="E14199" s="2889" t="s">
        <v>217</v>
      </c>
      <c r="F14199" s="2890">
        <v>0.1043344968080278</v>
      </c>
      <c r="G14199" s="2890">
        <v>70.955437534597422</v>
      </c>
    </row>
    <row r="14200" spans="2:7" ht="15" hidden="1" outlineLevel="2">
      <c r="B14200" s="2889" t="s">
        <v>1649</v>
      </c>
      <c r="C14200" s="2889" t="s">
        <v>1416</v>
      </c>
      <c r="D14200" s="2889" t="s">
        <v>197</v>
      </c>
      <c r="E14200" s="2889" t="s">
        <v>217</v>
      </c>
      <c r="F14200" s="2890">
        <v>1.172885058721109E-2</v>
      </c>
      <c r="G14200" s="2890">
        <v>15.43726916626974</v>
      </c>
    </row>
    <row r="14201" spans="2:7" ht="15" hidden="1" outlineLevel="2">
      <c r="B14201" s="2889" t="s">
        <v>1649</v>
      </c>
      <c r="C14201" s="2889" t="s">
        <v>1417</v>
      </c>
      <c r="D14201" s="2889" t="s">
        <v>197</v>
      </c>
      <c r="E14201" s="2889" t="s">
        <v>217</v>
      </c>
      <c r="F14201" s="2890">
        <v>1.7457624912638796E-2</v>
      </c>
      <c r="G14201" s="2890">
        <v>22.353118224096185</v>
      </c>
    </row>
    <row r="14202" spans="2:7" ht="15" hidden="1" outlineLevel="2">
      <c r="B14202" s="2889" t="s">
        <v>1649</v>
      </c>
      <c r="C14202" s="2889" t="s">
        <v>1418</v>
      </c>
      <c r="D14202" s="2889" t="s">
        <v>197</v>
      </c>
      <c r="E14202" s="2889" t="s">
        <v>217</v>
      </c>
      <c r="F14202" s="2890">
        <v>3.5000728076189165E-3</v>
      </c>
      <c r="G14202" s="2890">
        <v>24.797311481424781</v>
      </c>
    </row>
    <row r="14203" spans="2:7" ht="15" hidden="1" outlineLevel="2">
      <c r="B14203" s="2889" t="s">
        <v>1649</v>
      </c>
      <c r="C14203" s="2889" t="s">
        <v>1419</v>
      </c>
      <c r="D14203" s="2889" t="s">
        <v>197</v>
      </c>
      <c r="E14203" s="2889" t="s">
        <v>1420</v>
      </c>
      <c r="F14203" s="2890">
        <v>8.5413733794647472E-5</v>
      </c>
      <c r="G14203" s="2890">
        <v>0.13571859051337171</v>
      </c>
    </row>
    <row r="14204" spans="2:7" ht="15" hidden="1" outlineLevel="2">
      <c r="B14204" s="2889" t="s">
        <v>1649</v>
      </c>
      <c r="C14204" s="2889" t="s">
        <v>1421</v>
      </c>
      <c r="D14204" s="2889" t="s">
        <v>197</v>
      </c>
      <c r="E14204" s="2889" t="s">
        <v>1420</v>
      </c>
      <c r="F14204" s="2890">
        <v>1.7526742416485278E-5</v>
      </c>
      <c r="G14204" s="2890">
        <v>0.18471137064050053</v>
      </c>
    </row>
    <row r="14205" spans="2:7" ht="15" hidden="1" outlineLevel="2">
      <c r="B14205" s="2889" t="s">
        <v>1649</v>
      </c>
      <c r="C14205" s="2889" t="s">
        <v>1422</v>
      </c>
      <c r="D14205" s="2889" t="s">
        <v>197</v>
      </c>
      <c r="E14205" s="2889" t="s">
        <v>1423</v>
      </c>
      <c r="F14205" s="2890">
        <v>3.4191745537725774E-3</v>
      </c>
      <c r="G14205" s="2890">
        <v>3.5851449410055768E-2</v>
      </c>
    </row>
    <row r="14206" spans="2:7" ht="15" hidden="1" outlineLevel="2">
      <c r="B14206" s="2889" t="s">
        <v>1649</v>
      </c>
      <c r="C14206" s="2889" t="s">
        <v>1424</v>
      </c>
      <c r="D14206" s="2889" t="s">
        <v>197</v>
      </c>
      <c r="E14206" s="2889" t="s">
        <v>1423</v>
      </c>
      <c r="F14206" s="2890">
        <v>1.0852692042733196E-3</v>
      </c>
      <c r="G14206" s="2890">
        <v>1.1376103977405802E-2</v>
      </c>
    </row>
    <row r="14207" spans="2:7" ht="15" hidden="1" outlineLevel="2">
      <c r="B14207" s="2889" t="s">
        <v>1649</v>
      </c>
      <c r="C14207" s="2889" t="s">
        <v>1425</v>
      </c>
      <c r="D14207" s="2889" t="s">
        <v>197</v>
      </c>
      <c r="E14207" s="2889" t="s">
        <v>1426</v>
      </c>
      <c r="F14207" s="2891"/>
      <c r="G14207" s="2890">
        <v>0.26512378526951963</v>
      </c>
    </row>
    <row r="14208" spans="2:7" ht="15" hidden="1" outlineLevel="2">
      <c r="B14208" s="2889" t="s">
        <v>1649</v>
      </c>
      <c r="C14208" s="2889" t="s">
        <v>1427</v>
      </c>
      <c r="D14208" s="2889" t="s">
        <v>197</v>
      </c>
      <c r="E14208" s="2889" t="s">
        <v>1426</v>
      </c>
      <c r="F14208" s="2891"/>
      <c r="G14208" s="2890">
        <v>11461.935152314667</v>
      </c>
    </row>
    <row r="14209" spans="2:7" ht="15" hidden="1" outlineLevel="2">
      <c r="B14209" s="2889" t="s">
        <v>1649</v>
      </c>
      <c r="C14209" s="2889" t="s">
        <v>1428</v>
      </c>
      <c r="D14209" s="2889" t="s">
        <v>197</v>
      </c>
      <c r="E14209" s="2889" t="s">
        <v>1426</v>
      </c>
      <c r="F14209" s="2891"/>
      <c r="G14209" s="2890">
        <v>1028.4853386226332</v>
      </c>
    </row>
    <row r="14210" spans="2:7" ht="15" hidden="1" outlineLevel="2">
      <c r="B14210" s="2889" t="s">
        <v>1649</v>
      </c>
      <c r="C14210" s="2889" t="s">
        <v>1429</v>
      </c>
      <c r="D14210" s="2889" t="s">
        <v>197</v>
      </c>
      <c r="E14210" s="2889" t="s">
        <v>1426</v>
      </c>
      <c r="F14210" s="2891"/>
      <c r="G14210" s="2890">
        <v>5.7169746698979962</v>
      </c>
    </row>
    <row r="14211" spans="2:7" ht="15" hidden="1" outlineLevel="2">
      <c r="B14211" s="2889" t="s">
        <v>1649</v>
      </c>
      <c r="C14211" s="2889" t="s">
        <v>1430</v>
      </c>
      <c r="D14211" s="2889" t="s">
        <v>197</v>
      </c>
      <c r="E14211" s="2889" t="s">
        <v>1426</v>
      </c>
      <c r="F14211" s="2891"/>
      <c r="G14211" s="2890">
        <v>1.1734009836068384</v>
      </c>
    </row>
    <row r="14212" spans="2:7" ht="15" hidden="1" outlineLevel="2">
      <c r="B14212" s="2889" t="s">
        <v>1649</v>
      </c>
      <c r="C14212" s="2889" t="s">
        <v>1431</v>
      </c>
      <c r="D14212" s="2889" t="s">
        <v>197</v>
      </c>
      <c r="E14212" s="2889" t="s">
        <v>1426</v>
      </c>
      <c r="F14212" s="2891"/>
      <c r="G14212" s="2890">
        <v>87.306026459601966</v>
      </c>
    </row>
    <row r="14213" spans="2:7" ht="15" hidden="1" outlineLevel="2">
      <c r="B14213" s="2889" t="s">
        <v>1649</v>
      </c>
      <c r="C14213" s="2889" t="s">
        <v>1432</v>
      </c>
      <c r="D14213" s="2889" t="s">
        <v>197</v>
      </c>
      <c r="E14213" s="2889" t="s">
        <v>1426</v>
      </c>
      <c r="F14213" s="2891"/>
      <c r="G14213" s="2890">
        <v>0.21866965126155821</v>
      </c>
    </row>
    <row r="14214" spans="2:7" ht="15" hidden="1" outlineLevel="2">
      <c r="B14214" s="2889" t="s">
        <v>1649</v>
      </c>
      <c r="C14214" s="2889" t="s">
        <v>1433</v>
      </c>
      <c r="D14214" s="2889" t="s">
        <v>197</v>
      </c>
      <c r="E14214" s="2889" t="s">
        <v>1426</v>
      </c>
      <c r="F14214" s="2891"/>
      <c r="G14214" s="2890">
        <v>80.694650593849516</v>
      </c>
    </row>
    <row r="14215" spans="2:7" ht="15" hidden="1" outlineLevel="2">
      <c r="B14215" s="2889" t="s">
        <v>1649</v>
      </c>
      <c r="C14215" s="2889" t="s">
        <v>1434</v>
      </c>
      <c r="D14215" s="2889" t="s">
        <v>197</v>
      </c>
      <c r="E14215" s="2889" t="s">
        <v>1426</v>
      </c>
      <c r="F14215" s="2891"/>
      <c r="G14215" s="2890">
        <v>224.14857071263691</v>
      </c>
    </row>
    <row r="14216" spans="2:7" ht="15" hidden="1" outlineLevel="2">
      <c r="B14216" s="2889" t="s">
        <v>1649</v>
      </c>
      <c r="C14216" s="2889" t="s">
        <v>1435</v>
      </c>
      <c r="D14216" s="2889" t="s">
        <v>197</v>
      </c>
      <c r="E14216" s="2889" t="s">
        <v>1426</v>
      </c>
      <c r="F14216" s="2891"/>
      <c r="G14216" s="2890">
        <v>164.79280336456816</v>
      </c>
    </row>
    <row r="14217" spans="2:7" ht="15" hidden="1" outlineLevel="2">
      <c r="B14217" s="2889" t="s">
        <v>1649</v>
      </c>
      <c r="C14217" s="2889" t="s">
        <v>1436</v>
      </c>
      <c r="D14217" s="2889" t="s">
        <v>1437</v>
      </c>
      <c r="E14217" s="2889" t="s">
        <v>217</v>
      </c>
      <c r="F14217" s="2890">
        <v>8.8858917893321879E-5</v>
      </c>
      <c r="G14217" s="2890">
        <v>0.25953448303135218</v>
      </c>
    </row>
    <row r="14218" spans="2:7" ht="15" hidden="1" outlineLevel="2">
      <c r="B14218" s="2889" t="s">
        <v>1649</v>
      </c>
      <c r="C14218" s="2889" t="s">
        <v>1438</v>
      </c>
      <c r="D14218" s="2889" t="s">
        <v>1437</v>
      </c>
      <c r="E14218" s="2889" t="s">
        <v>1420</v>
      </c>
      <c r="F14218" s="2890">
        <v>2.581873384638362E-5</v>
      </c>
      <c r="G14218" s="2890">
        <v>0.23721979531086068</v>
      </c>
    </row>
    <row r="14219" spans="2:7" ht="15" hidden="1" outlineLevel="2">
      <c r="B14219" s="2889" t="s">
        <v>1649</v>
      </c>
      <c r="C14219" s="2889" t="s">
        <v>1439</v>
      </c>
      <c r="D14219" s="2889" t="s">
        <v>1437</v>
      </c>
      <c r="E14219" s="2889" t="s">
        <v>1426</v>
      </c>
      <c r="F14219" s="2891"/>
      <c r="G14219" s="2890">
        <v>16.312053089128646</v>
      </c>
    </row>
    <row r="14220" spans="2:7" ht="15" hidden="1" outlineLevel="2">
      <c r="B14220" s="2889" t="s">
        <v>1649</v>
      </c>
      <c r="C14220" s="2889" t="s">
        <v>1440</v>
      </c>
      <c r="D14220" s="2889" t="s">
        <v>1105</v>
      </c>
      <c r="E14220" s="2889" t="s">
        <v>217</v>
      </c>
      <c r="F14220" s="2890">
        <v>7.5970688631559558E-3</v>
      </c>
      <c r="G14220" s="2890">
        <v>3.7645429265481249</v>
      </c>
    </row>
    <row r="14221" spans="2:7" ht="15" hidden="1" outlineLevel="2">
      <c r="B14221" s="2889" t="s">
        <v>1649</v>
      </c>
      <c r="C14221" s="2889" t="s">
        <v>1441</v>
      </c>
      <c r="D14221" s="2889" t="s">
        <v>1105</v>
      </c>
      <c r="E14221" s="2889" t="s">
        <v>217</v>
      </c>
      <c r="F14221" s="2890">
        <v>4.8544889193414494E-2</v>
      </c>
      <c r="G14221" s="2890">
        <v>25.115830670688506</v>
      </c>
    </row>
    <row r="14222" spans="2:7" ht="15" hidden="1" outlineLevel="2">
      <c r="B14222" s="2889" t="s">
        <v>1649</v>
      </c>
      <c r="C14222" s="2889" t="s">
        <v>1442</v>
      </c>
      <c r="D14222" s="2889" t="s">
        <v>1105</v>
      </c>
      <c r="E14222" s="2889" t="s">
        <v>217</v>
      </c>
      <c r="F14222" s="2890">
        <v>2.1608890714879187E-5</v>
      </c>
      <c r="G14222" s="2890">
        <v>9.68640521879407E-3</v>
      </c>
    </row>
    <row r="14223" spans="2:7" ht="15" hidden="1" outlineLevel="2">
      <c r="B14223" s="2889" t="s">
        <v>1649</v>
      </c>
      <c r="C14223" s="2889" t="s">
        <v>1443</v>
      </c>
      <c r="D14223" s="2889" t="s">
        <v>1105</v>
      </c>
      <c r="E14223" s="2889" t="s">
        <v>217</v>
      </c>
      <c r="F14223" s="2890">
        <v>3.4001177154185567E-4</v>
      </c>
      <c r="G14223" s="2890">
        <v>0.15241382156540048</v>
      </c>
    </row>
    <row r="14224" spans="2:7" ht="15" hidden="1" outlineLevel="2">
      <c r="B14224" s="2889" t="s">
        <v>1649</v>
      </c>
      <c r="C14224" s="2889" t="s">
        <v>1444</v>
      </c>
      <c r="D14224" s="2889" t="s">
        <v>1105</v>
      </c>
      <c r="E14224" s="2889" t="s">
        <v>217</v>
      </c>
      <c r="F14224" s="2890">
        <v>0.64063980464410519</v>
      </c>
      <c r="G14224" s="2890">
        <v>774.91198827606638</v>
      </c>
    </row>
    <row r="14225" spans="2:7" ht="15" hidden="1" outlineLevel="2">
      <c r="B14225" s="2889" t="s">
        <v>1649</v>
      </c>
      <c r="C14225" s="2889" t="s">
        <v>1445</v>
      </c>
      <c r="D14225" s="2889" t="s">
        <v>1105</v>
      </c>
      <c r="E14225" s="2889" t="s">
        <v>217</v>
      </c>
      <c r="F14225" s="2890">
        <v>0.13790525199731937</v>
      </c>
      <c r="G14225" s="2890">
        <v>193.91405372997039</v>
      </c>
    </row>
    <row r="14226" spans="2:7" ht="15" hidden="1" outlineLevel="2">
      <c r="B14226" s="2889" t="s">
        <v>1649</v>
      </c>
      <c r="C14226" s="2889" t="s">
        <v>1446</v>
      </c>
      <c r="D14226" s="2889" t="s">
        <v>1105</v>
      </c>
      <c r="E14226" s="2889" t="s">
        <v>217</v>
      </c>
      <c r="F14226" s="2890">
        <v>6.3658728113471078E-2</v>
      </c>
      <c r="G14226" s="2890">
        <v>102.83117428343876</v>
      </c>
    </row>
    <row r="14227" spans="2:7" ht="15" hidden="1" outlineLevel="2">
      <c r="B14227" s="2889" t="s">
        <v>1649</v>
      </c>
      <c r="C14227" s="2889" t="s">
        <v>1447</v>
      </c>
      <c r="D14227" s="2889" t="s">
        <v>1105</v>
      </c>
      <c r="E14227" s="2889" t="s">
        <v>217</v>
      </c>
      <c r="F14227" s="2890">
        <v>0.14668078929074529</v>
      </c>
      <c r="G14227" s="2890">
        <v>220.63834412112848</v>
      </c>
    </row>
    <row r="14228" spans="2:7" ht="15" hidden="1" outlineLevel="2">
      <c r="B14228" s="2889" t="s">
        <v>1649</v>
      </c>
      <c r="C14228" s="2889" t="s">
        <v>1448</v>
      </c>
      <c r="D14228" s="2889" t="s">
        <v>1105</v>
      </c>
      <c r="E14228" s="2889" t="s">
        <v>217</v>
      </c>
      <c r="F14228" s="2890">
        <v>0.2770173420855857</v>
      </c>
      <c r="G14228" s="2890">
        <v>347.59643894986755</v>
      </c>
    </row>
    <row r="14229" spans="2:7" ht="15" hidden="1" outlineLevel="2">
      <c r="B14229" s="2889" t="s">
        <v>1649</v>
      </c>
      <c r="C14229" s="2889" t="s">
        <v>1449</v>
      </c>
      <c r="D14229" s="2889" t="s">
        <v>1105</v>
      </c>
      <c r="E14229" s="2889" t="s">
        <v>217</v>
      </c>
      <c r="F14229" s="2890">
        <v>1.1793231427693214E-2</v>
      </c>
      <c r="G14229" s="2890">
        <v>16.349008527257443</v>
      </c>
    </row>
    <row r="14230" spans="2:7" ht="15" hidden="1" outlineLevel="2">
      <c r="B14230" s="2889" t="s">
        <v>1649</v>
      </c>
      <c r="C14230" s="2889" t="s">
        <v>1450</v>
      </c>
      <c r="D14230" s="2889" t="s">
        <v>1105</v>
      </c>
      <c r="E14230" s="2889" t="s">
        <v>1420</v>
      </c>
      <c r="F14230" s="2890">
        <v>3.7503867800615341E-2</v>
      </c>
      <c r="G14230" s="2890">
        <v>103.10582481057411</v>
      </c>
    </row>
    <row r="14231" spans="2:7" ht="15" hidden="1" outlineLevel="2">
      <c r="B14231" s="2889" t="s">
        <v>1649</v>
      </c>
      <c r="C14231" s="2889" t="s">
        <v>1451</v>
      </c>
      <c r="D14231" s="2889" t="s">
        <v>1105</v>
      </c>
      <c r="E14231" s="2889" t="s">
        <v>1420</v>
      </c>
      <c r="F14231" s="2890">
        <v>5.4451602495098712E-3</v>
      </c>
      <c r="G14231" s="2890">
        <v>22.965261052412146</v>
      </c>
    </row>
    <row r="14232" spans="2:7" ht="15" hidden="1" outlineLevel="2">
      <c r="B14232" s="2889" t="s">
        <v>1649</v>
      </c>
      <c r="C14232" s="2889" t="s">
        <v>1452</v>
      </c>
      <c r="D14232" s="2889" t="s">
        <v>1105</v>
      </c>
      <c r="E14232" s="2889" t="s">
        <v>1420</v>
      </c>
      <c r="F14232" s="2890">
        <v>4.0284377748685705E-3</v>
      </c>
      <c r="G14232" s="2890">
        <v>26.919403110879923</v>
      </c>
    </row>
    <row r="14233" spans="2:7" ht="15" hidden="1" outlineLevel="2">
      <c r="B14233" s="2889" t="s">
        <v>1649</v>
      </c>
      <c r="C14233" s="2889" t="s">
        <v>1453</v>
      </c>
      <c r="D14233" s="2889" t="s">
        <v>1105</v>
      </c>
      <c r="E14233" s="2889" t="s">
        <v>1420</v>
      </c>
      <c r="F14233" s="2890">
        <v>7.0563124194715377E-3</v>
      </c>
      <c r="G14233" s="2890">
        <v>33.440652983807361</v>
      </c>
    </row>
    <row r="14234" spans="2:7" ht="15" hidden="1" outlineLevel="2">
      <c r="B14234" s="2889" t="s">
        <v>1649</v>
      </c>
      <c r="C14234" s="2889" t="s">
        <v>1454</v>
      </c>
      <c r="D14234" s="2889" t="s">
        <v>1105</v>
      </c>
      <c r="E14234" s="2889" t="s">
        <v>1420</v>
      </c>
      <c r="F14234" s="2890">
        <v>1.761922099466127E-4</v>
      </c>
      <c r="G14234" s="2890">
        <v>0.45204233599147631</v>
      </c>
    </row>
    <row r="14235" spans="2:7" ht="15" hidden="1" outlineLevel="2">
      <c r="B14235" s="2889" t="s">
        <v>1649</v>
      </c>
      <c r="C14235" s="2889" t="s">
        <v>1455</v>
      </c>
      <c r="D14235" s="2889" t="s">
        <v>1105</v>
      </c>
      <c r="E14235" s="2889" t="s">
        <v>1420</v>
      </c>
      <c r="F14235" s="2890">
        <v>5.1404283913450805E-5</v>
      </c>
      <c r="G14235" s="2890">
        <v>0.41988754857894145</v>
      </c>
    </row>
    <row r="14236" spans="2:7" ht="15" hidden="1" outlineLevel="2">
      <c r="B14236" s="2889" t="s">
        <v>1649</v>
      </c>
      <c r="C14236" s="2889" t="s">
        <v>1456</v>
      </c>
      <c r="D14236" s="2889" t="s">
        <v>1105</v>
      </c>
      <c r="E14236" s="2889" t="s">
        <v>1423</v>
      </c>
      <c r="F14236" s="2890">
        <v>0.8286253371338661</v>
      </c>
      <c r="G14236" s="2890">
        <v>23.010059382546729</v>
      </c>
    </row>
    <row r="14237" spans="2:7" ht="15" hidden="1" outlineLevel="2">
      <c r="B14237" s="2889" t="s">
        <v>1649</v>
      </c>
      <c r="C14237" s="2889" t="s">
        <v>1457</v>
      </c>
      <c r="D14237" s="2889" t="s">
        <v>1105</v>
      </c>
      <c r="E14237" s="2889" t="s">
        <v>1423</v>
      </c>
      <c r="F14237" s="2890">
        <v>3.1768328983932448E-2</v>
      </c>
      <c r="G14237" s="2890">
        <v>1.1548271877610636</v>
      </c>
    </row>
    <row r="14238" spans="2:7" ht="15" hidden="1" outlineLevel="2">
      <c r="B14238" s="2889" t="s">
        <v>1649</v>
      </c>
      <c r="C14238" s="2889" t="s">
        <v>1458</v>
      </c>
      <c r="D14238" s="2889" t="s">
        <v>1105</v>
      </c>
      <c r="E14238" s="2889" t="s">
        <v>1423</v>
      </c>
      <c r="F14238" s="2890">
        <v>2.2807327588897228E-2</v>
      </c>
      <c r="G14238" s="2890">
        <v>1.5996316381951805</v>
      </c>
    </row>
    <row r="14239" spans="2:7" ht="15" hidden="1" outlineLevel="2">
      <c r="B14239" s="2889" t="s">
        <v>1649</v>
      </c>
      <c r="C14239" s="2889" t="s">
        <v>1459</v>
      </c>
      <c r="D14239" s="2889" t="s">
        <v>1105</v>
      </c>
      <c r="E14239" s="2889" t="s">
        <v>1423</v>
      </c>
      <c r="F14239" s="2890">
        <v>0.26719934941387496</v>
      </c>
      <c r="G14239" s="2890">
        <v>55.915601097845638</v>
      </c>
    </row>
    <row r="14240" spans="2:7" ht="15" hidden="1" outlineLevel="2">
      <c r="B14240" s="2889" t="s">
        <v>1649</v>
      </c>
      <c r="C14240" s="2889" t="s">
        <v>1460</v>
      </c>
      <c r="D14240" s="2889" t="s">
        <v>1105</v>
      </c>
      <c r="E14240" s="2889" t="s">
        <v>1426</v>
      </c>
      <c r="F14240" s="2891"/>
      <c r="G14240" s="2890">
        <v>596.26772387437336</v>
      </c>
    </row>
    <row r="14241" spans="2:7" ht="15" hidden="1" outlineLevel="2">
      <c r="B14241" s="2889" t="s">
        <v>1649</v>
      </c>
      <c r="C14241" s="2889" t="s">
        <v>1461</v>
      </c>
      <c r="D14241" s="2889" t="s">
        <v>1105</v>
      </c>
      <c r="E14241" s="2889" t="s">
        <v>1426</v>
      </c>
      <c r="F14241" s="2891"/>
      <c r="G14241" s="2890">
        <v>140.68301668912616</v>
      </c>
    </row>
    <row r="14242" spans="2:7" ht="15" hidden="1" outlineLevel="2">
      <c r="B14242" s="2889" t="s">
        <v>1649</v>
      </c>
      <c r="C14242" s="2889" t="s">
        <v>1462</v>
      </c>
      <c r="D14242" s="2889" t="s">
        <v>1105</v>
      </c>
      <c r="E14242" s="2889" t="s">
        <v>1426</v>
      </c>
      <c r="F14242" s="2891"/>
      <c r="G14242" s="2890">
        <v>390.3409745847236</v>
      </c>
    </row>
    <row r="14243" spans="2:7" ht="15" hidden="1" outlineLevel="2">
      <c r="B14243" s="2889" t="s">
        <v>1649</v>
      </c>
      <c r="C14243" s="2889" t="s">
        <v>1463</v>
      </c>
      <c r="D14243" s="2889" t="s">
        <v>1105</v>
      </c>
      <c r="E14243" s="2889" t="s">
        <v>1426</v>
      </c>
      <c r="F14243" s="2891"/>
      <c r="G14243" s="2890">
        <v>198.20246063453419</v>
      </c>
    </row>
    <row r="14244" spans="2:7" ht="15" hidden="1" outlineLevel="2">
      <c r="B14244" s="2889" t="s">
        <v>1649</v>
      </c>
      <c r="C14244" s="2889" t="s">
        <v>1464</v>
      </c>
      <c r="D14244" s="2889" t="s">
        <v>1105</v>
      </c>
      <c r="E14244" s="2889" t="s">
        <v>1426</v>
      </c>
      <c r="F14244" s="2891"/>
      <c r="G14244" s="2890">
        <v>19.040566633437617</v>
      </c>
    </row>
    <row r="14245" spans="2:7" ht="15" hidden="1" outlineLevel="2">
      <c r="B14245" s="2889" t="s">
        <v>1649</v>
      </c>
      <c r="C14245" s="2889" t="s">
        <v>1465</v>
      </c>
      <c r="D14245" s="2889" t="s">
        <v>1105</v>
      </c>
      <c r="E14245" s="2889" t="s">
        <v>1426</v>
      </c>
      <c r="F14245" s="2891"/>
      <c r="G14245" s="2890">
        <v>16.893296173503671</v>
      </c>
    </row>
    <row r="14246" spans="2:7" ht="15" hidden="1" outlineLevel="2">
      <c r="B14246" s="2889" t="s">
        <v>1649</v>
      </c>
      <c r="C14246" s="2889" t="s">
        <v>1466</v>
      </c>
      <c r="D14246" s="2889" t="s">
        <v>1054</v>
      </c>
      <c r="E14246" s="2889" t="s">
        <v>217</v>
      </c>
      <c r="F14246" s="2890">
        <v>1.407748781196686E-2</v>
      </c>
      <c r="G14246" s="2890">
        <v>8.6797465434181333</v>
      </c>
    </row>
    <row r="14247" spans="2:7" ht="15" hidden="1" outlineLevel="2">
      <c r="B14247" s="2889" t="s">
        <v>1649</v>
      </c>
      <c r="C14247" s="2889" t="s">
        <v>1467</v>
      </c>
      <c r="D14247" s="2889" t="s">
        <v>1054</v>
      </c>
      <c r="E14247" s="2889" t="s">
        <v>217</v>
      </c>
      <c r="F14247" s="2890">
        <v>1.163414060314573E-3</v>
      </c>
      <c r="G14247" s="2890">
        <v>0.56294819605911628</v>
      </c>
    </row>
    <row r="14248" spans="2:7" ht="15" hidden="1" outlineLevel="2">
      <c r="B14248" s="2889" t="s">
        <v>1649</v>
      </c>
      <c r="C14248" s="2889" t="s">
        <v>1468</v>
      </c>
      <c r="D14248" s="2889" t="s">
        <v>1054</v>
      </c>
      <c r="E14248" s="2889" t="s">
        <v>217</v>
      </c>
      <c r="F14248" s="2890">
        <v>1.4089290509412425E-3</v>
      </c>
      <c r="G14248" s="2890">
        <v>0.67297192237005377</v>
      </c>
    </row>
    <row r="14249" spans="2:7" ht="15" hidden="1" outlineLevel="2">
      <c r="B14249" s="2889" t="s">
        <v>1649</v>
      </c>
      <c r="C14249" s="2889" t="s">
        <v>1469</v>
      </c>
      <c r="D14249" s="2889" t="s">
        <v>1054</v>
      </c>
      <c r="E14249" s="2889" t="s">
        <v>217</v>
      </c>
      <c r="F14249" s="2890">
        <v>1.124281993332198E-5</v>
      </c>
      <c r="G14249" s="2890">
        <v>5.039561500320474E-3</v>
      </c>
    </row>
    <row r="14250" spans="2:7" ht="15" hidden="1" outlineLevel="2">
      <c r="B14250" s="2889" t="s">
        <v>1649</v>
      </c>
      <c r="C14250" s="2889" t="s">
        <v>1470</v>
      </c>
      <c r="D14250" s="2889" t="s">
        <v>1054</v>
      </c>
      <c r="E14250" s="2889" t="s">
        <v>217</v>
      </c>
      <c r="F14250" s="2890">
        <v>4.0106211622939827E-2</v>
      </c>
      <c r="G14250" s="2890">
        <v>22.429817391236504</v>
      </c>
    </row>
    <row r="14251" spans="2:7" ht="15" hidden="1" outlineLevel="2">
      <c r="B14251" s="2889" t="s">
        <v>1649</v>
      </c>
      <c r="C14251" s="2889" t="s">
        <v>1471</v>
      </c>
      <c r="D14251" s="2889" t="s">
        <v>1054</v>
      </c>
      <c r="E14251" s="2889" t="s">
        <v>217</v>
      </c>
      <c r="F14251" s="2890">
        <v>2.9275416914162345E-4</v>
      </c>
      <c r="G14251" s="2890">
        <v>0.13122619612968106</v>
      </c>
    </row>
    <row r="14252" spans="2:7" ht="15" hidden="1" outlineLevel="2">
      <c r="B14252" s="2889" t="s">
        <v>1649</v>
      </c>
      <c r="C14252" s="2889" t="s">
        <v>1472</v>
      </c>
      <c r="D14252" s="2889" t="s">
        <v>1054</v>
      </c>
      <c r="E14252" s="2889" t="s">
        <v>217</v>
      </c>
      <c r="F14252" s="2890">
        <v>4.9476486461192898E-3</v>
      </c>
      <c r="G14252" s="2890">
        <v>7.7161203438351986</v>
      </c>
    </row>
    <row r="14253" spans="2:7" ht="15" hidden="1" outlineLevel="2">
      <c r="B14253" s="2889" t="s">
        <v>1649</v>
      </c>
      <c r="C14253" s="2889" t="s">
        <v>1473</v>
      </c>
      <c r="D14253" s="2889" t="s">
        <v>1054</v>
      </c>
      <c r="E14253" s="2889" t="s">
        <v>217</v>
      </c>
      <c r="F14253" s="2890">
        <v>4.3821461696402239E-5</v>
      </c>
      <c r="G14253" s="2890">
        <v>5.7020127269528313E-2</v>
      </c>
    </row>
    <row r="14254" spans="2:7" ht="15" hidden="1" outlineLevel="2">
      <c r="B14254" s="2889" t="s">
        <v>1649</v>
      </c>
      <c r="C14254" s="2889" t="s">
        <v>1474</v>
      </c>
      <c r="D14254" s="2889" t="s">
        <v>1054</v>
      </c>
      <c r="E14254" s="2889" t="s">
        <v>217</v>
      </c>
      <c r="F14254" s="2890">
        <v>1.2054168421194248E-2</v>
      </c>
      <c r="G14254" s="2890">
        <v>14.439152899239401</v>
      </c>
    </row>
    <row r="14255" spans="2:7" ht="15" hidden="1" outlineLevel="2">
      <c r="B14255" s="2889" t="s">
        <v>1649</v>
      </c>
      <c r="C14255" s="2889" t="s">
        <v>1475</v>
      </c>
      <c r="D14255" s="2889" t="s">
        <v>1054</v>
      </c>
      <c r="E14255" s="2889" t="s">
        <v>217</v>
      </c>
      <c r="F14255" s="2890">
        <v>8.6345473829895283E-3</v>
      </c>
      <c r="G14255" s="2890">
        <v>13.644118682759089</v>
      </c>
    </row>
    <row r="14256" spans="2:7" ht="15" hidden="1" outlineLevel="2">
      <c r="B14256" s="2889" t="s">
        <v>1649</v>
      </c>
      <c r="C14256" s="2889" t="s">
        <v>1476</v>
      </c>
      <c r="D14256" s="2889" t="s">
        <v>1054</v>
      </c>
      <c r="E14256" s="2889" t="s">
        <v>217</v>
      </c>
      <c r="F14256" s="2890">
        <v>2.1259783682195083E-2</v>
      </c>
      <c r="G14256" s="2890">
        <v>27.156396181479636</v>
      </c>
    </row>
    <row r="14257" spans="2:7" ht="15" hidden="1" outlineLevel="2">
      <c r="B14257" s="2889" t="s">
        <v>1649</v>
      </c>
      <c r="C14257" s="2889" t="s">
        <v>1477</v>
      </c>
      <c r="D14257" s="2889" t="s">
        <v>1054</v>
      </c>
      <c r="E14257" s="2889" t="s">
        <v>217</v>
      </c>
      <c r="F14257" s="2890">
        <v>8.3155711399357565E-3</v>
      </c>
      <c r="G14257" s="2890">
        <v>11.451855559446015</v>
      </c>
    </row>
    <row r="14258" spans="2:7" ht="15" hidden="1" outlineLevel="2">
      <c r="B14258" s="2889" t="s">
        <v>1649</v>
      </c>
      <c r="C14258" s="2889" t="s">
        <v>1478</v>
      </c>
      <c r="D14258" s="2889" t="s">
        <v>1054</v>
      </c>
      <c r="E14258" s="2889" t="s">
        <v>217</v>
      </c>
      <c r="F14258" s="2890">
        <v>4.4812313000956261E-4</v>
      </c>
      <c r="G14258" s="2890">
        <v>0.59457254806912563</v>
      </c>
    </row>
    <row r="14259" spans="2:7" ht="15" hidden="1" outlineLevel="2">
      <c r="B14259" s="2889" t="s">
        <v>1649</v>
      </c>
      <c r="C14259" s="2889" t="s">
        <v>1479</v>
      </c>
      <c r="D14259" s="2889" t="s">
        <v>1054</v>
      </c>
      <c r="E14259" s="2889" t="s">
        <v>217</v>
      </c>
      <c r="F14259" s="2890">
        <v>1.5846574765203243E-2</v>
      </c>
      <c r="G14259" s="2890">
        <v>23.974167065215767</v>
      </c>
    </row>
    <row r="14260" spans="2:7" ht="15" hidden="1" outlineLevel="2">
      <c r="B14260" s="2889" t="s">
        <v>1649</v>
      </c>
      <c r="C14260" s="2889" t="s">
        <v>1480</v>
      </c>
      <c r="D14260" s="2889" t="s">
        <v>1054</v>
      </c>
      <c r="E14260" s="2889" t="s">
        <v>217</v>
      </c>
      <c r="F14260" s="2890">
        <v>7.1351590296876381E-3</v>
      </c>
      <c r="G14260" s="2890">
        <v>8.2570846031404521</v>
      </c>
    </row>
    <row r="14261" spans="2:7" ht="15" hidden="1" outlineLevel="2">
      <c r="B14261" s="2889" t="s">
        <v>1649</v>
      </c>
      <c r="C14261" s="2889" t="s">
        <v>1481</v>
      </c>
      <c r="D14261" s="2889" t="s">
        <v>1054</v>
      </c>
      <c r="E14261" s="2889" t="s">
        <v>217</v>
      </c>
      <c r="F14261" s="2890">
        <v>3.5297288451012966E-2</v>
      </c>
      <c r="G14261" s="2890">
        <v>49.933434798063104</v>
      </c>
    </row>
    <row r="14262" spans="2:7" ht="15" hidden="1" outlineLevel="2">
      <c r="B14262" s="2889" t="s">
        <v>1649</v>
      </c>
      <c r="C14262" s="2889" t="s">
        <v>1482</v>
      </c>
      <c r="D14262" s="2889" t="s">
        <v>1054</v>
      </c>
      <c r="E14262" s="2889" t="s">
        <v>217</v>
      </c>
      <c r="F14262" s="2890">
        <v>2.3788278695837134E-2</v>
      </c>
      <c r="G14262" s="2890">
        <v>23.920730532378489</v>
      </c>
    </row>
    <row r="14263" spans="2:7" ht="15" hidden="1" outlineLevel="2">
      <c r="B14263" s="2889" t="s">
        <v>1649</v>
      </c>
      <c r="C14263" s="2889" t="s">
        <v>1483</v>
      </c>
      <c r="D14263" s="2889" t="s">
        <v>1054</v>
      </c>
      <c r="E14263" s="2889" t="s">
        <v>217</v>
      </c>
      <c r="F14263" s="2890">
        <v>1.1315211996235726E-3</v>
      </c>
      <c r="G14263" s="2890">
        <v>1.9068587562907453</v>
      </c>
    </row>
    <row r="14264" spans="2:7" ht="15" hidden="1" outlineLevel="2">
      <c r="B14264" s="2889" t="s">
        <v>1649</v>
      </c>
      <c r="C14264" s="2889" t="s">
        <v>1484</v>
      </c>
      <c r="D14264" s="2889" t="s">
        <v>1054</v>
      </c>
      <c r="E14264" s="2889" t="s">
        <v>217</v>
      </c>
      <c r="F14264" s="2890">
        <v>2.2987132387022593E-3</v>
      </c>
      <c r="G14264" s="2890">
        <v>3.2333434839988184</v>
      </c>
    </row>
    <row r="14265" spans="2:7" ht="15" hidden="1" outlineLevel="2">
      <c r="B14265" s="2889" t="s">
        <v>1649</v>
      </c>
      <c r="C14265" s="2889" t="s">
        <v>1485</v>
      </c>
      <c r="D14265" s="2889" t="s">
        <v>1054</v>
      </c>
      <c r="E14265" s="2889" t="s">
        <v>217</v>
      </c>
      <c r="F14265" s="2890">
        <v>1.0222059355994369E-3</v>
      </c>
      <c r="G14265" s="2890">
        <v>2.8973670992681391</v>
      </c>
    </row>
    <row r="14266" spans="2:7" ht="15" hidden="1" outlineLevel="2">
      <c r="B14266" s="2889" t="s">
        <v>1649</v>
      </c>
      <c r="C14266" s="2889" t="s">
        <v>1486</v>
      </c>
      <c r="D14266" s="2889" t="s">
        <v>1054</v>
      </c>
      <c r="E14266" s="2889" t="s">
        <v>217</v>
      </c>
      <c r="F14266" s="2890">
        <v>1.1904390296498379E-3</v>
      </c>
      <c r="G14266" s="2890">
        <v>6.920189291243978</v>
      </c>
    </row>
    <row r="14267" spans="2:7" ht="15" hidden="1" outlineLevel="2">
      <c r="B14267" s="2889" t="s">
        <v>1649</v>
      </c>
      <c r="C14267" s="2889" t="s">
        <v>1487</v>
      </c>
      <c r="D14267" s="2889" t="s">
        <v>1054</v>
      </c>
      <c r="E14267" s="2889" t="s">
        <v>217</v>
      </c>
      <c r="F14267" s="2890">
        <v>1.1253595675030153E-2</v>
      </c>
      <c r="G14267" s="2890">
        <v>16.399063992205154</v>
      </c>
    </row>
    <row r="14268" spans="2:7" ht="15" hidden="1" outlineLevel="2">
      <c r="B14268" s="2889" t="s">
        <v>1649</v>
      </c>
      <c r="C14268" s="2889" t="s">
        <v>1488</v>
      </c>
      <c r="D14268" s="2889" t="s">
        <v>1054</v>
      </c>
      <c r="E14268" s="2889" t="s">
        <v>217</v>
      </c>
      <c r="F14268" s="2890">
        <v>6.9840520178042417E-3</v>
      </c>
      <c r="G14268" s="2890">
        <v>11.25488556841451</v>
      </c>
    </row>
    <row r="14269" spans="2:7" ht="15" hidden="1" outlineLevel="2">
      <c r="B14269" s="2889" t="s">
        <v>1649</v>
      </c>
      <c r="C14269" s="2889" t="s">
        <v>1489</v>
      </c>
      <c r="D14269" s="2889" t="s">
        <v>1054</v>
      </c>
      <c r="E14269" s="2889" t="s">
        <v>217</v>
      </c>
      <c r="F14269" s="2890">
        <v>3.5151675075415266E-3</v>
      </c>
      <c r="G14269" s="2890">
        <v>3.7083852876024226</v>
      </c>
    </row>
    <row r="14270" spans="2:7" ht="15" hidden="1" outlineLevel="2">
      <c r="B14270" s="2889" t="s">
        <v>1649</v>
      </c>
      <c r="C14270" s="2889" t="s">
        <v>1490</v>
      </c>
      <c r="D14270" s="2889" t="s">
        <v>1054</v>
      </c>
      <c r="E14270" s="2889" t="s">
        <v>217</v>
      </c>
      <c r="F14270" s="2890">
        <v>1.6414933486810191E-3</v>
      </c>
      <c r="G14270" s="2890">
        <v>2.6197204352138903</v>
      </c>
    </row>
    <row r="14271" spans="2:7" ht="15" hidden="1" outlineLevel="2">
      <c r="B14271" s="2889" t="s">
        <v>1649</v>
      </c>
      <c r="C14271" s="2889" t="s">
        <v>1491</v>
      </c>
      <c r="D14271" s="2889" t="s">
        <v>1054</v>
      </c>
      <c r="E14271" s="2889" t="s">
        <v>1420</v>
      </c>
      <c r="F14271" s="2890">
        <v>3.133916607174495E-4</v>
      </c>
      <c r="G14271" s="2890">
        <v>1.4838503703926957</v>
      </c>
    </row>
    <row r="14272" spans="2:7" ht="15" hidden="1" outlineLevel="2">
      <c r="B14272" s="2889" t="s">
        <v>1649</v>
      </c>
      <c r="C14272" s="2889" t="s">
        <v>1492</v>
      </c>
      <c r="D14272" s="2889" t="s">
        <v>1054</v>
      </c>
      <c r="E14272" s="2889" t="s">
        <v>1420</v>
      </c>
      <c r="F14272" s="2890">
        <v>2.3296528139548684E-4</v>
      </c>
      <c r="G14272" s="2890">
        <v>2.4901807224240695</v>
      </c>
    </row>
    <row r="14273" spans="2:7" ht="15" hidden="1" outlineLevel="2">
      <c r="B14273" s="2889" t="s">
        <v>1649</v>
      </c>
      <c r="C14273" s="2889" t="s">
        <v>1493</v>
      </c>
      <c r="D14273" s="2889" t="s">
        <v>1054</v>
      </c>
      <c r="E14273" s="2889" t="s">
        <v>1420</v>
      </c>
      <c r="F14273" s="2890">
        <v>1.7250681264537352E-4</v>
      </c>
      <c r="G14273" s="2890">
        <v>0.41195053288000055</v>
      </c>
    </row>
    <row r="14274" spans="2:7" ht="15" hidden="1" outlineLevel="2">
      <c r="B14274" s="2889" t="s">
        <v>1649</v>
      </c>
      <c r="C14274" s="2889" t="s">
        <v>1494</v>
      </c>
      <c r="D14274" s="2889" t="s">
        <v>1054</v>
      </c>
      <c r="E14274" s="2889" t="s">
        <v>1420</v>
      </c>
      <c r="F14274" s="2890">
        <v>4.7038911916732481E-5</v>
      </c>
      <c r="G14274" s="2890">
        <v>0.25813735633087181</v>
      </c>
    </row>
    <row r="14275" spans="2:7" ht="15" hidden="1" outlineLevel="2">
      <c r="B14275" s="2889" t="s">
        <v>1649</v>
      </c>
      <c r="C14275" s="2889" t="s">
        <v>1495</v>
      </c>
      <c r="D14275" s="2889" t="s">
        <v>1054</v>
      </c>
      <c r="E14275" s="2889" t="s">
        <v>1420</v>
      </c>
      <c r="F14275" s="2890">
        <v>1.0179541769035736E-3</v>
      </c>
      <c r="G14275" s="2890">
        <v>4.5681591980850049</v>
      </c>
    </row>
    <row r="14276" spans="2:7" ht="15" hidden="1" outlineLevel="2">
      <c r="B14276" s="2889" t="s">
        <v>1649</v>
      </c>
      <c r="C14276" s="2889" t="s">
        <v>1496</v>
      </c>
      <c r="D14276" s="2889" t="s">
        <v>1054</v>
      </c>
      <c r="E14276" s="2889" t="s">
        <v>1420</v>
      </c>
      <c r="F14276" s="2890">
        <v>9.2351878305848786E-4</v>
      </c>
      <c r="G14276" s="2890">
        <v>1.6447999715606909</v>
      </c>
    </row>
    <row r="14277" spans="2:7" ht="15" hidden="1" outlineLevel="2">
      <c r="B14277" s="2889" t="s">
        <v>1649</v>
      </c>
      <c r="C14277" s="2889" t="s">
        <v>1497</v>
      </c>
      <c r="D14277" s="2889" t="s">
        <v>1054</v>
      </c>
      <c r="E14277" s="2889" t="s">
        <v>1420</v>
      </c>
      <c r="F14277" s="2890">
        <v>2.562339851851615E-4</v>
      </c>
      <c r="G14277" s="2890">
        <v>4.2262795168249143</v>
      </c>
    </row>
    <row r="14278" spans="2:7" ht="15" hidden="1" outlineLevel="2">
      <c r="B14278" s="2889" t="s">
        <v>1649</v>
      </c>
      <c r="C14278" s="2889" t="s">
        <v>1498</v>
      </c>
      <c r="D14278" s="2889" t="s">
        <v>1054</v>
      </c>
      <c r="E14278" s="2889" t="s">
        <v>1420</v>
      </c>
      <c r="F14278" s="2890">
        <v>7.0040717728497089E-4</v>
      </c>
      <c r="G14278" s="2890">
        <v>1.6832824419443024</v>
      </c>
    </row>
    <row r="14279" spans="2:7" ht="15" hidden="1" outlineLevel="2">
      <c r="B14279" s="2889" t="s">
        <v>1649</v>
      </c>
      <c r="C14279" s="2889" t="s">
        <v>1499</v>
      </c>
      <c r="D14279" s="2889" t="s">
        <v>1054</v>
      </c>
      <c r="E14279" s="2889" t="s">
        <v>1420</v>
      </c>
      <c r="F14279" s="2890">
        <v>1.0697128766543203E-4</v>
      </c>
      <c r="G14279" s="2890">
        <v>0.27086460026297643</v>
      </c>
    </row>
    <row r="14280" spans="2:7" ht="15" hidden="1" outlineLevel="2">
      <c r="B14280" s="2889" t="s">
        <v>1649</v>
      </c>
      <c r="C14280" s="2889" t="s">
        <v>1500</v>
      </c>
      <c r="D14280" s="2889" t="s">
        <v>1054</v>
      </c>
      <c r="E14280" s="2889" t="s">
        <v>1420</v>
      </c>
      <c r="F14280" s="2890">
        <v>7.7481424533937075E-4</v>
      </c>
      <c r="G14280" s="2890">
        <v>2.9301650864013449</v>
      </c>
    </row>
    <row r="14281" spans="2:7" ht="15" hidden="1" outlineLevel="2">
      <c r="B14281" s="2889" t="s">
        <v>1649</v>
      </c>
      <c r="C14281" s="2889" t="s">
        <v>1501</v>
      </c>
      <c r="D14281" s="2889" t="s">
        <v>1054</v>
      </c>
      <c r="E14281" s="2889" t="s">
        <v>1420</v>
      </c>
      <c r="F14281" s="2890">
        <v>9.7178477804968279E-4</v>
      </c>
      <c r="G14281" s="2890">
        <v>7.1351043069035081</v>
      </c>
    </row>
    <row r="14282" spans="2:7" ht="15" hidden="1" outlineLevel="2">
      <c r="B14282" s="2889" t="s">
        <v>1649</v>
      </c>
      <c r="C14282" s="2889" t="s">
        <v>1502</v>
      </c>
      <c r="D14282" s="2889" t="s">
        <v>1054</v>
      </c>
      <c r="E14282" s="2889" t="s">
        <v>1420</v>
      </c>
      <c r="F14282" s="2890">
        <v>6.7806459282625421E-5</v>
      </c>
      <c r="G14282" s="2890">
        <v>0.74534304171379406</v>
      </c>
    </row>
    <row r="14283" spans="2:7" ht="15" hidden="1" outlineLevel="2">
      <c r="B14283" s="2889" t="s">
        <v>1649</v>
      </c>
      <c r="C14283" s="2889" t="s">
        <v>1503</v>
      </c>
      <c r="D14283" s="2889" t="s">
        <v>1054</v>
      </c>
      <c r="E14283" s="2889" t="s">
        <v>1420</v>
      </c>
      <c r="F14283" s="2890">
        <v>2.2361952610810082E-3</v>
      </c>
      <c r="G14283" s="2890">
        <v>6.1741503179400006</v>
      </c>
    </row>
    <row r="14284" spans="2:7" ht="15" hidden="1" outlineLevel="2">
      <c r="B14284" s="2889" t="s">
        <v>1649</v>
      </c>
      <c r="C14284" s="2889" t="s">
        <v>1504</v>
      </c>
      <c r="D14284" s="2889" t="s">
        <v>1054</v>
      </c>
      <c r="E14284" s="2889" t="s">
        <v>1420</v>
      </c>
      <c r="F14284" s="2890">
        <v>1.153494114234136E-3</v>
      </c>
      <c r="G14284" s="2890">
        <v>2.5532688866615625</v>
      </c>
    </row>
    <row r="14285" spans="2:7" ht="15" hidden="1" outlineLevel="2">
      <c r="B14285" s="2889" t="s">
        <v>1649</v>
      </c>
      <c r="C14285" s="2889" t="s">
        <v>1505</v>
      </c>
      <c r="D14285" s="2889" t="s">
        <v>1054</v>
      </c>
      <c r="E14285" s="2889" t="s">
        <v>1423</v>
      </c>
      <c r="F14285" s="2890">
        <v>3.2710550834010154E-3</v>
      </c>
      <c r="G14285" s="2890">
        <v>8.0951514053075588E-2</v>
      </c>
    </row>
    <row r="14286" spans="2:7" ht="15" hidden="1" outlineLevel="2">
      <c r="B14286" s="2889" t="s">
        <v>1649</v>
      </c>
      <c r="C14286" s="2889" t="s">
        <v>1506</v>
      </c>
      <c r="D14286" s="2889" t="s">
        <v>1054</v>
      </c>
      <c r="E14286" s="2889" t="s">
        <v>1426</v>
      </c>
      <c r="F14286" s="2891"/>
      <c r="G14286" s="2890">
        <v>240.35448158654685</v>
      </c>
    </row>
    <row r="14287" spans="2:7" ht="15" hidden="1" outlineLevel="2">
      <c r="B14287" s="2889" t="s">
        <v>1649</v>
      </c>
      <c r="C14287" s="2889" t="s">
        <v>1507</v>
      </c>
      <c r="D14287" s="2889" t="s">
        <v>1054</v>
      </c>
      <c r="E14287" s="2889" t="s">
        <v>1426</v>
      </c>
      <c r="F14287" s="2891"/>
      <c r="G14287" s="2890">
        <v>0.39179421689414573</v>
      </c>
    </row>
    <row r="14288" spans="2:7" ht="15" hidden="1" outlineLevel="2">
      <c r="B14288" s="2889" t="s">
        <v>1649</v>
      </c>
      <c r="C14288" s="2889" t="s">
        <v>1508</v>
      </c>
      <c r="D14288" s="2889" t="s">
        <v>1054</v>
      </c>
      <c r="E14288" s="2889" t="s">
        <v>1426</v>
      </c>
      <c r="F14288" s="2891"/>
      <c r="G14288" s="2890">
        <v>6.4546701951434704</v>
      </c>
    </row>
    <row r="14289" spans="2:7" ht="15" hidden="1" outlineLevel="2">
      <c r="B14289" s="2889" t="s">
        <v>1649</v>
      </c>
      <c r="C14289" s="2889" t="s">
        <v>1509</v>
      </c>
      <c r="D14289" s="2889" t="s">
        <v>1054</v>
      </c>
      <c r="E14289" s="2889" t="s">
        <v>1426</v>
      </c>
      <c r="F14289" s="2891"/>
      <c r="G14289" s="2890">
        <v>601.63573311262144</v>
      </c>
    </row>
    <row r="14290" spans="2:7" ht="15" hidden="1" outlineLevel="2">
      <c r="B14290" s="2889" t="s">
        <v>1649</v>
      </c>
      <c r="C14290" s="2889" t="s">
        <v>1510</v>
      </c>
      <c r="D14290" s="2889" t="s">
        <v>1054</v>
      </c>
      <c r="E14290" s="2889" t="s">
        <v>1426</v>
      </c>
      <c r="F14290" s="2891"/>
      <c r="G14290" s="2890">
        <v>654.45304507844173</v>
      </c>
    </row>
    <row r="14291" spans="2:7" ht="15" hidden="1" outlineLevel="2">
      <c r="B14291" s="2889" t="s">
        <v>1649</v>
      </c>
      <c r="C14291" s="2889" t="s">
        <v>1511</v>
      </c>
      <c r="D14291" s="2889" t="s">
        <v>1054</v>
      </c>
      <c r="E14291" s="2889" t="s">
        <v>1426</v>
      </c>
      <c r="F14291" s="2891"/>
      <c r="G14291" s="2890">
        <v>36.056047656655529</v>
      </c>
    </row>
    <row r="14292" spans="2:7" ht="15" hidden="1" outlineLevel="2">
      <c r="B14292" s="2889" t="s">
        <v>1649</v>
      </c>
      <c r="C14292" s="2889" t="s">
        <v>1512</v>
      </c>
      <c r="D14292" s="2889" t="s">
        <v>1054</v>
      </c>
      <c r="E14292" s="2889" t="s">
        <v>1426</v>
      </c>
      <c r="F14292" s="2891"/>
      <c r="G14292" s="2890">
        <v>22.254863428397258</v>
      </c>
    </row>
    <row r="14293" spans="2:7" ht="15" hidden="1" outlineLevel="2">
      <c r="B14293" s="2889" t="s">
        <v>1649</v>
      </c>
      <c r="C14293" s="2889" t="s">
        <v>1513</v>
      </c>
      <c r="D14293" s="2889" t="s">
        <v>1054</v>
      </c>
      <c r="E14293" s="2889" t="s">
        <v>1426</v>
      </c>
      <c r="F14293" s="2891"/>
      <c r="G14293" s="2890">
        <v>66.451922526603866</v>
      </c>
    </row>
    <row r="14294" spans="2:7" ht="15" hidden="1" outlineLevel="2">
      <c r="B14294" s="2889" t="s">
        <v>1649</v>
      </c>
      <c r="C14294" s="2889" t="s">
        <v>1514</v>
      </c>
      <c r="D14294" s="2889" t="s">
        <v>1054</v>
      </c>
      <c r="E14294" s="2889" t="s">
        <v>1426</v>
      </c>
      <c r="F14294" s="2891"/>
      <c r="G14294" s="2890">
        <v>285.4238644728643</v>
      </c>
    </row>
    <row r="14295" spans="2:7" ht="15" hidden="1" outlineLevel="2">
      <c r="B14295" s="2889" t="s">
        <v>1649</v>
      </c>
      <c r="C14295" s="2889" t="s">
        <v>1515</v>
      </c>
      <c r="D14295" s="2889" t="s">
        <v>1054</v>
      </c>
      <c r="E14295" s="2889" t="s">
        <v>1426</v>
      </c>
      <c r="F14295" s="2891"/>
      <c r="G14295" s="2890">
        <v>245.4311490539427</v>
      </c>
    </row>
    <row r="14296" spans="2:7" ht="15" hidden="1" outlineLevel="2">
      <c r="B14296" s="2889" t="s">
        <v>1649</v>
      </c>
      <c r="C14296" s="2889" t="s">
        <v>1516</v>
      </c>
      <c r="D14296" s="2889" t="s">
        <v>1054</v>
      </c>
      <c r="E14296" s="2889" t="s">
        <v>1426</v>
      </c>
      <c r="F14296" s="2891"/>
      <c r="G14296" s="2890">
        <v>2438.1986968134579</v>
      </c>
    </row>
    <row r="14297" spans="2:7" ht="15" hidden="1" outlineLevel="2">
      <c r="B14297" s="2889" t="s">
        <v>1649</v>
      </c>
      <c r="C14297" s="2889" t="s">
        <v>1517</v>
      </c>
      <c r="D14297" s="2889" t="s">
        <v>1054</v>
      </c>
      <c r="E14297" s="2889" t="s">
        <v>1426</v>
      </c>
      <c r="F14297" s="2891"/>
      <c r="G14297" s="2890">
        <v>20.224747569215378</v>
      </c>
    </row>
    <row r="14298" spans="2:7" ht="15" hidden="1" outlineLevel="2">
      <c r="B14298" s="2889" t="s">
        <v>1649</v>
      </c>
      <c r="C14298" s="2889" t="s">
        <v>1518</v>
      </c>
      <c r="D14298" s="2889" t="s">
        <v>1054</v>
      </c>
      <c r="E14298" s="2889" t="s">
        <v>1426</v>
      </c>
      <c r="F14298" s="2891"/>
      <c r="G14298" s="2890">
        <v>9.5530715098767551</v>
      </c>
    </row>
    <row r="14299" spans="2:7" ht="15" hidden="1" outlineLevel="2">
      <c r="B14299" s="2889" t="s">
        <v>1649</v>
      </c>
      <c r="C14299" s="2889" t="s">
        <v>1519</v>
      </c>
      <c r="D14299" s="2889" t="s">
        <v>1054</v>
      </c>
      <c r="E14299" s="2889" t="s">
        <v>1426</v>
      </c>
      <c r="F14299" s="2891"/>
      <c r="G14299" s="2890">
        <v>556.86352497160033</v>
      </c>
    </row>
    <row r="14300" spans="2:7" ht="15" hidden="1" outlineLevel="2">
      <c r="B14300" s="2889" t="s">
        <v>1649</v>
      </c>
      <c r="C14300" s="2889" t="s">
        <v>1520</v>
      </c>
      <c r="D14300" s="2889" t="s">
        <v>1054</v>
      </c>
      <c r="E14300" s="2889" t="s">
        <v>1426</v>
      </c>
      <c r="F14300" s="2891"/>
      <c r="G14300" s="2890">
        <v>606.60875580784534</v>
      </c>
    </row>
    <row r="14301" spans="2:7" ht="15" hidden="1" outlineLevel="2">
      <c r="B14301" s="2889" t="s">
        <v>1649</v>
      </c>
      <c r="C14301" s="2889" t="s">
        <v>1521</v>
      </c>
      <c r="D14301" s="2889" t="s">
        <v>1054</v>
      </c>
      <c r="E14301" s="2889" t="s">
        <v>1426</v>
      </c>
      <c r="F14301" s="2891"/>
      <c r="G14301" s="2890">
        <v>2085.3756903889152</v>
      </c>
    </row>
    <row r="14302" spans="2:7" ht="15" hidden="1" outlineLevel="2">
      <c r="B14302" s="2889" t="s">
        <v>1649</v>
      </c>
      <c r="C14302" s="2889" t="s">
        <v>1522</v>
      </c>
      <c r="D14302" s="2889" t="s">
        <v>1054</v>
      </c>
      <c r="E14302" s="2889" t="s">
        <v>1426</v>
      </c>
      <c r="F14302" s="2891"/>
      <c r="G14302" s="2890">
        <v>98.17662644609841</v>
      </c>
    </row>
    <row r="14303" spans="2:7" ht="15" hidden="1" outlineLevel="2">
      <c r="B14303" s="2889" t="s">
        <v>1649</v>
      </c>
      <c r="C14303" s="2889" t="s">
        <v>1523</v>
      </c>
      <c r="D14303" s="2889" t="s">
        <v>1054</v>
      </c>
      <c r="E14303" s="2889" t="s">
        <v>1426</v>
      </c>
      <c r="F14303" s="2891"/>
      <c r="G14303" s="2890">
        <v>780.43812273126832</v>
      </c>
    </row>
    <row r="14304" spans="2:7" ht="15" hidden="1" outlineLevel="2">
      <c r="B14304" s="2889" t="s">
        <v>1649</v>
      </c>
      <c r="C14304" s="2889" t="s">
        <v>1524</v>
      </c>
      <c r="D14304" s="2889" t="s">
        <v>1054</v>
      </c>
      <c r="E14304" s="2889" t="s">
        <v>1426</v>
      </c>
      <c r="F14304" s="2891"/>
      <c r="G14304" s="2890">
        <v>2653.8771888825809</v>
      </c>
    </row>
    <row r="14305" spans="2:7" ht="15" hidden="1" outlineLevel="2">
      <c r="B14305" s="2889" t="s">
        <v>1649</v>
      </c>
      <c r="C14305" s="2889" t="s">
        <v>1525</v>
      </c>
      <c r="D14305" s="2889" t="s">
        <v>1054</v>
      </c>
      <c r="E14305" s="2889" t="s">
        <v>1426</v>
      </c>
      <c r="F14305" s="2891"/>
      <c r="G14305" s="2890">
        <v>1609.4158714098644</v>
      </c>
    </row>
    <row r="14306" spans="2:7" ht="15" hidden="1" outlineLevel="2">
      <c r="B14306" s="2889" t="s">
        <v>1649</v>
      </c>
      <c r="C14306" s="2889" t="s">
        <v>1526</v>
      </c>
      <c r="D14306" s="2889" t="s">
        <v>1054</v>
      </c>
      <c r="E14306" s="2889" t="s">
        <v>1426</v>
      </c>
      <c r="F14306" s="2891"/>
      <c r="G14306" s="2890">
        <v>2428.8168561301868</v>
      </c>
    </row>
    <row r="14307" spans="2:7" ht="15" hidden="1" outlineLevel="2">
      <c r="B14307" s="2889" t="s">
        <v>1649</v>
      </c>
      <c r="C14307" s="2889" t="s">
        <v>1527</v>
      </c>
      <c r="D14307" s="2889" t="s">
        <v>1054</v>
      </c>
      <c r="E14307" s="2889" t="s">
        <v>1426</v>
      </c>
      <c r="F14307" s="2891"/>
      <c r="G14307" s="2890">
        <v>1103.5622771627243</v>
      </c>
    </row>
    <row r="14308" spans="2:7" ht="15" hidden="1" outlineLevel="2">
      <c r="B14308" s="2889" t="s">
        <v>1649</v>
      </c>
      <c r="C14308" s="2889" t="s">
        <v>1528</v>
      </c>
      <c r="D14308" s="2889" t="s">
        <v>1054</v>
      </c>
      <c r="E14308" s="2889" t="s">
        <v>1426</v>
      </c>
      <c r="F14308" s="2891"/>
      <c r="G14308" s="2890">
        <v>261.24820082761704</v>
      </c>
    </row>
    <row r="14309" spans="2:7" ht="15" hidden="1" outlineLevel="2">
      <c r="B14309" s="2889" t="s">
        <v>1649</v>
      </c>
      <c r="C14309" s="2889" t="s">
        <v>1529</v>
      </c>
      <c r="D14309" s="2889" t="s">
        <v>1054</v>
      </c>
      <c r="E14309" s="2889" t="s">
        <v>1426</v>
      </c>
      <c r="F14309" s="2891"/>
      <c r="G14309" s="2890">
        <v>3.4001591910669933</v>
      </c>
    </row>
    <row r="14310" spans="2:7" ht="15" hidden="1" outlineLevel="2">
      <c r="B14310" s="2889" t="s">
        <v>1649</v>
      </c>
      <c r="C14310" s="2889" t="s">
        <v>1530</v>
      </c>
      <c r="D14310" s="2889" t="s">
        <v>1054</v>
      </c>
      <c r="E14310" s="2889" t="s">
        <v>1426</v>
      </c>
      <c r="F14310" s="2891"/>
      <c r="G14310" s="2890">
        <v>250.3378530350231</v>
      </c>
    </row>
    <row r="14311" spans="2:7" ht="15" hidden="1" outlineLevel="2">
      <c r="B14311" s="2889" t="s">
        <v>1649</v>
      </c>
      <c r="C14311" s="2889" t="s">
        <v>1531</v>
      </c>
      <c r="D14311" s="2889" t="s">
        <v>1106</v>
      </c>
      <c r="E14311" s="2889" t="s">
        <v>217</v>
      </c>
      <c r="F14311" s="2890">
        <v>2.009930927633888E-4</v>
      </c>
      <c r="G14311" s="2890">
        <v>9.0097208850078284E-2</v>
      </c>
    </row>
    <row r="14312" spans="2:7" ht="15" hidden="1" outlineLevel="2">
      <c r="B14312" s="2889" t="s">
        <v>1649</v>
      </c>
      <c r="C14312" s="2889" t="s">
        <v>1532</v>
      </c>
      <c r="D14312" s="2889" t="s">
        <v>1106</v>
      </c>
      <c r="E14312" s="2889" t="s">
        <v>217</v>
      </c>
      <c r="F14312" s="2890">
        <v>1.5829984617546432E-5</v>
      </c>
      <c r="G14312" s="2890">
        <v>7.0959546991590265E-3</v>
      </c>
    </row>
    <row r="14313" spans="2:7" ht="15" hidden="1" outlineLevel="2">
      <c r="B14313" s="2889" t="s">
        <v>1649</v>
      </c>
      <c r="C14313" s="2889" t="s">
        <v>1533</v>
      </c>
      <c r="D14313" s="2889" t="s">
        <v>1106</v>
      </c>
      <c r="E14313" s="2889" t="s">
        <v>217</v>
      </c>
      <c r="F14313" s="2890">
        <v>1.0252585822422521E-2</v>
      </c>
      <c r="G14313" s="2890">
        <v>10.958948589093893</v>
      </c>
    </row>
    <row r="14314" spans="2:7" ht="15" hidden="1" outlineLevel="2">
      <c r="B14314" s="2889" t="s">
        <v>1649</v>
      </c>
      <c r="C14314" s="2889" t="s">
        <v>1534</v>
      </c>
      <c r="D14314" s="2889" t="s">
        <v>1106</v>
      </c>
      <c r="E14314" s="2889" t="s">
        <v>217</v>
      </c>
      <c r="F14314" s="2890">
        <v>9.3205179377346559E-3</v>
      </c>
      <c r="G14314" s="2890">
        <v>32.452359586445766</v>
      </c>
    </row>
    <row r="14315" spans="2:7" ht="15" hidden="1" outlineLevel="2">
      <c r="B14315" s="2889" t="s">
        <v>1649</v>
      </c>
      <c r="C14315" s="2889" t="s">
        <v>1535</v>
      </c>
      <c r="D14315" s="2889" t="s">
        <v>1106</v>
      </c>
      <c r="E14315" s="2889" t="s">
        <v>217</v>
      </c>
      <c r="F14315" s="2890">
        <v>3.4842967618901048E-3</v>
      </c>
      <c r="G14315" s="2890">
        <v>8.1959229742347262</v>
      </c>
    </row>
    <row r="14316" spans="2:7" ht="15" hidden="1" outlineLevel="2">
      <c r="B14316" s="2889" t="s">
        <v>1649</v>
      </c>
      <c r="C14316" s="2889" t="s">
        <v>1536</v>
      </c>
      <c r="D14316" s="2889" t="s">
        <v>1106</v>
      </c>
      <c r="E14316" s="2889" t="s">
        <v>217</v>
      </c>
      <c r="F14316" s="2890">
        <v>1.1688297434459928E-2</v>
      </c>
      <c r="G14316" s="2890">
        <v>15.276825717798708</v>
      </c>
    </row>
    <row r="14317" spans="2:7" ht="15" hidden="1" outlineLevel="2">
      <c r="B14317" s="2889" t="s">
        <v>1649</v>
      </c>
      <c r="C14317" s="2889" t="s">
        <v>1537</v>
      </c>
      <c r="D14317" s="2889" t="s">
        <v>1106</v>
      </c>
      <c r="E14317" s="2889" t="s">
        <v>217</v>
      </c>
      <c r="F14317" s="2890">
        <v>6.549018519723561E-4</v>
      </c>
      <c r="G14317" s="2890">
        <v>0.75059171434629057</v>
      </c>
    </row>
    <row r="14318" spans="2:7" ht="15" hidden="1" outlineLevel="2">
      <c r="B14318" s="2889" t="s">
        <v>1649</v>
      </c>
      <c r="C14318" s="2889" t="s">
        <v>1538</v>
      </c>
      <c r="D14318" s="2889" t="s">
        <v>1106</v>
      </c>
      <c r="E14318" s="2889" t="s">
        <v>217</v>
      </c>
      <c r="F14318" s="2890">
        <v>1.7346330663911083E-4</v>
      </c>
      <c r="G14318" s="2890">
        <v>0.2350649910864121</v>
      </c>
    </row>
    <row r="14319" spans="2:7" ht="15" hidden="1" outlineLevel="2">
      <c r="B14319" s="2889" t="s">
        <v>1649</v>
      </c>
      <c r="C14319" s="2889" t="s">
        <v>1539</v>
      </c>
      <c r="D14319" s="2889" t="s">
        <v>1106</v>
      </c>
      <c r="E14319" s="2889" t="s">
        <v>217</v>
      </c>
      <c r="F14319" s="2890">
        <v>2.570670982875248E-4</v>
      </c>
      <c r="G14319" s="2890">
        <v>3.3091237003146241</v>
      </c>
    </row>
    <row r="14320" spans="2:7" ht="15" hidden="1" outlineLevel="2">
      <c r="B14320" s="2889" t="s">
        <v>1649</v>
      </c>
      <c r="C14320" s="2889" t="s">
        <v>1540</v>
      </c>
      <c r="D14320" s="2889" t="s">
        <v>1106</v>
      </c>
      <c r="E14320" s="2889" t="s">
        <v>1420</v>
      </c>
      <c r="F14320" s="2890">
        <v>1.1440405210910186E-2</v>
      </c>
      <c r="G14320" s="2890">
        <v>27.762087493217734</v>
      </c>
    </row>
    <row r="14321" spans="2:7" ht="15" hidden="1" outlineLevel="2">
      <c r="B14321" s="2889" t="s">
        <v>1649</v>
      </c>
      <c r="C14321" s="2889" t="s">
        <v>1541</v>
      </c>
      <c r="D14321" s="2889" t="s">
        <v>1106</v>
      </c>
      <c r="E14321" s="2889" t="s">
        <v>1420</v>
      </c>
      <c r="F14321" s="2890">
        <v>0.33340033149680687</v>
      </c>
      <c r="G14321" s="2890">
        <v>2454.5966148854045</v>
      </c>
    </row>
    <row r="14322" spans="2:7" ht="15" hidden="1" outlineLevel="2">
      <c r="B14322" s="2889" t="s">
        <v>1649</v>
      </c>
      <c r="C14322" s="2889" t="s">
        <v>1542</v>
      </c>
      <c r="D14322" s="2889" t="s">
        <v>1106</v>
      </c>
      <c r="E14322" s="2889" t="s">
        <v>1420</v>
      </c>
      <c r="F14322" s="2890">
        <v>1.6216409522084745E-3</v>
      </c>
      <c r="G14322" s="2890">
        <v>18.556800159928262</v>
      </c>
    </row>
    <row r="14323" spans="2:7" ht="15" hidden="1" outlineLevel="2">
      <c r="B14323" s="2889" t="s">
        <v>1649</v>
      </c>
      <c r="C14323" s="2889" t="s">
        <v>1543</v>
      </c>
      <c r="D14323" s="2889" t="s">
        <v>1106</v>
      </c>
      <c r="E14323" s="2889" t="s">
        <v>1420</v>
      </c>
      <c r="F14323" s="2890">
        <v>5.8764279587918892E-4</v>
      </c>
      <c r="G14323" s="2890">
        <v>5.7517445238085676</v>
      </c>
    </row>
    <row r="14324" spans="2:7" ht="15" hidden="1" outlineLevel="2">
      <c r="B14324" s="2889" t="s">
        <v>1649</v>
      </c>
      <c r="C14324" s="2889" t="s">
        <v>1544</v>
      </c>
      <c r="D14324" s="2889" t="s">
        <v>1106</v>
      </c>
      <c r="E14324" s="2889" t="s">
        <v>1420</v>
      </c>
      <c r="F14324" s="2890">
        <v>5.6798995501084913E-4</v>
      </c>
      <c r="G14324" s="2890">
        <v>1.4840508491727102</v>
      </c>
    </row>
    <row r="14325" spans="2:7" ht="15" hidden="1" outlineLevel="2">
      <c r="B14325" s="2889" t="s">
        <v>1649</v>
      </c>
      <c r="C14325" s="2889" t="s">
        <v>1545</v>
      </c>
      <c r="D14325" s="2889" t="s">
        <v>1106</v>
      </c>
      <c r="E14325" s="2889" t="s">
        <v>1420</v>
      </c>
      <c r="F14325" s="2890">
        <v>5.6801381199147625E-4</v>
      </c>
      <c r="G14325" s="2890">
        <v>11.287946581725585</v>
      </c>
    </row>
    <row r="14326" spans="2:7" ht="15" hidden="1" outlineLevel="2">
      <c r="B14326" s="2889" t="s">
        <v>1649</v>
      </c>
      <c r="C14326" s="2889" t="s">
        <v>1546</v>
      </c>
      <c r="D14326" s="2889" t="s">
        <v>1106</v>
      </c>
      <c r="E14326" s="2889" t="s">
        <v>1423</v>
      </c>
      <c r="F14326" s="2890">
        <v>1.72184696053828</v>
      </c>
      <c r="G14326" s="2890">
        <v>144.90328782563807</v>
      </c>
    </row>
    <row r="14327" spans="2:7" ht="15" hidden="1" outlineLevel="2">
      <c r="B14327" s="2889" t="s">
        <v>1649</v>
      </c>
      <c r="C14327" s="2889" t="s">
        <v>1547</v>
      </c>
      <c r="D14327" s="2889" t="s">
        <v>1106</v>
      </c>
      <c r="E14327" s="2889" t="s">
        <v>1423</v>
      </c>
      <c r="F14327" s="2890">
        <v>1.8806967848898841E-3</v>
      </c>
      <c r="G14327" s="2890">
        <v>0.1646878637051129</v>
      </c>
    </row>
    <row r="14328" spans="2:7" ht="15" hidden="1" outlineLevel="2">
      <c r="B14328" s="2889" t="s">
        <v>1649</v>
      </c>
      <c r="C14328" s="2889" t="s">
        <v>1548</v>
      </c>
      <c r="D14328" s="2889" t="s">
        <v>1106</v>
      </c>
      <c r="E14328" s="2889" t="s">
        <v>1423</v>
      </c>
      <c r="F14328" s="2890">
        <v>8.7753213898184251E-4</v>
      </c>
      <c r="G14328" s="2890">
        <v>8.9937998181764581E-2</v>
      </c>
    </row>
    <row r="14329" spans="2:7" ht="15" hidden="1" outlineLevel="2">
      <c r="B14329" s="2889" t="s">
        <v>1649</v>
      </c>
      <c r="C14329" s="2889" t="s">
        <v>1549</v>
      </c>
      <c r="D14329" s="2889" t="s">
        <v>1106</v>
      </c>
      <c r="E14329" s="2889" t="s">
        <v>1423</v>
      </c>
      <c r="F14329" s="2890">
        <v>2.2533987461412514E-3</v>
      </c>
      <c r="G14329" s="2890">
        <v>0.22190133431064488</v>
      </c>
    </row>
    <row r="14330" spans="2:7" ht="15" hidden="1" outlineLevel="2">
      <c r="B14330" s="2889" t="s">
        <v>1649</v>
      </c>
      <c r="C14330" s="2889" t="s">
        <v>1550</v>
      </c>
      <c r="D14330" s="2889" t="s">
        <v>1106</v>
      </c>
      <c r="E14330" s="2889" t="s">
        <v>1423</v>
      </c>
      <c r="F14330" s="2890">
        <v>2.9883838937917869E-3</v>
      </c>
      <c r="G14330" s="2890">
        <v>0.67202237579671587</v>
      </c>
    </row>
    <row r="14331" spans="2:7" ht="15" hidden="1" outlineLevel="2">
      <c r="B14331" s="2889" t="s">
        <v>1649</v>
      </c>
      <c r="C14331" s="2889" t="s">
        <v>1551</v>
      </c>
      <c r="D14331" s="2889" t="s">
        <v>1106</v>
      </c>
      <c r="E14331" s="2889" t="s">
        <v>1426</v>
      </c>
      <c r="F14331" s="2891"/>
      <c r="G14331" s="2890">
        <v>45.167830162113887</v>
      </c>
    </row>
    <row r="14332" spans="2:7" ht="15" hidden="1" outlineLevel="2">
      <c r="B14332" s="2889" t="s">
        <v>1649</v>
      </c>
      <c r="C14332" s="2889" t="s">
        <v>1552</v>
      </c>
      <c r="D14332" s="2889" t="s">
        <v>1106</v>
      </c>
      <c r="E14332" s="2889" t="s">
        <v>1426</v>
      </c>
      <c r="F14332" s="2891"/>
      <c r="G14332" s="2890">
        <v>655.41089718192416</v>
      </c>
    </row>
    <row r="14333" spans="2:7" ht="15" hidden="1" outlineLevel="2">
      <c r="B14333" s="2889" t="s">
        <v>1649</v>
      </c>
      <c r="C14333" s="2889" t="s">
        <v>1553</v>
      </c>
      <c r="D14333" s="2889" t="s">
        <v>1106</v>
      </c>
      <c r="E14333" s="2889" t="s">
        <v>1426</v>
      </c>
      <c r="F14333" s="2891"/>
      <c r="G14333" s="2890">
        <v>286.06523383300112</v>
      </c>
    </row>
    <row r="14334" spans="2:7" ht="15" hidden="1" outlineLevel="2">
      <c r="B14334" s="2889" t="s">
        <v>1649</v>
      </c>
      <c r="C14334" s="2889" t="s">
        <v>1554</v>
      </c>
      <c r="D14334" s="2889" t="s">
        <v>1106</v>
      </c>
      <c r="E14334" s="2889" t="s">
        <v>1426</v>
      </c>
      <c r="F14334" s="2891"/>
      <c r="G14334" s="2890">
        <v>290.3529869570167</v>
      </c>
    </row>
    <row r="14335" spans="2:7" ht="15" hidden="1" outlineLevel="2">
      <c r="B14335" s="2889" t="s">
        <v>1649</v>
      </c>
      <c r="C14335" s="2889" t="s">
        <v>1555</v>
      </c>
      <c r="D14335" s="2889" t="s">
        <v>1106</v>
      </c>
      <c r="E14335" s="2889" t="s">
        <v>1426</v>
      </c>
      <c r="F14335" s="2891"/>
      <c r="G14335" s="2890">
        <v>11.162206115542936</v>
      </c>
    </row>
    <row r="14336" spans="2:7" ht="15" hidden="1" outlineLevel="2">
      <c r="B14336" s="2889" t="s">
        <v>1649</v>
      </c>
      <c r="C14336" s="2889" t="s">
        <v>1556</v>
      </c>
      <c r="D14336" s="2889" t="s">
        <v>1106</v>
      </c>
      <c r="E14336" s="2889" t="s">
        <v>1426</v>
      </c>
      <c r="F14336" s="2891"/>
      <c r="G14336" s="2890">
        <v>645.4548798533707</v>
      </c>
    </row>
    <row r="14337" spans="2:7" ht="15" hidden="1" outlineLevel="2">
      <c r="B14337" s="2889" t="s">
        <v>1649</v>
      </c>
      <c r="C14337" s="2889" t="s">
        <v>1557</v>
      </c>
      <c r="D14337" s="2889" t="s">
        <v>1106</v>
      </c>
      <c r="E14337" s="2889" t="s">
        <v>1426</v>
      </c>
      <c r="F14337" s="2891"/>
      <c r="G14337" s="2890">
        <v>412.63144561905841</v>
      </c>
    </row>
    <row r="14338" spans="2:7" ht="15" hidden="1" outlineLevel="2">
      <c r="B14338" s="2889" t="s">
        <v>1649</v>
      </c>
      <c r="C14338" s="2889" t="s">
        <v>1558</v>
      </c>
      <c r="D14338" s="2889" t="s">
        <v>1559</v>
      </c>
      <c r="E14338" s="2889" t="s">
        <v>217</v>
      </c>
      <c r="F14338" s="2890">
        <v>3.1418683042425729E-3</v>
      </c>
      <c r="G14338" s="2890">
        <v>1.7208536809031674</v>
      </c>
    </row>
    <row r="14339" spans="2:7" ht="15" hidden="1" outlineLevel="2">
      <c r="B14339" s="2889" t="s">
        <v>1649</v>
      </c>
      <c r="C14339" s="2889" t="s">
        <v>1560</v>
      </c>
      <c r="D14339" s="2889" t="s">
        <v>1559</v>
      </c>
      <c r="E14339" s="2889" t="s">
        <v>217</v>
      </c>
      <c r="F14339" s="2890">
        <v>3.8337672535551461E-2</v>
      </c>
      <c r="G14339" s="2890">
        <v>20.692238393943601</v>
      </c>
    </row>
    <row r="14340" spans="2:7" ht="15" hidden="1" outlineLevel="2">
      <c r="B14340" s="2889" t="s">
        <v>1649</v>
      </c>
      <c r="C14340" s="2889" t="s">
        <v>1561</v>
      </c>
      <c r="D14340" s="2889" t="s">
        <v>1559</v>
      </c>
      <c r="E14340" s="2889" t="s">
        <v>217</v>
      </c>
      <c r="F14340" s="2890">
        <v>4.5088320204112034E-2</v>
      </c>
      <c r="G14340" s="2890">
        <v>23.508285122011895</v>
      </c>
    </row>
    <row r="14341" spans="2:7" ht="15" hidden="1" outlineLevel="2">
      <c r="B14341" s="2889" t="s">
        <v>1649</v>
      </c>
      <c r="C14341" s="2889" t="s">
        <v>1562</v>
      </c>
      <c r="D14341" s="2889" t="s">
        <v>1559</v>
      </c>
      <c r="E14341" s="2889" t="s">
        <v>217</v>
      </c>
      <c r="F14341" s="2890">
        <v>0.42001157135810202</v>
      </c>
      <c r="G14341" s="2890">
        <v>230.282575774935</v>
      </c>
    </row>
    <row r="14342" spans="2:7" ht="15" hidden="1" outlineLevel="2">
      <c r="B14342" s="2889" t="s">
        <v>1649</v>
      </c>
      <c r="C14342" s="2889" t="s">
        <v>1563</v>
      </c>
      <c r="D14342" s="2889" t="s">
        <v>1559</v>
      </c>
      <c r="E14342" s="2889" t="s">
        <v>217</v>
      </c>
      <c r="F14342" s="2890">
        <v>5.5584699544110529E-2</v>
      </c>
      <c r="G14342" s="2890">
        <v>32.759928500607607</v>
      </c>
    </row>
    <row r="14343" spans="2:7" ht="15" hidden="1" outlineLevel="2">
      <c r="B14343" s="2889" t="s">
        <v>1649</v>
      </c>
      <c r="C14343" s="2889" t="s">
        <v>1564</v>
      </c>
      <c r="D14343" s="2889" t="s">
        <v>1559</v>
      </c>
      <c r="E14343" s="2889" t="s">
        <v>217</v>
      </c>
      <c r="F14343" s="2890">
        <v>0.39654386215713749</v>
      </c>
      <c r="G14343" s="2890">
        <v>200.80243002769316</v>
      </c>
    </row>
    <row r="14344" spans="2:7" ht="15" hidden="1" outlineLevel="2">
      <c r="B14344" s="2889" t="s">
        <v>1649</v>
      </c>
      <c r="C14344" s="2889" t="s">
        <v>1565</v>
      </c>
      <c r="D14344" s="2889" t="s">
        <v>1559</v>
      </c>
      <c r="E14344" s="2889" t="s">
        <v>217</v>
      </c>
      <c r="F14344" s="2890">
        <v>3.9179571351829319E-2</v>
      </c>
      <c r="G14344" s="2890">
        <v>21.084223208862834</v>
      </c>
    </row>
    <row r="14345" spans="2:7" ht="15" hidden="1" outlineLevel="2">
      <c r="B14345" s="2889" t="s">
        <v>1649</v>
      </c>
      <c r="C14345" s="2889" t="s">
        <v>1566</v>
      </c>
      <c r="D14345" s="2889" t="s">
        <v>1559</v>
      </c>
      <c r="E14345" s="2889" t="s">
        <v>217</v>
      </c>
      <c r="F14345" s="2890">
        <v>0.34999369796539648</v>
      </c>
      <c r="G14345" s="2890">
        <v>187.50159520050425</v>
      </c>
    </row>
    <row r="14346" spans="2:7" ht="15" hidden="1" outlineLevel="2">
      <c r="B14346" s="2889" t="s">
        <v>1649</v>
      </c>
      <c r="C14346" s="2889" t="s">
        <v>1567</v>
      </c>
      <c r="D14346" s="2889" t="s">
        <v>1559</v>
      </c>
      <c r="E14346" s="2889" t="s">
        <v>217</v>
      </c>
      <c r="F14346" s="2890">
        <v>9.5451059140232872E-37</v>
      </c>
      <c r="G14346" s="2890">
        <v>1.403759964414025E-34</v>
      </c>
    </row>
    <row r="14347" spans="2:7" ht="15" hidden="1" outlineLevel="2">
      <c r="B14347" s="2889" t="s">
        <v>1649</v>
      </c>
      <c r="C14347" s="2889" t="s">
        <v>1568</v>
      </c>
      <c r="D14347" s="2889" t="s">
        <v>1559</v>
      </c>
      <c r="E14347" s="2889" t="s">
        <v>217</v>
      </c>
      <c r="F14347" s="2890">
        <v>5.9878333050808895E-32</v>
      </c>
      <c r="G14347" s="2890">
        <v>8.806380859610538E-30</v>
      </c>
    </row>
    <row r="14348" spans="2:7" ht="15" hidden="1" outlineLevel="2">
      <c r="B14348" s="2889" t="s">
        <v>1649</v>
      </c>
      <c r="C14348" s="2889" t="s">
        <v>1569</v>
      </c>
      <c r="D14348" s="2889" t="s">
        <v>1559</v>
      </c>
      <c r="E14348" s="2889" t="s">
        <v>217</v>
      </c>
      <c r="F14348" s="2890">
        <v>1.7146268115446515E-4</v>
      </c>
      <c r="G14348" s="2890">
        <v>8.5704126599405656E-2</v>
      </c>
    </row>
    <row r="14349" spans="2:7" ht="15" hidden="1" outlineLevel="2">
      <c r="B14349" s="2889" t="s">
        <v>1649</v>
      </c>
      <c r="C14349" s="2889" t="s">
        <v>1570</v>
      </c>
      <c r="D14349" s="2889" t="s">
        <v>1559</v>
      </c>
      <c r="E14349" s="2889" t="s">
        <v>217</v>
      </c>
      <c r="F14349" s="2890">
        <v>0.47185505745968237</v>
      </c>
      <c r="G14349" s="2890">
        <v>293.68944454126392</v>
      </c>
    </row>
    <row r="14350" spans="2:7" ht="15" hidden="1" outlineLevel="2">
      <c r="B14350" s="2889" t="s">
        <v>1649</v>
      </c>
      <c r="C14350" s="2889" t="s">
        <v>1571</v>
      </c>
      <c r="D14350" s="2889" t="s">
        <v>1559</v>
      </c>
      <c r="E14350" s="2889" t="s">
        <v>217</v>
      </c>
      <c r="F14350" s="2890">
        <v>0.48953102411727517</v>
      </c>
      <c r="G14350" s="2890">
        <v>585.3355481759113</v>
      </c>
    </row>
    <row r="14351" spans="2:7" ht="15" hidden="1" outlineLevel="2">
      <c r="B14351" s="2889" t="s">
        <v>1649</v>
      </c>
      <c r="C14351" s="2889" t="s">
        <v>1572</v>
      </c>
      <c r="D14351" s="2889" t="s">
        <v>1559</v>
      </c>
      <c r="E14351" s="2889" t="s">
        <v>217</v>
      </c>
      <c r="F14351" s="2890">
        <v>3.9888399436051276E-2</v>
      </c>
      <c r="G14351" s="2890">
        <v>24.626265870206044</v>
      </c>
    </row>
    <row r="14352" spans="2:7" ht="15" hidden="1" outlineLevel="2">
      <c r="B14352" s="2889" t="s">
        <v>1649</v>
      </c>
      <c r="C14352" s="2889" t="s">
        <v>1573</v>
      </c>
      <c r="D14352" s="2889" t="s">
        <v>1559</v>
      </c>
      <c r="E14352" s="2889" t="s">
        <v>217</v>
      </c>
      <c r="F14352" s="2890">
        <v>0.39679704385768477</v>
      </c>
      <c r="G14352" s="2890">
        <v>297.94141249690188</v>
      </c>
    </row>
    <row r="14353" spans="2:7" ht="15" hidden="1" outlineLevel="2">
      <c r="B14353" s="2889" t="s">
        <v>1649</v>
      </c>
      <c r="C14353" s="2889" t="s">
        <v>1574</v>
      </c>
      <c r="D14353" s="2889" t="s">
        <v>1559</v>
      </c>
      <c r="E14353" s="2889" t="s">
        <v>217</v>
      </c>
      <c r="F14353" s="2890">
        <v>2.1620039144902808E-3</v>
      </c>
      <c r="G14353" s="2890">
        <v>1.6349655810265</v>
      </c>
    </row>
    <row r="14354" spans="2:7" ht="15" hidden="1" outlineLevel="2">
      <c r="B14354" s="2889" t="s">
        <v>1649</v>
      </c>
      <c r="C14354" s="2889" t="s">
        <v>1575</v>
      </c>
      <c r="D14354" s="2889" t="s">
        <v>1559</v>
      </c>
      <c r="E14354" s="2889" t="s">
        <v>217</v>
      </c>
      <c r="F14354" s="2890">
        <v>1.0878488993128443E-2</v>
      </c>
      <c r="G14354" s="2890">
        <v>13.559234523397317</v>
      </c>
    </row>
    <row r="14355" spans="2:7" ht="15" hidden="1" outlineLevel="2">
      <c r="B14355" s="2889" t="s">
        <v>1649</v>
      </c>
      <c r="C14355" s="2889" t="s">
        <v>1576</v>
      </c>
      <c r="D14355" s="2889" t="s">
        <v>1559</v>
      </c>
      <c r="E14355" s="2889" t="s">
        <v>217</v>
      </c>
      <c r="F14355" s="2890">
        <v>4.1148542636542601E-3</v>
      </c>
      <c r="G14355" s="2890">
        <v>3.1192223101648229</v>
      </c>
    </row>
    <row r="14356" spans="2:7" ht="15" hidden="1" outlineLevel="2">
      <c r="B14356" s="2889" t="s">
        <v>1649</v>
      </c>
      <c r="C14356" s="2889" t="s">
        <v>1577</v>
      </c>
      <c r="D14356" s="2889" t="s">
        <v>1559</v>
      </c>
      <c r="E14356" s="2889" t="s">
        <v>217</v>
      </c>
      <c r="F14356" s="2890">
        <v>0.35716252729878289</v>
      </c>
      <c r="G14356" s="2890">
        <v>559.38769134598488</v>
      </c>
    </row>
    <row r="14357" spans="2:7" ht="15" hidden="1" outlineLevel="2">
      <c r="B14357" s="2889" t="s">
        <v>1649</v>
      </c>
      <c r="C14357" s="2889" t="s">
        <v>1578</v>
      </c>
      <c r="D14357" s="2889" t="s">
        <v>1559</v>
      </c>
      <c r="E14357" s="2889" t="s">
        <v>217</v>
      </c>
      <c r="F14357" s="2890">
        <v>2.0510680705289451E-31</v>
      </c>
      <c r="G14357" s="2890">
        <v>1.1228300050502855E-28</v>
      </c>
    </row>
    <row r="14358" spans="2:7" ht="15" hidden="1" outlineLevel="2">
      <c r="B14358" s="2889" t="s">
        <v>1649</v>
      </c>
      <c r="C14358" s="2889" t="s">
        <v>1579</v>
      </c>
      <c r="D14358" s="2889" t="s">
        <v>1559</v>
      </c>
      <c r="E14358" s="2889" t="s">
        <v>217</v>
      </c>
      <c r="F14358" s="2890">
        <v>6.83532789803876E-31</v>
      </c>
      <c r="G14358" s="2890">
        <v>3.7421352554373352E-28</v>
      </c>
    </row>
    <row r="14359" spans="2:7" ht="15" hidden="1" outlineLevel="2">
      <c r="B14359" s="2889" t="s">
        <v>1649</v>
      </c>
      <c r="C14359" s="2889" t="s">
        <v>1580</v>
      </c>
      <c r="D14359" s="2889" t="s">
        <v>1559</v>
      </c>
      <c r="E14359" s="2889" t="s">
        <v>217</v>
      </c>
      <c r="F14359" s="2890">
        <v>4.6413657475332819E-2</v>
      </c>
      <c r="G14359" s="2890">
        <v>58.927713612354559</v>
      </c>
    </row>
    <row r="14360" spans="2:7" ht="15" hidden="1" outlineLevel="2">
      <c r="B14360" s="2889" t="s">
        <v>1649</v>
      </c>
      <c r="C14360" s="2889" t="s">
        <v>1581</v>
      </c>
      <c r="D14360" s="2889" t="s">
        <v>1559</v>
      </c>
      <c r="E14360" s="2889" t="s">
        <v>217</v>
      </c>
      <c r="F14360" s="2890">
        <v>4.5613880665873949E-2</v>
      </c>
      <c r="G14360" s="2890">
        <v>64.627737669444059</v>
      </c>
    </row>
    <row r="14361" spans="2:7" ht="15" hidden="1" outlineLevel="2">
      <c r="B14361" s="2889" t="s">
        <v>1649</v>
      </c>
      <c r="C14361" s="2889" t="s">
        <v>1582</v>
      </c>
      <c r="D14361" s="2889" t="s">
        <v>1559</v>
      </c>
      <c r="E14361" s="2889" t="s">
        <v>217</v>
      </c>
      <c r="F14361" s="2890">
        <v>6.4292609449705621E-2</v>
      </c>
      <c r="G14361" s="2890">
        <v>73.559655215475701</v>
      </c>
    </row>
    <row r="14362" spans="2:7" ht="15" hidden="1" outlineLevel="2">
      <c r="B14362" s="2889" t="s">
        <v>1649</v>
      </c>
      <c r="C14362" s="2889" t="s">
        <v>1583</v>
      </c>
      <c r="D14362" s="2889" t="s">
        <v>1559</v>
      </c>
      <c r="E14362" s="2889" t="s">
        <v>217</v>
      </c>
      <c r="F14362" s="2890">
        <v>4.9547011095867996E-2</v>
      </c>
      <c r="G14362" s="2890">
        <v>34.254195095921581</v>
      </c>
    </row>
    <row r="14363" spans="2:7" ht="15" hidden="1" outlineLevel="2">
      <c r="B14363" s="2889" t="s">
        <v>1649</v>
      </c>
      <c r="C14363" s="2889" t="s">
        <v>1584</v>
      </c>
      <c r="D14363" s="2889" t="s">
        <v>1559</v>
      </c>
      <c r="E14363" s="2889" t="s">
        <v>217</v>
      </c>
      <c r="F14363" s="2890">
        <v>0.62064177112519137</v>
      </c>
      <c r="G14363" s="2890">
        <v>789.88464638789674</v>
      </c>
    </row>
    <row r="14364" spans="2:7" ht="15" hidden="1" outlineLevel="2">
      <c r="B14364" s="2889" t="s">
        <v>1649</v>
      </c>
      <c r="C14364" s="2889" t="s">
        <v>1585</v>
      </c>
      <c r="D14364" s="2889" t="s">
        <v>1559</v>
      </c>
      <c r="E14364" s="2889" t="s">
        <v>217</v>
      </c>
      <c r="F14364" s="2890">
        <v>0.61978330191632403</v>
      </c>
      <c r="G14364" s="2890">
        <v>878.31897624463556</v>
      </c>
    </row>
    <row r="14365" spans="2:7" ht="15" hidden="1" outlineLevel="2">
      <c r="B14365" s="2889" t="s">
        <v>1649</v>
      </c>
      <c r="C14365" s="2889" t="s">
        <v>1586</v>
      </c>
      <c r="D14365" s="2889" t="s">
        <v>1559</v>
      </c>
      <c r="E14365" s="2889" t="s">
        <v>217</v>
      </c>
      <c r="F14365" s="2890">
        <v>6.9779990908282477E-2</v>
      </c>
      <c r="G14365" s="2890">
        <v>147.04889192223163</v>
      </c>
    </row>
    <row r="14366" spans="2:7" ht="15" hidden="1" outlineLevel="2">
      <c r="B14366" s="2889" t="s">
        <v>1649</v>
      </c>
      <c r="C14366" s="2889" t="s">
        <v>1587</v>
      </c>
      <c r="D14366" s="2889" t="s">
        <v>1559</v>
      </c>
      <c r="E14366" s="2889" t="s">
        <v>217</v>
      </c>
      <c r="F14366" s="2890">
        <v>1.9410021448928103</v>
      </c>
      <c r="G14366" s="2890">
        <v>2833.513502546462</v>
      </c>
    </row>
    <row r="14367" spans="2:7" ht="15" hidden="1" outlineLevel="2">
      <c r="B14367" s="2889" t="s">
        <v>1649</v>
      </c>
      <c r="C14367" s="2889" t="s">
        <v>1588</v>
      </c>
      <c r="D14367" s="2889" t="s">
        <v>1559</v>
      </c>
      <c r="E14367" s="2889" t="s">
        <v>217</v>
      </c>
      <c r="F14367" s="2890">
        <v>3.5694050067831766E-2</v>
      </c>
      <c r="G14367" s="2890">
        <v>27.97872876918802</v>
      </c>
    </row>
    <row r="14368" spans="2:7" ht="15" hidden="1" outlineLevel="2">
      <c r="B14368" s="2889" t="s">
        <v>1649</v>
      </c>
      <c r="C14368" s="2889" t="s">
        <v>1589</v>
      </c>
      <c r="D14368" s="2889" t="s">
        <v>1559</v>
      </c>
      <c r="E14368" s="2889" t="s">
        <v>217</v>
      </c>
      <c r="F14368" s="2890">
        <v>0.11053646429152569</v>
      </c>
      <c r="G14368" s="2890">
        <v>86.817712064334856</v>
      </c>
    </row>
    <row r="14369" spans="2:7" ht="15" hidden="1" outlineLevel="2">
      <c r="B14369" s="2889" t="s">
        <v>1649</v>
      </c>
      <c r="C14369" s="2889" t="s">
        <v>1590</v>
      </c>
      <c r="D14369" s="2889" t="s">
        <v>1559</v>
      </c>
      <c r="E14369" s="2889" t="s">
        <v>1420</v>
      </c>
      <c r="F14369" s="2890">
        <v>5.4684516624579748E-3</v>
      </c>
      <c r="G14369" s="2890">
        <v>48.780843279390872</v>
      </c>
    </row>
    <row r="14370" spans="2:7" ht="15" hidden="1" outlineLevel="2">
      <c r="B14370" s="2889" t="s">
        <v>1649</v>
      </c>
      <c r="C14370" s="2889" t="s">
        <v>1591</v>
      </c>
      <c r="D14370" s="2889" t="s">
        <v>1559</v>
      </c>
      <c r="E14370" s="2889" t="s">
        <v>1426</v>
      </c>
      <c r="F14370" s="2891"/>
      <c r="G14370" s="2890">
        <v>7.5828384851565955E-2</v>
      </c>
    </row>
    <row r="14371" spans="2:7" ht="15" hidden="1" outlineLevel="2">
      <c r="B14371" s="2889" t="s">
        <v>1649</v>
      </c>
      <c r="C14371" s="2889" t="s">
        <v>1592</v>
      </c>
      <c r="D14371" s="2889" t="s">
        <v>1559</v>
      </c>
      <c r="E14371" s="2889" t="s">
        <v>1426</v>
      </c>
      <c r="F14371" s="2891"/>
      <c r="G14371" s="2890">
        <v>2.6021645822646068E-29</v>
      </c>
    </row>
    <row r="14372" spans="2:7" ht="15" hidden="1" outlineLevel="2">
      <c r="B14372" s="2889" t="s">
        <v>1649</v>
      </c>
      <c r="C14372" s="2889" t="s">
        <v>1593</v>
      </c>
      <c r="D14372" s="2889" t="s">
        <v>1559</v>
      </c>
      <c r="E14372" s="2889" t="s">
        <v>1426</v>
      </c>
      <c r="F14372" s="2891"/>
      <c r="G14372" s="2890">
        <v>530.25332747577033</v>
      </c>
    </row>
    <row r="14373" spans="2:7" ht="15" hidden="1" outlineLevel="2">
      <c r="B14373" s="2889" t="s">
        <v>1649</v>
      </c>
      <c r="C14373" s="2889" t="s">
        <v>1594</v>
      </c>
      <c r="D14373" s="2889" t="s">
        <v>1559</v>
      </c>
      <c r="E14373" s="2889" t="s">
        <v>1426</v>
      </c>
      <c r="F14373" s="2891"/>
      <c r="G14373" s="2890">
        <v>109.42632205002275</v>
      </c>
    </row>
    <row r="14374" spans="2:7" ht="15" hidden="1" outlineLevel="2">
      <c r="B14374" s="2889" t="s">
        <v>1649</v>
      </c>
      <c r="C14374" s="2889" t="s">
        <v>1595</v>
      </c>
      <c r="D14374" s="2889" t="s">
        <v>1559</v>
      </c>
      <c r="E14374" s="2889" t="s">
        <v>1426</v>
      </c>
      <c r="F14374" s="2891"/>
      <c r="G14374" s="2890">
        <v>721.92610783959299</v>
      </c>
    </row>
    <row r="14375" spans="2:7" ht="15" hidden="1" outlineLevel="2">
      <c r="B14375" s="2889" t="s">
        <v>1649</v>
      </c>
      <c r="C14375" s="2889" t="s">
        <v>1596</v>
      </c>
      <c r="D14375" s="2889" t="s">
        <v>1559</v>
      </c>
      <c r="E14375" s="2889" t="s">
        <v>1426</v>
      </c>
      <c r="F14375" s="2891"/>
      <c r="G14375" s="2890">
        <v>85.121290335723501</v>
      </c>
    </row>
    <row r="14376" spans="2:7" ht="15" hidden="1" outlineLevel="2">
      <c r="B14376" s="2889" t="s">
        <v>1649</v>
      </c>
      <c r="C14376" s="2889" t="s">
        <v>1597</v>
      </c>
      <c r="D14376" s="2889" t="s">
        <v>1559</v>
      </c>
      <c r="E14376" s="2889" t="s">
        <v>1426</v>
      </c>
      <c r="F14376" s="2891"/>
      <c r="G14376" s="2890">
        <v>2.0276423949913895</v>
      </c>
    </row>
    <row r="14377" spans="2:7" ht="15" hidden="1" outlineLevel="2">
      <c r="B14377" s="2889" t="s">
        <v>1649</v>
      </c>
      <c r="C14377" s="2889" t="s">
        <v>1598</v>
      </c>
      <c r="D14377" s="2889" t="s">
        <v>1599</v>
      </c>
      <c r="E14377" s="2889" t="s">
        <v>217</v>
      </c>
      <c r="F14377" s="2890">
        <v>1.7556974704997119E-2</v>
      </c>
      <c r="G14377" s="2890">
        <v>10.152315159926115</v>
      </c>
    </row>
    <row r="14378" spans="2:7" ht="15" hidden="1" outlineLevel="2">
      <c r="B14378" s="2889" t="s">
        <v>1649</v>
      </c>
      <c r="C14378" s="2889" t="s">
        <v>1600</v>
      </c>
      <c r="D14378" s="2889" t="s">
        <v>1599</v>
      </c>
      <c r="E14378" s="2889" t="s">
        <v>217</v>
      </c>
      <c r="F14378" s="2890">
        <v>2.0524469044164627E-2</v>
      </c>
      <c r="G14378" s="2890">
        <v>22.859516119742452</v>
      </c>
    </row>
    <row r="14379" spans="2:7" ht="15" hidden="1" outlineLevel="2">
      <c r="B14379" s="2889" t="s">
        <v>1649</v>
      </c>
      <c r="C14379" s="2889" t="s">
        <v>1601</v>
      </c>
      <c r="D14379" s="2889" t="s">
        <v>1599</v>
      </c>
      <c r="E14379" s="2889" t="s">
        <v>217</v>
      </c>
      <c r="F14379" s="2890">
        <v>2.1052892333692542E-4</v>
      </c>
      <c r="G14379" s="2890">
        <v>0.26854744744134029</v>
      </c>
    </row>
    <row r="14380" spans="2:7" ht="15" hidden="1" outlineLevel="2">
      <c r="B14380" s="2889" t="s">
        <v>1649</v>
      </c>
      <c r="C14380" s="2889" t="s">
        <v>1602</v>
      </c>
      <c r="D14380" s="2889" t="s">
        <v>1599</v>
      </c>
      <c r="E14380" s="2889" t="s">
        <v>1426</v>
      </c>
      <c r="F14380" s="2891"/>
      <c r="G14380" s="2890">
        <v>304.21260182194868</v>
      </c>
    </row>
    <row r="14381" spans="2:7" ht="15" hidden="1" outlineLevel="2">
      <c r="B14381" s="2889" t="s">
        <v>1649</v>
      </c>
      <c r="C14381" s="2889" t="s">
        <v>1603</v>
      </c>
      <c r="D14381" s="2889" t="s">
        <v>1604</v>
      </c>
      <c r="E14381" s="2889" t="s">
        <v>217</v>
      </c>
      <c r="F14381" s="2890">
        <v>1.0379941144339633E-33</v>
      </c>
      <c r="G14381" s="2890">
        <v>1.3260307253321559E-30</v>
      </c>
    </row>
    <row r="14382" spans="2:7" ht="15" hidden="1" outlineLevel="2">
      <c r="B14382" s="2889" t="s">
        <v>1649</v>
      </c>
      <c r="C14382" s="2889" t="s">
        <v>1605</v>
      </c>
      <c r="D14382" s="2889" t="s">
        <v>1604</v>
      </c>
      <c r="E14382" s="2889" t="s">
        <v>1423</v>
      </c>
      <c r="F14382" s="2890">
        <v>3.136151520901011E-33</v>
      </c>
      <c r="G14382" s="2890">
        <v>7.3601632656396319E-31</v>
      </c>
    </row>
    <row r="14383" spans="2:7" ht="15" hidden="1" outlineLevel="2">
      <c r="B14383" s="2889" t="s">
        <v>1649</v>
      </c>
      <c r="C14383" s="2889" t="s">
        <v>1606</v>
      </c>
      <c r="D14383" s="2889" t="s">
        <v>1604</v>
      </c>
      <c r="E14383" s="2889" t="s">
        <v>1426</v>
      </c>
      <c r="F14383" s="2891"/>
      <c r="G14383" s="2890">
        <v>7.9720101268876722E-32</v>
      </c>
    </row>
    <row r="14384" spans="2:7" ht="15" hidden="1" outlineLevel="2">
      <c r="B14384" s="2889" t="s">
        <v>1649</v>
      </c>
      <c r="C14384" s="2889" t="s">
        <v>1607</v>
      </c>
      <c r="D14384" s="2889" t="s">
        <v>1608</v>
      </c>
      <c r="E14384" s="2889" t="s">
        <v>217</v>
      </c>
      <c r="F14384" s="2890">
        <v>13.333593116487345</v>
      </c>
      <c r="G14384" s="2890">
        <v>10956.584922687398</v>
      </c>
    </row>
    <row r="14385" spans="2:7" ht="15" hidden="1" outlineLevel="2">
      <c r="B14385" s="2889" t="s">
        <v>1649</v>
      </c>
      <c r="C14385" s="2889" t="s">
        <v>1609</v>
      </c>
      <c r="D14385" s="2889" t="s">
        <v>1608</v>
      </c>
      <c r="E14385" s="2889" t="s">
        <v>217</v>
      </c>
      <c r="F14385" s="2890">
        <v>5.8060704263270972</v>
      </c>
      <c r="G14385" s="2890">
        <v>4623.6503748659443</v>
      </c>
    </row>
    <row r="14386" spans="2:7" ht="15" hidden="1" outlineLevel="2">
      <c r="B14386" s="2889" t="s">
        <v>1649</v>
      </c>
      <c r="C14386" s="2889" t="s">
        <v>1610</v>
      </c>
      <c r="D14386" s="2889" t="s">
        <v>1608</v>
      </c>
      <c r="E14386" s="2889" t="s">
        <v>217</v>
      </c>
      <c r="F14386" s="2890">
        <v>5.1176676937540151</v>
      </c>
      <c r="G14386" s="2890">
        <v>7983.2554946947093</v>
      </c>
    </row>
    <row r="14387" spans="2:7" ht="15" hidden="1" outlineLevel="2">
      <c r="B14387" s="2889" t="s">
        <v>1649</v>
      </c>
      <c r="C14387" s="2889" t="s">
        <v>1611</v>
      </c>
      <c r="D14387" s="2889" t="s">
        <v>1608</v>
      </c>
      <c r="E14387" s="2889" t="s">
        <v>1612</v>
      </c>
      <c r="F14387" s="2891"/>
      <c r="G14387" s="2890">
        <v>7108.0143685411367</v>
      </c>
    </row>
    <row r="14388" spans="2:7" ht="15" hidden="1" outlineLevel="2">
      <c r="B14388" s="2889" t="s">
        <v>1649</v>
      </c>
      <c r="C14388" s="2889" t="s">
        <v>1613</v>
      </c>
      <c r="D14388" s="2889" t="s">
        <v>1608</v>
      </c>
      <c r="E14388" s="2889" t="s">
        <v>1612</v>
      </c>
      <c r="F14388" s="2891"/>
      <c r="G14388" s="2890">
        <v>25.659218919550813</v>
      </c>
    </row>
    <row r="14389" spans="2:7" ht="15" hidden="1" outlineLevel="2">
      <c r="B14389" s="2889" t="s">
        <v>1649</v>
      </c>
      <c r="C14389" s="2889" t="s">
        <v>1614</v>
      </c>
      <c r="D14389" s="2889" t="s">
        <v>1615</v>
      </c>
      <c r="E14389" s="2889" t="s">
        <v>1426</v>
      </c>
      <c r="F14389" s="2891"/>
      <c r="G14389" s="2890">
        <v>1.3653770425009171E-30</v>
      </c>
    </row>
    <row r="14390" spans="2:7" ht="15" hidden="1" outlineLevel="2">
      <c r="B14390" s="2889" t="s">
        <v>1649</v>
      </c>
      <c r="C14390" s="2889" t="s">
        <v>1616</v>
      </c>
      <c r="D14390" s="2889" t="s">
        <v>1615</v>
      </c>
      <c r="E14390" s="2889" t="s">
        <v>217</v>
      </c>
      <c r="F14390" s="2890">
        <v>1.4296641266448002E-35</v>
      </c>
      <c r="G14390" s="2890">
        <v>1.9649166645629601E-32</v>
      </c>
    </row>
    <row r="14391" spans="2:7" ht="15" hidden="1" outlineLevel="2">
      <c r="B14391" s="2889" t="s">
        <v>1649</v>
      </c>
      <c r="C14391" s="2889" t="s">
        <v>1617</v>
      </c>
      <c r="D14391" s="2889" t="s">
        <v>1615</v>
      </c>
      <c r="E14391" s="2889" t="s">
        <v>1420</v>
      </c>
      <c r="F14391" s="2890">
        <v>1.3212207888560816E-40</v>
      </c>
      <c r="G14391" s="2890">
        <v>3.8274928299855921E-37</v>
      </c>
    </row>
    <row r="14392" spans="2:7" ht="15" hidden="1" outlineLevel="2">
      <c r="B14392" s="2889" t="s">
        <v>1649</v>
      </c>
      <c r="C14392" s="2889" t="s">
        <v>1620</v>
      </c>
      <c r="D14392" s="2889" t="s">
        <v>1619</v>
      </c>
      <c r="E14392" s="2889" t="s">
        <v>217</v>
      </c>
      <c r="F14392" s="2890">
        <v>3.4412263012536057E-35</v>
      </c>
      <c r="G14392" s="2890">
        <v>4.1921589853032535E-32</v>
      </c>
    </row>
    <row r="14393" spans="2:7" ht="15" hidden="1" outlineLevel="2">
      <c r="B14393" s="2889" t="s">
        <v>1649</v>
      </c>
      <c r="C14393" s="2889" t="s">
        <v>1621</v>
      </c>
      <c r="D14393" s="2889" t="s">
        <v>1619</v>
      </c>
      <c r="E14393" s="2889" t="s">
        <v>217</v>
      </c>
      <c r="F14393" s="2890">
        <v>2.5725958477969523E-34</v>
      </c>
      <c r="G14393" s="2890">
        <v>7.0309237561352104E-32</v>
      </c>
    </row>
    <row r="14394" spans="2:7" ht="15" hidden="1" outlineLevel="2">
      <c r="B14394" s="2889" t="s">
        <v>1649</v>
      </c>
      <c r="C14394" s="2889" t="s">
        <v>1622</v>
      </c>
      <c r="D14394" s="2889" t="s">
        <v>1619</v>
      </c>
      <c r="E14394" s="2889" t="s">
        <v>217</v>
      </c>
      <c r="F14394" s="2890">
        <v>1.0334569929962253E-33</v>
      </c>
      <c r="G14394" s="2890">
        <v>1.1418625961266794E-30</v>
      </c>
    </row>
    <row r="14395" spans="2:7" ht="15" hidden="1" outlineLevel="2">
      <c r="B14395" s="2889" t="s">
        <v>1649</v>
      </c>
      <c r="C14395" s="2889" t="s">
        <v>1623</v>
      </c>
      <c r="D14395" s="2889" t="s">
        <v>1619</v>
      </c>
      <c r="E14395" s="2889" t="s">
        <v>217</v>
      </c>
      <c r="F14395" s="2890">
        <v>6.5686298980488706E-34</v>
      </c>
      <c r="G14395" s="2890">
        <v>4.5774112357123968E-31</v>
      </c>
    </row>
    <row r="14396" spans="2:7" ht="15" hidden="1" outlineLevel="2">
      <c r="B14396" s="2889" t="s">
        <v>1649</v>
      </c>
      <c r="C14396" s="2889" t="s">
        <v>1624</v>
      </c>
      <c r="D14396" s="2889" t="s">
        <v>1619</v>
      </c>
      <c r="E14396" s="2889" t="s">
        <v>217</v>
      </c>
      <c r="F14396" s="2890">
        <v>9.4610194307558104E-32</v>
      </c>
      <c r="G14396" s="2890">
        <v>8.1160552133930694E-29</v>
      </c>
    </row>
    <row r="14397" spans="2:7" ht="15" hidden="1" outlineLevel="2">
      <c r="B14397" s="2889" t="s">
        <v>1649</v>
      </c>
      <c r="C14397" s="2889" t="s">
        <v>1625</v>
      </c>
      <c r="D14397" s="2889" t="s">
        <v>1619</v>
      </c>
      <c r="E14397" s="2889" t="s">
        <v>217</v>
      </c>
      <c r="F14397" s="2890">
        <v>6.6319380563515731E-2</v>
      </c>
      <c r="G14397" s="2890">
        <v>86.330920114526606</v>
      </c>
    </row>
    <row r="14398" spans="2:7" ht="15" hidden="1" outlineLevel="2">
      <c r="B14398" s="2889" t="s">
        <v>1649</v>
      </c>
      <c r="C14398" s="2889" t="s">
        <v>1626</v>
      </c>
      <c r="D14398" s="2889" t="s">
        <v>1619</v>
      </c>
      <c r="E14398" s="2889" t="s">
        <v>217</v>
      </c>
      <c r="F14398" s="2890">
        <v>1.6173722528088712E-35</v>
      </c>
      <c r="G14398" s="2890">
        <v>1.5768694812717283E-32</v>
      </c>
    </row>
    <row r="14399" spans="2:7" ht="15" hidden="1" outlineLevel="2">
      <c r="B14399" s="2889" t="s">
        <v>1649</v>
      </c>
      <c r="C14399" s="2889" t="s">
        <v>1627</v>
      </c>
      <c r="D14399" s="2889" t="s">
        <v>1619</v>
      </c>
      <c r="E14399" s="2889" t="s">
        <v>1420</v>
      </c>
      <c r="F14399" s="2890">
        <v>1.9010908880696712E-35</v>
      </c>
      <c r="G14399" s="2890">
        <v>3.1761120668295189E-32</v>
      </c>
    </row>
    <row r="14400" spans="2:7" ht="15" hidden="1" outlineLevel="2">
      <c r="B14400" s="2889" t="s">
        <v>1649</v>
      </c>
      <c r="C14400" s="2889" t="s">
        <v>1628</v>
      </c>
      <c r="D14400" s="2889" t="s">
        <v>1619</v>
      </c>
      <c r="E14400" s="2889" t="s">
        <v>1426</v>
      </c>
      <c r="F14400" s="2891"/>
      <c r="G14400" s="2890">
        <v>3.9412429149442822E-29</v>
      </c>
    </row>
    <row r="14401" spans="2:7" ht="15" hidden="1" outlineLevel="2">
      <c r="B14401" s="2889" t="s">
        <v>1649</v>
      </c>
      <c r="C14401" s="2889" t="s">
        <v>1629</v>
      </c>
      <c r="D14401" s="2889" t="s">
        <v>1630</v>
      </c>
      <c r="E14401" s="2889" t="s">
        <v>1426</v>
      </c>
      <c r="F14401" s="2891"/>
      <c r="G14401" s="2890">
        <v>7.3562761348962141E-30</v>
      </c>
    </row>
    <row r="14402" spans="2:7" ht="15" outlineLevel="1" collapsed="1">
      <c r="B14402" s="3042" t="s">
        <v>1719</v>
      </c>
      <c r="C14402" s="2889"/>
      <c r="D14402" s="2889"/>
      <c r="E14402" s="2889"/>
      <c r="F14402" s="2891">
        <f>SUBTOTAL(9,F14192:F14401)</f>
        <v>36.172819543514187</v>
      </c>
      <c r="G14402" s="2890">
        <f>SUBTOTAL(9,G14192:G14401)</f>
        <v>79145.122934185609</v>
      </c>
    </row>
    <row r="14403" spans="2:7" ht="15" hidden="1" outlineLevel="2">
      <c r="B14403" s="2889" t="s">
        <v>1650</v>
      </c>
      <c r="C14403" s="2889" t="s">
        <v>1408</v>
      </c>
      <c r="D14403" s="2889" t="s">
        <v>197</v>
      </c>
      <c r="E14403" s="2889" t="s">
        <v>217</v>
      </c>
      <c r="F14403" s="2890">
        <v>2.2711484372410482E-3</v>
      </c>
      <c r="G14403" s="2890">
        <v>1.3852581011973732</v>
      </c>
    </row>
    <row r="14404" spans="2:7" ht="15" hidden="1" outlineLevel="2">
      <c r="B14404" s="2889" t="s">
        <v>1650</v>
      </c>
      <c r="C14404" s="2889" t="s">
        <v>1409</v>
      </c>
      <c r="D14404" s="2889" t="s">
        <v>197</v>
      </c>
      <c r="E14404" s="2889" t="s">
        <v>217</v>
      </c>
      <c r="F14404" s="2890">
        <v>2.395071938047819E-3</v>
      </c>
      <c r="G14404" s="2890">
        <v>3.3604376077039673</v>
      </c>
    </row>
    <row r="14405" spans="2:7" ht="15" hidden="1" outlineLevel="2">
      <c r="B14405" s="2889" t="s">
        <v>1650</v>
      </c>
      <c r="C14405" s="2889" t="s">
        <v>1410</v>
      </c>
      <c r="D14405" s="2889" t="s">
        <v>197</v>
      </c>
      <c r="E14405" s="2889" t="s">
        <v>217</v>
      </c>
      <c r="F14405" s="2890">
        <v>3.8258257755548809E-3</v>
      </c>
      <c r="G14405" s="2890">
        <v>13.075269687632064</v>
      </c>
    </row>
    <row r="14406" spans="2:7" ht="15" hidden="1" outlineLevel="2">
      <c r="B14406" s="2889" t="s">
        <v>1650</v>
      </c>
      <c r="C14406" s="2889" t="s">
        <v>1411</v>
      </c>
      <c r="D14406" s="2889" t="s">
        <v>197</v>
      </c>
      <c r="E14406" s="2889" t="s">
        <v>217</v>
      </c>
      <c r="F14406" s="2890">
        <v>6.283539442394502E-5</v>
      </c>
      <c r="G14406" s="2890">
        <v>8.2355532646229801E-2</v>
      </c>
    </row>
    <row r="14407" spans="2:7" ht="15" hidden="1" outlineLevel="2">
      <c r="B14407" s="2889" t="s">
        <v>1650</v>
      </c>
      <c r="C14407" s="2889" t="s">
        <v>1412</v>
      </c>
      <c r="D14407" s="2889" t="s">
        <v>197</v>
      </c>
      <c r="E14407" s="2889" t="s">
        <v>217</v>
      </c>
      <c r="F14407" s="2890">
        <v>6.7881454002035628E-3</v>
      </c>
      <c r="G14407" s="2890">
        <v>8.8901390289644162</v>
      </c>
    </row>
    <row r="14408" spans="2:7" ht="15" hidden="1" outlineLevel="2">
      <c r="B14408" s="2889" t="s">
        <v>1650</v>
      </c>
      <c r="C14408" s="2889" t="s">
        <v>1413</v>
      </c>
      <c r="D14408" s="2889" t="s">
        <v>197</v>
      </c>
      <c r="E14408" s="2889" t="s">
        <v>217</v>
      </c>
      <c r="F14408" s="2890">
        <v>2.2367222338953454E-3</v>
      </c>
      <c r="G14408" s="2890">
        <v>2.7847758491560843</v>
      </c>
    </row>
    <row r="14409" spans="2:7" ht="15" hidden="1" outlineLevel="2">
      <c r="B14409" s="2889" t="s">
        <v>1650</v>
      </c>
      <c r="C14409" s="2889" t="s">
        <v>1414</v>
      </c>
      <c r="D14409" s="2889" t="s">
        <v>197</v>
      </c>
      <c r="E14409" s="2889" t="s">
        <v>217</v>
      </c>
      <c r="F14409" s="2890">
        <v>2.917433019709776E-2</v>
      </c>
      <c r="G14409" s="2890">
        <v>30.251556081785765</v>
      </c>
    </row>
    <row r="14410" spans="2:7" ht="15" hidden="1" outlineLevel="2">
      <c r="B14410" s="2889" t="s">
        <v>1650</v>
      </c>
      <c r="C14410" s="2889" t="s">
        <v>1415</v>
      </c>
      <c r="D14410" s="2889" t="s">
        <v>197</v>
      </c>
      <c r="E14410" s="2889" t="s">
        <v>217</v>
      </c>
      <c r="F14410" s="2890">
        <v>9.589122851983109E-2</v>
      </c>
      <c r="G14410" s="2890">
        <v>64.844232202589751</v>
      </c>
    </row>
    <row r="14411" spans="2:7" ht="15" hidden="1" outlineLevel="2">
      <c r="B14411" s="2889" t="s">
        <v>1650</v>
      </c>
      <c r="C14411" s="2889" t="s">
        <v>1416</v>
      </c>
      <c r="D14411" s="2889" t="s">
        <v>197</v>
      </c>
      <c r="E14411" s="2889" t="s">
        <v>217</v>
      </c>
      <c r="F14411" s="2890">
        <v>1.077206701464356E-2</v>
      </c>
      <c r="G14411" s="2890">
        <v>14.107712605452319</v>
      </c>
    </row>
    <row r="14412" spans="2:7" ht="15" hidden="1" outlineLevel="2">
      <c r="B14412" s="2889" t="s">
        <v>1650</v>
      </c>
      <c r="C14412" s="2889" t="s">
        <v>1417</v>
      </c>
      <c r="D14412" s="2889" t="s">
        <v>197</v>
      </c>
      <c r="E14412" s="2889" t="s">
        <v>217</v>
      </c>
      <c r="F14412" s="2890">
        <v>1.604133709323198E-2</v>
      </c>
      <c r="G14412" s="2890">
        <v>20.42791543649243</v>
      </c>
    </row>
    <row r="14413" spans="2:7" ht="15" hidden="1" outlineLevel="2">
      <c r="B14413" s="2889" t="s">
        <v>1650</v>
      </c>
      <c r="C14413" s="2889" t="s">
        <v>1418</v>
      </c>
      <c r="D14413" s="2889" t="s">
        <v>197</v>
      </c>
      <c r="E14413" s="2889" t="s">
        <v>217</v>
      </c>
      <c r="F14413" s="2890">
        <v>3.2190292266454971E-3</v>
      </c>
      <c r="G14413" s="2890">
        <v>22.661605327077275</v>
      </c>
    </row>
    <row r="14414" spans="2:7" ht="15" hidden="1" outlineLevel="2">
      <c r="B14414" s="2889" t="s">
        <v>1650</v>
      </c>
      <c r="C14414" s="2889" t="s">
        <v>1419</v>
      </c>
      <c r="D14414" s="2889" t="s">
        <v>197</v>
      </c>
      <c r="E14414" s="2889" t="s">
        <v>1420</v>
      </c>
      <c r="F14414" s="2890">
        <v>7.8057308710230124E-5</v>
      </c>
      <c r="G14414" s="2890">
        <v>0.12402961119902271</v>
      </c>
    </row>
    <row r="14415" spans="2:7" ht="15" hidden="1" outlineLevel="2">
      <c r="B14415" s="2889" t="s">
        <v>1650</v>
      </c>
      <c r="C14415" s="2889" t="s">
        <v>1421</v>
      </c>
      <c r="D14415" s="2889" t="s">
        <v>197</v>
      </c>
      <c r="E14415" s="2889" t="s">
        <v>1420</v>
      </c>
      <c r="F14415" s="2890">
        <v>1.6017228626518981E-5</v>
      </c>
      <c r="G14415" s="2890">
        <v>0.16880273382675445</v>
      </c>
    </row>
    <row r="14416" spans="2:7" ht="15" hidden="1" outlineLevel="2">
      <c r="B14416" s="2889" t="s">
        <v>1650</v>
      </c>
      <c r="C14416" s="2889" t="s">
        <v>1422</v>
      </c>
      <c r="D14416" s="2889" t="s">
        <v>197</v>
      </c>
      <c r="E14416" s="2889" t="s">
        <v>1423</v>
      </c>
      <c r="F14416" s="2890">
        <v>3.124689634286176E-3</v>
      </c>
      <c r="G14416" s="2890">
        <v>3.276373852340473E-2</v>
      </c>
    </row>
    <row r="14417" spans="2:7" ht="15" hidden="1" outlineLevel="2">
      <c r="B14417" s="2889" t="s">
        <v>1650</v>
      </c>
      <c r="C14417" s="2889" t="s">
        <v>1424</v>
      </c>
      <c r="D14417" s="2889" t="s">
        <v>197</v>
      </c>
      <c r="E14417" s="2889" t="s">
        <v>1423</v>
      </c>
      <c r="F14417" s="2890">
        <v>9.9179742514262292E-4</v>
      </c>
      <c r="G14417" s="2890">
        <v>1.039631237114472E-2</v>
      </c>
    </row>
    <row r="14418" spans="2:7" ht="15" hidden="1" outlineLevel="2">
      <c r="B14418" s="2889" t="s">
        <v>1650</v>
      </c>
      <c r="C14418" s="2889" t="s">
        <v>1425</v>
      </c>
      <c r="D14418" s="2889" t="s">
        <v>197</v>
      </c>
      <c r="E14418" s="2889" t="s">
        <v>1426</v>
      </c>
      <c r="F14418" s="2891"/>
      <c r="G14418" s="2890">
        <v>0.24228956248418743</v>
      </c>
    </row>
    <row r="14419" spans="2:7" ht="15" hidden="1" outlineLevel="2">
      <c r="B14419" s="2889" t="s">
        <v>1650</v>
      </c>
      <c r="C14419" s="2889" t="s">
        <v>1427</v>
      </c>
      <c r="D14419" s="2889" t="s">
        <v>197</v>
      </c>
      <c r="E14419" s="2889" t="s">
        <v>1426</v>
      </c>
      <c r="F14419" s="2891"/>
      <c r="G14419" s="2890">
        <v>10474.754908187642</v>
      </c>
    </row>
    <row r="14420" spans="2:7" ht="15" hidden="1" outlineLevel="2">
      <c r="B14420" s="2889" t="s">
        <v>1650</v>
      </c>
      <c r="C14420" s="2889" t="s">
        <v>1428</v>
      </c>
      <c r="D14420" s="2889" t="s">
        <v>197</v>
      </c>
      <c r="E14420" s="2889" t="s">
        <v>1426</v>
      </c>
      <c r="F14420" s="2891"/>
      <c r="G14420" s="2890">
        <v>939.90517367932432</v>
      </c>
    </row>
    <row r="14421" spans="2:7" ht="15" hidden="1" outlineLevel="2">
      <c r="B14421" s="2889" t="s">
        <v>1650</v>
      </c>
      <c r="C14421" s="2889" t="s">
        <v>1429</v>
      </c>
      <c r="D14421" s="2889" t="s">
        <v>197</v>
      </c>
      <c r="E14421" s="2889" t="s">
        <v>1426</v>
      </c>
      <c r="F14421" s="2891"/>
      <c r="G14421" s="2890">
        <v>5.2245898437738143</v>
      </c>
    </row>
    <row r="14422" spans="2:7" ht="15" hidden="1" outlineLevel="2">
      <c r="B14422" s="2889" t="s">
        <v>1650</v>
      </c>
      <c r="C14422" s="2889" t="s">
        <v>1430</v>
      </c>
      <c r="D14422" s="2889" t="s">
        <v>197</v>
      </c>
      <c r="E14422" s="2889" t="s">
        <v>1426</v>
      </c>
      <c r="F14422" s="2891"/>
      <c r="G14422" s="2890">
        <v>1.0723393081190162</v>
      </c>
    </row>
    <row r="14423" spans="2:7" ht="15" hidden="1" outlineLevel="2">
      <c r="B14423" s="2889" t="s">
        <v>1650</v>
      </c>
      <c r="C14423" s="2889" t="s">
        <v>1431</v>
      </c>
      <c r="D14423" s="2889" t="s">
        <v>197</v>
      </c>
      <c r="E14423" s="2889" t="s">
        <v>1426</v>
      </c>
      <c r="F14423" s="2891"/>
      <c r="G14423" s="2890">
        <v>79.786643482630453</v>
      </c>
    </row>
    <row r="14424" spans="2:7" ht="15" hidden="1" outlineLevel="2">
      <c r="B14424" s="2889" t="s">
        <v>1650</v>
      </c>
      <c r="C14424" s="2889" t="s">
        <v>1432</v>
      </c>
      <c r="D14424" s="2889" t="s">
        <v>197</v>
      </c>
      <c r="E14424" s="2889" t="s">
        <v>1426</v>
      </c>
      <c r="F14424" s="2891"/>
      <c r="G14424" s="2890">
        <v>0.19983616003619828</v>
      </c>
    </row>
    <row r="14425" spans="2:7" ht="15" hidden="1" outlineLevel="2">
      <c r="B14425" s="2889" t="s">
        <v>1650</v>
      </c>
      <c r="C14425" s="2889" t="s">
        <v>1433</v>
      </c>
      <c r="D14425" s="2889" t="s">
        <v>197</v>
      </c>
      <c r="E14425" s="2889" t="s">
        <v>1426</v>
      </c>
      <c r="F14425" s="2891"/>
      <c r="G14425" s="2890">
        <v>73.744684358536276</v>
      </c>
    </row>
    <row r="14426" spans="2:7" ht="15" hidden="1" outlineLevel="2">
      <c r="B14426" s="2889" t="s">
        <v>1650</v>
      </c>
      <c r="C14426" s="2889" t="s">
        <v>1434</v>
      </c>
      <c r="D14426" s="2889" t="s">
        <v>197</v>
      </c>
      <c r="E14426" s="2889" t="s">
        <v>1426</v>
      </c>
      <c r="F14426" s="2891"/>
      <c r="G14426" s="2890">
        <v>204.84337885306908</v>
      </c>
    </row>
    <row r="14427" spans="2:7" ht="15" hidden="1" outlineLevel="2">
      <c r="B14427" s="2889" t="s">
        <v>1650</v>
      </c>
      <c r="C14427" s="2889" t="s">
        <v>1435</v>
      </c>
      <c r="D14427" s="2889" t="s">
        <v>197</v>
      </c>
      <c r="E14427" s="2889" t="s">
        <v>1426</v>
      </c>
      <c r="F14427" s="2891"/>
      <c r="G14427" s="2890">
        <v>150.59973591377306</v>
      </c>
    </row>
    <row r="14428" spans="2:7" ht="15" hidden="1" outlineLevel="2">
      <c r="B14428" s="2889" t="s">
        <v>1650</v>
      </c>
      <c r="C14428" s="2889" t="s">
        <v>1436</v>
      </c>
      <c r="D14428" s="2889" t="s">
        <v>1437</v>
      </c>
      <c r="E14428" s="2889" t="s">
        <v>217</v>
      </c>
      <c r="F14428" s="2890">
        <v>4.9085982753307848E-4</v>
      </c>
      <c r="G14428" s="2890">
        <v>1.5156812504459787</v>
      </c>
    </row>
    <row r="14429" spans="2:7" ht="15" hidden="1" outlineLevel="2">
      <c r="B14429" s="2889" t="s">
        <v>1650</v>
      </c>
      <c r="C14429" s="2889" t="s">
        <v>1438</v>
      </c>
      <c r="D14429" s="2889" t="s">
        <v>1437</v>
      </c>
      <c r="E14429" s="2889" t="s">
        <v>1420</v>
      </c>
      <c r="F14429" s="2890">
        <v>1.5078150994127124E-4</v>
      </c>
      <c r="G14429" s="2890">
        <v>1.3853630655264242</v>
      </c>
    </row>
    <row r="14430" spans="2:7" ht="15" hidden="1" outlineLevel="2">
      <c r="B14430" s="2889" t="s">
        <v>1650</v>
      </c>
      <c r="C14430" s="2889" t="s">
        <v>1439</v>
      </c>
      <c r="D14430" s="2889" t="s">
        <v>1437</v>
      </c>
      <c r="E14430" s="2889" t="s">
        <v>1426</v>
      </c>
      <c r="F14430" s="2891"/>
      <c r="G14430" s="2890">
        <v>95.262425811614619</v>
      </c>
    </row>
    <row r="14431" spans="2:7" ht="15" hidden="1" outlineLevel="2">
      <c r="B14431" s="2889" t="s">
        <v>1650</v>
      </c>
      <c r="C14431" s="2889" t="s">
        <v>1440</v>
      </c>
      <c r="D14431" s="2889" t="s">
        <v>1105</v>
      </c>
      <c r="E14431" s="2889" t="s">
        <v>217</v>
      </c>
      <c r="F14431" s="2890">
        <v>1.7121750038614301E-2</v>
      </c>
      <c r="G14431" s="2890">
        <v>8.4842771081972685</v>
      </c>
    </row>
    <row r="14432" spans="2:7" ht="15" hidden="1" outlineLevel="2">
      <c r="B14432" s="2889" t="s">
        <v>1650</v>
      </c>
      <c r="C14432" s="2889" t="s">
        <v>1441</v>
      </c>
      <c r="D14432" s="2889" t="s">
        <v>1105</v>
      </c>
      <c r="E14432" s="2889" t="s">
        <v>217</v>
      </c>
      <c r="F14432" s="2890">
        <v>0.10940713689246438</v>
      </c>
      <c r="G14432" s="2890">
        <v>56.60431434455775</v>
      </c>
    </row>
    <row r="14433" spans="2:7" ht="15" hidden="1" outlineLevel="2">
      <c r="B14433" s="2889" t="s">
        <v>1650</v>
      </c>
      <c r="C14433" s="2889" t="s">
        <v>1442</v>
      </c>
      <c r="D14433" s="2889" t="s">
        <v>1105</v>
      </c>
      <c r="E14433" s="2889" t="s">
        <v>217</v>
      </c>
      <c r="F14433" s="2890">
        <v>4.8700624500488179E-5</v>
      </c>
      <c r="G14433" s="2890">
        <v>2.1830561583907608E-2</v>
      </c>
    </row>
    <row r="14434" spans="2:7" ht="15" hidden="1" outlineLevel="2">
      <c r="B14434" s="2889" t="s">
        <v>1650</v>
      </c>
      <c r="C14434" s="2889" t="s">
        <v>1443</v>
      </c>
      <c r="D14434" s="2889" t="s">
        <v>1105</v>
      </c>
      <c r="E14434" s="2889" t="s">
        <v>217</v>
      </c>
      <c r="F14434" s="2890">
        <v>7.6629490526056827E-4</v>
      </c>
      <c r="G14434" s="2890">
        <v>0.34349987917286018</v>
      </c>
    </row>
    <row r="14435" spans="2:7" ht="15" hidden="1" outlineLevel="2">
      <c r="B14435" s="2889" t="s">
        <v>1650</v>
      </c>
      <c r="C14435" s="2889" t="s">
        <v>1444</v>
      </c>
      <c r="D14435" s="2889" t="s">
        <v>1105</v>
      </c>
      <c r="E14435" s="2889" t="s">
        <v>217</v>
      </c>
      <c r="F14435" s="2890">
        <v>1.4594780424414191</v>
      </c>
      <c r="G14435" s="2890">
        <v>1746.4451665843728</v>
      </c>
    </row>
    <row r="14436" spans="2:7" ht="15" hidden="1" outlineLevel="2">
      <c r="B14436" s="2889" t="s">
        <v>1650</v>
      </c>
      <c r="C14436" s="2889" t="s">
        <v>1445</v>
      </c>
      <c r="D14436" s="2889" t="s">
        <v>1105</v>
      </c>
      <c r="E14436" s="2889" t="s">
        <v>217</v>
      </c>
      <c r="F14436" s="2890">
        <v>0.31412858399018823</v>
      </c>
      <c r="G14436" s="2890">
        <v>437.03053738508902</v>
      </c>
    </row>
    <row r="14437" spans="2:7" ht="15" hidden="1" outlineLevel="2">
      <c r="B14437" s="2889" t="s">
        <v>1650</v>
      </c>
      <c r="C14437" s="2889" t="s">
        <v>1446</v>
      </c>
      <c r="D14437" s="2889" t="s">
        <v>1105</v>
      </c>
      <c r="E14437" s="2889" t="s">
        <v>217</v>
      </c>
      <c r="F14437" s="2890">
        <v>0.14499893087046081</v>
      </c>
      <c r="G14437" s="2890">
        <v>231.75382334130677</v>
      </c>
    </row>
    <row r="14438" spans="2:7" ht="15" hidden="1" outlineLevel="2">
      <c r="B14438" s="2889" t="s">
        <v>1650</v>
      </c>
      <c r="C14438" s="2889" t="s">
        <v>1447</v>
      </c>
      <c r="D14438" s="2889" t="s">
        <v>1105</v>
      </c>
      <c r="E14438" s="2889" t="s">
        <v>217</v>
      </c>
      <c r="F14438" s="2890">
        <v>0.33412861213816575</v>
      </c>
      <c r="G14438" s="2890">
        <v>497.25966103150762</v>
      </c>
    </row>
    <row r="14439" spans="2:7" ht="15" hidden="1" outlineLevel="2">
      <c r="B14439" s="2889" t="s">
        <v>1650</v>
      </c>
      <c r="C14439" s="2889" t="s">
        <v>1448</v>
      </c>
      <c r="D14439" s="2889" t="s">
        <v>1105</v>
      </c>
      <c r="E14439" s="2889" t="s">
        <v>217</v>
      </c>
      <c r="F14439" s="2890">
        <v>0.63109104046865494</v>
      </c>
      <c r="G14439" s="2890">
        <v>839.9627993340473</v>
      </c>
    </row>
    <row r="14440" spans="2:7" ht="15" hidden="1" outlineLevel="2">
      <c r="B14440" s="2889" t="s">
        <v>1650</v>
      </c>
      <c r="C14440" s="2889" t="s">
        <v>1449</v>
      </c>
      <c r="D14440" s="2889" t="s">
        <v>1105</v>
      </c>
      <c r="E14440" s="2889" t="s">
        <v>217</v>
      </c>
      <c r="F14440" s="2890">
        <v>2.8867518778119786E-2</v>
      </c>
      <c r="G14440" s="2890">
        <v>36.846251604707561</v>
      </c>
    </row>
    <row r="14441" spans="2:7" ht="15" hidden="1" outlineLevel="2">
      <c r="B14441" s="2889" t="s">
        <v>1650</v>
      </c>
      <c r="C14441" s="2889" t="s">
        <v>1450</v>
      </c>
      <c r="D14441" s="2889" t="s">
        <v>1105</v>
      </c>
      <c r="E14441" s="2889" t="s">
        <v>1420</v>
      </c>
      <c r="F14441" s="2890">
        <v>8.4523655447193355E-2</v>
      </c>
      <c r="G14441" s="2890">
        <v>232.37286231548134</v>
      </c>
    </row>
    <row r="14442" spans="2:7" ht="15" hidden="1" outlineLevel="2">
      <c r="B14442" s="2889" t="s">
        <v>1650</v>
      </c>
      <c r="C14442" s="2889" t="s">
        <v>1451</v>
      </c>
      <c r="D14442" s="2889" t="s">
        <v>1105</v>
      </c>
      <c r="E14442" s="2889" t="s">
        <v>1420</v>
      </c>
      <c r="F14442" s="2890">
        <v>1.2271918174877128E-2</v>
      </c>
      <c r="G14442" s="2890">
        <v>51.75753682288606</v>
      </c>
    </row>
    <row r="14443" spans="2:7" ht="15" hidden="1" outlineLevel="2">
      <c r="B14443" s="2889" t="s">
        <v>1650</v>
      </c>
      <c r="C14443" s="2889" t="s">
        <v>1452</v>
      </c>
      <c r="D14443" s="2889" t="s">
        <v>1105</v>
      </c>
      <c r="E14443" s="2889" t="s">
        <v>1420</v>
      </c>
      <c r="F14443" s="2890">
        <v>9.0790144571183187E-3</v>
      </c>
      <c r="G14443" s="2890">
        <v>60.669131917008968</v>
      </c>
    </row>
    <row r="14444" spans="2:7" ht="15" hidden="1" outlineLevel="2">
      <c r="B14444" s="2889" t="s">
        <v>1650</v>
      </c>
      <c r="C14444" s="2889" t="s">
        <v>1453</v>
      </c>
      <c r="D14444" s="2889" t="s">
        <v>1105</v>
      </c>
      <c r="E14444" s="2889" t="s">
        <v>1420</v>
      </c>
      <c r="F14444" s="2890">
        <v>1.590301931897304E-2</v>
      </c>
      <c r="G14444" s="2890">
        <v>75.366171073811458</v>
      </c>
    </row>
    <row r="14445" spans="2:7" ht="15" hidden="1" outlineLevel="2">
      <c r="B14445" s="2889" t="s">
        <v>1650</v>
      </c>
      <c r="C14445" s="2889" t="s">
        <v>1454</v>
      </c>
      <c r="D14445" s="2889" t="s">
        <v>1105</v>
      </c>
      <c r="E14445" s="2889" t="s">
        <v>1420</v>
      </c>
      <c r="F14445" s="2890">
        <v>3.9708976179666405E-4</v>
      </c>
      <c r="G14445" s="2890">
        <v>1.0187823755726289</v>
      </c>
    </row>
    <row r="14446" spans="2:7" ht="15" hidden="1" outlineLevel="2">
      <c r="B14446" s="2889" t="s">
        <v>1650</v>
      </c>
      <c r="C14446" s="2889" t="s">
        <v>1455</v>
      </c>
      <c r="D14446" s="2889" t="s">
        <v>1105</v>
      </c>
      <c r="E14446" s="2889" t="s">
        <v>1420</v>
      </c>
      <c r="F14446" s="2890">
        <v>1.1585141332680361E-4</v>
      </c>
      <c r="G14446" s="2890">
        <v>0.94631345768927633</v>
      </c>
    </row>
    <row r="14447" spans="2:7" ht="15" hidden="1" outlineLevel="2">
      <c r="B14447" s="2889" t="s">
        <v>1650</v>
      </c>
      <c r="C14447" s="2889" t="s">
        <v>1456</v>
      </c>
      <c r="D14447" s="2889" t="s">
        <v>1105</v>
      </c>
      <c r="E14447" s="2889" t="s">
        <v>1423</v>
      </c>
      <c r="F14447" s="2890">
        <v>1.8674995986614304</v>
      </c>
      <c r="G14447" s="2890">
        <v>51.858542427595189</v>
      </c>
    </row>
    <row r="14448" spans="2:7" ht="15" hidden="1" outlineLevel="2">
      <c r="B14448" s="2889" t="s">
        <v>1650</v>
      </c>
      <c r="C14448" s="2889" t="s">
        <v>1457</v>
      </c>
      <c r="D14448" s="2889" t="s">
        <v>1105</v>
      </c>
      <c r="E14448" s="2889" t="s">
        <v>1423</v>
      </c>
      <c r="F14448" s="2890">
        <v>7.1597260727998824E-2</v>
      </c>
      <c r="G14448" s="2890">
        <v>2.6026707618678606</v>
      </c>
    </row>
    <row r="14449" spans="2:7" ht="15" hidden="1" outlineLevel="2">
      <c r="B14449" s="2889" t="s">
        <v>1650</v>
      </c>
      <c r="C14449" s="2889" t="s">
        <v>1458</v>
      </c>
      <c r="D14449" s="2889" t="s">
        <v>1105</v>
      </c>
      <c r="E14449" s="2889" t="s">
        <v>1423</v>
      </c>
      <c r="F14449" s="2890">
        <v>5.1401582455882416E-2</v>
      </c>
      <c r="G14449" s="2890">
        <v>3.6051392396005935</v>
      </c>
    </row>
    <row r="14450" spans="2:7" ht="15" hidden="1" outlineLevel="2">
      <c r="B14450" s="2889" t="s">
        <v>1650</v>
      </c>
      <c r="C14450" s="2889" t="s">
        <v>1459</v>
      </c>
      <c r="D14450" s="2889" t="s">
        <v>1105</v>
      </c>
      <c r="E14450" s="2889" t="s">
        <v>1423</v>
      </c>
      <c r="F14450" s="2890">
        <v>0.60219551463713816</v>
      </c>
      <c r="G14450" s="2890">
        <v>126.01866617678417</v>
      </c>
    </row>
    <row r="14451" spans="2:7" ht="15" hidden="1" outlineLevel="2">
      <c r="B14451" s="2889" t="s">
        <v>1650</v>
      </c>
      <c r="C14451" s="2889" t="s">
        <v>1460</v>
      </c>
      <c r="D14451" s="2889" t="s">
        <v>1105</v>
      </c>
      <c r="E14451" s="2889" t="s">
        <v>1426</v>
      </c>
      <c r="F14451" s="2891"/>
      <c r="G14451" s="2890">
        <v>1343.8273722187325</v>
      </c>
    </row>
    <row r="14452" spans="2:7" ht="15" hidden="1" outlineLevel="2">
      <c r="B14452" s="2889" t="s">
        <v>1650</v>
      </c>
      <c r="C14452" s="2889" t="s">
        <v>1461</v>
      </c>
      <c r="D14452" s="2889" t="s">
        <v>1105</v>
      </c>
      <c r="E14452" s="2889" t="s">
        <v>1426</v>
      </c>
      <c r="F14452" s="2891"/>
      <c r="G14452" s="2890">
        <v>317.06175137997491</v>
      </c>
    </row>
    <row r="14453" spans="2:7" ht="15" hidden="1" outlineLevel="2">
      <c r="B14453" s="2889" t="s">
        <v>1650</v>
      </c>
      <c r="C14453" s="2889" t="s">
        <v>1462</v>
      </c>
      <c r="D14453" s="2889" t="s">
        <v>1105</v>
      </c>
      <c r="E14453" s="2889" t="s">
        <v>1426</v>
      </c>
      <c r="F14453" s="2891"/>
      <c r="G14453" s="2890">
        <v>879.72374165275039</v>
      </c>
    </row>
    <row r="14454" spans="2:7" ht="15" hidden="1" outlineLevel="2">
      <c r="B14454" s="2889" t="s">
        <v>1650</v>
      </c>
      <c r="C14454" s="2889" t="s">
        <v>1463</v>
      </c>
      <c r="D14454" s="2889" t="s">
        <v>1105</v>
      </c>
      <c r="E14454" s="2889" t="s">
        <v>1426</v>
      </c>
      <c r="F14454" s="2891"/>
      <c r="G14454" s="2890">
        <v>446.69508995442351</v>
      </c>
    </row>
    <row r="14455" spans="2:7" ht="15" hidden="1" outlineLevel="2">
      <c r="B14455" s="2889" t="s">
        <v>1650</v>
      </c>
      <c r="C14455" s="2889" t="s">
        <v>1464</v>
      </c>
      <c r="D14455" s="2889" t="s">
        <v>1105</v>
      </c>
      <c r="E14455" s="2889" t="s">
        <v>1426</v>
      </c>
      <c r="F14455" s="2891"/>
      <c r="G14455" s="2890">
        <v>42.9123294389683</v>
      </c>
    </row>
    <row r="14456" spans="2:7" ht="15" hidden="1" outlineLevel="2">
      <c r="B14456" s="2889" t="s">
        <v>1650</v>
      </c>
      <c r="C14456" s="2889" t="s">
        <v>1465</v>
      </c>
      <c r="D14456" s="2889" t="s">
        <v>1105</v>
      </c>
      <c r="E14456" s="2889" t="s">
        <v>1426</v>
      </c>
      <c r="F14456" s="2891"/>
      <c r="G14456" s="2890">
        <v>38.072962253561748</v>
      </c>
    </row>
    <row r="14457" spans="2:7" ht="15" hidden="1" outlineLevel="2">
      <c r="B14457" s="2889" t="s">
        <v>1650</v>
      </c>
      <c r="C14457" s="2889" t="s">
        <v>1466</v>
      </c>
      <c r="D14457" s="2889" t="s">
        <v>1054</v>
      </c>
      <c r="E14457" s="2889" t="s">
        <v>217</v>
      </c>
      <c r="F14457" s="2890">
        <v>3.517318137833534E-2</v>
      </c>
      <c r="G14457" s="2890">
        <v>21.686718417543439</v>
      </c>
    </row>
    <row r="14458" spans="2:7" ht="15" hidden="1" outlineLevel="2">
      <c r="B14458" s="2889" t="s">
        <v>1650</v>
      </c>
      <c r="C14458" s="2889" t="s">
        <v>1467</v>
      </c>
      <c r="D14458" s="2889" t="s">
        <v>1054</v>
      </c>
      <c r="E14458" s="2889" t="s">
        <v>217</v>
      </c>
      <c r="F14458" s="2890">
        <v>2.9068378987493751E-3</v>
      </c>
      <c r="G14458" s="2890">
        <v>1.4065487171092856</v>
      </c>
    </row>
    <row r="14459" spans="2:7" ht="15" hidden="1" outlineLevel="2">
      <c r="B14459" s="2889" t="s">
        <v>1650</v>
      </c>
      <c r="C14459" s="2889" t="s">
        <v>1468</v>
      </c>
      <c r="D14459" s="2889" t="s">
        <v>1054</v>
      </c>
      <c r="E14459" s="2889" t="s">
        <v>217</v>
      </c>
      <c r="F14459" s="2890">
        <v>3.5202661179795044E-3</v>
      </c>
      <c r="G14459" s="2890">
        <v>1.6814466360981202</v>
      </c>
    </row>
    <row r="14460" spans="2:7" ht="15" hidden="1" outlineLevel="2">
      <c r="B14460" s="2889" t="s">
        <v>1650</v>
      </c>
      <c r="C14460" s="2889" t="s">
        <v>1469</v>
      </c>
      <c r="D14460" s="2889" t="s">
        <v>1054</v>
      </c>
      <c r="E14460" s="2889" t="s">
        <v>217</v>
      </c>
      <c r="F14460" s="2890">
        <v>2.8090659541956758E-5</v>
      </c>
      <c r="G14460" s="2890">
        <v>1.2591560683655075E-2</v>
      </c>
    </row>
    <row r="14461" spans="2:7" ht="15" hidden="1" outlineLevel="2">
      <c r="B14461" s="2889" t="s">
        <v>1650</v>
      </c>
      <c r="C14461" s="2889" t="s">
        <v>1470</v>
      </c>
      <c r="D14461" s="2889" t="s">
        <v>1054</v>
      </c>
      <c r="E14461" s="2889" t="s">
        <v>217</v>
      </c>
      <c r="F14461" s="2890">
        <v>0.10020706409306775</v>
      </c>
      <c r="G14461" s="2890">
        <v>56.041895741493562</v>
      </c>
    </row>
    <row r="14462" spans="2:7" ht="15" hidden="1" outlineLevel="2">
      <c r="B14462" s="2889" t="s">
        <v>1650</v>
      </c>
      <c r="C14462" s="2889" t="s">
        <v>1471</v>
      </c>
      <c r="D14462" s="2889" t="s">
        <v>1054</v>
      </c>
      <c r="E14462" s="2889" t="s">
        <v>217</v>
      </c>
      <c r="F14462" s="2890">
        <v>7.3145839689421946E-4</v>
      </c>
      <c r="G14462" s="2890">
        <v>0.32787411308497344</v>
      </c>
    </row>
    <row r="14463" spans="2:7" ht="15" hidden="1" outlineLevel="2">
      <c r="B14463" s="2889" t="s">
        <v>1650</v>
      </c>
      <c r="C14463" s="2889" t="s">
        <v>1472</v>
      </c>
      <c r="D14463" s="2889" t="s">
        <v>1054</v>
      </c>
      <c r="E14463" s="2889" t="s">
        <v>217</v>
      </c>
      <c r="F14463" s="2890">
        <v>1.2481444754262303E-2</v>
      </c>
      <c r="G14463" s="2890">
        <v>19.279046844214552</v>
      </c>
    </row>
    <row r="14464" spans="2:7" ht="15" hidden="1" outlineLevel="2">
      <c r="B14464" s="2889" t="s">
        <v>1650</v>
      </c>
      <c r="C14464" s="2889" t="s">
        <v>1473</v>
      </c>
      <c r="D14464" s="2889" t="s">
        <v>1054</v>
      </c>
      <c r="E14464" s="2889" t="s">
        <v>217</v>
      </c>
      <c r="F14464" s="2890">
        <v>1.1056507836612924E-4</v>
      </c>
      <c r="G14464" s="2890">
        <v>0.1424672198908567</v>
      </c>
    </row>
    <row r="14465" spans="2:7" ht="15" hidden="1" outlineLevel="2">
      <c r="B14465" s="2889" t="s">
        <v>1650</v>
      </c>
      <c r="C14465" s="2889" t="s">
        <v>1474</v>
      </c>
      <c r="D14465" s="2889" t="s">
        <v>1054</v>
      </c>
      <c r="E14465" s="2889" t="s">
        <v>217</v>
      </c>
      <c r="F14465" s="2890">
        <v>3.0413632905572131E-2</v>
      </c>
      <c r="G14465" s="2890">
        <v>36.076839006152738</v>
      </c>
    </row>
    <row r="14466" spans="2:7" ht="15" hidden="1" outlineLevel="2">
      <c r="B14466" s="2889" t="s">
        <v>1650</v>
      </c>
      <c r="C14466" s="2889" t="s">
        <v>1475</v>
      </c>
      <c r="D14466" s="2889" t="s">
        <v>1054</v>
      </c>
      <c r="E14466" s="2889" t="s">
        <v>217</v>
      </c>
      <c r="F14466" s="2890">
        <v>2.1784913909264129E-2</v>
      </c>
      <c r="G14466" s="2890">
        <v>34.09039598093382</v>
      </c>
    </row>
    <row r="14467" spans="2:7" ht="15" hidden="1" outlineLevel="2">
      <c r="B14467" s="2889" t="s">
        <v>1650</v>
      </c>
      <c r="C14467" s="2889" t="s">
        <v>1476</v>
      </c>
      <c r="D14467" s="2889" t="s">
        <v>1054</v>
      </c>
      <c r="E14467" s="2889" t="s">
        <v>217</v>
      </c>
      <c r="F14467" s="2890">
        <v>5.3638725828972458E-2</v>
      </c>
      <c r="G14467" s="2890">
        <v>67.851406511729806</v>
      </c>
    </row>
    <row r="14468" spans="2:7" ht="15" hidden="1" outlineLevel="2">
      <c r="B14468" s="2889" t="s">
        <v>1650</v>
      </c>
      <c r="C14468" s="2889" t="s">
        <v>1477</v>
      </c>
      <c r="D14468" s="2889" t="s">
        <v>1054</v>
      </c>
      <c r="E14468" s="2889" t="s">
        <v>217</v>
      </c>
      <c r="F14468" s="2890">
        <v>2.098058286231734E-2</v>
      </c>
      <c r="G14468" s="2890">
        <v>28.612947773246873</v>
      </c>
    </row>
    <row r="14469" spans="2:7" ht="15" hidden="1" outlineLevel="2">
      <c r="B14469" s="2889" t="s">
        <v>1650</v>
      </c>
      <c r="C14469" s="2889" t="s">
        <v>1478</v>
      </c>
      <c r="D14469" s="2889" t="s">
        <v>1054</v>
      </c>
      <c r="E14469" s="2889" t="s">
        <v>217</v>
      </c>
      <c r="F14469" s="2890">
        <v>1.1306506893197315E-3</v>
      </c>
      <c r="G14469" s="2890">
        <v>1.4855659539702772</v>
      </c>
    </row>
    <row r="14470" spans="2:7" ht="15" hidden="1" outlineLevel="2">
      <c r="B14470" s="2889" t="s">
        <v>1650</v>
      </c>
      <c r="C14470" s="2889" t="s">
        <v>1479</v>
      </c>
      <c r="D14470" s="2889" t="s">
        <v>1054</v>
      </c>
      <c r="E14470" s="2889" t="s">
        <v>217</v>
      </c>
      <c r="F14470" s="2890">
        <v>3.9976069578128416E-2</v>
      </c>
      <c r="G14470" s="2890">
        <v>59.900436475507803</v>
      </c>
    </row>
    <row r="14471" spans="2:7" ht="15" hidden="1" outlineLevel="2">
      <c r="B14471" s="2889" t="s">
        <v>1650</v>
      </c>
      <c r="C14471" s="2889" t="s">
        <v>1480</v>
      </c>
      <c r="D14471" s="2889" t="s">
        <v>1054</v>
      </c>
      <c r="E14471" s="2889" t="s">
        <v>217</v>
      </c>
      <c r="F14471" s="2890">
        <v>1.7994364726166504E-2</v>
      </c>
      <c r="G14471" s="2890">
        <v>20.630666281840618</v>
      </c>
    </row>
    <row r="14472" spans="2:7" ht="15" hidden="1" outlineLevel="2">
      <c r="B14472" s="2889" t="s">
        <v>1650</v>
      </c>
      <c r="C14472" s="2889" t="s">
        <v>1481</v>
      </c>
      <c r="D14472" s="2889" t="s">
        <v>1054</v>
      </c>
      <c r="E14472" s="2889" t="s">
        <v>217</v>
      </c>
      <c r="F14472" s="2890">
        <v>8.9057712886010387E-2</v>
      </c>
      <c r="G14472" s="2890">
        <v>124.7607678603746</v>
      </c>
    </row>
    <row r="14473" spans="2:7" ht="15" hidden="1" outlineLevel="2">
      <c r="B14473" s="2889" t="s">
        <v>1650</v>
      </c>
      <c r="C14473" s="2889" t="s">
        <v>1482</v>
      </c>
      <c r="D14473" s="2889" t="s">
        <v>1054</v>
      </c>
      <c r="E14473" s="2889" t="s">
        <v>217</v>
      </c>
      <c r="F14473" s="2890">
        <v>6.0018232186042929E-2</v>
      </c>
      <c r="G14473" s="2890">
        <v>59.766972301455908</v>
      </c>
    </row>
    <row r="14474" spans="2:7" ht="15" hidden="1" outlineLevel="2">
      <c r="B14474" s="2889" t="s">
        <v>1650</v>
      </c>
      <c r="C14474" s="2889" t="s">
        <v>1483</v>
      </c>
      <c r="D14474" s="2889" t="s">
        <v>1054</v>
      </c>
      <c r="E14474" s="2889" t="s">
        <v>217</v>
      </c>
      <c r="F14474" s="2890">
        <v>2.8492562514666683E-3</v>
      </c>
      <c r="G14474" s="2890">
        <v>4.7643667420282796</v>
      </c>
    </row>
    <row r="14475" spans="2:7" ht="15" hidden="1" outlineLevel="2">
      <c r="B14475" s="2889" t="s">
        <v>1650</v>
      </c>
      <c r="C14475" s="2889" t="s">
        <v>1484</v>
      </c>
      <c r="D14475" s="2889" t="s">
        <v>1054</v>
      </c>
      <c r="E14475" s="2889" t="s">
        <v>217</v>
      </c>
      <c r="F14475" s="2890">
        <v>5.7989919603569631E-3</v>
      </c>
      <c r="G14475" s="2890">
        <v>8.078641449104218</v>
      </c>
    </row>
    <row r="14476" spans="2:7" ht="15" hidden="1" outlineLevel="2">
      <c r="B14476" s="2889" t="s">
        <v>1650</v>
      </c>
      <c r="C14476" s="2889" t="s">
        <v>1485</v>
      </c>
      <c r="D14476" s="2889" t="s">
        <v>1054</v>
      </c>
      <c r="E14476" s="2889" t="s">
        <v>217</v>
      </c>
      <c r="F14476" s="2890">
        <v>2.5741315143140769E-3</v>
      </c>
      <c r="G14476" s="2890">
        <v>7.2391944783990683</v>
      </c>
    </row>
    <row r="14477" spans="2:7" ht="15" hidden="1" outlineLevel="2">
      <c r="B14477" s="2889" t="s">
        <v>1650</v>
      </c>
      <c r="C14477" s="2889" t="s">
        <v>1486</v>
      </c>
      <c r="D14477" s="2889" t="s">
        <v>1054</v>
      </c>
      <c r="E14477" s="2889" t="s">
        <v>217</v>
      </c>
      <c r="F14477" s="2890">
        <v>2.9997358692300472E-3</v>
      </c>
      <c r="G14477" s="2890">
        <v>17.29039935333045</v>
      </c>
    </row>
    <row r="14478" spans="2:7" ht="15" hidden="1" outlineLevel="2">
      <c r="B14478" s="2889" t="s">
        <v>1650</v>
      </c>
      <c r="C14478" s="2889" t="s">
        <v>1487</v>
      </c>
      <c r="D14478" s="2889" t="s">
        <v>1054</v>
      </c>
      <c r="E14478" s="2889" t="s">
        <v>217</v>
      </c>
      <c r="F14478" s="2890">
        <v>2.8393519904483945E-2</v>
      </c>
      <c r="G14478" s="2890">
        <v>40.973764592472335</v>
      </c>
    </row>
    <row r="14479" spans="2:7" ht="15" hidden="1" outlineLevel="2">
      <c r="B14479" s="2889" t="s">
        <v>1650</v>
      </c>
      <c r="C14479" s="2889" t="s">
        <v>1488</v>
      </c>
      <c r="D14479" s="2889" t="s">
        <v>1054</v>
      </c>
      <c r="E14479" s="2889" t="s">
        <v>217</v>
      </c>
      <c r="F14479" s="2890">
        <v>1.7603790575566686E-2</v>
      </c>
      <c r="G14479" s="2890">
        <v>28.12081523578625</v>
      </c>
    </row>
    <row r="14480" spans="2:7" ht="15" hidden="1" outlineLevel="2">
      <c r="B14480" s="2889" t="s">
        <v>1650</v>
      </c>
      <c r="C14480" s="2889" t="s">
        <v>1489</v>
      </c>
      <c r="D14480" s="2889" t="s">
        <v>1054</v>
      </c>
      <c r="E14480" s="2889" t="s">
        <v>217</v>
      </c>
      <c r="F14480" s="2890">
        <v>8.8674558441865902E-3</v>
      </c>
      <c r="G14480" s="2890">
        <v>9.2655523470312957</v>
      </c>
    </row>
    <row r="14481" spans="2:7" ht="15" hidden="1" outlineLevel="2">
      <c r="B14481" s="2889" t="s">
        <v>1650</v>
      </c>
      <c r="C14481" s="2889" t="s">
        <v>1490</v>
      </c>
      <c r="D14481" s="2889" t="s">
        <v>1054</v>
      </c>
      <c r="E14481" s="2889" t="s">
        <v>217</v>
      </c>
      <c r="F14481" s="2890">
        <v>4.1315594028742027E-3</v>
      </c>
      <c r="G14481" s="2890">
        <v>6.5454798931552025</v>
      </c>
    </row>
    <row r="14482" spans="2:7" ht="15" hidden="1" outlineLevel="2">
      <c r="B14482" s="2889" t="s">
        <v>1650</v>
      </c>
      <c r="C14482" s="2889" t="s">
        <v>1491</v>
      </c>
      <c r="D14482" s="2889" t="s">
        <v>1054</v>
      </c>
      <c r="E14482" s="2889" t="s">
        <v>1420</v>
      </c>
      <c r="F14482" s="2890">
        <v>7.8302178555353873E-4</v>
      </c>
      <c r="G14482" s="2890">
        <v>3.707463470091668</v>
      </c>
    </row>
    <row r="14483" spans="2:7" ht="15" hidden="1" outlineLevel="2">
      <c r="B14483" s="2889" t="s">
        <v>1650</v>
      </c>
      <c r="C14483" s="2889" t="s">
        <v>1492</v>
      </c>
      <c r="D14483" s="2889" t="s">
        <v>1054</v>
      </c>
      <c r="E14483" s="2889" t="s">
        <v>1420</v>
      </c>
      <c r="F14483" s="2890">
        <v>5.8207334608071618E-4</v>
      </c>
      <c r="G14483" s="2890">
        <v>6.2218208425736297</v>
      </c>
    </row>
    <row r="14484" spans="2:7" ht="15" hidden="1" outlineLevel="2">
      <c r="B14484" s="2889" t="s">
        <v>1650</v>
      </c>
      <c r="C14484" s="2889" t="s">
        <v>1493</v>
      </c>
      <c r="D14484" s="2889" t="s">
        <v>1054</v>
      </c>
      <c r="E14484" s="2889" t="s">
        <v>1420</v>
      </c>
      <c r="F14484" s="2890">
        <v>4.3101552815088287E-4</v>
      </c>
      <c r="G14484" s="2890">
        <v>1.0292750520081704</v>
      </c>
    </row>
    <row r="14485" spans="2:7" ht="15" hidden="1" outlineLevel="2">
      <c r="B14485" s="2889" t="s">
        <v>1650</v>
      </c>
      <c r="C14485" s="2889" t="s">
        <v>1494</v>
      </c>
      <c r="D14485" s="2889" t="s">
        <v>1054</v>
      </c>
      <c r="E14485" s="2889" t="s">
        <v>1420</v>
      </c>
      <c r="F14485" s="2890">
        <v>1.1752867941621485E-4</v>
      </c>
      <c r="G14485" s="2890">
        <v>0.64496703379540599</v>
      </c>
    </row>
    <row r="14486" spans="2:7" ht="15" hidden="1" outlineLevel="2">
      <c r="B14486" s="2889" t="s">
        <v>1650</v>
      </c>
      <c r="C14486" s="2889" t="s">
        <v>1495</v>
      </c>
      <c r="D14486" s="2889" t="s">
        <v>1054</v>
      </c>
      <c r="E14486" s="2889" t="s">
        <v>1420</v>
      </c>
      <c r="F14486" s="2890">
        <v>2.543401335560005E-3</v>
      </c>
      <c r="G14486" s="2890">
        <v>11.413736252394688</v>
      </c>
    </row>
    <row r="14487" spans="2:7" ht="15" hidden="1" outlineLevel="2">
      <c r="B14487" s="2889" t="s">
        <v>1650</v>
      </c>
      <c r="C14487" s="2889" t="s">
        <v>1496</v>
      </c>
      <c r="D14487" s="2889" t="s">
        <v>1054</v>
      </c>
      <c r="E14487" s="2889" t="s">
        <v>1420</v>
      </c>
      <c r="F14487" s="2890">
        <v>2.3074505815177219E-3</v>
      </c>
      <c r="G14487" s="2890">
        <v>4.109602070530407</v>
      </c>
    </row>
    <row r="14488" spans="2:7" ht="15" hidden="1" outlineLevel="2">
      <c r="B14488" s="2889" t="s">
        <v>1650</v>
      </c>
      <c r="C14488" s="2889" t="s">
        <v>1497</v>
      </c>
      <c r="D14488" s="2889" t="s">
        <v>1054</v>
      </c>
      <c r="E14488" s="2889" t="s">
        <v>1420</v>
      </c>
      <c r="F14488" s="2890">
        <v>6.4021142093971788E-4</v>
      </c>
      <c r="G14488" s="2890">
        <v>10.559537474261422</v>
      </c>
    </row>
    <row r="14489" spans="2:7" ht="15" hidden="1" outlineLevel="2">
      <c r="B14489" s="2889" t="s">
        <v>1650</v>
      </c>
      <c r="C14489" s="2889" t="s">
        <v>1498</v>
      </c>
      <c r="D14489" s="2889" t="s">
        <v>1054</v>
      </c>
      <c r="E14489" s="2889" t="s">
        <v>1420</v>
      </c>
      <c r="F14489" s="2890">
        <v>1.7499964131050399E-3</v>
      </c>
      <c r="G14489" s="2890">
        <v>4.2057504991155881</v>
      </c>
    </row>
    <row r="14490" spans="2:7" ht="15" hidden="1" outlineLevel="2">
      <c r="B14490" s="2889" t="s">
        <v>1650</v>
      </c>
      <c r="C14490" s="2889" t="s">
        <v>1499</v>
      </c>
      <c r="D14490" s="2889" t="s">
        <v>1054</v>
      </c>
      <c r="E14490" s="2889" t="s">
        <v>1420</v>
      </c>
      <c r="F14490" s="2890">
        <v>2.6727222534427757E-4</v>
      </c>
      <c r="G14490" s="2890">
        <v>0.67676683962131667</v>
      </c>
    </row>
    <row r="14491" spans="2:7" ht="15" hidden="1" outlineLevel="2">
      <c r="B14491" s="2889" t="s">
        <v>1650</v>
      </c>
      <c r="C14491" s="2889" t="s">
        <v>1500</v>
      </c>
      <c r="D14491" s="2889" t="s">
        <v>1054</v>
      </c>
      <c r="E14491" s="2889" t="s">
        <v>1420</v>
      </c>
      <c r="F14491" s="2890">
        <v>1.935905482471439E-3</v>
      </c>
      <c r="G14491" s="2890">
        <v>7.3211354359169372</v>
      </c>
    </row>
    <row r="14492" spans="2:7" ht="15" hidden="1" outlineLevel="2">
      <c r="B14492" s="2889" t="s">
        <v>1650</v>
      </c>
      <c r="C14492" s="2889" t="s">
        <v>1501</v>
      </c>
      <c r="D14492" s="2889" t="s">
        <v>1054</v>
      </c>
      <c r="E14492" s="2889" t="s">
        <v>1420</v>
      </c>
      <c r="F14492" s="2890">
        <v>2.4280452171224483E-3</v>
      </c>
      <c r="G14492" s="2890">
        <v>17.827356479308854</v>
      </c>
    </row>
    <row r="14493" spans="2:7" ht="15" hidden="1" outlineLevel="2">
      <c r="B14493" s="2889" t="s">
        <v>1650</v>
      </c>
      <c r="C14493" s="2889" t="s">
        <v>1502</v>
      </c>
      <c r="D14493" s="2889" t="s">
        <v>1054</v>
      </c>
      <c r="E14493" s="2889" t="s">
        <v>1420</v>
      </c>
      <c r="F14493" s="2890">
        <v>1.6941724517277005E-4</v>
      </c>
      <c r="G14493" s="2890">
        <v>1.8622701917411764</v>
      </c>
    </row>
    <row r="14494" spans="2:7" ht="15" hidden="1" outlineLevel="2">
      <c r="B14494" s="2889" t="s">
        <v>1650</v>
      </c>
      <c r="C14494" s="2889" t="s">
        <v>1503</v>
      </c>
      <c r="D14494" s="2889" t="s">
        <v>1054</v>
      </c>
      <c r="E14494" s="2889" t="s">
        <v>1420</v>
      </c>
      <c r="F14494" s="2890">
        <v>5.58722544955204E-3</v>
      </c>
      <c r="G14494" s="2890">
        <v>15.42637097715399</v>
      </c>
    </row>
    <row r="14495" spans="2:7" ht="15" hidden="1" outlineLevel="2">
      <c r="B14495" s="2889" t="s">
        <v>1650</v>
      </c>
      <c r="C14495" s="2889" t="s">
        <v>1504</v>
      </c>
      <c r="D14495" s="2889" t="s">
        <v>1054</v>
      </c>
      <c r="E14495" s="2889" t="s">
        <v>1420</v>
      </c>
      <c r="F14495" s="2890">
        <v>2.882051126998574E-3</v>
      </c>
      <c r="G14495" s="2890">
        <v>6.3794454850704918</v>
      </c>
    </row>
    <row r="14496" spans="2:7" ht="15" hidden="1" outlineLevel="2">
      <c r="B14496" s="2889" t="s">
        <v>1650</v>
      </c>
      <c r="C14496" s="2889" t="s">
        <v>1505</v>
      </c>
      <c r="D14496" s="2889" t="s">
        <v>1054</v>
      </c>
      <c r="E14496" s="2889" t="s">
        <v>1423</v>
      </c>
      <c r="F14496" s="2890">
        <v>8.1728673325834403E-3</v>
      </c>
      <c r="G14496" s="2890">
        <v>0.20226076880445151</v>
      </c>
    </row>
    <row r="14497" spans="2:7" ht="15" hidden="1" outlineLevel="2">
      <c r="B14497" s="2889" t="s">
        <v>1650</v>
      </c>
      <c r="C14497" s="2889" t="s">
        <v>1506</v>
      </c>
      <c r="D14497" s="2889" t="s">
        <v>1054</v>
      </c>
      <c r="E14497" s="2889" t="s">
        <v>1426</v>
      </c>
      <c r="F14497" s="2891"/>
      <c r="G14497" s="2890">
        <v>600.53571992976708</v>
      </c>
    </row>
    <row r="14498" spans="2:7" ht="15" hidden="1" outlineLevel="2">
      <c r="B14498" s="2889" t="s">
        <v>1650</v>
      </c>
      <c r="C14498" s="2889" t="s">
        <v>1507</v>
      </c>
      <c r="D14498" s="2889" t="s">
        <v>1054</v>
      </c>
      <c r="E14498" s="2889" t="s">
        <v>1426</v>
      </c>
      <c r="F14498" s="2891"/>
      <c r="G14498" s="2890">
        <v>0.97891415816024718</v>
      </c>
    </row>
    <row r="14499" spans="2:7" ht="15" hidden="1" outlineLevel="2">
      <c r="B14499" s="2889" t="s">
        <v>1650</v>
      </c>
      <c r="C14499" s="2889" t="s">
        <v>1508</v>
      </c>
      <c r="D14499" s="2889" t="s">
        <v>1054</v>
      </c>
      <c r="E14499" s="2889" t="s">
        <v>1426</v>
      </c>
      <c r="F14499" s="2891"/>
      <c r="G14499" s="2890">
        <v>16.12726511964815</v>
      </c>
    </row>
    <row r="14500" spans="2:7" ht="15" hidden="1" outlineLevel="2">
      <c r="B14500" s="2889" t="s">
        <v>1650</v>
      </c>
      <c r="C14500" s="2889" t="s">
        <v>1509</v>
      </c>
      <c r="D14500" s="2889" t="s">
        <v>1054</v>
      </c>
      <c r="E14500" s="2889" t="s">
        <v>1426</v>
      </c>
      <c r="F14500" s="2891"/>
      <c r="G14500" s="2890">
        <v>1503.2119196789545</v>
      </c>
    </row>
    <row r="14501" spans="2:7" ht="15" hidden="1" outlineLevel="2">
      <c r="B14501" s="2889" t="s">
        <v>1650</v>
      </c>
      <c r="C14501" s="2889" t="s">
        <v>1510</v>
      </c>
      <c r="D14501" s="2889" t="s">
        <v>1054</v>
      </c>
      <c r="E14501" s="2889" t="s">
        <v>1426</v>
      </c>
      <c r="F14501" s="2891"/>
      <c r="G14501" s="2890">
        <v>1635.178080931471</v>
      </c>
    </row>
    <row r="14502" spans="2:7" ht="15" hidden="1" outlineLevel="2">
      <c r="B14502" s="2889" t="s">
        <v>1650</v>
      </c>
      <c r="C14502" s="2889" t="s">
        <v>1511</v>
      </c>
      <c r="D14502" s="2889" t="s">
        <v>1054</v>
      </c>
      <c r="E14502" s="2889" t="s">
        <v>1426</v>
      </c>
      <c r="F14502" s="2891"/>
      <c r="G14502" s="2890">
        <v>90.087534528183909</v>
      </c>
    </row>
    <row r="14503" spans="2:7" ht="15" hidden="1" outlineLevel="2">
      <c r="B14503" s="2889" t="s">
        <v>1650</v>
      </c>
      <c r="C14503" s="2889" t="s">
        <v>1512</v>
      </c>
      <c r="D14503" s="2889" t="s">
        <v>1054</v>
      </c>
      <c r="E14503" s="2889" t="s">
        <v>1426</v>
      </c>
      <c r="F14503" s="2891"/>
      <c r="G14503" s="2890">
        <v>55.604707933701746</v>
      </c>
    </row>
    <row r="14504" spans="2:7" ht="15" hidden="1" outlineLevel="2">
      <c r="B14504" s="2889" t="s">
        <v>1650</v>
      </c>
      <c r="C14504" s="2889" t="s">
        <v>1513</v>
      </c>
      <c r="D14504" s="2889" t="s">
        <v>1054</v>
      </c>
      <c r="E14504" s="2889" t="s">
        <v>1426</v>
      </c>
      <c r="F14504" s="2891"/>
      <c r="G14504" s="2890">
        <v>166.03286075580235</v>
      </c>
    </row>
    <row r="14505" spans="2:7" ht="15" hidden="1" outlineLevel="2">
      <c r="B14505" s="2889" t="s">
        <v>1650</v>
      </c>
      <c r="C14505" s="2889" t="s">
        <v>1514</v>
      </c>
      <c r="D14505" s="2889" t="s">
        <v>1054</v>
      </c>
      <c r="E14505" s="2889" t="s">
        <v>1426</v>
      </c>
      <c r="F14505" s="2891"/>
      <c r="G14505" s="2890">
        <v>713.1434470910275</v>
      </c>
    </row>
    <row r="14506" spans="2:7" ht="15" hidden="1" outlineLevel="2">
      <c r="B14506" s="2889" t="s">
        <v>1650</v>
      </c>
      <c r="C14506" s="2889" t="s">
        <v>1515</v>
      </c>
      <c r="D14506" s="2889" t="s">
        <v>1054</v>
      </c>
      <c r="E14506" s="2889" t="s">
        <v>1426</v>
      </c>
      <c r="F14506" s="2891"/>
      <c r="G14506" s="2890">
        <v>613.21996247334357</v>
      </c>
    </row>
    <row r="14507" spans="2:7" ht="15" hidden="1" outlineLevel="2">
      <c r="B14507" s="2889" t="s">
        <v>1650</v>
      </c>
      <c r="C14507" s="2889" t="s">
        <v>1516</v>
      </c>
      <c r="D14507" s="2889" t="s">
        <v>1054</v>
      </c>
      <c r="E14507" s="2889" t="s">
        <v>1426</v>
      </c>
      <c r="F14507" s="2891"/>
      <c r="G14507" s="2890">
        <v>6091.9430475665868</v>
      </c>
    </row>
    <row r="14508" spans="2:7" ht="15" hidden="1" outlineLevel="2">
      <c r="B14508" s="2889" t="s">
        <v>1650</v>
      </c>
      <c r="C14508" s="2889" t="s">
        <v>1517</v>
      </c>
      <c r="D14508" s="2889" t="s">
        <v>1054</v>
      </c>
      <c r="E14508" s="2889" t="s">
        <v>1426</v>
      </c>
      <c r="F14508" s="2891"/>
      <c r="G14508" s="2890">
        <v>50.532373579067553</v>
      </c>
    </row>
    <row r="14509" spans="2:7" ht="15" hidden="1" outlineLevel="2">
      <c r="B14509" s="2889" t="s">
        <v>1650</v>
      </c>
      <c r="C14509" s="2889" t="s">
        <v>1518</v>
      </c>
      <c r="D14509" s="2889" t="s">
        <v>1054</v>
      </c>
      <c r="E14509" s="2889" t="s">
        <v>1426</v>
      </c>
      <c r="F14509" s="2891"/>
      <c r="G14509" s="2890">
        <v>23.86874472190113</v>
      </c>
    </row>
    <row r="14510" spans="2:7" ht="15" hidden="1" outlineLevel="2">
      <c r="B14510" s="2889" t="s">
        <v>1650</v>
      </c>
      <c r="C14510" s="2889" t="s">
        <v>1519</v>
      </c>
      <c r="D14510" s="2889" t="s">
        <v>1054</v>
      </c>
      <c r="E14510" s="2889" t="s">
        <v>1426</v>
      </c>
      <c r="F14510" s="2891"/>
      <c r="G14510" s="2890">
        <v>1391.3468008460327</v>
      </c>
    </row>
    <row r="14511" spans="2:7" ht="15" hidden="1" outlineLevel="2">
      <c r="B14511" s="2889" t="s">
        <v>1650</v>
      </c>
      <c r="C14511" s="2889" t="s">
        <v>1520</v>
      </c>
      <c r="D14511" s="2889" t="s">
        <v>1054</v>
      </c>
      <c r="E14511" s="2889" t="s">
        <v>1426</v>
      </c>
      <c r="F14511" s="2891"/>
      <c r="G14511" s="2890">
        <v>1515.6372114955652</v>
      </c>
    </row>
    <row r="14512" spans="2:7" ht="15" hidden="1" outlineLevel="2">
      <c r="B14512" s="2889" t="s">
        <v>1650</v>
      </c>
      <c r="C14512" s="2889" t="s">
        <v>1521</v>
      </c>
      <c r="D14512" s="2889" t="s">
        <v>1054</v>
      </c>
      <c r="E14512" s="2889" t="s">
        <v>1426</v>
      </c>
      <c r="F14512" s="2891"/>
      <c r="G14512" s="2890">
        <v>5210.397585962216</v>
      </c>
    </row>
    <row r="14513" spans="2:7" ht="15" hidden="1" outlineLevel="2">
      <c r="B14513" s="2889" t="s">
        <v>1650</v>
      </c>
      <c r="C14513" s="2889" t="s">
        <v>1522</v>
      </c>
      <c r="D14513" s="2889" t="s">
        <v>1054</v>
      </c>
      <c r="E14513" s="2889" t="s">
        <v>1426</v>
      </c>
      <c r="F14513" s="2891"/>
      <c r="G14513" s="2890">
        <v>245.29836879750974</v>
      </c>
    </row>
    <row r="14514" spans="2:7" ht="15" hidden="1" outlineLevel="2">
      <c r="B14514" s="2889" t="s">
        <v>1650</v>
      </c>
      <c r="C14514" s="2889" t="s">
        <v>1523</v>
      </c>
      <c r="D14514" s="2889" t="s">
        <v>1054</v>
      </c>
      <c r="E14514" s="2889" t="s">
        <v>1426</v>
      </c>
      <c r="F14514" s="2891"/>
      <c r="G14514" s="2890">
        <v>1949.9573845310504</v>
      </c>
    </row>
    <row r="14515" spans="2:7" ht="15" hidden="1" outlineLevel="2">
      <c r="B14515" s="2889" t="s">
        <v>1650</v>
      </c>
      <c r="C14515" s="2889" t="s">
        <v>1524</v>
      </c>
      <c r="D14515" s="2889" t="s">
        <v>1054</v>
      </c>
      <c r="E14515" s="2889" t="s">
        <v>1426</v>
      </c>
      <c r="F14515" s="2891"/>
      <c r="G14515" s="2890">
        <v>6630.8235777330965</v>
      </c>
    </row>
    <row r="14516" spans="2:7" ht="15" hidden="1" outlineLevel="2">
      <c r="B14516" s="2889" t="s">
        <v>1650</v>
      </c>
      <c r="C14516" s="2889" t="s">
        <v>1525</v>
      </c>
      <c r="D14516" s="2889" t="s">
        <v>1054</v>
      </c>
      <c r="E14516" s="2889" t="s">
        <v>1426</v>
      </c>
      <c r="F14516" s="2891"/>
      <c r="G14516" s="2890">
        <v>4021.1925905246462</v>
      </c>
    </row>
    <row r="14517" spans="2:7" ht="15" hidden="1" outlineLevel="2">
      <c r="B14517" s="2889" t="s">
        <v>1650</v>
      </c>
      <c r="C14517" s="2889" t="s">
        <v>1526</v>
      </c>
      <c r="D14517" s="2889" t="s">
        <v>1054</v>
      </c>
      <c r="E14517" s="2889" t="s">
        <v>1426</v>
      </c>
      <c r="F14517" s="2891"/>
      <c r="G14517" s="2890">
        <v>6068.5001322413564</v>
      </c>
    </row>
    <row r="14518" spans="2:7" ht="15" hidden="1" outlineLevel="2">
      <c r="B14518" s="2889" t="s">
        <v>1650</v>
      </c>
      <c r="C14518" s="2889" t="s">
        <v>1527</v>
      </c>
      <c r="D14518" s="2889" t="s">
        <v>1054</v>
      </c>
      <c r="E14518" s="2889" t="s">
        <v>1426</v>
      </c>
      <c r="F14518" s="2891"/>
      <c r="G14518" s="2890">
        <v>2757.2963437655553</v>
      </c>
    </row>
    <row r="14519" spans="2:7" ht="15" hidden="1" outlineLevel="2">
      <c r="B14519" s="2889" t="s">
        <v>1650</v>
      </c>
      <c r="C14519" s="2889" t="s">
        <v>1528</v>
      </c>
      <c r="D14519" s="2889" t="s">
        <v>1054</v>
      </c>
      <c r="E14519" s="2889" t="s">
        <v>1426</v>
      </c>
      <c r="F14519" s="2891"/>
      <c r="G14519" s="2890">
        <v>652.73919318564072</v>
      </c>
    </row>
    <row r="14520" spans="2:7" ht="15" hidden="1" outlineLevel="2">
      <c r="B14520" s="2889" t="s">
        <v>1650</v>
      </c>
      <c r="C14520" s="2889" t="s">
        <v>1529</v>
      </c>
      <c r="D14520" s="2889" t="s">
        <v>1054</v>
      </c>
      <c r="E14520" s="2889" t="s">
        <v>1426</v>
      </c>
      <c r="F14520" s="2891"/>
      <c r="G14520" s="2890">
        <v>8.4954401865260554</v>
      </c>
    </row>
    <row r="14521" spans="2:7" ht="15" hidden="1" outlineLevel="2">
      <c r="B14521" s="2889" t="s">
        <v>1650</v>
      </c>
      <c r="C14521" s="2889" t="s">
        <v>1530</v>
      </c>
      <c r="D14521" s="2889" t="s">
        <v>1054</v>
      </c>
      <c r="E14521" s="2889" t="s">
        <v>1426</v>
      </c>
      <c r="F14521" s="2891"/>
      <c r="G14521" s="2890">
        <v>625.47950396415126</v>
      </c>
    </row>
    <row r="14522" spans="2:7" ht="15" hidden="1" outlineLevel="2">
      <c r="B14522" s="2889" t="s">
        <v>1650</v>
      </c>
      <c r="C14522" s="2889" t="s">
        <v>1531</v>
      </c>
      <c r="D14522" s="2889" t="s">
        <v>1106</v>
      </c>
      <c r="E14522" s="2889" t="s">
        <v>217</v>
      </c>
      <c r="F14522" s="2890">
        <v>7.2162953190603809E-4</v>
      </c>
      <c r="G14522" s="2890">
        <v>0.32347773525774393</v>
      </c>
    </row>
    <row r="14523" spans="2:7" ht="15" hidden="1" outlineLevel="2">
      <c r="B14523" s="2889" t="s">
        <v>1650</v>
      </c>
      <c r="C14523" s="2889" t="s">
        <v>1532</v>
      </c>
      <c r="D14523" s="2889" t="s">
        <v>1106</v>
      </c>
      <c r="E14523" s="2889" t="s">
        <v>217</v>
      </c>
      <c r="F14523" s="2890">
        <v>5.6834660149819471E-5</v>
      </c>
      <c r="G14523" s="2890">
        <v>2.5476726787329859E-2</v>
      </c>
    </row>
    <row r="14524" spans="2:7" ht="15" hidden="1" outlineLevel="2">
      <c r="B14524" s="2889" t="s">
        <v>1650</v>
      </c>
      <c r="C14524" s="2889" t="s">
        <v>1533</v>
      </c>
      <c r="D14524" s="2889" t="s">
        <v>1106</v>
      </c>
      <c r="E14524" s="2889" t="s">
        <v>217</v>
      </c>
      <c r="F14524" s="2890">
        <v>3.7129822650086991E-2</v>
      </c>
      <c r="G14524" s="2890">
        <v>39.346077312132827</v>
      </c>
    </row>
    <row r="14525" spans="2:7" ht="15" hidden="1" outlineLevel="2">
      <c r="B14525" s="2889" t="s">
        <v>1650</v>
      </c>
      <c r="C14525" s="2889" t="s">
        <v>1534</v>
      </c>
      <c r="D14525" s="2889" t="s">
        <v>1106</v>
      </c>
      <c r="E14525" s="2889" t="s">
        <v>217</v>
      </c>
      <c r="F14525" s="2890">
        <v>3.3762874863268538E-2</v>
      </c>
      <c r="G14525" s="2890">
        <v>116.51438481627349</v>
      </c>
    </row>
    <row r="14526" spans="2:7" ht="15" hidden="1" outlineLevel="2">
      <c r="B14526" s="2889" t="s">
        <v>1650</v>
      </c>
      <c r="C14526" s="2889" t="s">
        <v>1535</v>
      </c>
      <c r="D14526" s="2889" t="s">
        <v>1106</v>
      </c>
      <c r="E14526" s="2889" t="s">
        <v>217</v>
      </c>
      <c r="F14526" s="2890">
        <v>1.264124719830061E-2</v>
      </c>
      <c r="G14526" s="2890">
        <v>29.425969438446906</v>
      </c>
    </row>
    <row r="14527" spans="2:7" ht="15" hidden="1" outlineLevel="2">
      <c r="B14527" s="2889" t="s">
        <v>1650</v>
      </c>
      <c r="C14527" s="2889" t="s">
        <v>1536</v>
      </c>
      <c r="D14527" s="2889" t="s">
        <v>1106</v>
      </c>
      <c r="E14527" s="2889" t="s">
        <v>217</v>
      </c>
      <c r="F14527" s="2890">
        <v>4.2417791958802263E-2</v>
      </c>
      <c r="G14527" s="2890">
        <v>54.848681099879357</v>
      </c>
    </row>
    <row r="14528" spans="2:7" ht="15" hidden="1" outlineLevel="2">
      <c r="B14528" s="2889" t="s">
        <v>1650</v>
      </c>
      <c r="C14528" s="2889" t="s">
        <v>1537</v>
      </c>
      <c r="D14528" s="2889" t="s">
        <v>1106</v>
      </c>
      <c r="E14528" s="2889" t="s">
        <v>217</v>
      </c>
      <c r="F14528" s="2890">
        <v>2.3723167304111467E-3</v>
      </c>
      <c r="G14528" s="2890">
        <v>2.6948646944734791</v>
      </c>
    </row>
    <row r="14529" spans="2:7" ht="15" hidden="1" outlineLevel="2">
      <c r="B14529" s="2889" t="s">
        <v>1650</v>
      </c>
      <c r="C14529" s="2889" t="s">
        <v>1538</v>
      </c>
      <c r="D14529" s="2889" t="s">
        <v>1106</v>
      </c>
      <c r="E14529" s="2889" t="s">
        <v>217</v>
      </c>
      <c r="F14529" s="2890">
        <v>6.8768265061129499E-4</v>
      </c>
      <c r="G14529" s="2890">
        <v>0.92192354191020531</v>
      </c>
    </row>
    <row r="14530" spans="2:7" ht="15" hidden="1" outlineLevel="2">
      <c r="B14530" s="2889" t="s">
        <v>1650</v>
      </c>
      <c r="C14530" s="2889" t="s">
        <v>1539</v>
      </c>
      <c r="D14530" s="2889" t="s">
        <v>1106</v>
      </c>
      <c r="E14530" s="2889" t="s">
        <v>217</v>
      </c>
      <c r="F14530" s="2890">
        <v>9.3296074384002997E-4</v>
      </c>
      <c r="G14530" s="2890">
        <v>11.880801968442666</v>
      </c>
    </row>
    <row r="14531" spans="2:7" ht="15" hidden="1" outlineLevel="2">
      <c r="B14531" s="2889" t="s">
        <v>1650</v>
      </c>
      <c r="C14531" s="2889" t="s">
        <v>1540</v>
      </c>
      <c r="D14531" s="2889" t="s">
        <v>1106</v>
      </c>
      <c r="E14531" s="2889" t="s">
        <v>1420</v>
      </c>
      <c r="F14531" s="2890">
        <v>4.1074718861622048E-2</v>
      </c>
      <c r="G14531" s="2890">
        <v>99.674694471250533</v>
      </c>
    </row>
    <row r="14532" spans="2:7" ht="15" hidden="1" outlineLevel="2">
      <c r="B14532" s="2889" t="s">
        <v>1650</v>
      </c>
      <c r="C14532" s="2889" t="s">
        <v>1541</v>
      </c>
      <c r="D14532" s="2889" t="s">
        <v>1106</v>
      </c>
      <c r="E14532" s="2889" t="s">
        <v>1420</v>
      </c>
      <c r="F14532" s="2890">
        <v>1.1970137801713574</v>
      </c>
      <c r="G14532" s="2890">
        <v>8812.7770496633439</v>
      </c>
    </row>
    <row r="14533" spans="2:7" ht="15" hidden="1" outlineLevel="2">
      <c r="B14533" s="2889" t="s">
        <v>1650</v>
      </c>
      <c r="C14533" s="2889" t="s">
        <v>1542</v>
      </c>
      <c r="D14533" s="2889" t="s">
        <v>1106</v>
      </c>
      <c r="E14533" s="2889" t="s">
        <v>1420</v>
      </c>
      <c r="F14533" s="2890">
        <v>5.8222033510104852E-3</v>
      </c>
      <c r="G14533" s="2890">
        <v>66.624785694858318</v>
      </c>
    </row>
    <row r="14534" spans="2:7" ht="15" hidden="1" outlineLevel="2">
      <c r="B14534" s="2889" t="s">
        <v>1650</v>
      </c>
      <c r="C14534" s="2889" t="s">
        <v>1543</v>
      </c>
      <c r="D14534" s="2889" t="s">
        <v>1106</v>
      </c>
      <c r="E14534" s="2889" t="s">
        <v>1420</v>
      </c>
      <c r="F14534" s="2890">
        <v>2.109825372144145E-3</v>
      </c>
      <c r="G14534" s="2890">
        <v>20.650585579218735</v>
      </c>
    </row>
    <row r="14535" spans="2:7" ht="15" hidden="1" outlineLevel="2">
      <c r="B14535" s="2889" t="s">
        <v>1650</v>
      </c>
      <c r="C14535" s="2889" t="s">
        <v>1544</v>
      </c>
      <c r="D14535" s="2889" t="s">
        <v>1106</v>
      </c>
      <c r="E14535" s="2889" t="s">
        <v>1420</v>
      </c>
      <c r="F14535" s="2890">
        <v>2.0392649800155963E-3</v>
      </c>
      <c r="G14535" s="2890">
        <v>5.3282136735405174</v>
      </c>
    </row>
    <row r="14536" spans="2:7" ht="15" hidden="1" outlineLevel="2">
      <c r="B14536" s="2889" t="s">
        <v>1650</v>
      </c>
      <c r="C14536" s="2889" t="s">
        <v>1545</v>
      </c>
      <c r="D14536" s="2889" t="s">
        <v>1106</v>
      </c>
      <c r="E14536" s="2889" t="s">
        <v>1420</v>
      </c>
      <c r="F14536" s="2890">
        <v>2.0393528706509146E-3</v>
      </c>
      <c r="G14536" s="2890">
        <v>40.527353437117327</v>
      </c>
    </row>
    <row r="14537" spans="2:7" ht="15" hidden="1" outlineLevel="2">
      <c r="B14537" s="2889" t="s">
        <v>1650</v>
      </c>
      <c r="C14537" s="2889" t="s">
        <v>1546</v>
      </c>
      <c r="D14537" s="2889" t="s">
        <v>1106</v>
      </c>
      <c r="E14537" s="2889" t="s">
        <v>1423</v>
      </c>
      <c r="F14537" s="2890">
        <v>6.1819795050413093</v>
      </c>
      <c r="G14537" s="2890">
        <v>520.24949159158075</v>
      </c>
    </row>
    <row r="14538" spans="2:7" ht="15" hidden="1" outlineLevel="2">
      <c r="B14538" s="2889" t="s">
        <v>1650</v>
      </c>
      <c r="C14538" s="2889" t="s">
        <v>1547</v>
      </c>
      <c r="D14538" s="2889" t="s">
        <v>1106</v>
      </c>
      <c r="E14538" s="2889" t="s">
        <v>1423</v>
      </c>
      <c r="F14538" s="2890">
        <v>6.75230648301653E-3</v>
      </c>
      <c r="G14538" s="2890">
        <v>0.59128248366660552</v>
      </c>
    </row>
    <row r="14539" spans="2:7" ht="15" hidden="1" outlineLevel="2">
      <c r="B14539" s="2889" t="s">
        <v>1650</v>
      </c>
      <c r="C14539" s="2889" t="s">
        <v>1548</v>
      </c>
      <c r="D14539" s="2889" t="s">
        <v>1106</v>
      </c>
      <c r="E14539" s="2889" t="s">
        <v>1423</v>
      </c>
      <c r="F14539" s="2890">
        <v>3.1506203201479149E-3</v>
      </c>
      <c r="G14539" s="2890">
        <v>0.32290601891570331</v>
      </c>
    </row>
    <row r="14540" spans="2:7" ht="15" hidden="1" outlineLevel="2">
      <c r="B14540" s="2889" t="s">
        <v>1650</v>
      </c>
      <c r="C14540" s="2889" t="s">
        <v>1549</v>
      </c>
      <c r="D14540" s="2889" t="s">
        <v>1106</v>
      </c>
      <c r="E14540" s="2889" t="s">
        <v>1423</v>
      </c>
      <c r="F14540" s="2890">
        <v>8.8378041809940855E-3</v>
      </c>
      <c r="G14540" s="2890">
        <v>0.87029509507414582</v>
      </c>
    </row>
    <row r="14541" spans="2:7" ht="15" hidden="1" outlineLevel="2">
      <c r="B14541" s="2889" t="s">
        <v>1650</v>
      </c>
      <c r="C14541" s="2889" t="s">
        <v>1550</v>
      </c>
      <c r="D14541" s="2889" t="s">
        <v>1106</v>
      </c>
      <c r="E14541" s="2889" t="s">
        <v>1423</v>
      </c>
      <c r="F14541" s="2890">
        <v>1.0729249828688158E-2</v>
      </c>
      <c r="G14541" s="2890">
        <v>2.4127739414839184</v>
      </c>
    </row>
    <row r="14542" spans="2:7" ht="15" hidden="1" outlineLevel="2">
      <c r="B14542" s="2889" t="s">
        <v>1650</v>
      </c>
      <c r="C14542" s="2889" t="s">
        <v>1551</v>
      </c>
      <c r="D14542" s="2889" t="s">
        <v>1106</v>
      </c>
      <c r="E14542" s="2889" t="s">
        <v>1426</v>
      </c>
      <c r="F14542" s="2891"/>
      <c r="G14542" s="2890">
        <v>162.16680065271757</v>
      </c>
    </row>
    <row r="14543" spans="2:7" ht="15" hidden="1" outlineLevel="2">
      <c r="B14543" s="2889" t="s">
        <v>1650</v>
      </c>
      <c r="C14543" s="2889" t="s">
        <v>1552</v>
      </c>
      <c r="D14543" s="2889" t="s">
        <v>1106</v>
      </c>
      <c r="E14543" s="2889" t="s">
        <v>1426</v>
      </c>
      <c r="F14543" s="2891"/>
      <c r="G14543" s="2890">
        <v>2353.1347110182924</v>
      </c>
    </row>
    <row r="14544" spans="2:7" ht="15" hidden="1" outlineLevel="2">
      <c r="B14544" s="2889" t="s">
        <v>1650</v>
      </c>
      <c r="C14544" s="2889" t="s">
        <v>1553</v>
      </c>
      <c r="D14544" s="2889" t="s">
        <v>1106</v>
      </c>
      <c r="E14544" s="2889" t="s">
        <v>1426</v>
      </c>
      <c r="F14544" s="2891"/>
      <c r="G14544" s="2890">
        <v>1027.0652716025193</v>
      </c>
    </row>
    <row r="14545" spans="2:7" ht="15" hidden="1" outlineLevel="2">
      <c r="B14545" s="2889" t="s">
        <v>1650</v>
      </c>
      <c r="C14545" s="2889" t="s">
        <v>1554</v>
      </c>
      <c r="D14545" s="2889" t="s">
        <v>1106</v>
      </c>
      <c r="E14545" s="2889" t="s">
        <v>1426</v>
      </c>
      <c r="F14545" s="2891"/>
      <c r="G14545" s="2890">
        <v>1042.4598777585547</v>
      </c>
    </row>
    <row r="14546" spans="2:7" ht="15" hidden="1" outlineLevel="2">
      <c r="B14546" s="2889" t="s">
        <v>1650</v>
      </c>
      <c r="C14546" s="2889" t="s">
        <v>1555</v>
      </c>
      <c r="D14546" s="2889" t="s">
        <v>1106</v>
      </c>
      <c r="E14546" s="2889" t="s">
        <v>1426</v>
      </c>
      <c r="F14546" s="2891"/>
      <c r="G14546" s="2890">
        <v>40.075866510922239</v>
      </c>
    </row>
    <row r="14547" spans="2:7" ht="15" hidden="1" outlineLevel="2">
      <c r="B14547" s="2889" t="s">
        <v>1650</v>
      </c>
      <c r="C14547" s="2889" t="s">
        <v>1556</v>
      </c>
      <c r="D14547" s="2889" t="s">
        <v>1106</v>
      </c>
      <c r="E14547" s="2889" t="s">
        <v>1426</v>
      </c>
      <c r="F14547" s="2891"/>
      <c r="G14547" s="2890">
        <v>2531.467368757093</v>
      </c>
    </row>
    <row r="14548" spans="2:7" ht="15" hidden="1" outlineLevel="2">
      <c r="B14548" s="2889" t="s">
        <v>1650</v>
      </c>
      <c r="C14548" s="2889" t="s">
        <v>1557</v>
      </c>
      <c r="D14548" s="2889" t="s">
        <v>1106</v>
      </c>
      <c r="E14548" s="2889" t="s">
        <v>1426</v>
      </c>
      <c r="F14548" s="2891"/>
      <c r="G14548" s="2890">
        <v>1481.478106044116</v>
      </c>
    </row>
    <row r="14549" spans="2:7" ht="15" hidden="1" outlineLevel="2">
      <c r="B14549" s="2889" t="s">
        <v>1650</v>
      </c>
      <c r="C14549" s="2889" t="s">
        <v>1558</v>
      </c>
      <c r="D14549" s="2889" t="s">
        <v>1559</v>
      </c>
      <c r="E14549" s="2889" t="s">
        <v>217</v>
      </c>
      <c r="F14549" s="2890">
        <v>9.9836221055874183E-3</v>
      </c>
      <c r="G14549" s="2890">
        <v>5.4681965961827981</v>
      </c>
    </row>
    <row r="14550" spans="2:7" ht="15" hidden="1" outlineLevel="2">
      <c r="B14550" s="2889" t="s">
        <v>1650</v>
      </c>
      <c r="C14550" s="2889" t="s">
        <v>1560</v>
      </c>
      <c r="D14550" s="2889" t="s">
        <v>1559</v>
      </c>
      <c r="E14550" s="2889" t="s">
        <v>217</v>
      </c>
      <c r="F14550" s="2890">
        <v>5.4837456705275608E-2</v>
      </c>
      <c r="G14550" s="2890">
        <v>29.5977667880905</v>
      </c>
    </row>
    <row r="14551" spans="2:7" ht="15" hidden="1" outlineLevel="2">
      <c r="B14551" s="2889" t="s">
        <v>1650</v>
      </c>
      <c r="C14551" s="2889" t="s">
        <v>1561</v>
      </c>
      <c r="D14551" s="2889" t="s">
        <v>1559</v>
      </c>
      <c r="E14551" s="2889" t="s">
        <v>217</v>
      </c>
      <c r="F14551" s="2890">
        <v>0.14327301532974249</v>
      </c>
      <c r="G14551" s="2890">
        <v>74.700099253373494</v>
      </c>
    </row>
    <row r="14552" spans="2:7" ht="15" hidden="1" outlineLevel="2">
      <c r="B14552" s="2889" t="s">
        <v>1650</v>
      </c>
      <c r="C14552" s="2889" t="s">
        <v>1562</v>
      </c>
      <c r="D14552" s="2889" t="s">
        <v>1559</v>
      </c>
      <c r="E14552" s="2889" t="s">
        <v>217</v>
      </c>
      <c r="F14552" s="2890">
        <v>0.60077613051794565</v>
      </c>
      <c r="G14552" s="2890">
        <v>329.39162501691618</v>
      </c>
    </row>
    <row r="14553" spans="2:7" ht="15" hidden="1" outlineLevel="2">
      <c r="B14553" s="2889" t="s">
        <v>1650</v>
      </c>
      <c r="C14553" s="2889" t="s">
        <v>1563</v>
      </c>
      <c r="D14553" s="2889" t="s">
        <v>1559</v>
      </c>
      <c r="E14553" s="2889" t="s">
        <v>217</v>
      </c>
      <c r="F14553" s="2890">
        <v>0.17662631431873171</v>
      </c>
      <c r="G14553" s="2890">
        <v>104.09813107282822</v>
      </c>
    </row>
    <row r="14554" spans="2:7" ht="15" hidden="1" outlineLevel="2">
      <c r="B14554" s="2889" t="s">
        <v>1650</v>
      </c>
      <c r="C14554" s="2889" t="s">
        <v>1564</v>
      </c>
      <c r="D14554" s="2889" t="s">
        <v>1559</v>
      </c>
      <c r="E14554" s="2889" t="s">
        <v>217</v>
      </c>
      <c r="F14554" s="2890">
        <v>0.56720814482890192</v>
      </c>
      <c r="G14554" s="2890">
        <v>287.22356114839448</v>
      </c>
    </row>
    <row r="14555" spans="2:7" ht="15" hidden="1" outlineLevel="2">
      <c r="B14555" s="2889" t="s">
        <v>1650</v>
      </c>
      <c r="C14555" s="2889" t="s">
        <v>1565</v>
      </c>
      <c r="D14555" s="2889" t="s">
        <v>1559</v>
      </c>
      <c r="E14555" s="2889" t="s">
        <v>217</v>
      </c>
      <c r="F14555" s="2890">
        <v>0.12449732322631317</v>
      </c>
      <c r="G14555" s="2890">
        <v>66.997349014560001</v>
      </c>
    </row>
    <row r="14556" spans="2:7" ht="15" hidden="1" outlineLevel="2">
      <c r="B14556" s="2889" t="s">
        <v>1650</v>
      </c>
      <c r="C14556" s="2889" t="s">
        <v>1566</v>
      </c>
      <c r="D14556" s="2889" t="s">
        <v>1559</v>
      </c>
      <c r="E14556" s="2889" t="s">
        <v>217</v>
      </c>
      <c r="F14556" s="2890">
        <v>0.50062389142601016</v>
      </c>
      <c r="G14556" s="2890">
        <v>268.19850488421292</v>
      </c>
    </row>
    <row r="14557" spans="2:7" ht="15" hidden="1" outlineLevel="2">
      <c r="B14557" s="2889" t="s">
        <v>1650</v>
      </c>
      <c r="C14557" s="2889" t="s">
        <v>1567</v>
      </c>
      <c r="D14557" s="2889" t="s">
        <v>1559</v>
      </c>
      <c r="E14557" s="2889" t="s">
        <v>217</v>
      </c>
      <c r="F14557" s="2890">
        <v>0.2168205070359345</v>
      </c>
      <c r="G14557" s="2890">
        <v>31.886896620437032</v>
      </c>
    </row>
    <row r="14558" spans="2:7" ht="15" hidden="1" outlineLevel="2">
      <c r="B14558" s="2889" t="s">
        <v>1650</v>
      </c>
      <c r="C14558" s="2889" t="s">
        <v>1568</v>
      </c>
      <c r="D14558" s="2889" t="s">
        <v>1559</v>
      </c>
      <c r="E14558" s="2889" t="s">
        <v>217</v>
      </c>
      <c r="F14558" s="2890">
        <v>0.58272653972717281</v>
      </c>
      <c r="G14558" s="2890">
        <v>85.702315637339836</v>
      </c>
    </row>
    <row r="14559" spans="2:7" ht="15" hidden="1" outlineLevel="2">
      <c r="B14559" s="2889" t="s">
        <v>1650</v>
      </c>
      <c r="C14559" s="2889" t="s">
        <v>1569</v>
      </c>
      <c r="D14559" s="2889" t="s">
        <v>1559</v>
      </c>
      <c r="E14559" s="2889" t="s">
        <v>217</v>
      </c>
      <c r="F14559" s="2890">
        <v>2.4525688544656656E-4</v>
      </c>
      <c r="G14559" s="2890">
        <v>0.12258946757710555</v>
      </c>
    </row>
    <row r="14560" spans="2:7" ht="15" hidden="1" outlineLevel="2">
      <c r="B14560" s="2889" t="s">
        <v>1650</v>
      </c>
      <c r="C14560" s="2889" t="s">
        <v>1570</v>
      </c>
      <c r="D14560" s="2889" t="s">
        <v>1559</v>
      </c>
      <c r="E14560" s="2889" t="s">
        <v>217</v>
      </c>
      <c r="F14560" s="2890">
        <v>1.5095083632085156</v>
      </c>
      <c r="G14560" s="2890">
        <v>933.22945498479169</v>
      </c>
    </row>
    <row r="14561" spans="2:7" ht="15" hidden="1" outlineLevel="2">
      <c r="B14561" s="2889" t="s">
        <v>1650</v>
      </c>
      <c r="C14561" s="2889" t="s">
        <v>1571</v>
      </c>
      <c r="D14561" s="2889" t="s">
        <v>1559</v>
      </c>
      <c r="E14561" s="2889" t="s">
        <v>217</v>
      </c>
      <c r="F14561" s="2890">
        <v>0.70496220797167486</v>
      </c>
      <c r="G14561" s="2890">
        <v>837.25251789663832</v>
      </c>
    </row>
    <row r="14562" spans="2:7" ht="15" hidden="1" outlineLevel="2">
      <c r="B14562" s="2889" t="s">
        <v>1650</v>
      </c>
      <c r="C14562" s="2889" t="s">
        <v>1572</v>
      </c>
      <c r="D14562" s="2889" t="s">
        <v>1559</v>
      </c>
      <c r="E14562" s="2889" t="s">
        <v>217</v>
      </c>
      <c r="F14562" s="2890">
        <v>0.12760677902467896</v>
      </c>
      <c r="G14562" s="2890">
        <v>78.252612168423738</v>
      </c>
    </row>
    <row r="14563" spans="2:7" ht="15" hidden="1" outlineLevel="2">
      <c r="B14563" s="2889" t="s">
        <v>1650</v>
      </c>
      <c r="C14563" s="2889" t="s">
        <v>1573</v>
      </c>
      <c r="D14563" s="2889" t="s">
        <v>1559</v>
      </c>
      <c r="E14563" s="2889" t="s">
        <v>217</v>
      </c>
      <c r="F14563" s="2890">
        <v>0.57141793280067166</v>
      </c>
      <c r="G14563" s="2890">
        <v>426.16929808940921</v>
      </c>
    </row>
    <row r="14564" spans="2:7" ht="15" hidden="1" outlineLevel="2">
      <c r="B14564" s="2889" t="s">
        <v>1650</v>
      </c>
      <c r="C14564" s="2889" t="s">
        <v>1574</v>
      </c>
      <c r="D14564" s="2889" t="s">
        <v>1559</v>
      </c>
      <c r="E14564" s="2889" t="s">
        <v>217</v>
      </c>
      <c r="F14564" s="2890">
        <v>6.9164528859776385E-3</v>
      </c>
      <c r="G14564" s="2890">
        <v>5.1952783089270529</v>
      </c>
    </row>
    <row r="14565" spans="2:7" ht="15" hidden="1" outlineLevel="2">
      <c r="B14565" s="2889" t="s">
        <v>1650</v>
      </c>
      <c r="C14565" s="2889" t="s">
        <v>1575</v>
      </c>
      <c r="D14565" s="2889" t="s">
        <v>1559</v>
      </c>
      <c r="E14565" s="2889" t="s">
        <v>217</v>
      </c>
      <c r="F14565" s="2890">
        <v>1.5665855611360344E-2</v>
      </c>
      <c r="G14565" s="2890">
        <v>19.394858267559929</v>
      </c>
    </row>
    <row r="14566" spans="2:7" ht="15" hidden="1" outlineLevel="2">
      <c r="B14566" s="2889" t="s">
        <v>1650</v>
      </c>
      <c r="C14566" s="2889" t="s">
        <v>1576</v>
      </c>
      <c r="D14566" s="2889" t="s">
        <v>1559</v>
      </c>
      <c r="E14566" s="2889" t="s">
        <v>217</v>
      </c>
      <c r="F14566" s="2890">
        <v>1.3163806985250947E-2</v>
      </c>
      <c r="G14566" s="2890">
        <v>9.911665150409501</v>
      </c>
    </row>
    <row r="14567" spans="2:7" ht="15" hidden="1" outlineLevel="2">
      <c r="B14567" s="2889" t="s">
        <v>1650</v>
      </c>
      <c r="C14567" s="2889" t="s">
        <v>1577</v>
      </c>
      <c r="D14567" s="2889" t="s">
        <v>1559</v>
      </c>
      <c r="E14567" s="2889" t="s">
        <v>217</v>
      </c>
      <c r="F14567" s="2890">
        <v>0.51427785867372144</v>
      </c>
      <c r="G14567" s="2890">
        <v>800.13703796315428</v>
      </c>
    </row>
    <row r="14568" spans="2:7" ht="15" hidden="1" outlineLevel="2">
      <c r="B14568" s="2889" t="s">
        <v>1650</v>
      </c>
      <c r="C14568" s="2889" t="s">
        <v>1578</v>
      </c>
      <c r="D14568" s="2889" t="s">
        <v>1559</v>
      </c>
      <c r="E14568" s="2889" t="s">
        <v>217</v>
      </c>
      <c r="F14568" s="2890">
        <v>0.19168623490243339</v>
      </c>
      <c r="G14568" s="2890">
        <v>103.02151092300956</v>
      </c>
    </row>
    <row r="14569" spans="2:7" ht="15" hidden="1" outlineLevel="2">
      <c r="B14569" s="2889" t="s">
        <v>1650</v>
      </c>
      <c r="C14569" s="2889" t="s">
        <v>1579</v>
      </c>
      <c r="D14569" s="2889" t="s">
        <v>1559</v>
      </c>
      <c r="E14569" s="2889" t="s">
        <v>217</v>
      </c>
      <c r="F14569" s="2890">
        <v>0.51514701888428027</v>
      </c>
      <c r="G14569" s="2890">
        <v>276.8908339959446</v>
      </c>
    </row>
    <row r="14570" spans="2:7" ht="15" hidden="1" outlineLevel="2">
      <c r="B14570" s="2889" t="s">
        <v>1650</v>
      </c>
      <c r="C14570" s="2889" t="s">
        <v>1580</v>
      </c>
      <c r="D14570" s="2889" t="s">
        <v>1559</v>
      </c>
      <c r="E14570" s="2889" t="s">
        <v>217</v>
      </c>
      <c r="F14570" s="2890">
        <v>0.14848144090433579</v>
      </c>
      <c r="G14570" s="2890">
        <v>187.24908861449197</v>
      </c>
    </row>
    <row r="14571" spans="2:7" ht="15" hidden="1" outlineLevel="2">
      <c r="B14571" s="2889" t="s">
        <v>1650</v>
      </c>
      <c r="C14571" s="2889" t="s">
        <v>1581</v>
      </c>
      <c r="D14571" s="2889" t="s">
        <v>1559</v>
      </c>
      <c r="E14571" s="2889" t="s">
        <v>217</v>
      </c>
      <c r="F14571" s="2890">
        <v>6.5687482087436064E-2</v>
      </c>
      <c r="G14571" s="2890">
        <v>92.442158167683814</v>
      </c>
    </row>
    <row r="14572" spans="2:7" ht="15" hidden="1" outlineLevel="2">
      <c r="B14572" s="2889" t="s">
        <v>1650</v>
      </c>
      <c r="C14572" s="2889" t="s">
        <v>1582</v>
      </c>
      <c r="D14572" s="2889" t="s">
        <v>1559</v>
      </c>
      <c r="E14572" s="2889" t="s">
        <v>217</v>
      </c>
      <c r="F14572" s="2890">
        <v>9.258361298386629E-2</v>
      </c>
      <c r="G14572" s="2890">
        <v>105.21827326427098</v>
      </c>
    </row>
    <row r="14573" spans="2:7" ht="15" hidden="1" outlineLevel="2">
      <c r="B14573" s="2889" t="s">
        <v>1650</v>
      </c>
      <c r="C14573" s="2889" t="s">
        <v>1583</v>
      </c>
      <c r="D14573" s="2889" t="s">
        <v>1559</v>
      </c>
      <c r="E14573" s="2889" t="s">
        <v>217</v>
      </c>
      <c r="F14573" s="2890">
        <v>7.1351491600673764E-2</v>
      </c>
      <c r="G14573" s="2890">
        <v>48.996508013403641</v>
      </c>
    </row>
    <row r="14574" spans="2:7" ht="15" hidden="1" outlineLevel="2">
      <c r="B14574" s="2889" t="s">
        <v>1650</v>
      </c>
      <c r="C14574" s="2889" t="s">
        <v>1584</v>
      </c>
      <c r="D14574" s="2889" t="s">
        <v>1559</v>
      </c>
      <c r="E14574" s="2889" t="s">
        <v>217</v>
      </c>
      <c r="F14574" s="2890">
        <v>1.9854911789044694</v>
      </c>
      <c r="G14574" s="2890">
        <v>2509.9437120859293</v>
      </c>
    </row>
    <row r="14575" spans="2:7" ht="15" hidden="1" outlineLevel="2">
      <c r="B14575" s="2889" t="s">
        <v>1650</v>
      </c>
      <c r="C14575" s="2889" t="s">
        <v>1585</v>
      </c>
      <c r="D14575" s="2889" t="s">
        <v>1559</v>
      </c>
      <c r="E14575" s="2889" t="s">
        <v>217</v>
      </c>
      <c r="F14575" s="2890">
        <v>0.89253630052877686</v>
      </c>
      <c r="G14575" s="2890">
        <v>1256.3293519711069</v>
      </c>
    </row>
    <row r="14576" spans="2:7" ht="15" hidden="1" outlineLevel="2">
      <c r="B14576" s="2889" t="s">
        <v>1650</v>
      </c>
      <c r="C14576" s="2889" t="s">
        <v>1586</v>
      </c>
      <c r="D14576" s="2889" t="s">
        <v>1559</v>
      </c>
      <c r="E14576" s="2889" t="s">
        <v>217</v>
      </c>
      <c r="F14576" s="2890">
        <v>0.10047925675920505</v>
      </c>
      <c r="G14576" s="2890">
        <v>210.33576996412668</v>
      </c>
    </row>
    <row r="14577" spans="2:7" ht="15" hidden="1" outlineLevel="2">
      <c r="B14577" s="2889" t="s">
        <v>1650</v>
      </c>
      <c r="C14577" s="2889" t="s">
        <v>1587</v>
      </c>
      <c r="D14577" s="2889" t="s">
        <v>1559</v>
      </c>
      <c r="E14577" s="2889" t="s">
        <v>217</v>
      </c>
      <c r="F14577" s="2890">
        <v>2.7951918343631981</v>
      </c>
      <c r="G14577" s="2890">
        <v>4053.0020365206396</v>
      </c>
    </row>
    <row r="14578" spans="2:7" ht="15" hidden="1" outlineLevel="2">
      <c r="B14578" s="2889" t="s">
        <v>1650</v>
      </c>
      <c r="C14578" s="2889" t="s">
        <v>1588</v>
      </c>
      <c r="D14578" s="2889" t="s">
        <v>1559</v>
      </c>
      <c r="E14578" s="2889" t="s">
        <v>217</v>
      </c>
      <c r="F14578" s="2890">
        <v>0.11418760942865759</v>
      </c>
      <c r="G14578" s="2890">
        <v>88.905371127196673</v>
      </c>
    </row>
    <row r="14579" spans="2:7" ht="15" hidden="1" outlineLevel="2">
      <c r="B14579" s="2889" t="s">
        <v>1650</v>
      </c>
      <c r="C14579" s="2889" t="s">
        <v>1589</v>
      </c>
      <c r="D14579" s="2889" t="s">
        <v>1559</v>
      </c>
      <c r="E14579" s="2889" t="s">
        <v>217</v>
      </c>
      <c r="F14579" s="2890">
        <v>0.15917885665927953</v>
      </c>
      <c r="G14579" s="2890">
        <v>124.1822842736166</v>
      </c>
    </row>
    <row r="14580" spans="2:7" ht="15" hidden="1" outlineLevel="2">
      <c r="B14580" s="2889" t="s">
        <v>1650</v>
      </c>
      <c r="C14580" s="2889" t="s">
        <v>1590</v>
      </c>
      <c r="D14580" s="2889" t="s">
        <v>1559</v>
      </c>
      <c r="E14580" s="2889" t="s">
        <v>1420</v>
      </c>
      <c r="F14580" s="2890">
        <v>7.8219610733166467E-3</v>
      </c>
      <c r="G14580" s="2890">
        <v>69.775162967066436</v>
      </c>
    </row>
    <row r="14581" spans="2:7" ht="15" hidden="1" outlineLevel="2">
      <c r="B14581" s="2889" t="s">
        <v>1650</v>
      </c>
      <c r="C14581" s="2889" t="s">
        <v>1591</v>
      </c>
      <c r="D14581" s="2889" t="s">
        <v>1559</v>
      </c>
      <c r="E14581" s="2889" t="s">
        <v>1426</v>
      </c>
      <c r="F14581" s="2891"/>
      <c r="G14581" s="2890">
        <v>0.10846338127553809</v>
      </c>
    </row>
    <row r="14582" spans="2:7" ht="15" hidden="1" outlineLevel="2">
      <c r="B14582" s="2889" t="s">
        <v>1650</v>
      </c>
      <c r="C14582" s="2889" t="s">
        <v>1592</v>
      </c>
      <c r="D14582" s="2889" t="s">
        <v>1559</v>
      </c>
      <c r="E14582" s="2889" t="s">
        <v>1426</v>
      </c>
      <c r="F14582" s="2891"/>
      <c r="G14582" s="2890">
        <v>28.985977098955715</v>
      </c>
    </row>
    <row r="14583" spans="2:7" ht="15" hidden="1" outlineLevel="2">
      <c r="B14583" s="2889" t="s">
        <v>1650</v>
      </c>
      <c r="C14583" s="2889" t="s">
        <v>1593</v>
      </c>
      <c r="D14583" s="2889" t="s">
        <v>1559</v>
      </c>
      <c r="E14583" s="2889" t="s">
        <v>1426</v>
      </c>
      <c r="F14583" s="2891"/>
      <c r="G14583" s="2890">
        <v>758.46383147360336</v>
      </c>
    </row>
    <row r="14584" spans="2:7" ht="15" hidden="1" outlineLevel="2">
      <c r="B14584" s="2889" t="s">
        <v>1650</v>
      </c>
      <c r="C14584" s="2889" t="s">
        <v>1594</v>
      </c>
      <c r="D14584" s="2889" t="s">
        <v>1559</v>
      </c>
      <c r="E14584" s="2889" t="s">
        <v>1426</v>
      </c>
      <c r="F14584" s="2891"/>
      <c r="G14584" s="2890">
        <v>156.52129293443102</v>
      </c>
    </row>
    <row r="14585" spans="2:7" ht="15" hidden="1" outlineLevel="2">
      <c r="B14585" s="2889" t="s">
        <v>1650</v>
      </c>
      <c r="C14585" s="2889" t="s">
        <v>1595</v>
      </c>
      <c r="D14585" s="2889" t="s">
        <v>1559</v>
      </c>
      <c r="E14585" s="2889" t="s">
        <v>1426</v>
      </c>
      <c r="F14585" s="2891"/>
      <c r="G14585" s="2890">
        <v>1032.6284039372747</v>
      </c>
    </row>
    <row r="14586" spans="2:7" ht="15" hidden="1" outlineLevel="2">
      <c r="B14586" s="2889" t="s">
        <v>1650</v>
      </c>
      <c r="C14586" s="2889" t="s">
        <v>1596</v>
      </c>
      <c r="D14586" s="2889" t="s">
        <v>1559</v>
      </c>
      <c r="E14586" s="2889" t="s">
        <v>1426</v>
      </c>
      <c r="F14586" s="2891"/>
      <c r="G14586" s="2890">
        <v>121.75574246050925</v>
      </c>
    </row>
    <row r="14587" spans="2:7" ht="15" hidden="1" outlineLevel="2">
      <c r="B14587" s="2889" t="s">
        <v>1650</v>
      </c>
      <c r="C14587" s="2889" t="s">
        <v>1597</v>
      </c>
      <c r="D14587" s="2889" t="s">
        <v>1559</v>
      </c>
      <c r="E14587" s="2889" t="s">
        <v>1426</v>
      </c>
      <c r="F14587" s="2891"/>
      <c r="G14587" s="2890">
        <v>2.9002983460274092</v>
      </c>
    </row>
    <row r="14588" spans="2:7" ht="15" hidden="1" outlineLevel="2">
      <c r="B14588" s="2889" t="s">
        <v>1650</v>
      </c>
      <c r="C14588" s="2889" t="s">
        <v>1598</v>
      </c>
      <c r="D14588" s="2889" t="s">
        <v>1599</v>
      </c>
      <c r="E14588" s="2889" t="s">
        <v>217</v>
      </c>
      <c r="F14588" s="2890">
        <v>7.3859261569282726E-3</v>
      </c>
      <c r="G14588" s="2890">
        <v>4.2709018109005275</v>
      </c>
    </row>
    <row r="14589" spans="2:7" ht="15" hidden="1" outlineLevel="2">
      <c r="B14589" s="2889" t="s">
        <v>1650</v>
      </c>
      <c r="C14589" s="2889" t="s">
        <v>1600</v>
      </c>
      <c r="D14589" s="2889" t="s">
        <v>1599</v>
      </c>
      <c r="E14589" s="2889" t="s">
        <v>217</v>
      </c>
      <c r="F14589" s="2890">
        <v>8.7272366448715982E-3</v>
      </c>
      <c r="G14589" s="2890">
        <v>9.6166205374446019</v>
      </c>
    </row>
    <row r="14590" spans="2:7" ht="15" hidden="1" outlineLevel="2">
      <c r="B14590" s="2889" t="s">
        <v>1650</v>
      </c>
      <c r="C14590" s="2889" t="s">
        <v>1601</v>
      </c>
      <c r="D14590" s="2889" t="s">
        <v>1599</v>
      </c>
      <c r="E14590" s="2889" t="s">
        <v>217</v>
      </c>
      <c r="F14590" s="2890">
        <v>8.9526281437277952E-5</v>
      </c>
      <c r="G14590" s="2890">
        <v>0.1048150160741104</v>
      </c>
    </row>
    <row r="14591" spans="2:7" ht="15" hidden="1" outlineLevel="2">
      <c r="B14591" s="2889" t="s">
        <v>1650</v>
      </c>
      <c r="C14591" s="2889" t="s">
        <v>1602</v>
      </c>
      <c r="D14591" s="2889" t="s">
        <v>1599</v>
      </c>
      <c r="E14591" s="2889" t="s">
        <v>1426</v>
      </c>
      <c r="F14591" s="2891"/>
      <c r="G14591" s="2890">
        <v>118.73512888054715</v>
      </c>
    </row>
    <row r="14592" spans="2:7" ht="15" hidden="1" outlineLevel="2">
      <c r="B14592" s="2889" t="s">
        <v>1650</v>
      </c>
      <c r="C14592" s="2889" t="s">
        <v>1603</v>
      </c>
      <c r="D14592" s="2889" t="s">
        <v>1604</v>
      </c>
      <c r="E14592" s="2889" t="s">
        <v>217</v>
      </c>
      <c r="F14592" s="2890">
        <v>6.0932519104968698E-3</v>
      </c>
      <c r="G14592" s="2890">
        <v>7.3048477072746651</v>
      </c>
    </row>
    <row r="14593" spans="2:7" ht="15" hidden="1" outlineLevel="2">
      <c r="B14593" s="2889" t="s">
        <v>1650</v>
      </c>
      <c r="C14593" s="2889" t="s">
        <v>1605</v>
      </c>
      <c r="D14593" s="2889" t="s">
        <v>1604</v>
      </c>
      <c r="E14593" s="2889" t="s">
        <v>1423</v>
      </c>
      <c r="F14593" s="2890">
        <v>2.1704919503229895E-2</v>
      </c>
      <c r="G14593" s="2890">
        <v>4.963250424254591</v>
      </c>
    </row>
    <row r="14594" spans="2:7" ht="15" hidden="1" outlineLevel="2">
      <c r="B14594" s="2889" t="s">
        <v>1650</v>
      </c>
      <c r="C14594" s="2889" t="s">
        <v>1606</v>
      </c>
      <c r="D14594" s="2889" t="s">
        <v>1604</v>
      </c>
      <c r="E14594" s="2889" t="s">
        <v>1426</v>
      </c>
      <c r="F14594" s="2891"/>
      <c r="G14594" s="2890">
        <v>26.315340949307451</v>
      </c>
    </row>
    <row r="14595" spans="2:7" ht="15" hidden="1" outlineLevel="2">
      <c r="B14595" s="2889" t="s">
        <v>1650</v>
      </c>
      <c r="C14595" s="2889" t="s">
        <v>1607</v>
      </c>
      <c r="D14595" s="2889" t="s">
        <v>1608</v>
      </c>
      <c r="E14595" s="2889" t="s">
        <v>217</v>
      </c>
      <c r="F14595" s="2890">
        <v>1.7582760929188515</v>
      </c>
      <c r="G14595" s="2890">
        <v>1444.8244916845877</v>
      </c>
    </row>
    <row r="14596" spans="2:7" ht="15" hidden="1" outlineLevel="2">
      <c r="B14596" s="2889" t="s">
        <v>1650</v>
      </c>
      <c r="C14596" s="2889" t="s">
        <v>1609</v>
      </c>
      <c r="D14596" s="2889" t="s">
        <v>1608</v>
      </c>
      <c r="E14596" s="2889" t="s">
        <v>217</v>
      </c>
      <c r="F14596" s="2890">
        <v>0.76563549214764848</v>
      </c>
      <c r="G14596" s="2890">
        <v>609.71196406233901</v>
      </c>
    </row>
    <row r="14597" spans="2:7" ht="15" hidden="1" outlineLevel="2">
      <c r="B14597" s="2889" t="s">
        <v>1650</v>
      </c>
      <c r="C14597" s="2889" t="s">
        <v>1610</v>
      </c>
      <c r="D14597" s="2889" t="s">
        <v>1608</v>
      </c>
      <c r="E14597" s="2889" t="s">
        <v>217</v>
      </c>
      <c r="F14597" s="2890">
        <v>0.29270895092112043</v>
      </c>
      <c r="G14597" s="2890">
        <v>455.1025108856644</v>
      </c>
    </row>
    <row r="14598" spans="2:7" ht="15" hidden="1" outlineLevel="2">
      <c r="B14598" s="2889" t="s">
        <v>1650</v>
      </c>
      <c r="C14598" s="2889" t="s">
        <v>1611</v>
      </c>
      <c r="D14598" s="2889" t="s">
        <v>1608</v>
      </c>
      <c r="E14598" s="2889" t="s">
        <v>1612</v>
      </c>
      <c r="F14598" s="2891"/>
      <c r="G14598" s="2890">
        <v>405.20748273856896</v>
      </c>
    </row>
    <row r="14599" spans="2:7" ht="15" hidden="1" outlineLevel="2">
      <c r="B14599" s="2889" t="s">
        <v>1650</v>
      </c>
      <c r="C14599" s="2889" t="s">
        <v>1613</v>
      </c>
      <c r="D14599" s="2889" t="s">
        <v>1608</v>
      </c>
      <c r="E14599" s="2889" t="s">
        <v>1612</v>
      </c>
      <c r="F14599" s="2891"/>
      <c r="G14599" s="2890">
        <v>3.3836346703051579</v>
      </c>
    </row>
    <row r="14600" spans="2:7" ht="15" hidden="1" outlineLevel="2">
      <c r="B14600" s="2889" t="s">
        <v>1650</v>
      </c>
      <c r="C14600" s="2889" t="s">
        <v>1614</v>
      </c>
      <c r="D14600" s="2889" t="s">
        <v>1615</v>
      </c>
      <c r="E14600" s="2889" t="s">
        <v>1426</v>
      </c>
      <c r="F14600" s="2891"/>
      <c r="G14600" s="2890">
        <v>182.81411312857585</v>
      </c>
    </row>
    <row r="14601" spans="2:7" ht="15" hidden="1" outlineLevel="2">
      <c r="B14601" s="2889" t="s">
        <v>1650</v>
      </c>
      <c r="C14601" s="2889" t="s">
        <v>1616</v>
      </c>
      <c r="D14601" s="2889" t="s">
        <v>1615</v>
      </c>
      <c r="E14601" s="2889" t="s">
        <v>217</v>
      </c>
      <c r="F14601" s="2890">
        <v>5.8245920189223307E-3</v>
      </c>
      <c r="G14601" s="2890">
        <v>7.8296999392866011</v>
      </c>
    </row>
    <row r="14602" spans="2:7" ht="15" hidden="1" outlineLevel="2">
      <c r="B14602" s="2889" t="s">
        <v>1650</v>
      </c>
      <c r="C14602" s="2889" t="s">
        <v>1617</v>
      </c>
      <c r="D14602" s="2889" t="s">
        <v>1615</v>
      </c>
      <c r="E14602" s="2889" t="s">
        <v>1420</v>
      </c>
      <c r="F14602" s="2890">
        <v>9.2051486309579456E-5</v>
      </c>
      <c r="G14602" s="2890">
        <v>0.26645300607187544</v>
      </c>
    </row>
    <row r="14603" spans="2:7" ht="15" hidden="1" outlineLevel="2">
      <c r="B14603" s="2889" t="s">
        <v>1650</v>
      </c>
      <c r="C14603" s="2889" t="s">
        <v>1618</v>
      </c>
      <c r="D14603" s="2889" t="s">
        <v>1619</v>
      </c>
      <c r="E14603" s="2889" t="s">
        <v>217</v>
      </c>
      <c r="F14603" s="2890">
        <v>1.411431061829955</v>
      </c>
      <c r="G14603" s="2890">
        <v>357.83638726176002</v>
      </c>
    </row>
    <row r="14604" spans="2:7" ht="15" hidden="1" outlineLevel="2">
      <c r="B14604" s="2889" t="s">
        <v>1650</v>
      </c>
      <c r="C14604" s="2889" t="s">
        <v>1620</v>
      </c>
      <c r="D14604" s="2889" t="s">
        <v>1619</v>
      </c>
      <c r="E14604" s="2889" t="s">
        <v>217</v>
      </c>
      <c r="F14604" s="2890">
        <v>1.2217467237388766E-33</v>
      </c>
      <c r="G14604" s="2890">
        <v>1.4883506685854614E-30</v>
      </c>
    </row>
    <row r="14605" spans="2:7" ht="15" hidden="1" outlineLevel="2">
      <c r="B14605" s="2889" t="s">
        <v>1650</v>
      </c>
      <c r="C14605" s="2889" t="s">
        <v>1621</v>
      </c>
      <c r="D14605" s="2889" t="s">
        <v>1619</v>
      </c>
      <c r="E14605" s="2889" t="s">
        <v>217</v>
      </c>
      <c r="F14605" s="2890">
        <v>1.5118312018812359</v>
      </c>
      <c r="G14605" s="2890">
        <v>413.18481786908904</v>
      </c>
    </row>
    <row r="14606" spans="2:7" ht="15" hidden="1" outlineLevel="2">
      <c r="B14606" s="2889" t="s">
        <v>1650</v>
      </c>
      <c r="C14606" s="2889" t="s">
        <v>1622</v>
      </c>
      <c r="D14606" s="2889" t="s">
        <v>1619</v>
      </c>
      <c r="E14606" s="2889" t="s">
        <v>217</v>
      </c>
      <c r="F14606" s="2890">
        <v>9.6810498399260481E-2</v>
      </c>
      <c r="G14606" s="2890">
        <v>106.22956157076491</v>
      </c>
    </row>
    <row r="14607" spans="2:7" ht="15" hidden="1" outlineLevel="2">
      <c r="B14607" s="2889" t="s">
        <v>1650</v>
      </c>
      <c r="C14607" s="2889" t="s">
        <v>1623</v>
      </c>
      <c r="D14607" s="2889" t="s">
        <v>1619</v>
      </c>
      <c r="E14607" s="2889" t="s">
        <v>217</v>
      </c>
      <c r="F14607" s="2890">
        <v>0.24980878770086723</v>
      </c>
      <c r="G14607" s="2890">
        <v>172.91043026300696</v>
      </c>
    </row>
    <row r="14608" spans="2:7" ht="15" hidden="1" outlineLevel="2">
      <c r="B14608" s="2889" t="s">
        <v>1650</v>
      </c>
      <c r="C14608" s="2889" t="s">
        <v>1624</v>
      </c>
      <c r="D14608" s="2889" t="s">
        <v>1619</v>
      </c>
      <c r="E14608" s="2889" t="s">
        <v>217</v>
      </c>
      <c r="F14608" s="2890">
        <v>2.1628506190706775</v>
      </c>
      <c r="G14608" s="2890">
        <v>1843.0009775508097</v>
      </c>
    </row>
    <row r="14609" spans="2:7" ht="15" hidden="1" outlineLevel="2">
      <c r="B14609" s="2889" t="s">
        <v>1650</v>
      </c>
      <c r="C14609" s="2889" t="s">
        <v>1625</v>
      </c>
      <c r="D14609" s="2889" t="s">
        <v>1619</v>
      </c>
      <c r="E14609" s="2889" t="s">
        <v>217</v>
      </c>
      <c r="F14609" s="2890">
        <v>0.20034036704840155</v>
      </c>
      <c r="G14609" s="2890">
        <v>258.99291158072703</v>
      </c>
    </row>
    <row r="14610" spans="2:7" ht="15" hidden="1" outlineLevel="2">
      <c r="B14610" s="2889" t="s">
        <v>1650</v>
      </c>
      <c r="C14610" s="2889" t="s">
        <v>1626</v>
      </c>
      <c r="D14610" s="2889" t="s">
        <v>1619</v>
      </c>
      <c r="E14610" s="2889" t="s">
        <v>217</v>
      </c>
      <c r="F14610" s="2890">
        <v>0.1320244259675516</v>
      </c>
      <c r="G14610" s="2890">
        <v>103.65559872668655</v>
      </c>
    </row>
    <row r="14611" spans="2:7" ht="15" hidden="1" outlineLevel="2">
      <c r="B14611" s="2889" t="s">
        <v>1650</v>
      </c>
      <c r="C14611" s="2889" t="s">
        <v>1627</v>
      </c>
      <c r="D14611" s="2889" t="s">
        <v>1619</v>
      </c>
      <c r="E14611" s="2889" t="s">
        <v>1420</v>
      </c>
      <c r="F14611" s="2890">
        <v>4.2912131950305875E-3</v>
      </c>
      <c r="G14611" s="2890">
        <v>7.1692385698538557</v>
      </c>
    </row>
    <row r="14612" spans="2:7" ht="15" hidden="1" outlineLevel="2">
      <c r="B14612" s="2889" t="s">
        <v>1650</v>
      </c>
      <c r="C14612" s="2889" t="s">
        <v>1628</v>
      </c>
      <c r="D14612" s="2889" t="s">
        <v>1619</v>
      </c>
      <c r="E14612" s="2889" t="s">
        <v>1426</v>
      </c>
      <c r="F14612" s="2891"/>
      <c r="G14612" s="2890">
        <v>142.09373670000505</v>
      </c>
    </row>
    <row r="14613" spans="2:7" ht="15" hidden="1" outlineLevel="2">
      <c r="B14613" s="2889" t="s">
        <v>1650</v>
      </c>
      <c r="C14613" s="2889" t="s">
        <v>1629</v>
      </c>
      <c r="D14613" s="2889" t="s">
        <v>1630</v>
      </c>
      <c r="E14613" s="2889" t="s">
        <v>1426</v>
      </c>
      <c r="F14613" s="2891"/>
      <c r="G14613" s="2890">
        <v>1.8944843593013732E-29</v>
      </c>
    </row>
    <row r="14614" spans="2:7" ht="15" outlineLevel="1" collapsed="1">
      <c r="B14614" s="3042" t="s">
        <v>1720</v>
      </c>
      <c r="C14614" s="2889"/>
      <c r="D14614" s="2889"/>
      <c r="E14614" s="2889"/>
      <c r="F14614" s="2891">
        <f>SUBTOTAL(9,F14403:F14613)</f>
        <v>36.335680524689643</v>
      </c>
      <c r="G14614" s="2890">
        <f>SUBTOTAL(9,G14403:G14613)</f>
        <v>103895.22463274641</v>
      </c>
    </row>
    <row r="14615" spans="2:7" ht="15" hidden="1" outlineLevel="2">
      <c r="B14615" s="2889" t="s">
        <v>1651</v>
      </c>
      <c r="C14615" s="2889" t="s">
        <v>1408</v>
      </c>
      <c r="D14615" s="2889" t="s">
        <v>197</v>
      </c>
      <c r="E14615" s="2889" t="s">
        <v>217</v>
      </c>
      <c r="F14615" s="2890">
        <v>1.7445183806224771E-3</v>
      </c>
      <c r="G14615" s="2890">
        <v>1.0640458289903718</v>
      </c>
    </row>
    <row r="14616" spans="2:7" ht="15" hidden="1" outlineLevel="2">
      <c r="B14616" s="2889" t="s">
        <v>1651</v>
      </c>
      <c r="C14616" s="2889" t="s">
        <v>1409</v>
      </c>
      <c r="D14616" s="2889" t="s">
        <v>197</v>
      </c>
      <c r="E14616" s="2889" t="s">
        <v>217</v>
      </c>
      <c r="F14616" s="2890">
        <v>1.8273140724471722E-3</v>
      </c>
      <c r="G14616" s="2890">
        <v>2.5812258728068342</v>
      </c>
    </row>
    <row r="14617" spans="2:7" ht="15" hidden="1" outlineLevel="2">
      <c r="B14617" s="2889" t="s">
        <v>1651</v>
      </c>
      <c r="C14617" s="2889" t="s">
        <v>1410</v>
      </c>
      <c r="D14617" s="2889" t="s">
        <v>197</v>
      </c>
      <c r="E14617" s="2889" t="s">
        <v>217</v>
      </c>
      <c r="F14617" s="2890">
        <v>2.920296600984348E-3</v>
      </c>
      <c r="G14617" s="2890">
        <v>10.043399929485441</v>
      </c>
    </row>
    <row r="14618" spans="2:7" ht="15" hidden="1" outlineLevel="2">
      <c r="B14618" s="2889" t="s">
        <v>1651</v>
      </c>
      <c r="C14618" s="2889" t="s">
        <v>1411</v>
      </c>
      <c r="D14618" s="2889" t="s">
        <v>197</v>
      </c>
      <c r="E14618" s="2889" t="s">
        <v>217</v>
      </c>
      <c r="F14618" s="2890">
        <v>4.8025984871774048E-5</v>
      </c>
      <c r="G14618" s="2890">
        <v>6.32590858247562E-2</v>
      </c>
    </row>
    <row r="14619" spans="2:7" ht="15" hidden="1" outlineLevel="2">
      <c r="B14619" s="2889" t="s">
        <v>1651</v>
      </c>
      <c r="C14619" s="2889" t="s">
        <v>1412</v>
      </c>
      <c r="D14619" s="2889" t="s">
        <v>197</v>
      </c>
      <c r="E14619" s="2889" t="s">
        <v>217</v>
      </c>
      <c r="F14619" s="2890">
        <v>5.1882796426460003E-3</v>
      </c>
      <c r="G14619" s="2890">
        <v>6.8287101244723001</v>
      </c>
    </row>
    <row r="14620" spans="2:7" ht="15" hidden="1" outlineLevel="2">
      <c r="B14620" s="2889" t="s">
        <v>1651</v>
      </c>
      <c r="C14620" s="2889" t="s">
        <v>1413</v>
      </c>
      <c r="D14620" s="2889" t="s">
        <v>197</v>
      </c>
      <c r="E14620" s="2889" t="s">
        <v>217</v>
      </c>
      <c r="F14620" s="2890">
        <v>1.7065020640447885E-3</v>
      </c>
      <c r="G14620" s="2890">
        <v>2.1390476854942326</v>
      </c>
    </row>
    <row r="14621" spans="2:7" ht="15" hidden="1" outlineLevel="2">
      <c r="B14621" s="2889" t="s">
        <v>1651</v>
      </c>
      <c r="C14621" s="2889" t="s">
        <v>1414</v>
      </c>
      <c r="D14621" s="2889" t="s">
        <v>197</v>
      </c>
      <c r="E14621" s="2889" t="s">
        <v>217</v>
      </c>
      <c r="F14621" s="2890">
        <v>2.2268920797414347E-2</v>
      </c>
      <c r="G14621" s="2890">
        <v>23.236881716136118</v>
      </c>
    </row>
    <row r="14622" spans="2:7" ht="15" hidden="1" outlineLevel="2">
      <c r="B14622" s="2889" t="s">
        <v>1651</v>
      </c>
      <c r="C14622" s="2889" t="s">
        <v>1415</v>
      </c>
      <c r="D14622" s="2889" t="s">
        <v>197</v>
      </c>
      <c r="E14622" s="2889" t="s">
        <v>217</v>
      </c>
      <c r="F14622" s="2890">
        <v>7.3239258185491332E-2</v>
      </c>
      <c r="G14622" s="2890">
        <v>49.808282798379317</v>
      </c>
    </row>
    <row r="14623" spans="2:7" ht="15" hidden="1" outlineLevel="2">
      <c r="B14623" s="2889" t="s">
        <v>1651</v>
      </c>
      <c r="C14623" s="2889" t="s">
        <v>1416</v>
      </c>
      <c r="D14623" s="2889" t="s">
        <v>197</v>
      </c>
      <c r="E14623" s="2889" t="s">
        <v>217</v>
      </c>
      <c r="F14623" s="2890">
        <v>8.2332517713019828E-3</v>
      </c>
      <c r="G14623" s="2890">
        <v>10.836435626843578</v>
      </c>
    </row>
    <row r="14624" spans="2:7" ht="15" hidden="1" outlineLevel="2">
      <c r="B14624" s="2889" t="s">
        <v>1651</v>
      </c>
      <c r="C14624" s="2889" t="s">
        <v>1417</v>
      </c>
      <c r="D14624" s="2889" t="s">
        <v>197</v>
      </c>
      <c r="E14624" s="2889" t="s">
        <v>217</v>
      </c>
      <c r="F14624" s="2890">
        <v>1.2254659862426078E-2</v>
      </c>
      <c r="G14624" s="2890">
        <v>15.691121547798108</v>
      </c>
    </row>
    <row r="14625" spans="2:7" ht="15" hidden="1" outlineLevel="2">
      <c r="B14625" s="2889" t="s">
        <v>1651</v>
      </c>
      <c r="C14625" s="2889" t="s">
        <v>1418</v>
      </c>
      <c r="D14625" s="2889" t="s">
        <v>197</v>
      </c>
      <c r="E14625" s="2889" t="s">
        <v>217</v>
      </c>
      <c r="F14625" s="2890">
        <v>2.4569309679864579E-3</v>
      </c>
      <c r="G14625" s="2890">
        <v>17.406867636016941</v>
      </c>
    </row>
    <row r="14626" spans="2:7" ht="15" hidden="1" outlineLevel="2">
      <c r="B14626" s="2889" t="s">
        <v>1651</v>
      </c>
      <c r="C14626" s="2889" t="s">
        <v>1419</v>
      </c>
      <c r="D14626" s="2889" t="s">
        <v>197</v>
      </c>
      <c r="E14626" s="2889" t="s">
        <v>1420</v>
      </c>
      <c r="F14626" s="2890">
        <v>5.9957536615459128E-5</v>
      </c>
      <c r="G14626" s="2890">
        <v>9.5269860378409635E-2</v>
      </c>
    </row>
    <row r="14627" spans="2:7" ht="15" hidden="1" outlineLevel="2">
      <c r="B14627" s="2889" t="s">
        <v>1651</v>
      </c>
      <c r="C14627" s="2889" t="s">
        <v>1421</v>
      </c>
      <c r="D14627" s="2889" t="s">
        <v>197</v>
      </c>
      <c r="E14627" s="2889" t="s">
        <v>1420</v>
      </c>
      <c r="F14627" s="2890">
        <v>1.230318479061639E-5</v>
      </c>
      <c r="G14627" s="2890">
        <v>0.1296610794423034</v>
      </c>
    </row>
    <row r="14628" spans="2:7" ht="15" hidden="1" outlineLevel="2">
      <c r="B14628" s="2889" t="s">
        <v>1651</v>
      </c>
      <c r="C14628" s="2889" t="s">
        <v>1422</v>
      </c>
      <c r="D14628" s="2889" t="s">
        <v>197</v>
      </c>
      <c r="E14628" s="2889" t="s">
        <v>1423</v>
      </c>
      <c r="F14628" s="2890">
        <v>2.4001418362239058E-3</v>
      </c>
      <c r="G14628" s="2890">
        <v>2.5166540181020464E-2</v>
      </c>
    </row>
    <row r="14629" spans="2:7" ht="15" hidden="1" outlineLevel="2">
      <c r="B14629" s="2889" t="s">
        <v>1651</v>
      </c>
      <c r="C14629" s="2889" t="s">
        <v>1424</v>
      </c>
      <c r="D14629" s="2889" t="s">
        <v>197</v>
      </c>
      <c r="E14629" s="2889" t="s">
        <v>1423</v>
      </c>
      <c r="F14629" s="2890">
        <v>7.6182226558378576E-4</v>
      </c>
      <c r="G14629" s="2890">
        <v>7.9856339589474065E-3</v>
      </c>
    </row>
    <row r="14630" spans="2:7" ht="15" hidden="1" outlineLevel="2">
      <c r="B14630" s="2889" t="s">
        <v>1651</v>
      </c>
      <c r="C14630" s="2889" t="s">
        <v>1425</v>
      </c>
      <c r="D14630" s="2889" t="s">
        <v>197</v>
      </c>
      <c r="E14630" s="2889" t="s">
        <v>1426</v>
      </c>
      <c r="F14630" s="2891"/>
      <c r="G14630" s="2890">
        <v>0.18610777644276197</v>
      </c>
    </row>
    <row r="14631" spans="2:7" ht="15" hidden="1" outlineLevel="2">
      <c r="B14631" s="2889" t="s">
        <v>1651</v>
      </c>
      <c r="C14631" s="2889" t="s">
        <v>1427</v>
      </c>
      <c r="D14631" s="2889" t="s">
        <v>197</v>
      </c>
      <c r="E14631" s="2889" t="s">
        <v>1426</v>
      </c>
      <c r="F14631" s="2891"/>
      <c r="G14631" s="2890">
        <v>8045.8875259068309</v>
      </c>
    </row>
    <row r="14632" spans="2:7" ht="15" hidden="1" outlineLevel="2">
      <c r="B14632" s="2889" t="s">
        <v>1651</v>
      </c>
      <c r="C14632" s="2889" t="s">
        <v>1428</v>
      </c>
      <c r="D14632" s="2889" t="s">
        <v>197</v>
      </c>
      <c r="E14632" s="2889" t="s">
        <v>1426</v>
      </c>
      <c r="F14632" s="2891"/>
      <c r="G14632" s="2890">
        <v>721.96167891038374</v>
      </c>
    </row>
    <row r="14633" spans="2:7" ht="15" hidden="1" outlineLevel="2">
      <c r="B14633" s="2889" t="s">
        <v>1651</v>
      </c>
      <c r="C14633" s="2889" t="s">
        <v>1429</v>
      </c>
      <c r="D14633" s="2889" t="s">
        <v>197</v>
      </c>
      <c r="E14633" s="2889" t="s">
        <v>1426</v>
      </c>
      <c r="F14633" s="2891"/>
      <c r="G14633" s="2890">
        <v>4.0131210431438324</v>
      </c>
    </row>
    <row r="14634" spans="2:7" ht="15" hidden="1" outlineLevel="2">
      <c r="B14634" s="2889" t="s">
        <v>1651</v>
      </c>
      <c r="C14634" s="2889" t="s">
        <v>1430</v>
      </c>
      <c r="D14634" s="2889" t="s">
        <v>197</v>
      </c>
      <c r="E14634" s="2889" t="s">
        <v>1426</v>
      </c>
      <c r="F14634" s="2891"/>
      <c r="G14634" s="2890">
        <v>0.82368760201841917</v>
      </c>
    </row>
    <row r="14635" spans="2:7" ht="15" hidden="1" outlineLevel="2">
      <c r="B14635" s="2889" t="s">
        <v>1651</v>
      </c>
      <c r="C14635" s="2889" t="s">
        <v>1431</v>
      </c>
      <c r="D14635" s="2889" t="s">
        <v>197</v>
      </c>
      <c r="E14635" s="2889" t="s">
        <v>1426</v>
      </c>
      <c r="F14635" s="2891"/>
      <c r="G14635" s="2890">
        <v>61.285843822354501</v>
      </c>
    </row>
    <row r="14636" spans="2:7" ht="15" hidden="1" outlineLevel="2">
      <c r="B14636" s="2889" t="s">
        <v>1651</v>
      </c>
      <c r="C14636" s="2889" t="s">
        <v>1432</v>
      </c>
      <c r="D14636" s="2889" t="s">
        <v>197</v>
      </c>
      <c r="E14636" s="2889" t="s">
        <v>1426</v>
      </c>
      <c r="F14636" s="2891"/>
      <c r="G14636" s="2890">
        <v>0.15349855454929506</v>
      </c>
    </row>
    <row r="14637" spans="2:7" ht="15" hidden="1" outlineLevel="2">
      <c r="B14637" s="2889" t="s">
        <v>1651</v>
      </c>
      <c r="C14637" s="2889" t="s">
        <v>1433</v>
      </c>
      <c r="D14637" s="2889" t="s">
        <v>197</v>
      </c>
      <c r="E14637" s="2889" t="s">
        <v>1426</v>
      </c>
      <c r="F14637" s="2891"/>
      <c r="G14637" s="2890">
        <v>56.644891292917542</v>
      </c>
    </row>
    <row r="14638" spans="2:7" ht="15" hidden="1" outlineLevel="2">
      <c r="B14638" s="2889" t="s">
        <v>1651</v>
      </c>
      <c r="C14638" s="2889" t="s">
        <v>1434</v>
      </c>
      <c r="D14638" s="2889" t="s">
        <v>197</v>
      </c>
      <c r="E14638" s="2889" t="s">
        <v>1426</v>
      </c>
      <c r="F14638" s="2891"/>
      <c r="G14638" s="2890">
        <v>157.34463231973592</v>
      </c>
    </row>
    <row r="14639" spans="2:7" ht="15" hidden="1" outlineLevel="2">
      <c r="B14639" s="2889" t="s">
        <v>1651</v>
      </c>
      <c r="C14639" s="2889" t="s">
        <v>1435</v>
      </c>
      <c r="D14639" s="2889" t="s">
        <v>197</v>
      </c>
      <c r="E14639" s="2889" t="s">
        <v>1426</v>
      </c>
      <c r="F14639" s="2891"/>
      <c r="G14639" s="2890">
        <v>115.67894580615162</v>
      </c>
    </row>
    <row r="14640" spans="2:7" ht="15" hidden="1" outlineLevel="2">
      <c r="B14640" s="2889" t="s">
        <v>1651</v>
      </c>
      <c r="C14640" s="2889" t="s">
        <v>1436</v>
      </c>
      <c r="D14640" s="2889" t="s">
        <v>1437</v>
      </c>
      <c r="E14640" s="2889" t="s">
        <v>217</v>
      </c>
      <c r="F14640" s="2890">
        <v>2.1290600677037856E-3</v>
      </c>
      <c r="G14640" s="2890">
        <v>6.2184481965325373</v>
      </c>
    </row>
    <row r="14641" spans="2:7" ht="15" hidden="1" outlineLevel="2">
      <c r="B14641" s="2889" t="s">
        <v>1651</v>
      </c>
      <c r="C14641" s="2889" t="s">
        <v>1438</v>
      </c>
      <c r="D14641" s="2889" t="s">
        <v>1437</v>
      </c>
      <c r="E14641" s="2889" t="s">
        <v>1420</v>
      </c>
      <c r="F14641" s="2890">
        <v>6.1861745624093448E-4</v>
      </c>
      <c r="G14641" s="2890">
        <v>5.6837809053225747</v>
      </c>
    </row>
    <row r="14642" spans="2:7" ht="15" hidden="1" outlineLevel="2">
      <c r="B14642" s="2889" t="s">
        <v>1651</v>
      </c>
      <c r="C14642" s="2889" t="s">
        <v>1439</v>
      </c>
      <c r="D14642" s="2889" t="s">
        <v>1437</v>
      </c>
      <c r="E14642" s="2889" t="s">
        <v>1426</v>
      </c>
      <c r="F14642" s="2891"/>
      <c r="G14642" s="2890">
        <v>390.83676561208318</v>
      </c>
    </row>
    <row r="14643" spans="2:7" ht="15" hidden="1" outlineLevel="2">
      <c r="B14643" s="2889" t="s">
        <v>1651</v>
      </c>
      <c r="C14643" s="2889" t="s">
        <v>1440</v>
      </c>
      <c r="D14643" s="2889" t="s">
        <v>1105</v>
      </c>
      <c r="E14643" s="2889" t="s">
        <v>217</v>
      </c>
      <c r="F14643" s="2890">
        <v>1.4853962678633991E-2</v>
      </c>
      <c r="G14643" s="2890">
        <v>7.3605295088915534</v>
      </c>
    </row>
    <row r="14644" spans="2:7" ht="15" hidden="1" outlineLevel="2">
      <c r="B14644" s="2889" t="s">
        <v>1651</v>
      </c>
      <c r="C14644" s="2889" t="s">
        <v>1441</v>
      </c>
      <c r="D14644" s="2889" t="s">
        <v>1105</v>
      </c>
      <c r="E14644" s="2889" t="s">
        <v>217</v>
      </c>
      <c r="F14644" s="2890">
        <v>9.4916121297656308E-2</v>
      </c>
      <c r="G14644" s="2890">
        <v>49.107068082036555</v>
      </c>
    </row>
    <row r="14645" spans="2:7" ht="15" hidden="1" outlineLevel="2">
      <c r="B14645" s="2889" t="s">
        <v>1651</v>
      </c>
      <c r="C14645" s="2889" t="s">
        <v>1442</v>
      </c>
      <c r="D14645" s="2889" t="s">
        <v>1105</v>
      </c>
      <c r="E14645" s="2889" t="s">
        <v>217</v>
      </c>
      <c r="F14645" s="2890">
        <v>4.2250214331710654E-5</v>
      </c>
      <c r="G14645" s="2890">
        <v>1.8939094609985139E-2</v>
      </c>
    </row>
    <row r="14646" spans="2:7" ht="15" hidden="1" outlineLevel="2">
      <c r="B14646" s="2889" t="s">
        <v>1651</v>
      </c>
      <c r="C14646" s="2889" t="s">
        <v>1443</v>
      </c>
      <c r="D14646" s="2889" t="s">
        <v>1105</v>
      </c>
      <c r="E14646" s="2889" t="s">
        <v>217</v>
      </c>
      <c r="F14646" s="2890">
        <v>6.6479919854277748E-4</v>
      </c>
      <c r="G14646" s="2890">
        <v>0.29800314517819759</v>
      </c>
    </row>
    <row r="14647" spans="2:7" ht="15" hidden="1" outlineLevel="2">
      <c r="B14647" s="2889" t="s">
        <v>1651</v>
      </c>
      <c r="C14647" s="2889" t="s">
        <v>1444</v>
      </c>
      <c r="D14647" s="2889" t="s">
        <v>1105</v>
      </c>
      <c r="E14647" s="2889" t="s">
        <v>217</v>
      </c>
      <c r="F14647" s="2890">
        <v>1.2525941779097507</v>
      </c>
      <c r="G14647" s="2890">
        <v>1515.1277760483033</v>
      </c>
    </row>
    <row r="14648" spans="2:7" ht="15" hidden="1" outlineLevel="2">
      <c r="B14648" s="2889" t="s">
        <v>1651</v>
      </c>
      <c r="C14648" s="2889" t="s">
        <v>1445</v>
      </c>
      <c r="D14648" s="2889" t="s">
        <v>1105</v>
      </c>
      <c r="E14648" s="2889" t="s">
        <v>217</v>
      </c>
      <c r="F14648" s="2890">
        <v>0.26963576758023999</v>
      </c>
      <c r="G14648" s="2890">
        <v>379.14557351045181</v>
      </c>
    </row>
    <row r="14649" spans="2:7" ht="15" hidden="1" outlineLevel="2">
      <c r="B14649" s="2889" t="s">
        <v>1651</v>
      </c>
      <c r="C14649" s="2889" t="s">
        <v>1446</v>
      </c>
      <c r="D14649" s="2889" t="s">
        <v>1105</v>
      </c>
      <c r="E14649" s="2889" t="s">
        <v>217</v>
      </c>
      <c r="F14649" s="2890">
        <v>0.12446704519310667</v>
      </c>
      <c r="G14649" s="2890">
        <v>201.05802446795116</v>
      </c>
    </row>
    <row r="14650" spans="2:7" ht="15" hidden="1" outlineLevel="2">
      <c r="B14650" s="2889" t="s">
        <v>1651</v>
      </c>
      <c r="C14650" s="2889" t="s">
        <v>1447</v>
      </c>
      <c r="D14650" s="2889" t="s">
        <v>1105</v>
      </c>
      <c r="E14650" s="2889" t="s">
        <v>217</v>
      </c>
      <c r="F14650" s="2890">
        <v>0.28679385297718296</v>
      </c>
      <c r="G14650" s="2890">
        <v>431.39743494108751</v>
      </c>
    </row>
    <row r="14651" spans="2:7" ht="15" hidden="1" outlineLevel="2">
      <c r="B14651" s="2889" t="s">
        <v>1651</v>
      </c>
      <c r="C14651" s="2889" t="s">
        <v>1448</v>
      </c>
      <c r="D14651" s="2889" t="s">
        <v>1105</v>
      </c>
      <c r="E14651" s="2889" t="s">
        <v>217</v>
      </c>
      <c r="F14651" s="2890">
        <v>0.54163096415622658</v>
      </c>
      <c r="G14651" s="2890">
        <v>679.62908687562094</v>
      </c>
    </row>
    <row r="14652" spans="2:7" ht="15" hidden="1" outlineLevel="2">
      <c r="B14652" s="2889" t="s">
        <v>1651</v>
      </c>
      <c r="C14652" s="2889" t="s">
        <v>1449</v>
      </c>
      <c r="D14652" s="2889" t="s">
        <v>1105</v>
      </c>
      <c r="E14652" s="2889" t="s">
        <v>217</v>
      </c>
      <c r="F14652" s="2890">
        <v>2.3058406444197398E-2</v>
      </c>
      <c r="G14652" s="2890">
        <v>31.965955225755881</v>
      </c>
    </row>
    <row r="14653" spans="2:7" ht="15" hidden="1" outlineLevel="2">
      <c r="B14653" s="2889" t="s">
        <v>1651</v>
      </c>
      <c r="C14653" s="2889" t="s">
        <v>1450</v>
      </c>
      <c r="D14653" s="2889" t="s">
        <v>1105</v>
      </c>
      <c r="E14653" s="2889" t="s">
        <v>1420</v>
      </c>
      <c r="F14653" s="2890">
        <v>7.3328489510338019E-2</v>
      </c>
      <c r="G14653" s="2890">
        <v>201.59500627913744</v>
      </c>
    </row>
    <row r="14654" spans="2:7" ht="15" hidden="1" outlineLevel="2">
      <c r="B14654" s="2889" t="s">
        <v>1651</v>
      </c>
      <c r="C14654" s="2889" t="s">
        <v>1451</v>
      </c>
      <c r="D14654" s="2889" t="s">
        <v>1105</v>
      </c>
      <c r="E14654" s="2889" t="s">
        <v>1420</v>
      </c>
      <c r="F14654" s="2890">
        <v>1.06465150052929E-2</v>
      </c>
      <c r="G14654" s="2890">
        <v>44.902228597148998</v>
      </c>
    </row>
    <row r="14655" spans="2:7" ht="15" hidden="1" outlineLevel="2">
      <c r="B14655" s="2889" t="s">
        <v>1651</v>
      </c>
      <c r="C14655" s="2889" t="s">
        <v>1452</v>
      </c>
      <c r="D14655" s="2889" t="s">
        <v>1105</v>
      </c>
      <c r="E14655" s="2889" t="s">
        <v>1420</v>
      </c>
      <c r="F14655" s="2890">
        <v>7.8764943278680898E-3</v>
      </c>
      <c r="G14655" s="2890">
        <v>52.633471673695801</v>
      </c>
    </row>
    <row r="14656" spans="2:7" ht="15" hidden="1" outlineLevel="2">
      <c r="B14656" s="2889" t="s">
        <v>1651</v>
      </c>
      <c r="C14656" s="2889" t="s">
        <v>1453</v>
      </c>
      <c r="D14656" s="2889" t="s">
        <v>1105</v>
      </c>
      <c r="E14656" s="2889" t="s">
        <v>1420</v>
      </c>
      <c r="F14656" s="2890">
        <v>1.3796667924116789E-2</v>
      </c>
      <c r="G14656" s="2890">
        <v>65.383949421575181</v>
      </c>
    </row>
    <row r="14657" spans="2:7" ht="15" hidden="1" outlineLevel="2">
      <c r="B14657" s="2889" t="s">
        <v>1651</v>
      </c>
      <c r="C14657" s="2889" t="s">
        <v>1454</v>
      </c>
      <c r="D14657" s="2889" t="s">
        <v>1105</v>
      </c>
      <c r="E14657" s="2889" t="s">
        <v>1420</v>
      </c>
      <c r="F14657" s="2890">
        <v>3.4449533463809984E-4</v>
      </c>
      <c r="G14657" s="2890">
        <v>0.88384441559019666</v>
      </c>
    </row>
    <row r="14658" spans="2:7" ht="15" hidden="1" outlineLevel="2">
      <c r="B14658" s="2889" t="s">
        <v>1651</v>
      </c>
      <c r="C14658" s="2889" t="s">
        <v>1455</v>
      </c>
      <c r="D14658" s="2889" t="s">
        <v>1105</v>
      </c>
      <c r="E14658" s="2889" t="s">
        <v>1420</v>
      </c>
      <c r="F14658" s="2890">
        <v>1.0050694786151339E-4</v>
      </c>
      <c r="G14658" s="2890">
        <v>0.82097404928424733</v>
      </c>
    </row>
    <row r="14659" spans="2:7" ht="15" hidden="1" outlineLevel="2">
      <c r="B14659" s="2889" t="s">
        <v>1651</v>
      </c>
      <c r="C14659" s="2889" t="s">
        <v>1456</v>
      </c>
      <c r="D14659" s="2889" t="s">
        <v>1105</v>
      </c>
      <c r="E14659" s="2889" t="s">
        <v>1423</v>
      </c>
      <c r="F14659" s="2890">
        <v>1.6201484591108302</v>
      </c>
      <c r="G14659" s="2890">
        <v>44.989842843554328</v>
      </c>
    </row>
    <row r="14660" spans="2:7" ht="15" hidden="1" outlineLevel="2">
      <c r="B14660" s="2889" t="s">
        <v>1651</v>
      </c>
      <c r="C14660" s="2889" t="s">
        <v>1457</v>
      </c>
      <c r="D14660" s="2889" t="s">
        <v>1105</v>
      </c>
      <c r="E14660" s="2889" t="s">
        <v>1423</v>
      </c>
      <c r="F14660" s="2890">
        <v>6.2114199145451354E-2</v>
      </c>
      <c r="G14660" s="2890">
        <v>2.2579461629686737</v>
      </c>
    </row>
    <row r="14661" spans="2:7" ht="15" hidden="1" outlineLevel="2">
      <c r="B14661" s="2889" t="s">
        <v>1651</v>
      </c>
      <c r="C14661" s="2889" t="s">
        <v>1458</v>
      </c>
      <c r="D14661" s="2889" t="s">
        <v>1105</v>
      </c>
      <c r="E14661" s="2889" t="s">
        <v>1423</v>
      </c>
      <c r="F14661" s="2890">
        <v>4.4593407557090681E-2</v>
      </c>
      <c r="G14661" s="2890">
        <v>3.1276383486012045</v>
      </c>
    </row>
    <row r="14662" spans="2:7" ht="15" hidden="1" outlineLevel="2">
      <c r="B14662" s="2889" t="s">
        <v>1651</v>
      </c>
      <c r="C14662" s="2889" t="s">
        <v>1459</v>
      </c>
      <c r="D14662" s="2889" t="s">
        <v>1105</v>
      </c>
      <c r="E14662" s="2889" t="s">
        <v>1423</v>
      </c>
      <c r="F14662" s="2890">
        <v>0.52243437838819229</v>
      </c>
      <c r="G14662" s="2890">
        <v>109.32740132390965</v>
      </c>
    </row>
    <row r="14663" spans="2:7" ht="15" hidden="1" outlineLevel="2">
      <c r="B14663" s="2889" t="s">
        <v>1651</v>
      </c>
      <c r="C14663" s="2889" t="s">
        <v>1460</v>
      </c>
      <c r="D14663" s="2889" t="s">
        <v>1105</v>
      </c>
      <c r="E14663" s="2889" t="s">
        <v>1426</v>
      </c>
      <c r="F14663" s="2891"/>
      <c r="G14663" s="2890">
        <v>1165.8372272032475</v>
      </c>
    </row>
    <row r="14664" spans="2:7" ht="15" hidden="1" outlineLevel="2">
      <c r="B14664" s="2889" t="s">
        <v>1651</v>
      </c>
      <c r="C14664" s="2889" t="s">
        <v>1461</v>
      </c>
      <c r="D14664" s="2889" t="s">
        <v>1105</v>
      </c>
      <c r="E14664" s="2889" t="s">
        <v>1426</v>
      </c>
      <c r="F14664" s="2891"/>
      <c r="G14664" s="2890">
        <v>275.06681161823451</v>
      </c>
    </row>
    <row r="14665" spans="2:7" ht="15" hidden="1" outlineLevel="2">
      <c r="B14665" s="2889" t="s">
        <v>1651</v>
      </c>
      <c r="C14665" s="2889" t="s">
        <v>1462</v>
      </c>
      <c r="D14665" s="2889" t="s">
        <v>1105</v>
      </c>
      <c r="E14665" s="2889" t="s">
        <v>1426</v>
      </c>
      <c r="F14665" s="2891"/>
      <c r="G14665" s="2890">
        <v>763.20409956412709</v>
      </c>
    </row>
    <row r="14666" spans="2:7" ht="15" hidden="1" outlineLevel="2">
      <c r="B14666" s="2889" t="s">
        <v>1651</v>
      </c>
      <c r="C14666" s="2889" t="s">
        <v>1463</v>
      </c>
      <c r="D14666" s="2889" t="s">
        <v>1105</v>
      </c>
      <c r="E14666" s="2889" t="s">
        <v>1426</v>
      </c>
      <c r="F14666" s="2891"/>
      <c r="G14666" s="2890">
        <v>387.53015098087985</v>
      </c>
    </row>
    <row r="14667" spans="2:7" ht="15" hidden="1" outlineLevel="2">
      <c r="B14667" s="2889" t="s">
        <v>1651</v>
      </c>
      <c r="C14667" s="2889" t="s">
        <v>1464</v>
      </c>
      <c r="D14667" s="2889" t="s">
        <v>1105</v>
      </c>
      <c r="E14667" s="2889" t="s">
        <v>1426</v>
      </c>
      <c r="F14667" s="2891"/>
      <c r="G14667" s="2890">
        <v>37.228571553874872</v>
      </c>
    </row>
    <row r="14668" spans="2:7" ht="15" hidden="1" outlineLevel="2">
      <c r="B14668" s="2889" t="s">
        <v>1651</v>
      </c>
      <c r="C14668" s="2889" t="s">
        <v>1465</v>
      </c>
      <c r="D14668" s="2889" t="s">
        <v>1105</v>
      </c>
      <c r="E14668" s="2889" t="s">
        <v>1426</v>
      </c>
      <c r="F14668" s="2891"/>
      <c r="G14668" s="2890">
        <v>33.030173560982064</v>
      </c>
    </row>
    <row r="14669" spans="2:7" ht="15" hidden="1" outlineLevel="2">
      <c r="B14669" s="2889" t="s">
        <v>1651</v>
      </c>
      <c r="C14669" s="2889" t="s">
        <v>1466</v>
      </c>
      <c r="D14669" s="2889" t="s">
        <v>1054</v>
      </c>
      <c r="E14669" s="2889" t="s">
        <v>217</v>
      </c>
      <c r="F14669" s="2890">
        <v>1.9244278157094008E-2</v>
      </c>
      <c r="G14669" s="2890">
        <v>11.865440688714433</v>
      </c>
    </row>
    <row r="14670" spans="2:7" ht="15" hidden="1" outlineLevel="2">
      <c r="B14670" s="2889" t="s">
        <v>1651</v>
      </c>
      <c r="C14670" s="2889" t="s">
        <v>1467</v>
      </c>
      <c r="D14670" s="2889" t="s">
        <v>1054</v>
      </c>
      <c r="E14670" s="2889" t="s">
        <v>217</v>
      </c>
      <c r="F14670" s="2890">
        <v>1.5904162180314235E-3</v>
      </c>
      <c r="G14670" s="2890">
        <v>0.76956439274527377</v>
      </c>
    </row>
    <row r="14671" spans="2:7" ht="15" hidden="1" outlineLevel="2">
      <c r="B14671" s="2889" t="s">
        <v>1651</v>
      </c>
      <c r="C14671" s="2889" t="s">
        <v>1468</v>
      </c>
      <c r="D14671" s="2889" t="s">
        <v>1054</v>
      </c>
      <c r="E14671" s="2889" t="s">
        <v>217</v>
      </c>
      <c r="F14671" s="2890">
        <v>1.9260422297550503E-3</v>
      </c>
      <c r="G14671" s="2890">
        <v>0.91996928261994704</v>
      </c>
    </row>
    <row r="14672" spans="2:7" ht="15" hidden="1" outlineLevel="2">
      <c r="B14672" s="2889" t="s">
        <v>1651</v>
      </c>
      <c r="C14672" s="2889" t="s">
        <v>1469</v>
      </c>
      <c r="D14672" s="2889" t="s">
        <v>1054</v>
      </c>
      <c r="E14672" s="2889" t="s">
        <v>217</v>
      </c>
      <c r="F14672" s="2890">
        <v>1.536921992822546E-5</v>
      </c>
      <c r="G14672" s="2890">
        <v>6.8892145663255596E-3</v>
      </c>
    </row>
    <row r="14673" spans="2:7" ht="15" hidden="1" outlineLevel="2">
      <c r="B14673" s="2889" t="s">
        <v>1651</v>
      </c>
      <c r="C14673" s="2889" t="s">
        <v>1470</v>
      </c>
      <c r="D14673" s="2889" t="s">
        <v>1054</v>
      </c>
      <c r="E14673" s="2889" t="s">
        <v>217</v>
      </c>
      <c r="F14673" s="2890">
        <v>5.4826217168742225E-2</v>
      </c>
      <c r="G14673" s="2890">
        <v>30.662143801298612</v>
      </c>
    </row>
    <row r="14674" spans="2:7" ht="15" hidden="1" outlineLevel="2">
      <c r="B14674" s="2889" t="s">
        <v>1651</v>
      </c>
      <c r="C14674" s="2889" t="s">
        <v>1471</v>
      </c>
      <c r="D14674" s="2889" t="s">
        <v>1054</v>
      </c>
      <c r="E14674" s="2889" t="s">
        <v>217</v>
      </c>
      <c r="F14674" s="2890">
        <v>4.0020221830596565E-4</v>
      </c>
      <c r="G14674" s="2890">
        <v>0.17938958369728566</v>
      </c>
    </row>
    <row r="14675" spans="2:7" ht="15" hidden="1" outlineLevel="2">
      <c r="B14675" s="2889" t="s">
        <v>1651</v>
      </c>
      <c r="C14675" s="2889" t="s">
        <v>1472</v>
      </c>
      <c r="D14675" s="2889" t="s">
        <v>1054</v>
      </c>
      <c r="E14675" s="2889" t="s">
        <v>217</v>
      </c>
      <c r="F14675" s="2890">
        <v>6.7635634916892477E-3</v>
      </c>
      <c r="G14675" s="2890">
        <v>10.54813584455707</v>
      </c>
    </row>
    <row r="14676" spans="2:7" ht="15" hidden="1" outlineLevel="2">
      <c r="B14676" s="2889" t="s">
        <v>1651</v>
      </c>
      <c r="C14676" s="2889" t="s">
        <v>1473</v>
      </c>
      <c r="D14676" s="2889" t="s">
        <v>1054</v>
      </c>
      <c r="E14676" s="2889" t="s">
        <v>217</v>
      </c>
      <c r="F14676" s="2890">
        <v>5.9905040942566818E-5</v>
      </c>
      <c r="G14676" s="2890">
        <v>7.7947961708111205E-2</v>
      </c>
    </row>
    <row r="14677" spans="2:7" ht="15" hidden="1" outlineLevel="2">
      <c r="B14677" s="2889" t="s">
        <v>1651</v>
      </c>
      <c r="C14677" s="2889" t="s">
        <v>1474</v>
      </c>
      <c r="D14677" s="2889" t="s">
        <v>1054</v>
      </c>
      <c r="E14677" s="2889" t="s">
        <v>217</v>
      </c>
      <c r="F14677" s="2890">
        <v>1.6478353630890591E-2</v>
      </c>
      <c r="G14677" s="2890">
        <v>19.738687356135554</v>
      </c>
    </row>
    <row r="14678" spans="2:7" ht="15" hidden="1" outlineLevel="2">
      <c r="B14678" s="2889" t="s">
        <v>1651</v>
      </c>
      <c r="C14678" s="2889" t="s">
        <v>1475</v>
      </c>
      <c r="D14678" s="2889" t="s">
        <v>1054</v>
      </c>
      <c r="E14678" s="2889" t="s">
        <v>217</v>
      </c>
      <c r="F14678" s="2890">
        <v>1.1803644215976633E-2</v>
      </c>
      <c r="G14678" s="2890">
        <v>18.651851721638163</v>
      </c>
    </row>
    <row r="14679" spans="2:7" ht="15" hidden="1" outlineLevel="2">
      <c r="B14679" s="2889" t="s">
        <v>1651</v>
      </c>
      <c r="C14679" s="2889" t="s">
        <v>1476</v>
      </c>
      <c r="D14679" s="2889" t="s">
        <v>1054</v>
      </c>
      <c r="E14679" s="2889" t="s">
        <v>217</v>
      </c>
      <c r="F14679" s="2890">
        <v>2.9062658882609761E-2</v>
      </c>
      <c r="G14679" s="2890">
        <v>37.123491147504978</v>
      </c>
    </row>
    <row r="14680" spans="2:7" ht="15" hidden="1" outlineLevel="2">
      <c r="B14680" s="2889" t="s">
        <v>1651</v>
      </c>
      <c r="C14680" s="2889" t="s">
        <v>1477</v>
      </c>
      <c r="D14680" s="2889" t="s">
        <v>1054</v>
      </c>
      <c r="E14680" s="2889" t="s">
        <v>217</v>
      </c>
      <c r="F14680" s="2890">
        <v>1.1367596695741826E-2</v>
      </c>
      <c r="G14680" s="2890">
        <v>15.654980043085438</v>
      </c>
    </row>
    <row r="14681" spans="2:7" ht="15" hidden="1" outlineLevel="2">
      <c r="B14681" s="2889" t="s">
        <v>1651</v>
      </c>
      <c r="C14681" s="2889" t="s">
        <v>1478</v>
      </c>
      <c r="D14681" s="2889" t="s">
        <v>1054</v>
      </c>
      <c r="E14681" s="2889" t="s">
        <v>217</v>
      </c>
      <c r="F14681" s="2890">
        <v>6.1259590889929216E-4</v>
      </c>
      <c r="G14681" s="2890">
        <v>0.81279590337117424</v>
      </c>
    </row>
    <row r="14682" spans="2:7" ht="15" hidden="1" outlineLevel="2">
      <c r="B14682" s="2889" t="s">
        <v>1651</v>
      </c>
      <c r="C14682" s="2889" t="s">
        <v>1479</v>
      </c>
      <c r="D14682" s="2889" t="s">
        <v>1054</v>
      </c>
      <c r="E14682" s="2889" t="s">
        <v>217</v>
      </c>
      <c r="F14682" s="2890">
        <v>2.166267153228223E-2</v>
      </c>
      <c r="G14682" s="2890">
        <v>32.773275569895773</v>
      </c>
    </row>
    <row r="14683" spans="2:7" ht="15" hidden="1" outlineLevel="2">
      <c r="B14683" s="2889" t="s">
        <v>1651</v>
      </c>
      <c r="C14683" s="2889" t="s">
        <v>1480</v>
      </c>
      <c r="D14683" s="2889" t="s">
        <v>1054</v>
      </c>
      <c r="E14683" s="2889" t="s">
        <v>217</v>
      </c>
      <c r="F14683" s="2890">
        <v>9.7539453380934438E-3</v>
      </c>
      <c r="G14683" s="2890">
        <v>11.287642780858933</v>
      </c>
    </row>
    <row r="14684" spans="2:7" ht="15" hidden="1" outlineLevel="2">
      <c r="B14684" s="2889" t="s">
        <v>1651</v>
      </c>
      <c r="C14684" s="2889" t="s">
        <v>1481</v>
      </c>
      <c r="D14684" s="2889" t="s">
        <v>1054</v>
      </c>
      <c r="E14684" s="2889" t="s">
        <v>217</v>
      </c>
      <c r="F14684" s="2890">
        <v>4.8252300828086542E-2</v>
      </c>
      <c r="G14684" s="2890">
        <v>68.2602895506312</v>
      </c>
    </row>
    <row r="14685" spans="2:7" ht="15" hidden="1" outlineLevel="2">
      <c r="B14685" s="2889" t="s">
        <v>1651</v>
      </c>
      <c r="C14685" s="2889" t="s">
        <v>1482</v>
      </c>
      <c r="D14685" s="2889" t="s">
        <v>1054</v>
      </c>
      <c r="E14685" s="2889" t="s">
        <v>217</v>
      </c>
      <c r="F14685" s="2890">
        <v>3.2519186615173369E-2</v>
      </c>
      <c r="G14685" s="2890">
        <v>32.700249004442604</v>
      </c>
    </row>
    <row r="14686" spans="2:7" ht="15" hidden="1" outlineLevel="2">
      <c r="B14686" s="2889" t="s">
        <v>1651</v>
      </c>
      <c r="C14686" s="2889" t="s">
        <v>1483</v>
      </c>
      <c r="D14686" s="2889" t="s">
        <v>1054</v>
      </c>
      <c r="E14686" s="2889" t="s">
        <v>217</v>
      </c>
      <c r="F14686" s="2890">
        <v>1.5468187114101122E-3</v>
      </c>
      <c r="G14686" s="2890">
        <v>2.6067245892415558</v>
      </c>
    </row>
    <row r="14687" spans="2:7" ht="15" hidden="1" outlineLevel="2">
      <c r="B14687" s="2889" t="s">
        <v>1651</v>
      </c>
      <c r="C14687" s="2889" t="s">
        <v>1484</v>
      </c>
      <c r="D14687" s="2889" t="s">
        <v>1054</v>
      </c>
      <c r="E14687" s="2889" t="s">
        <v>217</v>
      </c>
      <c r="F14687" s="2890">
        <v>3.1424009511798732E-3</v>
      </c>
      <c r="G14687" s="2890">
        <v>4.420062778896849</v>
      </c>
    </row>
    <row r="14688" spans="2:7" ht="15" hidden="1" outlineLevel="2">
      <c r="B14688" s="2889" t="s">
        <v>1651</v>
      </c>
      <c r="C14688" s="2889" t="s">
        <v>1485</v>
      </c>
      <c r="D14688" s="2889" t="s">
        <v>1054</v>
      </c>
      <c r="E14688" s="2889" t="s">
        <v>217</v>
      </c>
      <c r="F14688" s="2890">
        <v>1.3973820206286444E-3</v>
      </c>
      <c r="G14688" s="2890">
        <v>3.9607755637512163</v>
      </c>
    </row>
    <row r="14689" spans="2:7" ht="15" hidden="1" outlineLevel="2">
      <c r="B14689" s="2889" t="s">
        <v>1651</v>
      </c>
      <c r="C14689" s="2889" t="s">
        <v>1486</v>
      </c>
      <c r="D14689" s="2889" t="s">
        <v>1054</v>
      </c>
      <c r="E14689" s="2889" t="s">
        <v>217</v>
      </c>
      <c r="F14689" s="2890">
        <v>1.6273610453521371E-3</v>
      </c>
      <c r="G14689" s="2890">
        <v>9.4600841119494028</v>
      </c>
    </row>
    <row r="14690" spans="2:7" ht="15" hidden="1" outlineLevel="2">
      <c r="B14690" s="2889" t="s">
        <v>1651</v>
      </c>
      <c r="C14690" s="2889" t="s">
        <v>1487</v>
      </c>
      <c r="D14690" s="2889" t="s">
        <v>1054</v>
      </c>
      <c r="E14690" s="2889" t="s">
        <v>217</v>
      </c>
      <c r="F14690" s="2890">
        <v>1.5383942809834896E-2</v>
      </c>
      <c r="G14690" s="2890">
        <v>22.417935668409797</v>
      </c>
    </row>
    <row r="14691" spans="2:7" ht="15" hidden="1" outlineLevel="2">
      <c r="B14691" s="2889" t="s">
        <v>1651</v>
      </c>
      <c r="C14691" s="2889" t="s">
        <v>1488</v>
      </c>
      <c r="D14691" s="2889" t="s">
        <v>1054</v>
      </c>
      <c r="E14691" s="2889" t="s">
        <v>217</v>
      </c>
      <c r="F14691" s="2890">
        <v>9.5473763614551642E-3</v>
      </c>
      <c r="G14691" s="2890">
        <v>15.385721142870356</v>
      </c>
    </row>
    <row r="14692" spans="2:7" ht="15" hidden="1" outlineLevel="2">
      <c r="B14692" s="2889" t="s">
        <v>1651</v>
      </c>
      <c r="C14692" s="2889" t="s">
        <v>1489</v>
      </c>
      <c r="D14692" s="2889" t="s">
        <v>1054</v>
      </c>
      <c r="E14692" s="2889" t="s">
        <v>217</v>
      </c>
      <c r="F14692" s="2890">
        <v>4.8053217768195102E-3</v>
      </c>
      <c r="G14692" s="2890">
        <v>5.0694566580504965</v>
      </c>
    </row>
    <row r="14693" spans="2:7" ht="15" hidden="1" outlineLevel="2">
      <c r="B14693" s="2889" t="s">
        <v>1651</v>
      </c>
      <c r="C14693" s="2889" t="s">
        <v>1490</v>
      </c>
      <c r="D14693" s="2889" t="s">
        <v>1054</v>
      </c>
      <c r="E14693" s="2889" t="s">
        <v>217</v>
      </c>
      <c r="F14693" s="2890">
        <v>2.2439635639761295E-3</v>
      </c>
      <c r="G14693" s="2890">
        <v>3.5812248277846779</v>
      </c>
    </row>
    <row r="14694" spans="2:7" ht="15" hidden="1" outlineLevel="2">
      <c r="B14694" s="2889" t="s">
        <v>1651</v>
      </c>
      <c r="C14694" s="2889" t="s">
        <v>1491</v>
      </c>
      <c r="D14694" s="2889" t="s">
        <v>1054</v>
      </c>
      <c r="E14694" s="2889" t="s">
        <v>1420</v>
      </c>
      <c r="F14694" s="2890">
        <v>4.2841426433953752E-4</v>
      </c>
      <c r="G14694" s="2890">
        <v>2.0284615008197178</v>
      </c>
    </row>
    <row r="14695" spans="2:7" ht="15" hidden="1" outlineLevel="2">
      <c r="B14695" s="2889" t="s">
        <v>1651</v>
      </c>
      <c r="C14695" s="2889" t="s">
        <v>1492</v>
      </c>
      <c r="D14695" s="2889" t="s">
        <v>1054</v>
      </c>
      <c r="E14695" s="2889" t="s">
        <v>1420</v>
      </c>
      <c r="F14695" s="2890">
        <v>3.1846949036357634E-4</v>
      </c>
      <c r="G14695" s="2890">
        <v>3.4041395554532841</v>
      </c>
    </row>
    <row r="14696" spans="2:7" ht="15" hidden="1" outlineLevel="2">
      <c r="B14696" s="2889" t="s">
        <v>1651</v>
      </c>
      <c r="C14696" s="2889" t="s">
        <v>1493</v>
      </c>
      <c r="D14696" s="2889" t="s">
        <v>1054</v>
      </c>
      <c r="E14696" s="2889" t="s">
        <v>1420</v>
      </c>
      <c r="F14696" s="2890">
        <v>2.3582128492283575E-4</v>
      </c>
      <c r="G14696" s="2890">
        <v>0.56314684559623673</v>
      </c>
    </row>
    <row r="14697" spans="2:7" ht="15" hidden="1" outlineLevel="2">
      <c r="B14697" s="2889" t="s">
        <v>1651</v>
      </c>
      <c r="C14697" s="2889" t="s">
        <v>1494</v>
      </c>
      <c r="D14697" s="2889" t="s">
        <v>1054</v>
      </c>
      <c r="E14697" s="2889" t="s">
        <v>1420</v>
      </c>
      <c r="F14697" s="2890">
        <v>6.4303409818046548E-5</v>
      </c>
      <c r="G14697" s="2890">
        <v>0.35288049630769525</v>
      </c>
    </row>
    <row r="14698" spans="2:7" ht="15" hidden="1" outlineLevel="2">
      <c r="B14698" s="2889" t="s">
        <v>1651</v>
      </c>
      <c r="C14698" s="2889" t="s">
        <v>1495</v>
      </c>
      <c r="D14698" s="2889" t="s">
        <v>1054</v>
      </c>
      <c r="E14698" s="2889" t="s">
        <v>1420</v>
      </c>
      <c r="F14698" s="2890">
        <v>1.3915694299473211E-3</v>
      </c>
      <c r="G14698" s="2890">
        <v>6.244789903577443</v>
      </c>
    </row>
    <row r="14699" spans="2:7" ht="15" hidden="1" outlineLevel="2">
      <c r="B14699" s="2889" t="s">
        <v>1651</v>
      </c>
      <c r="C14699" s="2889" t="s">
        <v>1496</v>
      </c>
      <c r="D14699" s="2889" t="s">
        <v>1054</v>
      </c>
      <c r="E14699" s="2889" t="s">
        <v>1420</v>
      </c>
      <c r="F14699" s="2890">
        <v>1.2624742695856739E-3</v>
      </c>
      <c r="G14699" s="2890">
        <v>2.2484836408553095</v>
      </c>
    </row>
    <row r="14700" spans="2:7" ht="15" hidden="1" outlineLevel="2">
      <c r="B14700" s="2889" t="s">
        <v>1651</v>
      </c>
      <c r="C14700" s="2889" t="s">
        <v>1497</v>
      </c>
      <c r="D14700" s="2889" t="s">
        <v>1054</v>
      </c>
      <c r="E14700" s="2889" t="s">
        <v>1420</v>
      </c>
      <c r="F14700" s="2890">
        <v>3.5027854667896651E-4</v>
      </c>
      <c r="G14700" s="2890">
        <v>5.7774329502054016</v>
      </c>
    </row>
    <row r="14701" spans="2:7" ht="15" hidden="1" outlineLevel="2">
      <c r="B14701" s="2889" t="s">
        <v>1651</v>
      </c>
      <c r="C14701" s="2889" t="s">
        <v>1498</v>
      </c>
      <c r="D14701" s="2889" t="s">
        <v>1054</v>
      </c>
      <c r="E14701" s="2889" t="s">
        <v>1420</v>
      </c>
      <c r="F14701" s="2890">
        <v>9.5747414047953354E-4</v>
      </c>
      <c r="G14701" s="2890">
        <v>2.3010895943824243</v>
      </c>
    </row>
    <row r="14702" spans="2:7" ht="15" hidden="1" outlineLevel="2">
      <c r="B14702" s="2889" t="s">
        <v>1651</v>
      </c>
      <c r="C14702" s="2889" t="s">
        <v>1499</v>
      </c>
      <c r="D14702" s="2889" t="s">
        <v>1054</v>
      </c>
      <c r="E14702" s="2889" t="s">
        <v>1420</v>
      </c>
      <c r="F14702" s="2890">
        <v>1.462325070447592E-4</v>
      </c>
      <c r="G14702" s="2890">
        <v>0.37027893154606556</v>
      </c>
    </row>
    <row r="14703" spans="2:7" ht="15" hidden="1" outlineLevel="2">
      <c r="B14703" s="2889" t="s">
        <v>1651</v>
      </c>
      <c r="C14703" s="2889" t="s">
        <v>1500</v>
      </c>
      <c r="D14703" s="2889" t="s">
        <v>1054</v>
      </c>
      <c r="E14703" s="2889" t="s">
        <v>1420</v>
      </c>
      <c r="F14703" s="2890">
        <v>1.0591903452740585E-3</v>
      </c>
      <c r="G14703" s="2890">
        <v>4.0056111393972351</v>
      </c>
    </row>
    <row r="14704" spans="2:7" ht="15" hidden="1" outlineLevel="2">
      <c r="B14704" s="2889" t="s">
        <v>1651</v>
      </c>
      <c r="C14704" s="2889" t="s">
        <v>1501</v>
      </c>
      <c r="D14704" s="2889" t="s">
        <v>1054</v>
      </c>
      <c r="E14704" s="2889" t="s">
        <v>1420</v>
      </c>
      <c r="F14704" s="2890">
        <v>1.3284539190730003E-3</v>
      </c>
      <c r="G14704" s="2890">
        <v>9.7538638907069615</v>
      </c>
    </row>
    <row r="14705" spans="2:7" ht="15" hidden="1" outlineLevel="2">
      <c r="B14705" s="2889" t="s">
        <v>1651</v>
      </c>
      <c r="C14705" s="2889" t="s">
        <v>1502</v>
      </c>
      <c r="D14705" s="2889" t="s">
        <v>1054</v>
      </c>
      <c r="E14705" s="2889" t="s">
        <v>1420</v>
      </c>
      <c r="F14705" s="2890">
        <v>9.2693154642369373E-5</v>
      </c>
      <c r="G14705" s="2890">
        <v>1.0189024248582901</v>
      </c>
    </row>
    <row r="14706" spans="2:7" ht="15" hidden="1" outlineLevel="2">
      <c r="B14706" s="2889" t="s">
        <v>1651</v>
      </c>
      <c r="C14706" s="2889" t="s">
        <v>1503</v>
      </c>
      <c r="D14706" s="2889" t="s">
        <v>1054</v>
      </c>
      <c r="E14706" s="2889" t="s">
        <v>1420</v>
      </c>
      <c r="F14706" s="2890">
        <v>3.0569346889818289E-3</v>
      </c>
      <c r="G14706" s="2890">
        <v>8.4402226135949192</v>
      </c>
    </row>
    <row r="14707" spans="2:7" ht="15" hidden="1" outlineLevel="2">
      <c r="B14707" s="2889" t="s">
        <v>1651</v>
      </c>
      <c r="C14707" s="2889" t="s">
        <v>1504</v>
      </c>
      <c r="D14707" s="2889" t="s">
        <v>1054</v>
      </c>
      <c r="E14707" s="2889" t="s">
        <v>1420</v>
      </c>
      <c r="F14707" s="2890">
        <v>1.5768547756311142E-3</v>
      </c>
      <c r="G14707" s="2890">
        <v>3.4903824005292177</v>
      </c>
    </row>
    <row r="14708" spans="2:7" ht="15" hidden="1" outlineLevel="2">
      <c r="B14708" s="2889" t="s">
        <v>1651</v>
      </c>
      <c r="C14708" s="2889" t="s">
        <v>1505</v>
      </c>
      <c r="D14708" s="2889" t="s">
        <v>1054</v>
      </c>
      <c r="E14708" s="2889" t="s">
        <v>1423</v>
      </c>
      <c r="F14708" s="2890">
        <v>4.4716165448079933E-3</v>
      </c>
      <c r="G14708" s="2890">
        <v>0.11066290061093272</v>
      </c>
    </row>
    <row r="14709" spans="2:7" ht="15" hidden="1" outlineLevel="2">
      <c r="B14709" s="2889" t="s">
        <v>1651</v>
      </c>
      <c r="C14709" s="2889" t="s">
        <v>1506</v>
      </c>
      <c r="D14709" s="2889" t="s">
        <v>1054</v>
      </c>
      <c r="E14709" s="2889" t="s">
        <v>1426</v>
      </c>
      <c r="F14709" s="2891"/>
      <c r="G14709" s="2890">
        <v>328.57067439068271</v>
      </c>
    </row>
    <row r="14710" spans="2:7" ht="15" hidden="1" outlineLevel="2">
      <c r="B14710" s="2889" t="s">
        <v>1651</v>
      </c>
      <c r="C14710" s="2889" t="s">
        <v>1507</v>
      </c>
      <c r="D14710" s="2889" t="s">
        <v>1054</v>
      </c>
      <c r="E14710" s="2889" t="s">
        <v>1426</v>
      </c>
      <c r="F14710" s="2891"/>
      <c r="G14710" s="2890">
        <v>0.53559275834672404</v>
      </c>
    </row>
    <row r="14711" spans="2:7" ht="15" hidden="1" outlineLevel="2">
      <c r="B14711" s="2889" t="s">
        <v>1651</v>
      </c>
      <c r="C14711" s="2889" t="s">
        <v>1508</v>
      </c>
      <c r="D14711" s="2889" t="s">
        <v>1054</v>
      </c>
      <c r="E14711" s="2889" t="s">
        <v>1426</v>
      </c>
      <c r="F14711" s="2891"/>
      <c r="G14711" s="2890">
        <v>8.823699840115987</v>
      </c>
    </row>
    <row r="14712" spans="2:7" ht="15" hidden="1" outlineLevel="2">
      <c r="B14712" s="2889" t="s">
        <v>1651</v>
      </c>
      <c r="C14712" s="2889" t="s">
        <v>1509</v>
      </c>
      <c r="D14712" s="2889" t="s">
        <v>1054</v>
      </c>
      <c r="E14712" s="2889" t="s">
        <v>1426</v>
      </c>
      <c r="F14712" s="2891"/>
      <c r="G14712" s="2890">
        <v>822.45128173444971</v>
      </c>
    </row>
    <row r="14713" spans="2:7" ht="15" hidden="1" outlineLevel="2">
      <c r="B14713" s="2889" t="s">
        <v>1651</v>
      </c>
      <c r="C14713" s="2889" t="s">
        <v>1510</v>
      </c>
      <c r="D14713" s="2889" t="s">
        <v>1054</v>
      </c>
      <c r="E14713" s="2889" t="s">
        <v>1426</v>
      </c>
      <c r="F14713" s="2891"/>
      <c r="G14713" s="2890">
        <v>894.6541402717412</v>
      </c>
    </row>
    <row r="14714" spans="2:7" ht="15" hidden="1" outlineLevel="2">
      <c r="B14714" s="2889" t="s">
        <v>1651</v>
      </c>
      <c r="C14714" s="2889" t="s">
        <v>1511</v>
      </c>
      <c r="D14714" s="2889" t="s">
        <v>1054</v>
      </c>
      <c r="E14714" s="2889" t="s">
        <v>1426</v>
      </c>
      <c r="F14714" s="2891"/>
      <c r="G14714" s="2890">
        <v>49.289541480635279</v>
      </c>
    </row>
    <row r="14715" spans="2:7" ht="15" hidden="1" outlineLevel="2">
      <c r="B14715" s="2889" t="s">
        <v>1651</v>
      </c>
      <c r="C14715" s="2889" t="s">
        <v>1512</v>
      </c>
      <c r="D14715" s="2889" t="s">
        <v>1054</v>
      </c>
      <c r="E14715" s="2889" t="s">
        <v>1426</v>
      </c>
      <c r="F14715" s="2891"/>
      <c r="G14715" s="2890">
        <v>30.422973709045671</v>
      </c>
    </row>
    <row r="14716" spans="2:7" ht="15" hidden="1" outlineLevel="2">
      <c r="B14716" s="2889" t="s">
        <v>1651</v>
      </c>
      <c r="C14716" s="2889" t="s">
        <v>1513</v>
      </c>
      <c r="D14716" s="2889" t="s">
        <v>1054</v>
      </c>
      <c r="E14716" s="2889" t="s">
        <v>1426</v>
      </c>
      <c r="F14716" s="2891"/>
      <c r="G14716" s="2890">
        <v>90.841460488144136</v>
      </c>
    </row>
    <row r="14717" spans="2:7" ht="15" hidden="1" outlineLevel="2">
      <c r="B14717" s="2889" t="s">
        <v>1651</v>
      </c>
      <c r="C14717" s="2889" t="s">
        <v>1514</v>
      </c>
      <c r="D14717" s="2889" t="s">
        <v>1054</v>
      </c>
      <c r="E14717" s="2889" t="s">
        <v>1426</v>
      </c>
      <c r="F14717" s="2891"/>
      <c r="G14717" s="2890">
        <v>390.1817632172714</v>
      </c>
    </row>
    <row r="14718" spans="2:7" ht="15" hidden="1" outlineLevel="2">
      <c r="B14718" s="2889" t="s">
        <v>1651</v>
      </c>
      <c r="C14718" s="2889" t="s">
        <v>1515</v>
      </c>
      <c r="D14718" s="2889" t="s">
        <v>1054</v>
      </c>
      <c r="E14718" s="2889" t="s">
        <v>1426</v>
      </c>
      <c r="F14718" s="2891"/>
      <c r="G14718" s="2890">
        <v>335.51065547882769</v>
      </c>
    </row>
    <row r="14719" spans="2:7" ht="15" hidden="1" outlineLevel="2">
      <c r="B14719" s="2889" t="s">
        <v>1651</v>
      </c>
      <c r="C14719" s="2889" t="s">
        <v>1516</v>
      </c>
      <c r="D14719" s="2889" t="s">
        <v>1054</v>
      </c>
      <c r="E14719" s="2889" t="s">
        <v>1426</v>
      </c>
      <c r="F14719" s="2891"/>
      <c r="G14719" s="2890">
        <v>3333.0800469534629</v>
      </c>
    </row>
    <row r="14720" spans="2:7" ht="15" hidden="1" outlineLevel="2">
      <c r="B14720" s="2889" t="s">
        <v>1651</v>
      </c>
      <c r="C14720" s="2889" t="s">
        <v>1517</v>
      </c>
      <c r="D14720" s="2889" t="s">
        <v>1054</v>
      </c>
      <c r="E14720" s="2889" t="s">
        <v>1426</v>
      </c>
      <c r="F14720" s="2891"/>
      <c r="G14720" s="2890">
        <v>27.647740461977872</v>
      </c>
    </row>
    <row r="14721" spans="2:7" ht="15" hidden="1" outlineLevel="2">
      <c r="B14721" s="2889" t="s">
        <v>1651</v>
      </c>
      <c r="C14721" s="2889" t="s">
        <v>1518</v>
      </c>
      <c r="D14721" s="2889" t="s">
        <v>1054</v>
      </c>
      <c r="E14721" s="2889" t="s">
        <v>1426</v>
      </c>
      <c r="F14721" s="2891"/>
      <c r="G14721" s="2890">
        <v>13.059291775272998</v>
      </c>
    </row>
    <row r="14722" spans="2:7" ht="15" hidden="1" outlineLevel="2">
      <c r="B14722" s="2889" t="s">
        <v>1651</v>
      </c>
      <c r="C14722" s="2889" t="s">
        <v>1519</v>
      </c>
      <c r="D14722" s="2889" t="s">
        <v>1054</v>
      </c>
      <c r="E14722" s="2889" t="s">
        <v>1426</v>
      </c>
      <c r="F14722" s="2891"/>
      <c r="G14722" s="2890">
        <v>761.24683827976378</v>
      </c>
    </row>
    <row r="14723" spans="2:7" ht="15" hidden="1" outlineLevel="2">
      <c r="B14723" s="2889" t="s">
        <v>1651</v>
      </c>
      <c r="C14723" s="2889" t="s">
        <v>1520</v>
      </c>
      <c r="D14723" s="2889" t="s">
        <v>1054</v>
      </c>
      <c r="E14723" s="2889" t="s">
        <v>1426</v>
      </c>
      <c r="F14723" s="2891"/>
      <c r="G14723" s="2890">
        <v>829.24942876641398</v>
      </c>
    </row>
    <row r="14724" spans="2:7" ht="15" hidden="1" outlineLevel="2">
      <c r="B14724" s="2889" t="s">
        <v>1651</v>
      </c>
      <c r="C14724" s="2889" t="s">
        <v>1521</v>
      </c>
      <c r="D14724" s="2889" t="s">
        <v>1054</v>
      </c>
      <c r="E14724" s="2889" t="s">
        <v>1426</v>
      </c>
      <c r="F14724" s="2891"/>
      <c r="G14724" s="2890">
        <v>2850.7624443895238</v>
      </c>
    </row>
    <row r="14725" spans="2:7" ht="15" hidden="1" outlineLevel="2">
      <c r="B14725" s="2889" t="s">
        <v>1651</v>
      </c>
      <c r="C14725" s="2889" t="s">
        <v>1522</v>
      </c>
      <c r="D14725" s="2889" t="s">
        <v>1054</v>
      </c>
      <c r="E14725" s="2889" t="s">
        <v>1426</v>
      </c>
      <c r="F14725" s="2891"/>
      <c r="G14725" s="2890">
        <v>134.2099268855255</v>
      </c>
    </row>
    <row r="14726" spans="2:7" ht="15" hidden="1" outlineLevel="2">
      <c r="B14726" s="2889" t="s">
        <v>1651</v>
      </c>
      <c r="C14726" s="2889" t="s">
        <v>1523</v>
      </c>
      <c r="D14726" s="2889" t="s">
        <v>1054</v>
      </c>
      <c r="E14726" s="2889" t="s">
        <v>1426</v>
      </c>
      <c r="F14726" s="2891"/>
      <c r="G14726" s="2890">
        <v>1066.8789865699268</v>
      </c>
    </row>
    <row r="14727" spans="2:7" ht="15" hidden="1" outlineLevel="2">
      <c r="B14727" s="2889" t="s">
        <v>1651</v>
      </c>
      <c r="C14727" s="2889" t="s">
        <v>1524</v>
      </c>
      <c r="D14727" s="2889" t="s">
        <v>1054</v>
      </c>
      <c r="E14727" s="2889" t="s">
        <v>1426</v>
      </c>
      <c r="F14727" s="2891"/>
      <c r="G14727" s="2890">
        <v>3627.9182396621973</v>
      </c>
    </row>
    <row r="14728" spans="2:7" ht="15" hidden="1" outlineLevel="2">
      <c r="B14728" s="2889" t="s">
        <v>1651</v>
      </c>
      <c r="C14728" s="2889" t="s">
        <v>1525</v>
      </c>
      <c r="D14728" s="2889" t="s">
        <v>1054</v>
      </c>
      <c r="E14728" s="2889" t="s">
        <v>1426</v>
      </c>
      <c r="F14728" s="2891"/>
      <c r="G14728" s="2890">
        <v>2200.1122025786426</v>
      </c>
    </row>
    <row r="14729" spans="2:7" ht="15" hidden="1" outlineLevel="2">
      <c r="B14729" s="2889" t="s">
        <v>1651</v>
      </c>
      <c r="C14729" s="2889" t="s">
        <v>1526</v>
      </c>
      <c r="D14729" s="2889" t="s">
        <v>1054</v>
      </c>
      <c r="E14729" s="2889" t="s">
        <v>1426</v>
      </c>
      <c r="F14729" s="2891"/>
      <c r="G14729" s="2890">
        <v>3320.2546013975834</v>
      </c>
    </row>
    <row r="14730" spans="2:7" ht="15" hidden="1" outlineLevel="2">
      <c r="B14730" s="2889" t="s">
        <v>1651</v>
      </c>
      <c r="C14730" s="2889" t="s">
        <v>1527</v>
      </c>
      <c r="D14730" s="2889" t="s">
        <v>1054</v>
      </c>
      <c r="E14730" s="2889" t="s">
        <v>1426</v>
      </c>
      <c r="F14730" s="2891"/>
      <c r="G14730" s="2890">
        <v>1508.5976616871999</v>
      </c>
    </row>
    <row r="14731" spans="2:7" ht="15" hidden="1" outlineLevel="2">
      <c r="B14731" s="2889" t="s">
        <v>1651</v>
      </c>
      <c r="C14731" s="2889" t="s">
        <v>1528</v>
      </c>
      <c r="D14731" s="2889" t="s">
        <v>1054</v>
      </c>
      <c r="E14731" s="2889" t="s">
        <v>1426</v>
      </c>
      <c r="F14731" s="2891"/>
      <c r="G14731" s="2890">
        <v>357.13289890466234</v>
      </c>
    </row>
    <row r="14732" spans="2:7" ht="15" hidden="1" outlineLevel="2">
      <c r="B14732" s="2889" t="s">
        <v>1651</v>
      </c>
      <c r="C14732" s="2889" t="s">
        <v>1529</v>
      </c>
      <c r="D14732" s="2889" t="s">
        <v>1054</v>
      </c>
      <c r="E14732" s="2889" t="s">
        <v>1426</v>
      </c>
      <c r="F14732" s="2891"/>
      <c r="G14732" s="2890">
        <v>4.648103852033767</v>
      </c>
    </row>
    <row r="14733" spans="2:7" ht="15" hidden="1" outlineLevel="2">
      <c r="B14733" s="2889" t="s">
        <v>1651</v>
      </c>
      <c r="C14733" s="2889" t="s">
        <v>1530</v>
      </c>
      <c r="D14733" s="2889" t="s">
        <v>1054</v>
      </c>
      <c r="E14733" s="2889" t="s">
        <v>1426</v>
      </c>
      <c r="F14733" s="2891"/>
      <c r="G14733" s="2890">
        <v>342.21830331096754</v>
      </c>
    </row>
    <row r="14734" spans="2:7" ht="15" hidden="1" outlineLevel="2">
      <c r="B14734" s="2889" t="s">
        <v>1651</v>
      </c>
      <c r="C14734" s="2889" t="s">
        <v>1531</v>
      </c>
      <c r="D14734" s="2889" t="s">
        <v>1106</v>
      </c>
      <c r="E14734" s="2889" t="s">
        <v>217</v>
      </c>
      <c r="F14734" s="2890">
        <v>3.6468844974520359E-4</v>
      </c>
      <c r="G14734" s="2890">
        <v>0.16347537255280076</v>
      </c>
    </row>
    <row r="14735" spans="2:7" ht="15" hidden="1" outlineLevel="2">
      <c r="B14735" s="2889" t="s">
        <v>1651</v>
      </c>
      <c r="C14735" s="2889" t="s">
        <v>1532</v>
      </c>
      <c r="D14735" s="2889" t="s">
        <v>1106</v>
      </c>
      <c r="E14735" s="2889" t="s">
        <v>217</v>
      </c>
      <c r="F14735" s="2890">
        <v>2.8722448153366881E-5</v>
      </c>
      <c r="G14735" s="2890">
        <v>1.2875125628862255E-2</v>
      </c>
    </row>
    <row r="14736" spans="2:7" ht="15" hidden="1" outlineLevel="2">
      <c r="B14736" s="2889" t="s">
        <v>1651</v>
      </c>
      <c r="C14736" s="2889" t="s">
        <v>1533</v>
      </c>
      <c r="D14736" s="2889" t="s">
        <v>1106</v>
      </c>
      <c r="E14736" s="2889" t="s">
        <v>217</v>
      </c>
      <c r="F14736" s="2890">
        <v>1.8602631201337757E-2</v>
      </c>
      <c r="G14736" s="2890">
        <v>19.884245098114253</v>
      </c>
    </row>
    <row r="14737" spans="2:7" ht="15" hidden="1" outlineLevel="2">
      <c r="B14737" s="2889" t="s">
        <v>1651</v>
      </c>
      <c r="C14737" s="2889" t="s">
        <v>1534</v>
      </c>
      <c r="D14737" s="2889" t="s">
        <v>1106</v>
      </c>
      <c r="E14737" s="2889" t="s">
        <v>217</v>
      </c>
      <c r="F14737" s="2890">
        <v>1.6911457413295226E-2</v>
      </c>
      <c r="G14737" s="2890">
        <v>58.88264417107186</v>
      </c>
    </row>
    <row r="14738" spans="2:7" ht="15" hidden="1" outlineLevel="2">
      <c r="B14738" s="2889" t="s">
        <v>1651</v>
      </c>
      <c r="C14738" s="2889" t="s">
        <v>1535</v>
      </c>
      <c r="D14738" s="2889" t="s">
        <v>1106</v>
      </c>
      <c r="E14738" s="2889" t="s">
        <v>217</v>
      </c>
      <c r="F14738" s="2890">
        <v>6.3220225157992419E-3</v>
      </c>
      <c r="G14738" s="2890">
        <v>14.870953554526624</v>
      </c>
    </row>
    <row r="14739" spans="2:7" ht="15" hidden="1" outlineLevel="2">
      <c r="B14739" s="2889" t="s">
        <v>1651</v>
      </c>
      <c r="C14739" s="2889" t="s">
        <v>1536</v>
      </c>
      <c r="D14739" s="2889" t="s">
        <v>1106</v>
      </c>
      <c r="E14739" s="2889" t="s">
        <v>217</v>
      </c>
      <c r="F14739" s="2890">
        <v>2.1207627583295433E-2</v>
      </c>
      <c r="G14739" s="2890">
        <v>27.718778224054205</v>
      </c>
    </row>
    <row r="14740" spans="2:7" ht="15" hidden="1" outlineLevel="2">
      <c r="B14740" s="2889" t="s">
        <v>1651</v>
      </c>
      <c r="C14740" s="2889" t="s">
        <v>1537</v>
      </c>
      <c r="D14740" s="2889" t="s">
        <v>1106</v>
      </c>
      <c r="E14740" s="2889" t="s">
        <v>217</v>
      </c>
      <c r="F14740" s="2890">
        <v>1.1882757579932536E-3</v>
      </c>
      <c r="G14740" s="2890">
        <v>1.3619001888479747</v>
      </c>
    </row>
    <row r="14741" spans="2:7" ht="15" hidden="1" outlineLevel="2">
      <c r="B14741" s="2889" t="s">
        <v>1651</v>
      </c>
      <c r="C14741" s="2889" t="s">
        <v>1538</v>
      </c>
      <c r="D14741" s="2889" t="s">
        <v>1106</v>
      </c>
      <c r="E14741" s="2889" t="s">
        <v>217</v>
      </c>
      <c r="F14741" s="2890">
        <v>4.3489247538599325E-4</v>
      </c>
      <c r="G14741" s="2890">
        <v>0.58933428077303229</v>
      </c>
    </row>
    <row r="14742" spans="2:7" ht="15" hidden="1" outlineLevel="2">
      <c r="B14742" s="2889" t="s">
        <v>1651</v>
      </c>
      <c r="C14742" s="2889" t="s">
        <v>1539</v>
      </c>
      <c r="D14742" s="2889" t="s">
        <v>1106</v>
      </c>
      <c r="E14742" s="2889" t="s">
        <v>217</v>
      </c>
      <c r="F14742" s="2890">
        <v>4.6643110265598105E-4</v>
      </c>
      <c r="G14742" s="2890">
        <v>6.0041765747264861</v>
      </c>
    </row>
    <row r="14743" spans="2:7" ht="15" hidden="1" outlineLevel="2">
      <c r="B14743" s="2889" t="s">
        <v>1651</v>
      </c>
      <c r="C14743" s="2889" t="s">
        <v>1540</v>
      </c>
      <c r="D14743" s="2889" t="s">
        <v>1106</v>
      </c>
      <c r="E14743" s="2889" t="s">
        <v>1420</v>
      </c>
      <c r="F14743" s="2890">
        <v>2.0757850449514097E-2</v>
      </c>
      <c r="G14743" s="2890">
        <v>50.372438933102387</v>
      </c>
    </row>
    <row r="14744" spans="2:7" ht="15" hidden="1" outlineLevel="2">
      <c r="B14744" s="2889" t="s">
        <v>1651</v>
      </c>
      <c r="C14744" s="2889" t="s">
        <v>1541</v>
      </c>
      <c r="D14744" s="2889" t="s">
        <v>1106</v>
      </c>
      <c r="E14744" s="2889" t="s">
        <v>1420</v>
      </c>
      <c r="F14744" s="2890">
        <v>0.60493278448590626</v>
      </c>
      <c r="G14744" s="2890">
        <v>4453.6990742271319</v>
      </c>
    </row>
    <row r="14745" spans="2:7" ht="15" hidden="1" outlineLevel="2">
      <c r="B14745" s="2889" t="s">
        <v>1651</v>
      </c>
      <c r="C14745" s="2889" t="s">
        <v>1542</v>
      </c>
      <c r="D14745" s="2889" t="s">
        <v>1106</v>
      </c>
      <c r="E14745" s="2889" t="s">
        <v>1420</v>
      </c>
      <c r="F14745" s="2890">
        <v>2.942358987565636E-3</v>
      </c>
      <c r="G14745" s="2890">
        <v>33.670065367858257</v>
      </c>
    </row>
    <row r="14746" spans="2:7" ht="15" hidden="1" outlineLevel="2">
      <c r="B14746" s="2889" t="s">
        <v>1651</v>
      </c>
      <c r="C14746" s="2889" t="s">
        <v>1543</v>
      </c>
      <c r="D14746" s="2889" t="s">
        <v>1106</v>
      </c>
      <c r="E14746" s="2889" t="s">
        <v>1420</v>
      </c>
      <c r="F14746" s="2890">
        <v>1.0662384328488351E-3</v>
      </c>
      <c r="G14746" s="2890">
        <v>10.436150251267705</v>
      </c>
    </row>
    <row r="14747" spans="2:7" ht="15" hidden="1" outlineLevel="2">
      <c r="B14747" s="2889" t="s">
        <v>1651</v>
      </c>
      <c r="C14747" s="2889" t="s">
        <v>1544</v>
      </c>
      <c r="D14747" s="2889" t="s">
        <v>1106</v>
      </c>
      <c r="E14747" s="2889" t="s">
        <v>1420</v>
      </c>
      <c r="F14747" s="2890">
        <v>1.0305792095386104E-3</v>
      </c>
      <c r="G14747" s="2890">
        <v>2.6927094504721389</v>
      </c>
    </row>
    <row r="14748" spans="2:7" ht="15" hidden="1" outlineLevel="2">
      <c r="B14748" s="2889" t="s">
        <v>1651</v>
      </c>
      <c r="C14748" s="2889" t="s">
        <v>1545</v>
      </c>
      <c r="D14748" s="2889" t="s">
        <v>1106</v>
      </c>
      <c r="E14748" s="2889" t="s">
        <v>1420</v>
      </c>
      <c r="F14748" s="2890">
        <v>1.0306241170174892E-3</v>
      </c>
      <c r="G14748" s="2890">
        <v>20.481235834305252</v>
      </c>
    </row>
    <row r="14749" spans="2:7" ht="15" hidden="1" outlineLevel="2">
      <c r="B14749" s="2889" t="s">
        <v>1651</v>
      </c>
      <c r="C14749" s="2889" t="s">
        <v>1546</v>
      </c>
      <c r="D14749" s="2889" t="s">
        <v>1106</v>
      </c>
      <c r="E14749" s="2889" t="s">
        <v>1423</v>
      </c>
      <c r="F14749" s="2890">
        <v>3.1241759318926765</v>
      </c>
      <c r="G14749" s="2890">
        <v>262.91739579379703</v>
      </c>
    </row>
    <row r="14750" spans="2:7" ht="15" hidden="1" outlineLevel="2">
      <c r="B14750" s="2889" t="s">
        <v>1651</v>
      </c>
      <c r="C14750" s="2889" t="s">
        <v>1547</v>
      </c>
      <c r="D14750" s="2889" t="s">
        <v>1106</v>
      </c>
      <c r="E14750" s="2889" t="s">
        <v>1423</v>
      </c>
      <c r="F14750" s="2890">
        <v>3.4124007360450651E-3</v>
      </c>
      <c r="G14750" s="2890">
        <v>0.29881513783050406</v>
      </c>
    </row>
    <row r="14751" spans="2:7" ht="15" hidden="1" outlineLevel="2">
      <c r="B14751" s="2889" t="s">
        <v>1651</v>
      </c>
      <c r="C14751" s="2889" t="s">
        <v>1548</v>
      </c>
      <c r="D14751" s="2889" t="s">
        <v>1106</v>
      </c>
      <c r="E14751" s="2889" t="s">
        <v>1423</v>
      </c>
      <c r="F14751" s="2890">
        <v>1.5922238874414682E-3</v>
      </c>
      <c r="G14751" s="2890">
        <v>0.16318646859922473</v>
      </c>
    </row>
    <row r="14752" spans="2:7" ht="15" hidden="1" outlineLevel="2">
      <c r="B14752" s="2889" t="s">
        <v>1651</v>
      </c>
      <c r="C14752" s="2889" t="s">
        <v>1549</v>
      </c>
      <c r="D14752" s="2889" t="s">
        <v>1106</v>
      </c>
      <c r="E14752" s="2889" t="s">
        <v>1423</v>
      </c>
      <c r="F14752" s="2890">
        <v>5.6495257359917041E-3</v>
      </c>
      <c r="G14752" s="2890">
        <v>0.55633182059210673</v>
      </c>
    </row>
    <row r="14753" spans="2:7" ht="15" hidden="1" outlineLevel="2">
      <c r="B14753" s="2889" t="s">
        <v>1651</v>
      </c>
      <c r="C14753" s="2889" t="s">
        <v>1550</v>
      </c>
      <c r="D14753" s="2889" t="s">
        <v>1106</v>
      </c>
      <c r="E14753" s="2889" t="s">
        <v>1423</v>
      </c>
      <c r="F14753" s="2890">
        <v>5.4222234021296493E-3</v>
      </c>
      <c r="G14753" s="2890">
        <v>1.2193389800143624</v>
      </c>
    </row>
    <row r="14754" spans="2:7" ht="15" hidden="1" outlineLevel="2">
      <c r="B14754" s="2889" t="s">
        <v>1651</v>
      </c>
      <c r="C14754" s="2889" t="s">
        <v>1551</v>
      </c>
      <c r="D14754" s="2889" t="s">
        <v>1106</v>
      </c>
      <c r="E14754" s="2889" t="s">
        <v>1426</v>
      </c>
      <c r="F14754" s="2891"/>
      <c r="G14754" s="2890">
        <v>81.953951546776935</v>
      </c>
    </row>
    <row r="14755" spans="2:7" ht="15" hidden="1" outlineLevel="2">
      <c r="B14755" s="2889" t="s">
        <v>1651</v>
      </c>
      <c r="C14755" s="2889" t="s">
        <v>1552</v>
      </c>
      <c r="D14755" s="2889" t="s">
        <v>1106</v>
      </c>
      <c r="E14755" s="2889" t="s">
        <v>1426</v>
      </c>
      <c r="F14755" s="2891"/>
      <c r="G14755" s="2890">
        <v>1189.1987686792472</v>
      </c>
    </row>
    <row r="14756" spans="2:7" ht="15" hidden="1" outlineLevel="2">
      <c r="B14756" s="2889" t="s">
        <v>1651</v>
      </c>
      <c r="C14756" s="2889" t="s">
        <v>1553</v>
      </c>
      <c r="D14756" s="2889" t="s">
        <v>1106</v>
      </c>
      <c r="E14756" s="2889" t="s">
        <v>1426</v>
      </c>
      <c r="F14756" s="2891"/>
      <c r="G14756" s="2890">
        <v>519.04622186925076</v>
      </c>
    </row>
    <row r="14757" spans="2:7" ht="15" hidden="1" outlineLevel="2">
      <c r="B14757" s="2889" t="s">
        <v>1651</v>
      </c>
      <c r="C14757" s="2889" t="s">
        <v>1554</v>
      </c>
      <c r="D14757" s="2889" t="s">
        <v>1106</v>
      </c>
      <c r="E14757" s="2889" t="s">
        <v>1426</v>
      </c>
      <c r="F14757" s="2891"/>
      <c r="G14757" s="2890">
        <v>526.826010541963</v>
      </c>
    </row>
    <row r="14758" spans="2:7" ht="15" hidden="1" outlineLevel="2">
      <c r="B14758" s="2889" t="s">
        <v>1651</v>
      </c>
      <c r="C14758" s="2889" t="s">
        <v>1555</v>
      </c>
      <c r="D14758" s="2889" t="s">
        <v>1106</v>
      </c>
      <c r="E14758" s="2889" t="s">
        <v>1426</v>
      </c>
      <c r="F14758" s="2891"/>
      <c r="G14758" s="2890">
        <v>20.253077445864474</v>
      </c>
    </row>
    <row r="14759" spans="2:7" ht="15" hidden="1" outlineLevel="2">
      <c r="B14759" s="2889" t="s">
        <v>1651</v>
      </c>
      <c r="C14759" s="2889" t="s">
        <v>1556</v>
      </c>
      <c r="D14759" s="2889" t="s">
        <v>1106</v>
      </c>
      <c r="E14759" s="2889" t="s">
        <v>1426</v>
      </c>
      <c r="F14759" s="2891"/>
      <c r="G14759" s="2890">
        <v>1618.2292911925458</v>
      </c>
    </row>
    <row r="14760" spans="2:7" ht="15" hidden="1" outlineLevel="2">
      <c r="B14760" s="2889" t="s">
        <v>1651</v>
      </c>
      <c r="C14760" s="2889" t="s">
        <v>1557</v>
      </c>
      <c r="D14760" s="2889" t="s">
        <v>1106</v>
      </c>
      <c r="E14760" s="2889" t="s">
        <v>1426</v>
      </c>
      <c r="F14760" s="2891"/>
      <c r="G14760" s="2890">
        <v>748.6921368370422</v>
      </c>
    </row>
    <row r="14761" spans="2:7" ht="15" hidden="1" outlineLevel="2">
      <c r="B14761" s="2889" t="s">
        <v>1651</v>
      </c>
      <c r="C14761" s="2889" t="s">
        <v>1558</v>
      </c>
      <c r="D14761" s="2889" t="s">
        <v>1559</v>
      </c>
      <c r="E14761" s="2889" t="s">
        <v>217</v>
      </c>
      <c r="F14761" s="2890">
        <v>6.5519837354494348E-3</v>
      </c>
      <c r="G14761" s="2890">
        <v>3.5886286845693411</v>
      </c>
    </row>
    <row r="14762" spans="2:7" ht="15" hidden="1" outlineLevel="2">
      <c r="B14762" s="2889" t="s">
        <v>1651</v>
      </c>
      <c r="C14762" s="2889" t="s">
        <v>1560</v>
      </c>
      <c r="D14762" s="2889" t="s">
        <v>1559</v>
      </c>
      <c r="E14762" s="2889" t="s">
        <v>217</v>
      </c>
      <c r="F14762" s="2890">
        <v>2.4749640163307916E-2</v>
      </c>
      <c r="G14762" s="2890">
        <v>13.358280765501567</v>
      </c>
    </row>
    <row r="14763" spans="2:7" ht="15" hidden="1" outlineLevel="2">
      <c r="B14763" s="2889" t="s">
        <v>1651</v>
      </c>
      <c r="C14763" s="2889" t="s">
        <v>1561</v>
      </c>
      <c r="D14763" s="2889" t="s">
        <v>1559</v>
      </c>
      <c r="E14763" s="2889" t="s">
        <v>217</v>
      </c>
      <c r="F14763" s="2890">
        <v>9.402617313322785E-2</v>
      </c>
      <c r="G14763" s="2890">
        <v>49.023612044238035</v>
      </c>
    </row>
    <row r="14764" spans="2:7" ht="15" hidden="1" outlineLevel="2">
      <c r="B14764" s="2889" t="s">
        <v>1651</v>
      </c>
      <c r="C14764" s="2889" t="s">
        <v>1562</v>
      </c>
      <c r="D14764" s="2889" t="s">
        <v>1559</v>
      </c>
      <c r="E14764" s="2889" t="s">
        <v>217</v>
      </c>
      <c r="F14764" s="2890">
        <v>0.27114672933561607</v>
      </c>
      <c r="G14764" s="2890">
        <v>148.66350700146478</v>
      </c>
    </row>
    <row r="14765" spans="2:7" ht="15" hidden="1" outlineLevel="2">
      <c r="B14765" s="2889" t="s">
        <v>1651</v>
      </c>
      <c r="C14765" s="2889" t="s">
        <v>1563</v>
      </c>
      <c r="D14765" s="2889" t="s">
        <v>1559</v>
      </c>
      <c r="E14765" s="2889" t="s">
        <v>217</v>
      </c>
      <c r="F14765" s="2890">
        <v>0.11591506774051616</v>
      </c>
      <c r="G14765" s="2890">
        <v>68.31685410302228</v>
      </c>
    </row>
    <row r="14766" spans="2:7" ht="15" hidden="1" outlineLevel="2">
      <c r="B14766" s="2889" t="s">
        <v>1651</v>
      </c>
      <c r="C14766" s="2889" t="s">
        <v>1564</v>
      </c>
      <c r="D14766" s="2889" t="s">
        <v>1559</v>
      </c>
      <c r="E14766" s="2889" t="s">
        <v>217</v>
      </c>
      <c r="F14766" s="2890">
        <v>0.25599655754754702</v>
      </c>
      <c r="G14766" s="2890">
        <v>129.63190358786494</v>
      </c>
    </row>
    <row r="14767" spans="2:7" ht="15" hidden="1" outlineLevel="2">
      <c r="B14767" s="2889" t="s">
        <v>1651</v>
      </c>
      <c r="C14767" s="2889" t="s">
        <v>1565</v>
      </c>
      <c r="D14767" s="2889" t="s">
        <v>1559</v>
      </c>
      <c r="E14767" s="2889" t="s">
        <v>217</v>
      </c>
      <c r="F14767" s="2890">
        <v>8.170427418343168E-2</v>
      </c>
      <c r="G14767" s="2890">
        <v>43.968601191284357</v>
      </c>
    </row>
    <row r="14768" spans="2:7" ht="15" hidden="1" outlineLevel="2">
      <c r="B14768" s="2889" t="s">
        <v>1651</v>
      </c>
      <c r="C14768" s="2889" t="s">
        <v>1566</v>
      </c>
      <c r="D14768" s="2889" t="s">
        <v>1559</v>
      </c>
      <c r="E14768" s="2889" t="s">
        <v>217</v>
      </c>
      <c r="F14768" s="2890">
        <v>0.22594528465569386</v>
      </c>
      <c r="G14768" s="2890">
        <v>121.04534528099919</v>
      </c>
    </row>
    <row r="14769" spans="2:7" ht="15" hidden="1" outlineLevel="2">
      <c r="B14769" s="2889" t="s">
        <v>1651</v>
      </c>
      <c r="C14769" s="2889" t="s">
        <v>1567</v>
      </c>
      <c r="D14769" s="2889" t="s">
        <v>1559</v>
      </c>
      <c r="E14769" s="2889" t="s">
        <v>217</v>
      </c>
      <c r="F14769" s="2890">
        <v>1.7703098600000002E-34</v>
      </c>
      <c r="G14769" s="2890">
        <v>2.6023334480000002E-32</v>
      </c>
    </row>
    <row r="14770" spans="2:7" ht="15" hidden="1" outlineLevel="2">
      <c r="B14770" s="2889" t="s">
        <v>1651</v>
      </c>
      <c r="C14770" s="2889" t="s">
        <v>1568</v>
      </c>
      <c r="D14770" s="2889" t="s">
        <v>1559</v>
      </c>
      <c r="E14770" s="2889" t="s">
        <v>217</v>
      </c>
      <c r="F14770" s="2890">
        <v>7.1032856400000004E-32</v>
      </c>
      <c r="G14770" s="2890">
        <v>1.042564798E-29</v>
      </c>
    </row>
    <row r="14771" spans="2:7" ht="15" hidden="1" outlineLevel="2">
      <c r="B14771" s="2889" t="s">
        <v>1651</v>
      </c>
      <c r="C14771" s="2889" t="s">
        <v>1569</v>
      </c>
      <c r="D14771" s="2889" t="s">
        <v>1559</v>
      </c>
      <c r="E14771" s="2889" t="s">
        <v>217</v>
      </c>
      <c r="F14771" s="2890">
        <v>1.1069120048298309E-4</v>
      </c>
      <c r="G14771" s="2890">
        <v>5.5327979205064992E-2</v>
      </c>
    </row>
    <row r="14772" spans="2:7" ht="15" hidden="1" outlineLevel="2">
      <c r="B14772" s="2889" t="s">
        <v>1651</v>
      </c>
      <c r="C14772" s="2889" t="s">
        <v>1570</v>
      </c>
      <c r="D14772" s="2889" t="s">
        <v>1559</v>
      </c>
      <c r="E14772" s="2889" t="s">
        <v>217</v>
      </c>
      <c r="F14772" s="2890">
        <v>0.98399626266990137</v>
      </c>
      <c r="G14772" s="2890">
        <v>612.4535827099777</v>
      </c>
    </row>
    <row r="14773" spans="2:7" ht="15" hidden="1" outlineLevel="2">
      <c r="B14773" s="2889" t="s">
        <v>1651</v>
      </c>
      <c r="C14773" s="2889" t="s">
        <v>1571</v>
      </c>
      <c r="D14773" s="2889" t="s">
        <v>1559</v>
      </c>
      <c r="E14773" s="2889" t="s">
        <v>217</v>
      </c>
      <c r="F14773" s="2890">
        <v>0.31602646971731285</v>
      </c>
      <c r="G14773" s="2890">
        <v>377.87507884516469</v>
      </c>
    </row>
    <row r="14774" spans="2:7" ht="15" hidden="1" outlineLevel="2">
      <c r="B14774" s="2889" t="s">
        <v>1651</v>
      </c>
      <c r="C14774" s="2889" t="s">
        <v>1572</v>
      </c>
      <c r="D14774" s="2889" t="s">
        <v>1559</v>
      </c>
      <c r="E14774" s="2889" t="s">
        <v>217</v>
      </c>
      <c r="F14774" s="2890">
        <v>8.3182412470919911E-2</v>
      </c>
      <c r="G14774" s="2890">
        <v>51.3550665395382</v>
      </c>
    </row>
    <row r="14775" spans="2:7" ht="15" hidden="1" outlineLevel="2">
      <c r="B14775" s="2889" t="s">
        <v>1651</v>
      </c>
      <c r="C14775" s="2889" t="s">
        <v>1573</v>
      </c>
      <c r="D14775" s="2889" t="s">
        <v>1559</v>
      </c>
      <c r="E14775" s="2889" t="s">
        <v>217</v>
      </c>
      <c r="F14775" s="2890">
        <v>0.25616015185944291</v>
      </c>
      <c r="G14775" s="2890">
        <v>192.34185849741365</v>
      </c>
    </row>
    <row r="14776" spans="2:7" ht="15" hidden="1" outlineLevel="2">
      <c r="B14776" s="2889" t="s">
        <v>1651</v>
      </c>
      <c r="C14776" s="2889" t="s">
        <v>1574</v>
      </c>
      <c r="D14776" s="2889" t="s">
        <v>1559</v>
      </c>
      <c r="E14776" s="2889" t="s">
        <v>217</v>
      </c>
      <c r="F14776" s="2890">
        <v>4.5085951610475397E-3</v>
      </c>
      <c r="G14776" s="2890">
        <v>3.4095201763166845</v>
      </c>
    </row>
    <row r="14777" spans="2:7" ht="15" hidden="1" outlineLevel="2">
      <c r="B14777" s="2889" t="s">
        <v>1651</v>
      </c>
      <c r="C14777" s="2889" t="s">
        <v>1575</v>
      </c>
      <c r="D14777" s="2889" t="s">
        <v>1559</v>
      </c>
      <c r="E14777" s="2889" t="s">
        <v>217</v>
      </c>
      <c r="F14777" s="2890">
        <v>7.022819659721756E-3</v>
      </c>
      <c r="G14777" s="2890">
        <v>8.7534270043001463</v>
      </c>
    </row>
    <row r="14778" spans="2:7" ht="15" hidden="1" outlineLevel="2">
      <c r="B14778" s="2889" t="s">
        <v>1651</v>
      </c>
      <c r="C14778" s="2889" t="s">
        <v>1576</v>
      </c>
      <c r="D14778" s="2889" t="s">
        <v>1559</v>
      </c>
      <c r="E14778" s="2889" t="s">
        <v>217</v>
      </c>
      <c r="F14778" s="2890">
        <v>8.5810268020994635E-3</v>
      </c>
      <c r="G14778" s="2890">
        <v>6.5047611182327083</v>
      </c>
    </row>
    <row r="14779" spans="2:7" ht="15" hidden="1" outlineLevel="2">
      <c r="B14779" s="2889" t="s">
        <v>1651</v>
      </c>
      <c r="C14779" s="2889" t="s">
        <v>1577</v>
      </c>
      <c r="D14779" s="2889" t="s">
        <v>1559</v>
      </c>
      <c r="E14779" s="2889" t="s">
        <v>217</v>
      </c>
      <c r="F14779" s="2890">
        <v>0.23057324666061338</v>
      </c>
      <c r="G14779" s="2890">
        <v>361.12386969012368</v>
      </c>
    </row>
    <row r="14780" spans="2:7" ht="15" hidden="1" outlineLevel="2">
      <c r="B14780" s="2889" t="s">
        <v>1651</v>
      </c>
      <c r="C14780" s="2889" t="s">
        <v>1578</v>
      </c>
      <c r="D14780" s="2889" t="s">
        <v>1559</v>
      </c>
      <c r="E14780" s="2889" t="s">
        <v>217</v>
      </c>
      <c r="F14780" s="2890">
        <v>1.37655811414E-32</v>
      </c>
      <c r="G14780" s="2890">
        <v>7.5309819200000002E-30</v>
      </c>
    </row>
    <row r="14781" spans="2:7" ht="15" hidden="1" outlineLevel="2">
      <c r="B14781" s="2889" t="s">
        <v>1651</v>
      </c>
      <c r="C14781" s="2889" t="s">
        <v>1579</v>
      </c>
      <c r="D14781" s="2889" t="s">
        <v>1559</v>
      </c>
      <c r="E14781" s="2889" t="s">
        <v>217</v>
      </c>
      <c r="F14781" s="2890">
        <v>1.17714141666E-32</v>
      </c>
      <c r="G14781" s="2890">
        <v>6.4383722479999999E-30</v>
      </c>
    </row>
    <row r="14782" spans="2:7" ht="15" hidden="1" outlineLevel="2">
      <c r="B14782" s="2889" t="s">
        <v>1651</v>
      </c>
      <c r="C14782" s="2889" t="s">
        <v>1580</v>
      </c>
      <c r="D14782" s="2889" t="s">
        <v>1559</v>
      </c>
      <c r="E14782" s="2889" t="s">
        <v>217</v>
      </c>
      <c r="F14782" s="2890">
        <v>9.6790038927871386E-2</v>
      </c>
      <c r="G14782" s="2890">
        <v>122.88653608905017</v>
      </c>
    </row>
    <row r="14783" spans="2:7" ht="15" hidden="1" outlineLevel="2">
      <c r="B14783" s="2889" t="s">
        <v>1651</v>
      </c>
      <c r="C14783" s="2889" t="s">
        <v>1581</v>
      </c>
      <c r="D14783" s="2889" t="s">
        <v>1559</v>
      </c>
      <c r="E14783" s="2889" t="s">
        <v>217</v>
      </c>
      <c r="F14783" s="2890">
        <v>2.9446929408748202E-2</v>
      </c>
      <c r="G14783" s="2890">
        <v>41.721690420725636</v>
      </c>
    </row>
    <row r="14784" spans="2:7" ht="15" hidden="1" outlineLevel="2">
      <c r="B14784" s="2889" t="s">
        <v>1651</v>
      </c>
      <c r="C14784" s="2889" t="s">
        <v>1582</v>
      </c>
      <c r="D14784" s="2889" t="s">
        <v>1559</v>
      </c>
      <c r="E14784" s="2889" t="s">
        <v>217</v>
      </c>
      <c r="F14784" s="2890">
        <v>4.150534620988889E-2</v>
      </c>
      <c r="G14784" s="2890">
        <v>47.487878947667582</v>
      </c>
    </row>
    <row r="14785" spans="2:7" ht="15" hidden="1" outlineLevel="2">
      <c r="B14785" s="2889" t="s">
        <v>1651</v>
      </c>
      <c r="C14785" s="2889" t="s">
        <v>1583</v>
      </c>
      <c r="D14785" s="2889" t="s">
        <v>1559</v>
      </c>
      <c r="E14785" s="2889" t="s">
        <v>217</v>
      </c>
      <c r="F14785" s="2890">
        <v>3.1986044539158813E-2</v>
      </c>
      <c r="G14785" s="2890">
        <v>22.113474074826183</v>
      </c>
    </row>
    <row r="14786" spans="2:7" ht="15" hidden="1" outlineLevel="2">
      <c r="B14786" s="2889" t="s">
        <v>1651</v>
      </c>
      <c r="C14786" s="2889" t="s">
        <v>1584</v>
      </c>
      <c r="D14786" s="2889" t="s">
        <v>1559</v>
      </c>
      <c r="E14786" s="2889" t="s">
        <v>217</v>
      </c>
      <c r="F14786" s="2890">
        <v>1.2942724285890759</v>
      </c>
      <c r="G14786" s="2890">
        <v>1647.208429746001</v>
      </c>
    </row>
    <row r="14787" spans="2:7" ht="15" hidden="1" outlineLevel="2">
      <c r="B14787" s="2889" t="s">
        <v>1651</v>
      </c>
      <c r="C14787" s="2889" t="s">
        <v>1585</v>
      </c>
      <c r="D14787" s="2889" t="s">
        <v>1559</v>
      </c>
      <c r="E14787" s="2889" t="s">
        <v>217</v>
      </c>
      <c r="F14787" s="2890">
        <v>0.40011343927687959</v>
      </c>
      <c r="G14787" s="2890">
        <v>567.01566853723773</v>
      </c>
    </row>
    <row r="14788" spans="2:7" ht="15" hidden="1" outlineLevel="2">
      <c r="B14788" s="2889" t="s">
        <v>1651</v>
      </c>
      <c r="C14788" s="2889" t="s">
        <v>1586</v>
      </c>
      <c r="D14788" s="2889" t="s">
        <v>1559</v>
      </c>
      <c r="E14788" s="2889" t="s">
        <v>217</v>
      </c>
      <c r="F14788" s="2890">
        <v>4.5047840762684574E-2</v>
      </c>
      <c r="G14788" s="2890">
        <v>94.930315318806251</v>
      </c>
    </row>
    <row r="14789" spans="2:7" ht="15" hidden="1" outlineLevel="2">
      <c r="B14789" s="2889" t="s">
        <v>1651</v>
      </c>
      <c r="C14789" s="2889" t="s">
        <v>1587</v>
      </c>
      <c r="D14789" s="2889" t="s">
        <v>1559</v>
      </c>
      <c r="E14789" s="2889" t="s">
        <v>217</v>
      </c>
      <c r="F14789" s="2890">
        <v>1.2530520612754668</v>
      </c>
      <c r="G14789" s="2890">
        <v>1829.2295106599977</v>
      </c>
    </row>
    <row r="14790" spans="2:7" ht="15" hidden="1" outlineLevel="2">
      <c r="B14790" s="2889" t="s">
        <v>1651</v>
      </c>
      <c r="C14790" s="2889" t="s">
        <v>1588</v>
      </c>
      <c r="D14790" s="2889" t="s">
        <v>1559</v>
      </c>
      <c r="E14790" s="2889" t="s">
        <v>217</v>
      </c>
      <c r="F14790" s="2890">
        <v>7.4435594770321675E-2</v>
      </c>
      <c r="G14790" s="2890">
        <v>58.346234703400228</v>
      </c>
    </row>
    <row r="14791" spans="2:7" ht="15" hidden="1" outlineLevel="2">
      <c r="B14791" s="2889" t="s">
        <v>1651</v>
      </c>
      <c r="C14791" s="2889" t="s">
        <v>1589</v>
      </c>
      <c r="D14791" s="2889" t="s">
        <v>1559</v>
      </c>
      <c r="E14791" s="2889" t="s">
        <v>217</v>
      </c>
      <c r="F14791" s="2890">
        <v>7.135896842742355E-2</v>
      </c>
      <c r="G14791" s="2890">
        <v>56.04687553950221</v>
      </c>
    </row>
    <row r="14792" spans="2:7" ht="15" hidden="1" outlineLevel="2">
      <c r="B14792" s="2889" t="s">
        <v>1651</v>
      </c>
      <c r="C14792" s="2889" t="s">
        <v>1590</v>
      </c>
      <c r="D14792" s="2889" t="s">
        <v>1559</v>
      </c>
      <c r="E14792" s="2889" t="s">
        <v>1420</v>
      </c>
      <c r="F14792" s="2890">
        <v>3.5302662366687829E-3</v>
      </c>
      <c r="G14792" s="2890">
        <v>31.491437030172097</v>
      </c>
    </row>
    <row r="14793" spans="2:7" ht="15" hidden="1" outlineLevel="2">
      <c r="B14793" s="2889" t="s">
        <v>1651</v>
      </c>
      <c r="C14793" s="2889" t="s">
        <v>1591</v>
      </c>
      <c r="D14793" s="2889" t="s">
        <v>1559</v>
      </c>
      <c r="E14793" s="2889" t="s">
        <v>1426</v>
      </c>
      <c r="F14793" s="2891"/>
      <c r="G14793" s="2890">
        <v>4.895248033170721E-2</v>
      </c>
    </row>
    <row r="14794" spans="2:7" ht="15" hidden="1" outlineLevel="2">
      <c r="B14794" s="2889" t="s">
        <v>1651</v>
      </c>
      <c r="C14794" s="2889" t="s">
        <v>1592</v>
      </c>
      <c r="D14794" s="2889" t="s">
        <v>1559</v>
      </c>
      <c r="E14794" s="2889" t="s">
        <v>1426</v>
      </c>
      <c r="F14794" s="2891"/>
      <c r="G14794" s="2890">
        <v>2.6001288280000003E-29</v>
      </c>
    </row>
    <row r="14795" spans="2:7" ht="15" hidden="1" outlineLevel="2">
      <c r="B14795" s="2889" t="s">
        <v>1651</v>
      </c>
      <c r="C14795" s="2889" t="s">
        <v>1593</v>
      </c>
      <c r="D14795" s="2889" t="s">
        <v>1559</v>
      </c>
      <c r="E14795" s="2889" t="s">
        <v>1426</v>
      </c>
      <c r="F14795" s="2891"/>
      <c r="G14795" s="2890">
        <v>342.31549447706152</v>
      </c>
    </row>
    <row r="14796" spans="2:7" ht="15" hidden="1" outlineLevel="2">
      <c r="B14796" s="2889" t="s">
        <v>1651</v>
      </c>
      <c r="C14796" s="2889" t="s">
        <v>1594</v>
      </c>
      <c r="D14796" s="2889" t="s">
        <v>1559</v>
      </c>
      <c r="E14796" s="2889" t="s">
        <v>1426</v>
      </c>
      <c r="F14796" s="2891"/>
      <c r="G14796" s="2890">
        <v>70.642363894968597</v>
      </c>
    </row>
    <row r="14797" spans="2:7" ht="15" hidden="1" outlineLevel="2">
      <c r="B14797" s="2889" t="s">
        <v>1651</v>
      </c>
      <c r="C14797" s="2889" t="s">
        <v>1595</v>
      </c>
      <c r="D14797" s="2889" t="s">
        <v>1559</v>
      </c>
      <c r="E14797" s="2889" t="s">
        <v>1426</v>
      </c>
      <c r="F14797" s="2891"/>
      <c r="G14797" s="2890">
        <v>466.05351416785169</v>
      </c>
    </row>
    <row r="14798" spans="2:7" ht="15" hidden="1" outlineLevel="2">
      <c r="B14798" s="2889" t="s">
        <v>1651</v>
      </c>
      <c r="C14798" s="2889" t="s">
        <v>1596</v>
      </c>
      <c r="D14798" s="2889" t="s">
        <v>1559</v>
      </c>
      <c r="E14798" s="2889" t="s">
        <v>1426</v>
      </c>
      <c r="F14798" s="2891"/>
      <c r="G14798" s="2890">
        <v>54.951728350653831</v>
      </c>
    </row>
    <row r="14799" spans="2:7" ht="15" hidden="1" outlineLevel="2">
      <c r="B14799" s="2889" t="s">
        <v>1651</v>
      </c>
      <c r="C14799" s="2889" t="s">
        <v>1597</v>
      </c>
      <c r="D14799" s="2889" t="s">
        <v>1559</v>
      </c>
      <c r="E14799" s="2889" t="s">
        <v>1426</v>
      </c>
      <c r="F14799" s="2891"/>
      <c r="G14799" s="2890">
        <v>1.3089845243992875</v>
      </c>
    </row>
    <row r="14800" spans="2:7" ht="15" hidden="1" outlineLevel="2">
      <c r="B14800" s="2889" t="s">
        <v>1651</v>
      </c>
      <c r="C14800" s="2889" t="s">
        <v>1598</v>
      </c>
      <c r="D14800" s="2889" t="s">
        <v>1599</v>
      </c>
      <c r="E14800" s="2889" t="s">
        <v>217</v>
      </c>
      <c r="F14800" s="2890">
        <v>6.8167051634671225E-2</v>
      </c>
      <c r="G14800" s="2890">
        <v>39.417599668865485</v>
      </c>
    </row>
    <row r="14801" spans="2:7" ht="15" hidden="1" outlineLevel="2">
      <c r="B14801" s="2889" t="s">
        <v>1651</v>
      </c>
      <c r="C14801" s="2889" t="s">
        <v>1600</v>
      </c>
      <c r="D14801" s="2889" t="s">
        <v>1599</v>
      </c>
      <c r="E14801" s="2889" t="s">
        <v>217</v>
      </c>
      <c r="F14801" s="2890">
        <v>7.9688703159370697E-2</v>
      </c>
      <c r="G14801" s="2890">
        <v>88.754870885745817</v>
      </c>
    </row>
    <row r="14802" spans="2:7" ht="15" hidden="1" outlineLevel="2">
      <c r="B14802" s="2889" t="s">
        <v>1651</v>
      </c>
      <c r="C14802" s="2889" t="s">
        <v>1601</v>
      </c>
      <c r="D14802" s="2889" t="s">
        <v>1599</v>
      </c>
      <c r="E14802" s="2889" t="s">
        <v>217</v>
      </c>
      <c r="F14802" s="2890">
        <v>8.1740297001954879E-4</v>
      </c>
      <c r="G14802" s="2890">
        <v>1.0426679063467732</v>
      </c>
    </row>
    <row r="14803" spans="2:7" ht="15" hidden="1" outlineLevel="2">
      <c r="B14803" s="2889" t="s">
        <v>1651</v>
      </c>
      <c r="C14803" s="2889" t="s">
        <v>1602</v>
      </c>
      <c r="D14803" s="2889" t="s">
        <v>1599</v>
      </c>
      <c r="E14803" s="2889" t="s">
        <v>1426</v>
      </c>
      <c r="F14803" s="2891"/>
      <c r="G14803" s="2890">
        <v>1181.141502274781</v>
      </c>
    </row>
    <row r="14804" spans="2:7" ht="15" hidden="1" outlineLevel="2">
      <c r="B14804" s="2889" t="s">
        <v>1651</v>
      </c>
      <c r="C14804" s="2889" t="s">
        <v>1603</v>
      </c>
      <c r="D14804" s="2889" t="s">
        <v>1604</v>
      </c>
      <c r="E14804" s="2889" t="s">
        <v>217</v>
      </c>
      <c r="F14804" s="2890">
        <v>7.598663754000002E-36</v>
      </c>
      <c r="G14804" s="2890">
        <v>8.85375392E-33</v>
      </c>
    </row>
    <row r="14805" spans="2:7" ht="15" hidden="1" outlineLevel="2">
      <c r="B14805" s="2889" t="s">
        <v>1651</v>
      </c>
      <c r="C14805" s="2889" t="s">
        <v>1605</v>
      </c>
      <c r="D14805" s="2889" t="s">
        <v>1604</v>
      </c>
      <c r="E14805" s="2889" t="s">
        <v>1423</v>
      </c>
      <c r="F14805" s="2890">
        <v>3.1359396728E-33</v>
      </c>
      <c r="G14805" s="2890">
        <v>7.3524077000000003E-31</v>
      </c>
    </row>
    <row r="14806" spans="2:7" ht="15" hidden="1" outlineLevel="2">
      <c r="B14806" s="2889" t="s">
        <v>1651</v>
      </c>
      <c r="C14806" s="2889" t="s">
        <v>1606</v>
      </c>
      <c r="D14806" s="2889" t="s">
        <v>1604</v>
      </c>
      <c r="E14806" s="2889" t="s">
        <v>1426</v>
      </c>
      <c r="F14806" s="2891"/>
      <c r="G14806" s="2890">
        <v>7.9710240719999993E-32</v>
      </c>
    </row>
    <row r="14807" spans="2:7" ht="15" hidden="1" outlineLevel="2">
      <c r="B14807" s="2889" t="s">
        <v>1651</v>
      </c>
      <c r="C14807" s="2889" t="s">
        <v>1607</v>
      </c>
      <c r="D14807" s="2889" t="s">
        <v>1608</v>
      </c>
      <c r="E14807" s="2889" t="s">
        <v>217</v>
      </c>
      <c r="F14807" s="2890">
        <v>3.2235064731661458</v>
      </c>
      <c r="G14807" s="2890">
        <v>2648.8446339886632</v>
      </c>
    </row>
    <row r="14808" spans="2:7" ht="15" hidden="1" outlineLevel="2">
      <c r="B14808" s="2889" t="s">
        <v>1651</v>
      </c>
      <c r="C14808" s="2889" t="s">
        <v>1609</v>
      </c>
      <c r="D14808" s="2889" t="s">
        <v>1608</v>
      </c>
      <c r="E14808" s="2889" t="s">
        <v>217</v>
      </c>
      <c r="F14808" s="2890">
        <v>1.403665457647967</v>
      </c>
      <c r="G14808" s="2890">
        <v>1117.8052808221689</v>
      </c>
    </row>
    <row r="14809" spans="2:7" ht="15" hidden="1" outlineLevel="2">
      <c r="B14809" s="2889" t="s">
        <v>1651</v>
      </c>
      <c r="C14809" s="2889" t="s">
        <v>1610</v>
      </c>
      <c r="D14809" s="2889" t="s">
        <v>1608</v>
      </c>
      <c r="E14809" s="2889" t="s">
        <v>217</v>
      </c>
      <c r="F14809" s="2890">
        <v>0.75367087697340085</v>
      </c>
      <c r="G14809" s="2890">
        <v>1175.6815847397349</v>
      </c>
    </row>
    <row r="14810" spans="2:7" ht="15" hidden="1" outlineLevel="2">
      <c r="B14810" s="2889" t="s">
        <v>1651</v>
      </c>
      <c r="C14810" s="2889" t="s">
        <v>1611</v>
      </c>
      <c r="D14810" s="2889" t="s">
        <v>1608</v>
      </c>
      <c r="E14810" s="2889" t="s">
        <v>1612</v>
      </c>
      <c r="F14810" s="2891"/>
      <c r="G14810" s="2890">
        <v>1046.7858984729598</v>
      </c>
    </row>
    <row r="14811" spans="2:7" ht="15" hidden="1" outlineLevel="2">
      <c r="B14811" s="2889" t="s">
        <v>1651</v>
      </c>
      <c r="C14811" s="2889" t="s">
        <v>1613</v>
      </c>
      <c r="D14811" s="2889" t="s">
        <v>1608</v>
      </c>
      <c r="E14811" s="2889" t="s">
        <v>1612</v>
      </c>
      <c r="F14811" s="2891"/>
      <c r="G14811" s="2890">
        <v>6.2033293173438553</v>
      </c>
    </row>
    <row r="14812" spans="2:7" ht="15" hidden="1" outlineLevel="2">
      <c r="B14812" s="2889" t="s">
        <v>1651</v>
      </c>
      <c r="C14812" s="2889" t="s">
        <v>1614</v>
      </c>
      <c r="D14812" s="2889" t="s">
        <v>1615</v>
      </c>
      <c r="E14812" s="2889" t="s">
        <v>1426</v>
      </c>
      <c r="F14812" s="2891"/>
      <c r="G14812" s="2890">
        <v>3.9397285844655876</v>
      </c>
    </row>
    <row r="14813" spans="2:7" ht="15" hidden="1" outlineLevel="2">
      <c r="B14813" s="2889" t="s">
        <v>1651</v>
      </c>
      <c r="C14813" s="2889" t="s">
        <v>1616</v>
      </c>
      <c r="D14813" s="2889" t="s">
        <v>1615</v>
      </c>
      <c r="E14813" s="2889" t="s">
        <v>217</v>
      </c>
      <c r="F14813" s="2890">
        <v>1.2418145592836338E-4</v>
      </c>
      <c r="G14813" s="2890">
        <v>0.16873380542616212</v>
      </c>
    </row>
    <row r="14814" spans="2:7" ht="15" hidden="1" outlineLevel="2">
      <c r="B14814" s="2889" t="s">
        <v>1651</v>
      </c>
      <c r="C14814" s="2889" t="s">
        <v>1617</v>
      </c>
      <c r="D14814" s="2889" t="s">
        <v>1615</v>
      </c>
      <c r="E14814" s="2889" t="s">
        <v>1420</v>
      </c>
      <c r="F14814" s="2890">
        <v>1.9837532846788799E-6</v>
      </c>
      <c r="G14814" s="2890">
        <v>5.7421875522407576E-3</v>
      </c>
    </row>
    <row r="14815" spans="2:7" ht="15" hidden="1" outlineLevel="2">
      <c r="B14815" s="2889" t="s">
        <v>1651</v>
      </c>
      <c r="C14815" s="2889" t="s">
        <v>1618</v>
      </c>
      <c r="D14815" s="2889" t="s">
        <v>1619</v>
      </c>
      <c r="E14815" s="2889" t="s">
        <v>217</v>
      </c>
      <c r="F14815" s="2890">
        <v>1.4114310618249204</v>
      </c>
      <c r="G14815" s="2890">
        <v>357.83638726176002</v>
      </c>
    </row>
    <row r="14816" spans="2:7" ht="15" hidden="1" outlineLevel="2">
      <c r="B14816" s="2889" t="s">
        <v>1651</v>
      </c>
      <c r="C14816" s="2889" t="s">
        <v>1620</v>
      </c>
      <c r="D14816" s="2889" t="s">
        <v>1619</v>
      </c>
      <c r="E14816" s="2889" t="s">
        <v>217</v>
      </c>
      <c r="F14816" s="2890">
        <v>1.2209185559999999E-33</v>
      </c>
      <c r="G14816" s="2890">
        <v>1.4909845060000002E-30</v>
      </c>
    </row>
    <row r="14817" spans="2:7" ht="15" hidden="1" outlineLevel="2">
      <c r="B14817" s="2889" t="s">
        <v>1651</v>
      </c>
      <c r="C14817" s="2889" t="s">
        <v>1621</v>
      </c>
      <c r="D14817" s="2889" t="s">
        <v>1619</v>
      </c>
      <c r="E14817" s="2889" t="s">
        <v>217</v>
      </c>
      <c r="F14817" s="2890">
        <v>1.5118312018958091</v>
      </c>
      <c r="G14817" s="2890">
        <v>413.18481786782138</v>
      </c>
    </row>
    <row r="14818" spans="2:7" ht="15" hidden="1" outlineLevel="2">
      <c r="B14818" s="2889" t="s">
        <v>1651</v>
      </c>
      <c r="C14818" s="2889" t="s">
        <v>1622</v>
      </c>
      <c r="D14818" s="2889" t="s">
        <v>1619</v>
      </c>
      <c r="E14818" s="2889" t="s">
        <v>217</v>
      </c>
      <c r="F14818" s="2890">
        <v>9.6810498400065392E-2</v>
      </c>
      <c r="G14818" s="2890">
        <v>106.22956157090668</v>
      </c>
    </row>
    <row r="14819" spans="2:7" ht="15" hidden="1" outlineLevel="2">
      <c r="B14819" s="2889" t="s">
        <v>1651</v>
      </c>
      <c r="C14819" s="2889" t="s">
        <v>1623</v>
      </c>
      <c r="D14819" s="2889" t="s">
        <v>1619</v>
      </c>
      <c r="E14819" s="2889" t="s">
        <v>217</v>
      </c>
      <c r="F14819" s="2890">
        <v>0.24812817860500444</v>
      </c>
      <c r="G14819" s="2890">
        <v>172.91043027123987</v>
      </c>
    </row>
    <row r="14820" spans="2:7" ht="15" hidden="1" outlineLevel="2">
      <c r="B14820" s="2889" t="s">
        <v>1651</v>
      </c>
      <c r="C14820" s="2889" t="s">
        <v>1624</v>
      </c>
      <c r="D14820" s="2889" t="s">
        <v>1619</v>
      </c>
      <c r="E14820" s="2889" t="s">
        <v>217</v>
      </c>
      <c r="F14820" s="2890">
        <v>2.1484163264528555</v>
      </c>
      <c r="G14820" s="2890">
        <v>1843.0009775508097</v>
      </c>
    </row>
    <row r="14821" spans="2:7" ht="15" hidden="1" outlineLevel="2">
      <c r="B14821" s="2889" t="s">
        <v>1651</v>
      </c>
      <c r="C14821" s="2889" t="s">
        <v>1625</v>
      </c>
      <c r="D14821" s="2889" t="s">
        <v>1619</v>
      </c>
      <c r="E14821" s="2889" t="s">
        <v>217</v>
      </c>
      <c r="F14821" s="2890">
        <v>0.26527748897687153</v>
      </c>
      <c r="G14821" s="2890">
        <v>345.32406464860134</v>
      </c>
    </row>
    <row r="14822" spans="2:7" ht="15" hidden="1" outlineLevel="2">
      <c r="B14822" s="2889" t="s">
        <v>1651</v>
      </c>
      <c r="C14822" s="2889" t="s">
        <v>1626</v>
      </c>
      <c r="D14822" s="2889" t="s">
        <v>1619</v>
      </c>
      <c r="E14822" s="2889" t="s">
        <v>217</v>
      </c>
      <c r="F14822" s="2890">
        <v>0.13121693630474432</v>
      </c>
      <c r="G14822" s="2890">
        <v>103.65559872787497</v>
      </c>
    </row>
    <row r="14823" spans="2:7" ht="15" hidden="1" outlineLevel="2">
      <c r="B14823" s="2889" t="s">
        <v>1651</v>
      </c>
      <c r="C14823" s="2889" t="s">
        <v>1627</v>
      </c>
      <c r="D14823" s="2889" t="s">
        <v>1619</v>
      </c>
      <c r="E14823" s="2889" t="s">
        <v>1420</v>
      </c>
      <c r="F14823" s="2890">
        <v>4.2912131951980698E-3</v>
      </c>
      <c r="G14823" s="2890">
        <v>7.169238569826927</v>
      </c>
    </row>
    <row r="14824" spans="2:7" ht="15" hidden="1" outlineLevel="2">
      <c r="B14824" s="2889" t="s">
        <v>1651</v>
      </c>
      <c r="C14824" s="2889" t="s">
        <v>1628</v>
      </c>
      <c r="D14824" s="2889" t="s">
        <v>1619</v>
      </c>
      <c r="E14824" s="2889" t="s">
        <v>1426</v>
      </c>
      <c r="F14824" s="2891"/>
      <c r="G14824" s="2890">
        <v>142.09373670146664</v>
      </c>
    </row>
    <row r="14825" spans="2:7" ht="15" hidden="1" outlineLevel="2">
      <c r="B14825" s="2889" t="s">
        <v>1651</v>
      </c>
      <c r="C14825" s="2889" t="s">
        <v>1629</v>
      </c>
      <c r="D14825" s="2889" t="s">
        <v>1630</v>
      </c>
      <c r="E14825" s="2889" t="s">
        <v>1426</v>
      </c>
      <c r="F14825" s="2891"/>
      <c r="G14825" s="2890">
        <v>3.0018436612999997E-30</v>
      </c>
    </row>
    <row r="14826" spans="2:7" ht="15" outlineLevel="1" collapsed="1">
      <c r="B14826" s="3042" t="s">
        <v>1721</v>
      </c>
      <c r="C14826" s="2889"/>
      <c r="D14826" s="2889"/>
      <c r="E14826" s="2889"/>
      <c r="F14826" s="2891">
        <f>SUBTOTAL(9,F14615:F14825)</f>
        <v>26.917005988804551</v>
      </c>
      <c r="G14826" s="2890">
        <f>SUBTOTAL(9,G14615:G14825)</f>
        <v>68043.606877006838</v>
      </c>
    </row>
    <row r="14827" spans="2:7" ht="15" hidden="1" outlineLevel="2">
      <c r="B14827" s="2889" t="s">
        <v>1652</v>
      </c>
      <c r="C14827" s="2889" t="s">
        <v>1408</v>
      </c>
      <c r="D14827" s="2889" t="s">
        <v>197</v>
      </c>
      <c r="E14827" s="2889" t="s">
        <v>217</v>
      </c>
      <c r="F14827" s="2890">
        <v>2.6521723520431147E-3</v>
      </c>
      <c r="G14827" s="2890">
        <v>1.6176572506777971</v>
      </c>
    </row>
    <row r="14828" spans="2:7" ht="15" hidden="1" outlineLevel="2">
      <c r="B14828" s="2889" t="s">
        <v>1652</v>
      </c>
      <c r="C14828" s="2889" t="s">
        <v>1409</v>
      </c>
      <c r="D14828" s="2889" t="s">
        <v>197</v>
      </c>
      <c r="E14828" s="2889" t="s">
        <v>217</v>
      </c>
      <c r="F14828" s="2890">
        <v>2.7780460947831372E-3</v>
      </c>
      <c r="G14828" s="2890">
        <v>3.924208145406566</v>
      </c>
    </row>
    <row r="14829" spans="2:7" ht="15" hidden="1" outlineLevel="2">
      <c r="B14829" s="2889" t="s">
        <v>1652</v>
      </c>
      <c r="C14829" s="2889" t="s">
        <v>1410</v>
      </c>
      <c r="D14829" s="2889" t="s">
        <v>197</v>
      </c>
      <c r="E14829" s="2889" t="s">
        <v>217</v>
      </c>
      <c r="F14829" s="2890">
        <v>4.439694420993236E-3</v>
      </c>
      <c r="G14829" s="2890">
        <v>15.268868643745213</v>
      </c>
    </row>
    <row r="14830" spans="2:7" ht="15" hidden="1" outlineLevel="2">
      <c r="B14830" s="2889" t="s">
        <v>1652</v>
      </c>
      <c r="C14830" s="2889" t="s">
        <v>1411</v>
      </c>
      <c r="D14830" s="2889" t="s">
        <v>197</v>
      </c>
      <c r="E14830" s="2889" t="s">
        <v>217</v>
      </c>
      <c r="F14830" s="2890">
        <v>7.3013400838222681E-5</v>
      </c>
      <c r="G14830" s="2890">
        <v>9.6172118095266768E-2</v>
      </c>
    </row>
    <row r="14831" spans="2:7" ht="15" hidden="1" outlineLevel="2">
      <c r="B14831" s="2889" t="s">
        <v>1652</v>
      </c>
      <c r="C14831" s="2889" t="s">
        <v>1412</v>
      </c>
      <c r="D14831" s="2889" t="s">
        <v>197</v>
      </c>
      <c r="E14831" s="2889" t="s">
        <v>217</v>
      </c>
      <c r="F14831" s="2890">
        <v>7.887685661363171E-3</v>
      </c>
      <c r="G14831" s="2890">
        <v>10.38161656148235</v>
      </c>
    </row>
    <row r="14832" spans="2:7" ht="15" hidden="1" outlineLevel="2">
      <c r="B14832" s="2889" t="s">
        <v>1652</v>
      </c>
      <c r="C14832" s="2889" t="s">
        <v>1413</v>
      </c>
      <c r="D14832" s="2889" t="s">
        <v>197</v>
      </c>
      <c r="E14832" s="2889" t="s">
        <v>217</v>
      </c>
      <c r="F14832" s="2890">
        <v>2.5943765226834415E-3</v>
      </c>
      <c r="G14832" s="2890">
        <v>3.2519704604813668</v>
      </c>
    </row>
    <row r="14833" spans="2:7" ht="15" hidden="1" outlineLevel="2">
      <c r="B14833" s="2889" t="s">
        <v>1652</v>
      </c>
      <c r="C14833" s="2889" t="s">
        <v>1414</v>
      </c>
      <c r="D14833" s="2889" t="s">
        <v>197</v>
      </c>
      <c r="E14833" s="2889" t="s">
        <v>217</v>
      </c>
      <c r="F14833" s="2890">
        <v>3.3855200425178665E-2</v>
      </c>
      <c r="G14833" s="2890">
        <v>35.32679399798608</v>
      </c>
    </row>
    <row r="14834" spans="2:7" ht="15" hidden="1" outlineLevel="2">
      <c r="B14834" s="2889" t="s">
        <v>1652</v>
      </c>
      <c r="C14834" s="2889" t="s">
        <v>1415</v>
      </c>
      <c r="D14834" s="2889" t="s">
        <v>197</v>
      </c>
      <c r="E14834" s="2889" t="s">
        <v>217</v>
      </c>
      <c r="F14834" s="2890">
        <v>0.11134485324987248</v>
      </c>
      <c r="G14834" s="2890">
        <v>75.723021232441809</v>
      </c>
    </row>
    <row r="14835" spans="2:7" ht="15" hidden="1" outlineLevel="2">
      <c r="B14835" s="2889" t="s">
        <v>1652</v>
      </c>
      <c r="C14835" s="2889" t="s">
        <v>1416</v>
      </c>
      <c r="D14835" s="2889" t="s">
        <v>197</v>
      </c>
      <c r="E14835" s="2889" t="s">
        <v>217</v>
      </c>
      <c r="F14835" s="2890">
        <v>1.2516919994073655E-2</v>
      </c>
      <c r="G14835" s="2890">
        <v>16.474525303320039</v>
      </c>
    </row>
    <row r="14836" spans="2:7" ht="15" hidden="1" outlineLevel="2">
      <c r="B14836" s="2889" t="s">
        <v>1652</v>
      </c>
      <c r="C14836" s="2889" t="s">
        <v>1417</v>
      </c>
      <c r="D14836" s="2889" t="s">
        <v>197</v>
      </c>
      <c r="E14836" s="2889" t="s">
        <v>217</v>
      </c>
      <c r="F14836" s="2890">
        <v>1.863062901487457E-2</v>
      </c>
      <c r="G14836" s="2890">
        <v>23.85504873765078</v>
      </c>
    </row>
    <row r="14837" spans="2:7" ht="15" hidden="1" outlineLevel="2">
      <c r="B14837" s="2889" t="s">
        <v>1652</v>
      </c>
      <c r="C14837" s="2889" t="s">
        <v>1418</v>
      </c>
      <c r="D14837" s="2889" t="s">
        <v>197</v>
      </c>
      <c r="E14837" s="2889" t="s">
        <v>217</v>
      </c>
      <c r="F14837" s="2890">
        <v>3.7352456640570601E-3</v>
      </c>
      <c r="G14837" s="2890">
        <v>26.463470714495809</v>
      </c>
    </row>
    <row r="14838" spans="2:7" ht="15" hidden="1" outlineLevel="2">
      <c r="B14838" s="2889" t="s">
        <v>1652</v>
      </c>
      <c r="C14838" s="2889" t="s">
        <v>1419</v>
      </c>
      <c r="D14838" s="2889" t="s">
        <v>197</v>
      </c>
      <c r="E14838" s="2889" t="s">
        <v>1420</v>
      </c>
      <c r="F14838" s="2890">
        <v>9.1152803749606744E-5</v>
      </c>
      <c r="G14838" s="2890">
        <v>0.14483764705943181</v>
      </c>
    </row>
    <row r="14839" spans="2:7" ht="15" hidden="1" outlineLevel="2">
      <c r="B14839" s="2889" t="s">
        <v>1652</v>
      </c>
      <c r="C14839" s="2889" t="s">
        <v>1421</v>
      </c>
      <c r="D14839" s="2889" t="s">
        <v>197</v>
      </c>
      <c r="E14839" s="2889" t="s">
        <v>1420</v>
      </c>
      <c r="F14839" s="2890">
        <v>1.8704381526942318E-5</v>
      </c>
      <c r="G14839" s="2890">
        <v>0.19712227797568085</v>
      </c>
    </row>
    <row r="14840" spans="2:7" ht="15" hidden="1" outlineLevel="2">
      <c r="B14840" s="2889" t="s">
        <v>1652</v>
      </c>
      <c r="C14840" s="2889" t="s">
        <v>1422</v>
      </c>
      <c r="D14840" s="2889" t="s">
        <v>197</v>
      </c>
      <c r="E14840" s="2889" t="s">
        <v>1423</v>
      </c>
      <c r="F14840" s="2890">
        <v>3.6489075330967988E-3</v>
      </c>
      <c r="G14840" s="2890">
        <v>3.8260359086493709E-2</v>
      </c>
    </row>
    <row r="14841" spans="2:7" ht="15" hidden="1" outlineLevel="2">
      <c r="B14841" s="2889" t="s">
        <v>1652</v>
      </c>
      <c r="C14841" s="2889" t="s">
        <v>1424</v>
      </c>
      <c r="D14841" s="2889" t="s">
        <v>197</v>
      </c>
      <c r="E14841" s="2889" t="s">
        <v>1423</v>
      </c>
      <c r="F14841" s="2890">
        <v>1.1581897293172774E-3</v>
      </c>
      <c r="G14841" s="2890">
        <v>1.2140467766144313E-2</v>
      </c>
    </row>
    <row r="14842" spans="2:7" ht="15" hidden="1" outlineLevel="2">
      <c r="B14842" s="2889" t="s">
        <v>1652</v>
      </c>
      <c r="C14842" s="2889" t="s">
        <v>1425</v>
      </c>
      <c r="D14842" s="2889" t="s">
        <v>197</v>
      </c>
      <c r="E14842" s="2889" t="s">
        <v>1426</v>
      </c>
      <c r="F14842" s="2891"/>
      <c r="G14842" s="2890">
        <v>0.28293770298027537</v>
      </c>
    </row>
    <row r="14843" spans="2:7" ht="15" hidden="1" outlineLevel="2">
      <c r="B14843" s="2889" t="s">
        <v>1652</v>
      </c>
      <c r="C14843" s="2889" t="s">
        <v>1427</v>
      </c>
      <c r="D14843" s="2889" t="s">
        <v>197</v>
      </c>
      <c r="E14843" s="2889" t="s">
        <v>1426</v>
      </c>
      <c r="F14843" s="2891"/>
      <c r="G14843" s="2890">
        <v>12232.077089572012</v>
      </c>
    </row>
    <row r="14844" spans="2:7" ht="15" hidden="1" outlineLevel="2">
      <c r="B14844" s="2889" t="s">
        <v>1652</v>
      </c>
      <c r="C14844" s="2889" t="s">
        <v>1428</v>
      </c>
      <c r="D14844" s="2889" t="s">
        <v>197</v>
      </c>
      <c r="E14844" s="2889" t="s">
        <v>1426</v>
      </c>
      <c r="F14844" s="2891"/>
      <c r="G14844" s="2890">
        <v>1097.5903288672137</v>
      </c>
    </row>
    <row r="14845" spans="2:7" ht="15" hidden="1" outlineLevel="2">
      <c r="B14845" s="2889" t="s">
        <v>1652</v>
      </c>
      <c r="C14845" s="2889" t="s">
        <v>1429</v>
      </c>
      <c r="D14845" s="2889" t="s">
        <v>197</v>
      </c>
      <c r="E14845" s="2889" t="s">
        <v>1426</v>
      </c>
      <c r="F14845" s="2891"/>
      <c r="G14845" s="2890">
        <v>6.1011044395495988</v>
      </c>
    </row>
    <row r="14846" spans="2:7" ht="15" hidden="1" outlineLevel="2">
      <c r="B14846" s="2889" t="s">
        <v>1652</v>
      </c>
      <c r="C14846" s="2889" t="s">
        <v>1430</v>
      </c>
      <c r="D14846" s="2889" t="s">
        <v>197</v>
      </c>
      <c r="E14846" s="2889" t="s">
        <v>1426</v>
      </c>
      <c r="F14846" s="2891"/>
      <c r="G14846" s="2890">
        <v>1.2522428520113245</v>
      </c>
    </row>
    <row r="14847" spans="2:7" ht="15" hidden="1" outlineLevel="2">
      <c r="B14847" s="2889" t="s">
        <v>1652</v>
      </c>
      <c r="C14847" s="2889" t="s">
        <v>1431</v>
      </c>
      <c r="D14847" s="2889" t="s">
        <v>197</v>
      </c>
      <c r="E14847" s="2889" t="s">
        <v>1426</v>
      </c>
      <c r="F14847" s="2891"/>
      <c r="G14847" s="2890">
        <v>93.172210550254633</v>
      </c>
    </row>
    <row r="14848" spans="2:7" ht="15" hidden="1" outlineLevel="2">
      <c r="B14848" s="2889" t="s">
        <v>1652</v>
      </c>
      <c r="C14848" s="2889" t="s">
        <v>1432</v>
      </c>
      <c r="D14848" s="2889" t="s">
        <v>197</v>
      </c>
      <c r="E14848" s="2889" t="s">
        <v>1426</v>
      </c>
      <c r="F14848" s="2891"/>
      <c r="G14848" s="2890">
        <v>0.23336224832429675</v>
      </c>
    </row>
    <row r="14849" spans="2:7" ht="15" hidden="1" outlineLevel="2">
      <c r="B14849" s="2889" t="s">
        <v>1652</v>
      </c>
      <c r="C14849" s="2889" t="s">
        <v>1433</v>
      </c>
      <c r="D14849" s="2889" t="s">
        <v>197</v>
      </c>
      <c r="E14849" s="2889" t="s">
        <v>1426</v>
      </c>
      <c r="F14849" s="2891"/>
      <c r="G14849" s="2890">
        <v>86.116623850581817</v>
      </c>
    </row>
    <row r="14850" spans="2:7" ht="15" hidden="1" outlineLevel="2">
      <c r="B14850" s="2889" t="s">
        <v>1652</v>
      </c>
      <c r="C14850" s="2889" t="s">
        <v>1434</v>
      </c>
      <c r="D14850" s="2889" t="s">
        <v>197</v>
      </c>
      <c r="E14850" s="2889" t="s">
        <v>1426</v>
      </c>
      <c r="F14850" s="2891"/>
      <c r="G14850" s="2890">
        <v>239.20928830170703</v>
      </c>
    </row>
    <row r="14851" spans="2:7" ht="15" hidden="1" outlineLevel="2">
      <c r="B14851" s="2889" t="s">
        <v>1652</v>
      </c>
      <c r="C14851" s="2889" t="s">
        <v>1435</v>
      </c>
      <c r="D14851" s="2889" t="s">
        <v>197</v>
      </c>
      <c r="E14851" s="2889" t="s">
        <v>1426</v>
      </c>
      <c r="F14851" s="2891"/>
      <c r="G14851" s="2890">
        <v>175.86544013752658</v>
      </c>
    </row>
    <row r="14852" spans="2:7" ht="15" hidden="1" outlineLevel="2">
      <c r="B14852" s="2889" t="s">
        <v>1652</v>
      </c>
      <c r="C14852" s="2889" t="s">
        <v>1436</v>
      </c>
      <c r="D14852" s="2889" t="s">
        <v>1437</v>
      </c>
      <c r="E14852" s="2889" t="s">
        <v>217</v>
      </c>
      <c r="F14852" s="2890">
        <v>2.63116075488244E-34</v>
      </c>
      <c r="G14852" s="2890">
        <v>3.4472761091999997E-31</v>
      </c>
    </row>
    <row r="14853" spans="2:7" ht="15" hidden="1" outlineLevel="2">
      <c r="B14853" s="2889" t="s">
        <v>1652</v>
      </c>
      <c r="C14853" s="2889" t="s">
        <v>1438</v>
      </c>
      <c r="D14853" s="2889" t="s">
        <v>1437</v>
      </c>
      <c r="E14853" s="2889" t="s">
        <v>1420</v>
      </c>
      <c r="F14853" s="2890">
        <v>1.6632094204000005E-36</v>
      </c>
      <c r="G14853" s="2890">
        <v>2.4051963276000003E-32</v>
      </c>
    </row>
    <row r="14854" spans="2:7" ht="15" hidden="1" outlineLevel="2">
      <c r="B14854" s="2889" t="s">
        <v>1652</v>
      </c>
      <c r="C14854" s="2889" t="s">
        <v>1439</v>
      </c>
      <c r="D14854" s="2889" t="s">
        <v>1437</v>
      </c>
      <c r="E14854" s="2889" t="s">
        <v>1426</v>
      </c>
      <c r="F14854" s="2891"/>
      <c r="G14854" s="2890">
        <v>1.0825125124E-29</v>
      </c>
    </row>
    <row r="14855" spans="2:7" ht="15" hidden="1" outlineLevel="2">
      <c r="B14855" s="2889" t="s">
        <v>1652</v>
      </c>
      <c r="C14855" s="2889" t="s">
        <v>1440</v>
      </c>
      <c r="D14855" s="2889" t="s">
        <v>1105</v>
      </c>
      <c r="E14855" s="2889" t="s">
        <v>217</v>
      </c>
      <c r="F14855" s="2890">
        <v>9.2979034095624843E-3</v>
      </c>
      <c r="G14855" s="2890">
        <v>4.6073462309468267</v>
      </c>
    </row>
    <row r="14856" spans="2:7" ht="15" hidden="1" outlineLevel="2">
      <c r="B14856" s="2889" t="s">
        <v>1652</v>
      </c>
      <c r="C14856" s="2889" t="s">
        <v>1441</v>
      </c>
      <c r="D14856" s="2889" t="s">
        <v>1105</v>
      </c>
      <c r="E14856" s="2889" t="s">
        <v>217</v>
      </c>
      <c r="F14856" s="2890">
        <v>5.9413151896731416E-2</v>
      </c>
      <c r="G14856" s="2890">
        <v>30.738774838759589</v>
      </c>
    </row>
    <row r="14857" spans="2:7" ht="15" hidden="1" outlineLevel="2">
      <c r="B14857" s="2889" t="s">
        <v>1652</v>
      </c>
      <c r="C14857" s="2889" t="s">
        <v>1442</v>
      </c>
      <c r="D14857" s="2889" t="s">
        <v>1105</v>
      </c>
      <c r="E14857" s="2889" t="s">
        <v>217</v>
      </c>
      <c r="F14857" s="2890">
        <v>2.6446697550729947E-5</v>
      </c>
      <c r="G14857" s="2890">
        <v>1.1855017342523061E-2</v>
      </c>
    </row>
    <row r="14858" spans="2:7" ht="15" hidden="1" outlineLevel="2">
      <c r="B14858" s="2889" t="s">
        <v>1652</v>
      </c>
      <c r="C14858" s="2889" t="s">
        <v>1443</v>
      </c>
      <c r="D14858" s="2889" t="s">
        <v>1105</v>
      </c>
      <c r="E14858" s="2889" t="s">
        <v>217</v>
      </c>
      <c r="F14858" s="2890">
        <v>4.1613380245151844E-4</v>
      </c>
      <c r="G14858" s="2890">
        <v>0.18653625755928072</v>
      </c>
    </row>
    <row r="14859" spans="2:7" ht="15" hidden="1" outlineLevel="2">
      <c r="B14859" s="2889" t="s">
        <v>1652</v>
      </c>
      <c r="C14859" s="2889" t="s">
        <v>1444</v>
      </c>
      <c r="D14859" s="2889" t="s">
        <v>1105</v>
      </c>
      <c r="E14859" s="2889" t="s">
        <v>217</v>
      </c>
      <c r="F14859" s="2890">
        <v>0.7840665293224568</v>
      </c>
      <c r="G14859" s="2890">
        <v>948.40026910526331</v>
      </c>
    </row>
    <row r="14860" spans="2:7" ht="15" hidden="1" outlineLevel="2">
      <c r="B14860" s="2889" t="s">
        <v>1652</v>
      </c>
      <c r="C14860" s="2889" t="s">
        <v>1445</v>
      </c>
      <c r="D14860" s="2889" t="s">
        <v>1105</v>
      </c>
      <c r="E14860" s="2889" t="s">
        <v>217</v>
      </c>
      <c r="F14860" s="2890">
        <v>0.1687795568083493</v>
      </c>
      <c r="G14860" s="2890">
        <v>237.32778677854199</v>
      </c>
    </row>
    <row r="14861" spans="2:7" ht="15" hidden="1" outlineLevel="2">
      <c r="B14861" s="2889" t="s">
        <v>1652</v>
      </c>
      <c r="C14861" s="2889" t="s">
        <v>1446</v>
      </c>
      <c r="D14861" s="2889" t="s">
        <v>1105</v>
      </c>
      <c r="E14861" s="2889" t="s">
        <v>217</v>
      </c>
      <c r="F14861" s="2890">
        <v>7.7910682995426889E-2</v>
      </c>
      <c r="G14861" s="2890">
        <v>125.85307544649778</v>
      </c>
    </row>
    <row r="14862" spans="2:7" ht="15" hidden="1" outlineLevel="2">
      <c r="B14862" s="2889" t="s">
        <v>1652</v>
      </c>
      <c r="C14862" s="2889" t="s">
        <v>1447</v>
      </c>
      <c r="D14862" s="2889" t="s">
        <v>1105</v>
      </c>
      <c r="E14862" s="2889" t="s">
        <v>217</v>
      </c>
      <c r="F14862" s="2890">
        <v>0.17951986564079098</v>
      </c>
      <c r="G14862" s="2890">
        <v>270.03503580500643</v>
      </c>
    </row>
    <row r="14863" spans="2:7" ht="15" hidden="1" outlineLevel="2">
      <c r="B14863" s="2889" t="s">
        <v>1652</v>
      </c>
      <c r="C14863" s="2889" t="s">
        <v>1448</v>
      </c>
      <c r="D14863" s="2889" t="s">
        <v>1105</v>
      </c>
      <c r="E14863" s="2889" t="s">
        <v>217</v>
      </c>
      <c r="F14863" s="2890">
        <v>0.33903614549757299</v>
      </c>
      <c r="G14863" s="2890">
        <v>425.41668256838119</v>
      </c>
    </row>
    <row r="14864" spans="2:7" ht="15" hidden="1" outlineLevel="2">
      <c r="B14864" s="2889" t="s">
        <v>1652</v>
      </c>
      <c r="C14864" s="2889" t="s">
        <v>1449</v>
      </c>
      <c r="D14864" s="2889" t="s">
        <v>1105</v>
      </c>
      <c r="E14864" s="2889" t="s">
        <v>217</v>
      </c>
      <c r="F14864" s="2890">
        <v>1.4433512177440563E-2</v>
      </c>
      <c r="G14864" s="2890">
        <v>20.009223602078375</v>
      </c>
    </row>
    <row r="14865" spans="2:7" ht="15" hidden="1" outlineLevel="2">
      <c r="B14865" s="2889" t="s">
        <v>1652</v>
      </c>
      <c r="C14865" s="2889" t="s">
        <v>1450</v>
      </c>
      <c r="D14865" s="2889" t="s">
        <v>1105</v>
      </c>
      <c r="E14865" s="2889" t="s">
        <v>1420</v>
      </c>
      <c r="F14865" s="2890">
        <v>4.5900270086638446E-2</v>
      </c>
      <c r="G14865" s="2890">
        <v>126.18924529489709</v>
      </c>
    </row>
    <row r="14866" spans="2:7" ht="15" hidden="1" outlineLevel="2">
      <c r="B14866" s="2889" t="s">
        <v>1652</v>
      </c>
      <c r="C14866" s="2889" t="s">
        <v>1451</v>
      </c>
      <c r="D14866" s="2889" t="s">
        <v>1105</v>
      </c>
      <c r="E14866" s="2889" t="s">
        <v>1420</v>
      </c>
      <c r="F14866" s="2890">
        <v>6.664224954197418E-3</v>
      </c>
      <c r="G14866" s="2890">
        <v>28.106729435282233</v>
      </c>
    </row>
    <row r="14867" spans="2:7" ht="15" hidden="1" outlineLevel="2">
      <c r="B14867" s="2889" t="s">
        <v>1652</v>
      </c>
      <c r="C14867" s="2889" t="s">
        <v>1452</v>
      </c>
      <c r="D14867" s="2889" t="s">
        <v>1105</v>
      </c>
      <c r="E14867" s="2889" t="s">
        <v>1420</v>
      </c>
      <c r="F14867" s="2890">
        <v>4.9303266896477292E-3</v>
      </c>
      <c r="G14867" s="2890">
        <v>32.946152561838986</v>
      </c>
    </row>
    <row r="14868" spans="2:7" ht="15" hidden="1" outlineLevel="2">
      <c r="B14868" s="2889" t="s">
        <v>1652</v>
      </c>
      <c r="C14868" s="2889" t="s">
        <v>1453</v>
      </c>
      <c r="D14868" s="2889" t="s">
        <v>1105</v>
      </c>
      <c r="E14868" s="2889" t="s">
        <v>1420</v>
      </c>
      <c r="F14868" s="2890">
        <v>8.6360862335731047E-3</v>
      </c>
      <c r="G14868" s="2890">
        <v>40.927352772197814</v>
      </c>
    </row>
    <row r="14869" spans="2:7" ht="15" hidden="1" outlineLevel="2">
      <c r="B14869" s="2889" t="s">
        <v>1652</v>
      </c>
      <c r="C14869" s="2889" t="s">
        <v>1454</v>
      </c>
      <c r="D14869" s="2889" t="s">
        <v>1105</v>
      </c>
      <c r="E14869" s="2889" t="s">
        <v>1420</v>
      </c>
      <c r="F14869" s="2890">
        <v>2.156382602380132E-4</v>
      </c>
      <c r="G14869" s="2890">
        <v>0.55324594012796635</v>
      </c>
    </row>
    <row r="14870" spans="2:7" ht="15" hidden="1" outlineLevel="2">
      <c r="B14870" s="2889" t="s">
        <v>1652</v>
      </c>
      <c r="C14870" s="2889" t="s">
        <v>1455</v>
      </c>
      <c r="D14870" s="2889" t="s">
        <v>1105</v>
      </c>
      <c r="E14870" s="2889" t="s">
        <v>1420</v>
      </c>
      <c r="F14870" s="2890">
        <v>6.2912714788697737E-5</v>
      </c>
      <c r="G14870" s="2890">
        <v>0.51389227736357357</v>
      </c>
    </row>
    <row r="14871" spans="2:7" ht="15" hidden="1" outlineLevel="2">
      <c r="B14871" s="2889" t="s">
        <v>1652</v>
      </c>
      <c r="C14871" s="2889" t="s">
        <v>1456</v>
      </c>
      <c r="D14871" s="2889" t="s">
        <v>1105</v>
      </c>
      <c r="E14871" s="2889" t="s">
        <v>1423</v>
      </c>
      <c r="F14871" s="2890">
        <v>1.0141385558556011</v>
      </c>
      <c r="G14871" s="2890">
        <v>28.161586421188282</v>
      </c>
    </row>
    <row r="14872" spans="2:7" ht="15" hidden="1" outlineLevel="2">
      <c r="B14872" s="2889" t="s">
        <v>1652</v>
      </c>
      <c r="C14872" s="2889" t="s">
        <v>1457</v>
      </c>
      <c r="D14872" s="2889" t="s">
        <v>1105</v>
      </c>
      <c r="E14872" s="2889" t="s">
        <v>1423</v>
      </c>
      <c r="F14872" s="2890">
        <v>3.8880617557343837E-2</v>
      </c>
      <c r="G14872" s="2890">
        <v>1.4133705507282956</v>
      </c>
    </row>
    <row r="14873" spans="2:7" ht="15" hidden="1" outlineLevel="2">
      <c r="B14873" s="2889" t="s">
        <v>1652</v>
      </c>
      <c r="C14873" s="2889" t="s">
        <v>1458</v>
      </c>
      <c r="D14873" s="2889" t="s">
        <v>1105</v>
      </c>
      <c r="E14873" s="2889" t="s">
        <v>1423</v>
      </c>
      <c r="F14873" s="2890">
        <v>2.7913444141903009E-2</v>
      </c>
      <c r="G14873" s="2890">
        <v>1.9577563776975262</v>
      </c>
    </row>
    <row r="14874" spans="2:7" ht="15" hidden="1" outlineLevel="2">
      <c r="B14874" s="2889" t="s">
        <v>1652</v>
      </c>
      <c r="C14874" s="2889" t="s">
        <v>1459</v>
      </c>
      <c r="D14874" s="2889" t="s">
        <v>1105</v>
      </c>
      <c r="E14874" s="2889" t="s">
        <v>1423</v>
      </c>
      <c r="F14874" s="2890">
        <v>0.32701980654527202</v>
      </c>
      <c r="G14874" s="2890">
        <v>68.434006398427684</v>
      </c>
    </row>
    <row r="14875" spans="2:7" ht="15" hidden="1" outlineLevel="2">
      <c r="B14875" s="2889" t="s">
        <v>1652</v>
      </c>
      <c r="C14875" s="2889" t="s">
        <v>1460</v>
      </c>
      <c r="D14875" s="2889" t="s">
        <v>1105</v>
      </c>
      <c r="E14875" s="2889" t="s">
        <v>1426</v>
      </c>
      <c r="F14875" s="2891"/>
      <c r="G14875" s="2890">
        <v>729.76053953719838</v>
      </c>
    </row>
    <row r="14876" spans="2:7" ht="15" hidden="1" outlineLevel="2">
      <c r="B14876" s="2889" t="s">
        <v>1652</v>
      </c>
      <c r="C14876" s="2889" t="s">
        <v>1461</v>
      </c>
      <c r="D14876" s="2889" t="s">
        <v>1105</v>
      </c>
      <c r="E14876" s="2889" t="s">
        <v>1426</v>
      </c>
      <c r="F14876" s="2891"/>
      <c r="G14876" s="2890">
        <v>172.17924993111362</v>
      </c>
    </row>
    <row r="14877" spans="2:7" ht="15" hidden="1" outlineLevel="2">
      <c r="B14877" s="2889" t="s">
        <v>1652</v>
      </c>
      <c r="C14877" s="2889" t="s">
        <v>1462</v>
      </c>
      <c r="D14877" s="2889" t="s">
        <v>1105</v>
      </c>
      <c r="E14877" s="2889" t="s">
        <v>1426</v>
      </c>
      <c r="F14877" s="2891"/>
      <c r="G14877" s="2890">
        <v>477.73093688658491</v>
      </c>
    </row>
    <row r="14878" spans="2:7" ht="15" hidden="1" outlineLevel="2">
      <c r="B14878" s="2889" t="s">
        <v>1652</v>
      </c>
      <c r="C14878" s="2889" t="s">
        <v>1463</v>
      </c>
      <c r="D14878" s="2889" t="s">
        <v>1105</v>
      </c>
      <c r="E14878" s="2889" t="s">
        <v>1426</v>
      </c>
      <c r="F14878" s="2891"/>
      <c r="G14878" s="2890">
        <v>242.5761156934758</v>
      </c>
    </row>
    <row r="14879" spans="2:7" ht="15" hidden="1" outlineLevel="2">
      <c r="B14879" s="2889" t="s">
        <v>1652</v>
      </c>
      <c r="C14879" s="2889" t="s">
        <v>1464</v>
      </c>
      <c r="D14879" s="2889" t="s">
        <v>1105</v>
      </c>
      <c r="E14879" s="2889" t="s">
        <v>1426</v>
      </c>
      <c r="F14879" s="2891"/>
      <c r="G14879" s="2890">
        <v>23.303376170697863</v>
      </c>
    </row>
    <row r="14880" spans="2:7" ht="15" hidden="1" outlineLevel="2">
      <c r="B14880" s="2889" t="s">
        <v>1652</v>
      </c>
      <c r="C14880" s="2889" t="s">
        <v>1465</v>
      </c>
      <c r="D14880" s="2889" t="s">
        <v>1105</v>
      </c>
      <c r="E14880" s="2889" t="s">
        <v>1426</v>
      </c>
      <c r="F14880" s="2891"/>
      <c r="G14880" s="2890">
        <v>20.675376971111305</v>
      </c>
    </row>
    <row r="14881" spans="2:7" ht="15" hidden="1" outlineLevel="2">
      <c r="B14881" s="2889" t="s">
        <v>1652</v>
      </c>
      <c r="C14881" s="2889" t="s">
        <v>1466</v>
      </c>
      <c r="D14881" s="2889" t="s">
        <v>1054</v>
      </c>
      <c r="E14881" s="2889" t="s">
        <v>217</v>
      </c>
      <c r="F14881" s="2890">
        <v>2.1131908312469021E-2</v>
      </c>
      <c r="G14881" s="2890">
        <v>13.029291131872442</v>
      </c>
    </row>
    <row r="14882" spans="2:7" ht="15" hidden="1" outlineLevel="2">
      <c r="B14882" s="2889" t="s">
        <v>1652</v>
      </c>
      <c r="C14882" s="2889" t="s">
        <v>1467</v>
      </c>
      <c r="D14882" s="2889" t="s">
        <v>1054</v>
      </c>
      <c r="E14882" s="2889" t="s">
        <v>217</v>
      </c>
      <c r="F14882" s="2890">
        <v>1.7464174400634005E-3</v>
      </c>
      <c r="G14882" s="2890">
        <v>0.84504895157953897</v>
      </c>
    </row>
    <row r="14883" spans="2:7" ht="15" hidden="1" outlineLevel="2">
      <c r="B14883" s="2889" t="s">
        <v>1652</v>
      </c>
      <c r="C14883" s="2889" t="s">
        <v>1468</v>
      </c>
      <c r="D14883" s="2889" t="s">
        <v>1054</v>
      </c>
      <c r="E14883" s="2889" t="s">
        <v>217</v>
      </c>
      <c r="F14883" s="2890">
        <v>2.1149624201932541E-3</v>
      </c>
      <c r="G14883" s="2890">
        <v>1.0102068298667202</v>
      </c>
    </row>
    <row r="14884" spans="2:7" ht="15" hidden="1" outlineLevel="2">
      <c r="B14884" s="2889" t="s">
        <v>1652</v>
      </c>
      <c r="C14884" s="2889" t="s">
        <v>1469</v>
      </c>
      <c r="D14884" s="2889" t="s">
        <v>1054</v>
      </c>
      <c r="E14884" s="2889" t="s">
        <v>217</v>
      </c>
      <c r="F14884" s="2890">
        <v>1.6876749520896543E-5</v>
      </c>
      <c r="G14884" s="2890">
        <v>7.5649618578151161E-3</v>
      </c>
    </row>
    <row r="14885" spans="2:7" ht="15" hidden="1" outlineLevel="2">
      <c r="B14885" s="2889" t="s">
        <v>1652</v>
      </c>
      <c r="C14885" s="2889" t="s">
        <v>1470</v>
      </c>
      <c r="D14885" s="2889" t="s">
        <v>1054</v>
      </c>
      <c r="E14885" s="2889" t="s">
        <v>217</v>
      </c>
      <c r="F14885" s="2890">
        <v>6.0203965290455554E-2</v>
      </c>
      <c r="G14885" s="2890">
        <v>33.669715061985542</v>
      </c>
    </row>
    <row r="14886" spans="2:7" ht="15" hidden="1" outlineLevel="2">
      <c r="B14886" s="2889" t="s">
        <v>1652</v>
      </c>
      <c r="C14886" s="2889" t="s">
        <v>1471</v>
      </c>
      <c r="D14886" s="2889" t="s">
        <v>1054</v>
      </c>
      <c r="E14886" s="2889" t="s">
        <v>217</v>
      </c>
      <c r="F14886" s="2890">
        <v>4.3945703173802278E-4</v>
      </c>
      <c r="G14886" s="2890">
        <v>0.19698545847072607</v>
      </c>
    </row>
    <row r="14887" spans="2:7" ht="15" hidden="1" outlineLevel="2">
      <c r="B14887" s="2889" t="s">
        <v>1652</v>
      </c>
      <c r="C14887" s="2889" t="s">
        <v>1472</v>
      </c>
      <c r="D14887" s="2889" t="s">
        <v>1054</v>
      </c>
      <c r="E14887" s="2889" t="s">
        <v>217</v>
      </c>
      <c r="F14887" s="2890">
        <v>7.4269853303031031E-3</v>
      </c>
      <c r="G14887" s="2890">
        <v>11.582775126493615</v>
      </c>
    </row>
    <row r="14888" spans="2:7" ht="15" hidden="1" outlineLevel="2">
      <c r="B14888" s="2889" t="s">
        <v>1652</v>
      </c>
      <c r="C14888" s="2889" t="s">
        <v>1473</v>
      </c>
      <c r="D14888" s="2889" t="s">
        <v>1054</v>
      </c>
      <c r="E14888" s="2889" t="s">
        <v>217</v>
      </c>
      <c r="F14888" s="2890">
        <v>6.5781001504463952E-5</v>
      </c>
      <c r="G14888" s="2890">
        <v>8.5593652830586939E-2</v>
      </c>
    </row>
    <row r="14889" spans="2:7" ht="15" hidden="1" outlineLevel="2">
      <c r="B14889" s="2889" t="s">
        <v>1652</v>
      </c>
      <c r="C14889" s="2889" t="s">
        <v>1474</v>
      </c>
      <c r="D14889" s="2889" t="s">
        <v>1054</v>
      </c>
      <c r="E14889" s="2889" t="s">
        <v>217</v>
      </c>
      <c r="F14889" s="2890">
        <v>1.809467839342312E-2</v>
      </c>
      <c r="G14889" s="2890">
        <v>21.674817043067122</v>
      </c>
    </row>
    <row r="14890" spans="2:7" ht="15" hidden="1" outlineLevel="2">
      <c r="B14890" s="2889" t="s">
        <v>1652</v>
      </c>
      <c r="C14890" s="2889" t="s">
        <v>1475</v>
      </c>
      <c r="D14890" s="2889" t="s">
        <v>1054</v>
      </c>
      <c r="E14890" s="2889" t="s">
        <v>217</v>
      </c>
      <c r="F14890" s="2890">
        <v>1.2961433514894267E-2</v>
      </c>
      <c r="G14890" s="2890">
        <v>20.481367408088168</v>
      </c>
    </row>
    <row r="14891" spans="2:7" ht="15" hidden="1" outlineLevel="2">
      <c r="B14891" s="2889" t="s">
        <v>1652</v>
      </c>
      <c r="C14891" s="2889" t="s">
        <v>1476</v>
      </c>
      <c r="D14891" s="2889" t="s">
        <v>1054</v>
      </c>
      <c r="E14891" s="2889" t="s">
        <v>217</v>
      </c>
      <c r="F14891" s="2890">
        <v>3.1913345855798587E-2</v>
      </c>
      <c r="G14891" s="2890">
        <v>40.764852541149878</v>
      </c>
    </row>
    <row r="14892" spans="2:7" ht="15" hidden="1" outlineLevel="2">
      <c r="B14892" s="2889" t="s">
        <v>1652</v>
      </c>
      <c r="C14892" s="2889" t="s">
        <v>1477</v>
      </c>
      <c r="D14892" s="2889" t="s">
        <v>1054</v>
      </c>
      <c r="E14892" s="2889" t="s">
        <v>217</v>
      </c>
      <c r="F14892" s="2890">
        <v>1.2482624440050657E-2</v>
      </c>
      <c r="G14892" s="2890">
        <v>17.190543420336219</v>
      </c>
    </row>
    <row r="14893" spans="2:7" ht="15" hidden="1" outlineLevel="2">
      <c r="B14893" s="2889" t="s">
        <v>1652</v>
      </c>
      <c r="C14893" s="2889" t="s">
        <v>1478</v>
      </c>
      <c r="D14893" s="2889" t="s">
        <v>1054</v>
      </c>
      <c r="E14893" s="2889" t="s">
        <v>217</v>
      </c>
      <c r="F14893" s="2890">
        <v>6.7268399845940292E-4</v>
      </c>
      <c r="G14893" s="2890">
        <v>0.89252159627275429</v>
      </c>
    </row>
    <row r="14894" spans="2:7" ht="15" hidden="1" outlineLevel="2">
      <c r="B14894" s="2889" t="s">
        <v>1652</v>
      </c>
      <c r="C14894" s="2889" t="s">
        <v>1479</v>
      </c>
      <c r="D14894" s="2889" t="s">
        <v>1054</v>
      </c>
      <c r="E14894" s="2889" t="s">
        <v>217</v>
      </c>
      <c r="F14894" s="2890">
        <v>2.3787504076747408E-2</v>
      </c>
      <c r="G14894" s="2890">
        <v>35.987942143022401</v>
      </c>
    </row>
    <row r="14895" spans="2:7" ht="15" hidden="1" outlineLevel="2">
      <c r="B14895" s="2889" t="s">
        <v>1652</v>
      </c>
      <c r="C14895" s="2889" t="s">
        <v>1480</v>
      </c>
      <c r="D14895" s="2889" t="s">
        <v>1054</v>
      </c>
      <c r="E14895" s="2889" t="s">
        <v>217</v>
      </c>
      <c r="F14895" s="2890">
        <v>1.0710682615751609E-2</v>
      </c>
      <c r="G14895" s="2890">
        <v>12.394816489272602</v>
      </c>
    </row>
    <row r="14896" spans="2:7" ht="15" hidden="1" outlineLevel="2">
      <c r="B14896" s="2889" t="s">
        <v>1652</v>
      </c>
      <c r="C14896" s="2889" t="s">
        <v>1481</v>
      </c>
      <c r="D14896" s="2889" t="s">
        <v>1054</v>
      </c>
      <c r="E14896" s="2889" t="s">
        <v>217</v>
      </c>
      <c r="F14896" s="2890">
        <v>5.2985247308876077E-2</v>
      </c>
      <c r="G14896" s="2890">
        <v>74.95575475688554</v>
      </c>
    </row>
    <row r="14897" spans="2:7" ht="15" hidden="1" outlineLevel="2">
      <c r="B14897" s="2889" t="s">
        <v>1652</v>
      </c>
      <c r="C14897" s="2889" t="s">
        <v>1482</v>
      </c>
      <c r="D14897" s="2889" t="s">
        <v>1054</v>
      </c>
      <c r="E14897" s="2889" t="s">
        <v>217</v>
      </c>
      <c r="F14897" s="2890">
        <v>3.5708910511080716E-2</v>
      </c>
      <c r="G14897" s="2890">
        <v>35.907742648303085</v>
      </c>
    </row>
    <row r="14898" spans="2:7" ht="15" hidden="1" outlineLevel="2">
      <c r="B14898" s="2889" t="s">
        <v>1652</v>
      </c>
      <c r="C14898" s="2889" t="s">
        <v>1483</v>
      </c>
      <c r="D14898" s="2889" t="s">
        <v>1054</v>
      </c>
      <c r="E14898" s="2889" t="s">
        <v>217</v>
      </c>
      <c r="F14898" s="2890">
        <v>1.698542516892713E-3</v>
      </c>
      <c r="G14898" s="2890">
        <v>2.8624113327232807</v>
      </c>
    </row>
    <row r="14899" spans="2:7" ht="15" hidden="1" outlineLevel="2">
      <c r="B14899" s="2889" t="s">
        <v>1652</v>
      </c>
      <c r="C14899" s="2889" t="s">
        <v>1484</v>
      </c>
      <c r="D14899" s="2889" t="s">
        <v>1054</v>
      </c>
      <c r="E14899" s="2889" t="s">
        <v>217</v>
      </c>
      <c r="F14899" s="2890">
        <v>3.4506305354439931E-3</v>
      </c>
      <c r="G14899" s="2890">
        <v>4.8536161518622247</v>
      </c>
    </row>
    <row r="14900" spans="2:7" ht="15" hidden="1" outlineLevel="2">
      <c r="B14900" s="2889" t="s">
        <v>1652</v>
      </c>
      <c r="C14900" s="2889" t="s">
        <v>1485</v>
      </c>
      <c r="D14900" s="2889" t="s">
        <v>1054</v>
      </c>
      <c r="E14900" s="2889" t="s">
        <v>217</v>
      </c>
      <c r="F14900" s="2890">
        <v>1.5344479293580261E-3</v>
      </c>
      <c r="G14900" s="2890">
        <v>4.3492779191203841</v>
      </c>
    </row>
    <row r="14901" spans="2:7" ht="15" hidden="1" outlineLevel="2">
      <c r="B14901" s="2889" t="s">
        <v>1652</v>
      </c>
      <c r="C14901" s="2889" t="s">
        <v>1486</v>
      </c>
      <c r="D14901" s="2889" t="s">
        <v>1054</v>
      </c>
      <c r="E14901" s="2889" t="s">
        <v>217</v>
      </c>
      <c r="F14901" s="2890">
        <v>1.7869854610084266E-3</v>
      </c>
      <c r="G14901" s="2890">
        <v>10.387996124493155</v>
      </c>
    </row>
    <row r="14902" spans="2:7" ht="15" hidden="1" outlineLevel="2">
      <c r="B14902" s="2889" t="s">
        <v>1652</v>
      </c>
      <c r="C14902" s="2889" t="s">
        <v>1487</v>
      </c>
      <c r="D14902" s="2889" t="s">
        <v>1054</v>
      </c>
      <c r="E14902" s="2889" t="s">
        <v>217</v>
      </c>
      <c r="F14902" s="2890">
        <v>1.6892926997875035E-2</v>
      </c>
      <c r="G14902" s="2890">
        <v>24.616848747697066</v>
      </c>
    </row>
    <row r="14903" spans="2:7" ht="15" hidden="1" outlineLevel="2">
      <c r="B14903" s="2889" t="s">
        <v>1652</v>
      </c>
      <c r="C14903" s="2889" t="s">
        <v>1488</v>
      </c>
      <c r="D14903" s="2889" t="s">
        <v>1054</v>
      </c>
      <c r="E14903" s="2889" t="s">
        <v>217</v>
      </c>
      <c r="F14903" s="2890">
        <v>1.0483854868132024E-2</v>
      </c>
      <c r="G14903" s="2890">
        <v>16.894870028766086</v>
      </c>
    </row>
    <row r="14904" spans="2:7" ht="15" hidden="1" outlineLevel="2">
      <c r="B14904" s="2889" t="s">
        <v>1652</v>
      </c>
      <c r="C14904" s="2889" t="s">
        <v>1489</v>
      </c>
      <c r="D14904" s="2889" t="s">
        <v>1054</v>
      </c>
      <c r="E14904" s="2889" t="s">
        <v>217</v>
      </c>
      <c r="F14904" s="2890">
        <v>5.2766650558513824E-3</v>
      </c>
      <c r="G14904" s="2890">
        <v>5.5667056667213499</v>
      </c>
    </row>
    <row r="14905" spans="2:7" ht="15" hidden="1" outlineLevel="2">
      <c r="B14905" s="2889" t="s">
        <v>1652</v>
      </c>
      <c r="C14905" s="2889" t="s">
        <v>1490</v>
      </c>
      <c r="D14905" s="2889" t="s">
        <v>1054</v>
      </c>
      <c r="E14905" s="2889" t="s">
        <v>217</v>
      </c>
      <c r="F14905" s="2890">
        <v>2.4640673377183558E-3</v>
      </c>
      <c r="G14905" s="2890">
        <v>3.932498989331306</v>
      </c>
    </row>
    <row r="14906" spans="2:7" ht="15" hidden="1" outlineLevel="2">
      <c r="B14906" s="2889" t="s">
        <v>1652</v>
      </c>
      <c r="C14906" s="2889" t="s">
        <v>1491</v>
      </c>
      <c r="D14906" s="2889" t="s">
        <v>1054</v>
      </c>
      <c r="E14906" s="2889" t="s">
        <v>1420</v>
      </c>
      <c r="F14906" s="2890">
        <v>4.7043648881658147E-4</v>
      </c>
      <c r="G14906" s="2890">
        <v>2.2274284625250695</v>
      </c>
    </row>
    <row r="14907" spans="2:7" ht="15" hidden="1" outlineLevel="2">
      <c r="B14907" s="2889" t="s">
        <v>1652</v>
      </c>
      <c r="C14907" s="2889" t="s">
        <v>1492</v>
      </c>
      <c r="D14907" s="2889" t="s">
        <v>1054</v>
      </c>
      <c r="E14907" s="2889" t="s">
        <v>1420</v>
      </c>
      <c r="F14907" s="2890">
        <v>3.4970733919950593E-4</v>
      </c>
      <c r="G14907" s="2890">
        <v>3.7380442499467272</v>
      </c>
    </row>
    <row r="14908" spans="2:7" ht="15" hidden="1" outlineLevel="2">
      <c r="B14908" s="2889" t="s">
        <v>1652</v>
      </c>
      <c r="C14908" s="2889" t="s">
        <v>1493</v>
      </c>
      <c r="D14908" s="2889" t="s">
        <v>1054</v>
      </c>
      <c r="E14908" s="2889" t="s">
        <v>1420</v>
      </c>
      <c r="F14908" s="2890">
        <v>2.5895240602888278E-4</v>
      </c>
      <c r="G14908" s="2890">
        <v>0.61838456883572468</v>
      </c>
    </row>
    <row r="14909" spans="2:7" ht="15" hidden="1" outlineLevel="2">
      <c r="B14909" s="2889" t="s">
        <v>1652</v>
      </c>
      <c r="C14909" s="2889" t="s">
        <v>1494</v>
      </c>
      <c r="D14909" s="2889" t="s">
        <v>1054</v>
      </c>
      <c r="E14909" s="2889" t="s">
        <v>1420</v>
      </c>
      <c r="F14909" s="2890">
        <v>7.0610754680556874E-5</v>
      </c>
      <c r="G14909" s="2890">
        <v>0.38749353505467266</v>
      </c>
    </row>
    <row r="14910" spans="2:7" ht="15" hidden="1" outlineLevel="2">
      <c r="B14910" s="2889" t="s">
        <v>1652</v>
      </c>
      <c r="C14910" s="2889" t="s">
        <v>1495</v>
      </c>
      <c r="D14910" s="2889" t="s">
        <v>1054</v>
      </c>
      <c r="E14910" s="2889" t="s">
        <v>1420</v>
      </c>
      <c r="F14910" s="2890">
        <v>1.5280645764433991E-3</v>
      </c>
      <c r="G14910" s="2890">
        <v>6.8573264204614732</v>
      </c>
    </row>
    <row r="14911" spans="2:7" ht="15" hidden="1" outlineLevel="2">
      <c r="B14911" s="2889" t="s">
        <v>1652</v>
      </c>
      <c r="C14911" s="2889" t="s">
        <v>1496</v>
      </c>
      <c r="D14911" s="2889" t="s">
        <v>1054</v>
      </c>
      <c r="E14911" s="2889" t="s">
        <v>1420</v>
      </c>
      <c r="F14911" s="2890">
        <v>1.3863074495958877E-3</v>
      </c>
      <c r="G14911" s="2890">
        <v>2.4690320022559962</v>
      </c>
    </row>
    <row r="14912" spans="2:7" ht="15" hidden="1" outlineLevel="2">
      <c r="B14912" s="2889" t="s">
        <v>1652</v>
      </c>
      <c r="C14912" s="2889" t="s">
        <v>1497</v>
      </c>
      <c r="D14912" s="2889" t="s">
        <v>1054</v>
      </c>
      <c r="E14912" s="2889" t="s">
        <v>1420</v>
      </c>
      <c r="F14912" s="2890">
        <v>3.8463640510953657E-4</v>
      </c>
      <c r="G14912" s="2890">
        <v>6.3441257662699648</v>
      </c>
    </row>
    <row r="14913" spans="2:7" ht="15" hidden="1" outlineLevel="2">
      <c r="B14913" s="2889" t="s">
        <v>1652</v>
      </c>
      <c r="C14913" s="2889" t="s">
        <v>1498</v>
      </c>
      <c r="D14913" s="2889" t="s">
        <v>1054</v>
      </c>
      <c r="E14913" s="2889" t="s">
        <v>1420</v>
      </c>
      <c r="F14913" s="2890">
        <v>1.0513905312791662E-3</v>
      </c>
      <c r="G14913" s="2890">
        <v>2.6920039620918246</v>
      </c>
    </row>
    <row r="14914" spans="2:7" ht="15" hidden="1" outlineLevel="2">
      <c r="B14914" s="2889" t="s">
        <v>1652</v>
      </c>
      <c r="C14914" s="2889" t="s">
        <v>1499</v>
      </c>
      <c r="D14914" s="2889" t="s">
        <v>1054</v>
      </c>
      <c r="E14914" s="2889" t="s">
        <v>1420</v>
      </c>
      <c r="F14914" s="2890">
        <v>1.7107484498610846E-4</v>
      </c>
      <c r="G14914" s="2890">
        <v>0.43318263392723899</v>
      </c>
    </row>
    <row r="14915" spans="2:7" ht="15" hidden="1" outlineLevel="2">
      <c r="B14915" s="2889" t="s">
        <v>1652</v>
      </c>
      <c r="C14915" s="2889" t="s">
        <v>1500</v>
      </c>
      <c r="D14915" s="2889" t="s">
        <v>1054</v>
      </c>
      <c r="E14915" s="2889" t="s">
        <v>1420</v>
      </c>
      <c r="F14915" s="2890">
        <v>1.2391286123747283E-3</v>
      </c>
      <c r="G14915" s="2890">
        <v>4.3985117104174858</v>
      </c>
    </row>
    <row r="14916" spans="2:7" ht="15" hidden="1" outlineLevel="2">
      <c r="B14916" s="2889" t="s">
        <v>1652</v>
      </c>
      <c r="C14916" s="2889" t="s">
        <v>1501</v>
      </c>
      <c r="D14916" s="2889" t="s">
        <v>1054</v>
      </c>
      <c r="E14916" s="2889" t="s">
        <v>1420</v>
      </c>
      <c r="F14916" s="2890">
        <v>1.4587596367087524E-3</v>
      </c>
      <c r="G14916" s="2890">
        <v>10.710602175802613</v>
      </c>
    </row>
    <row r="14917" spans="2:7" ht="15" hidden="1" outlineLevel="2">
      <c r="B14917" s="2889" t="s">
        <v>1652</v>
      </c>
      <c r="C14917" s="2889" t="s">
        <v>1502</v>
      </c>
      <c r="D14917" s="2889" t="s">
        <v>1054</v>
      </c>
      <c r="E14917" s="2889" t="s">
        <v>1420</v>
      </c>
      <c r="F14917" s="2890">
        <v>1.017852299817551E-4</v>
      </c>
      <c r="G14917" s="2890">
        <v>1.1188445865047394</v>
      </c>
    </row>
    <row r="14918" spans="2:7" ht="15" hidden="1" outlineLevel="2">
      <c r="B14918" s="2889" t="s">
        <v>1652</v>
      </c>
      <c r="C14918" s="2889" t="s">
        <v>1503</v>
      </c>
      <c r="D14918" s="2889" t="s">
        <v>1054</v>
      </c>
      <c r="E14918" s="2889" t="s">
        <v>1420</v>
      </c>
      <c r="F14918" s="2890">
        <v>3.3567827987697934E-3</v>
      </c>
      <c r="G14918" s="2890">
        <v>9.2681039280145487</v>
      </c>
    </row>
    <row r="14919" spans="2:7" ht="15" hidden="1" outlineLevel="2">
      <c r="B14919" s="2889" t="s">
        <v>1652</v>
      </c>
      <c r="C14919" s="2889" t="s">
        <v>1504</v>
      </c>
      <c r="D14919" s="2889" t="s">
        <v>1054</v>
      </c>
      <c r="E14919" s="2889" t="s">
        <v>1420</v>
      </c>
      <c r="F14919" s="2890">
        <v>1.7315242288392547E-3</v>
      </c>
      <c r="G14919" s="2890">
        <v>3.832745449839702</v>
      </c>
    </row>
    <row r="14920" spans="2:7" ht="15" hidden="1" outlineLevel="2">
      <c r="B14920" s="2889" t="s">
        <v>1652</v>
      </c>
      <c r="C14920" s="2889" t="s">
        <v>1505</v>
      </c>
      <c r="D14920" s="2889" t="s">
        <v>1054</v>
      </c>
      <c r="E14920" s="2889" t="s">
        <v>1423</v>
      </c>
      <c r="F14920" s="2890">
        <v>4.9102281469096121E-3</v>
      </c>
      <c r="G14920" s="2890">
        <v>0.1215174373328049</v>
      </c>
    </row>
    <row r="14921" spans="2:7" ht="15" hidden="1" outlineLevel="2">
      <c r="B14921" s="2889" t="s">
        <v>1652</v>
      </c>
      <c r="C14921" s="2889" t="s">
        <v>1506</v>
      </c>
      <c r="D14921" s="2889" t="s">
        <v>1054</v>
      </c>
      <c r="E14921" s="2889" t="s">
        <v>1426</v>
      </c>
      <c r="F14921" s="2891"/>
      <c r="G14921" s="2890">
        <v>360.79948700723946</v>
      </c>
    </row>
    <row r="14922" spans="2:7" ht="15" hidden="1" outlineLevel="2">
      <c r="B14922" s="2889" t="s">
        <v>1652</v>
      </c>
      <c r="C14922" s="2889" t="s">
        <v>1507</v>
      </c>
      <c r="D14922" s="2889" t="s">
        <v>1054</v>
      </c>
      <c r="E14922" s="2889" t="s">
        <v>1426</v>
      </c>
      <c r="F14922" s="2891"/>
      <c r="G14922" s="2890">
        <v>0.58812755851015364</v>
      </c>
    </row>
    <row r="14923" spans="2:7" ht="15" hidden="1" outlineLevel="2">
      <c r="B14923" s="2889" t="s">
        <v>1652</v>
      </c>
      <c r="C14923" s="2889" t="s">
        <v>1508</v>
      </c>
      <c r="D14923" s="2889" t="s">
        <v>1054</v>
      </c>
      <c r="E14923" s="2889" t="s">
        <v>1426</v>
      </c>
      <c r="F14923" s="2891"/>
      <c r="G14923" s="2890">
        <v>9.6891965780686427</v>
      </c>
    </row>
    <row r="14924" spans="2:7" ht="15" hidden="1" outlineLevel="2">
      <c r="B14924" s="2889" t="s">
        <v>1652</v>
      </c>
      <c r="C14924" s="2889" t="s">
        <v>1509</v>
      </c>
      <c r="D14924" s="2889" t="s">
        <v>1054</v>
      </c>
      <c r="E14924" s="2889" t="s">
        <v>1426</v>
      </c>
      <c r="F14924" s="2891"/>
      <c r="G14924" s="2890">
        <v>903.12340345594691</v>
      </c>
    </row>
    <row r="14925" spans="2:7" ht="15" hidden="1" outlineLevel="2">
      <c r="B14925" s="2889" t="s">
        <v>1652</v>
      </c>
      <c r="C14925" s="2889" t="s">
        <v>1510</v>
      </c>
      <c r="D14925" s="2889" t="s">
        <v>1054</v>
      </c>
      <c r="E14925" s="2889" t="s">
        <v>1426</v>
      </c>
      <c r="F14925" s="2891"/>
      <c r="G14925" s="2890">
        <v>982.40833087962574</v>
      </c>
    </row>
    <row r="14926" spans="2:7" ht="15" hidden="1" outlineLevel="2">
      <c r="B14926" s="2889" t="s">
        <v>1652</v>
      </c>
      <c r="C14926" s="2889" t="s">
        <v>1511</v>
      </c>
      <c r="D14926" s="2889" t="s">
        <v>1054</v>
      </c>
      <c r="E14926" s="2889" t="s">
        <v>1426</v>
      </c>
      <c r="F14926" s="2891"/>
      <c r="G14926" s="2890">
        <v>54.124237331466603</v>
      </c>
    </row>
    <row r="14927" spans="2:7" ht="15" hidden="1" outlineLevel="2">
      <c r="B14927" s="2889" t="s">
        <v>1652</v>
      </c>
      <c r="C14927" s="2889" t="s">
        <v>1512</v>
      </c>
      <c r="D14927" s="2889" t="s">
        <v>1054</v>
      </c>
      <c r="E14927" s="2889" t="s">
        <v>1426</v>
      </c>
      <c r="F14927" s="2891"/>
      <c r="G14927" s="2890">
        <v>33.40708843956277</v>
      </c>
    </row>
    <row r="14928" spans="2:7" ht="15" hidden="1" outlineLevel="2">
      <c r="B14928" s="2889" t="s">
        <v>1652</v>
      </c>
      <c r="C14928" s="2889" t="s">
        <v>1513</v>
      </c>
      <c r="D14928" s="2889" t="s">
        <v>1054</v>
      </c>
      <c r="E14928" s="2889" t="s">
        <v>1426</v>
      </c>
      <c r="F14928" s="2891"/>
      <c r="G14928" s="2890">
        <v>99.751861662577539</v>
      </c>
    </row>
    <row r="14929" spans="2:7" ht="15" hidden="1" outlineLevel="2">
      <c r="B14929" s="2889" t="s">
        <v>1652</v>
      </c>
      <c r="C14929" s="2889" t="s">
        <v>1514</v>
      </c>
      <c r="D14929" s="2889" t="s">
        <v>1054</v>
      </c>
      <c r="E14929" s="2889" t="s">
        <v>1426</v>
      </c>
      <c r="F14929" s="2891"/>
      <c r="G14929" s="2890">
        <v>428.45367027728065</v>
      </c>
    </row>
    <row r="14930" spans="2:7" ht="15" hidden="1" outlineLevel="2">
      <c r="B14930" s="2889" t="s">
        <v>1652</v>
      </c>
      <c r="C14930" s="2889" t="s">
        <v>1515</v>
      </c>
      <c r="D14930" s="2889" t="s">
        <v>1054</v>
      </c>
      <c r="E14930" s="2889" t="s">
        <v>1426</v>
      </c>
      <c r="F14930" s="2891"/>
      <c r="G14930" s="2890">
        <v>368.41998537933858</v>
      </c>
    </row>
    <row r="14931" spans="2:7" ht="15" hidden="1" outlineLevel="2">
      <c r="B14931" s="2889" t="s">
        <v>1652</v>
      </c>
      <c r="C14931" s="2889" t="s">
        <v>1516</v>
      </c>
      <c r="D14931" s="2889" t="s">
        <v>1054</v>
      </c>
      <c r="E14931" s="2889" t="s">
        <v>1426</v>
      </c>
      <c r="F14931" s="2891"/>
      <c r="G14931" s="2890">
        <v>3660.0136359352846</v>
      </c>
    </row>
    <row r="14932" spans="2:7" ht="15" hidden="1" outlineLevel="2">
      <c r="B14932" s="2889" t="s">
        <v>1652</v>
      </c>
      <c r="C14932" s="2889" t="s">
        <v>1517</v>
      </c>
      <c r="D14932" s="2889" t="s">
        <v>1054</v>
      </c>
      <c r="E14932" s="2889" t="s">
        <v>1426</v>
      </c>
      <c r="F14932" s="2891"/>
      <c r="G14932" s="2890">
        <v>30.359638158009954</v>
      </c>
    </row>
    <row r="14933" spans="2:7" ht="15" hidden="1" outlineLevel="2">
      <c r="B14933" s="2889" t="s">
        <v>1652</v>
      </c>
      <c r="C14933" s="2889" t="s">
        <v>1518</v>
      </c>
      <c r="D14933" s="2889" t="s">
        <v>1054</v>
      </c>
      <c r="E14933" s="2889" t="s">
        <v>1426</v>
      </c>
      <c r="F14933" s="2891"/>
      <c r="G14933" s="2890">
        <v>14.340243140689884</v>
      </c>
    </row>
    <row r="14934" spans="2:7" ht="15" hidden="1" outlineLevel="2">
      <c r="B14934" s="2889" t="s">
        <v>1652</v>
      </c>
      <c r="C14934" s="2889" t="s">
        <v>1519</v>
      </c>
      <c r="D14934" s="2889" t="s">
        <v>1054</v>
      </c>
      <c r="E14934" s="2889" t="s">
        <v>1426</v>
      </c>
      <c r="F14934" s="2891"/>
      <c r="G14934" s="2890">
        <v>835.91538372316586</v>
      </c>
    </row>
    <row r="14935" spans="2:7" ht="15" hidden="1" outlineLevel="2">
      <c r="B14935" s="2889" t="s">
        <v>1652</v>
      </c>
      <c r="C14935" s="2889" t="s">
        <v>1520</v>
      </c>
      <c r="D14935" s="2889" t="s">
        <v>1054</v>
      </c>
      <c r="E14935" s="2889" t="s">
        <v>1426</v>
      </c>
      <c r="F14935" s="2891"/>
      <c r="G14935" s="2890">
        <v>910.58856982222267</v>
      </c>
    </row>
    <row r="14936" spans="2:7" ht="15" hidden="1" outlineLevel="2">
      <c r="B14936" s="2889" t="s">
        <v>1652</v>
      </c>
      <c r="C14936" s="2889" t="s">
        <v>1521</v>
      </c>
      <c r="D14936" s="2889" t="s">
        <v>1054</v>
      </c>
      <c r="E14936" s="2889" t="s">
        <v>1426</v>
      </c>
      <c r="F14936" s="2891"/>
      <c r="G14936" s="2890">
        <v>3130.3858879058889</v>
      </c>
    </row>
    <row r="14937" spans="2:7" ht="15" hidden="1" outlineLevel="2">
      <c r="B14937" s="2889" t="s">
        <v>1652</v>
      </c>
      <c r="C14937" s="2889" t="s">
        <v>1522</v>
      </c>
      <c r="D14937" s="2889" t="s">
        <v>1054</v>
      </c>
      <c r="E14937" s="2889" t="s">
        <v>1426</v>
      </c>
      <c r="F14937" s="2891"/>
      <c r="G14937" s="2890">
        <v>147.37425119469393</v>
      </c>
    </row>
    <row r="14938" spans="2:7" ht="15" hidden="1" outlineLevel="2">
      <c r="B14938" s="2889" t="s">
        <v>1652</v>
      </c>
      <c r="C14938" s="2889" t="s">
        <v>1523</v>
      </c>
      <c r="D14938" s="2889" t="s">
        <v>1054</v>
      </c>
      <c r="E14938" s="2889" t="s">
        <v>1426</v>
      </c>
      <c r="F14938" s="2891"/>
      <c r="G14938" s="2890">
        <v>1171.5262720258631</v>
      </c>
    </row>
    <row r="14939" spans="2:7" ht="15" hidden="1" outlineLevel="2">
      <c r="B14939" s="2889" t="s">
        <v>1652</v>
      </c>
      <c r="C14939" s="2889" t="s">
        <v>1524</v>
      </c>
      <c r="D14939" s="2889" t="s">
        <v>1054</v>
      </c>
      <c r="E14939" s="2889" t="s">
        <v>1426</v>
      </c>
      <c r="F14939" s="2891"/>
      <c r="G14939" s="2890">
        <v>3983.7721252373258</v>
      </c>
    </row>
    <row r="14940" spans="2:7" ht="15" hidden="1" outlineLevel="2">
      <c r="B14940" s="2889" t="s">
        <v>1652</v>
      </c>
      <c r="C14940" s="2889" t="s">
        <v>1525</v>
      </c>
      <c r="D14940" s="2889" t="s">
        <v>1054</v>
      </c>
      <c r="E14940" s="2889" t="s">
        <v>1426</v>
      </c>
      <c r="F14940" s="2891"/>
      <c r="G14940" s="2890">
        <v>2415.9158723357186</v>
      </c>
    </row>
    <row r="14941" spans="2:7" ht="15" hidden="1" outlineLevel="2">
      <c r="B14941" s="2889" t="s">
        <v>1652</v>
      </c>
      <c r="C14941" s="2889" t="s">
        <v>1526</v>
      </c>
      <c r="D14941" s="2889" t="s">
        <v>1054</v>
      </c>
      <c r="E14941" s="2889" t="s">
        <v>1426</v>
      </c>
      <c r="F14941" s="2891"/>
      <c r="G14941" s="2890">
        <v>3645.9303856438551</v>
      </c>
    </row>
    <row r="14942" spans="2:7" ht="15" hidden="1" outlineLevel="2">
      <c r="B14942" s="2889" t="s">
        <v>1652</v>
      </c>
      <c r="C14942" s="2889" t="s">
        <v>1527</v>
      </c>
      <c r="D14942" s="2889" t="s">
        <v>1054</v>
      </c>
      <c r="E14942" s="2889" t="s">
        <v>1426</v>
      </c>
      <c r="F14942" s="2891"/>
      <c r="G14942" s="2890">
        <v>1656.5722540414126</v>
      </c>
    </row>
    <row r="14943" spans="2:7" ht="15" hidden="1" outlineLevel="2">
      <c r="B14943" s="2889" t="s">
        <v>1652</v>
      </c>
      <c r="C14943" s="2889" t="s">
        <v>1528</v>
      </c>
      <c r="D14943" s="2889" t="s">
        <v>1054</v>
      </c>
      <c r="E14943" s="2889" t="s">
        <v>1426</v>
      </c>
      <c r="F14943" s="2891"/>
      <c r="G14943" s="2890">
        <v>392.16320498488682</v>
      </c>
    </row>
    <row r="14944" spans="2:7" ht="15" hidden="1" outlineLevel="2">
      <c r="B14944" s="2889" t="s">
        <v>1652</v>
      </c>
      <c r="C14944" s="2889" t="s">
        <v>1529</v>
      </c>
      <c r="D14944" s="2889" t="s">
        <v>1054</v>
      </c>
      <c r="E14944" s="2889" t="s">
        <v>1426</v>
      </c>
      <c r="F14944" s="2891"/>
      <c r="G14944" s="2890">
        <v>5.104025495169247</v>
      </c>
    </row>
    <row r="14945" spans="2:7" ht="15" hidden="1" outlineLevel="2">
      <c r="B14945" s="2889" t="s">
        <v>1652</v>
      </c>
      <c r="C14945" s="2889" t="s">
        <v>1530</v>
      </c>
      <c r="D14945" s="2889" t="s">
        <v>1054</v>
      </c>
      <c r="E14945" s="2889" t="s">
        <v>1426</v>
      </c>
      <c r="F14945" s="2891"/>
      <c r="G14945" s="2890">
        <v>375.78555883728086</v>
      </c>
    </row>
    <row r="14946" spans="2:7" ht="15" hidden="1" outlineLevel="2">
      <c r="B14946" s="2889" t="s">
        <v>1652</v>
      </c>
      <c r="C14946" s="2889" t="s">
        <v>1531</v>
      </c>
      <c r="D14946" s="2889" t="s">
        <v>1106</v>
      </c>
      <c r="E14946" s="2889" t="s">
        <v>217</v>
      </c>
      <c r="F14946" s="2890">
        <v>9.5406267830208154E-5</v>
      </c>
      <c r="G14946" s="2890">
        <v>4.2766881657676108E-2</v>
      </c>
    </row>
    <row r="14947" spans="2:7" ht="15" hidden="1" outlineLevel="2">
      <c r="B14947" s="2889" t="s">
        <v>1652</v>
      </c>
      <c r="C14947" s="2889" t="s">
        <v>1532</v>
      </c>
      <c r="D14947" s="2889" t="s">
        <v>1106</v>
      </c>
      <c r="E14947" s="2889" t="s">
        <v>217</v>
      </c>
      <c r="F14947" s="2890">
        <v>7.5140986644624995E-6</v>
      </c>
      <c r="G14947" s="2890">
        <v>3.3682723072808152E-3</v>
      </c>
    </row>
    <row r="14948" spans="2:7" ht="15" hidden="1" outlineLevel="2">
      <c r="B14948" s="2889" t="s">
        <v>1652</v>
      </c>
      <c r="C14948" s="2889" t="s">
        <v>1533</v>
      </c>
      <c r="D14948" s="2889" t="s">
        <v>1106</v>
      </c>
      <c r="E14948" s="2889" t="s">
        <v>217</v>
      </c>
      <c r="F14948" s="2890">
        <v>4.86664772951928E-3</v>
      </c>
      <c r="G14948" s="2890">
        <v>4.8426040666188399</v>
      </c>
    </row>
    <row r="14949" spans="2:7" ht="15" hidden="1" outlineLevel="2">
      <c r="B14949" s="2889" t="s">
        <v>1652</v>
      </c>
      <c r="C14949" s="2889" t="s">
        <v>1534</v>
      </c>
      <c r="D14949" s="2889" t="s">
        <v>1106</v>
      </c>
      <c r="E14949" s="2889" t="s">
        <v>217</v>
      </c>
      <c r="F14949" s="2890">
        <v>4.1251006761173648E-3</v>
      </c>
      <c r="G14949" s="2890">
        <v>14.340248505412191</v>
      </c>
    </row>
    <row r="14950" spans="2:7" ht="15" hidden="1" outlineLevel="2">
      <c r="B14950" s="2889" t="s">
        <v>1652</v>
      </c>
      <c r="C14950" s="2889" t="s">
        <v>1535</v>
      </c>
      <c r="D14950" s="2889" t="s">
        <v>1106</v>
      </c>
      <c r="E14950" s="2889" t="s">
        <v>217</v>
      </c>
      <c r="F14950" s="2890">
        <v>1.54251533904164E-3</v>
      </c>
      <c r="G14950" s="2890">
        <v>3.6216651577819503</v>
      </c>
    </row>
    <row r="14951" spans="2:7" ht="15" hidden="1" outlineLevel="2">
      <c r="B14951" s="2889" t="s">
        <v>1652</v>
      </c>
      <c r="C14951" s="2889" t="s">
        <v>1536</v>
      </c>
      <c r="D14951" s="2889" t="s">
        <v>1106</v>
      </c>
      <c r="E14951" s="2889" t="s">
        <v>217</v>
      </c>
      <c r="F14951" s="2890">
        <v>5.5481419171866048E-3</v>
      </c>
      <c r="G14951" s="2890">
        <v>7.2515305426786227</v>
      </c>
    </row>
    <row r="14952" spans="2:7" ht="15" hidden="1" outlineLevel="2">
      <c r="B14952" s="2889" t="s">
        <v>1652</v>
      </c>
      <c r="C14952" s="2889" t="s">
        <v>1537</v>
      </c>
      <c r="D14952" s="2889" t="s">
        <v>1106</v>
      </c>
      <c r="E14952" s="2889" t="s">
        <v>217</v>
      </c>
      <c r="F14952" s="2890">
        <v>3.1086540177720164E-4</v>
      </c>
      <c r="G14952" s="2890">
        <v>0.3562873406800483</v>
      </c>
    </row>
    <row r="14953" spans="2:7" ht="15" hidden="1" outlineLevel="2">
      <c r="B14953" s="2889" t="s">
        <v>1652</v>
      </c>
      <c r="C14953" s="2889" t="s">
        <v>1538</v>
      </c>
      <c r="D14953" s="2889" t="s">
        <v>1106</v>
      </c>
      <c r="E14953" s="2889" t="s">
        <v>217</v>
      </c>
      <c r="F14953" s="2890">
        <v>2.4239552723012887E-4</v>
      </c>
      <c r="G14953" s="2890">
        <v>0.32847694756379531</v>
      </c>
    </row>
    <row r="14954" spans="2:7" ht="15" hidden="1" outlineLevel="2">
      <c r="B14954" s="2889" t="s">
        <v>1652</v>
      </c>
      <c r="C14954" s="2889" t="s">
        <v>1539</v>
      </c>
      <c r="D14954" s="2889" t="s">
        <v>1106</v>
      </c>
      <c r="E14954" s="2889" t="s">
        <v>217</v>
      </c>
      <c r="F14954" s="2890">
        <v>1.2202335929890334E-4</v>
      </c>
      <c r="G14954" s="2890">
        <v>1.5707592380940749</v>
      </c>
    </row>
    <row r="14955" spans="2:7" ht="15" hidden="1" outlineLevel="2">
      <c r="B14955" s="2889" t="s">
        <v>1652</v>
      </c>
      <c r="C14955" s="2889" t="s">
        <v>1540</v>
      </c>
      <c r="D14955" s="2889" t="s">
        <v>1106</v>
      </c>
      <c r="E14955" s="2889" t="s">
        <v>1420</v>
      </c>
      <c r="F14955" s="2890">
        <v>5.430477497400138E-3</v>
      </c>
      <c r="G14955" s="2890">
        <v>13.177951153121224</v>
      </c>
    </row>
    <row r="14956" spans="2:7" ht="15" hidden="1" outlineLevel="2">
      <c r="B14956" s="2889" t="s">
        <v>1652</v>
      </c>
      <c r="C14956" s="2889" t="s">
        <v>1541</v>
      </c>
      <c r="D14956" s="2889" t="s">
        <v>1106</v>
      </c>
      <c r="E14956" s="2889" t="s">
        <v>1420</v>
      </c>
      <c r="F14956" s="2890">
        <v>0.15825684174835072</v>
      </c>
      <c r="G14956" s="2890">
        <v>1165.1351279114042</v>
      </c>
    </row>
    <row r="14957" spans="2:7" ht="15" hidden="1" outlineLevel="2">
      <c r="B14957" s="2889" t="s">
        <v>1652</v>
      </c>
      <c r="C14957" s="2889" t="s">
        <v>1542</v>
      </c>
      <c r="D14957" s="2889" t="s">
        <v>1106</v>
      </c>
      <c r="E14957" s="2889" t="s">
        <v>1420</v>
      </c>
      <c r="F14957" s="2890">
        <v>7.697521687407273E-4</v>
      </c>
      <c r="G14957" s="2890">
        <v>8.8084455105374921</v>
      </c>
    </row>
    <row r="14958" spans="2:7" ht="15" hidden="1" outlineLevel="2">
      <c r="B14958" s="2889" t="s">
        <v>1652</v>
      </c>
      <c r="C14958" s="2889" t="s">
        <v>1543</v>
      </c>
      <c r="D14958" s="2889" t="s">
        <v>1106</v>
      </c>
      <c r="E14958" s="2889" t="s">
        <v>1420</v>
      </c>
      <c r="F14958" s="2890">
        <v>2.7893944456037096E-4</v>
      </c>
      <c r="G14958" s="2890">
        <v>2.7302120800991432</v>
      </c>
    </row>
    <row r="14959" spans="2:7" ht="15" hidden="1" outlineLevel="2">
      <c r="B14959" s="2889" t="s">
        <v>1652</v>
      </c>
      <c r="C14959" s="2889" t="s">
        <v>1544</v>
      </c>
      <c r="D14959" s="2889" t="s">
        <v>1106</v>
      </c>
      <c r="E14959" s="2889" t="s">
        <v>1420</v>
      </c>
      <c r="F14959" s="2890">
        <v>2.6961060665974147E-4</v>
      </c>
      <c r="G14959" s="2890">
        <v>0.70444145363307997</v>
      </c>
    </row>
    <row r="14960" spans="2:7" ht="15" hidden="1" outlineLevel="2">
      <c r="B14960" s="2889" t="s">
        <v>1652</v>
      </c>
      <c r="C14960" s="2889" t="s">
        <v>1545</v>
      </c>
      <c r="D14960" s="2889" t="s">
        <v>1106</v>
      </c>
      <c r="E14960" s="2889" t="s">
        <v>1420</v>
      </c>
      <c r="F14960" s="2890">
        <v>2.696222580665207E-4</v>
      </c>
      <c r="G14960" s="2890">
        <v>5.3581181204252273</v>
      </c>
    </row>
    <row r="14961" spans="2:7" ht="15" hidden="1" outlineLevel="2">
      <c r="B14961" s="2889" t="s">
        <v>1652</v>
      </c>
      <c r="C14961" s="2889" t="s">
        <v>1546</v>
      </c>
      <c r="D14961" s="2889" t="s">
        <v>1106</v>
      </c>
      <c r="E14961" s="2889" t="s">
        <v>1423</v>
      </c>
      <c r="F14961" s="2890">
        <v>0.81731815818166542</v>
      </c>
      <c r="G14961" s="2890">
        <v>68.781991958313071</v>
      </c>
    </row>
    <row r="14962" spans="2:7" ht="15" hidden="1" outlineLevel="2">
      <c r="B14962" s="2889" t="s">
        <v>1652</v>
      </c>
      <c r="C14962" s="2889" t="s">
        <v>1547</v>
      </c>
      <c r="D14962" s="2889" t="s">
        <v>1106</v>
      </c>
      <c r="E14962" s="2889" t="s">
        <v>1423</v>
      </c>
      <c r="F14962" s="2890">
        <v>8.927201693249918E-4</v>
      </c>
      <c r="G14962" s="2890">
        <v>7.8173266005564096E-2</v>
      </c>
    </row>
    <row r="14963" spans="2:7" ht="15" hidden="1" outlineLevel="2">
      <c r="B14963" s="2889" t="s">
        <v>1652</v>
      </c>
      <c r="C14963" s="2889" t="s">
        <v>1548</v>
      </c>
      <c r="D14963" s="2889" t="s">
        <v>1106</v>
      </c>
      <c r="E14963" s="2889" t="s">
        <v>1423</v>
      </c>
      <c r="F14963" s="2890">
        <v>4.1654248530158928E-4</v>
      </c>
      <c r="G14963" s="2890">
        <v>4.2691287401743709E-2</v>
      </c>
    </row>
    <row r="14964" spans="2:7" ht="15" hidden="1" outlineLevel="2">
      <c r="B14964" s="2889" t="s">
        <v>1652</v>
      </c>
      <c r="C14964" s="2889" t="s">
        <v>1549</v>
      </c>
      <c r="D14964" s="2889" t="s">
        <v>1106</v>
      </c>
      <c r="E14964" s="2889" t="s">
        <v>1423</v>
      </c>
      <c r="F14964" s="2890">
        <v>3.1488719114527134E-3</v>
      </c>
      <c r="G14964" s="2890">
        <v>0.31008192109175148</v>
      </c>
    </row>
    <row r="14965" spans="2:7" ht="15" hidden="1" outlineLevel="2">
      <c r="B14965" s="2889" t="s">
        <v>1652</v>
      </c>
      <c r="C14965" s="2889" t="s">
        <v>1550</v>
      </c>
      <c r="D14965" s="2889" t="s">
        <v>1106</v>
      </c>
      <c r="E14965" s="2889" t="s">
        <v>1423</v>
      </c>
      <c r="F14965" s="2890">
        <v>1.4185125764654308E-3</v>
      </c>
      <c r="G14965" s="2890">
        <v>0.31899215764213895</v>
      </c>
    </row>
    <row r="14966" spans="2:7" ht="15" hidden="1" outlineLevel="2">
      <c r="B14966" s="2889" t="s">
        <v>1652</v>
      </c>
      <c r="C14966" s="2889" t="s">
        <v>1551</v>
      </c>
      <c r="D14966" s="2889" t="s">
        <v>1106</v>
      </c>
      <c r="E14966" s="2889" t="s">
        <v>1426</v>
      </c>
      <c r="F14966" s="2891"/>
      <c r="G14966" s="2890">
        <v>21.440033842338725</v>
      </c>
    </row>
    <row r="14967" spans="2:7" ht="15" hidden="1" outlineLevel="2">
      <c r="B14967" s="2889" t="s">
        <v>1652</v>
      </c>
      <c r="C14967" s="2889" t="s">
        <v>1552</v>
      </c>
      <c r="D14967" s="2889" t="s">
        <v>1106</v>
      </c>
      <c r="E14967" s="2889" t="s">
        <v>1426</v>
      </c>
      <c r="F14967" s="2891"/>
      <c r="G14967" s="2890">
        <v>311.10721438376669</v>
      </c>
    </row>
    <row r="14968" spans="2:7" ht="15" hidden="1" outlineLevel="2">
      <c r="B14968" s="2889" t="s">
        <v>1652</v>
      </c>
      <c r="C14968" s="2889" t="s">
        <v>1553</v>
      </c>
      <c r="D14968" s="2889" t="s">
        <v>1106</v>
      </c>
      <c r="E14968" s="2889" t="s">
        <v>1426</v>
      </c>
      <c r="F14968" s="2891"/>
      <c r="G14968" s="2890">
        <v>135.7880429634215</v>
      </c>
    </row>
    <row r="14969" spans="2:7" ht="15" hidden="1" outlineLevel="2">
      <c r="B14969" s="2889" t="s">
        <v>1652</v>
      </c>
      <c r="C14969" s="2889" t="s">
        <v>1554</v>
      </c>
      <c r="D14969" s="2889" t="s">
        <v>1106</v>
      </c>
      <c r="E14969" s="2889" t="s">
        <v>1426</v>
      </c>
      <c r="F14969" s="2891"/>
      <c r="G14969" s="2890">
        <v>137.82335472325181</v>
      </c>
    </row>
    <row r="14970" spans="2:7" ht="15" hidden="1" outlineLevel="2">
      <c r="B14970" s="2889" t="s">
        <v>1652</v>
      </c>
      <c r="C14970" s="2889" t="s">
        <v>1555</v>
      </c>
      <c r="D14970" s="2889" t="s">
        <v>1106</v>
      </c>
      <c r="E14970" s="2889" t="s">
        <v>1426</v>
      </c>
      <c r="F14970" s="2891"/>
      <c r="G14970" s="2890">
        <v>5.2984218559263185</v>
      </c>
    </row>
    <row r="14971" spans="2:7" ht="15" hidden="1" outlineLevel="2">
      <c r="B14971" s="2889" t="s">
        <v>1652</v>
      </c>
      <c r="C14971" s="2889" t="s">
        <v>1556</v>
      </c>
      <c r="D14971" s="2889" t="s">
        <v>1106</v>
      </c>
      <c r="E14971" s="2889" t="s">
        <v>1426</v>
      </c>
      <c r="F14971" s="2891"/>
      <c r="G14971" s="2890">
        <v>901.95047695305709</v>
      </c>
    </row>
    <row r="14972" spans="2:7" ht="15" hidden="1" outlineLevel="2">
      <c r="B14972" s="2889" t="s">
        <v>1652</v>
      </c>
      <c r="C14972" s="2889" t="s">
        <v>1557</v>
      </c>
      <c r="D14972" s="2889" t="s">
        <v>1106</v>
      </c>
      <c r="E14972" s="2889" t="s">
        <v>1426</v>
      </c>
      <c r="F14972" s="2891"/>
      <c r="G14972" s="2890">
        <v>195.86580753221844</v>
      </c>
    </row>
    <row r="14973" spans="2:7" ht="15" hidden="1" outlineLevel="2">
      <c r="B14973" s="2889" t="s">
        <v>1652</v>
      </c>
      <c r="C14973" s="2889" t="s">
        <v>1558</v>
      </c>
      <c r="D14973" s="2889" t="s">
        <v>1559</v>
      </c>
      <c r="E14973" s="2889" t="s">
        <v>217</v>
      </c>
      <c r="F14973" s="2890">
        <v>8.8582073866051419E-3</v>
      </c>
      <c r="G14973" s="2890">
        <v>4.8517806282116549</v>
      </c>
    </row>
    <row r="14974" spans="2:7" ht="15" hidden="1" outlineLevel="2">
      <c r="B14974" s="2889" t="s">
        <v>1652</v>
      </c>
      <c r="C14974" s="2889" t="s">
        <v>1560</v>
      </c>
      <c r="D14974" s="2889" t="s">
        <v>1559</v>
      </c>
      <c r="E14974" s="2889" t="s">
        <v>217</v>
      </c>
      <c r="F14974" s="2890">
        <v>3.9065624018477463E-2</v>
      </c>
      <c r="G14974" s="2890">
        <v>21.085133820712965</v>
      </c>
    </row>
    <row r="14975" spans="2:7" ht="15" hidden="1" outlineLevel="2">
      <c r="B14975" s="2889" t="s">
        <v>1652</v>
      </c>
      <c r="C14975" s="2889" t="s">
        <v>1561</v>
      </c>
      <c r="D14975" s="2889" t="s">
        <v>1559</v>
      </c>
      <c r="E14975" s="2889" t="s">
        <v>217</v>
      </c>
      <c r="F14975" s="2890">
        <v>0.12712232765276865</v>
      </c>
      <c r="G14975" s="2890">
        <v>66.279265620808289</v>
      </c>
    </row>
    <row r="14976" spans="2:7" ht="15" hidden="1" outlineLevel="2">
      <c r="B14976" s="2889" t="s">
        <v>1652</v>
      </c>
      <c r="C14976" s="2889" t="s">
        <v>1562</v>
      </c>
      <c r="D14976" s="2889" t="s">
        <v>1559</v>
      </c>
      <c r="E14976" s="2889" t="s">
        <v>217</v>
      </c>
      <c r="F14976" s="2890">
        <v>0.42798640113034081</v>
      </c>
      <c r="G14976" s="2890">
        <v>234.65493805465331</v>
      </c>
    </row>
    <row r="14977" spans="2:7" ht="15" hidden="1" outlineLevel="2">
      <c r="B14977" s="2889" t="s">
        <v>1652</v>
      </c>
      <c r="C14977" s="2889" t="s">
        <v>1563</v>
      </c>
      <c r="D14977" s="2889" t="s">
        <v>1559</v>
      </c>
      <c r="E14977" s="2889" t="s">
        <v>217</v>
      </c>
      <c r="F14977" s="2890">
        <v>0.15671578781813225</v>
      </c>
      <c r="G14977" s="2890">
        <v>92.363595287757789</v>
      </c>
    </row>
    <row r="14978" spans="2:7" ht="15" hidden="1" outlineLevel="2">
      <c r="B14978" s="2889" t="s">
        <v>1652</v>
      </c>
      <c r="C14978" s="2889" t="s">
        <v>1564</v>
      </c>
      <c r="D14978" s="2889" t="s">
        <v>1559</v>
      </c>
      <c r="E14978" s="2889" t="s">
        <v>217</v>
      </c>
      <c r="F14978" s="2890">
        <v>0.40407305555667256</v>
      </c>
      <c r="G14978" s="2890">
        <v>204.61511726666242</v>
      </c>
    </row>
    <row r="14979" spans="2:7" ht="15" hidden="1" outlineLevel="2">
      <c r="B14979" s="2889" t="s">
        <v>1652</v>
      </c>
      <c r="C14979" s="2889" t="s">
        <v>1565</v>
      </c>
      <c r="D14979" s="2889" t="s">
        <v>1559</v>
      </c>
      <c r="E14979" s="2889" t="s">
        <v>217</v>
      </c>
      <c r="F14979" s="2890">
        <v>0.11046318719649088</v>
      </c>
      <c r="G14979" s="2890">
        <v>59.444958678803808</v>
      </c>
    </row>
    <row r="14980" spans="2:7" ht="15" hidden="1" outlineLevel="2">
      <c r="B14980" s="2889" t="s">
        <v>1652</v>
      </c>
      <c r="C14980" s="2889" t="s">
        <v>1566</v>
      </c>
      <c r="D14980" s="2889" t="s">
        <v>1559</v>
      </c>
      <c r="E14980" s="2889" t="s">
        <v>217</v>
      </c>
      <c r="F14980" s="2890">
        <v>0.3566389792046637</v>
      </c>
      <c r="G14980" s="2890">
        <v>191.06180249424025</v>
      </c>
    </row>
    <row r="14981" spans="2:7" ht="15" hidden="1" outlineLevel="2">
      <c r="B14981" s="2889" t="s">
        <v>1652</v>
      </c>
      <c r="C14981" s="2889" t="s">
        <v>1567</v>
      </c>
      <c r="D14981" s="2889" t="s">
        <v>1559</v>
      </c>
      <c r="E14981" s="2889" t="s">
        <v>217</v>
      </c>
      <c r="F14981" s="2890">
        <v>1.1512746101999998E-31</v>
      </c>
      <c r="G14981" s="2890">
        <v>1.6918253879999999E-29</v>
      </c>
    </row>
    <row r="14982" spans="2:7" ht="15" hidden="1" outlineLevel="2">
      <c r="B14982" s="2889" t="s">
        <v>1652</v>
      </c>
      <c r="C14982" s="2889" t="s">
        <v>1568</v>
      </c>
      <c r="D14982" s="2889" t="s">
        <v>1559</v>
      </c>
      <c r="E14982" s="2889" t="s">
        <v>217</v>
      </c>
      <c r="F14982" s="2890">
        <v>2.4347823280000003E-33</v>
      </c>
      <c r="G14982" s="2890">
        <v>3.5763345640000004E-31</v>
      </c>
    </row>
    <row r="14983" spans="2:7" ht="15" hidden="1" outlineLevel="2">
      <c r="B14983" s="2889" t="s">
        <v>1652</v>
      </c>
      <c r="C14983" s="2889" t="s">
        <v>1569</v>
      </c>
      <c r="D14983" s="2889" t="s">
        <v>1559</v>
      </c>
      <c r="E14983" s="2889" t="s">
        <v>217</v>
      </c>
      <c r="F14983" s="2890">
        <v>1.7471834919576698E-4</v>
      </c>
      <c r="G14983" s="2890">
        <v>8.7331409107599109E-2</v>
      </c>
    </row>
    <row r="14984" spans="2:7" ht="15" hidden="1" outlineLevel="2">
      <c r="B14984" s="2889" t="s">
        <v>1652</v>
      </c>
      <c r="C14984" s="2889" t="s">
        <v>1570</v>
      </c>
      <c r="D14984" s="2889" t="s">
        <v>1559</v>
      </c>
      <c r="E14984" s="2889" t="s">
        <v>217</v>
      </c>
      <c r="F14984" s="2890">
        <v>1.3303512427459439</v>
      </c>
      <c r="G14984" s="2890">
        <v>828.03007425536555</v>
      </c>
    </row>
    <row r="14985" spans="2:7" ht="15" hidden="1" outlineLevel="2">
      <c r="B14985" s="2889" t="s">
        <v>1652</v>
      </c>
      <c r="C14985" s="2889" t="s">
        <v>1571</v>
      </c>
      <c r="D14985" s="2889" t="s">
        <v>1559</v>
      </c>
      <c r="E14985" s="2889" t="s">
        <v>217</v>
      </c>
      <c r="F14985" s="2890">
        <v>0.49882593440176909</v>
      </c>
      <c r="G14985" s="2890">
        <v>596.45022910061107</v>
      </c>
    </row>
    <row r="14986" spans="2:7" ht="15" hidden="1" outlineLevel="2">
      <c r="B14986" s="2889" t="s">
        <v>1652</v>
      </c>
      <c r="C14986" s="2889" t="s">
        <v>1572</v>
      </c>
      <c r="D14986" s="2889" t="s">
        <v>1559</v>
      </c>
      <c r="E14986" s="2889" t="s">
        <v>217</v>
      </c>
      <c r="F14986" s="2890">
        <v>0.1124616283727933</v>
      </c>
      <c r="G14986" s="2890">
        <v>69.431438588500754</v>
      </c>
    </row>
    <row r="14987" spans="2:7" ht="15" hidden="1" outlineLevel="2">
      <c r="B14987" s="2889" t="s">
        <v>1652</v>
      </c>
      <c r="C14987" s="2889" t="s">
        <v>1573</v>
      </c>
      <c r="D14987" s="2889" t="s">
        <v>1559</v>
      </c>
      <c r="E14987" s="2889" t="s">
        <v>217</v>
      </c>
      <c r="F14987" s="2890">
        <v>0.40433112353010198</v>
      </c>
      <c r="G14987" s="2890">
        <v>303.59851289968123</v>
      </c>
    </row>
    <row r="14988" spans="2:7" ht="15" hidden="1" outlineLevel="2">
      <c r="B14988" s="2889" t="s">
        <v>1652</v>
      </c>
      <c r="C14988" s="2889" t="s">
        <v>1574</v>
      </c>
      <c r="D14988" s="2889" t="s">
        <v>1559</v>
      </c>
      <c r="E14988" s="2889" t="s">
        <v>217</v>
      </c>
      <c r="F14988" s="2890">
        <v>6.0955697877047898E-3</v>
      </c>
      <c r="G14988" s="2890">
        <v>4.6096307573425079</v>
      </c>
    </row>
    <row r="14989" spans="2:7" ht="15" hidden="1" outlineLevel="2">
      <c r="B14989" s="2889" t="s">
        <v>1652</v>
      </c>
      <c r="C14989" s="2889" t="s">
        <v>1575</v>
      </c>
      <c r="D14989" s="2889" t="s">
        <v>1559</v>
      </c>
      <c r="E14989" s="2889" t="s">
        <v>217</v>
      </c>
      <c r="F14989" s="2890">
        <v>1.108503933920937E-2</v>
      </c>
      <c r="G14989" s="2890">
        <v>13.816686375189573</v>
      </c>
    </row>
    <row r="14990" spans="2:7" ht="15" hidden="1" outlineLevel="2">
      <c r="B14990" s="2889" t="s">
        <v>1652</v>
      </c>
      <c r="C14990" s="2889" t="s">
        <v>1576</v>
      </c>
      <c r="D14990" s="2889" t="s">
        <v>1559</v>
      </c>
      <c r="E14990" s="2889" t="s">
        <v>217</v>
      </c>
      <c r="F14990" s="2890">
        <v>1.1601445483541386E-2</v>
      </c>
      <c r="G14990" s="2890">
        <v>8.7943568215763896</v>
      </c>
    </row>
    <row r="14991" spans="2:7" ht="15" hidden="1" outlineLevel="2">
      <c r="B14991" s="2889" t="s">
        <v>1652</v>
      </c>
      <c r="C14991" s="2889" t="s">
        <v>1577</v>
      </c>
      <c r="D14991" s="2889" t="s">
        <v>1559</v>
      </c>
      <c r="E14991" s="2889" t="s">
        <v>217</v>
      </c>
      <c r="F14991" s="2890">
        <v>0.36394416270588015</v>
      </c>
      <c r="G14991" s="2890">
        <v>570.00982970278562</v>
      </c>
    </row>
    <row r="14992" spans="2:7" ht="15" hidden="1" outlineLevel="2">
      <c r="B14992" s="2889" t="s">
        <v>1652</v>
      </c>
      <c r="C14992" s="2889" t="s">
        <v>1578</v>
      </c>
      <c r="D14992" s="2889" t="s">
        <v>1559</v>
      </c>
      <c r="E14992" s="2889" t="s">
        <v>217</v>
      </c>
      <c r="F14992" s="2890">
        <v>8.1607757153999983E-37</v>
      </c>
      <c r="G14992" s="2890">
        <v>4.4696465880000001E-34</v>
      </c>
    </row>
    <row r="14993" spans="2:7" ht="15" hidden="1" outlineLevel="2">
      <c r="B14993" s="2889" t="s">
        <v>1652</v>
      </c>
      <c r="C14993" s="2889" t="s">
        <v>1579</v>
      </c>
      <c r="D14993" s="2889" t="s">
        <v>1559</v>
      </c>
      <c r="E14993" s="2889" t="s">
        <v>217</v>
      </c>
      <c r="F14993" s="2890">
        <v>1.04877300792E-32</v>
      </c>
      <c r="G14993" s="2890">
        <v>5.7291459939999999E-30</v>
      </c>
    </row>
    <row r="14994" spans="2:7" ht="15" hidden="1" outlineLevel="2">
      <c r="B14994" s="2889" t="s">
        <v>1652</v>
      </c>
      <c r="C14994" s="2889" t="s">
        <v>1580</v>
      </c>
      <c r="D14994" s="2889" t="s">
        <v>1559</v>
      </c>
      <c r="E14994" s="2889" t="s">
        <v>217</v>
      </c>
      <c r="F14994" s="2890">
        <v>0.13085901082179421</v>
      </c>
      <c r="G14994" s="2890">
        <v>166.14108081985549</v>
      </c>
    </row>
    <row r="14995" spans="2:7" ht="15" hidden="1" outlineLevel="2">
      <c r="B14995" s="2889" t="s">
        <v>1652</v>
      </c>
      <c r="C14995" s="2889" t="s">
        <v>1581</v>
      </c>
      <c r="D14995" s="2889" t="s">
        <v>1559</v>
      </c>
      <c r="E14995" s="2889" t="s">
        <v>217</v>
      </c>
      <c r="F14995" s="2890">
        <v>4.6479952528141237E-2</v>
      </c>
      <c r="G14995" s="2890">
        <v>65.854844091248836</v>
      </c>
    </row>
    <row r="14996" spans="2:7" ht="15" hidden="1" outlineLevel="2">
      <c r="B14996" s="2889" t="s">
        <v>1652</v>
      </c>
      <c r="C14996" s="2889" t="s">
        <v>1582</v>
      </c>
      <c r="D14996" s="2889" t="s">
        <v>1559</v>
      </c>
      <c r="E14996" s="2889" t="s">
        <v>217</v>
      </c>
      <c r="F14996" s="2890">
        <v>6.5513370320643111E-2</v>
      </c>
      <c r="G14996" s="2890">
        <v>74.956371908397784</v>
      </c>
    </row>
    <row r="14997" spans="2:7" ht="15" hidden="1" outlineLevel="2">
      <c r="B14997" s="2889" t="s">
        <v>1652</v>
      </c>
      <c r="C14997" s="2889" t="s">
        <v>1583</v>
      </c>
      <c r="D14997" s="2889" t="s">
        <v>1559</v>
      </c>
      <c r="E14997" s="2889" t="s">
        <v>217</v>
      </c>
      <c r="F14997" s="2890">
        <v>5.0487775528002182E-2</v>
      </c>
      <c r="G14997" s="2890">
        <v>34.904591494681355</v>
      </c>
    </row>
    <row r="14998" spans="2:7" ht="15" hidden="1" outlineLevel="2">
      <c r="B14998" s="2889" t="s">
        <v>1652</v>
      </c>
      <c r="C14998" s="2889" t="s">
        <v>1584</v>
      </c>
      <c r="D14998" s="2889" t="s">
        <v>1559</v>
      </c>
      <c r="E14998" s="2889" t="s">
        <v>217</v>
      </c>
      <c r="F14998" s="2890">
        <v>1.7498407621255379</v>
      </c>
      <c r="G14998" s="2890">
        <v>2227.0066210709383</v>
      </c>
    </row>
    <row r="14999" spans="2:7" ht="15" hidden="1" outlineLevel="2">
      <c r="B14999" s="2889" t="s">
        <v>1652</v>
      </c>
      <c r="C14999" s="2889" t="s">
        <v>1585</v>
      </c>
      <c r="D14999" s="2889" t="s">
        <v>1559</v>
      </c>
      <c r="E14999" s="2889" t="s">
        <v>217</v>
      </c>
      <c r="F14999" s="2890">
        <v>0.63155137013676532</v>
      </c>
      <c r="G14999" s="2890">
        <v>894.99592640877063</v>
      </c>
    </row>
    <row r="15000" spans="2:7" ht="15" hidden="1" outlineLevel="2">
      <c r="B15000" s="2889" t="s">
        <v>1652</v>
      </c>
      <c r="C15000" s="2889" t="s">
        <v>1586</v>
      </c>
      <c r="D15000" s="2889" t="s">
        <v>1559</v>
      </c>
      <c r="E15000" s="2889" t="s">
        <v>217</v>
      </c>
      <c r="F15000" s="2890">
        <v>7.1104884639037413E-2</v>
      </c>
      <c r="G15000" s="2890">
        <v>149.84093284011928</v>
      </c>
    </row>
    <row r="15001" spans="2:7" ht="15" hidden="1" outlineLevel="2">
      <c r="B15001" s="2889" t="s">
        <v>1652</v>
      </c>
      <c r="C15001" s="2889" t="s">
        <v>1587</v>
      </c>
      <c r="D15001" s="2889" t="s">
        <v>1559</v>
      </c>
      <c r="E15001" s="2889" t="s">
        <v>217</v>
      </c>
      <c r="F15001" s="2890">
        <v>1.9778568648833503</v>
      </c>
      <c r="G15001" s="2890">
        <v>2887.3139192750727</v>
      </c>
    </row>
    <row r="15002" spans="2:7" ht="15" hidden="1" outlineLevel="2">
      <c r="B15002" s="2889" t="s">
        <v>1652</v>
      </c>
      <c r="C15002" s="2889" t="s">
        <v>1588</v>
      </c>
      <c r="D15002" s="2889" t="s">
        <v>1559</v>
      </c>
      <c r="E15002" s="2889" t="s">
        <v>217</v>
      </c>
      <c r="F15002" s="2890">
        <v>0.1006360263666731</v>
      </c>
      <c r="G15002" s="2890">
        <v>78.883410923042575</v>
      </c>
    </row>
    <row r="15003" spans="2:7" ht="15" hidden="1" outlineLevel="2">
      <c r="B15003" s="2889" t="s">
        <v>1652</v>
      </c>
      <c r="C15003" s="2889" t="s">
        <v>1589</v>
      </c>
      <c r="D15003" s="2889" t="s">
        <v>1559</v>
      </c>
      <c r="E15003" s="2889" t="s">
        <v>217</v>
      </c>
      <c r="F15003" s="2890">
        <v>0.11263522195858032</v>
      </c>
      <c r="G15003" s="2890">
        <v>88.466132829560266</v>
      </c>
    </row>
    <row r="15004" spans="2:7" ht="15" hidden="1" outlineLevel="2">
      <c r="B15004" s="2889" t="s">
        <v>1652</v>
      </c>
      <c r="C15004" s="2889" t="s">
        <v>1590</v>
      </c>
      <c r="D15004" s="2889" t="s">
        <v>1559</v>
      </c>
      <c r="E15004" s="2889" t="s">
        <v>1420</v>
      </c>
      <c r="F15004" s="2890">
        <v>5.5722816767997405E-3</v>
      </c>
      <c r="G15004" s="2890">
        <v>49.707055611986291</v>
      </c>
    </row>
    <row r="15005" spans="2:7" ht="15" hidden="1" outlineLevel="2">
      <c r="B15005" s="2889" t="s">
        <v>1652</v>
      </c>
      <c r="C15005" s="2889" t="s">
        <v>1591</v>
      </c>
      <c r="D15005" s="2889" t="s">
        <v>1559</v>
      </c>
      <c r="E15005" s="2889" t="s">
        <v>1426</v>
      </c>
      <c r="F15005" s="2891"/>
      <c r="G15005" s="2890">
        <v>7.7268149243838666E-2</v>
      </c>
    </row>
    <row r="15006" spans="2:7" ht="15" hidden="1" outlineLevel="2">
      <c r="B15006" s="2889" t="s">
        <v>1652</v>
      </c>
      <c r="C15006" s="2889" t="s">
        <v>1592</v>
      </c>
      <c r="D15006" s="2889" t="s">
        <v>1559</v>
      </c>
      <c r="E15006" s="2889" t="s">
        <v>1426</v>
      </c>
      <c r="F15006" s="2891"/>
      <c r="G15006" s="2890">
        <v>2.6001288280000003E-29</v>
      </c>
    </row>
    <row r="15007" spans="2:7" ht="15" hidden="1" outlineLevel="2">
      <c r="B15007" s="2889" t="s">
        <v>1652</v>
      </c>
      <c r="C15007" s="2889" t="s">
        <v>1593</v>
      </c>
      <c r="D15007" s="2889" t="s">
        <v>1559</v>
      </c>
      <c r="E15007" s="2889" t="s">
        <v>1426</v>
      </c>
      <c r="F15007" s="2891"/>
      <c r="G15007" s="2890">
        <v>540.3214960693191</v>
      </c>
    </row>
    <row r="15008" spans="2:7" ht="15" hidden="1" outlineLevel="2">
      <c r="B15008" s="2889" t="s">
        <v>1652</v>
      </c>
      <c r="C15008" s="2889" t="s">
        <v>1594</v>
      </c>
      <c r="D15008" s="2889" t="s">
        <v>1559</v>
      </c>
      <c r="E15008" s="2889" t="s">
        <v>1426</v>
      </c>
      <c r="F15008" s="2891"/>
      <c r="G15008" s="2890">
        <v>111.50406738292817</v>
      </c>
    </row>
    <row r="15009" spans="2:7" ht="15" hidden="1" outlineLevel="2">
      <c r="B15009" s="2889" t="s">
        <v>1652</v>
      </c>
      <c r="C15009" s="2889" t="s">
        <v>1595</v>
      </c>
      <c r="D15009" s="2889" t="s">
        <v>1559</v>
      </c>
      <c r="E15009" s="2889" t="s">
        <v>1426</v>
      </c>
      <c r="F15009" s="2891"/>
      <c r="G15009" s="2890">
        <v>735.63337552004998</v>
      </c>
    </row>
    <row r="15010" spans="2:7" ht="15" hidden="1" outlineLevel="2">
      <c r="B15010" s="2889" t="s">
        <v>1652</v>
      </c>
      <c r="C15010" s="2889" t="s">
        <v>1596</v>
      </c>
      <c r="D15010" s="2889" t="s">
        <v>1559</v>
      </c>
      <c r="E15010" s="2889" t="s">
        <v>1426</v>
      </c>
      <c r="F15010" s="2891"/>
      <c r="G15010" s="2890">
        <v>86.737528034865477</v>
      </c>
    </row>
    <row r="15011" spans="2:7" ht="15" hidden="1" outlineLevel="2">
      <c r="B15011" s="2889" t="s">
        <v>1652</v>
      </c>
      <c r="C15011" s="2889" t="s">
        <v>1597</v>
      </c>
      <c r="D15011" s="2889" t="s">
        <v>1559</v>
      </c>
      <c r="E15011" s="2889" t="s">
        <v>1426</v>
      </c>
      <c r="F15011" s="2891"/>
      <c r="G15011" s="2890">
        <v>2.0661424734243501</v>
      </c>
    </row>
    <row r="15012" spans="2:7" ht="15" hidden="1" outlineLevel="2">
      <c r="B15012" s="2889" t="s">
        <v>1652</v>
      </c>
      <c r="C15012" s="2889" t="s">
        <v>1598</v>
      </c>
      <c r="D15012" s="2889" t="s">
        <v>1599</v>
      </c>
      <c r="E15012" s="2889" t="s">
        <v>217</v>
      </c>
      <c r="F15012" s="2890">
        <v>5.7404941087289191E-2</v>
      </c>
      <c r="G15012" s="2890">
        <v>33.194375606716576</v>
      </c>
    </row>
    <row r="15013" spans="2:7" ht="15" hidden="1" outlineLevel="2">
      <c r="B15013" s="2889" t="s">
        <v>1652</v>
      </c>
      <c r="C15013" s="2889" t="s">
        <v>1600</v>
      </c>
      <c r="D15013" s="2889" t="s">
        <v>1599</v>
      </c>
      <c r="E15013" s="2889" t="s">
        <v>217</v>
      </c>
      <c r="F15013" s="2890">
        <v>6.7107547458934796E-2</v>
      </c>
      <c r="G15013" s="2890">
        <v>74.742326799445806</v>
      </c>
    </row>
    <row r="15014" spans="2:7" ht="15" hidden="1" outlineLevel="2">
      <c r="B15014" s="2889" t="s">
        <v>1652</v>
      </c>
      <c r="C15014" s="2889" t="s">
        <v>1601</v>
      </c>
      <c r="D15014" s="2889" t="s">
        <v>1599</v>
      </c>
      <c r="E15014" s="2889" t="s">
        <v>217</v>
      </c>
      <c r="F15014" s="2890">
        <v>6.8835252685713023E-4</v>
      </c>
      <c r="G15014" s="2890">
        <v>0.8780533944369604</v>
      </c>
    </row>
    <row r="15015" spans="2:7" ht="15" hidden="1" outlineLevel="2">
      <c r="B15015" s="2889" t="s">
        <v>1652</v>
      </c>
      <c r="C15015" s="2889" t="s">
        <v>1602</v>
      </c>
      <c r="D15015" s="2889" t="s">
        <v>1599</v>
      </c>
      <c r="E15015" s="2889" t="s">
        <v>1426</v>
      </c>
      <c r="F15015" s="2891"/>
      <c r="G15015" s="2890">
        <v>994.66451391479893</v>
      </c>
    </row>
    <row r="15016" spans="2:7" ht="15" hidden="1" outlineLevel="2">
      <c r="B15016" s="2889" t="s">
        <v>1652</v>
      </c>
      <c r="C15016" s="2889" t="s">
        <v>1603</v>
      </c>
      <c r="D15016" s="2889" t="s">
        <v>1604</v>
      </c>
      <c r="E15016" s="2889" t="s">
        <v>217</v>
      </c>
      <c r="F15016" s="2890">
        <v>1.7136401028999999E-35</v>
      </c>
      <c r="G15016" s="2890">
        <v>1.9967684263999999E-32</v>
      </c>
    </row>
    <row r="15017" spans="2:7" ht="15" hidden="1" outlineLevel="2">
      <c r="B15017" s="2889" t="s">
        <v>1652</v>
      </c>
      <c r="C15017" s="2889" t="s">
        <v>1605</v>
      </c>
      <c r="D15017" s="2889" t="s">
        <v>1604</v>
      </c>
      <c r="E15017" s="2889" t="s">
        <v>1423</v>
      </c>
      <c r="F15017" s="2890">
        <v>3.1359396728E-33</v>
      </c>
      <c r="G15017" s="2890">
        <v>7.3524077000000003E-31</v>
      </c>
    </row>
    <row r="15018" spans="2:7" ht="15" hidden="1" outlineLevel="2">
      <c r="B15018" s="2889" t="s">
        <v>1652</v>
      </c>
      <c r="C15018" s="2889" t="s">
        <v>1606</v>
      </c>
      <c r="D15018" s="2889" t="s">
        <v>1604</v>
      </c>
      <c r="E15018" s="2889" t="s">
        <v>1426</v>
      </c>
      <c r="F15018" s="2891"/>
      <c r="G15018" s="2890">
        <v>7.9710240719999993E-32</v>
      </c>
    </row>
    <row r="15019" spans="2:7" ht="15" hidden="1" outlineLevel="2">
      <c r="B15019" s="2889" t="s">
        <v>1652</v>
      </c>
      <c r="C15019" s="2889" t="s">
        <v>1607</v>
      </c>
      <c r="D15019" s="2889" t="s">
        <v>1608</v>
      </c>
      <c r="E15019" s="2889" t="s">
        <v>217</v>
      </c>
      <c r="F15019" s="2890">
        <v>23.736735306350074</v>
      </c>
      <c r="G15019" s="2890">
        <v>19505.127604044599</v>
      </c>
    </row>
    <row r="15020" spans="2:7" ht="15" hidden="1" outlineLevel="2">
      <c r="B15020" s="2889" t="s">
        <v>1652</v>
      </c>
      <c r="C15020" s="2889" t="s">
        <v>1609</v>
      </c>
      <c r="D15020" s="2889" t="s">
        <v>1608</v>
      </c>
      <c r="E15020" s="2889" t="s">
        <v>217</v>
      </c>
      <c r="F15020" s="2890">
        <v>10.336082574179949</v>
      </c>
      <c r="G15020" s="2890">
        <v>8231.1171777936634</v>
      </c>
    </row>
    <row r="15021" spans="2:7" ht="15" hidden="1" outlineLevel="2">
      <c r="B15021" s="2889" t="s">
        <v>1652</v>
      </c>
      <c r="C15021" s="2889" t="s">
        <v>1610</v>
      </c>
      <c r="D15021" s="2889" t="s">
        <v>1608</v>
      </c>
      <c r="E15021" s="2889" t="s">
        <v>217</v>
      </c>
      <c r="F15021" s="2890">
        <v>6.9653800587568364</v>
      </c>
      <c r="G15021" s="2890">
        <v>10865.572704358185</v>
      </c>
    </row>
    <row r="15022" spans="2:7" ht="15" hidden="1" outlineLevel="2">
      <c r="B15022" s="2889" t="s">
        <v>1652</v>
      </c>
      <c r="C15022" s="2889" t="s">
        <v>1611</v>
      </c>
      <c r="D15022" s="2889" t="s">
        <v>1608</v>
      </c>
      <c r="E15022" s="2889" t="s">
        <v>1612</v>
      </c>
      <c r="F15022" s="2891"/>
      <c r="G15022" s="2890">
        <v>9674.3279153801304</v>
      </c>
    </row>
    <row r="15023" spans="2:7" ht="15" hidden="1" outlineLevel="2">
      <c r="B15023" s="2889" t="s">
        <v>1652</v>
      </c>
      <c r="C15023" s="2889" t="s">
        <v>1613</v>
      </c>
      <c r="D15023" s="2889" t="s">
        <v>1608</v>
      </c>
      <c r="E15023" s="2889" t="s">
        <v>1612</v>
      </c>
      <c r="F15023" s="2891"/>
      <c r="G15023" s="2890">
        <v>45.679042856475512</v>
      </c>
    </row>
    <row r="15024" spans="2:7" ht="15" hidden="1" outlineLevel="2">
      <c r="B15024" s="2889" t="s">
        <v>1652</v>
      </c>
      <c r="C15024" s="2889" t="s">
        <v>1614</v>
      </c>
      <c r="D15024" s="2889" t="s">
        <v>1615</v>
      </c>
      <c r="E15024" s="2889" t="s">
        <v>1426</v>
      </c>
      <c r="F15024" s="2891"/>
      <c r="G15024" s="2890">
        <v>1.8185952544074</v>
      </c>
    </row>
    <row r="15025" spans="2:7" ht="15" hidden="1" outlineLevel="2">
      <c r="B15025" s="2889" t="s">
        <v>1652</v>
      </c>
      <c r="C15025" s="2889" t="s">
        <v>1616</v>
      </c>
      <c r="D15025" s="2889" t="s">
        <v>1615</v>
      </c>
      <c r="E15025" s="2889" t="s">
        <v>217</v>
      </c>
      <c r="F15025" s="2890">
        <v>5.7322654772868091E-5</v>
      </c>
      <c r="G15025" s="2890">
        <v>7.7888305185286236E-2</v>
      </c>
    </row>
    <row r="15026" spans="2:7" ht="15" hidden="1" outlineLevel="2">
      <c r="B15026" s="2889" t="s">
        <v>1652</v>
      </c>
      <c r="C15026" s="2889" t="s">
        <v>1617</v>
      </c>
      <c r="D15026" s="2889" t="s">
        <v>1615</v>
      </c>
      <c r="E15026" s="2889" t="s">
        <v>1420</v>
      </c>
      <c r="F15026" s="2890">
        <v>9.1570708747803962E-7</v>
      </c>
      <c r="G15026" s="2890">
        <v>2.650615789343802E-3</v>
      </c>
    </row>
    <row r="15027" spans="2:7" ht="15" hidden="1" outlineLevel="2">
      <c r="B15027" s="2889" t="s">
        <v>1652</v>
      </c>
      <c r="C15027" s="2889" t="s">
        <v>1618</v>
      </c>
      <c r="D15027" s="2889" t="s">
        <v>1619</v>
      </c>
      <c r="E15027" s="2889" t="s">
        <v>217</v>
      </c>
      <c r="F15027" s="2890">
        <v>1.8819082221943775</v>
      </c>
      <c r="G15027" s="2890">
        <v>477.11495593981999</v>
      </c>
    </row>
    <row r="15028" spans="2:7" ht="15" hidden="1" outlineLevel="2">
      <c r="B15028" s="2889" t="s">
        <v>1652</v>
      </c>
      <c r="C15028" s="2889" t="s">
        <v>1620</v>
      </c>
      <c r="D15028" s="2889" t="s">
        <v>1619</v>
      </c>
      <c r="E15028" s="2889" t="s">
        <v>217</v>
      </c>
      <c r="F15028" s="2890">
        <v>2.0888774499999998E-33</v>
      </c>
      <c r="G15028" s="2890">
        <v>2.5436905559999998E-30</v>
      </c>
    </row>
    <row r="15029" spans="2:7" ht="15" hidden="1" outlineLevel="2">
      <c r="B15029" s="2889" t="s">
        <v>1652</v>
      </c>
      <c r="C15029" s="2889" t="s">
        <v>1621</v>
      </c>
      <c r="D15029" s="2889" t="s">
        <v>1619</v>
      </c>
      <c r="E15029" s="2889" t="s">
        <v>217</v>
      </c>
      <c r="F15029" s="2890">
        <v>2.0157752595077456</v>
      </c>
      <c r="G15029" s="2890">
        <v>550.91278721908009</v>
      </c>
    </row>
    <row r="15030" spans="2:7" ht="15" hidden="1" outlineLevel="2">
      <c r="B15030" s="2889" t="s">
        <v>1652</v>
      </c>
      <c r="C15030" s="2889" t="s">
        <v>1622</v>
      </c>
      <c r="D15030" s="2889" t="s">
        <v>1619</v>
      </c>
      <c r="E15030" s="2889" t="s">
        <v>217</v>
      </c>
      <c r="F15030" s="2890">
        <v>0.12908065053309148</v>
      </c>
      <c r="G15030" s="2890">
        <v>141.6394103892313</v>
      </c>
    </row>
    <row r="15031" spans="2:7" ht="15" hidden="1" outlineLevel="2">
      <c r="B15031" s="2889" t="s">
        <v>1652</v>
      </c>
      <c r="C15031" s="2889" t="s">
        <v>1623</v>
      </c>
      <c r="D15031" s="2889" t="s">
        <v>1619</v>
      </c>
      <c r="E15031" s="2889" t="s">
        <v>217</v>
      </c>
      <c r="F15031" s="2890">
        <v>0.3308374751944041</v>
      </c>
      <c r="G15031" s="2890">
        <v>230.54722731669617</v>
      </c>
    </row>
    <row r="15032" spans="2:7" ht="15" hidden="1" outlineLevel="2">
      <c r="B15032" s="2889" t="s">
        <v>1652</v>
      </c>
      <c r="C15032" s="2889" t="s">
        <v>1624</v>
      </c>
      <c r="D15032" s="2889" t="s">
        <v>1619</v>
      </c>
      <c r="E15032" s="2889" t="s">
        <v>217</v>
      </c>
      <c r="F15032" s="2890">
        <v>2.8645550247846936</v>
      </c>
      <c r="G15032" s="2890">
        <v>2457.33575153726</v>
      </c>
    </row>
    <row r="15033" spans="2:7" ht="15" hidden="1" outlineLevel="2">
      <c r="B15033" s="2889" t="s">
        <v>1652</v>
      </c>
      <c r="C15033" s="2889" t="s">
        <v>1625</v>
      </c>
      <c r="D15033" s="2889" t="s">
        <v>1619</v>
      </c>
      <c r="E15033" s="2889" t="s">
        <v>217</v>
      </c>
      <c r="F15033" s="2890">
        <v>0.66319356519115358</v>
      </c>
      <c r="G15033" s="2890">
        <v>863.30920182332113</v>
      </c>
    </row>
    <row r="15034" spans="2:7" ht="15" hidden="1" outlineLevel="2">
      <c r="B15034" s="2889" t="s">
        <v>1652</v>
      </c>
      <c r="C15034" s="2889" t="s">
        <v>1626</v>
      </c>
      <c r="D15034" s="2889" t="s">
        <v>1619</v>
      </c>
      <c r="E15034" s="2889" t="s">
        <v>217</v>
      </c>
      <c r="F15034" s="2890">
        <v>0.17495593324540323</v>
      </c>
      <c r="G15034" s="2890">
        <v>138.20751017470454</v>
      </c>
    </row>
    <row r="15035" spans="2:7" ht="15" hidden="1" outlineLevel="2">
      <c r="B15035" s="2889" t="s">
        <v>1652</v>
      </c>
      <c r="C15035" s="2889" t="s">
        <v>1627</v>
      </c>
      <c r="D15035" s="2889" t="s">
        <v>1619</v>
      </c>
      <c r="E15035" s="2889" t="s">
        <v>1420</v>
      </c>
      <c r="F15035" s="2890">
        <v>5.7216187382967583E-3</v>
      </c>
      <c r="G15035" s="2890">
        <v>9.5589829727909787</v>
      </c>
    </row>
    <row r="15036" spans="2:7" ht="15" hidden="1" outlineLevel="2">
      <c r="B15036" s="2889" t="s">
        <v>1652</v>
      </c>
      <c r="C15036" s="2889" t="s">
        <v>1628</v>
      </c>
      <c r="D15036" s="2889" t="s">
        <v>1619</v>
      </c>
      <c r="E15036" s="2889" t="s">
        <v>1426</v>
      </c>
      <c r="F15036" s="2891"/>
      <c r="G15036" s="2890">
        <v>189.45830064831205</v>
      </c>
    </row>
    <row r="15037" spans="2:7" ht="15" hidden="1" outlineLevel="2">
      <c r="B15037" s="2889" t="s">
        <v>1652</v>
      </c>
      <c r="C15037" s="2889" t="s">
        <v>1629</v>
      </c>
      <c r="D15037" s="2889" t="s">
        <v>1630</v>
      </c>
      <c r="E15037" s="2889" t="s">
        <v>1426</v>
      </c>
      <c r="F15037" s="2891"/>
      <c r="G15037" s="2890">
        <v>3.3823720964000013E-29</v>
      </c>
    </row>
    <row r="15038" spans="2:7" ht="15" outlineLevel="1" collapsed="1">
      <c r="B15038" s="3042" t="s">
        <v>1722</v>
      </c>
      <c r="C15038" s="2889"/>
      <c r="D15038" s="2889"/>
      <c r="E15038" s="2889"/>
      <c r="F15038" s="2891">
        <f>SUBTOTAL(9,F14827:F15037)</f>
        <v>63.214354960120566</v>
      </c>
      <c r="G15038" s="2890">
        <f>SUBTOTAL(9,G14827:G15037)</f>
        <v>113224.52337846957</v>
      </c>
    </row>
    <row r="15039" spans="2:7" ht="15" hidden="1" outlineLevel="2">
      <c r="B15039" s="2889" t="s">
        <v>1653</v>
      </c>
      <c r="C15039" s="2889" t="s">
        <v>1408</v>
      </c>
      <c r="D15039" s="2889" t="s">
        <v>197</v>
      </c>
      <c r="E15039" s="2889" t="s">
        <v>217</v>
      </c>
      <c r="F15039" s="2890">
        <v>6.7325372663441813E-35</v>
      </c>
      <c r="G15039" s="2890">
        <v>3.4215421049509254E-32</v>
      </c>
    </row>
    <row r="15040" spans="2:7" ht="15" hidden="1" outlineLevel="2">
      <c r="B15040" s="2889" t="s">
        <v>1653</v>
      </c>
      <c r="C15040" s="2889" t="s">
        <v>1409</v>
      </c>
      <c r="D15040" s="2889" t="s">
        <v>197</v>
      </c>
      <c r="E15040" s="2889" t="s">
        <v>217</v>
      </c>
      <c r="F15040" s="2890">
        <v>3.2053891469483028E-35</v>
      </c>
      <c r="G15040" s="2890">
        <v>4.5034053800298448E-32</v>
      </c>
    </row>
    <row r="15041" spans="2:7" ht="15" hidden="1" outlineLevel="2">
      <c r="B15041" s="2889" t="s">
        <v>1653</v>
      </c>
      <c r="C15041" s="2889" t="s">
        <v>1410</v>
      </c>
      <c r="D15041" s="2889" t="s">
        <v>197</v>
      </c>
      <c r="E15041" s="2889" t="s">
        <v>217</v>
      </c>
      <c r="F15041" s="2890">
        <v>3.6466111776779181E-34</v>
      </c>
      <c r="G15041" s="2890">
        <v>2.0506426766045641E-30</v>
      </c>
    </row>
    <row r="15042" spans="2:7" ht="15" hidden="1" outlineLevel="2">
      <c r="B15042" s="2889" t="s">
        <v>1653</v>
      </c>
      <c r="C15042" s="2889" t="s">
        <v>1411</v>
      </c>
      <c r="D15042" s="2889" t="s">
        <v>197</v>
      </c>
      <c r="E15042" s="2889" t="s">
        <v>217</v>
      </c>
      <c r="F15042" s="2890">
        <v>1.25115406112099E-40</v>
      </c>
      <c r="G15042" s="2890">
        <v>1.6424750101005877E-37</v>
      </c>
    </row>
    <row r="15043" spans="2:7" ht="15" hidden="1" outlineLevel="2">
      <c r="B15043" s="2889" t="s">
        <v>1653</v>
      </c>
      <c r="C15043" s="2889" t="s">
        <v>1412</v>
      </c>
      <c r="D15043" s="2889" t="s">
        <v>197</v>
      </c>
      <c r="E15043" s="2889" t="s">
        <v>217</v>
      </c>
      <c r="F15043" s="2890">
        <v>1.0678882109993598E-36</v>
      </c>
      <c r="G15043" s="2890">
        <v>1.3999479659600153E-33</v>
      </c>
    </row>
    <row r="15044" spans="2:7" ht="15" hidden="1" outlineLevel="2">
      <c r="B15044" s="2889" t="s">
        <v>1653</v>
      </c>
      <c r="C15044" s="2889" t="s">
        <v>1413</v>
      </c>
      <c r="D15044" s="2889" t="s">
        <v>197</v>
      </c>
      <c r="E15044" s="2889" t="s">
        <v>217</v>
      </c>
      <c r="F15044" s="2890">
        <v>1.2721410398433914E-35</v>
      </c>
      <c r="G15044" s="2890">
        <v>1.4837036410084692E-32</v>
      </c>
    </row>
    <row r="15045" spans="2:7" ht="15" hidden="1" outlineLevel="2">
      <c r="B15045" s="2889" t="s">
        <v>1653</v>
      </c>
      <c r="C15045" s="2889" t="s">
        <v>1414</v>
      </c>
      <c r="D15045" s="2889" t="s">
        <v>197</v>
      </c>
      <c r="E15045" s="2889" t="s">
        <v>217</v>
      </c>
      <c r="F15045" s="2890">
        <v>1.6597304970493812E-33</v>
      </c>
      <c r="G15045" s="2890">
        <v>2.1675830777834775E-30</v>
      </c>
    </row>
    <row r="15046" spans="2:7" ht="15" hidden="1" outlineLevel="2">
      <c r="B15046" s="2889" t="s">
        <v>1653</v>
      </c>
      <c r="C15046" s="2889" t="s">
        <v>1415</v>
      </c>
      <c r="D15046" s="2889" t="s">
        <v>197</v>
      </c>
      <c r="E15046" s="2889" t="s">
        <v>217</v>
      </c>
      <c r="F15046" s="2890">
        <v>3.2387271652855731E-33</v>
      </c>
      <c r="G15046" s="2890">
        <v>2.1925866068221845E-30</v>
      </c>
    </row>
    <row r="15047" spans="2:7" ht="15" hidden="1" outlineLevel="2">
      <c r="B15047" s="2889" t="s">
        <v>1653</v>
      </c>
      <c r="C15047" s="2889" t="s">
        <v>1416</v>
      </c>
      <c r="D15047" s="2889" t="s">
        <v>197</v>
      </c>
      <c r="E15047" s="2889" t="s">
        <v>217</v>
      </c>
      <c r="F15047" s="2890">
        <v>1.7007358932577879E-34</v>
      </c>
      <c r="G15047" s="2890">
        <v>2.2295797325932862E-31</v>
      </c>
    </row>
    <row r="15048" spans="2:7" ht="15" hidden="1" outlineLevel="2">
      <c r="B15048" s="2889" t="s">
        <v>1653</v>
      </c>
      <c r="C15048" s="2889" t="s">
        <v>1417</v>
      </c>
      <c r="D15048" s="2889" t="s">
        <v>197</v>
      </c>
      <c r="E15048" s="2889" t="s">
        <v>217</v>
      </c>
      <c r="F15048" s="2890">
        <v>2.3561475446602918E-34</v>
      </c>
      <c r="G15048" s="2890">
        <v>2.6850061911512384E-31</v>
      </c>
    </row>
    <row r="15049" spans="2:7" ht="15" hidden="1" outlineLevel="2">
      <c r="B15049" s="2889" t="s">
        <v>1653</v>
      </c>
      <c r="C15049" s="2889" t="s">
        <v>1418</v>
      </c>
      <c r="D15049" s="2889" t="s">
        <v>197</v>
      </c>
      <c r="E15049" s="2889" t="s">
        <v>217</v>
      </c>
      <c r="F15049" s="2890">
        <v>1.5305193420695929E-34</v>
      </c>
      <c r="G15049" s="2890">
        <v>4.470290073252037E-31</v>
      </c>
    </row>
    <row r="15050" spans="2:7" ht="15" hidden="1" outlineLevel="2">
      <c r="B15050" s="2889" t="s">
        <v>1653</v>
      </c>
      <c r="C15050" s="2889" t="s">
        <v>1419</v>
      </c>
      <c r="D15050" s="2889" t="s">
        <v>197</v>
      </c>
      <c r="E15050" s="2889" t="s">
        <v>1420</v>
      </c>
      <c r="F15050" s="2890">
        <v>2.6379085957552315E-36</v>
      </c>
      <c r="G15050" s="2890">
        <v>4.1915162723227706E-33</v>
      </c>
    </row>
    <row r="15051" spans="2:7" ht="15" hidden="1" outlineLevel="2">
      <c r="B15051" s="2889" t="s">
        <v>1653</v>
      </c>
      <c r="C15051" s="2889" t="s">
        <v>1421</v>
      </c>
      <c r="D15051" s="2889" t="s">
        <v>197</v>
      </c>
      <c r="E15051" s="2889" t="s">
        <v>1420</v>
      </c>
      <c r="F15051" s="2890">
        <v>5.5019376952036936E-37</v>
      </c>
      <c r="G15051" s="2890">
        <v>5.7984014727762259E-33</v>
      </c>
    </row>
    <row r="15052" spans="2:7" ht="15" hidden="1" outlineLevel="2">
      <c r="B15052" s="2889" t="s">
        <v>1653</v>
      </c>
      <c r="C15052" s="2889" t="s">
        <v>1422</v>
      </c>
      <c r="D15052" s="2889" t="s">
        <v>197</v>
      </c>
      <c r="E15052" s="2889" t="s">
        <v>1423</v>
      </c>
      <c r="F15052" s="2890">
        <v>4.200799385365748E-34</v>
      </c>
      <c r="G15052" s="2890">
        <v>4.4047226276265358E-33</v>
      </c>
    </row>
    <row r="15053" spans="2:7" ht="15" hidden="1" outlineLevel="2">
      <c r="B15053" s="2889" t="s">
        <v>1653</v>
      </c>
      <c r="C15053" s="2889" t="s">
        <v>1424</v>
      </c>
      <c r="D15053" s="2889" t="s">
        <v>197</v>
      </c>
      <c r="E15053" s="2889" t="s">
        <v>1423</v>
      </c>
      <c r="F15053" s="2890">
        <v>2.6369596790981116E-35</v>
      </c>
      <c r="G15053" s="2890">
        <v>2.7641370213079294E-34</v>
      </c>
    </row>
    <row r="15054" spans="2:7" ht="15" hidden="1" outlineLevel="2">
      <c r="B15054" s="2889" t="s">
        <v>1653</v>
      </c>
      <c r="C15054" s="2889" t="s">
        <v>1425</v>
      </c>
      <c r="D15054" s="2889" t="s">
        <v>197</v>
      </c>
      <c r="E15054" s="2889" t="s">
        <v>1426</v>
      </c>
      <c r="F15054" s="2891"/>
      <c r="G15054" s="2890">
        <v>5.4461997501739343E-36</v>
      </c>
    </row>
    <row r="15055" spans="2:7" ht="15" hidden="1" outlineLevel="2">
      <c r="B15055" s="2889" t="s">
        <v>1653</v>
      </c>
      <c r="C15055" s="2889" t="s">
        <v>1427</v>
      </c>
      <c r="D15055" s="2889" t="s">
        <v>197</v>
      </c>
      <c r="E15055" s="2889" t="s">
        <v>1426</v>
      </c>
      <c r="F15055" s="2891"/>
      <c r="G15055" s="2890">
        <v>4.8596835975054899E-28</v>
      </c>
    </row>
    <row r="15056" spans="2:7" ht="15" hidden="1" outlineLevel="2">
      <c r="B15056" s="2889" t="s">
        <v>1653</v>
      </c>
      <c r="C15056" s="2889" t="s">
        <v>1428</v>
      </c>
      <c r="D15056" s="2889" t="s">
        <v>197</v>
      </c>
      <c r="E15056" s="2889" t="s">
        <v>1426</v>
      </c>
      <c r="F15056" s="2891"/>
      <c r="G15056" s="2890">
        <v>1.0979987026936561E-28</v>
      </c>
    </row>
    <row r="15057" spans="2:7" ht="15" hidden="1" outlineLevel="2">
      <c r="B15057" s="2889" t="s">
        <v>1653</v>
      </c>
      <c r="C15057" s="2889" t="s">
        <v>1429</v>
      </c>
      <c r="D15057" s="2889" t="s">
        <v>197</v>
      </c>
      <c r="E15057" s="2889" t="s">
        <v>1426</v>
      </c>
      <c r="F15057" s="2891"/>
      <c r="G15057" s="2890">
        <v>5.6168157526635201E-32</v>
      </c>
    </row>
    <row r="15058" spans="2:7" ht="15" hidden="1" outlineLevel="2">
      <c r="B15058" s="2889" t="s">
        <v>1653</v>
      </c>
      <c r="C15058" s="2889" t="s">
        <v>1430</v>
      </c>
      <c r="D15058" s="2889" t="s">
        <v>197</v>
      </c>
      <c r="E15058" s="2889" t="s">
        <v>1426</v>
      </c>
      <c r="F15058" s="2891"/>
      <c r="G15058" s="2890">
        <v>3.5778994380424386E-35</v>
      </c>
    </row>
    <row r="15059" spans="2:7" ht="15" hidden="1" outlineLevel="2">
      <c r="B15059" s="2889" t="s">
        <v>1653</v>
      </c>
      <c r="C15059" s="2889" t="s">
        <v>1431</v>
      </c>
      <c r="D15059" s="2889" t="s">
        <v>197</v>
      </c>
      <c r="E15059" s="2889" t="s">
        <v>1426</v>
      </c>
      <c r="F15059" s="2891"/>
      <c r="G15059" s="2890">
        <v>3.7452592939091155E-31</v>
      </c>
    </row>
    <row r="15060" spans="2:7" ht="15" hidden="1" outlineLevel="2">
      <c r="B15060" s="2889" t="s">
        <v>1653</v>
      </c>
      <c r="C15060" s="2889" t="s">
        <v>1432</v>
      </c>
      <c r="D15060" s="2889" t="s">
        <v>197</v>
      </c>
      <c r="E15060" s="2889" t="s">
        <v>1426</v>
      </c>
      <c r="F15060" s="2891"/>
      <c r="G15060" s="2890">
        <v>1.0268559227017843E-34</v>
      </c>
    </row>
    <row r="15061" spans="2:7" ht="15" hidden="1" outlineLevel="2">
      <c r="B15061" s="2889" t="s">
        <v>1653</v>
      </c>
      <c r="C15061" s="2889" t="s">
        <v>1433</v>
      </c>
      <c r="D15061" s="2889" t="s">
        <v>197</v>
      </c>
      <c r="E15061" s="2889" t="s">
        <v>1426</v>
      </c>
      <c r="F15061" s="2891"/>
      <c r="G15061" s="2890">
        <v>1.3029741115138325E-30</v>
      </c>
    </row>
    <row r="15062" spans="2:7" ht="15" hidden="1" outlineLevel="2">
      <c r="B15062" s="2889" t="s">
        <v>1653</v>
      </c>
      <c r="C15062" s="2889" t="s">
        <v>1434</v>
      </c>
      <c r="D15062" s="2889" t="s">
        <v>197</v>
      </c>
      <c r="E15062" s="2889" t="s">
        <v>1426</v>
      </c>
      <c r="F15062" s="2891"/>
      <c r="G15062" s="2890">
        <v>1.540882820570414E-32</v>
      </c>
    </row>
    <row r="15063" spans="2:7" ht="15" hidden="1" outlineLevel="2">
      <c r="B15063" s="2889" t="s">
        <v>1653</v>
      </c>
      <c r="C15063" s="2889" t="s">
        <v>1435</v>
      </c>
      <c r="D15063" s="2889" t="s">
        <v>197</v>
      </c>
      <c r="E15063" s="2889" t="s">
        <v>1426</v>
      </c>
      <c r="F15063" s="2891"/>
      <c r="G15063" s="2890">
        <v>1.8693729389601288E-30</v>
      </c>
    </row>
    <row r="15064" spans="2:7" ht="15" hidden="1" outlineLevel="2">
      <c r="B15064" s="2889" t="s">
        <v>1653</v>
      </c>
      <c r="C15064" s="2889" t="s">
        <v>1436</v>
      </c>
      <c r="D15064" s="2889" t="s">
        <v>1437</v>
      </c>
      <c r="E15064" s="2889" t="s">
        <v>217</v>
      </c>
      <c r="F15064" s="2890">
        <v>2.0593414926510195E-34</v>
      </c>
      <c r="G15064" s="2890">
        <v>1.3405188215545494E-30</v>
      </c>
    </row>
    <row r="15065" spans="2:7" ht="15" hidden="1" outlineLevel="2">
      <c r="B15065" s="2889" t="s">
        <v>1653</v>
      </c>
      <c r="C15065" s="2889" t="s">
        <v>1438</v>
      </c>
      <c r="D15065" s="2889" t="s">
        <v>1437</v>
      </c>
      <c r="E15065" s="2889" t="s">
        <v>1420</v>
      </c>
      <c r="F15065" s="2890">
        <v>1.6645027218787266E-36</v>
      </c>
      <c r="G15065" s="2890">
        <v>2.4044512537756401E-32</v>
      </c>
    </row>
    <row r="15066" spans="2:7" ht="15" hidden="1" outlineLevel="2">
      <c r="B15066" s="2889" t="s">
        <v>1653</v>
      </c>
      <c r="C15066" s="2889" t="s">
        <v>1439</v>
      </c>
      <c r="D15066" s="2889" t="s">
        <v>1437</v>
      </c>
      <c r="E15066" s="2889" t="s">
        <v>1426</v>
      </c>
      <c r="F15066" s="2891"/>
      <c r="G15066" s="2890">
        <v>2.4695875283605399E-28</v>
      </c>
    </row>
    <row r="15067" spans="2:7" ht="15" hidden="1" outlineLevel="2">
      <c r="B15067" s="2889" t="s">
        <v>1653</v>
      </c>
      <c r="C15067" s="2889" t="s">
        <v>1440</v>
      </c>
      <c r="D15067" s="2889" t="s">
        <v>1105</v>
      </c>
      <c r="E15067" s="2889" t="s">
        <v>217</v>
      </c>
      <c r="F15067" s="2890">
        <v>7.2109381319057142E-2</v>
      </c>
      <c r="G15067" s="2890">
        <v>35.735070784261353</v>
      </c>
    </row>
    <row r="15068" spans="2:7" ht="15" hidden="1" outlineLevel="2">
      <c r="B15068" s="2889" t="s">
        <v>1653</v>
      </c>
      <c r="C15068" s="2889" t="s">
        <v>1441</v>
      </c>
      <c r="D15068" s="2889" t="s">
        <v>1105</v>
      </c>
      <c r="E15068" s="2889" t="s">
        <v>217</v>
      </c>
      <c r="F15068" s="2890">
        <v>0.46077539801993883</v>
      </c>
      <c r="G15068" s="2890">
        <v>238.41295507060883</v>
      </c>
    </row>
    <row r="15069" spans="2:7" ht="15" hidden="1" outlineLevel="2">
      <c r="B15069" s="2889" t="s">
        <v>1653</v>
      </c>
      <c r="C15069" s="2889" t="s">
        <v>1442</v>
      </c>
      <c r="D15069" s="2889" t="s">
        <v>1105</v>
      </c>
      <c r="E15069" s="2889" t="s">
        <v>217</v>
      </c>
      <c r="F15069" s="2890">
        <v>2.0510602594091495E-4</v>
      </c>
      <c r="G15069" s="2890">
        <v>9.1948527770279481E-2</v>
      </c>
    </row>
    <row r="15070" spans="2:7" ht="15" hidden="1" outlineLevel="2">
      <c r="B15070" s="2889" t="s">
        <v>1653</v>
      </c>
      <c r="C15070" s="2889" t="s">
        <v>1443</v>
      </c>
      <c r="D15070" s="2889" t="s">
        <v>1105</v>
      </c>
      <c r="E15070" s="2889" t="s">
        <v>217</v>
      </c>
      <c r="F15070" s="2890">
        <v>3.2273026226865057E-3</v>
      </c>
      <c r="G15070" s="2890">
        <v>1.4467931290374436</v>
      </c>
    </row>
    <row r="15071" spans="2:7" ht="15" hidden="1" outlineLevel="2">
      <c r="B15071" s="2889" t="s">
        <v>1653</v>
      </c>
      <c r="C15071" s="2889" t="s">
        <v>1444</v>
      </c>
      <c r="D15071" s="2889" t="s">
        <v>1105</v>
      </c>
      <c r="E15071" s="2889" t="s">
        <v>217</v>
      </c>
      <c r="F15071" s="2890">
        <v>6.1180506136403068</v>
      </c>
      <c r="G15071" s="2890">
        <v>7355.8860654933478</v>
      </c>
    </row>
    <row r="15072" spans="2:7" ht="15" hidden="1" outlineLevel="2">
      <c r="B15072" s="2889" t="s">
        <v>1653</v>
      </c>
      <c r="C15072" s="2889" t="s">
        <v>1445</v>
      </c>
      <c r="D15072" s="2889" t="s">
        <v>1105</v>
      </c>
      <c r="E15072" s="2889" t="s">
        <v>217</v>
      </c>
      <c r="F15072" s="2890">
        <v>1.3168854816368287</v>
      </c>
      <c r="G15072" s="2890">
        <v>1840.7379650521693</v>
      </c>
    </row>
    <row r="15073" spans="2:7" ht="15" hidden="1" outlineLevel="2">
      <c r="B15073" s="2889" t="s">
        <v>1653</v>
      </c>
      <c r="C15073" s="2889" t="s">
        <v>1446</v>
      </c>
      <c r="D15073" s="2889" t="s">
        <v>1105</v>
      </c>
      <c r="E15073" s="2889" t="s">
        <v>217</v>
      </c>
      <c r="F15073" s="2890">
        <v>0.60787476836765519</v>
      </c>
      <c r="G15073" s="2890">
        <v>976.12844458231825</v>
      </c>
    </row>
    <row r="15074" spans="2:7" ht="15" hidden="1" outlineLevel="2">
      <c r="B15074" s="2889" t="s">
        <v>1653</v>
      </c>
      <c r="C15074" s="2889" t="s">
        <v>1447</v>
      </c>
      <c r="D15074" s="2889" t="s">
        <v>1105</v>
      </c>
      <c r="E15074" s="2889" t="s">
        <v>217</v>
      </c>
      <c r="F15074" s="2890">
        <v>1.4007102895760024</v>
      </c>
      <c r="G15074" s="2890">
        <v>2094.4194370128689</v>
      </c>
    </row>
    <row r="15075" spans="2:7" ht="15" hidden="1" outlineLevel="2">
      <c r="B15075" s="2889" t="s">
        <v>1653</v>
      </c>
      <c r="C15075" s="2889" t="s">
        <v>1448</v>
      </c>
      <c r="D15075" s="2889" t="s">
        <v>1105</v>
      </c>
      <c r="E15075" s="2889" t="s">
        <v>217</v>
      </c>
      <c r="F15075" s="2890">
        <v>2.6454950497395657</v>
      </c>
      <c r="G15075" s="2890">
        <v>3299.5742241188864</v>
      </c>
    </row>
    <row r="15076" spans="2:7" ht="15" hidden="1" outlineLevel="2">
      <c r="B15076" s="2889" t="s">
        <v>1653</v>
      </c>
      <c r="C15076" s="2889" t="s">
        <v>1449</v>
      </c>
      <c r="D15076" s="2889" t="s">
        <v>1105</v>
      </c>
      <c r="E15076" s="2889" t="s">
        <v>217</v>
      </c>
      <c r="F15076" s="2890">
        <v>0.11262397568025019</v>
      </c>
      <c r="G15076" s="2890">
        <v>155.19359822644017</v>
      </c>
    </row>
    <row r="15077" spans="2:7" ht="15" hidden="1" outlineLevel="2">
      <c r="B15077" s="2889" t="s">
        <v>1653</v>
      </c>
      <c r="C15077" s="2889" t="s">
        <v>1450</v>
      </c>
      <c r="D15077" s="2889" t="s">
        <v>1105</v>
      </c>
      <c r="E15077" s="2889" t="s">
        <v>1420</v>
      </c>
      <c r="F15077" s="2890">
        <v>0.35600685864437548</v>
      </c>
      <c r="G15077" s="2890">
        <v>978.73633851137288</v>
      </c>
    </row>
    <row r="15078" spans="2:7" ht="15" hidden="1" outlineLevel="2">
      <c r="B15078" s="2889" t="s">
        <v>1653</v>
      </c>
      <c r="C15078" s="2889" t="s">
        <v>1451</v>
      </c>
      <c r="D15078" s="2889" t="s">
        <v>1105</v>
      </c>
      <c r="E15078" s="2889" t="s">
        <v>1420</v>
      </c>
      <c r="F15078" s="2890">
        <v>5.1688382856910568E-2</v>
      </c>
      <c r="G15078" s="2890">
        <v>217.9985297460419</v>
      </c>
    </row>
    <row r="15079" spans="2:7" ht="15" hidden="1" outlineLevel="2">
      <c r="B15079" s="2889" t="s">
        <v>1653</v>
      </c>
      <c r="C15079" s="2889" t="s">
        <v>1452</v>
      </c>
      <c r="D15079" s="2889" t="s">
        <v>1105</v>
      </c>
      <c r="E15079" s="2889" t="s">
        <v>1420</v>
      </c>
      <c r="F15079" s="2890">
        <v>3.8240056055927264E-2</v>
      </c>
      <c r="G15079" s="2890">
        <v>255.53358683384806</v>
      </c>
    </row>
    <row r="15080" spans="2:7" ht="15" hidden="1" outlineLevel="2">
      <c r="B15080" s="2889" t="s">
        <v>1653</v>
      </c>
      <c r="C15080" s="2889" t="s">
        <v>1453</v>
      </c>
      <c r="D15080" s="2889" t="s">
        <v>1105</v>
      </c>
      <c r="E15080" s="2889" t="s">
        <v>1420</v>
      </c>
      <c r="F15080" s="2890">
        <v>6.6982327101831968E-2</v>
      </c>
      <c r="G15080" s="2890">
        <v>317.436795686994</v>
      </c>
    </row>
    <row r="15081" spans="2:7" ht="15" hidden="1" outlineLevel="2">
      <c r="B15081" s="2889" t="s">
        <v>1653</v>
      </c>
      <c r="C15081" s="2889" t="s">
        <v>1454</v>
      </c>
      <c r="D15081" s="2889" t="s">
        <v>1105</v>
      </c>
      <c r="E15081" s="2889" t="s">
        <v>1420</v>
      </c>
      <c r="F15081" s="2890">
        <v>1.6725092037238058E-3</v>
      </c>
      <c r="G15081" s="2890">
        <v>4.291028803047328</v>
      </c>
    </row>
    <row r="15082" spans="2:7" ht="15" hidden="1" outlineLevel="2">
      <c r="B15082" s="2889" t="s">
        <v>1653</v>
      </c>
      <c r="C15082" s="2889" t="s">
        <v>1455</v>
      </c>
      <c r="D15082" s="2889" t="s">
        <v>1105</v>
      </c>
      <c r="E15082" s="2889" t="s">
        <v>1420</v>
      </c>
      <c r="F15082" s="2890">
        <v>4.8795706147164149E-4</v>
      </c>
      <c r="G15082" s="2890">
        <v>3.9857984037881882</v>
      </c>
    </row>
    <row r="15083" spans="2:7" ht="15" hidden="1" outlineLevel="2">
      <c r="B15083" s="2889" t="s">
        <v>1653</v>
      </c>
      <c r="C15083" s="2889" t="s">
        <v>1456</v>
      </c>
      <c r="D15083" s="2889" t="s">
        <v>1105</v>
      </c>
      <c r="E15083" s="2889" t="s">
        <v>1423</v>
      </c>
      <c r="F15083" s="2890">
        <v>7.8657579870359395</v>
      </c>
      <c r="G15083" s="2890">
        <v>218.42403159830533</v>
      </c>
    </row>
    <row r="15084" spans="2:7" ht="15" hidden="1" outlineLevel="2">
      <c r="B15084" s="2889" t="s">
        <v>1653</v>
      </c>
      <c r="C15084" s="2889" t="s">
        <v>1457</v>
      </c>
      <c r="D15084" s="2889" t="s">
        <v>1105</v>
      </c>
      <c r="E15084" s="2889" t="s">
        <v>1423</v>
      </c>
      <c r="F15084" s="2890">
        <v>0.30156209923680644</v>
      </c>
      <c r="G15084" s="2890">
        <v>10.96223943213959</v>
      </c>
    </row>
    <row r="15085" spans="2:7" ht="15" hidden="1" outlineLevel="2">
      <c r="B15085" s="2889" t="s">
        <v>1653</v>
      </c>
      <c r="C15085" s="2889" t="s">
        <v>1458</v>
      </c>
      <c r="D15085" s="2889" t="s">
        <v>1105</v>
      </c>
      <c r="E15085" s="2889" t="s">
        <v>1423</v>
      </c>
      <c r="F15085" s="2890">
        <v>0.21649947585021689</v>
      </c>
      <c r="G15085" s="2890">
        <v>15.184567052122661</v>
      </c>
    </row>
    <row r="15086" spans="2:7" ht="15" hidden="1" outlineLevel="2">
      <c r="B15086" s="2889" t="s">
        <v>1653</v>
      </c>
      <c r="C15086" s="2889" t="s">
        <v>1459</v>
      </c>
      <c r="D15086" s="2889" t="s">
        <v>1105</v>
      </c>
      <c r="E15086" s="2889" t="s">
        <v>1423</v>
      </c>
      <c r="F15086" s="2890">
        <v>2.5364016897199861</v>
      </c>
      <c r="G15086" s="2890">
        <v>530.78105237226794</v>
      </c>
    </row>
    <row r="15087" spans="2:7" ht="15" hidden="1" outlineLevel="2">
      <c r="B15087" s="2889" t="s">
        <v>1653</v>
      </c>
      <c r="C15087" s="2889" t="s">
        <v>1460</v>
      </c>
      <c r="D15087" s="2889" t="s">
        <v>1105</v>
      </c>
      <c r="E15087" s="2889" t="s">
        <v>1426</v>
      </c>
      <c r="F15087" s="2891"/>
      <c r="G15087" s="2890">
        <v>5660.0941161375122</v>
      </c>
    </row>
    <row r="15088" spans="2:7" ht="15" hidden="1" outlineLevel="2">
      <c r="B15088" s="2889" t="s">
        <v>1653</v>
      </c>
      <c r="C15088" s="2889" t="s">
        <v>1461</v>
      </c>
      <c r="D15088" s="2889" t="s">
        <v>1105</v>
      </c>
      <c r="E15088" s="2889" t="s">
        <v>1426</v>
      </c>
      <c r="F15088" s="2891"/>
      <c r="G15088" s="2890">
        <v>1335.4392876193074</v>
      </c>
    </row>
    <row r="15089" spans="2:7" ht="15" hidden="1" outlineLevel="2">
      <c r="B15089" s="2889" t="s">
        <v>1653</v>
      </c>
      <c r="C15089" s="2889" t="s">
        <v>1462</v>
      </c>
      <c r="D15089" s="2889" t="s">
        <v>1105</v>
      </c>
      <c r="E15089" s="2889" t="s">
        <v>1426</v>
      </c>
      <c r="F15089" s="2891"/>
      <c r="G15089" s="2890">
        <v>3705.326617768555</v>
      </c>
    </row>
    <row r="15090" spans="2:7" ht="15" hidden="1" outlineLevel="2">
      <c r="B15090" s="2889" t="s">
        <v>1653</v>
      </c>
      <c r="C15090" s="2889" t="s">
        <v>1463</v>
      </c>
      <c r="D15090" s="2889" t="s">
        <v>1105</v>
      </c>
      <c r="E15090" s="2889" t="s">
        <v>1426</v>
      </c>
      <c r="F15090" s="2891"/>
      <c r="G15090" s="2890">
        <v>1881.4439426397366</v>
      </c>
    </row>
    <row r="15091" spans="2:7" ht="15" hidden="1" outlineLevel="2">
      <c r="B15091" s="2889" t="s">
        <v>1653</v>
      </c>
      <c r="C15091" s="2889" t="s">
        <v>1464</v>
      </c>
      <c r="D15091" s="2889" t="s">
        <v>1105</v>
      </c>
      <c r="E15091" s="2889" t="s">
        <v>1426</v>
      </c>
      <c r="F15091" s="2891"/>
      <c r="G15091" s="2890">
        <v>180.74329653592577</v>
      </c>
    </row>
    <row r="15092" spans="2:7" ht="15" hidden="1" outlineLevel="2">
      <c r="B15092" s="2889" t="s">
        <v>1653</v>
      </c>
      <c r="C15092" s="2889" t="s">
        <v>1465</v>
      </c>
      <c r="D15092" s="2889" t="s">
        <v>1105</v>
      </c>
      <c r="E15092" s="2889" t="s">
        <v>1426</v>
      </c>
      <c r="F15092" s="2891"/>
      <c r="G15092" s="2890">
        <v>160.36022166420429</v>
      </c>
    </row>
    <row r="15093" spans="2:7" ht="15" hidden="1" outlineLevel="2">
      <c r="B15093" s="2889" t="s">
        <v>1653</v>
      </c>
      <c r="C15093" s="2889" t="s">
        <v>1466</v>
      </c>
      <c r="D15093" s="2889" t="s">
        <v>1054</v>
      </c>
      <c r="E15093" s="2889" t="s">
        <v>217</v>
      </c>
      <c r="F15093" s="2890">
        <v>3.5412565478112333E-32</v>
      </c>
      <c r="G15093" s="2890">
        <v>2.1835275101326463E-29</v>
      </c>
    </row>
    <row r="15094" spans="2:7" ht="15" hidden="1" outlineLevel="2">
      <c r="B15094" s="2889" t="s">
        <v>1653</v>
      </c>
      <c r="C15094" s="2889" t="s">
        <v>1467</v>
      </c>
      <c r="D15094" s="2889" t="s">
        <v>1054</v>
      </c>
      <c r="E15094" s="2889" t="s">
        <v>217</v>
      </c>
      <c r="F15094" s="2890">
        <v>2.8902979356398801E-36</v>
      </c>
      <c r="G15094" s="2890">
        <v>1.3986064880122206E-33</v>
      </c>
    </row>
    <row r="15095" spans="2:7" ht="15" hidden="1" outlineLevel="2">
      <c r="B15095" s="2889" t="s">
        <v>1653</v>
      </c>
      <c r="C15095" s="2889" t="s">
        <v>1468</v>
      </c>
      <c r="D15095" s="2889" t="s">
        <v>1054</v>
      </c>
      <c r="E15095" s="2889" t="s">
        <v>217</v>
      </c>
      <c r="F15095" s="2890">
        <v>1.3519278733937264E-38</v>
      </c>
      <c r="G15095" s="2890">
        <v>6.4577358924786549E-36</v>
      </c>
    </row>
    <row r="15096" spans="2:7" ht="15" hidden="1" outlineLevel="2">
      <c r="B15096" s="2889" t="s">
        <v>1653</v>
      </c>
      <c r="C15096" s="2889" t="s">
        <v>1469</v>
      </c>
      <c r="D15096" s="2889" t="s">
        <v>1054</v>
      </c>
      <c r="E15096" s="2889" t="s">
        <v>217</v>
      </c>
      <c r="F15096" s="2890">
        <v>1.807527104592972E-36</v>
      </c>
      <c r="G15096" s="2890">
        <v>8.1025401359672294E-34</v>
      </c>
    </row>
    <row r="15097" spans="2:7" ht="15" hidden="1" outlineLevel="2">
      <c r="B15097" s="2889" t="s">
        <v>1653</v>
      </c>
      <c r="C15097" s="2889" t="s">
        <v>1470</v>
      </c>
      <c r="D15097" s="2889" t="s">
        <v>1054</v>
      </c>
      <c r="E15097" s="2889" t="s">
        <v>217</v>
      </c>
      <c r="F15097" s="2890">
        <v>3.5833641940293277E-34</v>
      </c>
      <c r="G15097" s="2890">
        <v>2.0536241178263922E-31</v>
      </c>
    </row>
    <row r="15098" spans="2:7" ht="15" hidden="1" outlineLevel="2">
      <c r="B15098" s="2889" t="s">
        <v>1653</v>
      </c>
      <c r="C15098" s="2889" t="s">
        <v>1471</v>
      </c>
      <c r="D15098" s="2889" t="s">
        <v>1054</v>
      </c>
      <c r="E15098" s="2889" t="s">
        <v>217</v>
      </c>
      <c r="F15098" s="2890">
        <v>4.4947573044558784E-38</v>
      </c>
      <c r="G15098" s="2890">
        <v>2.0148500704412117E-35</v>
      </c>
    </row>
    <row r="15099" spans="2:7" ht="15" hidden="1" outlineLevel="2">
      <c r="B15099" s="2889" t="s">
        <v>1653</v>
      </c>
      <c r="C15099" s="2889" t="s">
        <v>1472</v>
      </c>
      <c r="D15099" s="2889" t="s">
        <v>1054</v>
      </c>
      <c r="E15099" s="2889" t="s">
        <v>217</v>
      </c>
      <c r="F15099" s="2890">
        <v>1.592384341995647E-33</v>
      </c>
      <c r="G15099" s="2890">
        <v>2.1887064362259831E-30</v>
      </c>
    </row>
    <row r="15100" spans="2:7" ht="15" hidden="1" outlineLevel="2">
      <c r="B15100" s="2889" t="s">
        <v>1653</v>
      </c>
      <c r="C15100" s="2889" t="s">
        <v>1473</v>
      </c>
      <c r="D15100" s="2889" t="s">
        <v>1054</v>
      </c>
      <c r="E15100" s="2889" t="s">
        <v>217</v>
      </c>
      <c r="F15100" s="2890">
        <v>2.8188941846536646E-35</v>
      </c>
      <c r="G15100" s="2890">
        <v>3.6468459944899661E-32</v>
      </c>
    </row>
    <row r="15101" spans="2:7" ht="15" hidden="1" outlineLevel="2">
      <c r="B15101" s="2889" t="s">
        <v>1653</v>
      </c>
      <c r="C15101" s="2889" t="s">
        <v>1474</v>
      </c>
      <c r="D15101" s="2889" t="s">
        <v>1054</v>
      </c>
      <c r="E15101" s="2889" t="s">
        <v>217</v>
      </c>
      <c r="F15101" s="2890">
        <v>5.2807307293900074E-33</v>
      </c>
      <c r="G15101" s="2890">
        <v>6.0145549583322237E-30</v>
      </c>
    </row>
    <row r="15102" spans="2:7" ht="15" hidden="1" outlineLevel="2">
      <c r="B15102" s="2889" t="s">
        <v>1653</v>
      </c>
      <c r="C15102" s="2889" t="s">
        <v>1475</v>
      </c>
      <c r="D15102" s="2889" t="s">
        <v>1054</v>
      </c>
      <c r="E15102" s="2889" t="s">
        <v>217</v>
      </c>
      <c r="F15102" s="2890">
        <v>8.5123808420439548E-34</v>
      </c>
      <c r="G15102" s="2890">
        <v>1.1081640453670495E-30</v>
      </c>
    </row>
    <row r="15103" spans="2:7" ht="15" hidden="1" outlineLevel="2">
      <c r="B15103" s="2889" t="s">
        <v>1653</v>
      </c>
      <c r="C15103" s="2889" t="s">
        <v>1476</v>
      </c>
      <c r="D15103" s="2889" t="s">
        <v>1054</v>
      </c>
      <c r="E15103" s="2889" t="s">
        <v>217</v>
      </c>
      <c r="F15103" s="2890">
        <v>2.9100613553238081E-32</v>
      </c>
      <c r="G15103" s="2890">
        <v>3.8714333524127069E-29</v>
      </c>
    </row>
    <row r="15104" spans="2:7" ht="15" hidden="1" outlineLevel="2">
      <c r="B15104" s="2889" t="s">
        <v>1653</v>
      </c>
      <c r="C15104" s="2889" t="s">
        <v>1477</v>
      </c>
      <c r="D15104" s="2889" t="s">
        <v>1054</v>
      </c>
      <c r="E15104" s="2889" t="s">
        <v>217</v>
      </c>
      <c r="F15104" s="2890">
        <v>6.9477016515633839E-33</v>
      </c>
      <c r="G15104" s="2890">
        <v>8.9487470916639854E-30</v>
      </c>
    </row>
    <row r="15105" spans="2:7" ht="15" hidden="1" outlineLevel="2">
      <c r="B15105" s="2889" t="s">
        <v>1653</v>
      </c>
      <c r="C15105" s="2889" t="s">
        <v>1478</v>
      </c>
      <c r="D15105" s="2889" t="s">
        <v>1054</v>
      </c>
      <c r="E15105" s="2889" t="s">
        <v>217</v>
      </c>
      <c r="F15105" s="2890">
        <v>6.3111657622653414E-34</v>
      </c>
      <c r="G15105" s="2890">
        <v>7.9647149724644296E-31</v>
      </c>
    </row>
    <row r="15106" spans="2:7" ht="15" hidden="1" outlineLevel="2">
      <c r="B15106" s="2889" t="s">
        <v>1653</v>
      </c>
      <c r="C15106" s="2889" t="s">
        <v>1479</v>
      </c>
      <c r="D15106" s="2889" t="s">
        <v>1054</v>
      </c>
      <c r="E15106" s="2889" t="s">
        <v>217</v>
      </c>
      <c r="F15106" s="2890">
        <v>7.7763069249459399E-34</v>
      </c>
      <c r="G15106" s="2890">
        <v>1.3915771514807513E-30</v>
      </c>
    </row>
    <row r="15107" spans="2:7" ht="15" hidden="1" outlineLevel="2">
      <c r="B15107" s="2889" t="s">
        <v>1653</v>
      </c>
      <c r="C15107" s="2889" t="s">
        <v>1480</v>
      </c>
      <c r="D15107" s="2889" t="s">
        <v>1054</v>
      </c>
      <c r="E15107" s="2889" t="s">
        <v>217</v>
      </c>
      <c r="F15107" s="2890">
        <v>2.5840475884423704E-33</v>
      </c>
      <c r="G15107" s="2890">
        <v>3.0253925261209732E-30</v>
      </c>
    </row>
    <row r="15108" spans="2:7" ht="15" hidden="1" outlineLevel="2">
      <c r="B15108" s="2889" t="s">
        <v>1653</v>
      </c>
      <c r="C15108" s="2889" t="s">
        <v>1481</v>
      </c>
      <c r="D15108" s="2889" t="s">
        <v>1054</v>
      </c>
      <c r="E15108" s="2889" t="s">
        <v>217</v>
      </c>
      <c r="F15108" s="2890">
        <v>5.1595613345166052E-33</v>
      </c>
      <c r="G15108" s="2890">
        <v>6.6774071907901284E-30</v>
      </c>
    </row>
    <row r="15109" spans="2:7" ht="15" hidden="1" outlineLevel="2">
      <c r="B15109" s="2889" t="s">
        <v>1653</v>
      </c>
      <c r="C15109" s="2889" t="s">
        <v>1482</v>
      </c>
      <c r="D15109" s="2889" t="s">
        <v>1054</v>
      </c>
      <c r="E15109" s="2889" t="s">
        <v>217</v>
      </c>
      <c r="F15109" s="2890">
        <v>2.9121146972715174E-34</v>
      </c>
      <c r="G15109" s="2890">
        <v>2.8715258328323827E-31</v>
      </c>
    </row>
    <row r="15110" spans="2:7" ht="15" hidden="1" outlineLevel="2">
      <c r="B15110" s="2889" t="s">
        <v>1653</v>
      </c>
      <c r="C15110" s="2889" t="s">
        <v>1483</v>
      </c>
      <c r="D15110" s="2889" t="s">
        <v>1054</v>
      </c>
      <c r="E15110" s="2889" t="s">
        <v>217</v>
      </c>
      <c r="F15110" s="2890">
        <v>4.7006865638535548E-34</v>
      </c>
      <c r="G15110" s="2890">
        <v>8.1534945445003144E-31</v>
      </c>
    </row>
    <row r="15111" spans="2:7" ht="15" hidden="1" outlineLevel="2">
      <c r="B15111" s="2889" t="s">
        <v>1653</v>
      </c>
      <c r="C15111" s="2889" t="s">
        <v>1484</v>
      </c>
      <c r="D15111" s="2889" t="s">
        <v>1054</v>
      </c>
      <c r="E15111" s="2889" t="s">
        <v>217</v>
      </c>
      <c r="F15111" s="2890">
        <v>3.8613429593165804E-34</v>
      </c>
      <c r="G15111" s="2890">
        <v>7.0591480651042828E-31</v>
      </c>
    </row>
    <row r="15112" spans="2:7" ht="15" hidden="1" outlineLevel="2">
      <c r="B15112" s="2889" t="s">
        <v>1653</v>
      </c>
      <c r="C15112" s="2889" t="s">
        <v>1485</v>
      </c>
      <c r="D15112" s="2889" t="s">
        <v>1054</v>
      </c>
      <c r="E15112" s="2889" t="s">
        <v>217</v>
      </c>
      <c r="F15112" s="2890">
        <v>8.1554348903242171E-36</v>
      </c>
      <c r="G15112" s="2890">
        <v>9.3254471537192438E-32</v>
      </c>
    </row>
    <row r="15113" spans="2:7" ht="15" hidden="1" outlineLevel="2">
      <c r="B15113" s="2889" t="s">
        <v>1653</v>
      </c>
      <c r="C15113" s="2889" t="s">
        <v>1486</v>
      </c>
      <c r="D15113" s="2889" t="s">
        <v>1054</v>
      </c>
      <c r="E15113" s="2889" t="s">
        <v>217</v>
      </c>
      <c r="F15113" s="2890">
        <v>4.504606933838142E-35</v>
      </c>
      <c r="G15113" s="2890">
        <v>2.6624500171759199E-31</v>
      </c>
    </row>
    <row r="15114" spans="2:7" ht="15" hidden="1" outlineLevel="2">
      <c r="B15114" s="2889" t="s">
        <v>1653</v>
      </c>
      <c r="C15114" s="2889" t="s">
        <v>1487</v>
      </c>
      <c r="D15114" s="2889" t="s">
        <v>1054</v>
      </c>
      <c r="E15114" s="2889" t="s">
        <v>217</v>
      </c>
      <c r="F15114" s="2890">
        <v>1.1093063311404508E-34</v>
      </c>
      <c r="G15114" s="2890">
        <v>1.5540462074317711E-31</v>
      </c>
    </row>
    <row r="15115" spans="2:7" ht="15" hidden="1" outlineLevel="2">
      <c r="B15115" s="2889" t="s">
        <v>1653</v>
      </c>
      <c r="C15115" s="2889" t="s">
        <v>1488</v>
      </c>
      <c r="D15115" s="2889" t="s">
        <v>1054</v>
      </c>
      <c r="E15115" s="2889" t="s">
        <v>217</v>
      </c>
      <c r="F15115" s="2890">
        <v>9.9999841675024043E-33</v>
      </c>
      <c r="G15115" s="2890">
        <v>1.3023641966440594E-29</v>
      </c>
    </row>
    <row r="15116" spans="2:7" ht="15" hidden="1" outlineLevel="2">
      <c r="B15116" s="2889" t="s">
        <v>1653</v>
      </c>
      <c r="C15116" s="2889" t="s">
        <v>1489</v>
      </c>
      <c r="D15116" s="2889" t="s">
        <v>1054</v>
      </c>
      <c r="E15116" s="2889" t="s">
        <v>217</v>
      </c>
      <c r="F15116" s="2890">
        <v>1.3378774024136669E-33</v>
      </c>
      <c r="G15116" s="2890">
        <v>1.5687843423089569E-30</v>
      </c>
    </row>
    <row r="15117" spans="2:7" ht="15" hidden="1" outlineLevel="2">
      <c r="B15117" s="2889" t="s">
        <v>1653</v>
      </c>
      <c r="C15117" s="2889" t="s">
        <v>1490</v>
      </c>
      <c r="D15117" s="2889" t="s">
        <v>1054</v>
      </c>
      <c r="E15117" s="2889" t="s">
        <v>217</v>
      </c>
      <c r="F15117" s="2890">
        <v>7.4273721289766249E-35</v>
      </c>
      <c r="G15117" s="2890">
        <v>1.1561437038615444E-31</v>
      </c>
    </row>
    <row r="15118" spans="2:7" ht="15" hidden="1" outlineLevel="2">
      <c r="B15118" s="2889" t="s">
        <v>1653</v>
      </c>
      <c r="C15118" s="2889" t="s">
        <v>1491</v>
      </c>
      <c r="D15118" s="2889" t="s">
        <v>1054</v>
      </c>
      <c r="E15118" s="2889" t="s">
        <v>1420</v>
      </c>
      <c r="F15118" s="2890">
        <v>6.4109261635202507E-35</v>
      </c>
      <c r="G15118" s="2890">
        <v>4.5061821783692092E-31</v>
      </c>
    </row>
    <row r="15119" spans="2:7" ht="15" hidden="1" outlineLevel="2">
      <c r="B15119" s="2889" t="s">
        <v>1653</v>
      </c>
      <c r="C15119" s="2889" t="s">
        <v>1492</v>
      </c>
      <c r="D15119" s="2889" t="s">
        <v>1054</v>
      </c>
      <c r="E15119" s="2889" t="s">
        <v>1420</v>
      </c>
      <c r="F15119" s="2890">
        <v>6.3495751445360996E-35</v>
      </c>
      <c r="G15119" s="2890">
        <v>5.5876112040841091E-31</v>
      </c>
    </row>
    <row r="15120" spans="2:7" ht="15" hidden="1" outlineLevel="2">
      <c r="B15120" s="2889" t="s">
        <v>1653</v>
      </c>
      <c r="C15120" s="2889" t="s">
        <v>1493</v>
      </c>
      <c r="D15120" s="2889" t="s">
        <v>1054</v>
      </c>
      <c r="E15120" s="2889" t="s">
        <v>1420</v>
      </c>
      <c r="F15120" s="2890">
        <v>1.3931299995213113E-36</v>
      </c>
      <c r="G15120" s="2890">
        <v>3.5520604857606628E-33</v>
      </c>
    </row>
    <row r="15121" spans="2:7" ht="15" hidden="1" outlineLevel="2">
      <c r="B15121" s="2889" t="s">
        <v>1653</v>
      </c>
      <c r="C15121" s="2889" t="s">
        <v>1494</v>
      </c>
      <c r="D15121" s="2889" t="s">
        <v>1054</v>
      </c>
      <c r="E15121" s="2889" t="s">
        <v>1420</v>
      </c>
      <c r="F15121" s="2890">
        <v>5.0263454186658089E-35</v>
      </c>
      <c r="G15121" s="2890">
        <v>4.4770586099014243E-31</v>
      </c>
    </row>
    <row r="15122" spans="2:7" ht="15" hidden="1" outlineLevel="2">
      <c r="B15122" s="2889" t="s">
        <v>1653</v>
      </c>
      <c r="C15122" s="2889" t="s">
        <v>1495</v>
      </c>
      <c r="D15122" s="2889" t="s">
        <v>1054</v>
      </c>
      <c r="E15122" s="2889" t="s">
        <v>1420</v>
      </c>
      <c r="F15122" s="2890">
        <v>1.5455633489338472E-34</v>
      </c>
      <c r="G15122" s="2890">
        <v>2.4976966426871716E-30</v>
      </c>
    </row>
    <row r="15123" spans="2:7" ht="15" hidden="1" outlineLevel="2">
      <c r="B15123" s="2889" t="s">
        <v>1653</v>
      </c>
      <c r="C15123" s="2889" t="s">
        <v>1496</v>
      </c>
      <c r="D15123" s="2889" t="s">
        <v>1054</v>
      </c>
      <c r="E15123" s="2889" t="s">
        <v>1420</v>
      </c>
      <c r="F15123" s="2890">
        <v>5.1446058839019298E-34</v>
      </c>
      <c r="G15123" s="2890">
        <v>8.9750478892751075E-31</v>
      </c>
    </row>
    <row r="15124" spans="2:7" ht="15" hidden="1" outlineLevel="2">
      <c r="B15124" s="2889" t="s">
        <v>1653</v>
      </c>
      <c r="C15124" s="2889" t="s">
        <v>1497</v>
      </c>
      <c r="D15124" s="2889" t="s">
        <v>1054</v>
      </c>
      <c r="E15124" s="2889" t="s">
        <v>1420</v>
      </c>
      <c r="F15124" s="2890">
        <v>3.4206548151183186E-37</v>
      </c>
      <c r="G15124" s="2890">
        <v>6.4615878927369862E-33</v>
      </c>
    </row>
    <row r="15125" spans="2:7" ht="15" hidden="1" outlineLevel="2">
      <c r="B15125" s="2889" t="s">
        <v>1653</v>
      </c>
      <c r="C15125" s="2889" t="s">
        <v>1498</v>
      </c>
      <c r="D15125" s="2889" t="s">
        <v>1054</v>
      </c>
      <c r="E15125" s="2889" t="s">
        <v>1420</v>
      </c>
      <c r="F15125" s="2890">
        <v>8.9880013977959222E-35</v>
      </c>
      <c r="G15125" s="2890">
        <v>2.1532901516339633E-31</v>
      </c>
    </row>
    <row r="15126" spans="2:7" ht="15" hidden="1" outlineLevel="2">
      <c r="B15126" s="2889" t="s">
        <v>1653</v>
      </c>
      <c r="C15126" s="2889" t="s">
        <v>1499</v>
      </c>
      <c r="D15126" s="2889" t="s">
        <v>1054</v>
      </c>
      <c r="E15126" s="2889" t="s">
        <v>1420</v>
      </c>
      <c r="F15126" s="2890">
        <v>6.8279870837335869E-38</v>
      </c>
      <c r="G15126" s="2890">
        <v>1.7289290835431349E-34</v>
      </c>
    </row>
    <row r="15127" spans="2:7" ht="15" hidden="1" outlineLevel="2">
      <c r="B15127" s="2889" t="s">
        <v>1653</v>
      </c>
      <c r="C15127" s="2889" t="s">
        <v>1500</v>
      </c>
      <c r="D15127" s="2889" t="s">
        <v>1054</v>
      </c>
      <c r="E15127" s="2889" t="s">
        <v>1420</v>
      </c>
      <c r="F15127" s="2890">
        <v>3.4244957661155564E-35</v>
      </c>
      <c r="G15127" s="2890">
        <v>1.2469494268793718E-31</v>
      </c>
    </row>
    <row r="15128" spans="2:7" ht="15" hidden="1" outlineLevel="2">
      <c r="B15128" s="2889" t="s">
        <v>1653</v>
      </c>
      <c r="C15128" s="2889" t="s">
        <v>1501</v>
      </c>
      <c r="D15128" s="2889" t="s">
        <v>1054</v>
      </c>
      <c r="E15128" s="2889" t="s">
        <v>1420</v>
      </c>
      <c r="F15128" s="2890">
        <v>2.9678452413219394E-36</v>
      </c>
      <c r="G15128" s="2890">
        <v>5.3996220933115452E-32</v>
      </c>
    </row>
    <row r="15129" spans="2:7" ht="15" hidden="1" outlineLevel="2">
      <c r="B15129" s="2889" t="s">
        <v>1653</v>
      </c>
      <c r="C15129" s="2889" t="s">
        <v>1502</v>
      </c>
      <c r="D15129" s="2889" t="s">
        <v>1054</v>
      </c>
      <c r="E15129" s="2889" t="s">
        <v>1420</v>
      </c>
      <c r="F15129" s="2890">
        <v>6.1973739076226069E-36</v>
      </c>
      <c r="G15129" s="2890">
        <v>6.5262886993729976E-32</v>
      </c>
    </row>
    <row r="15130" spans="2:7" ht="15" hidden="1" outlineLevel="2">
      <c r="B15130" s="2889" t="s">
        <v>1653</v>
      </c>
      <c r="C15130" s="2889" t="s">
        <v>1503</v>
      </c>
      <c r="D15130" s="2889" t="s">
        <v>1054</v>
      </c>
      <c r="E15130" s="2889" t="s">
        <v>1420</v>
      </c>
      <c r="F15130" s="2890">
        <v>1.2247076726416674E-35</v>
      </c>
      <c r="G15130" s="2890">
        <v>2.7481169934555332E-32</v>
      </c>
    </row>
    <row r="15131" spans="2:7" ht="15" hidden="1" outlineLevel="2">
      <c r="B15131" s="2889" t="s">
        <v>1653</v>
      </c>
      <c r="C15131" s="2889" t="s">
        <v>1504</v>
      </c>
      <c r="D15131" s="2889" t="s">
        <v>1054</v>
      </c>
      <c r="E15131" s="2889" t="s">
        <v>1420</v>
      </c>
      <c r="F15131" s="2890">
        <v>7.4995456310312559E-34</v>
      </c>
      <c r="G15131" s="2890">
        <v>1.6600302959676247E-30</v>
      </c>
    </row>
    <row r="15132" spans="2:7" ht="15" hidden="1" outlineLevel="2">
      <c r="B15132" s="2889" t="s">
        <v>1653</v>
      </c>
      <c r="C15132" s="2889" t="s">
        <v>1505</v>
      </c>
      <c r="D15132" s="2889" t="s">
        <v>1054</v>
      </c>
      <c r="E15132" s="2889" t="s">
        <v>1423</v>
      </c>
      <c r="F15132" s="2890">
        <v>2.1032574139291268E-33</v>
      </c>
      <c r="G15132" s="2890">
        <v>5.2051066912620041E-32</v>
      </c>
    </row>
    <row r="15133" spans="2:7" ht="15" hidden="1" outlineLevel="2">
      <c r="B15133" s="2889" t="s">
        <v>1653</v>
      </c>
      <c r="C15133" s="2889" t="s">
        <v>1506</v>
      </c>
      <c r="D15133" s="2889" t="s">
        <v>1054</v>
      </c>
      <c r="E15133" s="2889" t="s">
        <v>1426</v>
      </c>
      <c r="F15133" s="2891"/>
      <c r="G15133" s="2890">
        <v>2.1125038966377829E-29</v>
      </c>
    </row>
    <row r="15134" spans="2:7" ht="15" hidden="1" outlineLevel="2">
      <c r="B15134" s="2889" t="s">
        <v>1653</v>
      </c>
      <c r="C15134" s="2889" t="s">
        <v>1507</v>
      </c>
      <c r="D15134" s="2889" t="s">
        <v>1054</v>
      </c>
      <c r="E15134" s="2889" t="s">
        <v>1426</v>
      </c>
      <c r="F15134" s="2891"/>
      <c r="G15134" s="2890">
        <v>2.5468520671224045E-31</v>
      </c>
    </row>
    <row r="15135" spans="2:7" ht="15" hidden="1" outlineLevel="2">
      <c r="B15135" s="2889" t="s">
        <v>1653</v>
      </c>
      <c r="C15135" s="2889" t="s">
        <v>1508</v>
      </c>
      <c r="D15135" s="2889" t="s">
        <v>1054</v>
      </c>
      <c r="E15135" s="2889" t="s">
        <v>1426</v>
      </c>
      <c r="F15135" s="2891"/>
      <c r="G15135" s="2890">
        <v>5.6807384089217021E-32</v>
      </c>
    </row>
    <row r="15136" spans="2:7" ht="15" hidden="1" outlineLevel="2">
      <c r="B15136" s="2889" t="s">
        <v>1653</v>
      </c>
      <c r="C15136" s="2889" t="s">
        <v>1509</v>
      </c>
      <c r="D15136" s="2889" t="s">
        <v>1054</v>
      </c>
      <c r="E15136" s="2889" t="s">
        <v>1426</v>
      </c>
      <c r="F15136" s="2891"/>
      <c r="G15136" s="2890">
        <v>2.1908390456812876E-29</v>
      </c>
    </row>
    <row r="15137" spans="2:7" ht="15" hidden="1" outlineLevel="2">
      <c r="B15137" s="2889" t="s">
        <v>1653</v>
      </c>
      <c r="C15137" s="2889" t="s">
        <v>1510</v>
      </c>
      <c r="D15137" s="2889" t="s">
        <v>1054</v>
      </c>
      <c r="E15137" s="2889" t="s">
        <v>1426</v>
      </c>
      <c r="F15137" s="2891"/>
      <c r="G15137" s="2890">
        <v>7.2473938761866715E-31</v>
      </c>
    </row>
    <row r="15138" spans="2:7" ht="15" hidden="1" outlineLevel="2">
      <c r="B15138" s="2889" t="s">
        <v>1653</v>
      </c>
      <c r="C15138" s="2889" t="s">
        <v>1511</v>
      </c>
      <c r="D15138" s="2889" t="s">
        <v>1054</v>
      </c>
      <c r="E15138" s="2889" t="s">
        <v>1426</v>
      </c>
      <c r="F15138" s="2891"/>
      <c r="G15138" s="2890">
        <v>6.469651473654982E-31</v>
      </c>
    </row>
    <row r="15139" spans="2:7" ht="15" hidden="1" outlineLevel="2">
      <c r="B15139" s="2889" t="s">
        <v>1653</v>
      </c>
      <c r="C15139" s="2889" t="s">
        <v>1512</v>
      </c>
      <c r="D15139" s="2889" t="s">
        <v>1054</v>
      </c>
      <c r="E15139" s="2889" t="s">
        <v>1426</v>
      </c>
      <c r="F15139" s="2891"/>
      <c r="G15139" s="2890">
        <v>2.7786197671643139E-30</v>
      </c>
    </row>
    <row r="15140" spans="2:7" ht="15" hidden="1" outlineLevel="2">
      <c r="B15140" s="2889" t="s">
        <v>1653</v>
      </c>
      <c r="C15140" s="2889" t="s">
        <v>1513</v>
      </c>
      <c r="D15140" s="2889" t="s">
        <v>1054</v>
      </c>
      <c r="E15140" s="2889" t="s">
        <v>1426</v>
      </c>
      <c r="F15140" s="2891"/>
      <c r="G15140" s="2890">
        <v>3.2943024353921524E-30</v>
      </c>
    </row>
    <row r="15141" spans="2:7" ht="15" hidden="1" outlineLevel="2">
      <c r="B15141" s="2889" t="s">
        <v>1653</v>
      </c>
      <c r="C15141" s="2889" t="s">
        <v>1514</v>
      </c>
      <c r="D15141" s="2889" t="s">
        <v>1054</v>
      </c>
      <c r="E15141" s="2889" t="s">
        <v>1426</v>
      </c>
      <c r="F15141" s="2891"/>
      <c r="G15141" s="2890">
        <v>6.6305868479862841E-29</v>
      </c>
    </row>
    <row r="15142" spans="2:7" ht="15" hidden="1" outlineLevel="2">
      <c r="B15142" s="2889" t="s">
        <v>1653</v>
      </c>
      <c r="C15142" s="2889" t="s">
        <v>1515</v>
      </c>
      <c r="D15142" s="2889" t="s">
        <v>1054</v>
      </c>
      <c r="E15142" s="2889" t="s">
        <v>1426</v>
      </c>
      <c r="F15142" s="2891"/>
      <c r="G15142" s="2890">
        <v>1.6942062932964157E-29</v>
      </c>
    </row>
    <row r="15143" spans="2:7" ht="15" hidden="1" outlineLevel="2">
      <c r="B15143" s="2889" t="s">
        <v>1653</v>
      </c>
      <c r="C15143" s="2889" t="s">
        <v>1516</v>
      </c>
      <c r="D15143" s="2889" t="s">
        <v>1054</v>
      </c>
      <c r="E15143" s="2889" t="s">
        <v>1426</v>
      </c>
      <c r="F15143" s="2891"/>
      <c r="G15143" s="2890">
        <v>1.2678898311801315E-28</v>
      </c>
    </row>
    <row r="15144" spans="2:7" ht="15" hidden="1" outlineLevel="2">
      <c r="B15144" s="2889" t="s">
        <v>1653</v>
      </c>
      <c r="C15144" s="2889" t="s">
        <v>1517</v>
      </c>
      <c r="D15144" s="2889" t="s">
        <v>1054</v>
      </c>
      <c r="E15144" s="2889" t="s">
        <v>1426</v>
      </c>
      <c r="F15144" s="2891"/>
      <c r="G15144" s="2890">
        <v>5.7536869703209902E-30</v>
      </c>
    </row>
    <row r="15145" spans="2:7" ht="15" hidden="1" outlineLevel="2">
      <c r="B15145" s="2889" t="s">
        <v>1653</v>
      </c>
      <c r="C15145" s="2889" t="s">
        <v>1518</v>
      </c>
      <c r="D15145" s="2889" t="s">
        <v>1054</v>
      </c>
      <c r="E15145" s="2889" t="s">
        <v>1426</v>
      </c>
      <c r="F15145" s="2891"/>
      <c r="G15145" s="2890">
        <v>2.5688594811403869E-30</v>
      </c>
    </row>
    <row r="15146" spans="2:7" ht="15" hidden="1" outlineLevel="2">
      <c r="B15146" s="2889" t="s">
        <v>1653</v>
      </c>
      <c r="C15146" s="2889" t="s">
        <v>1519</v>
      </c>
      <c r="D15146" s="2889" t="s">
        <v>1054</v>
      </c>
      <c r="E15146" s="2889" t="s">
        <v>1426</v>
      </c>
      <c r="F15146" s="2891"/>
      <c r="G15146" s="2890">
        <v>1.2978143078073451E-28</v>
      </c>
    </row>
    <row r="15147" spans="2:7" ht="15" hidden="1" outlineLevel="2">
      <c r="B15147" s="2889" t="s">
        <v>1653</v>
      </c>
      <c r="C15147" s="2889" t="s">
        <v>1520</v>
      </c>
      <c r="D15147" s="2889" t="s">
        <v>1054</v>
      </c>
      <c r="E15147" s="2889" t="s">
        <v>1426</v>
      </c>
      <c r="F15147" s="2891"/>
      <c r="G15147" s="2890">
        <v>4.5319368336702387E-29</v>
      </c>
    </row>
    <row r="15148" spans="2:7" ht="15" hidden="1" outlineLevel="2">
      <c r="B15148" s="2889" t="s">
        <v>1653</v>
      </c>
      <c r="C15148" s="2889" t="s">
        <v>1521</v>
      </c>
      <c r="D15148" s="2889" t="s">
        <v>1054</v>
      </c>
      <c r="E15148" s="2889" t="s">
        <v>1426</v>
      </c>
      <c r="F15148" s="2891"/>
      <c r="G15148" s="2890">
        <v>4.9554371100347877E-28</v>
      </c>
    </row>
    <row r="15149" spans="2:7" ht="15" hidden="1" outlineLevel="2">
      <c r="B15149" s="2889" t="s">
        <v>1653</v>
      </c>
      <c r="C15149" s="2889" t="s">
        <v>1522</v>
      </c>
      <c r="D15149" s="2889" t="s">
        <v>1054</v>
      </c>
      <c r="E15149" s="2889" t="s">
        <v>1426</v>
      </c>
      <c r="F15149" s="2891"/>
      <c r="G15149" s="2890">
        <v>1.2734909224969495E-29</v>
      </c>
    </row>
    <row r="15150" spans="2:7" ht="15" hidden="1" outlineLevel="2">
      <c r="B15150" s="2889" t="s">
        <v>1653</v>
      </c>
      <c r="C15150" s="2889" t="s">
        <v>1523</v>
      </c>
      <c r="D15150" s="2889" t="s">
        <v>1054</v>
      </c>
      <c r="E15150" s="2889" t="s">
        <v>1426</v>
      </c>
      <c r="F15150" s="2891"/>
      <c r="G15150" s="2890">
        <v>1.1239336321238442E-29</v>
      </c>
    </row>
    <row r="15151" spans="2:7" ht="15" hidden="1" outlineLevel="2">
      <c r="B15151" s="2889" t="s">
        <v>1653</v>
      </c>
      <c r="C15151" s="2889" t="s">
        <v>1524</v>
      </c>
      <c r="D15151" s="2889" t="s">
        <v>1054</v>
      </c>
      <c r="E15151" s="2889" t="s">
        <v>1426</v>
      </c>
      <c r="F15151" s="2891"/>
      <c r="G15151" s="2890">
        <v>6.6724197561422064E-28</v>
      </c>
    </row>
    <row r="15152" spans="2:7" ht="15" hidden="1" outlineLevel="2">
      <c r="B15152" s="2889" t="s">
        <v>1653</v>
      </c>
      <c r="C15152" s="2889" t="s">
        <v>1525</v>
      </c>
      <c r="D15152" s="2889" t="s">
        <v>1054</v>
      </c>
      <c r="E15152" s="2889" t="s">
        <v>1426</v>
      </c>
      <c r="F15152" s="2891"/>
      <c r="G15152" s="2890">
        <v>1.683010752913425E-27</v>
      </c>
    </row>
    <row r="15153" spans="2:7" ht="15" hidden="1" outlineLevel="2">
      <c r="B15153" s="2889" t="s">
        <v>1653</v>
      </c>
      <c r="C15153" s="2889" t="s">
        <v>1526</v>
      </c>
      <c r="D15153" s="2889" t="s">
        <v>1054</v>
      </c>
      <c r="E15153" s="2889" t="s">
        <v>1426</v>
      </c>
      <c r="F15153" s="2891"/>
      <c r="G15153" s="2890">
        <v>2.5047711264957134E-28</v>
      </c>
    </row>
    <row r="15154" spans="2:7" ht="15" hidden="1" outlineLevel="2">
      <c r="B15154" s="2889" t="s">
        <v>1653</v>
      </c>
      <c r="C15154" s="2889" t="s">
        <v>1527</v>
      </c>
      <c r="D15154" s="2889" t="s">
        <v>1054</v>
      </c>
      <c r="E15154" s="2889" t="s">
        <v>1426</v>
      </c>
      <c r="F15154" s="2891"/>
      <c r="G15154" s="2890">
        <v>1.9648185978513224E-29</v>
      </c>
    </row>
    <row r="15155" spans="2:7" ht="15" hidden="1" outlineLevel="2">
      <c r="B15155" s="2889" t="s">
        <v>1653</v>
      </c>
      <c r="C15155" s="2889" t="s">
        <v>1528</v>
      </c>
      <c r="D15155" s="2889" t="s">
        <v>1054</v>
      </c>
      <c r="E15155" s="2889" t="s">
        <v>1426</v>
      </c>
      <c r="F15155" s="2891"/>
      <c r="G15155" s="2890">
        <v>2.4155894972604634E-28</v>
      </c>
    </row>
    <row r="15156" spans="2:7" ht="15" hidden="1" outlineLevel="2">
      <c r="B15156" s="2889" t="s">
        <v>1653</v>
      </c>
      <c r="C15156" s="2889" t="s">
        <v>1529</v>
      </c>
      <c r="D15156" s="2889" t="s">
        <v>1054</v>
      </c>
      <c r="E15156" s="2889" t="s">
        <v>1426</v>
      </c>
      <c r="F15156" s="2891"/>
      <c r="G15156" s="2890">
        <v>3.2635428971378915E-31</v>
      </c>
    </row>
    <row r="15157" spans="2:7" ht="15" hidden="1" outlineLevel="2">
      <c r="B15157" s="2889" t="s">
        <v>1653</v>
      </c>
      <c r="C15157" s="2889" t="s">
        <v>1530</v>
      </c>
      <c r="D15157" s="2889" t="s">
        <v>1054</v>
      </c>
      <c r="E15157" s="2889" t="s">
        <v>1426</v>
      </c>
      <c r="F15157" s="2891"/>
      <c r="G15157" s="2890">
        <v>7.731068103147799E-30</v>
      </c>
    </row>
    <row r="15158" spans="2:7" ht="15" hidden="1" outlineLevel="2">
      <c r="B15158" s="2889" t="s">
        <v>1653</v>
      </c>
      <c r="C15158" s="2889" t="s">
        <v>1531</v>
      </c>
      <c r="D15158" s="2889" t="s">
        <v>1106</v>
      </c>
      <c r="E15158" s="2889" t="s">
        <v>217</v>
      </c>
      <c r="F15158" s="2890">
        <v>1.7394672191487757E-3</v>
      </c>
      <c r="G15158" s="2890">
        <v>0.7797989467711457</v>
      </c>
    </row>
    <row r="15159" spans="2:7" ht="15" hidden="1" outlineLevel="2">
      <c r="B15159" s="2889" t="s">
        <v>1653</v>
      </c>
      <c r="C15159" s="2889" t="s">
        <v>1532</v>
      </c>
      <c r="D15159" s="2889" t="s">
        <v>1106</v>
      </c>
      <c r="E15159" s="2889" t="s">
        <v>217</v>
      </c>
      <c r="F15159" s="2890">
        <v>1.3699847396112964E-4</v>
      </c>
      <c r="G15159" s="2890">
        <v>6.1416036487596908E-2</v>
      </c>
    </row>
    <row r="15160" spans="2:7" ht="15" hidden="1" outlineLevel="2">
      <c r="B15160" s="2889" t="s">
        <v>1653</v>
      </c>
      <c r="C15160" s="2889" t="s">
        <v>1533</v>
      </c>
      <c r="D15160" s="2889" t="s">
        <v>1106</v>
      </c>
      <c r="E15160" s="2889" t="s">
        <v>217</v>
      </c>
      <c r="F15160" s="2890">
        <v>8.9166915397259433E-2</v>
      </c>
      <c r="G15160" s="2890">
        <v>94.850497481921465</v>
      </c>
    </row>
    <row r="15161" spans="2:7" ht="15" hidden="1" outlineLevel="2">
      <c r="B15161" s="2889" t="s">
        <v>1653</v>
      </c>
      <c r="C15161" s="2889" t="s">
        <v>1534</v>
      </c>
      <c r="D15161" s="2889" t="s">
        <v>1106</v>
      </c>
      <c r="E15161" s="2889" t="s">
        <v>217</v>
      </c>
      <c r="F15161" s="2890">
        <v>8.1072203141179341E-2</v>
      </c>
      <c r="G15161" s="2890">
        <v>280.87822818993857</v>
      </c>
    </row>
    <row r="15162" spans="2:7" ht="15" hidden="1" outlineLevel="2">
      <c r="B15162" s="2889" t="s">
        <v>1653</v>
      </c>
      <c r="C15162" s="2889" t="s">
        <v>1535</v>
      </c>
      <c r="D15162" s="2889" t="s">
        <v>1106</v>
      </c>
      <c r="E15162" s="2889" t="s">
        <v>217</v>
      </c>
      <c r="F15162" s="2890">
        <v>3.0333684470770984E-2</v>
      </c>
      <c r="G15162" s="2890">
        <v>70.93641720746345</v>
      </c>
    </row>
    <row r="15163" spans="2:7" ht="15" hidden="1" outlineLevel="2">
      <c r="B15163" s="2889" t="s">
        <v>1653</v>
      </c>
      <c r="C15163" s="2889" t="s">
        <v>1536</v>
      </c>
      <c r="D15163" s="2889" t="s">
        <v>1106</v>
      </c>
      <c r="E15163" s="2889" t="s">
        <v>217</v>
      </c>
      <c r="F15163" s="2890">
        <v>0.10177231060530803</v>
      </c>
      <c r="G15163" s="2890">
        <v>132.22226474064894</v>
      </c>
    </row>
    <row r="15164" spans="2:7" ht="15" hidden="1" outlineLevel="2">
      <c r="B15164" s="2889" t="s">
        <v>1653</v>
      </c>
      <c r="C15164" s="2889" t="s">
        <v>1537</v>
      </c>
      <c r="D15164" s="2889" t="s">
        <v>1106</v>
      </c>
      <c r="E15164" s="2889" t="s">
        <v>217</v>
      </c>
      <c r="F15164" s="2890">
        <v>5.6964773566100142E-3</v>
      </c>
      <c r="G15164" s="2890">
        <v>6.4964354852159119</v>
      </c>
    </row>
    <row r="15165" spans="2:7" ht="15" hidden="1" outlineLevel="2">
      <c r="B15165" s="2889" t="s">
        <v>1653</v>
      </c>
      <c r="C15165" s="2889" t="s">
        <v>1538</v>
      </c>
      <c r="D15165" s="2889" t="s">
        <v>1106</v>
      </c>
      <c r="E15165" s="2889" t="s">
        <v>217</v>
      </c>
      <c r="F15165" s="2890">
        <v>3.2301774922591652E-3</v>
      </c>
      <c r="G15165" s="2890">
        <v>4.3511063097358624</v>
      </c>
    </row>
    <row r="15166" spans="2:7" ht="15" hidden="1" outlineLevel="2">
      <c r="B15166" s="2889" t="s">
        <v>1653</v>
      </c>
      <c r="C15166" s="2889" t="s">
        <v>1539</v>
      </c>
      <c r="D15166" s="2889" t="s">
        <v>1106</v>
      </c>
      <c r="E15166" s="2889" t="s">
        <v>217</v>
      </c>
      <c r="F15166" s="2890">
        <v>2.2383917843001189E-3</v>
      </c>
      <c r="G15166" s="2890">
        <v>28.640743724603901</v>
      </c>
    </row>
    <row r="15167" spans="2:7" ht="15" hidden="1" outlineLevel="2">
      <c r="B15167" s="2889" t="s">
        <v>1653</v>
      </c>
      <c r="C15167" s="2889" t="s">
        <v>1540</v>
      </c>
      <c r="D15167" s="2889" t="s">
        <v>1106</v>
      </c>
      <c r="E15167" s="2889" t="s">
        <v>1420</v>
      </c>
      <c r="F15167" s="2890">
        <v>9.9017798106393398E-2</v>
      </c>
      <c r="G15167" s="2890">
        <v>240.28327087222627</v>
      </c>
    </row>
    <row r="15168" spans="2:7" ht="15" hidden="1" outlineLevel="2">
      <c r="B15168" s="2889" t="s">
        <v>1653</v>
      </c>
      <c r="C15168" s="2889" t="s">
        <v>1541</v>
      </c>
      <c r="D15168" s="2889" t="s">
        <v>1106</v>
      </c>
      <c r="E15168" s="2889" t="s">
        <v>1420</v>
      </c>
      <c r="F15168" s="2890">
        <v>2.8856085524843293</v>
      </c>
      <c r="G15168" s="2890">
        <v>21244.725851189654</v>
      </c>
    </row>
    <row r="15169" spans="2:7" ht="15" hidden="1" outlineLevel="2">
      <c r="B15169" s="2889" t="s">
        <v>1653</v>
      </c>
      <c r="C15169" s="2889" t="s">
        <v>1542</v>
      </c>
      <c r="D15169" s="2889" t="s">
        <v>1106</v>
      </c>
      <c r="E15169" s="2889" t="s">
        <v>1420</v>
      </c>
      <c r="F15169" s="2890">
        <v>1.4035448353310087E-2</v>
      </c>
      <c r="G15169" s="2890">
        <v>160.61064696722323</v>
      </c>
    </row>
    <row r="15170" spans="2:7" ht="15" hidden="1" outlineLevel="2">
      <c r="B15170" s="2889" t="s">
        <v>1653</v>
      </c>
      <c r="C15170" s="2889" t="s">
        <v>1543</v>
      </c>
      <c r="D15170" s="2889" t="s">
        <v>1106</v>
      </c>
      <c r="E15170" s="2889" t="s">
        <v>1420</v>
      </c>
      <c r="F15170" s="2890">
        <v>5.0861021733914075E-3</v>
      </c>
      <c r="G15170" s="2890">
        <v>49.781881622611223</v>
      </c>
    </row>
    <row r="15171" spans="2:7" ht="15" hidden="1" outlineLevel="2">
      <c r="B15171" s="2889" t="s">
        <v>1653</v>
      </c>
      <c r="C15171" s="2889" t="s">
        <v>1544</v>
      </c>
      <c r="D15171" s="2889" t="s">
        <v>1106</v>
      </c>
      <c r="E15171" s="2889" t="s">
        <v>1420</v>
      </c>
      <c r="F15171" s="2890">
        <v>4.9160022537162468E-3</v>
      </c>
      <c r="G15171" s="2890">
        <v>12.844593144114262</v>
      </c>
    </row>
    <row r="15172" spans="2:7" ht="15" hidden="1" outlineLevel="2">
      <c r="B15172" s="2889" t="s">
        <v>1653</v>
      </c>
      <c r="C15172" s="2889" t="s">
        <v>1545</v>
      </c>
      <c r="D15172" s="2889" t="s">
        <v>1106</v>
      </c>
      <c r="E15172" s="2889" t="s">
        <v>1420</v>
      </c>
      <c r="F15172" s="2890">
        <v>4.9162112424242189E-3</v>
      </c>
      <c r="G15172" s="2890">
        <v>97.698289714413747</v>
      </c>
    </row>
    <row r="15173" spans="2:7" ht="15" hidden="1" outlineLevel="2">
      <c r="B15173" s="2889" t="s">
        <v>1653</v>
      </c>
      <c r="C15173" s="2889" t="s">
        <v>1546</v>
      </c>
      <c r="D15173" s="2889" t="s">
        <v>1106</v>
      </c>
      <c r="E15173" s="2889" t="s">
        <v>1423</v>
      </c>
      <c r="F15173" s="2890">
        <v>14.902749160859653</v>
      </c>
      <c r="G15173" s="2890">
        <v>1254.1506084976045</v>
      </c>
    </row>
    <row r="15174" spans="2:7" ht="15" hidden="1" outlineLevel="2">
      <c r="B15174" s="2889" t="s">
        <v>1653</v>
      </c>
      <c r="C15174" s="2889" t="s">
        <v>1547</v>
      </c>
      <c r="D15174" s="2889" t="s">
        <v>1106</v>
      </c>
      <c r="E15174" s="2889" t="s">
        <v>1423</v>
      </c>
      <c r="F15174" s="2890">
        <v>1.6277587764989873E-2</v>
      </c>
      <c r="G15174" s="2890">
        <v>1.4253882186188991</v>
      </c>
    </row>
    <row r="15175" spans="2:7" ht="15" hidden="1" outlineLevel="2">
      <c r="B15175" s="2889" t="s">
        <v>1653</v>
      </c>
      <c r="C15175" s="2889" t="s">
        <v>1548</v>
      </c>
      <c r="D15175" s="2889" t="s">
        <v>1106</v>
      </c>
      <c r="E15175" s="2889" t="s">
        <v>1423</v>
      </c>
      <c r="F15175" s="2890">
        <v>7.5951166385988299E-3</v>
      </c>
      <c r="G15175" s="2890">
        <v>0.77842047012836568</v>
      </c>
    </row>
    <row r="15176" spans="2:7" ht="15" hidden="1" outlineLevel="2">
      <c r="B15176" s="2889" t="s">
        <v>1653</v>
      </c>
      <c r="C15176" s="2889" t="s">
        <v>1549</v>
      </c>
      <c r="D15176" s="2889" t="s">
        <v>1106</v>
      </c>
      <c r="E15176" s="2889" t="s">
        <v>1423</v>
      </c>
      <c r="F15176" s="2890">
        <v>4.1710911083980409E-2</v>
      </c>
      <c r="G15176" s="2890">
        <v>4.1074430464458604</v>
      </c>
    </row>
    <row r="15177" spans="2:7" ht="15" hidden="1" outlineLevel="2">
      <c r="B15177" s="2889" t="s">
        <v>1653</v>
      </c>
      <c r="C15177" s="2889" t="s">
        <v>1550</v>
      </c>
      <c r="D15177" s="2889" t="s">
        <v>1106</v>
      </c>
      <c r="E15177" s="2889" t="s">
        <v>1423</v>
      </c>
      <c r="F15177" s="2890">
        <v>2.5864722077660659E-2</v>
      </c>
      <c r="G15177" s="2890">
        <v>5.8164117203327166</v>
      </c>
    </row>
    <row r="15178" spans="2:7" ht="15" hidden="1" outlineLevel="2">
      <c r="B15178" s="2889" t="s">
        <v>1653</v>
      </c>
      <c r="C15178" s="2889" t="s">
        <v>1551</v>
      </c>
      <c r="D15178" s="2889" t="s">
        <v>1106</v>
      </c>
      <c r="E15178" s="2889" t="s">
        <v>1426</v>
      </c>
      <c r="F15178" s="2891"/>
      <c r="G15178" s="2890">
        <v>390.93129382164426</v>
      </c>
    </row>
    <row r="15179" spans="2:7" ht="15" hidden="1" outlineLevel="2">
      <c r="B15179" s="2889" t="s">
        <v>1653</v>
      </c>
      <c r="C15179" s="2889" t="s">
        <v>1552</v>
      </c>
      <c r="D15179" s="2889" t="s">
        <v>1106</v>
      </c>
      <c r="E15179" s="2889" t="s">
        <v>1426</v>
      </c>
      <c r="F15179" s="2891"/>
      <c r="G15179" s="2890">
        <v>5672.6332235832742</v>
      </c>
    </row>
    <row r="15180" spans="2:7" ht="15" hidden="1" outlineLevel="2">
      <c r="B15180" s="2889" t="s">
        <v>1653</v>
      </c>
      <c r="C15180" s="2889" t="s">
        <v>1553</v>
      </c>
      <c r="D15180" s="2889" t="s">
        <v>1106</v>
      </c>
      <c r="E15180" s="2889" t="s">
        <v>1426</v>
      </c>
      <c r="F15180" s="2891"/>
      <c r="G15180" s="2890">
        <v>2475.9197089843001</v>
      </c>
    </row>
    <row r="15181" spans="2:7" ht="15" hidden="1" outlineLevel="2">
      <c r="B15181" s="2889" t="s">
        <v>1653</v>
      </c>
      <c r="C15181" s="2889" t="s">
        <v>1554</v>
      </c>
      <c r="D15181" s="2889" t="s">
        <v>1106</v>
      </c>
      <c r="E15181" s="2889" t="s">
        <v>1426</v>
      </c>
      <c r="F15181" s="2891"/>
      <c r="G15181" s="2890">
        <v>2513.0314417628451</v>
      </c>
    </row>
    <row r="15182" spans="2:7" ht="15" hidden="1" outlineLevel="2">
      <c r="B15182" s="2889" t="s">
        <v>1653</v>
      </c>
      <c r="C15182" s="2889" t="s">
        <v>1555</v>
      </c>
      <c r="D15182" s="2889" t="s">
        <v>1106</v>
      </c>
      <c r="E15182" s="2889" t="s">
        <v>1426</v>
      </c>
      <c r="F15182" s="2891"/>
      <c r="G15182" s="2890">
        <v>96.609876106145265</v>
      </c>
    </row>
    <row r="15183" spans="2:7" ht="15" hidden="1" outlineLevel="2">
      <c r="B15183" s="2889" t="s">
        <v>1653</v>
      </c>
      <c r="C15183" s="2889" t="s">
        <v>1556</v>
      </c>
      <c r="D15183" s="2889" t="s">
        <v>1106</v>
      </c>
      <c r="E15183" s="2889" t="s">
        <v>1426</v>
      </c>
      <c r="F15183" s="2891"/>
      <c r="G15183" s="2890">
        <v>11947.517405634475</v>
      </c>
    </row>
    <row r="15184" spans="2:7" ht="15" hidden="1" outlineLevel="2">
      <c r="B15184" s="2889" t="s">
        <v>1653</v>
      </c>
      <c r="C15184" s="2889" t="s">
        <v>1557</v>
      </c>
      <c r="D15184" s="2889" t="s">
        <v>1106</v>
      </c>
      <c r="E15184" s="2889" t="s">
        <v>1426</v>
      </c>
      <c r="F15184" s="2891"/>
      <c r="G15184" s="2890">
        <v>3571.3621852879669</v>
      </c>
    </row>
    <row r="15185" spans="2:7" ht="15" hidden="1" outlineLevel="2">
      <c r="B15185" s="2889" t="s">
        <v>1653</v>
      </c>
      <c r="C15185" s="2889" t="s">
        <v>1558</v>
      </c>
      <c r="D15185" s="2889" t="s">
        <v>1559</v>
      </c>
      <c r="E15185" s="2889" t="s">
        <v>217</v>
      </c>
      <c r="F15185" s="2890">
        <v>5.4514246717802285E-2</v>
      </c>
      <c r="G15185" s="2890">
        <v>29.85478901724743</v>
      </c>
    </row>
    <row r="15186" spans="2:7" ht="15" hidden="1" outlineLevel="2">
      <c r="B15186" s="2889" t="s">
        <v>1653</v>
      </c>
      <c r="C15186" s="2889" t="s">
        <v>1560</v>
      </c>
      <c r="D15186" s="2889" t="s">
        <v>1559</v>
      </c>
      <c r="E15186" s="2889" t="s">
        <v>217</v>
      </c>
      <c r="F15186" s="2890">
        <v>4.3923747815527894E-2</v>
      </c>
      <c r="G15186" s="2890">
        <v>23.704400752645409</v>
      </c>
    </row>
    <row r="15187" spans="2:7" ht="15" hidden="1" outlineLevel="2">
      <c r="B15187" s="2889" t="s">
        <v>1653</v>
      </c>
      <c r="C15187" s="2889" t="s">
        <v>1561</v>
      </c>
      <c r="D15187" s="2889" t="s">
        <v>1559</v>
      </c>
      <c r="E15187" s="2889" t="s">
        <v>217</v>
      </c>
      <c r="F15187" s="2890">
        <v>0.78216170953669961</v>
      </c>
      <c r="G15187" s="2890">
        <v>407.84088805570002</v>
      </c>
    </row>
    <row r="15188" spans="2:7" ht="15" hidden="1" outlineLevel="2">
      <c r="B15188" s="2889" t="s">
        <v>1653</v>
      </c>
      <c r="C15188" s="2889" t="s">
        <v>1562</v>
      </c>
      <c r="D15188" s="2889" t="s">
        <v>1559</v>
      </c>
      <c r="E15188" s="2889" t="s">
        <v>217</v>
      </c>
      <c r="F15188" s="2890">
        <v>0.48111144622480817</v>
      </c>
      <c r="G15188" s="2890">
        <v>263.80452078356552</v>
      </c>
    </row>
    <row r="15189" spans="2:7" ht="15" hidden="1" outlineLevel="2">
      <c r="B15189" s="2889" t="s">
        <v>1653</v>
      </c>
      <c r="C15189" s="2889" t="s">
        <v>1563</v>
      </c>
      <c r="D15189" s="2889" t="s">
        <v>1559</v>
      </c>
      <c r="E15189" s="2889" t="s">
        <v>217</v>
      </c>
      <c r="F15189" s="2890">
        <v>0.96444406037473485</v>
      </c>
      <c r="G15189" s="2890">
        <v>568.34634115836855</v>
      </c>
    </row>
    <row r="15190" spans="2:7" ht="15" hidden="1" outlineLevel="2">
      <c r="B15190" s="2889" t="s">
        <v>1653</v>
      </c>
      <c r="C15190" s="2889" t="s">
        <v>1564</v>
      </c>
      <c r="D15190" s="2889" t="s">
        <v>1559</v>
      </c>
      <c r="E15190" s="2889" t="s">
        <v>217</v>
      </c>
      <c r="F15190" s="2890">
        <v>0.45432280485815424</v>
      </c>
      <c r="G15190" s="2890">
        <v>230.03310488764376</v>
      </c>
    </row>
    <row r="15191" spans="2:7" ht="15" hidden="1" outlineLevel="2">
      <c r="B15191" s="2889" t="s">
        <v>1653</v>
      </c>
      <c r="C15191" s="2889" t="s">
        <v>1565</v>
      </c>
      <c r="D15191" s="2889" t="s">
        <v>1559</v>
      </c>
      <c r="E15191" s="2889" t="s">
        <v>217</v>
      </c>
      <c r="F15191" s="2890">
        <v>0.67980107359838038</v>
      </c>
      <c r="G15191" s="2890">
        <v>365.78648457262403</v>
      </c>
    </row>
    <row r="15192" spans="2:7" ht="15" hidden="1" outlineLevel="2">
      <c r="B15192" s="2889" t="s">
        <v>1653</v>
      </c>
      <c r="C15192" s="2889" t="s">
        <v>1566</v>
      </c>
      <c r="D15192" s="2889" t="s">
        <v>1559</v>
      </c>
      <c r="E15192" s="2889" t="s">
        <v>217</v>
      </c>
      <c r="F15192" s="2890">
        <v>0.40099018893817173</v>
      </c>
      <c r="G15192" s="2890">
        <v>214.79612426189715</v>
      </c>
    </row>
    <row r="15193" spans="2:7" ht="15" hidden="1" outlineLevel="2">
      <c r="B15193" s="2889" t="s">
        <v>1653</v>
      </c>
      <c r="C15193" s="2889" t="s">
        <v>1567</v>
      </c>
      <c r="D15193" s="2889" t="s">
        <v>1559</v>
      </c>
      <c r="E15193" s="2889" t="s">
        <v>217</v>
      </c>
      <c r="F15193" s="2890">
        <v>1.1827410213327216</v>
      </c>
      <c r="G15193" s="2890">
        <v>174.09334996715754</v>
      </c>
    </row>
    <row r="15194" spans="2:7" ht="15" hidden="1" outlineLevel="2">
      <c r="B15194" s="2889" t="s">
        <v>1653</v>
      </c>
      <c r="C15194" s="2889" t="s">
        <v>1568</v>
      </c>
      <c r="D15194" s="2889" t="s">
        <v>1559</v>
      </c>
      <c r="E15194" s="2889" t="s">
        <v>217</v>
      </c>
      <c r="F15194" s="2890">
        <v>0.46630107496665163</v>
      </c>
      <c r="G15194" s="2890">
        <v>68.637787231194409</v>
      </c>
    </row>
    <row r="15195" spans="2:7" ht="15" hidden="1" outlineLevel="2">
      <c r="B15195" s="2889" t="s">
        <v>1653</v>
      </c>
      <c r="C15195" s="2889" t="s">
        <v>1569</v>
      </c>
      <c r="D15195" s="2889" t="s">
        <v>1559</v>
      </c>
      <c r="E15195" s="2889" t="s">
        <v>217</v>
      </c>
      <c r="F15195" s="2890">
        <v>1.9644607023462223E-4</v>
      </c>
      <c r="G15195" s="2890">
        <v>9.8180029863385046E-2</v>
      </c>
    </row>
    <row r="15196" spans="2:7" ht="15" hidden="1" outlineLevel="2">
      <c r="B15196" s="2889" t="s">
        <v>1653</v>
      </c>
      <c r="C15196" s="2889" t="s">
        <v>1570</v>
      </c>
      <c r="D15196" s="2889" t="s">
        <v>1559</v>
      </c>
      <c r="E15196" s="2889" t="s">
        <v>217</v>
      </c>
      <c r="F15196" s="2890">
        <v>8.2303804139269889</v>
      </c>
      <c r="G15196" s="2890">
        <v>5095.1686995312657</v>
      </c>
    </row>
    <row r="15197" spans="2:7" ht="15" hidden="1" outlineLevel="2">
      <c r="B15197" s="2889" t="s">
        <v>1653</v>
      </c>
      <c r="C15197" s="2889" t="s">
        <v>1571</v>
      </c>
      <c r="D15197" s="2889" t="s">
        <v>1559</v>
      </c>
      <c r="E15197" s="2889" t="s">
        <v>217</v>
      </c>
      <c r="F15197" s="2890">
        <v>0.56383620125560252</v>
      </c>
      <c r="G15197" s="2890">
        <v>670.54318202807542</v>
      </c>
    </row>
    <row r="15198" spans="2:7" ht="15" hidden="1" outlineLevel="2">
      <c r="B15198" s="2889" t="s">
        <v>1653</v>
      </c>
      <c r="C15198" s="2889" t="s">
        <v>1572</v>
      </c>
      <c r="D15198" s="2889" t="s">
        <v>1559</v>
      </c>
      <c r="E15198" s="2889" t="s">
        <v>217</v>
      </c>
      <c r="F15198" s="2890">
        <v>0.69575755416122609</v>
      </c>
      <c r="G15198" s="2890">
        <v>427.2368203019787</v>
      </c>
    </row>
    <row r="15199" spans="2:7" ht="15" hidden="1" outlineLevel="2">
      <c r="B15199" s="2889" t="s">
        <v>1653</v>
      </c>
      <c r="C15199" s="2889" t="s">
        <v>1573</v>
      </c>
      <c r="D15199" s="2889" t="s">
        <v>1559</v>
      </c>
      <c r="E15199" s="2889" t="s">
        <v>217</v>
      </c>
      <c r="F15199" s="2890">
        <v>0.45702606837572712</v>
      </c>
      <c r="G15199" s="2890">
        <v>341.31246034135665</v>
      </c>
    </row>
    <row r="15200" spans="2:7" ht="15" hidden="1" outlineLevel="2">
      <c r="B15200" s="2889" t="s">
        <v>1653</v>
      </c>
      <c r="C15200" s="2889" t="s">
        <v>1574</v>
      </c>
      <c r="D15200" s="2889" t="s">
        <v>1559</v>
      </c>
      <c r="E15200" s="2889" t="s">
        <v>217</v>
      </c>
      <c r="F15200" s="2890">
        <v>3.7710981157727905E-2</v>
      </c>
      <c r="G15200" s="2890">
        <v>28.364736816453856</v>
      </c>
    </row>
    <row r="15201" spans="2:7" ht="15" hidden="1" outlineLevel="2">
      <c r="B15201" s="2889" t="s">
        <v>1653</v>
      </c>
      <c r="C15201" s="2889" t="s">
        <v>1575</v>
      </c>
      <c r="D15201" s="2889" t="s">
        <v>1559</v>
      </c>
      <c r="E15201" s="2889" t="s">
        <v>217</v>
      </c>
      <c r="F15201" s="2890">
        <v>1.2529718241078172E-2</v>
      </c>
      <c r="G15201" s="2890">
        <v>15.533041920129079</v>
      </c>
    </row>
    <row r="15202" spans="2:7" ht="15" hidden="1" outlineLevel="2">
      <c r="B15202" s="2889" t="s">
        <v>1653</v>
      </c>
      <c r="C15202" s="2889" t="s">
        <v>1576</v>
      </c>
      <c r="D15202" s="2889" t="s">
        <v>1559</v>
      </c>
      <c r="E15202" s="2889" t="s">
        <v>217</v>
      </c>
      <c r="F15202" s="2890">
        <v>7.1773741121301415E-2</v>
      </c>
      <c r="G15202" s="2890">
        <v>54.114864116798621</v>
      </c>
    </row>
    <row r="15203" spans="2:7" ht="15" hidden="1" outlineLevel="2">
      <c r="B15203" s="2889" t="s">
        <v>1653</v>
      </c>
      <c r="C15203" s="2889" t="s">
        <v>1577</v>
      </c>
      <c r="D15203" s="2889" t="s">
        <v>1559</v>
      </c>
      <c r="E15203" s="2889" t="s">
        <v>217</v>
      </c>
      <c r="F15203" s="2890">
        <v>0.41133488746687435</v>
      </c>
      <c r="G15203" s="2890">
        <v>640.81786967908135</v>
      </c>
    </row>
    <row r="15204" spans="2:7" ht="15" hidden="1" outlineLevel="2">
      <c r="B15204" s="2889" t="s">
        <v>1653</v>
      </c>
      <c r="C15204" s="2889" t="s">
        <v>1578</v>
      </c>
      <c r="D15204" s="2889" t="s">
        <v>1559</v>
      </c>
      <c r="E15204" s="2889" t="s">
        <v>217</v>
      </c>
      <c r="F15204" s="2890">
        <v>1.0317800098780574</v>
      </c>
      <c r="G15204" s="2890">
        <v>562.46872865603495</v>
      </c>
    </row>
    <row r="15205" spans="2:7" ht="15" hidden="1" outlineLevel="2">
      <c r="B15205" s="2889" t="s">
        <v>1653</v>
      </c>
      <c r="C15205" s="2889" t="s">
        <v>1579</v>
      </c>
      <c r="D15205" s="2889" t="s">
        <v>1559</v>
      </c>
      <c r="E15205" s="2889" t="s">
        <v>217</v>
      </c>
      <c r="F15205" s="2890">
        <v>0.40684459846971199</v>
      </c>
      <c r="G15205" s="2890">
        <v>221.75802689360029</v>
      </c>
    </row>
    <row r="15206" spans="2:7" ht="15" hidden="1" outlineLevel="2">
      <c r="B15206" s="2889" t="s">
        <v>1653</v>
      </c>
      <c r="C15206" s="2889" t="s">
        <v>1580</v>
      </c>
      <c r="D15206" s="2889" t="s">
        <v>1559</v>
      </c>
      <c r="E15206" s="2889" t="s">
        <v>217</v>
      </c>
      <c r="F15206" s="2890">
        <v>0.8095743227241492</v>
      </c>
      <c r="G15206" s="2890">
        <v>1022.3264008261222</v>
      </c>
    </row>
    <row r="15207" spans="2:7" ht="15" hidden="1" outlineLevel="2">
      <c r="B15207" s="2889" t="s">
        <v>1653</v>
      </c>
      <c r="C15207" s="2889" t="s">
        <v>1581</v>
      </c>
      <c r="D15207" s="2889" t="s">
        <v>1559</v>
      </c>
      <c r="E15207" s="2889" t="s">
        <v>217</v>
      </c>
      <c r="F15207" s="2890">
        <v>5.2537513155171835E-2</v>
      </c>
      <c r="G15207" s="2890">
        <v>74.035576611266166</v>
      </c>
    </row>
    <row r="15208" spans="2:7" ht="15" hidden="1" outlineLevel="2">
      <c r="B15208" s="2889" t="s">
        <v>1653</v>
      </c>
      <c r="C15208" s="2889" t="s">
        <v>1582</v>
      </c>
      <c r="D15208" s="2889" t="s">
        <v>1559</v>
      </c>
      <c r="E15208" s="2889" t="s">
        <v>217</v>
      </c>
      <c r="F15208" s="2890">
        <v>7.4049786390533556E-2</v>
      </c>
      <c r="G15208" s="2890">
        <v>84.267680280752941</v>
      </c>
    </row>
    <row r="15209" spans="2:7" ht="15" hidden="1" outlineLevel="2">
      <c r="B15209" s="2889" t="s">
        <v>1653</v>
      </c>
      <c r="C15209" s="2889" t="s">
        <v>1583</v>
      </c>
      <c r="D15209" s="2889" t="s">
        <v>1559</v>
      </c>
      <c r="E15209" s="2889" t="s">
        <v>217</v>
      </c>
      <c r="F15209" s="2890">
        <v>5.7067665192340918E-2</v>
      </c>
      <c r="G15209" s="2890">
        <v>39.24055564395362</v>
      </c>
    </row>
    <row r="15210" spans="2:7" ht="15" hidden="1" outlineLevel="2">
      <c r="B15210" s="2889" t="s">
        <v>1653</v>
      </c>
      <c r="C15210" s="2889" t="s">
        <v>1584</v>
      </c>
      <c r="D15210" s="2889" t="s">
        <v>1559</v>
      </c>
      <c r="E15210" s="2889" t="s">
        <v>217</v>
      </c>
      <c r="F15210" s="2890">
        <v>10.825603944712267</v>
      </c>
      <c r="G15210" s="2890">
        <v>13703.578493284267</v>
      </c>
    </row>
    <row r="15211" spans="2:7" ht="15" hidden="1" outlineLevel="2">
      <c r="B15211" s="2889" t="s">
        <v>1653</v>
      </c>
      <c r="C15211" s="2889" t="s">
        <v>1585</v>
      </c>
      <c r="D15211" s="2889" t="s">
        <v>1559</v>
      </c>
      <c r="E15211" s="2889" t="s">
        <v>217</v>
      </c>
      <c r="F15211" s="2890">
        <v>0.71385943869658741</v>
      </c>
      <c r="G15211" s="2890">
        <v>1006.1756249925194</v>
      </c>
    </row>
    <row r="15212" spans="2:7" ht="15" hidden="1" outlineLevel="2">
      <c r="B15212" s="2889" t="s">
        <v>1653</v>
      </c>
      <c r="C15212" s="2889" t="s">
        <v>1586</v>
      </c>
      <c r="D15212" s="2889" t="s">
        <v>1559</v>
      </c>
      <c r="E15212" s="2889" t="s">
        <v>217</v>
      </c>
      <c r="F15212" s="2890">
        <v>8.0365826016787531E-2</v>
      </c>
      <c r="G15212" s="2890">
        <v>168.45476863086748</v>
      </c>
    </row>
    <row r="15213" spans="2:7" ht="15" hidden="1" outlineLevel="2">
      <c r="B15213" s="2889" t="s">
        <v>1653</v>
      </c>
      <c r="C15213" s="2889" t="s">
        <v>1587</v>
      </c>
      <c r="D15213" s="2889" t="s">
        <v>1559</v>
      </c>
      <c r="E15213" s="2889" t="s">
        <v>217</v>
      </c>
      <c r="F15213" s="2890">
        <v>2.2356230708927924</v>
      </c>
      <c r="G15213" s="2890">
        <v>3245.9874816045703</v>
      </c>
    </row>
    <row r="15214" spans="2:7" ht="15" hidden="1" outlineLevel="2">
      <c r="B15214" s="2889" t="s">
        <v>1653</v>
      </c>
      <c r="C15214" s="2889" t="s">
        <v>1588</v>
      </c>
      <c r="D15214" s="2889" t="s">
        <v>1559</v>
      </c>
      <c r="E15214" s="2889" t="s">
        <v>217</v>
      </c>
      <c r="F15214" s="2890">
        <v>0.62259253158101036</v>
      </c>
      <c r="G15214" s="2890">
        <v>485.3982662338783</v>
      </c>
    </row>
    <row r="15215" spans="2:7" ht="15" hidden="1" outlineLevel="2">
      <c r="B15215" s="2889" t="s">
        <v>1653</v>
      </c>
      <c r="C15215" s="2889" t="s">
        <v>1589</v>
      </c>
      <c r="D15215" s="2889" t="s">
        <v>1559</v>
      </c>
      <c r="E15215" s="2889" t="s">
        <v>217</v>
      </c>
      <c r="F15215" s="2890">
        <v>0.12731322867892916</v>
      </c>
      <c r="G15215" s="2890">
        <v>99.455725420276153</v>
      </c>
    </row>
    <row r="15216" spans="2:7" ht="15" hidden="1" outlineLevel="2">
      <c r="B15216" s="2889" t="s">
        <v>1653</v>
      </c>
      <c r="C15216" s="2889" t="s">
        <v>1590</v>
      </c>
      <c r="D15216" s="2889" t="s">
        <v>1559</v>
      </c>
      <c r="E15216" s="2889" t="s">
        <v>1420</v>
      </c>
      <c r="F15216" s="2890">
        <v>6.2644926523129814E-3</v>
      </c>
      <c r="G15216" s="2890">
        <v>55.881843944831445</v>
      </c>
    </row>
    <row r="15217" spans="2:7" ht="15" hidden="1" outlineLevel="2">
      <c r="B15217" s="2889" t="s">
        <v>1653</v>
      </c>
      <c r="C15217" s="2889" t="s">
        <v>1591</v>
      </c>
      <c r="D15217" s="2889" t="s">
        <v>1559</v>
      </c>
      <c r="E15217" s="2889" t="s">
        <v>1426</v>
      </c>
      <c r="F15217" s="2891"/>
      <c r="G15217" s="2890">
        <v>8.6866669800039792E-2</v>
      </c>
    </row>
    <row r="15218" spans="2:7" ht="15" hidden="1" outlineLevel="2">
      <c r="B15218" s="2889" t="s">
        <v>1653</v>
      </c>
      <c r="C15218" s="2889" t="s">
        <v>1592</v>
      </c>
      <c r="D15218" s="2889" t="s">
        <v>1559</v>
      </c>
      <c r="E15218" s="2889" t="s">
        <v>1426</v>
      </c>
      <c r="F15218" s="2891"/>
      <c r="G15218" s="2890">
        <v>23.214422429791544</v>
      </c>
    </row>
    <row r="15219" spans="2:7" ht="15" hidden="1" outlineLevel="2">
      <c r="B15219" s="2889" t="s">
        <v>1653</v>
      </c>
      <c r="C15219" s="2889" t="s">
        <v>1593</v>
      </c>
      <c r="D15219" s="2889" t="s">
        <v>1559</v>
      </c>
      <c r="E15219" s="2889" t="s">
        <v>1426</v>
      </c>
      <c r="F15219" s="2891"/>
      <c r="G15219" s="2890">
        <v>607.44220954041339</v>
      </c>
    </row>
    <row r="15220" spans="2:7" ht="15" hidden="1" outlineLevel="2">
      <c r="B15220" s="2889" t="s">
        <v>1653</v>
      </c>
      <c r="C15220" s="2889" t="s">
        <v>1594</v>
      </c>
      <c r="D15220" s="2889" t="s">
        <v>1559</v>
      </c>
      <c r="E15220" s="2889" t="s">
        <v>1426</v>
      </c>
      <c r="F15220" s="2891"/>
      <c r="G15220" s="2890">
        <v>125.35549931894866</v>
      </c>
    </row>
    <row r="15221" spans="2:7" ht="15" hidden="1" outlineLevel="2">
      <c r="B15221" s="2889" t="s">
        <v>1653</v>
      </c>
      <c r="C15221" s="2889" t="s">
        <v>1595</v>
      </c>
      <c r="D15221" s="2889" t="s">
        <v>1559</v>
      </c>
      <c r="E15221" s="2889" t="s">
        <v>1426</v>
      </c>
      <c r="F15221" s="2891"/>
      <c r="G15221" s="2890">
        <v>827.01638951450514</v>
      </c>
    </row>
    <row r="15222" spans="2:7" ht="15" hidden="1" outlineLevel="2">
      <c r="B15222" s="2889" t="s">
        <v>1653</v>
      </c>
      <c r="C15222" s="2889" t="s">
        <v>1596</v>
      </c>
      <c r="D15222" s="2889" t="s">
        <v>1559</v>
      </c>
      <c r="E15222" s="2889" t="s">
        <v>1426</v>
      </c>
      <c r="F15222" s="2891"/>
      <c r="G15222" s="2890">
        <v>97.512386264789228</v>
      </c>
    </row>
    <row r="15223" spans="2:7" ht="15" hidden="1" outlineLevel="2">
      <c r="B15223" s="2889" t="s">
        <v>1653</v>
      </c>
      <c r="C15223" s="2889" t="s">
        <v>1597</v>
      </c>
      <c r="D15223" s="2889" t="s">
        <v>1559</v>
      </c>
      <c r="E15223" s="2889" t="s">
        <v>1426</v>
      </c>
      <c r="F15223" s="2891"/>
      <c r="G15223" s="2890">
        <v>2.322804858196895</v>
      </c>
    </row>
    <row r="15224" spans="2:7" ht="15" hidden="1" outlineLevel="2">
      <c r="B15224" s="2889" t="s">
        <v>1653</v>
      </c>
      <c r="C15224" s="2889" t="s">
        <v>1598</v>
      </c>
      <c r="D15224" s="2889" t="s">
        <v>1599</v>
      </c>
      <c r="E15224" s="2889" t="s">
        <v>217</v>
      </c>
      <c r="F15224" s="2890">
        <v>2.9467734227582675E-37</v>
      </c>
      <c r="G15224" s="2890">
        <v>1.7041150163426568E-34</v>
      </c>
    </row>
    <row r="15225" spans="2:7" ht="15" hidden="1" outlineLevel="2">
      <c r="B15225" s="2889" t="s">
        <v>1653</v>
      </c>
      <c r="C15225" s="2889" t="s">
        <v>1600</v>
      </c>
      <c r="D15225" s="2889" t="s">
        <v>1599</v>
      </c>
      <c r="E15225" s="2889" t="s">
        <v>217</v>
      </c>
      <c r="F15225" s="2890">
        <v>2.7422756183907537E-35</v>
      </c>
      <c r="G15225" s="2890">
        <v>3.0433135541203165E-32</v>
      </c>
    </row>
    <row r="15226" spans="2:7" ht="15" hidden="1" outlineLevel="2">
      <c r="B15226" s="2889" t="s">
        <v>1653</v>
      </c>
      <c r="C15226" s="2889" t="s">
        <v>1601</v>
      </c>
      <c r="D15226" s="2889" t="s">
        <v>1599</v>
      </c>
      <c r="E15226" s="2889" t="s">
        <v>217</v>
      </c>
      <c r="F15226" s="2890">
        <v>3.1357877272552823E-37</v>
      </c>
      <c r="G15226" s="2890">
        <v>4.3186769967087623E-34</v>
      </c>
    </row>
    <row r="15227" spans="2:7" ht="15" hidden="1" outlineLevel="2">
      <c r="B15227" s="2889" t="s">
        <v>1653</v>
      </c>
      <c r="C15227" s="2889" t="s">
        <v>1602</v>
      </c>
      <c r="D15227" s="2889" t="s">
        <v>1599</v>
      </c>
      <c r="E15227" s="2889" t="s">
        <v>1426</v>
      </c>
      <c r="F15227" s="2891"/>
      <c r="G15227" s="2890">
        <v>1.4161849396318106E-29</v>
      </c>
    </row>
    <row r="15228" spans="2:7" ht="15" hidden="1" outlineLevel="2">
      <c r="B15228" s="2889" t="s">
        <v>1653</v>
      </c>
      <c r="C15228" s="2889" t="s">
        <v>1603</v>
      </c>
      <c r="D15228" s="2889" t="s">
        <v>1604</v>
      </c>
      <c r="E15228" s="2889" t="s">
        <v>217</v>
      </c>
      <c r="F15228" s="2890">
        <v>1.6685691472936203E-2</v>
      </c>
      <c r="G15228" s="2890">
        <v>20.088329130503634</v>
      </c>
    </row>
    <row r="15229" spans="2:7" ht="15" hidden="1" outlineLevel="2">
      <c r="B15229" s="2889" t="s">
        <v>1653</v>
      </c>
      <c r="C15229" s="2889" t="s">
        <v>1605</v>
      </c>
      <c r="D15229" s="2889" t="s">
        <v>1604</v>
      </c>
      <c r="E15229" s="2889" t="s">
        <v>1423</v>
      </c>
      <c r="F15229" s="2890">
        <v>5.968856006320887E-2</v>
      </c>
      <c r="G15229" s="2890">
        <v>13.648946798389323</v>
      </c>
    </row>
    <row r="15230" spans="2:7" ht="15" hidden="1" outlineLevel="2">
      <c r="B15230" s="2889" t="s">
        <v>1653</v>
      </c>
      <c r="C15230" s="2889" t="s">
        <v>1606</v>
      </c>
      <c r="D15230" s="2889" t="s">
        <v>1604</v>
      </c>
      <c r="E15230" s="2889" t="s">
        <v>1426</v>
      </c>
      <c r="F15230" s="2891"/>
      <c r="G15230" s="2890">
        <v>72.367194478489935</v>
      </c>
    </row>
    <row r="15231" spans="2:7" ht="15" hidden="1" outlineLevel="2">
      <c r="B15231" s="2889" t="s">
        <v>1653</v>
      </c>
      <c r="C15231" s="2889" t="s">
        <v>1607</v>
      </c>
      <c r="D15231" s="2889" t="s">
        <v>1608</v>
      </c>
      <c r="E15231" s="2889" t="s">
        <v>217</v>
      </c>
      <c r="F15231" s="2890">
        <v>2.271504020724989</v>
      </c>
      <c r="G15231" s="2890">
        <v>1866.2316841987492</v>
      </c>
    </row>
    <row r="15232" spans="2:7" ht="15" hidden="1" outlineLevel="2">
      <c r="B15232" s="2889" t="s">
        <v>1653</v>
      </c>
      <c r="C15232" s="2889" t="s">
        <v>1609</v>
      </c>
      <c r="D15232" s="2889" t="s">
        <v>1608</v>
      </c>
      <c r="E15232" s="2889" t="s">
        <v>217</v>
      </c>
      <c r="F15232" s="2890">
        <v>0.98911918285216072</v>
      </c>
      <c r="G15232" s="2890">
        <v>787.54455160586838</v>
      </c>
    </row>
    <row r="15233" spans="2:7" ht="15" hidden="1" outlineLevel="2">
      <c r="B15233" s="2889" t="s">
        <v>1653</v>
      </c>
      <c r="C15233" s="2889" t="s">
        <v>1610</v>
      </c>
      <c r="D15233" s="2889" t="s">
        <v>1608</v>
      </c>
      <c r="E15233" s="2889" t="s">
        <v>217</v>
      </c>
      <c r="F15233" s="2890">
        <v>0.56123871673317005</v>
      </c>
      <c r="G15233" s="2890">
        <v>872.27995492148671</v>
      </c>
    </row>
    <row r="15234" spans="2:7" ht="15" hidden="1" outlineLevel="2">
      <c r="B15234" s="2889" t="s">
        <v>1653</v>
      </c>
      <c r="C15234" s="2889" t="s">
        <v>1611</v>
      </c>
      <c r="D15234" s="2889" t="s">
        <v>1608</v>
      </c>
      <c r="E15234" s="2889" t="s">
        <v>1612</v>
      </c>
      <c r="F15234" s="2891"/>
      <c r="G15234" s="2890">
        <v>776.64753516773828</v>
      </c>
    </row>
    <row r="15235" spans="2:7" ht="15" hidden="1" outlineLevel="2">
      <c r="B15235" s="2889" t="s">
        <v>1653</v>
      </c>
      <c r="C15235" s="2889" t="s">
        <v>1613</v>
      </c>
      <c r="D15235" s="2889" t="s">
        <v>1608</v>
      </c>
      <c r="E15235" s="2889" t="s">
        <v>1612</v>
      </c>
      <c r="F15235" s="2891"/>
      <c r="G15235" s="2890">
        <v>4.3705261112404701</v>
      </c>
    </row>
    <row r="15236" spans="2:7" ht="15" hidden="1" outlineLevel="2">
      <c r="B15236" s="2889" t="s">
        <v>1653</v>
      </c>
      <c r="C15236" s="2889" t="s">
        <v>1614</v>
      </c>
      <c r="D15236" s="2889" t="s">
        <v>1615</v>
      </c>
      <c r="E15236" s="2889" t="s">
        <v>1426</v>
      </c>
      <c r="F15236" s="2891"/>
      <c r="G15236" s="2890">
        <v>153.41750339997955</v>
      </c>
    </row>
    <row r="15237" spans="2:7" ht="15" hidden="1" outlineLevel="2">
      <c r="B15237" s="2889" t="s">
        <v>1653</v>
      </c>
      <c r="C15237" s="2889" t="s">
        <v>1616</v>
      </c>
      <c r="D15237" s="2889" t="s">
        <v>1615</v>
      </c>
      <c r="E15237" s="2889" t="s">
        <v>217</v>
      </c>
      <c r="F15237" s="2890">
        <v>4.8649242329520974E-3</v>
      </c>
      <c r="G15237" s="2890">
        <v>6.5706869497414058</v>
      </c>
    </row>
    <row r="15238" spans="2:7" ht="15" hidden="1" outlineLevel="2">
      <c r="B15238" s="2889" t="s">
        <v>1653</v>
      </c>
      <c r="C15238" s="2889" t="s">
        <v>1617</v>
      </c>
      <c r="D15238" s="2889" t="s">
        <v>1615</v>
      </c>
      <c r="E15238" s="2889" t="s">
        <v>1420</v>
      </c>
      <c r="F15238" s="2890">
        <v>7.7249555640880236E-5</v>
      </c>
      <c r="G15238" s="2890">
        <v>0.22360691391480741</v>
      </c>
    </row>
    <row r="15239" spans="2:7" ht="15" hidden="1" outlineLevel="2">
      <c r="B15239" s="2889" t="s">
        <v>1653</v>
      </c>
      <c r="C15239" s="2889" t="s">
        <v>1620</v>
      </c>
      <c r="D15239" s="2889" t="s">
        <v>1619</v>
      </c>
      <c r="E15239" s="2889" t="s">
        <v>217</v>
      </c>
      <c r="F15239" s="2890">
        <v>3.4382141394124677E-35</v>
      </c>
      <c r="G15239" s="2890">
        <v>4.1921589853032535E-32</v>
      </c>
    </row>
    <row r="15240" spans="2:7" ht="15" hidden="1" outlineLevel="2">
      <c r="B15240" s="2889" t="s">
        <v>1653</v>
      </c>
      <c r="C15240" s="2889" t="s">
        <v>1621</v>
      </c>
      <c r="D15240" s="2889" t="s">
        <v>1619</v>
      </c>
      <c r="E15240" s="2889" t="s">
        <v>217</v>
      </c>
      <c r="F15240" s="2890">
        <v>2.5727498841494662E-34</v>
      </c>
      <c r="G15240" s="2890">
        <v>7.0309237561352104E-32</v>
      </c>
    </row>
    <row r="15241" spans="2:7" ht="15" hidden="1" outlineLevel="2">
      <c r="B15241" s="2889" t="s">
        <v>1653</v>
      </c>
      <c r="C15241" s="2889" t="s">
        <v>1622</v>
      </c>
      <c r="D15241" s="2889" t="s">
        <v>1619</v>
      </c>
      <c r="E15241" s="2889" t="s">
        <v>217</v>
      </c>
      <c r="F15241" s="2890">
        <v>1.0335191748071537E-33</v>
      </c>
      <c r="G15241" s="2890">
        <v>1.1418625961266794E-30</v>
      </c>
    </row>
    <row r="15242" spans="2:7" ht="15" hidden="1" outlineLevel="2">
      <c r="B15242" s="2889" t="s">
        <v>1653</v>
      </c>
      <c r="C15242" s="2889" t="s">
        <v>1623</v>
      </c>
      <c r="D15242" s="2889" t="s">
        <v>1619</v>
      </c>
      <c r="E15242" s="2889" t="s">
        <v>217</v>
      </c>
      <c r="F15242" s="2890">
        <v>1.0664417689639099E-35</v>
      </c>
      <c r="G15242" s="2890">
        <v>7.3960601576518358E-33</v>
      </c>
    </row>
    <row r="15243" spans="2:7" ht="15" hidden="1" outlineLevel="2">
      <c r="B15243" s="2889" t="s">
        <v>1653</v>
      </c>
      <c r="C15243" s="2889" t="s">
        <v>1624</v>
      </c>
      <c r="D15243" s="2889" t="s">
        <v>1619</v>
      </c>
      <c r="E15243" s="2889" t="s">
        <v>217</v>
      </c>
      <c r="F15243" s="2890">
        <v>8.9301601592572123E-35</v>
      </c>
      <c r="G15243" s="2890">
        <v>7.6243334221304502E-32</v>
      </c>
    </row>
    <row r="15244" spans="2:7" ht="15" hidden="1" outlineLevel="2">
      <c r="B15244" s="2889" t="s">
        <v>1653</v>
      </c>
      <c r="C15244" s="2889" t="s">
        <v>1625</v>
      </c>
      <c r="D15244" s="2889" t="s">
        <v>1619</v>
      </c>
      <c r="E15244" s="2889" t="s">
        <v>217</v>
      </c>
      <c r="F15244" s="2890">
        <v>0.33323099182388533</v>
      </c>
      <c r="G15244" s="2890">
        <v>431.65440620760694</v>
      </c>
    </row>
    <row r="15245" spans="2:7" ht="15" hidden="1" outlineLevel="2">
      <c r="B15245" s="2889" t="s">
        <v>1653</v>
      </c>
      <c r="C15245" s="2889" t="s">
        <v>1626</v>
      </c>
      <c r="D15245" s="2889" t="s">
        <v>1619</v>
      </c>
      <c r="E15245" s="2889" t="s">
        <v>217</v>
      </c>
      <c r="F15245" s="2890">
        <v>7.3664304802545026E-35</v>
      </c>
      <c r="G15245" s="2890">
        <v>9.0352181707436596E-32</v>
      </c>
    </row>
    <row r="15246" spans="2:7" ht="15" hidden="1" outlineLevel="2">
      <c r="B15246" s="2889" t="s">
        <v>1653</v>
      </c>
      <c r="C15246" s="2889" t="s">
        <v>1627</v>
      </c>
      <c r="D15246" s="2889" t="s">
        <v>1619</v>
      </c>
      <c r="E15246" s="2889" t="s">
        <v>1420</v>
      </c>
      <c r="F15246" s="2890">
        <v>1.9010908880696712E-35</v>
      </c>
      <c r="G15246" s="2890">
        <v>3.1761120668295189E-32</v>
      </c>
    </row>
    <row r="15247" spans="2:7" ht="15" hidden="1" outlineLevel="2">
      <c r="B15247" s="2889" t="s">
        <v>1653</v>
      </c>
      <c r="C15247" s="2889" t="s">
        <v>1628</v>
      </c>
      <c r="D15247" s="2889" t="s">
        <v>1619</v>
      </c>
      <c r="E15247" s="2889" t="s">
        <v>1426</v>
      </c>
      <c r="F15247" s="2891"/>
      <c r="G15247" s="2890">
        <v>3.9412429149442822E-29</v>
      </c>
    </row>
    <row r="15248" spans="2:7" ht="15" hidden="1" outlineLevel="2">
      <c r="B15248" s="2889" t="s">
        <v>1653</v>
      </c>
      <c r="C15248" s="2889" t="s">
        <v>1629</v>
      </c>
      <c r="D15248" s="2889" t="s">
        <v>1630</v>
      </c>
      <c r="E15248" s="2889" t="s">
        <v>1426</v>
      </c>
      <c r="F15248" s="2891"/>
      <c r="G15248" s="2890">
        <v>3.0023057417662033E-30</v>
      </c>
    </row>
    <row r="15249" spans="2:7" ht="15" outlineLevel="1" collapsed="1">
      <c r="B15249" s="3044" t="s">
        <v>1723</v>
      </c>
      <c r="C15249" s="2892"/>
      <c r="D15249" s="2892"/>
      <c r="E15249" s="2892"/>
      <c r="F15249" s="2891">
        <f>SUBTOTAL(9,F15039:F15248)</f>
        <v>79.767164101014657</v>
      </c>
      <c r="G15249" s="3043">
        <f>SUBTOTAL(9,G15039:G15248)</f>
        <v>118910.92512452583</v>
      </c>
    </row>
    <row r="15250" spans="2:7" ht="15">
      <c r="B15250" s="3044" t="s">
        <v>1382</v>
      </c>
      <c r="C15250" s="2892"/>
      <c r="D15250" s="2892"/>
      <c r="E15250" s="2892"/>
      <c r="F15250" s="2891">
        <f>SUBTOTAL(9,F10166:F15248)</f>
        <v>1466.2725802679931</v>
      </c>
      <c r="G15250" s="3043">
        <f>SUBTOTAL(9,G10166:G15248)</f>
        <v>3591419.5664793872</v>
      </c>
    </row>
  </sheetData>
  <sheetProtection password="CD58" sheet="1" objects="1" scenarios="1"/>
  <mergeCells count="2">
    <mergeCell ref="B4:F4"/>
    <mergeCell ref="A2:K2"/>
  </mergeCells>
  <pageMargins left="0.7" right="0.7" top="0.75" bottom="0.75" header="0.3" footer="0.3"/>
  <pageSetup orientation="portrait" r:id="rId1"/>
  <drawing r:id="rId2"/>
  <picture r:id="rId3"/>
</worksheet>
</file>

<file path=xl/worksheets/sheet8.xml><?xml version="1.0" encoding="utf-8"?>
<worksheet xmlns="http://schemas.openxmlformats.org/spreadsheetml/2006/main" xmlns:r="http://schemas.openxmlformats.org/officeDocument/2006/relationships">
  <sheetPr codeName="Sheet14"/>
  <dimension ref="A1:AH63"/>
  <sheetViews>
    <sheetView zoomScaleNormal="100" workbookViewId="0">
      <selection activeCell="E1" sqref="E1"/>
    </sheetView>
  </sheetViews>
  <sheetFormatPr defaultRowHeight="11.25"/>
  <cols>
    <col min="1" max="1" width="4.6640625" customWidth="1"/>
    <col min="2" max="2" width="58.33203125" customWidth="1"/>
    <col min="3" max="3" width="24.6640625" customWidth="1"/>
    <col min="4" max="4" width="4" customWidth="1"/>
    <col min="5" max="5" width="30.83203125" customWidth="1"/>
    <col min="6" max="6" width="2.6640625" customWidth="1"/>
    <col min="7" max="7" width="20" bestFit="1" customWidth="1"/>
    <col min="8" max="8" width="2.6640625" customWidth="1"/>
    <col min="9" max="9" width="18.5" bestFit="1" customWidth="1"/>
    <col min="10" max="10" width="2.1640625" customWidth="1"/>
    <col min="11" max="11" width="26.1640625" customWidth="1"/>
    <col min="12" max="12" width="2.1640625" customWidth="1"/>
    <col min="13" max="13" width="19.33203125" customWidth="1"/>
    <col min="14" max="14" width="2.1640625" customWidth="1"/>
    <col min="15" max="15" width="17.83203125" customWidth="1"/>
    <col min="16" max="16" width="2.33203125" customWidth="1"/>
    <col min="17" max="17" width="16" customWidth="1"/>
    <col min="18" max="18" width="12.1640625" customWidth="1"/>
    <col min="19" max="19" width="18" customWidth="1"/>
    <col min="20" max="20" width="18.83203125" customWidth="1"/>
    <col min="21" max="21" width="2.1640625" customWidth="1"/>
    <col min="22" max="22" width="10.1640625" customWidth="1"/>
    <col min="23" max="23" width="2.5" customWidth="1"/>
    <col min="24" max="24" width="12.1640625" customWidth="1"/>
    <col min="25" max="25" width="2.6640625" customWidth="1"/>
    <col min="26" max="26" width="14.83203125" bestFit="1" customWidth="1"/>
    <col min="27" max="27" width="13.83203125" customWidth="1"/>
    <col min="28" max="28" width="2.6640625" customWidth="1"/>
    <col min="29" max="29" width="12.33203125" customWidth="1"/>
    <col min="30" max="30" width="1.5" customWidth="1"/>
    <col min="31" max="31" width="16.5" customWidth="1"/>
    <col min="32" max="32" width="1.5" customWidth="1"/>
  </cols>
  <sheetData>
    <row r="1" spans="1:11" s="86" customFormat="1" ht="33" customHeight="1">
      <c r="A1" s="211" t="s">
        <v>1665</v>
      </c>
      <c r="B1" s="212"/>
      <c r="E1" s="547"/>
    </row>
    <row r="2" spans="1:11" s="86" customFormat="1" ht="81" customHeight="1" thickBot="1">
      <c r="A2" s="3075"/>
      <c r="B2" s="3075"/>
      <c r="C2" s="3075"/>
      <c r="D2" s="3075"/>
      <c r="E2" s="3075"/>
      <c r="F2" s="3075"/>
      <c r="G2" s="3075"/>
      <c r="H2" s="3075"/>
      <c r="I2" s="3075"/>
      <c r="J2" s="3075"/>
      <c r="K2" s="3075"/>
    </row>
    <row r="3" spans="1:11" ht="21">
      <c r="B3" s="2899" t="s">
        <v>124</v>
      </c>
      <c r="C3" s="2900"/>
      <c r="D3" s="2900"/>
      <c r="E3" s="2900"/>
      <c r="F3" s="2900"/>
      <c r="G3" s="2901"/>
    </row>
    <row r="4" spans="1:11" ht="18.75">
      <c r="B4" s="2902" t="s">
        <v>1378</v>
      </c>
      <c r="C4" s="464" t="s">
        <v>171</v>
      </c>
      <c r="D4" s="3"/>
      <c r="E4" s="464" t="s">
        <v>1057</v>
      </c>
      <c r="F4" s="3"/>
      <c r="G4" s="2903" t="s">
        <v>108</v>
      </c>
    </row>
    <row r="5" spans="1:11">
      <c r="B5" s="1237" t="s">
        <v>125</v>
      </c>
      <c r="C5" s="466">
        <v>49</v>
      </c>
      <c r="D5" s="3"/>
      <c r="E5" s="466">
        <f t="shared" ref="E5:E13" si="0">C5*42*1000</f>
        <v>2058000</v>
      </c>
      <c r="F5" s="3"/>
      <c r="G5" s="2904">
        <v>175</v>
      </c>
      <c r="I5" s="19"/>
    </row>
    <row r="6" spans="1:11">
      <c r="B6" s="1237" t="s">
        <v>126</v>
      </c>
      <c r="C6" s="466">
        <v>12756</v>
      </c>
      <c r="D6" s="3"/>
      <c r="E6" s="466">
        <f t="shared" si="0"/>
        <v>535752000</v>
      </c>
      <c r="F6" s="3"/>
      <c r="G6" s="2837">
        <v>67840</v>
      </c>
      <c r="I6" s="19"/>
    </row>
    <row r="7" spans="1:11">
      <c r="B7" s="1237" t="s">
        <v>1667</v>
      </c>
      <c r="C7" s="466">
        <v>1158</v>
      </c>
      <c r="D7" s="3"/>
      <c r="E7" s="466">
        <f t="shared" si="0"/>
        <v>48636000</v>
      </c>
      <c r="F7" s="3"/>
      <c r="G7" s="2837">
        <v>11121</v>
      </c>
      <c r="I7" s="19"/>
      <c r="K7" s="485"/>
    </row>
    <row r="8" spans="1:11">
      <c r="B8" s="1237" t="s">
        <v>127</v>
      </c>
      <c r="C8" s="466">
        <v>106</v>
      </c>
      <c r="D8" s="3"/>
      <c r="E8" s="466">
        <f t="shared" si="0"/>
        <v>4452000</v>
      </c>
      <c r="F8" s="3"/>
      <c r="G8" s="2837">
        <v>403</v>
      </c>
      <c r="I8" s="19"/>
    </row>
    <row r="9" spans="1:11">
      <c r="B9" s="1237" t="s">
        <v>128</v>
      </c>
      <c r="C9" s="466">
        <v>245</v>
      </c>
      <c r="D9" s="3"/>
      <c r="E9" s="466">
        <f t="shared" si="0"/>
        <v>10290000</v>
      </c>
      <c r="F9" s="3"/>
      <c r="G9" s="2837">
        <v>1427</v>
      </c>
      <c r="I9" s="19"/>
    </row>
    <row r="10" spans="1:11">
      <c r="B10" s="1237" t="s">
        <v>1056</v>
      </c>
      <c r="C10" s="466">
        <v>6563</v>
      </c>
      <c r="D10" s="3"/>
      <c r="E10" s="466">
        <f t="shared" si="0"/>
        <v>275646000</v>
      </c>
      <c r="F10" s="3"/>
      <c r="G10" s="2837">
        <v>6892</v>
      </c>
      <c r="I10" s="19"/>
    </row>
    <row r="11" spans="1:11" ht="12.75">
      <c r="B11" s="3010" t="s">
        <v>132</v>
      </c>
      <c r="C11" s="2978">
        <f>E11/42</f>
        <v>430506.19047619047</v>
      </c>
      <c r="D11" s="3"/>
      <c r="E11" s="2978">
        <v>18081260</v>
      </c>
      <c r="F11" s="3"/>
      <c r="G11" s="2979"/>
      <c r="I11" s="19"/>
    </row>
    <row r="12" spans="1:11" ht="12.75">
      <c r="B12" s="3011" t="s">
        <v>1677</v>
      </c>
      <c r="C12" s="2978"/>
      <c r="D12" s="3"/>
      <c r="E12" s="2978">
        <v>3042000</v>
      </c>
      <c r="F12" s="3"/>
      <c r="G12" s="2979"/>
      <c r="I12" s="19"/>
    </row>
    <row r="13" spans="1:11" ht="12" thickBot="1">
      <c r="B13" s="2905" t="s">
        <v>1055</v>
      </c>
      <c r="C13" s="2842">
        <v>189</v>
      </c>
      <c r="D13" s="8"/>
      <c r="E13" s="2842">
        <f t="shared" si="0"/>
        <v>7938000</v>
      </c>
      <c r="F13" s="8"/>
      <c r="G13" s="2906">
        <v>1235</v>
      </c>
      <c r="I13" s="19"/>
    </row>
    <row r="14" spans="1:11">
      <c r="E14" s="52"/>
    </row>
    <row r="15" spans="1:11" s="444" customFormat="1" ht="15.75" thickBot="1">
      <c r="A15" s="2417"/>
      <c r="B15" s="2912" t="s">
        <v>129</v>
      </c>
      <c r="E15"/>
      <c r="J15" s="486"/>
    </row>
    <row r="16" spans="1:11" s="444" customFormat="1" ht="15">
      <c r="A16" s="2417"/>
      <c r="B16" s="2913" t="s">
        <v>217</v>
      </c>
      <c r="C16" s="2907">
        <v>124238</v>
      </c>
      <c r="D16" s="2908" t="s">
        <v>130</v>
      </c>
      <c r="E16" s="2909"/>
      <c r="J16" s="486"/>
    </row>
    <row r="17" spans="1:34" s="444" customFormat="1" ht="15.75" thickBot="1">
      <c r="A17" s="2417"/>
      <c r="B17" s="2914" t="s">
        <v>219</v>
      </c>
      <c r="C17" s="2910">
        <v>138690</v>
      </c>
      <c r="D17" s="2416" t="s">
        <v>130</v>
      </c>
      <c r="E17" s="2911"/>
      <c r="J17" s="486"/>
    </row>
    <row r="18" spans="1:34" s="444" customFormat="1" ht="15.75" thickBot="1">
      <c r="A18" s="2417"/>
      <c r="B18" s="445"/>
      <c r="C18" s="445"/>
      <c r="D18" s="3079"/>
      <c r="E18" s="3080"/>
      <c r="F18" s="445"/>
      <c r="G18" s="445"/>
      <c r="H18" s="445"/>
      <c r="I18" s="445"/>
      <c r="J18" s="469"/>
      <c r="K18" s="445"/>
      <c r="L18" s="445"/>
      <c r="M18" s="445"/>
    </row>
    <row r="19" spans="1:34" s="444" customFormat="1" ht="15">
      <c r="A19" s="434"/>
      <c r="B19" s="434"/>
      <c r="C19" s="434"/>
      <c r="D19" s="956"/>
      <c r="E19" s="926"/>
      <c r="F19" s="434"/>
      <c r="G19" s="434"/>
      <c r="H19" s="434"/>
      <c r="I19" s="434"/>
      <c r="J19" s="957"/>
      <c r="K19" s="434"/>
      <c r="L19" s="434"/>
      <c r="M19" s="434"/>
    </row>
    <row r="20" spans="1:34" s="444" customFormat="1" ht="15.75" thickBot="1">
      <c r="A20" s="434"/>
      <c r="B20" s="434"/>
      <c r="C20" s="434"/>
      <c r="D20" s="956"/>
      <c r="E20" s="926"/>
      <c r="F20" s="434"/>
      <c r="G20" s="434"/>
      <c r="H20" s="434"/>
      <c r="I20" s="434"/>
      <c r="J20" s="957"/>
      <c r="K20" s="434"/>
      <c r="L20" s="434"/>
      <c r="M20" s="434"/>
    </row>
    <row r="21" spans="1:34" s="444" customFormat="1" ht="21.75" thickTop="1">
      <c r="B21" s="958" t="s">
        <v>939</v>
      </c>
      <c r="C21" s="959"/>
      <c r="D21" s="959"/>
      <c r="E21" s="959"/>
      <c r="F21" s="959"/>
      <c r="G21" s="959"/>
      <c r="H21" s="959"/>
      <c r="I21" s="959"/>
      <c r="J21" s="876"/>
      <c r="K21" s="876"/>
      <c r="L21" s="876"/>
      <c r="M21" s="959"/>
      <c r="N21" s="959"/>
      <c r="O21" s="959"/>
      <c r="P21" s="2981"/>
      <c r="Q21" s="959"/>
      <c r="R21" s="959"/>
      <c r="S21" s="959"/>
      <c r="T21" s="959"/>
      <c r="U21" s="959"/>
      <c r="V21" s="959"/>
      <c r="W21" s="959"/>
      <c r="X21" s="959"/>
      <c r="Y21" s="2981"/>
      <c r="Z21" s="959"/>
      <c r="AA21" s="959"/>
      <c r="AB21" s="959"/>
      <c r="AC21" s="959"/>
      <c r="AD21" s="959"/>
      <c r="AE21" s="959"/>
      <c r="AF21" s="960"/>
    </row>
    <row r="22" spans="1:34" ht="21.75" thickBot="1">
      <c r="B22" s="961" t="s">
        <v>1666</v>
      </c>
      <c r="C22" s="962"/>
      <c r="D22" s="963"/>
      <c r="E22" s="963"/>
      <c r="F22" s="962"/>
      <c r="G22" s="962"/>
      <c r="H22" s="962"/>
      <c r="I22" s="962"/>
      <c r="J22" s="962"/>
      <c r="K22" s="962"/>
      <c r="L22" s="962"/>
      <c r="M22" s="962"/>
      <c r="N22" s="962"/>
      <c r="O22" s="962"/>
      <c r="P22" s="957"/>
      <c r="Q22" s="434"/>
      <c r="R22" s="434"/>
      <c r="S22" s="434"/>
      <c r="T22" s="3"/>
      <c r="U22" s="3"/>
      <c r="V22" s="3"/>
      <c r="W22" s="3"/>
      <c r="X22" s="3"/>
      <c r="Y22" s="6"/>
      <c r="Z22" s="3"/>
      <c r="AA22" s="3"/>
      <c r="AB22" s="3"/>
      <c r="AC22" s="3"/>
      <c r="AD22" s="3"/>
      <c r="AE22" s="3"/>
      <c r="AF22" s="954"/>
    </row>
    <row r="23" spans="1:34" ht="14.25" thickTop="1" thickBot="1">
      <c r="B23" s="964"/>
      <c r="C23" s="3"/>
      <c r="D23" s="3"/>
      <c r="E23" s="965"/>
      <c r="F23" s="966"/>
      <c r="G23" s="966"/>
      <c r="H23" s="965"/>
      <c r="I23" s="965"/>
      <c r="J23" s="965"/>
      <c r="K23" s="982"/>
      <c r="L23" s="983"/>
      <c r="M23" s="984" t="s">
        <v>936</v>
      </c>
      <c r="N23" s="983"/>
      <c r="O23" s="985"/>
      <c r="P23" s="965"/>
      <c r="Q23" s="982"/>
      <c r="R23" s="983"/>
      <c r="S23" s="983"/>
      <c r="T23" s="984" t="s">
        <v>937</v>
      </c>
      <c r="U23" s="986"/>
      <c r="V23" s="986"/>
      <c r="W23" s="986"/>
      <c r="X23" s="987"/>
      <c r="Y23" s="6"/>
      <c r="Z23" s="988"/>
      <c r="AA23" s="989" t="s">
        <v>938</v>
      </c>
      <c r="AB23" s="984"/>
      <c r="AC23" s="984"/>
      <c r="AD23" s="984"/>
      <c r="AE23" s="987"/>
      <c r="AF23" s="954"/>
    </row>
    <row r="24" spans="1:34" s="216" customFormat="1" ht="12.75">
      <c r="B24" s="2929"/>
      <c r="C24" s="2930" t="s">
        <v>104</v>
      </c>
      <c r="D24" s="2773"/>
      <c r="E24" s="2930" t="s">
        <v>104</v>
      </c>
      <c r="F24" s="2930"/>
      <c r="G24" s="2930" t="s">
        <v>105</v>
      </c>
      <c r="H24" s="2931"/>
      <c r="I24" s="2930" t="s">
        <v>149</v>
      </c>
      <c r="J24" s="2932"/>
      <c r="K24" s="2933" t="s">
        <v>106</v>
      </c>
      <c r="L24" s="2931"/>
      <c r="M24" s="2934" t="s">
        <v>106</v>
      </c>
      <c r="N24" s="2931"/>
      <c r="O24" s="2935" t="s">
        <v>106</v>
      </c>
      <c r="P24" s="2931"/>
      <c r="Q24" s="2936"/>
      <c r="R24" s="2932"/>
      <c r="S24" s="2932"/>
      <c r="T24" s="2773"/>
      <c r="U24" s="2773"/>
      <c r="V24" s="2773"/>
      <c r="W24" s="2773"/>
      <c r="X24" s="2937"/>
      <c r="Y24" s="2982"/>
      <c r="Z24" s="2938"/>
      <c r="AA24" s="2773"/>
      <c r="AB24" s="2773"/>
      <c r="AC24" s="2773"/>
      <c r="AD24" s="2773"/>
      <c r="AE24" s="2937"/>
      <c r="AF24" s="522"/>
    </row>
    <row r="25" spans="1:34" s="216" customFormat="1" ht="24" thickBot="1">
      <c r="B25" s="2939" t="s">
        <v>1110</v>
      </c>
      <c r="C25" s="2940" t="s">
        <v>131</v>
      </c>
      <c r="D25" s="468"/>
      <c r="E25" s="2940" t="s">
        <v>108</v>
      </c>
      <c r="F25" s="2941"/>
      <c r="G25" s="2940" t="s">
        <v>150</v>
      </c>
      <c r="H25" s="2942"/>
      <c r="I25" s="2940" t="s">
        <v>151</v>
      </c>
      <c r="J25" s="2941"/>
      <c r="K25" s="2943" t="s">
        <v>152</v>
      </c>
      <c r="L25" s="2940"/>
      <c r="M25" s="2940" t="s">
        <v>1058</v>
      </c>
      <c r="N25" s="2942"/>
      <c r="O25" s="2944" t="s">
        <v>411</v>
      </c>
      <c r="P25" s="2942"/>
      <c r="Q25" s="2945" t="s">
        <v>683</v>
      </c>
      <c r="R25" s="491" t="s">
        <v>684</v>
      </c>
      <c r="S25" s="491" t="s">
        <v>685</v>
      </c>
      <c r="T25" s="491" t="s">
        <v>686</v>
      </c>
      <c r="U25" s="468"/>
      <c r="V25" s="491" t="s">
        <v>1672</v>
      </c>
      <c r="W25" s="468"/>
      <c r="X25" s="492" t="s">
        <v>1400</v>
      </c>
      <c r="Y25" s="2983"/>
      <c r="Z25" s="2945" t="s">
        <v>688</v>
      </c>
      <c r="AA25" s="491" t="s">
        <v>689</v>
      </c>
      <c r="AB25" s="468"/>
      <c r="AC25" s="491" t="s">
        <v>1671</v>
      </c>
      <c r="AD25" s="468"/>
      <c r="AE25" s="492" t="s">
        <v>1401</v>
      </c>
      <c r="AF25" s="522"/>
    </row>
    <row r="26" spans="1:34" s="216" customFormat="1" ht="12.75">
      <c r="B26" s="942" t="s">
        <v>883</v>
      </c>
      <c r="C26" s="967">
        <f>E5</f>
        <v>2058000</v>
      </c>
      <c r="D26" s="218"/>
      <c r="E26" s="2921">
        <f>G5</f>
        <v>175</v>
      </c>
      <c r="F26" s="943" t="s">
        <v>950</v>
      </c>
      <c r="G26" s="2922">
        <v>41.53</v>
      </c>
      <c r="H26" s="943" t="s">
        <v>950</v>
      </c>
      <c r="I26" s="2923">
        <v>1</v>
      </c>
      <c r="J26" s="478" t="s">
        <v>951</v>
      </c>
      <c r="K26" s="2924">
        <f>E26*1000*G26*I26/2000</f>
        <v>3633.875</v>
      </c>
      <c r="L26" s="478" t="s">
        <v>951</v>
      </c>
      <c r="M26" s="2925">
        <f>K26*0.90718/1000000</f>
        <v>3.2965787225E-3</v>
      </c>
      <c r="N26" s="478" t="s">
        <v>951</v>
      </c>
      <c r="O26" s="2926">
        <f>M26*44/12</f>
        <v>1.2087455315833334E-2</v>
      </c>
      <c r="P26" s="471"/>
      <c r="Q26" s="2927">
        <v>22.257999999999999</v>
      </c>
      <c r="R26" s="218"/>
      <c r="S26" s="2928">
        <v>0.04</v>
      </c>
      <c r="T26" s="2958">
        <f>E26*1000*Q26*S26/1000000000</f>
        <v>1.5580600000000001E-4</v>
      </c>
      <c r="U26" s="2959" t="s">
        <v>951</v>
      </c>
      <c r="V26" s="2960">
        <f>T26*1000</f>
        <v>0.155806</v>
      </c>
      <c r="W26" s="2959" t="s">
        <v>951</v>
      </c>
      <c r="X26" s="2986">
        <f>(V26*310)/1000000</f>
        <v>4.8299860000000005E-5</v>
      </c>
      <c r="Y26" s="2984"/>
      <c r="Z26" s="505">
        <v>2.64</v>
      </c>
      <c r="AA26" s="981">
        <f>E26*1000*Q26*Z26/1000000000</f>
        <v>1.0283196E-2</v>
      </c>
      <c r="AB26" s="478" t="s">
        <v>951</v>
      </c>
      <c r="AC26" s="500">
        <f>AA26*1000</f>
        <v>10.283196</v>
      </c>
      <c r="AD26" s="478" t="s">
        <v>951</v>
      </c>
      <c r="AE26" s="501">
        <f>AC26*21/1000000</f>
        <v>2.1594711599999999E-4</v>
      </c>
      <c r="AF26" s="522"/>
    </row>
    <row r="27" spans="1:34" s="216" customFormat="1" ht="12.75">
      <c r="B27" s="942" t="s">
        <v>885</v>
      </c>
      <c r="C27" s="967">
        <f>C7</f>
        <v>1158</v>
      </c>
      <c r="D27" s="218"/>
      <c r="E27" s="473">
        <f>G7</f>
        <v>11121</v>
      </c>
      <c r="F27" s="943" t="s">
        <v>950</v>
      </c>
      <c r="G27" s="479">
        <v>43.431818181818173</v>
      </c>
      <c r="H27" s="943" t="s">
        <v>950</v>
      </c>
      <c r="I27" s="217">
        <v>1</v>
      </c>
      <c r="J27" s="478" t="s">
        <v>951</v>
      </c>
      <c r="K27" s="493">
        <f>E27*1000*G27*I27/2000</f>
        <v>241502.62499999994</v>
      </c>
      <c r="L27" s="478" t="s">
        <v>951</v>
      </c>
      <c r="M27" s="477">
        <f>K27*0.90718/1000000</f>
        <v>0.21908635134749993</v>
      </c>
      <c r="N27" s="478" t="s">
        <v>951</v>
      </c>
      <c r="O27" s="494">
        <f>M27*44/12</f>
        <v>0.80331662160749973</v>
      </c>
      <c r="P27" s="471"/>
      <c r="Q27" s="495">
        <v>22.24</v>
      </c>
      <c r="R27" s="218"/>
      <c r="S27" s="2917">
        <v>0.1</v>
      </c>
      <c r="T27" s="2918">
        <f>E27*1000*Q27*S27/1000000000</f>
        <v>2.4733103999999999E-2</v>
      </c>
      <c r="U27" s="2919" t="s">
        <v>951</v>
      </c>
      <c r="V27" s="2920">
        <f>T27*1000</f>
        <v>24.733103999999997</v>
      </c>
      <c r="W27" s="2919" t="s">
        <v>951</v>
      </c>
      <c r="X27" s="2987">
        <f>(V27*310)/1000000</f>
        <v>7.6672622399999993E-3</v>
      </c>
      <c r="Y27" s="467"/>
      <c r="Z27" s="499">
        <v>8.7000000000000008E-2</v>
      </c>
      <c r="AA27" s="981">
        <f>E27*1000*Q27*Z27/1000000000</f>
        <v>2.1517800480000002E-2</v>
      </c>
      <c r="AB27" s="478" t="s">
        <v>951</v>
      </c>
      <c r="AC27" s="500">
        <f>AA27*1000</f>
        <v>21.517800480000002</v>
      </c>
      <c r="AD27" s="478" t="s">
        <v>951</v>
      </c>
      <c r="AE27" s="501">
        <f>AC27*21/1000000</f>
        <v>4.5187381008000003E-4</v>
      </c>
      <c r="AF27" s="522"/>
    </row>
    <row r="28" spans="1:34" s="216" customFormat="1" ht="12.75">
      <c r="B28" s="942" t="s">
        <v>132</v>
      </c>
      <c r="C28" s="968">
        <f>E11</f>
        <v>18081260</v>
      </c>
      <c r="D28" s="218"/>
      <c r="E28" s="473">
        <f>C28*$C$17/1000000000</f>
        <v>2507.6899493999999</v>
      </c>
      <c r="F28" s="943" t="s">
        <v>950</v>
      </c>
      <c r="G28" s="695">
        <v>44.43</v>
      </c>
      <c r="H28" s="943" t="s">
        <v>950</v>
      </c>
      <c r="I28" s="217">
        <v>1</v>
      </c>
      <c r="J28" s="478" t="s">
        <v>951</v>
      </c>
      <c r="K28" s="493">
        <f>E28*1000*G28*I28/2000</f>
        <v>55708.332225920996</v>
      </c>
      <c r="L28" s="478" t="s">
        <v>951</v>
      </c>
      <c r="M28" s="477">
        <f>K28*0.90718/1000000</f>
        <v>5.053748482871101E-2</v>
      </c>
      <c r="N28" s="478" t="s">
        <v>951</v>
      </c>
      <c r="O28" s="494">
        <f>M28*44/12</f>
        <v>0.18530411103860703</v>
      </c>
      <c r="P28" s="471"/>
      <c r="Q28" s="489"/>
      <c r="R28" s="502">
        <v>3.1920000000000002</v>
      </c>
      <c r="S28" s="503">
        <v>0.08</v>
      </c>
      <c r="T28" s="496">
        <f>C28*R28*S28/1000000000</f>
        <v>4.6172305536E-3</v>
      </c>
      <c r="U28" s="478" t="s">
        <v>951</v>
      </c>
      <c r="V28" s="497">
        <f>T28*1000</f>
        <v>4.6172305535999998</v>
      </c>
      <c r="W28" s="478" t="s">
        <v>951</v>
      </c>
      <c r="X28" s="498">
        <f>(V28*310)/1000000</f>
        <v>1.431341471616E-3</v>
      </c>
      <c r="Y28" s="467"/>
      <c r="Z28" s="499">
        <v>0.25</v>
      </c>
      <c r="AA28" s="981">
        <f>C28*R28*Z28/1000000000</f>
        <v>1.4428845480000001E-2</v>
      </c>
      <c r="AB28" s="478" t="s">
        <v>951</v>
      </c>
      <c r="AC28" s="500">
        <f>AA28*1000</f>
        <v>14.428845480000001</v>
      </c>
      <c r="AD28" s="478" t="s">
        <v>951</v>
      </c>
      <c r="AE28" s="501">
        <f>(AC28*21)/1000000</f>
        <v>3.0300575508000001E-4</v>
      </c>
      <c r="AF28" s="218"/>
      <c r="AG28" s="2980"/>
      <c r="AH28" s="522"/>
    </row>
    <row r="29" spans="1:34" s="216" customFormat="1" ht="12.75">
      <c r="B29" s="942"/>
      <c r="C29" s="218"/>
      <c r="D29" s="218"/>
      <c r="E29" s="927"/>
      <c r="F29" s="943"/>
      <c r="G29" s="979"/>
      <c r="H29" s="943"/>
      <c r="I29" s="980"/>
      <c r="J29" s="478"/>
      <c r="K29" s="977"/>
      <c r="L29" s="478"/>
      <c r="M29" s="932"/>
      <c r="N29" s="478"/>
      <c r="O29" s="2985">
        <f>SUM(O26:O28)</f>
        <v>1.0007081879619402</v>
      </c>
      <c r="P29" s="471"/>
      <c r="Q29" s="487"/>
      <c r="R29" s="488"/>
      <c r="S29" s="488"/>
      <c r="T29" s="218"/>
      <c r="U29" s="218"/>
      <c r="V29" s="2916"/>
      <c r="W29" s="218"/>
      <c r="X29">
        <f>SUM(X26:X28)</f>
        <v>9.146903571615999E-3</v>
      </c>
      <c r="Y29" s="467"/>
      <c r="Z29" s="489"/>
      <c r="AA29" s="218"/>
      <c r="AB29" s="218"/>
      <c r="AC29" s="2916"/>
      <c r="AD29" s="218"/>
      <c r="AE29">
        <f>SUM(AE26:AE28)</f>
        <v>9.7082668115999998E-4</v>
      </c>
      <c r="AF29" s="522"/>
    </row>
    <row r="30" spans="1:34" s="216" customFormat="1" ht="13.5" thickBot="1">
      <c r="B30" s="941"/>
      <c r="C30" s="968"/>
      <c r="D30" s="218"/>
      <c r="E30" s="488"/>
      <c r="F30" s="488"/>
      <c r="G30" s="488"/>
      <c r="H30" s="488"/>
      <c r="I30" s="488"/>
      <c r="J30" s="488"/>
      <c r="K30" s="506"/>
      <c r="L30" s="507"/>
      <c r="M30" s="508"/>
      <c r="N30" s="509"/>
      <c r="O30" s="546"/>
      <c r="P30" s="471"/>
      <c r="Q30" s="510"/>
      <c r="R30" s="511"/>
      <c r="S30" s="511"/>
      <c r="T30" s="512"/>
      <c r="U30" s="512"/>
      <c r="V30" s="512"/>
      <c r="W30" s="512"/>
      <c r="X30" s="513"/>
      <c r="Y30" s="467"/>
      <c r="Z30" s="514"/>
      <c r="AA30" s="512"/>
      <c r="AB30" s="512"/>
      <c r="AC30" s="512"/>
      <c r="AD30" s="512"/>
      <c r="AE30" s="513"/>
      <c r="AF30" s="522"/>
    </row>
    <row r="31" spans="1:34" ht="12.75" thickTop="1" thickBot="1">
      <c r="B31" s="883"/>
      <c r="C31" s="603"/>
      <c r="D31" s="603"/>
      <c r="E31" s="603"/>
      <c r="F31" s="603"/>
      <c r="G31" s="603"/>
      <c r="H31" s="603"/>
      <c r="I31" s="603"/>
      <c r="J31" s="603"/>
      <c r="K31" s="603"/>
      <c r="L31" s="603"/>
      <c r="M31" s="603"/>
      <c r="N31" s="603"/>
      <c r="O31" s="603"/>
      <c r="P31" s="2975"/>
      <c r="Q31" s="603"/>
      <c r="R31" s="603"/>
      <c r="S31" s="603"/>
      <c r="T31" s="603"/>
      <c r="U31" s="603"/>
      <c r="V31" s="603"/>
      <c r="W31" s="603"/>
      <c r="X31" s="603"/>
      <c r="Y31" s="2975"/>
      <c r="Z31" s="603"/>
      <c r="AA31" s="603"/>
      <c r="AB31" s="603"/>
      <c r="AC31" s="603"/>
      <c r="AD31" s="603"/>
      <c r="AE31" s="603"/>
      <c r="AF31" s="884"/>
    </row>
    <row r="32" spans="1:34" ht="12.75" thickTop="1" thickBot="1">
      <c r="B32" s="98"/>
      <c r="C32" s="98"/>
      <c r="D32" s="98"/>
      <c r="E32" s="98"/>
      <c r="F32" s="98"/>
      <c r="G32" s="98"/>
      <c r="H32" s="98"/>
      <c r="M32" s="98"/>
      <c r="N32" s="98"/>
      <c r="O32" s="98"/>
      <c r="P32" s="98"/>
      <c r="Q32" s="98"/>
      <c r="R32" s="98"/>
      <c r="S32" s="98"/>
    </row>
    <row r="33" spans="2:32" ht="21">
      <c r="B33" s="3012" t="s">
        <v>939</v>
      </c>
      <c r="C33" s="2908"/>
      <c r="D33" s="2908"/>
      <c r="E33" s="2908"/>
      <c r="F33" s="2908"/>
      <c r="G33" s="2908"/>
      <c r="H33" s="2908"/>
      <c r="I33" s="2908"/>
      <c r="J33" s="556"/>
      <c r="K33" s="556"/>
      <c r="L33" s="556"/>
      <c r="M33" s="2908"/>
      <c r="N33" s="2908"/>
      <c r="O33" s="2908"/>
      <c r="P33" s="3013"/>
      <c r="Q33" s="2908"/>
      <c r="R33" s="2908"/>
      <c r="S33" s="2908"/>
      <c r="T33" s="2908"/>
      <c r="U33" s="2908"/>
      <c r="V33" s="2908"/>
      <c r="W33" s="2908"/>
      <c r="X33" s="2908"/>
      <c r="Y33" s="3013"/>
      <c r="Z33" s="2908"/>
      <c r="AA33" s="2908"/>
      <c r="AB33" s="2908"/>
      <c r="AC33" s="2908"/>
      <c r="AD33" s="2908"/>
      <c r="AE33" s="2908"/>
      <c r="AF33" s="557"/>
    </row>
    <row r="34" spans="2:32" ht="21">
      <c r="B34" s="3014" t="s">
        <v>1678</v>
      </c>
      <c r="C34" s="3015"/>
      <c r="D34" s="3016"/>
      <c r="E34" s="3016"/>
      <c r="F34" s="3015"/>
      <c r="G34" s="3015"/>
      <c r="H34" s="3015"/>
      <c r="I34" s="3015"/>
      <c r="J34" s="3015"/>
      <c r="K34" s="3015"/>
      <c r="L34" s="3015"/>
      <c r="M34" s="3015"/>
      <c r="N34" s="3015"/>
      <c r="O34" s="3015"/>
      <c r="P34" s="3017"/>
      <c r="Q34" s="1872"/>
      <c r="R34" s="1872"/>
      <c r="S34" s="1872"/>
      <c r="T34" s="32"/>
      <c r="U34" s="32"/>
      <c r="V34" s="32"/>
      <c r="W34" s="32"/>
      <c r="X34" s="32"/>
      <c r="Y34" s="666"/>
      <c r="Z34" s="32"/>
      <c r="AA34" s="32"/>
      <c r="AB34" s="32"/>
      <c r="AC34" s="32"/>
      <c r="AD34" s="32"/>
      <c r="AE34" s="32"/>
      <c r="AF34" s="560"/>
    </row>
    <row r="35" spans="2:32" ht="12.75">
      <c r="B35" s="3018"/>
      <c r="C35" s="32"/>
      <c r="D35" s="32"/>
      <c r="E35" s="3019"/>
      <c r="F35" s="3020"/>
      <c r="G35" s="3020"/>
      <c r="H35" s="3019"/>
      <c r="I35" s="3019"/>
      <c r="J35" s="3019"/>
      <c r="K35" s="3021"/>
      <c r="L35" s="3021"/>
      <c r="M35" s="3022" t="s">
        <v>936</v>
      </c>
      <c r="N35" s="3021"/>
      <c r="O35" s="3021"/>
      <c r="P35" s="3019"/>
      <c r="Q35" s="3021"/>
      <c r="R35" s="3021"/>
      <c r="S35" s="3021"/>
      <c r="T35" s="3022" t="s">
        <v>937</v>
      </c>
      <c r="U35" s="678"/>
      <c r="V35" s="678"/>
      <c r="W35" s="678"/>
      <c r="X35" s="678"/>
      <c r="Y35" s="666"/>
      <c r="Z35" s="678"/>
      <c r="AA35" s="3023" t="s">
        <v>938</v>
      </c>
      <c r="AB35" s="3022"/>
      <c r="AC35" s="3022"/>
      <c r="AD35" s="3022"/>
      <c r="AE35" s="678"/>
      <c r="AF35" s="560"/>
    </row>
    <row r="36" spans="2:32" ht="12.75">
      <c r="B36" s="3024"/>
      <c r="C36" s="3025" t="s">
        <v>104</v>
      </c>
      <c r="D36" s="2424"/>
      <c r="E36" s="3025" t="s">
        <v>104</v>
      </c>
      <c r="F36" s="3025"/>
      <c r="G36" s="3025" t="s">
        <v>105</v>
      </c>
      <c r="H36" s="3026"/>
      <c r="I36" s="3025" t="s">
        <v>149</v>
      </c>
      <c r="J36" s="3027"/>
      <c r="K36" s="3028" t="s">
        <v>106</v>
      </c>
      <c r="L36" s="3026"/>
      <c r="M36" s="3028" t="s">
        <v>106</v>
      </c>
      <c r="N36" s="3026"/>
      <c r="O36" s="3028" t="s">
        <v>106</v>
      </c>
      <c r="P36" s="3026"/>
      <c r="Q36" s="3027"/>
      <c r="R36" s="3027"/>
      <c r="S36" s="3027"/>
      <c r="T36" s="2424"/>
      <c r="U36" s="2424"/>
      <c r="V36" s="2424"/>
      <c r="W36" s="2424"/>
      <c r="X36" s="2424"/>
      <c r="Y36" s="3029"/>
      <c r="Z36" s="2424"/>
      <c r="AA36" s="2424"/>
      <c r="AB36" s="2424"/>
      <c r="AC36" s="2424"/>
      <c r="AD36" s="2424"/>
      <c r="AE36" s="2424"/>
      <c r="AF36" s="560"/>
    </row>
    <row r="37" spans="2:32" ht="23.25">
      <c r="B37" s="3030" t="s">
        <v>1110</v>
      </c>
      <c r="C37" s="3025" t="s">
        <v>131</v>
      </c>
      <c r="D37" s="2424"/>
      <c r="E37" s="3025" t="s">
        <v>108</v>
      </c>
      <c r="F37" s="3027"/>
      <c r="G37" s="3025" t="s">
        <v>150</v>
      </c>
      <c r="H37" s="3026"/>
      <c r="I37" s="3025" t="s">
        <v>151</v>
      </c>
      <c r="J37" s="3027"/>
      <c r="K37" s="3025" t="s">
        <v>152</v>
      </c>
      <c r="L37" s="3025"/>
      <c r="M37" s="3025" t="s">
        <v>1058</v>
      </c>
      <c r="N37" s="3026"/>
      <c r="O37" s="3028" t="s">
        <v>411</v>
      </c>
      <c r="P37" s="3026"/>
      <c r="Q37" s="3031" t="s">
        <v>683</v>
      </c>
      <c r="R37" s="3031" t="s">
        <v>684</v>
      </c>
      <c r="S37" s="3031" t="s">
        <v>685</v>
      </c>
      <c r="T37" s="3031" t="s">
        <v>686</v>
      </c>
      <c r="U37" s="2424"/>
      <c r="V37" s="3031" t="s">
        <v>1672</v>
      </c>
      <c r="W37" s="2424"/>
      <c r="X37" s="3031" t="s">
        <v>1400</v>
      </c>
      <c r="Y37" s="3032"/>
      <c r="Z37" s="3031" t="s">
        <v>688</v>
      </c>
      <c r="AA37" s="3031" t="s">
        <v>689</v>
      </c>
      <c r="AB37" s="2424"/>
      <c r="AC37" s="3031" t="s">
        <v>1671</v>
      </c>
      <c r="AD37" s="2424"/>
      <c r="AE37" s="3031" t="s">
        <v>1401</v>
      </c>
      <c r="AF37" s="560"/>
    </row>
    <row r="38" spans="2:32" ht="12.75">
      <c r="B38" s="3024" t="s">
        <v>1675</v>
      </c>
      <c r="C38" s="2426">
        <v>3042000</v>
      </c>
      <c r="D38" s="2424"/>
      <c r="E38" s="473">
        <f>C38*$C$17/1000000000</f>
        <v>421.89497999999998</v>
      </c>
      <c r="F38" s="2425" t="s">
        <v>950</v>
      </c>
      <c r="G38" s="695">
        <v>44.43</v>
      </c>
      <c r="H38" s="2425" t="s">
        <v>950</v>
      </c>
      <c r="I38" s="217">
        <v>1</v>
      </c>
      <c r="J38" s="2919" t="s">
        <v>951</v>
      </c>
      <c r="K38" s="219">
        <f>E38*1000*G38*I38/2000</f>
        <v>9372.3969806999994</v>
      </c>
      <c r="L38" s="2919" t="s">
        <v>951</v>
      </c>
      <c r="M38" s="477">
        <f>K38*0.90718/1000000</f>
        <v>8.5024510929514255E-3</v>
      </c>
      <c r="N38" s="2919" t="s">
        <v>951</v>
      </c>
      <c r="O38" s="477">
        <f>M38*44/12</f>
        <v>3.1175654007488562E-2</v>
      </c>
      <c r="P38" s="3026"/>
      <c r="Q38" s="2424"/>
      <c r="R38" s="502">
        <v>3.1920000000000002</v>
      </c>
      <c r="S38" s="503">
        <v>0.08</v>
      </c>
      <c r="T38" s="2918">
        <f>C38*R38*S38/1000000000</f>
        <v>7.7680512000000005E-4</v>
      </c>
      <c r="U38" s="2919" t="s">
        <v>951</v>
      </c>
      <c r="V38" s="2920">
        <f>T38*1000</f>
        <v>0.77680512000000002</v>
      </c>
      <c r="W38" s="2919" t="s">
        <v>951</v>
      </c>
      <c r="X38" s="2920">
        <f>(V38*310)/1000000</f>
        <v>2.408095872E-4</v>
      </c>
      <c r="Y38" s="3029"/>
      <c r="Z38" s="503">
        <v>0.25</v>
      </c>
      <c r="AA38" s="3033">
        <f>C38*R38*Z38/1000000000</f>
        <v>2.4275159999999998E-3</v>
      </c>
      <c r="AB38" s="2919" t="s">
        <v>951</v>
      </c>
      <c r="AC38" s="3034">
        <f>AA38*1000</f>
        <v>2.4275159999999998</v>
      </c>
      <c r="AD38" s="2919" t="s">
        <v>951</v>
      </c>
      <c r="AE38" s="3034">
        <f>(AC38*21)/1000000</f>
        <v>5.0977835999999997E-5</v>
      </c>
      <c r="AF38" s="560"/>
    </row>
    <row r="39" spans="2:32" ht="12.75">
      <c r="B39" s="3024" t="s">
        <v>1676</v>
      </c>
      <c r="C39" s="3035">
        <f>E13</f>
        <v>7938000</v>
      </c>
      <c r="D39" s="2424"/>
      <c r="E39" s="473">
        <f>G13</f>
        <v>1235</v>
      </c>
      <c r="F39" s="2425" t="s">
        <v>950</v>
      </c>
      <c r="G39" s="475">
        <v>45.11</v>
      </c>
      <c r="H39" s="2425" t="s">
        <v>950</v>
      </c>
      <c r="I39" s="217">
        <v>1</v>
      </c>
      <c r="J39" s="2919" t="s">
        <v>951</v>
      </c>
      <c r="K39" s="219">
        <f>E39*1000*G39*I39/2000</f>
        <v>27855.424999999999</v>
      </c>
      <c r="L39" s="2919" t="s">
        <v>951</v>
      </c>
      <c r="M39" s="477">
        <f>K39*0.90718/1000000</f>
        <v>2.5269884451499997E-2</v>
      </c>
      <c r="N39" s="2919" t="s">
        <v>951</v>
      </c>
      <c r="O39" s="477">
        <f>M39*44/12</f>
        <v>9.2656242988833307E-2</v>
      </c>
      <c r="P39" s="3026"/>
      <c r="Q39" s="3027"/>
      <c r="R39" s="502">
        <v>3.5750000000000002</v>
      </c>
      <c r="S39" s="503">
        <v>0.08</v>
      </c>
      <c r="T39" s="2918">
        <f>C39*R39*S39/1000000000</f>
        <v>2.2702680000000002E-3</v>
      </c>
      <c r="U39" s="2919" t="s">
        <v>951</v>
      </c>
      <c r="V39" s="2920">
        <f>T39*1000</f>
        <v>2.2702680000000002</v>
      </c>
      <c r="W39" s="2919" t="s">
        <v>951</v>
      </c>
      <c r="X39" s="3036">
        <f>(V39*310)/1000000</f>
        <v>7.0378308000000004E-4</v>
      </c>
      <c r="Y39" s="3029"/>
      <c r="Z39" s="503">
        <v>0.23</v>
      </c>
      <c r="AA39" s="3033">
        <f>C39*R39*Z39/1000000000</f>
        <v>6.5270205000000003E-3</v>
      </c>
      <c r="AB39" s="2919" t="s">
        <v>951</v>
      </c>
      <c r="AC39" s="3034">
        <f>AA39*1000</f>
        <v>6.5270204999999999</v>
      </c>
      <c r="AD39" s="2919" t="s">
        <v>951</v>
      </c>
      <c r="AE39" s="3034">
        <f>(AC39*21)/1000000</f>
        <v>1.3706743050000001E-4</v>
      </c>
      <c r="AF39" s="560"/>
    </row>
    <row r="40" spans="2:32" ht="12.75">
      <c r="B40" s="3024"/>
      <c r="C40" s="2424"/>
      <c r="D40" s="2424"/>
      <c r="E40" s="473"/>
      <c r="F40" s="2425"/>
      <c r="G40" s="480"/>
      <c r="H40" s="2425"/>
      <c r="I40" s="481"/>
      <c r="J40" s="2919"/>
      <c r="K40" s="219"/>
      <c r="L40" s="2919"/>
      <c r="M40" s="477"/>
      <c r="N40" s="2919"/>
      <c r="O40" s="978">
        <f>SUM(O38:O39)</f>
        <v>0.12383189699632187</v>
      </c>
      <c r="P40" s="3026"/>
      <c r="Q40" s="3027"/>
      <c r="R40" s="3027"/>
      <c r="S40" s="3027"/>
      <c r="T40" s="2424"/>
      <c r="U40" s="2424"/>
      <c r="V40" s="2761"/>
      <c r="W40" s="2424"/>
      <c r="X40">
        <f>(X38+X39)</f>
        <v>9.4459266720000007E-4</v>
      </c>
      <c r="Y40" s="3029"/>
      <c r="Z40" s="2424"/>
      <c r="AA40" s="2424"/>
      <c r="AB40" s="2424"/>
      <c r="AC40" s="2761"/>
      <c r="AD40" s="2424"/>
      <c r="AE40">
        <f>(AE38+AE39)</f>
        <v>1.8804526650000001E-4</v>
      </c>
      <c r="AF40" s="560"/>
    </row>
    <row r="41" spans="2:32" ht="12.75">
      <c r="B41" s="3037"/>
      <c r="C41" s="2426"/>
      <c r="D41" s="2424"/>
      <c r="E41" s="3027"/>
      <c r="F41" s="3027"/>
      <c r="G41" s="3027"/>
      <c r="H41" s="3027"/>
      <c r="I41" s="3027"/>
      <c r="J41" s="3027"/>
      <c r="K41" s="3026"/>
      <c r="L41" s="2919"/>
      <c r="M41" s="3026"/>
      <c r="N41" s="3038"/>
      <c r="P41" s="3026"/>
      <c r="Q41" s="3027"/>
      <c r="R41" s="3027"/>
      <c r="S41" s="3027"/>
      <c r="T41" s="2424"/>
      <c r="U41" s="2424"/>
      <c r="V41" s="2424"/>
      <c r="W41" s="2424"/>
      <c r="X41" s="2424"/>
      <c r="Y41" s="3029"/>
      <c r="Z41" s="2424"/>
      <c r="AA41" s="2424"/>
      <c r="AB41" s="2424"/>
      <c r="AC41" s="2424"/>
      <c r="AD41" s="2424"/>
      <c r="AE41" s="2424"/>
      <c r="AF41" s="560"/>
    </row>
    <row r="42" spans="2:32" ht="12" thickBot="1">
      <c r="I42" s="561"/>
      <c r="J42" s="561"/>
      <c r="K42" s="561"/>
      <c r="L42" s="561"/>
      <c r="T42" s="561"/>
      <c r="U42" s="561"/>
      <c r="V42" s="561"/>
      <c r="W42" s="561"/>
      <c r="X42" s="561"/>
      <c r="Y42" s="561"/>
      <c r="Z42" s="561"/>
      <c r="AA42" s="561"/>
      <c r="AB42" s="561"/>
      <c r="AC42" s="561"/>
      <c r="AD42" s="561"/>
      <c r="AE42" s="561"/>
      <c r="AF42" s="1355"/>
    </row>
    <row r="43" spans="2:32">
      <c r="B43" s="98"/>
      <c r="C43" s="98"/>
      <c r="D43" s="98"/>
      <c r="E43" s="98"/>
      <c r="F43" s="98"/>
      <c r="G43" s="98"/>
      <c r="H43" s="98"/>
      <c r="M43" s="98"/>
      <c r="N43" s="98"/>
      <c r="O43" s="98"/>
      <c r="P43" s="98"/>
      <c r="Q43" s="98"/>
      <c r="R43" s="98"/>
      <c r="S43" s="98"/>
    </row>
    <row r="44" spans="2:32">
      <c r="B44" s="98"/>
      <c r="C44" s="98"/>
      <c r="D44" s="98"/>
      <c r="E44" s="98"/>
      <c r="F44" s="98"/>
      <c r="G44" s="98"/>
      <c r="H44" s="98"/>
      <c r="M44">
        <v>171972210</v>
      </c>
      <c r="N44" s="98"/>
      <c r="O44">
        <f>(M44*0.907184)/(1000000)</f>
        <v>156.01043735664001</v>
      </c>
      <c r="P44" s="98"/>
      <c r="Q44" s="98"/>
      <c r="R44" s="98"/>
      <c r="S44" s="98"/>
    </row>
    <row r="45" spans="2:32" ht="12" thickBot="1">
      <c r="B45" s="98"/>
      <c r="C45" s="98"/>
      <c r="D45" s="98"/>
      <c r="E45" s="98"/>
      <c r="F45" s="98"/>
      <c r="G45" s="98"/>
      <c r="H45" s="98"/>
      <c r="I45" s="13"/>
      <c r="M45" s="98"/>
      <c r="N45" s="98"/>
      <c r="O45" s="98"/>
      <c r="P45" s="98"/>
      <c r="Q45" s="98"/>
      <c r="R45" s="98"/>
      <c r="S45" s="98"/>
    </row>
    <row r="46" spans="2:32" s="216" customFormat="1" ht="13.5" thickTop="1">
      <c r="B46" s="933"/>
      <c r="C46" s="934"/>
      <c r="D46" s="934"/>
      <c r="E46" s="935" t="s">
        <v>943</v>
      </c>
      <c r="F46" s="936"/>
      <c r="G46" s="936"/>
      <c r="H46" s="936"/>
      <c r="I46" s="935" t="s">
        <v>944</v>
      </c>
      <c r="J46" s="937"/>
      <c r="K46" s="936"/>
      <c r="L46" s="938"/>
      <c r="M46" s="936"/>
      <c r="N46" s="937"/>
      <c r="O46" s="939"/>
      <c r="P46" s="939"/>
      <c r="Q46" s="939"/>
      <c r="R46" s="939"/>
      <c r="S46" s="939"/>
      <c r="T46" s="940"/>
    </row>
    <row r="47" spans="2:32" s="216" customFormat="1" ht="12.75">
      <c r="B47" s="941"/>
      <c r="C47" s="472" t="s">
        <v>104</v>
      </c>
      <c r="D47" s="488"/>
      <c r="E47" s="472" t="s">
        <v>104</v>
      </c>
      <c r="F47" s="471"/>
      <c r="G47" s="488"/>
      <c r="H47" s="488"/>
      <c r="I47" s="472" t="s">
        <v>104</v>
      </c>
      <c r="J47" s="488"/>
      <c r="K47" s="472" t="s">
        <v>105</v>
      </c>
      <c r="L47" s="471"/>
      <c r="M47" s="472" t="s">
        <v>149</v>
      </c>
      <c r="N47" s="488"/>
      <c r="O47" s="484" t="s">
        <v>106</v>
      </c>
      <c r="P47" s="471"/>
      <c r="Q47" s="484" t="s">
        <v>106</v>
      </c>
      <c r="R47" s="488"/>
      <c r="S47" s="484" t="s">
        <v>106</v>
      </c>
      <c r="T47" s="522"/>
    </row>
    <row r="48" spans="2:32" s="216" customFormat="1" ht="14.25">
      <c r="B48" s="941"/>
      <c r="C48" s="472" t="s">
        <v>108</v>
      </c>
      <c r="D48" s="488"/>
      <c r="E48" s="472" t="s">
        <v>108</v>
      </c>
      <c r="F48" s="471"/>
      <c r="G48" s="472" t="s">
        <v>945</v>
      </c>
      <c r="H48" s="488"/>
      <c r="I48" s="472" t="s">
        <v>108</v>
      </c>
      <c r="J48" s="488"/>
      <c r="K48" s="472" t="s">
        <v>150</v>
      </c>
      <c r="L48" s="471"/>
      <c r="M48" s="472" t="s">
        <v>151</v>
      </c>
      <c r="N48" s="488"/>
      <c r="O48" s="472" t="s">
        <v>152</v>
      </c>
      <c r="P48" s="472"/>
      <c r="Q48" s="472" t="s">
        <v>1058</v>
      </c>
      <c r="R48" s="488"/>
      <c r="S48" s="484" t="s">
        <v>411</v>
      </c>
      <c r="T48" s="522"/>
    </row>
    <row r="49" spans="2:20" s="216" customFormat="1" ht="12.75">
      <c r="B49" s="2915" t="s">
        <v>889</v>
      </c>
      <c r="C49" s="473">
        <f>G9</f>
        <v>1427</v>
      </c>
      <c r="D49" s="478" t="s">
        <v>1059</v>
      </c>
      <c r="E49" s="473">
        <v>1427</v>
      </c>
      <c r="F49" s="943" t="s">
        <v>950</v>
      </c>
      <c r="G49" s="482">
        <v>9.2393732597307904E-2</v>
      </c>
      <c r="H49" s="943" t="s">
        <v>1060</v>
      </c>
      <c r="I49" s="219">
        <f>C49-(E49*G49)</f>
        <v>1295.1541435836416</v>
      </c>
      <c r="J49" s="943" t="s">
        <v>950</v>
      </c>
      <c r="K49" s="695">
        <v>43.97</v>
      </c>
      <c r="L49" s="943" t="s">
        <v>950</v>
      </c>
      <c r="M49" s="217">
        <v>1</v>
      </c>
      <c r="N49" s="478" t="s">
        <v>951</v>
      </c>
      <c r="O49" s="219">
        <f>I49*1000*K49*M49/2000</f>
        <v>28473.963846686358</v>
      </c>
      <c r="P49" s="478" t="s">
        <v>951</v>
      </c>
      <c r="Q49" s="477">
        <f>O49*0.90718/1000000</f>
        <v>2.5831010522436929E-2</v>
      </c>
      <c r="R49" s="944" t="s">
        <v>951</v>
      </c>
      <c r="S49" s="978">
        <f>Q49*44/12</f>
        <v>9.4713705248935409E-2</v>
      </c>
      <c r="T49" s="522"/>
    </row>
    <row r="50" spans="2:20" s="216" customFormat="1" ht="13.5" thickBot="1">
      <c r="B50" s="945"/>
      <c r="C50" s="955"/>
      <c r="D50" s="946"/>
      <c r="E50" s="955"/>
      <c r="F50" s="947"/>
      <c r="G50" s="948"/>
      <c r="H50" s="947"/>
      <c r="I50" s="949"/>
      <c r="J50" s="947"/>
      <c r="K50" s="950"/>
      <c r="L50" s="947"/>
      <c r="M50" s="951"/>
      <c r="N50" s="946"/>
      <c r="O50" s="949"/>
      <c r="P50" s="946"/>
      <c r="Q50" s="952"/>
      <c r="R50" s="953"/>
      <c r="S50" s="952"/>
      <c r="T50" s="525"/>
    </row>
    <row r="51" spans="2:20" s="216" customFormat="1" ht="13.5" thickTop="1">
      <c r="B51" s="470"/>
      <c r="C51" s="504"/>
      <c r="D51" s="476"/>
      <c r="E51" s="504"/>
      <c r="F51" s="474"/>
      <c r="G51" s="928"/>
      <c r="H51" s="474"/>
      <c r="I51" s="929"/>
      <c r="J51" s="474"/>
      <c r="K51" s="930"/>
      <c r="L51" s="474"/>
      <c r="M51" s="931"/>
      <c r="N51" s="476"/>
      <c r="O51" s="929"/>
      <c r="P51" s="476"/>
      <c r="Q51" s="932"/>
      <c r="R51" s="483"/>
      <c r="S51" s="932"/>
    </row>
    <row r="52" spans="2:20">
      <c r="B52" s="98"/>
      <c r="C52" s="98"/>
      <c r="D52" s="98"/>
      <c r="E52" s="98"/>
      <c r="F52" s="98"/>
      <c r="G52" s="98"/>
      <c r="H52" s="98"/>
      <c r="I52" s="13"/>
      <c r="M52" s="98"/>
      <c r="N52" s="98"/>
      <c r="O52" s="98"/>
      <c r="P52" s="98"/>
      <c r="Q52" s="98"/>
      <c r="R52" s="98"/>
      <c r="S52" s="98"/>
    </row>
    <row r="53" spans="2:20" ht="12" thickBot="1">
      <c r="B53" s="98"/>
      <c r="C53" s="98"/>
      <c r="D53" s="98"/>
      <c r="E53" s="98"/>
      <c r="F53" s="98"/>
      <c r="G53" s="98"/>
      <c r="H53" s="98"/>
      <c r="I53" s="13"/>
      <c r="M53" s="98"/>
      <c r="N53" s="98"/>
      <c r="O53" s="98"/>
      <c r="P53" s="98"/>
      <c r="Q53" s="98"/>
      <c r="R53" s="98"/>
      <c r="S53" s="98"/>
    </row>
    <row r="54" spans="2:20" ht="13.5" thickTop="1">
      <c r="B54" s="2630"/>
      <c r="C54" s="2622" t="s">
        <v>106</v>
      </c>
      <c r="D54" s="2622"/>
      <c r="E54" s="2622" t="s">
        <v>106</v>
      </c>
      <c r="F54" s="2622"/>
      <c r="G54" s="2622" t="s">
        <v>106</v>
      </c>
      <c r="H54" s="674"/>
      <c r="I54" s="2623" t="s">
        <v>106</v>
      </c>
      <c r="J54" s="2637"/>
      <c r="K54" s="3"/>
    </row>
    <row r="55" spans="2:20" ht="14.25">
      <c r="B55" s="2345"/>
      <c r="C55" s="2639" t="s">
        <v>1331</v>
      </c>
      <c r="D55" s="2639"/>
      <c r="E55" s="2946" t="s">
        <v>1668</v>
      </c>
      <c r="F55" s="2639"/>
      <c r="G55" s="2946" t="s">
        <v>1669</v>
      </c>
      <c r="H55" s="32"/>
      <c r="I55" s="2947" t="s">
        <v>1670</v>
      </c>
      <c r="J55" s="2637"/>
      <c r="K55" s="3"/>
    </row>
    <row r="56" spans="2:20" ht="15" thickBot="1">
      <c r="B56" s="2955" t="s">
        <v>1110</v>
      </c>
      <c r="C56" s="2956" t="s">
        <v>1327</v>
      </c>
      <c r="D56" s="2956"/>
      <c r="E56" s="2956" t="s">
        <v>1327</v>
      </c>
      <c r="F56" s="2956"/>
      <c r="G56" s="2956" t="s">
        <v>1327</v>
      </c>
      <c r="H56" s="561"/>
      <c r="I56" s="2957" t="s">
        <v>1327</v>
      </c>
      <c r="J56" s="2637"/>
      <c r="K56" s="3"/>
    </row>
    <row r="57" spans="2:20" ht="12.75">
      <c r="B57" s="2954" t="s">
        <v>883</v>
      </c>
      <c r="C57" s="2968">
        <f>O26</f>
        <v>1.2087455315833334E-2</v>
      </c>
      <c r="D57" s="2961"/>
      <c r="E57" s="2968">
        <f>AE26</f>
        <v>2.1594711599999999E-4</v>
      </c>
      <c r="F57" s="2962"/>
      <c r="G57" s="2971">
        <f>X26</f>
        <v>4.8299860000000005E-5</v>
      </c>
      <c r="H57" s="2963"/>
      <c r="I57" s="2970">
        <f>SUM(C57:H57)</f>
        <v>1.2351702291833334E-2</v>
      </c>
      <c r="J57" s="2949"/>
      <c r="K57" s="3"/>
    </row>
    <row r="58" spans="2:20" ht="12.75">
      <c r="B58" s="2951" t="s">
        <v>885</v>
      </c>
      <c r="C58" s="2968">
        <f>O27</f>
        <v>0.80331662160749973</v>
      </c>
      <c r="D58" s="2961"/>
      <c r="E58" s="2968">
        <f>AE27</f>
        <v>4.5187381008000003E-4</v>
      </c>
      <c r="F58" s="2962"/>
      <c r="G58" s="2971">
        <f>X27</f>
        <v>7.6672622399999993E-3</v>
      </c>
      <c r="H58" s="2963"/>
      <c r="I58" s="2970">
        <f>SUM(C58:H58)</f>
        <v>0.8114357576575798</v>
      </c>
      <c r="J58" s="2949"/>
      <c r="K58" s="3"/>
    </row>
    <row r="59" spans="2:20" ht="12.75">
      <c r="B59" s="2951" t="s">
        <v>888</v>
      </c>
      <c r="C59" s="2968">
        <f>O39</f>
        <v>9.2656242988833307E-2</v>
      </c>
      <c r="D59" s="2961"/>
      <c r="E59" s="2968">
        <f>AE38+AE39</f>
        <v>1.8804526650000001E-4</v>
      </c>
      <c r="F59" s="2962"/>
      <c r="G59" s="2971">
        <f>X38+X39</f>
        <v>9.4459266720000007E-4</v>
      </c>
      <c r="H59" s="2963"/>
      <c r="I59" s="2970">
        <f>SUM(C59:H59)</f>
        <v>9.3788880922533305E-2</v>
      </c>
      <c r="J59" s="2949"/>
      <c r="K59" s="3"/>
    </row>
    <row r="60" spans="2:20" ht="12.75">
      <c r="B60" s="2952" t="s">
        <v>889</v>
      </c>
      <c r="C60" s="2968">
        <f>O40</f>
        <v>0.12383189699632187</v>
      </c>
      <c r="D60" s="2961"/>
      <c r="E60" s="2968">
        <f>AE29</f>
        <v>9.7082668115999998E-4</v>
      </c>
      <c r="F60" s="2962"/>
      <c r="G60" s="2971">
        <f>X29</f>
        <v>9.146903571615999E-3</v>
      </c>
      <c r="H60" s="2963"/>
      <c r="I60" s="2970">
        <f>SUM(C60:H60)</f>
        <v>0.13394962724909787</v>
      </c>
      <c r="J60" s="2949"/>
      <c r="K60" s="3"/>
    </row>
    <row r="61" spans="2:20" ht="12.75">
      <c r="B61" s="2953" t="s">
        <v>1673</v>
      </c>
      <c r="C61" s="2968">
        <f>O30</f>
        <v>0</v>
      </c>
      <c r="D61" s="2961"/>
      <c r="E61" s="2968">
        <f>AE30</f>
        <v>0</v>
      </c>
      <c r="F61" s="2962"/>
      <c r="G61" s="2971">
        <f>X30</f>
        <v>0</v>
      </c>
      <c r="H61" s="2963"/>
      <c r="I61" s="2970">
        <f>SUM(C61:H61)</f>
        <v>0</v>
      </c>
      <c r="J61" s="2949"/>
      <c r="K61" s="3"/>
    </row>
    <row r="62" spans="2:20" ht="13.5" thickBot="1">
      <c r="B62" s="2948"/>
      <c r="C62" s="2969">
        <f>SUM(C57:C61)</f>
        <v>1.0318922169084883</v>
      </c>
      <c r="D62" s="2964"/>
      <c r="E62" s="2973">
        <f>SUM(E57:E61)</f>
        <v>1.82669287374E-3</v>
      </c>
      <c r="F62" s="2965"/>
      <c r="G62" s="2972">
        <f>SUM(G57:G61)</f>
        <v>1.7807058338815997E-2</v>
      </c>
      <c r="H62" s="2966"/>
      <c r="I62" s="2967">
        <f>SUM(I57:I61)</f>
        <v>1.0515259681210445</v>
      </c>
      <c r="J62" s="2950"/>
      <c r="K62" s="3"/>
    </row>
    <row r="63" spans="2:20" ht="12" thickTop="1"/>
  </sheetData>
  <sheetProtection password="CD58" sheet="1" objects="1" scenarios="1"/>
  <mergeCells count="2">
    <mergeCell ref="D18:E18"/>
    <mergeCell ref="A2:K2"/>
  </mergeCells>
  <printOptions gridLines="1"/>
  <pageMargins left="0.17" right="0.16" top="0.23" bottom="0.24" header="0.3" footer="0.3"/>
  <pageSetup paperSize="5" scale="54" orientation="landscape" r:id="rId1"/>
  <colBreaks count="1" manualBreakCount="1">
    <brk id="32" max="1048575" man="1"/>
  </colBreaks>
  <drawing r:id="rId2"/>
  <picture r:id="rId3"/>
</worksheet>
</file>

<file path=xl/worksheets/sheet9.xml><?xml version="1.0" encoding="utf-8"?>
<worksheet xmlns="http://schemas.openxmlformats.org/spreadsheetml/2006/main" xmlns:r="http://schemas.openxmlformats.org/officeDocument/2006/relationships">
  <sheetPr codeName="Sheet1"/>
  <dimension ref="A1:M58"/>
  <sheetViews>
    <sheetView workbookViewId="0">
      <selection activeCell="I1" sqref="I1"/>
    </sheetView>
  </sheetViews>
  <sheetFormatPr defaultRowHeight="11.25"/>
  <cols>
    <col min="2" max="2" width="15.5" customWidth="1"/>
    <col min="3" max="3" width="16.83203125" customWidth="1"/>
    <col min="4" max="4" width="23.6640625" customWidth="1"/>
    <col min="5" max="5" width="19.1640625" customWidth="1"/>
    <col min="6" max="6" width="19.5" customWidth="1"/>
    <col min="7" max="7" width="15.1640625" customWidth="1"/>
  </cols>
  <sheetData>
    <row r="1" spans="1:13" ht="33">
      <c r="A1" s="550" t="s">
        <v>1324</v>
      </c>
      <c r="B1" s="210"/>
      <c r="F1" s="1"/>
      <c r="G1" s="547"/>
      <c r="H1" s="1"/>
    </row>
    <row r="2" spans="1:13" ht="123.75" customHeight="1"/>
    <row r="3" spans="1:13" ht="21">
      <c r="B3" s="53" t="s">
        <v>926</v>
      </c>
      <c r="C3" s="54"/>
      <c r="D3" s="53"/>
      <c r="E3" s="39">
        <v>2014</v>
      </c>
      <c r="F3" s="17"/>
      <c r="G3" s="17"/>
      <c r="H3" s="17"/>
      <c r="I3" s="17"/>
      <c r="J3" s="17"/>
      <c r="K3" s="17"/>
      <c r="L3" s="17"/>
      <c r="M3" s="17"/>
    </row>
    <row r="4" spans="1:13" ht="13.5" thickBot="1">
      <c r="B4" s="40"/>
      <c r="C4" s="17"/>
      <c r="D4" s="37"/>
      <c r="E4" s="40"/>
      <c r="F4" s="17"/>
      <c r="G4" s="17"/>
      <c r="H4" s="17"/>
      <c r="I4" s="17"/>
      <c r="J4" s="17"/>
      <c r="K4" s="17"/>
      <c r="L4" s="1"/>
      <c r="M4" s="1"/>
    </row>
    <row r="5" spans="1:13" ht="13.5" thickTop="1">
      <c r="B5" s="2193"/>
      <c r="C5" s="2194" t="s">
        <v>104</v>
      </c>
      <c r="D5" s="2194" t="s">
        <v>105</v>
      </c>
      <c r="E5" s="2194" t="s">
        <v>149</v>
      </c>
      <c r="F5" s="2194" t="s">
        <v>106</v>
      </c>
      <c r="G5" s="2195" t="s">
        <v>106</v>
      </c>
      <c r="H5" s="11"/>
      <c r="I5" s="3"/>
      <c r="J5" s="6"/>
      <c r="K5" s="42"/>
      <c r="L5" s="3"/>
      <c r="M5" s="42"/>
    </row>
    <row r="6" spans="1:13" ht="15" thickBot="1">
      <c r="B6" s="2196" t="s">
        <v>1110</v>
      </c>
      <c r="C6" s="2197" t="s">
        <v>108</v>
      </c>
      <c r="D6" s="2197" t="s">
        <v>150</v>
      </c>
      <c r="E6" s="2197" t="s">
        <v>151</v>
      </c>
      <c r="F6" s="2197" t="s">
        <v>152</v>
      </c>
      <c r="G6" s="2198" t="s">
        <v>1327</v>
      </c>
      <c r="H6" s="42"/>
      <c r="I6" s="3"/>
      <c r="J6" s="42"/>
      <c r="K6" s="42"/>
      <c r="L6" s="3"/>
      <c r="M6" s="42"/>
    </row>
    <row r="7" spans="1:13" ht="12.75">
      <c r="B7" s="2199" t="s">
        <v>1102</v>
      </c>
      <c r="C7" s="2200">
        <v>0</v>
      </c>
      <c r="D7" s="2201">
        <v>56.672727272727272</v>
      </c>
      <c r="E7" s="2202">
        <v>1</v>
      </c>
      <c r="F7" s="2203">
        <f>C7*1000*D7*E7/2000</f>
        <v>0</v>
      </c>
      <c r="G7" s="2204">
        <f>F7*(44/12)*0.907441/1000000</f>
        <v>0</v>
      </c>
      <c r="H7" s="55"/>
      <c r="I7" s="3"/>
      <c r="J7" s="55"/>
      <c r="K7" s="56"/>
      <c r="L7" s="55"/>
      <c r="M7" s="56"/>
    </row>
    <row r="8" spans="1:13" ht="12.75">
      <c r="B8" s="2205" t="s">
        <v>884</v>
      </c>
      <c r="C8" s="2206">
        <v>18638</v>
      </c>
      <c r="D8" s="2207">
        <v>44.43</v>
      </c>
      <c r="E8" s="2208">
        <v>1</v>
      </c>
      <c r="F8" s="2209">
        <f>C8*1000*D8*E8/2000</f>
        <v>414043.17</v>
      </c>
      <c r="G8" s="2210">
        <f>F8*(44/12)*0.907441/1000000</f>
        <v>1.3776390768358899</v>
      </c>
      <c r="H8" s="55"/>
      <c r="I8" s="3"/>
      <c r="J8" s="55"/>
      <c r="K8" s="56"/>
      <c r="L8" s="55"/>
      <c r="M8" s="56"/>
    </row>
    <row r="9" spans="1:13" ht="12.75">
      <c r="B9" s="2205" t="s">
        <v>909</v>
      </c>
      <c r="C9" s="2206">
        <v>339</v>
      </c>
      <c r="D9" s="2207">
        <v>43.97</v>
      </c>
      <c r="E9" s="2208">
        <v>1</v>
      </c>
      <c r="F9" s="2209">
        <f>C9*1000*D9*E9/2000</f>
        <v>7452.915</v>
      </c>
      <c r="G9" s="2210">
        <f>F9*(44/12)*0.907441/1000000</f>
        <v>2.4797962348555001E-2</v>
      </c>
      <c r="H9" s="55"/>
      <c r="I9" s="3"/>
      <c r="J9" s="55"/>
      <c r="K9" s="56"/>
      <c r="L9" s="55"/>
      <c r="M9" s="56"/>
    </row>
    <row r="10" spans="1:13" ht="12.75">
      <c r="B10" s="2205" t="s">
        <v>886</v>
      </c>
      <c r="C10" s="2206">
        <v>7829</v>
      </c>
      <c r="D10" s="2207">
        <v>37.110283550140529</v>
      </c>
      <c r="E10" s="2208">
        <v>1</v>
      </c>
      <c r="F10" s="2209">
        <f>C10*1000*D10*E10/2000</f>
        <v>145268.2049570251</v>
      </c>
      <c r="G10" s="2210">
        <f>F10*(44/12)*0.907441/1000000</f>
        <v>0.48334852563949526</v>
      </c>
      <c r="H10" s="55"/>
      <c r="I10" s="3"/>
      <c r="J10" s="55"/>
      <c r="K10" s="56"/>
      <c r="L10" s="55"/>
      <c r="M10" s="56"/>
    </row>
    <row r="11" spans="1:13" ht="13.5" thickBot="1">
      <c r="B11" s="2211" t="s">
        <v>1104</v>
      </c>
      <c r="C11" s="2212">
        <v>95085</v>
      </c>
      <c r="D11" s="2213">
        <v>31.87</v>
      </c>
      <c r="E11" s="2214">
        <v>1</v>
      </c>
      <c r="F11" s="2215">
        <f>C11*1000*D11*E11/2000</f>
        <v>1515179.4750000001</v>
      </c>
      <c r="G11" s="2216">
        <f>F11*(44/12)*0.907441/1000000</f>
        <v>5.041431919236075</v>
      </c>
      <c r="H11" s="55"/>
      <c r="I11" s="3"/>
      <c r="J11" s="55"/>
      <c r="K11" s="56"/>
      <c r="L11" s="55"/>
      <c r="M11" s="56"/>
    </row>
    <row r="12" spans="1:13" ht="13.5" thickBot="1">
      <c r="B12" s="2217"/>
      <c r="C12" s="2218"/>
      <c r="D12" s="2218"/>
      <c r="E12" s="2318"/>
      <c r="F12" s="2192" t="s">
        <v>194</v>
      </c>
      <c r="G12" s="2219">
        <f>SUM(G7:G11)</f>
        <v>6.9272174840600158</v>
      </c>
      <c r="H12" s="3"/>
      <c r="I12" s="3"/>
      <c r="J12" s="3"/>
      <c r="K12" s="3"/>
      <c r="L12" s="3"/>
      <c r="M12" s="3"/>
    </row>
    <row r="13" spans="1:13" ht="12" thickTop="1"/>
    <row r="14" spans="1:13" ht="21">
      <c r="B14" s="53" t="s">
        <v>927</v>
      </c>
      <c r="C14" s="57"/>
      <c r="D14" s="58"/>
      <c r="E14" s="39">
        <v>2014</v>
      </c>
      <c r="F14" s="15"/>
      <c r="G14" s="17"/>
      <c r="H14" s="17"/>
      <c r="I14" s="17"/>
      <c r="J14" s="15"/>
      <c r="K14" s="15"/>
      <c r="L14" s="15"/>
      <c r="M14" s="15"/>
    </row>
    <row r="15" spans="1:13" ht="13.5" thickBot="1">
      <c r="B15" s="40"/>
      <c r="C15" s="17"/>
      <c r="D15" s="37"/>
      <c r="E15" s="40"/>
      <c r="F15" s="17"/>
      <c r="G15" s="17"/>
      <c r="H15" s="11"/>
      <c r="I15" s="11"/>
      <c r="J15" s="11"/>
      <c r="K15" s="11"/>
      <c r="L15" s="11"/>
      <c r="M15" s="11"/>
    </row>
    <row r="16" spans="1:13" ht="13.5" thickTop="1">
      <c r="B16" s="2193"/>
      <c r="C16" s="2194" t="s">
        <v>104</v>
      </c>
      <c r="D16" s="2194" t="s">
        <v>105</v>
      </c>
      <c r="E16" s="2194" t="s">
        <v>106</v>
      </c>
      <c r="F16" s="2194" t="s">
        <v>107</v>
      </c>
      <c r="G16" s="2195" t="s">
        <v>106</v>
      </c>
      <c r="H16" s="42"/>
      <c r="I16" s="6"/>
      <c r="J16" s="6"/>
      <c r="K16" s="42"/>
      <c r="L16" s="6"/>
      <c r="M16" s="42"/>
    </row>
    <row r="17" spans="2:13" ht="15" thickBot="1">
      <c r="B17" s="2196" t="s">
        <v>1110</v>
      </c>
      <c r="C17" s="2197" t="s">
        <v>108</v>
      </c>
      <c r="D17" s="2197" t="s">
        <v>1328</v>
      </c>
      <c r="E17" s="2197" t="s">
        <v>1329</v>
      </c>
      <c r="F17" s="2197"/>
      <c r="G17" s="2198" t="s">
        <v>1327</v>
      </c>
      <c r="H17" s="42"/>
      <c r="I17" s="6"/>
      <c r="J17" s="42"/>
      <c r="K17" s="42"/>
      <c r="L17" s="6"/>
      <c r="M17" s="42"/>
    </row>
    <row r="18" spans="2:13" ht="12.75">
      <c r="B18" s="2220" t="s">
        <v>1102</v>
      </c>
      <c r="C18" s="2200">
        <v>0</v>
      </c>
      <c r="D18" s="2221">
        <v>1.5034545899835E-3</v>
      </c>
      <c r="E18" s="2222">
        <f t="shared" ref="E18:E23" si="0">C18*D18</f>
        <v>0</v>
      </c>
      <c r="F18" s="2223">
        <v>310</v>
      </c>
      <c r="G18" s="2224">
        <f t="shared" ref="G18:G23" si="1">E18*F18/1000000</f>
        <v>0</v>
      </c>
      <c r="H18" s="60"/>
      <c r="I18" s="6"/>
      <c r="J18" s="55"/>
      <c r="K18" s="61"/>
      <c r="L18" s="55"/>
      <c r="M18" s="61"/>
    </row>
    <row r="19" spans="2:13" ht="12.75">
      <c r="B19" s="2225" t="s">
        <v>884</v>
      </c>
      <c r="C19" s="2206">
        <v>18638</v>
      </c>
      <c r="D19" s="2226">
        <v>6.0138183599339984E-4</v>
      </c>
      <c r="E19" s="2227">
        <f t="shared" si="0"/>
        <v>11.208554659244987</v>
      </c>
      <c r="F19" s="2228">
        <v>310</v>
      </c>
      <c r="G19" s="2229">
        <f t="shared" si="1"/>
        <v>3.4746519443659457E-3</v>
      </c>
      <c r="H19" s="60"/>
      <c r="I19" s="6"/>
      <c r="J19" s="55"/>
      <c r="K19" s="61"/>
      <c r="L19" s="55"/>
      <c r="M19" s="61"/>
    </row>
    <row r="20" spans="2:13" ht="12.75">
      <c r="B20" s="2225" t="s">
        <v>909</v>
      </c>
      <c r="C20" s="2206">
        <v>339</v>
      </c>
      <c r="D20" s="2226">
        <v>6.0138183599339984E-4</v>
      </c>
      <c r="E20" s="2227">
        <f t="shared" si="0"/>
        <v>0.20386844240176255</v>
      </c>
      <c r="F20" s="2228">
        <v>310</v>
      </c>
      <c r="G20" s="2229">
        <f t="shared" si="1"/>
        <v>6.3199217144546392E-5</v>
      </c>
      <c r="H20" s="60"/>
      <c r="I20" s="6"/>
      <c r="J20" s="55"/>
      <c r="K20" s="61"/>
      <c r="L20" s="55"/>
      <c r="M20" s="61"/>
    </row>
    <row r="21" spans="2:13" ht="12.75">
      <c r="B21" s="2225" t="s">
        <v>886</v>
      </c>
      <c r="C21" s="2206">
        <v>7829</v>
      </c>
      <c r="D21" s="2226">
        <v>6.0138183599339984E-4</v>
      </c>
      <c r="E21" s="2227">
        <f t="shared" si="0"/>
        <v>4.7082183939923272</v>
      </c>
      <c r="F21" s="2228">
        <v>310</v>
      </c>
      <c r="G21" s="2229">
        <f t="shared" si="1"/>
        <v>1.4595477021376213E-3</v>
      </c>
      <c r="H21" s="60"/>
      <c r="I21" s="6"/>
      <c r="J21" s="55"/>
      <c r="K21" s="61"/>
      <c r="L21" s="55"/>
      <c r="M21" s="61"/>
    </row>
    <row r="22" spans="2:13" ht="12.75">
      <c r="B22" s="2225" t="s">
        <v>1104</v>
      </c>
      <c r="C22" s="2206">
        <v>95085</v>
      </c>
      <c r="D22" s="2226">
        <v>9.4955026735800017E-5</v>
      </c>
      <c r="E22" s="2227">
        <f t="shared" si="0"/>
        <v>9.0287987171735438</v>
      </c>
      <c r="F22" s="2228">
        <v>310</v>
      </c>
      <c r="G22" s="2229">
        <f t="shared" si="1"/>
        <v>2.7989276023237986E-3</v>
      </c>
      <c r="H22" s="60"/>
      <c r="I22" s="6"/>
      <c r="J22" s="55"/>
      <c r="K22" s="61"/>
      <c r="L22" s="55"/>
      <c r="M22" s="61"/>
    </row>
    <row r="23" spans="2:13" ht="13.5" thickBot="1">
      <c r="B23" s="2230" t="s">
        <v>186</v>
      </c>
      <c r="C23" s="2212">
        <v>11488</v>
      </c>
      <c r="D23" s="2231">
        <v>3.7982010694320003E-3</v>
      </c>
      <c r="E23" s="2232">
        <f t="shared" si="0"/>
        <v>43.633733885634818</v>
      </c>
      <c r="F23" s="2233">
        <v>310</v>
      </c>
      <c r="G23" s="2234">
        <f t="shared" si="1"/>
        <v>1.3526457504546794E-2</v>
      </c>
      <c r="H23" s="60"/>
      <c r="I23" s="6"/>
      <c r="J23" s="55"/>
      <c r="K23" s="61"/>
      <c r="L23" s="55"/>
      <c r="M23" s="61"/>
    </row>
    <row r="24" spans="2:13" ht="13.5" thickBot="1">
      <c r="B24" s="2235"/>
      <c r="C24" s="2236"/>
      <c r="D24" s="2236"/>
      <c r="E24" s="2236"/>
      <c r="F24" s="2192" t="s">
        <v>194</v>
      </c>
      <c r="G24" s="2237">
        <f>SUM(G18:G23)</f>
        <v>2.1322783970518705E-2</v>
      </c>
      <c r="H24" s="11"/>
      <c r="I24" s="42"/>
      <c r="J24" s="62"/>
      <c r="K24" s="63"/>
      <c r="L24" s="62"/>
      <c r="M24" s="64"/>
    </row>
    <row r="25" spans="2:13" ht="12" thickTop="1">
      <c r="H25" s="6"/>
      <c r="I25" s="6"/>
      <c r="J25" s="6"/>
      <c r="K25" s="6"/>
      <c r="L25" s="6"/>
      <c r="M25" s="6"/>
    </row>
    <row r="26" spans="2:13">
      <c r="H26" s="15"/>
      <c r="I26" s="15"/>
      <c r="J26" s="15"/>
      <c r="K26" s="15"/>
      <c r="L26" s="15"/>
      <c r="M26" s="15"/>
    </row>
    <row r="27" spans="2:13" ht="21">
      <c r="B27" s="53" t="s">
        <v>928</v>
      </c>
      <c r="C27" s="57"/>
      <c r="D27" s="58"/>
      <c r="E27" s="39">
        <v>2014</v>
      </c>
      <c r="F27" s="15"/>
      <c r="G27" s="17"/>
      <c r="H27" s="17"/>
      <c r="I27" s="17"/>
      <c r="J27" s="15"/>
      <c r="K27" s="15"/>
      <c r="L27" s="15"/>
      <c r="M27" s="15"/>
    </row>
    <row r="28" spans="2:13" ht="13.5" thickBot="1">
      <c r="B28" s="40"/>
      <c r="C28" s="17"/>
      <c r="D28" s="37"/>
      <c r="E28" s="40"/>
      <c r="F28" s="17"/>
      <c r="G28" s="17"/>
      <c r="H28" s="11"/>
      <c r="I28" s="11"/>
      <c r="J28" s="11"/>
      <c r="K28" s="11"/>
      <c r="L28" s="11"/>
      <c r="M28" s="11"/>
    </row>
    <row r="29" spans="2:13" ht="13.5" thickTop="1">
      <c r="B29" s="2193"/>
      <c r="C29" s="2194" t="s">
        <v>104</v>
      </c>
      <c r="D29" s="2194" t="s">
        <v>105</v>
      </c>
      <c r="E29" s="2194" t="s">
        <v>106</v>
      </c>
      <c r="F29" s="2194" t="s">
        <v>107</v>
      </c>
      <c r="G29" s="2195" t="s">
        <v>106</v>
      </c>
      <c r="H29" s="42"/>
      <c r="I29" s="3"/>
      <c r="J29" s="6"/>
      <c r="K29" s="42"/>
      <c r="L29" s="3"/>
      <c r="M29" s="3"/>
    </row>
    <row r="30" spans="2:13" ht="15" thickBot="1">
      <c r="B30" s="2196" t="s">
        <v>1110</v>
      </c>
      <c r="C30" s="2197" t="s">
        <v>108</v>
      </c>
      <c r="D30" s="2197" t="s">
        <v>109</v>
      </c>
      <c r="E30" s="2197" t="s">
        <v>1330</v>
      </c>
      <c r="F30" s="2197"/>
      <c r="G30" s="2198" t="s">
        <v>929</v>
      </c>
      <c r="H30" s="42"/>
      <c r="I30" s="3"/>
      <c r="J30" s="42"/>
      <c r="K30" s="42"/>
      <c r="L30" s="3"/>
      <c r="M30" s="3"/>
    </row>
    <row r="31" spans="2:13" ht="12.75">
      <c r="B31" s="2220" t="s">
        <v>1102</v>
      </c>
      <c r="C31" s="2238">
        <v>0</v>
      </c>
      <c r="D31" s="2221">
        <v>0.3006909179967</v>
      </c>
      <c r="E31" s="2239">
        <f t="shared" ref="E31:E36" si="2">C31*D31</f>
        <v>0</v>
      </c>
      <c r="F31" s="2223">
        <v>21</v>
      </c>
      <c r="G31" s="2240">
        <f t="shared" ref="G31:G36" si="3">E31*F31/1000000</f>
        <v>0</v>
      </c>
      <c r="H31" s="60"/>
      <c r="I31" s="3"/>
      <c r="J31" s="55"/>
      <c r="K31" s="56"/>
      <c r="L31" s="55"/>
      <c r="M31" s="61"/>
    </row>
    <row r="32" spans="2:13" ht="12.75">
      <c r="B32" s="2225" t="s">
        <v>884</v>
      </c>
      <c r="C32" s="2228">
        <v>18638</v>
      </c>
      <c r="D32" s="2226">
        <v>1.0023030599889999E-2</v>
      </c>
      <c r="E32" s="2241">
        <f t="shared" si="2"/>
        <v>186.8092443207498</v>
      </c>
      <c r="F32" s="2228">
        <v>21</v>
      </c>
      <c r="G32" s="2242">
        <f t="shared" si="3"/>
        <v>3.922994130735746E-3</v>
      </c>
      <c r="H32" s="60"/>
      <c r="I32" s="3"/>
      <c r="J32" s="55"/>
      <c r="K32" s="56"/>
      <c r="L32" s="55"/>
      <c r="M32" s="61"/>
    </row>
    <row r="33" spans="2:13" ht="12.75">
      <c r="B33" s="2225" t="s">
        <v>909</v>
      </c>
      <c r="C33" s="2228">
        <v>339</v>
      </c>
      <c r="D33" s="2226">
        <v>1.0023030599889999E-2</v>
      </c>
      <c r="E33" s="2241">
        <f t="shared" si="2"/>
        <v>3.3978073733627099</v>
      </c>
      <c r="F33" s="2228">
        <v>21</v>
      </c>
      <c r="G33" s="2242">
        <f t="shared" si="3"/>
        <v>7.1353954840616912E-5</v>
      </c>
      <c r="H33" s="60"/>
      <c r="I33" s="3"/>
      <c r="J33" s="55"/>
      <c r="K33" s="56"/>
      <c r="L33" s="55"/>
      <c r="M33" s="61"/>
    </row>
    <row r="34" spans="2:13" ht="12.75">
      <c r="B34" s="2225" t="s">
        <v>886</v>
      </c>
      <c r="C34" s="2228">
        <v>7829</v>
      </c>
      <c r="D34" s="2226">
        <v>1.0023030599889999E-2</v>
      </c>
      <c r="E34" s="2241">
        <f t="shared" si="2"/>
        <v>78.47030656653881</v>
      </c>
      <c r="F34" s="2228">
        <v>21</v>
      </c>
      <c r="G34" s="2242">
        <f t="shared" si="3"/>
        <v>1.6478764378973151E-3</v>
      </c>
      <c r="H34" s="60"/>
      <c r="I34" s="3"/>
      <c r="J34" s="55"/>
      <c r="K34" s="56"/>
      <c r="L34" s="55"/>
      <c r="M34" s="61"/>
    </row>
    <row r="35" spans="2:13" ht="12.75">
      <c r="B35" s="2225" t="s">
        <v>1104</v>
      </c>
      <c r="C35" s="2228">
        <v>95085</v>
      </c>
      <c r="D35" s="2226">
        <v>4.7477513367900001E-3</v>
      </c>
      <c r="E35" s="2241">
        <f t="shared" si="2"/>
        <v>451.43993585867719</v>
      </c>
      <c r="F35" s="2228">
        <v>21</v>
      </c>
      <c r="G35" s="2242">
        <f t="shared" si="3"/>
        <v>9.4802386530322205E-3</v>
      </c>
      <c r="H35" s="60"/>
      <c r="I35" s="3"/>
      <c r="J35" s="55"/>
      <c r="K35" s="56"/>
      <c r="L35" s="55"/>
      <c r="M35" s="61"/>
    </row>
    <row r="36" spans="2:13" ht="13.5" thickBot="1">
      <c r="B36" s="2230" t="s">
        <v>186</v>
      </c>
      <c r="C36" s="2233">
        <v>11488</v>
      </c>
      <c r="D36" s="2231">
        <v>0.28486508020740003</v>
      </c>
      <c r="E36" s="2243">
        <f t="shared" si="2"/>
        <v>3272.5300414226117</v>
      </c>
      <c r="F36" s="2233">
        <v>21</v>
      </c>
      <c r="G36" s="2244">
        <f t="shared" si="3"/>
        <v>6.8723130869874846E-2</v>
      </c>
      <c r="H36" s="60"/>
      <c r="I36" s="3"/>
      <c r="J36" s="62"/>
      <c r="K36" s="56"/>
      <c r="L36" s="55"/>
      <c r="M36" s="61"/>
    </row>
    <row r="37" spans="2:13" ht="13.5" thickBot="1">
      <c r="B37" s="2235"/>
      <c r="C37" s="2236"/>
      <c r="D37" s="2236"/>
      <c r="E37" s="2236"/>
      <c r="F37" s="2245" t="s">
        <v>194</v>
      </c>
      <c r="G37" s="2237">
        <f>SUM(G31:G36)</f>
        <v>8.3845594046380742E-2</v>
      </c>
      <c r="H37" s="11"/>
      <c r="I37" s="3"/>
      <c r="J37" s="62"/>
      <c r="K37" s="63"/>
      <c r="L37" s="6"/>
      <c r="M37" s="64"/>
    </row>
    <row r="38" spans="2:13" ht="12" thickTop="1"/>
    <row r="41" spans="2:13" ht="21">
      <c r="B41" s="65" t="s">
        <v>1249</v>
      </c>
      <c r="C41" s="18"/>
      <c r="D41" s="66"/>
      <c r="E41" s="65"/>
      <c r="F41" s="15"/>
      <c r="G41" s="17"/>
    </row>
    <row r="42" spans="2:13" ht="13.5" thickBot="1">
      <c r="B42" s="40"/>
      <c r="C42" s="17"/>
      <c r="D42" s="37"/>
      <c r="E42" s="40"/>
      <c r="F42" s="17"/>
      <c r="G42" s="17"/>
    </row>
    <row r="43" spans="2:13" ht="13.5" thickTop="1">
      <c r="B43" s="2193"/>
      <c r="C43" s="2194" t="s">
        <v>106</v>
      </c>
      <c r="D43" s="2194" t="s">
        <v>106</v>
      </c>
      <c r="E43" s="2194" t="s">
        <v>106</v>
      </c>
      <c r="F43" s="2195" t="s">
        <v>106</v>
      </c>
      <c r="G43" s="42"/>
    </row>
    <row r="44" spans="2:13" ht="14.25">
      <c r="B44" s="2246"/>
      <c r="C44" s="2247" t="s">
        <v>1331</v>
      </c>
      <c r="D44" s="2247" t="s">
        <v>1332</v>
      </c>
      <c r="E44" s="2247" t="s">
        <v>1333</v>
      </c>
      <c r="F44" s="2248" t="s">
        <v>194</v>
      </c>
      <c r="G44" s="42"/>
    </row>
    <row r="45" spans="2:13" ht="15" thickBot="1">
      <c r="B45" s="2196" t="s">
        <v>1110</v>
      </c>
      <c r="C45" s="2197" t="s">
        <v>1327</v>
      </c>
      <c r="D45" s="2197" t="s">
        <v>1327</v>
      </c>
      <c r="E45" s="2197" t="s">
        <v>1327</v>
      </c>
      <c r="F45" s="2198" t="s">
        <v>1327</v>
      </c>
      <c r="G45" s="42"/>
    </row>
    <row r="46" spans="2:13" ht="12.75">
      <c r="B46" s="2249" t="s">
        <v>1102</v>
      </c>
      <c r="C46" s="2250">
        <f>G7</f>
        <v>0</v>
      </c>
      <c r="D46" s="2251">
        <f t="shared" ref="D46:D51" si="4">G18</f>
        <v>0</v>
      </c>
      <c r="E46" s="2252">
        <f t="shared" ref="E46:E51" si="5">G31</f>
        <v>0</v>
      </c>
      <c r="F46" s="2253">
        <f t="shared" ref="F46:F51" si="6">C46+D46+E46</f>
        <v>0</v>
      </c>
      <c r="G46" s="67"/>
    </row>
    <row r="47" spans="2:13" ht="12.75">
      <c r="B47" s="2254" t="s">
        <v>884</v>
      </c>
      <c r="C47" s="2255">
        <f>G8</f>
        <v>1.3776390768358899</v>
      </c>
      <c r="D47" s="2256">
        <f t="shared" si="4"/>
        <v>3.4746519443659457E-3</v>
      </c>
      <c r="E47" s="2257">
        <f t="shared" si="5"/>
        <v>3.922994130735746E-3</v>
      </c>
      <c r="F47" s="2258">
        <f t="shared" si="6"/>
        <v>1.3850367229109917</v>
      </c>
      <c r="G47" s="67"/>
    </row>
    <row r="48" spans="2:13" ht="12.75">
      <c r="B48" s="2254" t="s">
        <v>909</v>
      </c>
      <c r="C48" s="2255">
        <f>G9</f>
        <v>2.4797962348555001E-2</v>
      </c>
      <c r="D48" s="2256">
        <f t="shared" si="4"/>
        <v>6.3199217144546392E-5</v>
      </c>
      <c r="E48" s="2257">
        <f t="shared" si="5"/>
        <v>7.1353954840616912E-5</v>
      </c>
      <c r="F48" s="2258">
        <f t="shared" si="6"/>
        <v>2.4932515520540162E-2</v>
      </c>
      <c r="G48" s="67"/>
    </row>
    <row r="49" spans="2:7" ht="12.75">
      <c r="B49" s="2254" t="s">
        <v>886</v>
      </c>
      <c r="C49" s="2255">
        <f>G10</f>
        <v>0.48334852563949526</v>
      </c>
      <c r="D49" s="2256">
        <f t="shared" si="4"/>
        <v>1.4595477021376213E-3</v>
      </c>
      <c r="E49" s="2257">
        <f t="shared" si="5"/>
        <v>1.6478764378973151E-3</v>
      </c>
      <c r="F49" s="2258">
        <f t="shared" si="6"/>
        <v>0.48645594977953022</v>
      </c>
      <c r="G49" s="67"/>
    </row>
    <row r="50" spans="2:7" ht="12.75">
      <c r="B50" s="2254" t="s">
        <v>1104</v>
      </c>
      <c r="C50" s="2255">
        <f>G11</f>
        <v>5.041431919236075</v>
      </c>
      <c r="D50" s="2256">
        <f t="shared" si="4"/>
        <v>2.7989276023237986E-3</v>
      </c>
      <c r="E50" s="2257">
        <f t="shared" si="5"/>
        <v>9.4802386530322205E-3</v>
      </c>
      <c r="F50" s="2258">
        <f t="shared" si="6"/>
        <v>5.0537110854914316</v>
      </c>
      <c r="G50" s="67"/>
    </row>
    <row r="51" spans="2:7" ht="13.5" thickBot="1">
      <c r="B51" s="2259" t="s">
        <v>186</v>
      </c>
      <c r="C51" s="2260">
        <v>0</v>
      </c>
      <c r="D51" s="2261">
        <f t="shared" si="4"/>
        <v>1.3526457504546794E-2</v>
      </c>
      <c r="E51" s="2262">
        <f t="shared" si="5"/>
        <v>6.8723130869874846E-2</v>
      </c>
      <c r="F51" s="2263">
        <f t="shared" si="6"/>
        <v>8.2249588374421645E-2</v>
      </c>
      <c r="G51" s="67"/>
    </row>
    <row r="52" spans="2:7" ht="13.5" thickBot="1">
      <c r="B52" s="2236"/>
      <c r="C52" s="2236"/>
      <c r="D52" s="2236"/>
      <c r="E52" s="2245" t="s">
        <v>194</v>
      </c>
      <c r="F52" s="2264">
        <f>SUM(F46:F51)</f>
        <v>7.0323858620769162</v>
      </c>
      <c r="G52" s="68"/>
    </row>
    <row r="53" spans="2:7" ht="12" thickTop="1"/>
    <row r="58" spans="2:7">
      <c r="B58" s="2191" t="s">
        <v>1325</v>
      </c>
    </row>
  </sheetData>
  <sheetProtection password="CD58" sheet="1" objects="1" scenarios="1"/>
  <phoneticPr fontId="0" type="noConversion"/>
  <dataValidations count="1">
    <dataValidation allowBlank="1" showErrorMessage="1" promptTitle="Residential Sector:" prompt="Enter fuel consumption data here.  It will then automatically be entered into the methane emissions calculations." sqref="C18:C23"/>
  </dataValidations>
  <pageMargins left="0.75" right="0.75" top="1" bottom="1" header="0.5" footer="0.5"/>
  <pageSetup orientation="portrait" r:id="rId1"/>
  <headerFooter alignWithMargins="0"/>
  <drawing r:id="rId2"/>
  <legacyDrawing r:id="rId3"/>
  <picture r:id="rId4"/>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documentManagement>
    <PublishingExpirationDate xmlns="http://schemas.microsoft.com/sharepoint/v3" xsi:nil="true"/>
    <PublishingStartDate xmlns="http://schemas.microsoft.com/sharepoint/v3"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D5E6D3471F7F04449211EBF97CCD3EEF" ma:contentTypeVersion="11" ma:contentTypeDescription="Create a new document." ma:contentTypeScope="" ma:versionID="1fa121f0f7dadc83016221ac4c0a73d5">
  <xsd:schema xmlns:xsd="http://www.w3.org/2001/XMLSchema" xmlns:xs="http://www.w3.org/2001/XMLSchema" xmlns:p="http://schemas.microsoft.com/office/2006/metadata/properties" xmlns:ns1="http://schemas.microsoft.com/sharepoint/v3" targetNamespace="http://schemas.microsoft.com/office/2006/metadata/properties" ma:root="true" ma:fieldsID="0f1c3a5fe40b69cf375f6490498fc6a7"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4" nillable="true" ma:displayName="Scheduling Start Date" ma:description="" ma:internalName="PublishingStartDate">
      <xsd:simpleType>
        <xsd:restriction base="dms:Unknown"/>
      </xsd:simpleType>
    </xsd:element>
    <xsd:element name="PublishingExpirationDate" ma:index="5" nillable="true" ma:displayName="Scheduling End Date" ma:description=""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6" ma:displayName="Content Typ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286D046-E0BC-4116-BE61-544391BB5B88}"/>
</file>

<file path=customXml/itemProps2.xml><?xml version="1.0" encoding="utf-8"?>
<ds:datastoreItem xmlns:ds="http://schemas.openxmlformats.org/officeDocument/2006/customXml" ds:itemID="{63ED75AE-8183-4BE9-B867-A1CCA9BF6F12}"/>
</file>

<file path=customXml/itemProps3.xml><?xml version="1.0" encoding="utf-8"?>
<ds:datastoreItem xmlns:ds="http://schemas.openxmlformats.org/officeDocument/2006/customXml" ds:itemID="{39127349-E719-4744-A511-741C0D0E8AF1}"/>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22</vt:i4>
      </vt:variant>
      <vt:variant>
        <vt:lpstr>Named Ranges</vt:lpstr>
      </vt:variant>
      <vt:variant>
        <vt:i4>3</vt:i4>
      </vt:variant>
    </vt:vector>
  </HeadingPairs>
  <TitlesOfParts>
    <vt:vector size="25" baseType="lpstr">
      <vt:lpstr>Summ GHG Rpt Expanded</vt:lpstr>
      <vt:lpstr>EGU_Emission_By_Fuel_Type</vt:lpstr>
      <vt:lpstr>EGU Details</vt:lpstr>
      <vt:lpstr>Luke</vt:lpstr>
      <vt:lpstr>Imported Electricity</vt:lpstr>
      <vt:lpstr>Trans_On_Road</vt:lpstr>
      <vt:lpstr>Trans_Non_Road</vt:lpstr>
      <vt:lpstr>Trans_Others</vt:lpstr>
      <vt:lpstr>Residential</vt:lpstr>
      <vt:lpstr>Commercial</vt:lpstr>
      <vt:lpstr>Industrial</vt:lpstr>
      <vt:lpstr>LimeT&amp;DSodaODS</vt:lpstr>
      <vt:lpstr>Cement</vt:lpstr>
      <vt:lpstr>Landfills</vt:lpstr>
      <vt:lpstr>LFGTE</vt:lpstr>
      <vt:lpstr>Incinerators</vt:lpstr>
      <vt:lpstr>OpenBurn</vt:lpstr>
      <vt:lpstr>Natural Gas and Oil</vt:lpstr>
      <vt:lpstr>Mining</vt:lpstr>
      <vt:lpstr>Wastewater</vt:lpstr>
      <vt:lpstr>Agricultural</vt:lpstr>
      <vt:lpstr>Land Use</vt:lpstr>
      <vt:lpstr>'EGU Details'!Print_Area</vt:lpstr>
      <vt:lpstr>'Summ GHG Rpt Expanded'!Print_Area</vt:lpstr>
      <vt:lpstr>'EGU Details'!Print_Titles</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MD Summary</dc:title>
  <dc:creator>Roger Thunell</dc:creator>
  <cp:lastModifiedBy>Roger_Thunell</cp:lastModifiedBy>
  <cp:lastPrinted>2016-06-08T19:00:50Z</cp:lastPrinted>
  <dcterms:created xsi:type="dcterms:W3CDTF">2006-08-20T19:40:13Z</dcterms:created>
  <dcterms:modified xsi:type="dcterms:W3CDTF">2016-06-15T16:47:56Z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0x010100D5E6D3471F7F04449211EBF97CCD3EEF</vt:lpwstr>
  </property>
</Properties>
</file>